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P:\Dokumentumok\IRODAI ANYAGOK\2026\2025_evi_zarszamadashoz\1_MUNKAANYAG_20260410\"/>
    </mc:Choice>
  </mc:AlternateContent>
  <xr:revisionPtr revIDLastSave="0" documentId="13_ncr:1_{5BE5566C-289A-4531-9FDB-B3FF8A76025C}" xr6:coauthVersionLast="47" xr6:coauthVersionMax="47" xr10:uidLastSave="{00000000-0000-0000-0000-000000000000}"/>
  <workbookProtection workbookAlgorithmName="SHA-512" workbookHashValue="hymR+MvFB1UUHnM77Z/fu0Wf8xSPUaSwzy5sAa6hKDjWEKswmu0C7oQIq6DvkIOK19fh3I/jY+XR+PWMqKvbFQ==" workbookSaltValue="ybJ6ZWNngG/HOAOu3xiyYw==" workbookSpinCount="100000" lockStructure="1"/>
  <bookViews>
    <workbookView xWindow="-120" yWindow="-120" windowWidth="29040" windowHeight="15720" firstSheet="4" activeTab="4" xr2:uid="{7803CA65-32AE-4B8D-A7FC-54281C8B6B6A}"/>
  </bookViews>
  <sheets>
    <sheet name="Telek,lakás, egyéb ing.bev.terv" sheetId="2" state="hidden" r:id="rId1"/>
    <sheet name="nem változtató bevétel" sheetId="5" state="hidden" r:id="rId2"/>
    <sheet name="nem változtató kiadás" sheetId="67" state="hidden" r:id="rId3"/>
    <sheet name="változtató" sheetId="6" state="hidden" r:id="rId4"/>
    <sheet name="1. mell.ÖSSZEVONT_MÉRLEG" sheetId="7" r:id="rId5"/>
    <sheet name="2. mell.  " sheetId="8" r:id="rId6"/>
    <sheet name="3. mell.  " sheetId="9" r:id="rId7"/>
    <sheet name="4.mell.ÖSSZEVONT (Bontas)" sheetId="10" r:id="rId8"/>
    <sheet name="5. mell.Önk-i mérleg" sheetId="11" r:id="rId9"/>
    <sheet name="6. mell (Bontás)" sheetId="12" r:id="rId10"/>
    <sheet name="7. mell. Önk.összes.bevétele" sheetId="13" r:id="rId11"/>
    <sheet name="Fin.bev-nem része a rend-nek" sheetId="14" state="hidden" r:id="rId12"/>
    <sheet name="int.vált.-előterj1.mell" sheetId="15" state="hidden" r:id="rId13"/>
    <sheet name="intnemváltoztató-előterj2.mell " sheetId="16" state="hidden" r:id="rId14"/>
    <sheet name="int-i atcsop-ok eloterj.4.mell" sheetId="1" state="hidden" r:id="rId15"/>
    <sheet name="8. mell. Intézmények összesen" sheetId="17" r:id="rId16"/>
    <sheet name="9. mell. PMH" sheetId="18" r:id="rId17"/>
    <sheet name="Bev. PMH-nem része a rend-nek" sheetId="19" state="hidden" r:id="rId18"/>
    <sheet name="10. PMH személyi jutt.és jár-ok" sheetId="20" r:id="rId19"/>
    <sheet name="11.mell. PMH Dologi" sheetId="21" r:id="rId20"/>
    <sheet name="PMH Dologi(alábontás)-nem része" sheetId="22" state="hidden" r:id="rId21"/>
    <sheet name="12. mell. Szakrendelő" sheetId="23" r:id="rId22"/>
    <sheet name="13. mell. GAMESZ" sheetId="24" r:id="rId23"/>
    <sheet name="14. mell. Gyerekkuckó" sheetId="25" r:id="rId24"/>
    <sheet name="15. mell. Cinkotai H." sheetId="26" r:id="rId25"/>
    <sheet name="16. mell. Napsugár" sheetId="27" r:id="rId26"/>
    <sheet name="17. mell. Sashalmi M." sheetId="28" r:id="rId27"/>
    <sheet name="18. mell. Margaréta" sheetId="29" r:id="rId28"/>
    <sheet name="19.mell.Szentmihályi Játszókert" sheetId="30" r:id="rId29"/>
    <sheet name="20. mell. M. Fecskefészek" sheetId="31" r:id="rId30"/>
    <sheet name="21. mell. CMH" sheetId="32" r:id="rId31"/>
    <sheet name="22. mell. Bölcsőde" sheetId="33" r:id="rId32"/>
    <sheet name="23. mell. Terszoc." sheetId="34" r:id="rId33"/>
    <sheet name="24. mell. Napraforgó" sheetId="35" r:id="rId34"/>
    <sheet name="25. mell. Kerületgazda" sheetId="36" r:id="rId35"/>
    <sheet name="26. mell. Őrszolgálat" sheetId="37" r:id="rId36"/>
    <sheet name="27. mell. KHEK" sheetId="38" r:id="rId37"/>
    <sheet name="Int. fin.-Ez" sheetId="39" state="hidden" r:id="rId38"/>
    <sheet name="28. mell. KIO" sheetId="66" r:id="rId39"/>
    <sheet name="29. mell. Önk.- Bér" sheetId="40" r:id="rId40"/>
    <sheet name="30. mell. ÖNK.-Dologi" sheetId="41" r:id="rId41"/>
    <sheet name="ÖNK.-Dologi (alábontás)nemrésze" sheetId="42" state="hidden" r:id="rId42"/>
    <sheet name="31.mell. Működési kiadások" sheetId="43" r:id="rId43"/>
    <sheet name="32. mell. Ellátottak" sheetId="44" r:id="rId44"/>
    <sheet name="33. mell. E.műk.c.kiad." sheetId="45" r:id="rId45"/>
    <sheet name="34-35.mell.Ber.,Felúj." sheetId="46" r:id="rId46"/>
    <sheet name="36. mell. E.felh.c.kiad." sheetId="47" r:id="rId47"/>
    <sheet name="Fin.kiad.-nem része a rend-nek" sheetId="48" state="hidden" r:id="rId48"/>
    <sheet name="37. mell.költségvetésben" sheetId="49" state="hidden" r:id="rId49"/>
    <sheet name="37.mell_EU_beszámolóban" sheetId="68" r:id="rId50"/>
    <sheet name="38.mell.maradvany_1_oldal" sheetId="69" r:id="rId51"/>
    <sheet name="38.mell.maradvany_2_oldal" sheetId="70" r:id="rId52"/>
    <sheet name="Előterj20.mell.-Egyeztető" sheetId="71" state="hidden" r:id="rId53"/>
    <sheet name="Eloterj22.mell.-Faalapu_tam_ok" sheetId="72" state="hidden" r:id="rId54"/>
    <sheet name="22.melléklet 2. oldal" sheetId="73" state="hidden" r:id="rId55"/>
    <sheet name="22. melléklet 3. oldal" sheetId="74" state="hidden" r:id="rId56"/>
    <sheet name="38-39-40.mellékletek  " sheetId="50" state="hidden" r:id="rId57"/>
    <sheet name="1. sz tájékoztató t." sheetId="51" state="hidden" r:id="rId58"/>
    <sheet name="2. sz tájékoztató tábla" sheetId="52" state="hidden" r:id="rId59"/>
    <sheet name="3. sz. tájékoztató tábla" sheetId="53" state="hidden" r:id="rId60"/>
    <sheet name="4.sz. tájékoztató tábla1." sheetId="54" state="hidden" r:id="rId61"/>
    <sheet name="4.sz. tájékoztató tábla2." sheetId="55" state="hidden" r:id="rId62"/>
    <sheet name="5. sz. tájékoztató tábla" sheetId="56" state="hidden" r:id="rId63"/>
    <sheet name="COFOG (3)" sheetId="58" state="hidden" r:id="rId64"/>
  </sheets>
  <externalReferences>
    <externalReference r:id="rId65"/>
    <externalReference r:id="rId66"/>
    <externalReference r:id="rId67"/>
  </externalReferences>
  <definedNames>
    <definedName name="__xlfn_IFERROR">NA()</definedName>
    <definedName name="a" localSheetId="38">#REF!</definedName>
    <definedName name="a">#REF!</definedName>
    <definedName name="aa" localSheetId="38">#REF!</definedName>
    <definedName name="aa">#REF!</definedName>
    <definedName name="aaa" localSheetId="38">#REF!</definedName>
    <definedName name="aaa">#REF!</definedName>
    <definedName name="aaaaa" localSheetId="38">#REF!</definedName>
    <definedName name="aaaaa">#REF!</definedName>
    <definedName name="aaaaaaa" localSheetId="38">#REF!</definedName>
    <definedName name="aaaaaaa">#REF!</definedName>
    <definedName name="b" localSheetId="38">#REF!</definedName>
    <definedName name="b">#REF!</definedName>
    <definedName name="cc" localSheetId="38">#REF!</definedName>
    <definedName name="cc">#REF!</definedName>
    <definedName name="ccc" localSheetId="38">#REF!</definedName>
    <definedName name="ccc">#REF!</definedName>
    <definedName name="cccc" localSheetId="38">#REF!</definedName>
    <definedName name="cccc">#REF!</definedName>
    <definedName name="ccccc" localSheetId="38">#REF!</definedName>
    <definedName name="ccccc">#REF!</definedName>
    <definedName name="cofog1" localSheetId="38">#REF!</definedName>
    <definedName name="cofog1" localSheetId="61">#REF!</definedName>
    <definedName name="cofog1" localSheetId="63">#REF!</definedName>
    <definedName name="cofog1" localSheetId="37">#REF!</definedName>
    <definedName name="cofog1" localSheetId="14">#REF!</definedName>
    <definedName name="cofog1">#REF!</definedName>
    <definedName name="cofog2" localSheetId="38">#REF!</definedName>
    <definedName name="cofog2">#REF!</definedName>
    <definedName name="ctc" localSheetId="38">#REF!</definedName>
    <definedName name="ctc" localSheetId="59">#REF!</definedName>
    <definedName name="ctc" localSheetId="61">#REF!</definedName>
    <definedName name="ctc" localSheetId="63">#REF!</definedName>
    <definedName name="ctc" localSheetId="37">#REF!</definedName>
    <definedName name="ctc">#REF!</definedName>
    <definedName name="css" localSheetId="38">#REF!</definedName>
    <definedName name="css" localSheetId="59">#REF!</definedName>
    <definedName name="css" localSheetId="61">#REF!</definedName>
    <definedName name="css" localSheetId="63">#REF!</definedName>
    <definedName name="css" localSheetId="37">#REF!</definedName>
    <definedName name="css">#REF!</definedName>
    <definedName name="css_k" localSheetId="59">[1]Családsegítés!$C$27:$C$86</definedName>
    <definedName name="css_k" localSheetId="63">[2]Családsegítés!$C$27:$C$86</definedName>
    <definedName name="css_k">[3]Családsegítés!$C$27:$C$86</definedName>
    <definedName name="css_k_" localSheetId="38">#REF!</definedName>
    <definedName name="css_k_" localSheetId="59">#REF!</definedName>
    <definedName name="css_k_" localSheetId="61">#REF!</definedName>
    <definedName name="css_k_" localSheetId="63">#REF!</definedName>
    <definedName name="css_k_" localSheetId="37">#REF!</definedName>
    <definedName name="css_k_">#REF!</definedName>
    <definedName name="dsfvs" localSheetId="38">#REF!</definedName>
    <definedName name="dsfvs" localSheetId="61">#REF!</definedName>
    <definedName name="dsfvs" localSheetId="63">#REF!</definedName>
    <definedName name="dsfvs" localSheetId="37">#REF!</definedName>
    <definedName name="dsfvs">#REF!</definedName>
    <definedName name="e" localSheetId="38">#REF!</definedName>
    <definedName name="e">#REF!</definedName>
    <definedName name="ee" localSheetId="38">#REF!</definedName>
    <definedName name="ee">#REF!</definedName>
    <definedName name="eee" localSheetId="38">#REF!</definedName>
    <definedName name="eee">#REF!</definedName>
    <definedName name="eeee" localSheetId="38">#REF!</definedName>
    <definedName name="eeee">#REF!</definedName>
    <definedName name="eeeee" localSheetId="38">#REF!</definedName>
    <definedName name="eeeee">#REF!</definedName>
    <definedName name="eeeeee" localSheetId="38">#REF!</definedName>
    <definedName name="eeeeee">#REF!</definedName>
    <definedName name="eeeeeee" localSheetId="38">#REF!</definedName>
    <definedName name="eeeeeee">#REF!</definedName>
    <definedName name="eeeeeeee" localSheetId="38">#REF!</definedName>
    <definedName name="eeeeeeee">#REF!</definedName>
    <definedName name="eeeeeeeee" localSheetId="38">#REF!</definedName>
    <definedName name="eeeeeeeee">#REF!</definedName>
    <definedName name="eeeeeeeeee" localSheetId="38">#REF!</definedName>
    <definedName name="eeeeeeeeee">#REF!</definedName>
    <definedName name="Excel_BuiltIn_Database" localSheetId="38">#REF!</definedName>
    <definedName name="Excel_BuiltIn_Database" localSheetId="61">#REF!</definedName>
    <definedName name="Excel_BuiltIn_Database" localSheetId="63">#REF!</definedName>
    <definedName name="Excel_BuiltIn_Database">#REF!</definedName>
    <definedName name="fhnhn" localSheetId="38">#REF!</definedName>
    <definedName name="fhnhn" localSheetId="61">#REF!</definedName>
    <definedName name="fhnhn" localSheetId="63">#REF!</definedName>
    <definedName name="fhnhn" localSheetId="37">#REF!</definedName>
    <definedName name="fhnhn">#REF!</definedName>
    <definedName name="foot_2_place" localSheetId="56">'38-39-40.mellékletek  '!$H$21</definedName>
    <definedName name="foot_3_place" localSheetId="56">'38-39-40.mellékletek  '!$H$31</definedName>
    <definedName name="gg" localSheetId="38">#REF!</definedName>
    <definedName name="gg" localSheetId="61">#REF!</definedName>
    <definedName name="gg" localSheetId="63">#REF!</definedName>
    <definedName name="gg" localSheetId="37">#REF!</definedName>
    <definedName name="gg">#REF!</definedName>
    <definedName name="gyj" localSheetId="38">#REF!</definedName>
    <definedName name="gyj" localSheetId="59">#REF!</definedName>
    <definedName name="gyj" localSheetId="61">#REF!</definedName>
    <definedName name="gyj" localSheetId="63">#REF!</definedName>
    <definedName name="gyj" localSheetId="37">#REF!</definedName>
    <definedName name="gyj">#REF!</definedName>
    <definedName name="gyj_k" localSheetId="59">[1]Gyermekjóléti!$C$27:$C$86</definedName>
    <definedName name="gyj_k" localSheetId="63">[2]Gyermekjóléti!$C$27:$C$86</definedName>
    <definedName name="gyj_k">[3]Gyermekjóléti!$C$27:$C$86</definedName>
    <definedName name="gyj_k_" localSheetId="38">#REF!</definedName>
    <definedName name="gyj_k_" localSheetId="59">#REF!</definedName>
    <definedName name="gyj_k_" localSheetId="61">#REF!</definedName>
    <definedName name="gyj_k_" localSheetId="63">#REF!</definedName>
    <definedName name="gyj_k_" localSheetId="37">#REF!</definedName>
    <definedName name="gyj_k_">#REF!</definedName>
    <definedName name="hat" localSheetId="38">#REF!</definedName>
    <definedName name="hat" localSheetId="61">#REF!</definedName>
    <definedName name="hat" localSheetId="63">#REF!</definedName>
    <definedName name="hat">#REF!</definedName>
    <definedName name="hg" localSheetId="38">#REF!</definedName>
    <definedName name="hg" localSheetId="61">#REF!</definedName>
    <definedName name="hg" localSheetId="63">#REF!</definedName>
    <definedName name="hg" localSheetId="37">#REF!</definedName>
    <definedName name="hg">#REF!</definedName>
    <definedName name="hgnfhg" localSheetId="38">#REF!</definedName>
    <definedName name="hgnfhg" localSheetId="61">#REF!</definedName>
    <definedName name="hgnfhg" localSheetId="63">#REF!</definedName>
    <definedName name="hgnfhg" localSheetId="37">#REF!</definedName>
    <definedName name="hgnfhg">#REF!</definedName>
    <definedName name="hnf" localSheetId="38">#REF!</definedName>
    <definedName name="hnf" localSheetId="61">#REF!</definedName>
    <definedName name="hnf" localSheetId="63">#REF!</definedName>
    <definedName name="hnf" localSheetId="37">#REF!</definedName>
    <definedName name="hnf">#REF!</definedName>
    <definedName name="jjjj" localSheetId="38">#REF!</definedName>
    <definedName name="jjjj" localSheetId="61">#REF!</definedName>
    <definedName name="jjjj" localSheetId="63">#REF!</definedName>
    <definedName name="jjjj" localSheetId="37">#REF!</definedName>
    <definedName name="jjjj">#REF!</definedName>
    <definedName name="kjsr" localSheetId="38">#REF!</definedName>
    <definedName name="kjsr" localSheetId="59">#REF!</definedName>
    <definedName name="kjsr" localSheetId="61">#REF!</definedName>
    <definedName name="kjsr" localSheetId="63">#REF!</definedName>
    <definedName name="kjsr" localSheetId="37">#REF!</definedName>
    <definedName name="kjsr">#REF!</definedName>
    <definedName name="kjz" localSheetId="38">#REF!</definedName>
    <definedName name="kjz" localSheetId="59">#REF!</definedName>
    <definedName name="kjz" localSheetId="61">#REF!</definedName>
    <definedName name="kjz" localSheetId="63">#REF!</definedName>
    <definedName name="kjz" localSheetId="37">#REF!</definedName>
    <definedName name="kjz">#REF!</definedName>
    <definedName name="kjz_k" localSheetId="59">[1]körjegyzőség!$C$9:$C$28</definedName>
    <definedName name="kjz_k" localSheetId="63">[2]körjegyzőség!$C$9:$C$28</definedName>
    <definedName name="kjz_k">[3]körjegyzőség!$C$9:$C$28</definedName>
    <definedName name="kjz_k_" localSheetId="38">#REF!</definedName>
    <definedName name="kjz_k_" localSheetId="59">#REF!</definedName>
    <definedName name="kjz_k_" localSheetId="61">#REF!</definedName>
    <definedName name="kjz_k_" localSheetId="63">#REF!</definedName>
    <definedName name="kjz_k_" localSheetId="37">#REF!</definedName>
    <definedName name="kjz_k_">#REF!</definedName>
    <definedName name="kkk" localSheetId="38">#REF!</definedName>
    <definedName name="kkk" localSheetId="61">#REF!</definedName>
    <definedName name="kkk" localSheetId="63">#REF!</definedName>
    <definedName name="kkk">#REF!</definedName>
    <definedName name="l" localSheetId="38">#REF!</definedName>
    <definedName name="l" localSheetId="59">#REF!</definedName>
    <definedName name="l" localSheetId="61">#REF!</definedName>
    <definedName name="l" localSheetId="63">#REF!</definedName>
    <definedName name="l" localSheetId="37">#REF!</definedName>
    <definedName name="l">#REF!</definedName>
    <definedName name="m" localSheetId="38">#REF!</definedName>
    <definedName name="m">#REF!</definedName>
    <definedName name="mm" localSheetId="38">#REF!</definedName>
    <definedName name="mm">#REF!</definedName>
    <definedName name="mmm" localSheetId="38">#REF!</definedName>
    <definedName name="mmm">#REF!</definedName>
    <definedName name="mmmm" localSheetId="38">#REF!</definedName>
    <definedName name="mmmm">#REF!</definedName>
    <definedName name="mmmmm" localSheetId="38">#REF!</definedName>
    <definedName name="mmmmm">#REF!</definedName>
    <definedName name="n" localSheetId="38">#REF!</definedName>
    <definedName name="n">#REF!</definedName>
    <definedName name="nev_c" localSheetId="38">#REF!</definedName>
    <definedName name="nev_c" localSheetId="59">#REF!</definedName>
    <definedName name="nev_c" localSheetId="61">#REF!</definedName>
    <definedName name="nev_c" localSheetId="63">#REF!</definedName>
    <definedName name="nev_c" localSheetId="37">#REF!</definedName>
    <definedName name="nev_c">#REF!</definedName>
    <definedName name="nev_g" localSheetId="38">#REF!</definedName>
    <definedName name="nev_g" localSheetId="59">#REF!</definedName>
    <definedName name="nev_g" localSheetId="61">#REF!</definedName>
    <definedName name="nev_g" localSheetId="63">#REF!</definedName>
    <definedName name="nev_g" localSheetId="37">#REF!</definedName>
    <definedName name="nev_g">#REF!</definedName>
    <definedName name="nev_k" localSheetId="38">#REF!</definedName>
    <definedName name="nev_k" localSheetId="59">#REF!</definedName>
    <definedName name="nev_k" localSheetId="61">#REF!</definedName>
    <definedName name="nev_k" localSheetId="63">#REF!</definedName>
    <definedName name="nev_k" localSheetId="37">#REF!</definedName>
    <definedName name="nev_k">#REF!</definedName>
    <definedName name="ngh">NA()</definedName>
    <definedName name="nn" localSheetId="38">#REF!</definedName>
    <definedName name="nn">#REF!</definedName>
    <definedName name="nnn" localSheetId="38">#REF!</definedName>
    <definedName name="nnn">#REF!</definedName>
    <definedName name="nnnn" localSheetId="38">#REF!</definedName>
    <definedName name="nnnn">#REF!</definedName>
    <definedName name="nnnnn" localSheetId="38">#REF!</definedName>
    <definedName name="nnnnn">#REF!</definedName>
    <definedName name="nnnnnn" localSheetId="38">#REF!</definedName>
    <definedName name="nnnnnn">#REF!</definedName>
    <definedName name="nnnnnnnn" localSheetId="38">#REF!</definedName>
    <definedName name="nnnnnnnn">#REF!</definedName>
    <definedName name="nnnnnnnnnnnn" localSheetId="38">#REF!</definedName>
    <definedName name="nnnnnnnnnnnn">#REF!</definedName>
    <definedName name="nnnnnnnnnnnnnnn" localSheetId="38">#REF!</definedName>
    <definedName name="nnnnnnnnnnnnnnn">#REF!</definedName>
    <definedName name="nnnnnnnnnnnnnnnnnnn" localSheetId="38">#REF!</definedName>
    <definedName name="nnnnnnnnnnnnnnnnnnn">#REF!</definedName>
    <definedName name="nnnnnnnnnnnnnnnnnnnnnnnnnnn" localSheetId="38">#REF!</definedName>
    <definedName name="nnnnnnnnnnnnnnnnnnnnnnnnnnn">#REF!</definedName>
    <definedName name="_xlnm.Print_Titles" localSheetId="4">'1. mell.ÖSSZEVONT_MÉRLEG'!$1:$2</definedName>
    <definedName name="_xlnm.Print_Titles" localSheetId="19">'11.mell. PMH Dologi'!$B:$B,'11.mell. PMH Dologi'!$1:$5</definedName>
    <definedName name="_xlnm.Print_Titles" localSheetId="21">'12. mell. Szakrendelő'!$1:$4</definedName>
    <definedName name="_xlnm.Print_Titles" localSheetId="22">'13. mell. GAMESZ'!$1:$4</definedName>
    <definedName name="_xlnm.Print_Titles" localSheetId="23">'14. mell. Gyerekkuckó'!$1:$4</definedName>
    <definedName name="_xlnm.Print_Titles" localSheetId="24">'15. mell. Cinkotai H.'!$1:$4</definedName>
    <definedName name="_xlnm.Print_Titles" localSheetId="25">'16. mell. Napsugár'!$1:$4</definedName>
    <definedName name="_xlnm.Print_Titles" localSheetId="26">'17. mell. Sashalmi M.'!$1:$4</definedName>
    <definedName name="_xlnm.Print_Titles" localSheetId="27">'18. mell. Margaréta'!$1:$4</definedName>
    <definedName name="_xlnm.Print_Titles" localSheetId="28">'19.mell.Szentmihályi Játszókert'!$1:$4</definedName>
    <definedName name="_xlnm.Print_Titles" localSheetId="29">'20. mell. M. Fecskefészek'!$1:$4</definedName>
    <definedName name="_xlnm.Print_Titles" localSheetId="30">'21. mell. CMH'!$1:$4</definedName>
    <definedName name="_xlnm.Print_Titles" localSheetId="31">'22. mell. Bölcsőde'!$1:$4</definedName>
    <definedName name="_xlnm.Print_Titles" localSheetId="32">'23. mell. Terszoc.'!$1:$4</definedName>
    <definedName name="_xlnm.Print_Titles" localSheetId="33">'24. mell. Napraforgó'!$1:$4</definedName>
    <definedName name="_xlnm.Print_Titles" localSheetId="34">'25. mell. Kerületgazda'!$1:$4</definedName>
    <definedName name="_xlnm.Print_Titles" localSheetId="35">'26. mell. Őrszolgálat'!$1:$4</definedName>
    <definedName name="_xlnm.Print_Titles" localSheetId="36">'27. mell. KHEK'!$1:$4</definedName>
    <definedName name="_xlnm.Print_Titles" localSheetId="38">'28. mell. KIO'!$1:$4</definedName>
    <definedName name="_xlnm.Print_Titles" localSheetId="39">'29. mell. Önk.- Bér'!$B:$B,'29. mell. Önk.- Bér'!$1:$4</definedName>
    <definedName name="_xlnm.Print_Titles" localSheetId="40">'30. mell. ÖNK.-Dologi'!$B:$B,'30. mell. ÖNK.-Dologi'!$1:$5</definedName>
    <definedName name="_xlnm.Print_Titles" localSheetId="42">'31.mell. Működési kiadások'!$B:$B,'31.mell. Működési kiadások'!$1:$5</definedName>
    <definedName name="_xlnm.Print_Titles" localSheetId="43">'32. mell. Ellátottak'!$B:$B,'32. mell. Ellátottak'!$2:$4</definedName>
    <definedName name="_xlnm.Print_Titles" localSheetId="44">'33. mell. E.műk.c.kiad.'!$B:$B,'33. mell. E.műk.c.kiad.'!$1:$5</definedName>
    <definedName name="_xlnm.Print_Titles" localSheetId="46">'36. mell. E.felh.c.kiad.'!$B:$B,'36. mell. E.felh.c.kiad.'!$2:$4</definedName>
    <definedName name="_xlnm.Print_Titles" localSheetId="49">'37.mell_EU_beszámolóban'!$1:$2</definedName>
    <definedName name="_xlnm.Print_Titles" localSheetId="7">'4.mell.ÖSSZEVONT (Bontas)'!$1:$2</definedName>
    <definedName name="_xlnm.Print_Titles" localSheetId="8">'5. mell.Önk-i mérleg'!$1:$2</definedName>
    <definedName name="_xlnm.Print_Titles" localSheetId="9">'6. mell (Bontás)'!$1:$2</definedName>
    <definedName name="_xlnm.Print_Titles" localSheetId="10">'7. mell. Önk.összes.bevétele'!$B:$B,'7. mell. Önk.összes.bevétele'!$1:$5</definedName>
    <definedName name="_xlnm.Print_Titles" localSheetId="15">'8. mell. Intézmények összesen'!$1:$4</definedName>
    <definedName name="_xlnm.Print_Titles" localSheetId="16">'9. mell. PMH'!$1:$4</definedName>
    <definedName name="_xlnm.Print_Titles" localSheetId="17">'Bev. PMH-nem része a rend-nek'!$1:$1</definedName>
    <definedName name="_xlnm.Print_Titles" localSheetId="11">('Fin.bev-nem része a rend-nek'!$B:$B,'Fin.bev-nem része a rend-nek'!$3:$4)</definedName>
    <definedName name="_xlnm.Print_Titles" localSheetId="47">'Fin.kiad.-nem része a rend-nek'!$B:$B,'Fin.kiad.-nem része a rend-nek'!$3:$4</definedName>
    <definedName name="_xlnm.Print_Titles" localSheetId="2">'nem változtató kiadás'!$1:$5</definedName>
    <definedName name="_xlnm.Print_Titles" localSheetId="41">'ÖNK.-Dologi (alábontás)nemrésze'!$B:$B,'ÖNK.-Dologi (alábontás)nemrésze'!$2:$4</definedName>
    <definedName name="_xlnm.Print_Titles" localSheetId="20">'PMH Dologi(alábontás)-nem része'!$B:$B,'PMH Dologi(alábontás)-nem része'!$2:$4</definedName>
    <definedName name="_xlnm.Print_Titles" localSheetId="3">változtató!$1:$5</definedName>
    <definedName name="_xlnm.Print_Area" localSheetId="4">'1. mell.ÖSSZEVONT_MÉRLEG'!$A$1:$N$161</definedName>
    <definedName name="_xlnm.Print_Area" localSheetId="57">'1. sz tájékoztató t.'!$A$1:$E$153</definedName>
    <definedName name="_xlnm.Print_Area" localSheetId="18">'10. PMH személyi jutt.és jár-ok'!$A$1:$U$155</definedName>
    <definedName name="_xlnm.Print_Area" localSheetId="19">'11.mell. PMH Dologi'!$A$1:$T$89</definedName>
    <definedName name="_xlnm.Print_Area" localSheetId="21">'12. mell. Szakrendelő'!$A$1:$AI$57</definedName>
    <definedName name="_xlnm.Print_Area" localSheetId="22">'13. mell. GAMESZ'!$A$1:$AI$57</definedName>
    <definedName name="_xlnm.Print_Area" localSheetId="23">'14. mell. Gyerekkuckó'!$A$1:$AI$57</definedName>
    <definedName name="_xlnm.Print_Area" localSheetId="24">'15. mell. Cinkotai H.'!$A$1:$AI$57</definedName>
    <definedName name="_xlnm.Print_Area" localSheetId="25">'16. mell. Napsugár'!$B$1:$AI$57</definedName>
    <definedName name="_xlnm.Print_Area" localSheetId="26">'17. mell. Sashalmi M.'!$A$1:$AI$57</definedName>
    <definedName name="_xlnm.Print_Area" localSheetId="27">'18. mell. Margaréta'!$A$1:$AI$57</definedName>
    <definedName name="_xlnm.Print_Area" localSheetId="28">'19.mell.Szentmihályi Játszókert'!$A$1:$AI$57</definedName>
    <definedName name="_xlnm.Print_Area" localSheetId="5">'2. mell.  '!$A$1:$Y$33</definedName>
    <definedName name="_xlnm.Print_Area" localSheetId="58">'2. sz tájékoztató tábla'!$A$1:$I$34</definedName>
    <definedName name="_xlnm.Print_Area" localSheetId="29">'20. mell. M. Fecskefészek'!$A$1:$AI$57</definedName>
    <definedName name="_xlnm.Print_Area" localSheetId="30">'21. mell. CMH'!$A$1:$AI$57</definedName>
    <definedName name="_xlnm.Print_Area" localSheetId="31">'22. mell. Bölcsőde'!$A$1:$AI$57</definedName>
    <definedName name="_xlnm.Print_Area" localSheetId="55">'22. melléklet 3. oldal'!$A$1:$C$12</definedName>
    <definedName name="_xlnm.Print_Area" localSheetId="54">'22.melléklet 2. oldal'!$A$1:$K$17</definedName>
    <definedName name="_xlnm.Print_Area" localSheetId="32">'23. mell. Terszoc.'!$A$1:$AI$57</definedName>
    <definedName name="_xlnm.Print_Area" localSheetId="33">'24. mell. Napraforgó'!$A$1:$AI$57</definedName>
    <definedName name="_xlnm.Print_Area" localSheetId="34">'25. mell. Kerületgazda'!$A$1:$AI$57</definedName>
    <definedName name="_xlnm.Print_Area" localSheetId="35">'26. mell. Őrszolgálat'!$A$1:$AI$57</definedName>
    <definedName name="_xlnm.Print_Area" localSheetId="36">'27. mell. KHEK'!$A$1:$AI$57</definedName>
    <definedName name="_xlnm.Print_Area" localSheetId="38">'28. mell. KIO'!$A$1:$AI$57</definedName>
    <definedName name="_xlnm.Print_Area" localSheetId="39">'29. mell. Önk.- Bér'!$A$1:$T$77</definedName>
    <definedName name="_xlnm.Print_Area" localSheetId="6">'3. mell.  '!$A$1:$Y$34</definedName>
    <definedName name="_xlnm.Print_Area" localSheetId="59">'3. sz. tájékoztató tábla'!$B$2:$E$61</definedName>
    <definedName name="_xlnm.Print_Area" localSheetId="40">'30. mell. ÖNK.-Dologi'!$A$1:$T$79</definedName>
    <definedName name="_xlnm.Print_Area" localSheetId="42">'31.mell. Működési kiadások'!$A$1:$T$86</definedName>
    <definedName name="_xlnm.Print_Area" localSheetId="43">'32. mell. Ellátottak'!$A$1:$T$30</definedName>
    <definedName name="_xlnm.Print_Area" localSheetId="44">'33. mell. E.műk.c.kiad.'!$A$1:$T$102</definedName>
    <definedName name="_xlnm.Print_Area" localSheetId="45">'34-35.mell.Ber.,Felúj.'!$A$1:$T$172</definedName>
    <definedName name="_xlnm.Print_Area" localSheetId="46">'36. mell. E.felh.c.kiad.'!$A$1:$T$57</definedName>
    <definedName name="_xlnm.Print_Area" localSheetId="48">'37. mell.költségvetésben'!$A$1:$F$99</definedName>
    <definedName name="_xlnm.Print_Area" localSheetId="49">'37.mell_EU_beszámolóban'!$A$1:$M$89</definedName>
    <definedName name="_xlnm.Print_Area" localSheetId="50">'38.mell.maradvany_1_oldal'!$A$1:$Q$29</definedName>
    <definedName name="_xlnm.Print_Area" localSheetId="51">'38.mell.maradvany_2_oldal'!$A$1:$AR$26</definedName>
    <definedName name="_xlnm.Print_Area" localSheetId="56">'38-39-40.mellékletek  '!$A$1:$F$41</definedName>
    <definedName name="_xlnm.Print_Area" localSheetId="7">'4.mell.ÖSSZEVONT (Bontas)'!$A$1:$AA$151</definedName>
    <definedName name="_xlnm.Print_Area" localSheetId="60">'4.sz. tájékoztató tábla1.'!$A$1:$O$28</definedName>
    <definedName name="_xlnm.Print_Area" localSheetId="61">'4.sz. tájékoztató tábla2.'!$A$1:$O$509</definedName>
    <definedName name="_xlnm.Print_Area" localSheetId="8">'5. mell.Önk-i mérleg'!$A$1:$N$157</definedName>
    <definedName name="_xlnm.Print_Area" localSheetId="62">'5. sz. tájékoztató tábla'!$A$1:$H$40</definedName>
    <definedName name="_xlnm.Print_Area" localSheetId="9">'6. mell (Bontás)'!$A$1:$AF$152</definedName>
    <definedName name="_xlnm.Print_Area" localSheetId="10">'7. mell. Önk.összes.bevétele'!$A$1:$T$323</definedName>
    <definedName name="_xlnm.Print_Area" localSheetId="15">'8. mell. Intézmények összesen'!$A$1:$AI$57</definedName>
    <definedName name="_xlnm.Print_Area" localSheetId="16">'9. mell. PMH'!$A$1:$AJ$57</definedName>
    <definedName name="_xlnm.Print_Area" localSheetId="17">'Bev. PMH-nem része a rend-nek'!$B$1:$P$25</definedName>
    <definedName name="_xlnm.Print_Area" localSheetId="53">'Eloterj22.mell.-Faalapu_tam_ok'!$A$1:$F$13</definedName>
    <definedName name="_xlnm.Print_Area" localSheetId="52">'Előterj20.mell.-Egyeztető'!$A$1:$G$31</definedName>
    <definedName name="_xlnm.Print_Area" localSheetId="11">'Fin.bev-nem része a rend-nek'!$A$1:$Q$51</definedName>
    <definedName name="_xlnm.Print_Area" localSheetId="47">'Fin.kiad.-nem része a rend-nek'!$A$1:$R$43</definedName>
    <definedName name="_xlnm.Print_Area" localSheetId="37">'Int. fin.-Ez'!$A$1:$J$37</definedName>
    <definedName name="_xlnm.Print_Area" localSheetId="12">'int.vált.-előterj1.mell'!$A$1:$O$21</definedName>
    <definedName name="_xlnm.Print_Area" localSheetId="14">'int-i atcsop-ok eloterj.4.mell'!$A$1:$F$42</definedName>
    <definedName name="_xlnm.Print_Area" localSheetId="13">'intnemváltoztató-előterj2.mell '!$A$1:$W$21</definedName>
    <definedName name="_xlnm.Print_Area" localSheetId="1">'nem változtató bevétel'!$A$1:$H$20</definedName>
    <definedName name="_xlnm.Print_Area" localSheetId="2">'nem változtató kiadás'!$A$1:$H$162</definedName>
    <definedName name="_xlnm.Print_Area" localSheetId="41">'ÖNK.-Dologi (alábontás)nemrésze'!$A$1:$Q$134</definedName>
    <definedName name="_xlnm.Print_Area" localSheetId="20">'PMH Dologi(alábontás)-nem része'!$A$1:$Q$136</definedName>
    <definedName name="_xlnm.Print_Area" localSheetId="0">'Telek,lakás, egyéb ing.bev.terv'!$A$1:$E$51</definedName>
    <definedName name="_xlnm.Print_Area" localSheetId="3">változtató!$A$1:$H$145</definedName>
    <definedName name="pénzmaradvány" localSheetId="38">#REF!</definedName>
    <definedName name="pénzmaradvány" localSheetId="61">#REF!</definedName>
    <definedName name="pénzmaradvány" localSheetId="63">#REF!</definedName>
    <definedName name="pénzmaradvány" localSheetId="11">#REF!</definedName>
    <definedName name="pénzmaradvány" localSheetId="37">#REF!</definedName>
    <definedName name="pénzmaradvány">#REF!</definedName>
    <definedName name="q" localSheetId="38">#REF!</definedName>
    <definedName name="q">#REF!</definedName>
    <definedName name="qq" localSheetId="38">#REF!</definedName>
    <definedName name="qq">#REF!</definedName>
    <definedName name="qqq" localSheetId="38">#REF!</definedName>
    <definedName name="qqq">#REF!</definedName>
    <definedName name="qqqq" localSheetId="38">#REF!</definedName>
    <definedName name="qqqq">#REF!</definedName>
    <definedName name="qqqqqq" localSheetId="38">#REF!</definedName>
    <definedName name="qqqqqq">#REF!</definedName>
    <definedName name="qqqqqqq" localSheetId="38">#REF!</definedName>
    <definedName name="qqqqqqq">#REF!</definedName>
    <definedName name="qqqqqqqq" localSheetId="38">#REF!</definedName>
    <definedName name="qqqqqqqq">#REF!</definedName>
    <definedName name="qqqqqqqqq" localSheetId="38">#REF!</definedName>
    <definedName name="qqqqqqqqq">#REF!</definedName>
    <definedName name="qqqqqqqqqq" localSheetId="38">#REF!</definedName>
    <definedName name="qqqqqqqqqq">#REF!</definedName>
    <definedName name="rr" localSheetId="38">#REF!</definedName>
    <definedName name="rr">#REF!</definedName>
    <definedName name="rrr" localSheetId="38">#REF!</definedName>
    <definedName name="rrr">#REF!</definedName>
    <definedName name="rrrrr" localSheetId="38">#REF!</definedName>
    <definedName name="rrrrr">#REF!</definedName>
    <definedName name="rrrrrr" localSheetId="38">#REF!</definedName>
    <definedName name="rrrrrr">#REF!</definedName>
    <definedName name="rrrrrrr" localSheetId="38">#REF!</definedName>
    <definedName name="rrrrrrr">#REF!</definedName>
    <definedName name="sd" localSheetId="38">#REF!</definedName>
    <definedName name="sd" localSheetId="61">#REF!</definedName>
    <definedName name="sd" localSheetId="63">#REF!</definedName>
    <definedName name="sd" localSheetId="37">#REF!</definedName>
    <definedName name="sd">#REF!</definedName>
    <definedName name="sdfv" localSheetId="38">#REF!</definedName>
    <definedName name="sdfv" localSheetId="61">#REF!</definedName>
    <definedName name="sdfv" localSheetId="63">#REF!</definedName>
    <definedName name="sdfv" localSheetId="37">#REF!</definedName>
    <definedName name="sdfv">#REF!</definedName>
    <definedName name="sf" localSheetId="38">#REF!</definedName>
    <definedName name="sf" localSheetId="61">#REF!</definedName>
    <definedName name="sf" localSheetId="63">#REF!</definedName>
    <definedName name="sf" localSheetId="37">#REF!</definedName>
    <definedName name="sf">#REF!</definedName>
    <definedName name="sfdv" localSheetId="38">#REF!</definedName>
    <definedName name="sfdv" localSheetId="61">#REF!</definedName>
    <definedName name="sfdv" localSheetId="63">#REF!</definedName>
    <definedName name="sfdv" localSheetId="37">#REF!</definedName>
    <definedName name="sfdv">#REF!</definedName>
    <definedName name="sfg" localSheetId="38">#REF!</definedName>
    <definedName name="sfg" localSheetId="61">#REF!</definedName>
    <definedName name="sfg" localSheetId="63">#REF!</definedName>
    <definedName name="sfg" localSheetId="37">#REF!</definedName>
    <definedName name="sfg">#REF!</definedName>
    <definedName name="sfvs" localSheetId="38">#REF!</definedName>
    <definedName name="sfvs" localSheetId="61">#REF!</definedName>
    <definedName name="sfvs" localSheetId="63">#REF!</definedName>
    <definedName name="sfvs" localSheetId="37">#REF!</definedName>
    <definedName name="sfvs">#REF!</definedName>
    <definedName name="sfvsd">NA()</definedName>
    <definedName name="ssdfv" localSheetId="38">#REF!</definedName>
    <definedName name="ssdfv" localSheetId="61">#REF!</definedName>
    <definedName name="ssdfv" localSheetId="63">#REF!</definedName>
    <definedName name="ssdfv" localSheetId="11">#REF!</definedName>
    <definedName name="ssdfv" localSheetId="37">#REF!</definedName>
    <definedName name="ssdfv">#REF!</definedName>
    <definedName name="svffe" localSheetId="38">#REF!</definedName>
    <definedName name="svffe" localSheetId="61">#REF!</definedName>
    <definedName name="svffe" localSheetId="63">#REF!</definedName>
    <definedName name="svffe" localSheetId="37">#REF!</definedName>
    <definedName name="svffe">#REF!</definedName>
    <definedName name="svv" localSheetId="38">#REF!</definedName>
    <definedName name="svv" localSheetId="61">#REF!</definedName>
    <definedName name="svv" localSheetId="63">#REF!</definedName>
    <definedName name="svv" localSheetId="37">#REF!</definedName>
    <definedName name="svv">#REF!</definedName>
    <definedName name="szakf_" localSheetId="38">#REF!</definedName>
    <definedName name="szakf_" localSheetId="61">#REF!</definedName>
    <definedName name="szakf_" localSheetId="63">#REF!</definedName>
    <definedName name="szakf_" localSheetId="37">#REF!</definedName>
    <definedName name="szakf_" localSheetId="14">#REF!</definedName>
    <definedName name="szakf_">#REF!</definedName>
    <definedName name="tk" localSheetId="38">#REF!</definedName>
    <definedName name="tk" localSheetId="61">#REF!</definedName>
    <definedName name="tk" localSheetId="63">#REF!</definedName>
    <definedName name="tk" localSheetId="37">#REF!</definedName>
    <definedName name="tk">#REF!</definedName>
    <definedName name="v" localSheetId="38">#REF!</definedName>
    <definedName name="v">#REF!</definedName>
    <definedName name="vdf">NA()</definedName>
    <definedName name="vv" localSheetId="38">#REF!</definedName>
    <definedName name="vv">#REF!</definedName>
    <definedName name="vvv" localSheetId="38">#REF!</definedName>
    <definedName name="vvv">#REF!</definedName>
    <definedName name="vvvv" localSheetId="38">#REF!</definedName>
    <definedName name="vvvv">#REF!</definedName>
    <definedName name="vvvvv" localSheetId="38">#REF!</definedName>
    <definedName name="vvvvv">#REF!</definedName>
    <definedName name="vvvvvv" localSheetId="38">#REF!</definedName>
    <definedName name="vvvvvv">#REF!</definedName>
    <definedName name="w" localSheetId="38">#REF!</definedName>
    <definedName name="w">#REF!</definedName>
    <definedName name="we" localSheetId="38">#REF!</definedName>
    <definedName name="we" localSheetId="61">#REF!</definedName>
    <definedName name="we" localSheetId="63">#REF!</definedName>
    <definedName name="we" localSheetId="11">#REF!</definedName>
    <definedName name="we" localSheetId="37">#REF!</definedName>
    <definedName name="we">#REF!</definedName>
    <definedName name="ww" localSheetId="38">#REF!</definedName>
    <definedName name="ww">#REF!</definedName>
    <definedName name="www" localSheetId="38">#REF!</definedName>
    <definedName name="www">#REF!</definedName>
    <definedName name="wwww" localSheetId="38">#REF!</definedName>
    <definedName name="wwww">#REF!</definedName>
    <definedName name="wwwww" localSheetId="38">#REF!</definedName>
    <definedName name="wwwww">#REF!</definedName>
    <definedName name="wwwwww" localSheetId="38">#REF!</definedName>
    <definedName name="wwwwww">#REF!</definedName>
    <definedName name="wwwwwww" localSheetId="38">#REF!</definedName>
    <definedName name="wwwwwww">#REF!</definedName>
    <definedName name="wwwwwwww" localSheetId="38">#REF!</definedName>
    <definedName name="wwwwwwww">#REF!</definedName>
    <definedName name="wwwwwwwww" localSheetId="38">#REF!</definedName>
    <definedName name="wwwwwwwww">#REF!</definedName>
    <definedName name="wwwwwwwwww" localSheetId="38">#REF!</definedName>
    <definedName name="wwwwwwwwww">#REF!</definedName>
    <definedName name="xv" localSheetId="38">#REF!</definedName>
    <definedName name="xv" localSheetId="61">#REF!</definedName>
    <definedName name="xv" localSheetId="63">#REF!</definedName>
    <definedName name="xv" localSheetId="37">#REF!</definedName>
    <definedName name="xv">#REF!</definedName>
  </definedNames>
  <calcPr calcId="191029"/>
</workbook>
</file>

<file path=xl/calcChain.xml><?xml version="1.0" encoding="utf-8"?>
<calcChain xmlns="http://schemas.openxmlformats.org/spreadsheetml/2006/main">
  <c r="Q32" i="41" l="1"/>
  <c r="P60" i="40"/>
  <c r="P59" i="40"/>
  <c r="Q11" i="45"/>
  <c r="Q9" i="45"/>
  <c r="Q45" i="40"/>
  <c r="O72" i="21"/>
  <c r="P72" i="21"/>
  <c r="R72" i="21"/>
  <c r="S72" i="21"/>
  <c r="L72" i="21"/>
  <c r="M72" i="21"/>
  <c r="N72" i="21"/>
  <c r="V25" i="8"/>
  <c r="K31" i="8"/>
  <c r="K30" i="8"/>
  <c r="K24" i="8"/>
  <c r="K23" i="8"/>
  <c r="K22" i="8"/>
  <c r="K21" i="8"/>
  <c r="K20" i="8"/>
  <c r="K19" i="8"/>
  <c r="K18" i="8"/>
  <c r="K17" i="8"/>
  <c r="K16" i="8"/>
  <c r="K15" i="8"/>
  <c r="K12" i="8"/>
  <c r="K10" i="8"/>
  <c r="K9" i="8"/>
  <c r="K7" i="8"/>
  <c r="F8" i="70"/>
  <c r="F9" i="70"/>
  <c r="F10" i="70"/>
  <c r="F11" i="70"/>
  <c r="F12" i="70"/>
  <c r="F13" i="70"/>
  <c r="F14" i="70"/>
  <c r="F15" i="70"/>
  <c r="F16" i="70"/>
  <c r="F17" i="70"/>
  <c r="F18" i="70"/>
  <c r="F19" i="70"/>
  <c r="F20" i="70"/>
  <c r="F21" i="70"/>
  <c r="F22" i="70"/>
  <c r="F23" i="70"/>
  <c r="F24" i="70"/>
  <c r="F25" i="70"/>
  <c r="F26" i="70"/>
  <c r="E38" i="68"/>
  <c r="N39" i="68"/>
  <c r="O39" i="68"/>
  <c r="N40" i="68"/>
  <c r="O40" i="68"/>
  <c r="N41" i="68"/>
  <c r="O41" i="68"/>
  <c r="N42" i="68"/>
  <c r="O42" i="68"/>
  <c r="N43" i="68"/>
  <c r="O43" i="68"/>
  <c r="N44" i="68"/>
  <c r="O44" i="68"/>
  <c r="N45" i="68"/>
  <c r="N46" i="68"/>
  <c r="O46" i="68"/>
  <c r="N47" i="68"/>
  <c r="O47" i="68"/>
  <c r="N48" i="68"/>
  <c r="O48" i="68"/>
  <c r="N49" i="68"/>
  <c r="O49" i="68"/>
  <c r="N50" i="68"/>
  <c r="O50" i="68"/>
  <c r="N51" i="68"/>
  <c r="O51" i="68"/>
  <c r="N52" i="68"/>
  <c r="O52" i="68"/>
  <c r="N53" i="68"/>
  <c r="O53" i="68"/>
  <c r="N54" i="68"/>
  <c r="O54" i="68"/>
  <c r="O38" i="68"/>
  <c r="N38" i="68"/>
  <c r="O80" i="68"/>
  <c r="N80" i="68"/>
  <c r="O75" i="68"/>
  <c r="N75" i="68"/>
  <c r="I75" i="68"/>
  <c r="E75" i="68"/>
  <c r="E80" i="68" s="1"/>
  <c r="K75" i="68"/>
  <c r="K80" i="68" s="1"/>
  <c r="J75" i="68"/>
  <c r="J80" i="68" s="1"/>
  <c r="G75" i="68"/>
  <c r="G80" i="68" s="1"/>
  <c r="I80" i="68"/>
  <c r="H80" i="68"/>
  <c r="F80" i="68"/>
  <c r="M79" i="68"/>
  <c r="L79" i="68"/>
  <c r="M78" i="68"/>
  <c r="L78" i="68"/>
  <c r="L77" i="68"/>
  <c r="C77" i="68"/>
  <c r="M77" i="68" s="1"/>
  <c r="B77" i="68"/>
  <c r="L76" i="68"/>
  <c r="C76" i="68"/>
  <c r="M76" i="68" s="1"/>
  <c r="B76" i="68"/>
  <c r="L75" i="68"/>
  <c r="D80" i="68"/>
  <c r="L74" i="68"/>
  <c r="C74" i="68"/>
  <c r="M74" i="68" s="1"/>
  <c r="B74" i="68"/>
  <c r="B80" i="68" s="1"/>
  <c r="K71" i="68"/>
  <c r="J71" i="68"/>
  <c r="I71" i="68"/>
  <c r="H71" i="68"/>
  <c r="G71" i="68"/>
  <c r="F71" i="68"/>
  <c r="E71" i="68"/>
  <c r="C71" i="68"/>
  <c r="M70" i="68"/>
  <c r="L70" i="68"/>
  <c r="M69" i="68"/>
  <c r="K69" i="68"/>
  <c r="L69" i="68" s="1"/>
  <c r="L68" i="68"/>
  <c r="C68" i="68"/>
  <c r="M68" i="68" s="1"/>
  <c r="B68" i="68"/>
  <c r="L67" i="68"/>
  <c r="C67" i="68"/>
  <c r="M67" i="68" s="1"/>
  <c r="B67" i="68"/>
  <c r="L66" i="68"/>
  <c r="L65" i="68"/>
  <c r="C65" i="68"/>
  <c r="M65" i="68" s="1"/>
  <c r="B65" i="68"/>
  <c r="M64" i="68"/>
  <c r="L64" i="68"/>
  <c r="D64" i="68"/>
  <c r="D71" i="68" s="1"/>
  <c r="E49" i="68"/>
  <c r="K49" i="68"/>
  <c r="J49" i="68"/>
  <c r="C49" i="68"/>
  <c r="C40" i="68"/>
  <c r="B40" i="68"/>
  <c r="D40" i="68" s="1"/>
  <c r="B41" i="68"/>
  <c r="C38" i="68"/>
  <c r="B38" i="68"/>
  <c r="D38" i="68" s="1"/>
  <c r="B49" i="68"/>
  <c r="D49" i="68" s="1"/>
  <c r="N23" i="68"/>
  <c r="N25" i="68"/>
  <c r="O25" i="68"/>
  <c r="F24" i="68"/>
  <c r="N24" i="68" s="1"/>
  <c r="F22" i="68"/>
  <c r="H22" i="68" s="1"/>
  <c r="C23" i="68"/>
  <c r="C24" i="68" s="1"/>
  <c r="G23" i="68"/>
  <c r="O23" i="68" s="1"/>
  <c r="G24" i="68"/>
  <c r="O24" i="68" s="1"/>
  <c r="I22" i="68"/>
  <c r="O22" i="68" s="1"/>
  <c r="N14" i="68"/>
  <c r="P79" i="40" l="1"/>
  <c r="L80" i="68"/>
  <c r="M66" i="68"/>
  <c r="M75" i="68"/>
  <c r="L71" i="68"/>
  <c r="M71" i="68" s="1"/>
  <c r="B71" i="68"/>
  <c r="C80" i="68"/>
  <c r="N22" i="68"/>
  <c r="N29" i="68" s="1"/>
  <c r="O29" i="68"/>
  <c r="M80" i="68" l="1"/>
  <c r="N28" i="68"/>
  <c r="F40" i="69" l="1"/>
  <c r="V26" i="69"/>
  <c r="V25" i="69"/>
  <c r="V24" i="69"/>
  <c r="V14" i="69"/>
  <c r="T26" i="69"/>
  <c r="T25" i="69"/>
  <c r="T24" i="69"/>
  <c r="T14" i="69"/>
  <c r="M37" i="69"/>
  <c r="M38" i="69"/>
  <c r="M36" i="69"/>
  <c r="I36" i="37"/>
  <c r="K16" i="73"/>
  <c r="G27" i="69"/>
  <c r="K27" i="69"/>
  <c r="G24" i="69"/>
  <c r="K24" i="69"/>
  <c r="G11" i="69"/>
  <c r="K11" i="69"/>
  <c r="M39" i="69" l="1"/>
  <c r="K25" i="69" s="1"/>
  <c r="G25" i="69" s="1"/>
  <c r="M34" i="69" s="1"/>
  <c r="G26" i="69"/>
  <c r="G23" i="69"/>
  <c r="G22" i="69"/>
  <c r="G21" i="69"/>
  <c r="G20" i="69"/>
  <c r="G19" i="69"/>
  <c r="G18" i="69"/>
  <c r="G17" i="69"/>
  <c r="G16" i="69"/>
  <c r="G15" i="69"/>
  <c r="G14" i="69"/>
  <c r="G13" i="69"/>
  <c r="G12" i="69"/>
  <c r="G10" i="69"/>
  <c r="P31" i="69"/>
  <c r="M27" i="69"/>
  <c r="L27" i="69"/>
  <c r="J27" i="69"/>
  <c r="I27" i="69"/>
  <c r="F27" i="69"/>
  <c r="E27" i="69"/>
  <c r="D27" i="69"/>
  <c r="M26" i="69"/>
  <c r="L26" i="69"/>
  <c r="J26" i="69"/>
  <c r="I26" i="69"/>
  <c r="F26" i="69"/>
  <c r="E26" i="69"/>
  <c r="D26" i="69"/>
  <c r="M25" i="69"/>
  <c r="L25" i="69"/>
  <c r="J25" i="69"/>
  <c r="I25" i="69"/>
  <c r="F25" i="69"/>
  <c r="E25" i="69"/>
  <c r="D25" i="69"/>
  <c r="M24" i="69"/>
  <c r="L24" i="69"/>
  <c r="J24" i="69"/>
  <c r="I24" i="69"/>
  <c r="F24" i="69"/>
  <c r="E24" i="69"/>
  <c r="D24" i="69"/>
  <c r="M23" i="69"/>
  <c r="L23" i="69"/>
  <c r="J23" i="69"/>
  <c r="I23" i="69"/>
  <c r="F23" i="69"/>
  <c r="E23" i="69"/>
  <c r="D23" i="69"/>
  <c r="M22" i="69"/>
  <c r="L22" i="69"/>
  <c r="J22" i="69"/>
  <c r="I22" i="69"/>
  <c r="F22" i="69"/>
  <c r="E22" i="69"/>
  <c r="D22" i="69"/>
  <c r="M21" i="69"/>
  <c r="L21" i="69"/>
  <c r="J21" i="69"/>
  <c r="I21" i="69"/>
  <c r="F21" i="69"/>
  <c r="E21" i="69"/>
  <c r="D21" i="69"/>
  <c r="M20" i="69"/>
  <c r="L20" i="69"/>
  <c r="J20" i="69"/>
  <c r="I20" i="69"/>
  <c r="F20" i="69"/>
  <c r="E20" i="69"/>
  <c r="D20" i="69"/>
  <c r="M19" i="69"/>
  <c r="L19" i="69"/>
  <c r="J19" i="69"/>
  <c r="I19" i="69"/>
  <c r="F19" i="69"/>
  <c r="E19" i="69"/>
  <c r="D19" i="69"/>
  <c r="M18" i="69"/>
  <c r="L18" i="69"/>
  <c r="J18" i="69"/>
  <c r="I18" i="69"/>
  <c r="F18" i="69"/>
  <c r="E18" i="69"/>
  <c r="D18" i="69"/>
  <c r="M17" i="69"/>
  <c r="L17" i="69"/>
  <c r="J17" i="69"/>
  <c r="I17" i="69"/>
  <c r="F17" i="69"/>
  <c r="E17" i="69"/>
  <c r="D17" i="69"/>
  <c r="M16" i="69"/>
  <c r="L16" i="69"/>
  <c r="J16" i="69"/>
  <c r="I16" i="69"/>
  <c r="F16" i="69"/>
  <c r="E16" i="69"/>
  <c r="D16" i="69"/>
  <c r="M15" i="69"/>
  <c r="L15" i="69"/>
  <c r="J15" i="69"/>
  <c r="I15" i="69"/>
  <c r="F15" i="69"/>
  <c r="E15" i="69"/>
  <c r="D15" i="69"/>
  <c r="M14" i="69"/>
  <c r="L14" i="69"/>
  <c r="J14" i="69"/>
  <c r="I14" i="69"/>
  <c r="F14" i="69"/>
  <c r="E14" i="69"/>
  <c r="D14" i="69"/>
  <c r="M13" i="69"/>
  <c r="L13" i="69"/>
  <c r="J13" i="69"/>
  <c r="I13" i="69"/>
  <c r="F13" i="69"/>
  <c r="E13" i="69"/>
  <c r="D13" i="69"/>
  <c r="D12" i="69"/>
  <c r="M12" i="69"/>
  <c r="L12" i="69"/>
  <c r="J12" i="69"/>
  <c r="I12" i="69"/>
  <c r="F12" i="69"/>
  <c r="E12" i="69"/>
  <c r="D11" i="69"/>
  <c r="M11" i="69"/>
  <c r="L11" i="69"/>
  <c r="J11" i="69"/>
  <c r="I11" i="69"/>
  <c r="F11" i="69"/>
  <c r="E11" i="69"/>
  <c r="D10" i="69"/>
  <c r="M10" i="69"/>
  <c r="L10" i="69"/>
  <c r="J10" i="69"/>
  <c r="I10" i="69"/>
  <c r="F10" i="69"/>
  <c r="E10" i="69"/>
  <c r="D9" i="69"/>
  <c r="M9" i="69"/>
  <c r="L9" i="69"/>
  <c r="J9" i="69"/>
  <c r="I9" i="69"/>
  <c r="F9" i="69"/>
  <c r="E9" i="69"/>
  <c r="P27" i="69"/>
  <c r="O27" i="69"/>
  <c r="P26" i="69"/>
  <c r="O26" i="69"/>
  <c r="P25" i="69"/>
  <c r="O25" i="69"/>
  <c r="P24" i="69"/>
  <c r="O24" i="69"/>
  <c r="P23" i="69"/>
  <c r="O23" i="69"/>
  <c r="P22" i="69"/>
  <c r="O22" i="69"/>
  <c r="P21" i="69"/>
  <c r="O21" i="69"/>
  <c r="P20" i="69"/>
  <c r="O20" i="69"/>
  <c r="P19" i="69"/>
  <c r="O19" i="69"/>
  <c r="P18" i="69"/>
  <c r="O18" i="69"/>
  <c r="P17" i="69"/>
  <c r="O17" i="69"/>
  <c r="P16" i="69"/>
  <c r="O16" i="69"/>
  <c r="P15" i="69"/>
  <c r="O15" i="69"/>
  <c r="P14" i="69"/>
  <c r="O14" i="69"/>
  <c r="P13" i="69"/>
  <c r="O13" i="69"/>
  <c r="P12" i="69"/>
  <c r="O12" i="69"/>
  <c r="P11" i="69"/>
  <c r="O11" i="69"/>
  <c r="P10" i="69"/>
  <c r="D27" i="70"/>
  <c r="D29" i="70" s="1"/>
  <c r="AG161" i="46"/>
  <c r="AG160" i="46"/>
  <c r="N155" i="46"/>
  <c r="H27" i="70"/>
  <c r="J27" i="70"/>
  <c r="L27" i="70"/>
  <c r="N27" i="70"/>
  <c r="O27" i="70"/>
  <c r="P27" i="70"/>
  <c r="R27" i="70"/>
  <c r="R29" i="70" s="1"/>
  <c r="S27" i="70"/>
  <c r="T27" i="70"/>
  <c r="V27" i="70"/>
  <c r="W27" i="70"/>
  <c r="X27" i="70"/>
  <c r="Y27" i="70"/>
  <c r="Z27" i="70"/>
  <c r="AA27" i="70"/>
  <c r="AA29" i="70" s="1"/>
  <c r="AB27" i="70"/>
  <c r="AB29" i="70" s="1"/>
  <c r="AD27" i="70"/>
  <c r="AF27" i="70"/>
  <c r="AF29" i="70" s="1"/>
  <c r="AH27" i="70"/>
  <c r="AH29" i="70" s="1"/>
  <c r="AI27" i="70"/>
  <c r="AJ27" i="70"/>
  <c r="AL27" i="70"/>
  <c r="AL29" i="70" s="1"/>
  <c r="AM27" i="70"/>
  <c r="AN27" i="70"/>
  <c r="AP27" i="70"/>
  <c r="AR27" i="70"/>
  <c r="AR28" i="70"/>
  <c r="AP28" i="70"/>
  <c r="AN28" i="70"/>
  <c r="AP29" i="70"/>
  <c r="AL28" i="70"/>
  <c r="AJ28" i="70"/>
  <c r="AH28" i="70"/>
  <c r="AF28" i="70"/>
  <c r="AD28" i="70"/>
  <c r="AB28" i="70"/>
  <c r="Z28" i="70"/>
  <c r="X28" i="70"/>
  <c r="V28" i="70"/>
  <c r="T28" i="70"/>
  <c r="R28" i="70"/>
  <c r="P28" i="70"/>
  <c r="N28" i="70"/>
  <c r="L28" i="70"/>
  <c r="P23" i="71"/>
  <c r="P20" i="71"/>
  <c r="F20" i="71"/>
  <c r="L10" i="71" s="1"/>
  <c r="F19" i="71"/>
  <c r="E20" i="71"/>
  <c r="K10" i="71" s="1"/>
  <c r="E19" i="71"/>
  <c r="K9" i="71" s="1"/>
  <c r="D20" i="71"/>
  <c r="D17" i="71"/>
  <c r="J7" i="71" s="1"/>
  <c r="C20" i="71"/>
  <c r="C17" i="71"/>
  <c r="I7" i="71" s="1"/>
  <c r="F29" i="71"/>
  <c r="E11" i="71"/>
  <c r="D11" i="71"/>
  <c r="C11" i="71"/>
  <c r="I10" i="71"/>
  <c r="G10" i="71"/>
  <c r="E8" i="71"/>
  <c r="D8" i="71"/>
  <c r="C8" i="71"/>
  <c r="L7" i="71"/>
  <c r="K7" i="71"/>
  <c r="G7" i="71"/>
  <c r="F8" i="71"/>
  <c r="AN29" i="70"/>
  <c r="AQ26" i="70"/>
  <c r="AO26" i="70"/>
  <c r="AM26" i="70"/>
  <c r="AK26" i="70"/>
  <c r="AI26" i="70"/>
  <c r="AG26" i="70"/>
  <c r="AE26" i="70"/>
  <c r="AC26" i="70"/>
  <c r="AA26" i="70"/>
  <c r="Y26" i="70"/>
  <c r="W26" i="70"/>
  <c r="U26" i="70"/>
  <c r="S26" i="70"/>
  <c r="Q26" i="70"/>
  <c r="O26" i="70"/>
  <c r="M26" i="70"/>
  <c r="K26" i="70"/>
  <c r="I26" i="70"/>
  <c r="G26" i="70"/>
  <c r="C26" i="70"/>
  <c r="AQ25" i="70"/>
  <c r="AO25" i="70"/>
  <c r="AM25" i="70"/>
  <c r="AK25" i="70"/>
  <c r="AI25" i="70"/>
  <c r="AG25" i="70"/>
  <c r="AE25" i="70"/>
  <c r="AC25" i="70"/>
  <c r="AA25" i="70"/>
  <c r="Y25" i="70"/>
  <c r="W25" i="70"/>
  <c r="U25" i="70"/>
  <c r="S25" i="70"/>
  <c r="Q25" i="70"/>
  <c r="O25" i="70"/>
  <c r="M25" i="70"/>
  <c r="K25" i="70"/>
  <c r="I25" i="70"/>
  <c r="G25" i="70"/>
  <c r="C25" i="70"/>
  <c r="AQ24" i="70"/>
  <c r="AO24" i="70"/>
  <c r="AM24" i="70"/>
  <c r="AK24" i="70"/>
  <c r="AI24" i="70"/>
  <c r="AG24" i="70"/>
  <c r="AE24" i="70"/>
  <c r="AC24" i="70"/>
  <c r="AA24" i="70"/>
  <c r="Y24" i="70"/>
  <c r="W24" i="70"/>
  <c r="U24" i="70"/>
  <c r="S24" i="70"/>
  <c r="Q24" i="70"/>
  <c r="O24" i="70"/>
  <c r="M24" i="70"/>
  <c r="K24" i="70"/>
  <c r="I24" i="70"/>
  <c r="G24" i="70"/>
  <c r="C24" i="70"/>
  <c r="AQ23" i="70"/>
  <c r="AO23" i="70"/>
  <c r="AM23" i="70"/>
  <c r="AK23" i="70"/>
  <c r="AI23" i="70"/>
  <c r="AG23" i="70"/>
  <c r="AE23" i="70"/>
  <c r="AC23" i="70"/>
  <c r="AA23" i="70"/>
  <c r="Y23" i="70"/>
  <c r="W23" i="70"/>
  <c r="U23" i="70"/>
  <c r="S23" i="70"/>
  <c r="Q23" i="70"/>
  <c r="O23" i="70"/>
  <c r="M23" i="70"/>
  <c r="K23" i="70"/>
  <c r="I23" i="70"/>
  <c r="G23" i="70"/>
  <c r="C23" i="70"/>
  <c r="AQ22" i="70"/>
  <c r="AO22" i="70"/>
  <c r="AM22" i="70"/>
  <c r="AK22" i="70"/>
  <c r="AI22" i="70"/>
  <c r="AG22" i="70"/>
  <c r="AE22" i="70"/>
  <c r="AC22" i="70"/>
  <c r="AA22" i="70"/>
  <c r="Y22" i="70"/>
  <c r="W22" i="70"/>
  <c r="U22" i="70"/>
  <c r="S22" i="70"/>
  <c r="Q22" i="70"/>
  <c r="O22" i="70"/>
  <c r="M22" i="70"/>
  <c r="K22" i="70"/>
  <c r="I22" i="70"/>
  <c r="G22" i="70"/>
  <c r="C22" i="70"/>
  <c r="AQ21" i="70"/>
  <c r="AO21" i="70"/>
  <c r="AM21" i="70"/>
  <c r="AK21" i="70"/>
  <c r="AK27" i="70" s="1"/>
  <c r="AK29" i="70" s="1"/>
  <c r="AI21" i="70"/>
  <c r="AG21" i="70"/>
  <c r="AE21" i="70"/>
  <c r="AC21" i="70"/>
  <c r="AA21" i="70"/>
  <c r="Y21" i="70"/>
  <c r="W21" i="70"/>
  <c r="U21" i="70"/>
  <c r="S21" i="70"/>
  <c r="Q21" i="70"/>
  <c r="O21" i="70"/>
  <c r="M21" i="70"/>
  <c r="K21" i="70"/>
  <c r="I21" i="70"/>
  <c r="G21" i="70"/>
  <c r="C21" i="70"/>
  <c r="AQ20" i="70"/>
  <c r="AO20" i="70"/>
  <c r="AM20" i="70"/>
  <c r="AK20" i="70"/>
  <c r="AI20" i="70"/>
  <c r="AG20" i="70"/>
  <c r="AE20" i="70"/>
  <c r="AC20" i="70"/>
  <c r="AA20" i="70"/>
  <c r="Y20" i="70"/>
  <c r="W20" i="70"/>
  <c r="U20" i="70"/>
  <c r="S20" i="70"/>
  <c r="Q20" i="70"/>
  <c r="O20" i="70"/>
  <c r="M20" i="70"/>
  <c r="K20" i="70"/>
  <c r="I20" i="70"/>
  <c r="G20" i="70"/>
  <c r="C20" i="70"/>
  <c r="AQ19" i="70"/>
  <c r="AO19" i="70"/>
  <c r="AM19" i="70"/>
  <c r="AK19" i="70"/>
  <c r="AI19" i="70"/>
  <c r="AG19" i="70"/>
  <c r="AE19" i="70"/>
  <c r="AC19" i="70"/>
  <c r="AA19" i="70"/>
  <c r="Y19" i="70"/>
  <c r="W19" i="70"/>
  <c r="U19" i="70"/>
  <c r="S19" i="70"/>
  <c r="Q19" i="70"/>
  <c r="O19" i="70"/>
  <c r="M19" i="70"/>
  <c r="K19" i="70"/>
  <c r="I19" i="70"/>
  <c r="G19" i="70"/>
  <c r="C19" i="70"/>
  <c r="AQ18" i="70"/>
  <c r="AO18" i="70"/>
  <c r="AM18" i="70"/>
  <c r="AK18" i="70"/>
  <c r="AI18" i="70"/>
  <c r="AG18" i="70"/>
  <c r="AE18" i="70"/>
  <c r="AC18" i="70"/>
  <c r="AA18" i="70"/>
  <c r="Y18" i="70"/>
  <c r="W18" i="70"/>
  <c r="U18" i="70"/>
  <c r="S18" i="70"/>
  <c r="Q18" i="70"/>
  <c r="O18" i="70"/>
  <c r="M18" i="70"/>
  <c r="K18" i="70"/>
  <c r="I18" i="70"/>
  <c r="G18" i="70"/>
  <c r="C18" i="70"/>
  <c r="AQ17" i="70"/>
  <c r="AO17" i="70"/>
  <c r="AM17" i="70"/>
  <c r="AK17" i="70"/>
  <c r="AI17" i="70"/>
  <c r="AG17" i="70"/>
  <c r="AE17" i="70"/>
  <c r="AC17" i="70"/>
  <c r="AA17" i="70"/>
  <c r="Y17" i="70"/>
  <c r="W17" i="70"/>
  <c r="U17" i="70"/>
  <c r="S17" i="70"/>
  <c r="Q17" i="70"/>
  <c r="O17" i="70"/>
  <c r="M17" i="70"/>
  <c r="K17" i="70"/>
  <c r="I17" i="70"/>
  <c r="G17" i="70"/>
  <c r="C17" i="70"/>
  <c r="AQ16" i="70"/>
  <c r="AO16" i="70"/>
  <c r="AM16" i="70"/>
  <c r="AK16" i="70"/>
  <c r="AI16" i="70"/>
  <c r="AG16" i="70"/>
  <c r="AE16" i="70"/>
  <c r="AC16" i="70"/>
  <c r="AA16" i="70"/>
  <c r="Y16" i="70"/>
  <c r="W16" i="70"/>
  <c r="U16" i="70"/>
  <c r="S16" i="70"/>
  <c r="Q16" i="70"/>
  <c r="O16" i="70"/>
  <c r="M16" i="70"/>
  <c r="K16" i="70"/>
  <c r="I16" i="70"/>
  <c r="G16" i="70"/>
  <c r="C16" i="70"/>
  <c r="AQ15" i="70"/>
  <c r="AO15" i="70"/>
  <c r="AM15" i="70"/>
  <c r="AK15" i="70"/>
  <c r="AI15" i="70"/>
  <c r="AG15" i="70"/>
  <c r="AE15" i="70"/>
  <c r="AC15" i="70"/>
  <c r="AA15" i="70"/>
  <c r="Y15" i="70"/>
  <c r="W15" i="70"/>
  <c r="U15" i="70"/>
  <c r="S15" i="70"/>
  <c r="Q15" i="70"/>
  <c r="O15" i="70"/>
  <c r="M15" i="70"/>
  <c r="K15" i="70"/>
  <c r="I15" i="70"/>
  <c r="G15" i="70"/>
  <c r="C15" i="70"/>
  <c r="AQ14" i="70"/>
  <c r="AQ27" i="70" s="1"/>
  <c r="AO14" i="70"/>
  <c r="AO27" i="70" s="1"/>
  <c r="AO29" i="70" s="1"/>
  <c r="AM14" i="70"/>
  <c r="AM29" i="70" s="1"/>
  <c r="AK14" i="70"/>
  <c r="AI14" i="70"/>
  <c r="AG14" i="70"/>
  <c r="AG27" i="70" s="1"/>
  <c r="AE14" i="70"/>
  <c r="AC14" i="70"/>
  <c r="AA14" i="70"/>
  <c r="Y14" i="70"/>
  <c r="Y29" i="70" s="1"/>
  <c r="W14" i="70"/>
  <c r="W29" i="70" s="1"/>
  <c r="U14" i="70"/>
  <c r="U27" i="70" s="1"/>
  <c r="S14" i="70"/>
  <c r="Q14" i="70"/>
  <c r="Q27" i="70" s="1"/>
  <c r="O14" i="70"/>
  <c r="O29" i="70" s="1"/>
  <c r="M14" i="70"/>
  <c r="M27" i="70" s="1"/>
  <c r="K14" i="70"/>
  <c r="K27" i="70" s="1"/>
  <c r="I14" i="70"/>
  <c r="G14" i="70"/>
  <c r="AQ13" i="70"/>
  <c r="AO13" i="70"/>
  <c r="AM13" i="70"/>
  <c r="AK13" i="70"/>
  <c r="AI13" i="70"/>
  <c r="AG13" i="70"/>
  <c r="AE13" i="70"/>
  <c r="AC13" i="70"/>
  <c r="AA13" i="70"/>
  <c r="Y13" i="70"/>
  <c r="W13" i="70"/>
  <c r="U13" i="70"/>
  <c r="S13" i="70"/>
  <c r="Q13" i="70"/>
  <c r="O13" i="70"/>
  <c r="M13" i="70"/>
  <c r="K13" i="70"/>
  <c r="I13" i="70"/>
  <c r="G13" i="70"/>
  <c r="C13" i="70"/>
  <c r="AQ12" i="70"/>
  <c r="AO12" i="70"/>
  <c r="AM12" i="70"/>
  <c r="AK12" i="70"/>
  <c r="AI12" i="70"/>
  <c r="AG12" i="70"/>
  <c r="AE12" i="70"/>
  <c r="AC12" i="70"/>
  <c r="AA12" i="70"/>
  <c r="Y12" i="70"/>
  <c r="W12" i="70"/>
  <c r="U12" i="70"/>
  <c r="S12" i="70"/>
  <c r="Q12" i="70"/>
  <c r="O12" i="70"/>
  <c r="M12" i="70"/>
  <c r="K12" i="70"/>
  <c r="I12" i="70"/>
  <c r="G12" i="70"/>
  <c r="C12" i="70"/>
  <c r="AQ11" i="70"/>
  <c r="AO11" i="70"/>
  <c r="AM11" i="70"/>
  <c r="AK11" i="70"/>
  <c r="AI11" i="70"/>
  <c r="AG11" i="70"/>
  <c r="AE11" i="70"/>
  <c r="AC11" i="70"/>
  <c r="AA11" i="70"/>
  <c r="Y11" i="70"/>
  <c r="W11" i="70"/>
  <c r="U11" i="70"/>
  <c r="S11" i="70"/>
  <c r="Q11" i="70"/>
  <c r="O11" i="70"/>
  <c r="M11" i="70"/>
  <c r="K11" i="70"/>
  <c r="I11" i="70"/>
  <c r="G11" i="70"/>
  <c r="C11" i="70"/>
  <c r="AQ10" i="70"/>
  <c r="AO10" i="70"/>
  <c r="AM10" i="70"/>
  <c r="AK10" i="70"/>
  <c r="AI10" i="70"/>
  <c r="AG10" i="70"/>
  <c r="AE10" i="70"/>
  <c r="AC10" i="70"/>
  <c r="AA10" i="70"/>
  <c r="Y10" i="70"/>
  <c r="W10" i="70"/>
  <c r="U10" i="70"/>
  <c r="S10" i="70"/>
  <c r="Q10" i="70"/>
  <c r="O10" i="70"/>
  <c r="M10" i="70"/>
  <c r="K10" i="70"/>
  <c r="I10" i="70"/>
  <c r="G10" i="70"/>
  <c r="C10" i="70"/>
  <c r="AQ9" i="70"/>
  <c r="AO9" i="70"/>
  <c r="AM9" i="70"/>
  <c r="AK9" i="70"/>
  <c r="AI9" i="70"/>
  <c r="AG9" i="70"/>
  <c r="AE9" i="70"/>
  <c r="AC9" i="70"/>
  <c r="AA9" i="70"/>
  <c r="Y9" i="70"/>
  <c r="W9" i="70"/>
  <c r="U9" i="70"/>
  <c r="S9" i="70"/>
  <c r="Q9" i="70"/>
  <c r="O9" i="70"/>
  <c r="M9" i="70"/>
  <c r="K9" i="70"/>
  <c r="I9" i="70"/>
  <c r="G9" i="70"/>
  <c r="C9" i="70"/>
  <c r="AQ8" i="70"/>
  <c r="AO8" i="70"/>
  <c r="AM8" i="70"/>
  <c r="AK8" i="70"/>
  <c r="AI8" i="70"/>
  <c r="AG8" i="70"/>
  <c r="AE8" i="70"/>
  <c r="AC8" i="70"/>
  <c r="AA8" i="70"/>
  <c r="Y8" i="70"/>
  <c r="W8" i="70"/>
  <c r="U8" i="70"/>
  <c r="S8" i="70"/>
  <c r="Q8" i="70"/>
  <c r="O8" i="70"/>
  <c r="M8" i="70"/>
  <c r="K8" i="70"/>
  <c r="I8" i="70"/>
  <c r="G8" i="70"/>
  <c r="C8" i="70"/>
  <c r="X28" i="69"/>
  <c r="W28" i="69"/>
  <c r="W29" i="69" s="1"/>
  <c r="U28" i="69"/>
  <c r="U29" i="69" s="1"/>
  <c r="K28" i="69"/>
  <c r="Y27" i="69"/>
  <c r="Q27" i="69"/>
  <c r="Y26" i="69"/>
  <c r="Q26" i="69"/>
  <c r="Z26" i="69"/>
  <c r="Y25" i="69"/>
  <c r="Q25" i="69"/>
  <c r="Y24" i="69"/>
  <c r="Q24" i="69"/>
  <c r="H24" i="69"/>
  <c r="N24" i="69" s="1"/>
  <c r="R24" i="69"/>
  <c r="Z24" i="69"/>
  <c r="Y23" i="69"/>
  <c r="Z23" i="69"/>
  <c r="Y22" i="69"/>
  <c r="Q22" i="69"/>
  <c r="H22" i="69"/>
  <c r="N22" i="69" s="1"/>
  <c r="Z22" i="69"/>
  <c r="Y21" i="69"/>
  <c r="Q21" i="69"/>
  <c r="Z21" i="69"/>
  <c r="Y20" i="69"/>
  <c r="S20" i="69"/>
  <c r="Z20" i="69"/>
  <c r="Y19" i="69"/>
  <c r="Q19" i="69"/>
  <c r="Z19" i="69"/>
  <c r="Y18" i="69"/>
  <c r="Y17" i="69"/>
  <c r="Q17" i="69"/>
  <c r="Y16" i="69"/>
  <c r="Q16" i="69"/>
  <c r="R16" i="69"/>
  <c r="Z16" i="69"/>
  <c r="Y15" i="69"/>
  <c r="Q15" i="69"/>
  <c r="Y14" i="69"/>
  <c r="Q14" i="69"/>
  <c r="Y13" i="69"/>
  <c r="Q13" i="69"/>
  <c r="Z13" i="69"/>
  <c r="Y12" i="69"/>
  <c r="Q12" i="69"/>
  <c r="S12" i="69"/>
  <c r="Y11" i="69"/>
  <c r="Z11" i="69"/>
  <c r="Y10" i="69"/>
  <c r="M89" i="68"/>
  <c r="L89" i="68"/>
  <c r="K89" i="68"/>
  <c r="K54" i="68"/>
  <c r="J54" i="68"/>
  <c r="I54" i="68"/>
  <c r="H54" i="68"/>
  <c r="G54" i="68"/>
  <c r="E54" i="68"/>
  <c r="D54" i="68"/>
  <c r="M53" i="68"/>
  <c r="L53" i="68"/>
  <c r="M52" i="68"/>
  <c r="L52" i="68"/>
  <c r="L51" i="68"/>
  <c r="C51" i="68"/>
  <c r="M51" i="68" s="1"/>
  <c r="B51" i="68"/>
  <c r="L50" i="68"/>
  <c r="C50" i="68"/>
  <c r="M50" i="68" s="1"/>
  <c r="B50" i="68"/>
  <c r="L49" i="68"/>
  <c r="M49" i="68" s="1"/>
  <c r="F54" i="68"/>
  <c r="L48" i="68"/>
  <c r="C48" i="68"/>
  <c r="B48" i="68"/>
  <c r="J45" i="68"/>
  <c r="I45" i="68"/>
  <c r="H45" i="68"/>
  <c r="G45" i="68"/>
  <c r="E45" i="68"/>
  <c r="O45" i="68" s="1"/>
  <c r="D45" i="68"/>
  <c r="M44" i="68"/>
  <c r="L44" i="68"/>
  <c r="M43" i="68"/>
  <c r="K43" i="68"/>
  <c r="L42" i="68"/>
  <c r="C42" i="68"/>
  <c r="M42" i="68" s="1"/>
  <c r="B42" i="68"/>
  <c r="L41" i="68"/>
  <c r="C41" i="68"/>
  <c r="M41" i="68" s="1"/>
  <c r="L40" i="68"/>
  <c r="M40" i="68" s="1"/>
  <c r="L39" i="68"/>
  <c r="C39" i="68"/>
  <c r="M39" i="68" s="1"/>
  <c r="B39" i="68"/>
  <c r="L38" i="68"/>
  <c r="M38" i="68" s="1"/>
  <c r="M36" i="68"/>
  <c r="M62" i="68" s="1"/>
  <c r="L36" i="68"/>
  <c r="L62" i="68" s="1"/>
  <c r="H36" i="68"/>
  <c r="H62" i="68" s="1"/>
  <c r="F36" i="68"/>
  <c r="D36" i="68"/>
  <c r="H28" i="68"/>
  <c r="G28" i="68"/>
  <c r="F28" i="68"/>
  <c r="E28" i="68"/>
  <c r="D28" i="68"/>
  <c r="M27" i="68"/>
  <c r="L27" i="68"/>
  <c r="M26" i="68"/>
  <c r="L26" i="68"/>
  <c r="L25" i="68"/>
  <c r="C25" i="68"/>
  <c r="C28" i="68" s="1"/>
  <c r="B25" i="68"/>
  <c r="B28" i="68" s="1"/>
  <c r="K24" i="68"/>
  <c r="J24" i="68"/>
  <c r="K23" i="68"/>
  <c r="J23" i="68"/>
  <c r="J22" i="68"/>
  <c r="I28" i="68"/>
  <c r="H19" i="68"/>
  <c r="G19" i="68"/>
  <c r="F19" i="68"/>
  <c r="E19" i="68"/>
  <c r="D19" i="68"/>
  <c r="M18" i="68"/>
  <c r="L18" i="68"/>
  <c r="L17" i="68"/>
  <c r="C17" i="68"/>
  <c r="M17" i="68" s="1"/>
  <c r="B17" i="68"/>
  <c r="L16" i="68"/>
  <c r="C16" i="68"/>
  <c r="M16" i="68" s="1"/>
  <c r="B16" i="68"/>
  <c r="L15" i="68"/>
  <c r="C15" i="68"/>
  <c r="B15" i="68"/>
  <c r="K14" i="68"/>
  <c r="K19" i="68" s="1"/>
  <c r="J14" i="68"/>
  <c r="J19" i="68" s="1"/>
  <c r="I14" i="68"/>
  <c r="O14" i="68" s="1"/>
  <c r="L13" i="68"/>
  <c r="C13" i="68"/>
  <c r="M13" i="68" s="1"/>
  <c r="B13" i="68"/>
  <c r="M12" i="68"/>
  <c r="L12" i="68"/>
  <c r="K10" i="68"/>
  <c r="J10" i="68"/>
  <c r="P151" i="46"/>
  <c r="P71" i="42"/>
  <c r="P61" i="45"/>
  <c r="P73" i="46"/>
  <c r="Z127" i="42"/>
  <c r="P67" i="46"/>
  <c r="AI57" i="43"/>
  <c r="P45" i="43"/>
  <c r="AI35" i="43"/>
  <c r="P46" i="43"/>
  <c r="P166" i="13"/>
  <c r="P167" i="13"/>
  <c r="G4" i="25"/>
  <c r="H4" i="25"/>
  <c r="G4" i="26"/>
  <c r="H4" i="26"/>
  <c r="G4" i="27"/>
  <c r="H4" i="27"/>
  <c r="G4" i="28"/>
  <c r="H4" i="28"/>
  <c r="G4" i="29"/>
  <c r="H4" i="29"/>
  <c r="G4" i="30"/>
  <c r="H4" i="30"/>
  <c r="G4" i="31"/>
  <c r="H4" i="31"/>
  <c r="G4" i="32"/>
  <c r="H4" i="32"/>
  <c r="G4" i="33"/>
  <c r="H4" i="33"/>
  <c r="G4" i="34"/>
  <c r="H4" i="34"/>
  <c r="G4" i="35"/>
  <c r="H4" i="35"/>
  <c r="G4" i="36"/>
  <c r="H4" i="36"/>
  <c r="G4" i="37"/>
  <c r="H4" i="37"/>
  <c r="G4" i="38"/>
  <c r="H4" i="38"/>
  <c r="G4" i="66"/>
  <c r="H4" i="66"/>
  <c r="G4" i="24"/>
  <c r="H4" i="24"/>
  <c r="J4" i="18"/>
  <c r="L4" i="18"/>
  <c r="P4" i="18"/>
  <c r="V4" i="18"/>
  <c r="W4" i="23"/>
  <c r="W4" i="30" s="1"/>
  <c r="W39" i="30" s="1"/>
  <c r="AB4" i="18"/>
  <c r="J39" i="18"/>
  <c r="R39" i="18"/>
  <c r="Z39" i="18"/>
  <c r="AH39" i="18"/>
  <c r="G39" i="17"/>
  <c r="H39" i="17"/>
  <c r="I39" i="17"/>
  <c r="J39" i="17"/>
  <c r="K39" i="17"/>
  <c r="L39" i="17"/>
  <c r="M39" i="17"/>
  <c r="N39" i="17"/>
  <c r="O39" i="17"/>
  <c r="P39" i="17"/>
  <c r="Q39" i="17"/>
  <c r="R39" i="17"/>
  <c r="S39" i="17"/>
  <c r="T39" i="17"/>
  <c r="U39" i="17"/>
  <c r="V39" i="17"/>
  <c r="W39" i="17"/>
  <c r="X39" i="17"/>
  <c r="Y39" i="17"/>
  <c r="Z39" i="17"/>
  <c r="AA39" i="17"/>
  <c r="AB39" i="17"/>
  <c r="AC39" i="17"/>
  <c r="AD39" i="17"/>
  <c r="AE39" i="17"/>
  <c r="AF39" i="17"/>
  <c r="AG39" i="17"/>
  <c r="AH39" i="17"/>
  <c r="AI39" i="17"/>
  <c r="AA90" i="10"/>
  <c r="E3" i="9"/>
  <c r="I92" i="7"/>
  <c r="J92" i="7"/>
  <c r="Y4" i="8"/>
  <c r="H85" i="67"/>
  <c r="P42" i="47"/>
  <c r="P53" i="45"/>
  <c r="P53" i="47"/>
  <c r="P83" i="42"/>
  <c r="D139" i="6"/>
  <c r="H13" i="5"/>
  <c r="I13" i="5" s="1"/>
  <c r="H14" i="5"/>
  <c r="J13" i="5"/>
  <c r="N14" i="5"/>
  <c r="N7" i="5"/>
  <c r="N6" i="5"/>
  <c r="I11" i="5"/>
  <c r="K11" i="5" s="1"/>
  <c r="I12" i="5"/>
  <c r="K12" i="5" s="1"/>
  <c r="W93" i="45"/>
  <c r="H136" i="6"/>
  <c r="H135" i="6"/>
  <c r="D137" i="6"/>
  <c r="H10" i="5"/>
  <c r="H140" i="67"/>
  <c r="D140" i="67"/>
  <c r="F140" i="67"/>
  <c r="E140" i="67"/>
  <c r="A140" i="67"/>
  <c r="B140" i="67"/>
  <c r="P131" i="42"/>
  <c r="P35" i="48"/>
  <c r="P206" i="13"/>
  <c r="P199" i="13"/>
  <c r="P187" i="13"/>
  <c r="P171" i="13"/>
  <c r="J113" i="11"/>
  <c r="I113" i="12"/>
  <c r="U113" i="12"/>
  <c r="U27" i="12"/>
  <c r="I27" i="12"/>
  <c r="AF100" i="12"/>
  <c r="O98" i="12"/>
  <c r="AG98" i="12" s="1"/>
  <c r="I98" i="12"/>
  <c r="H6" i="5"/>
  <c r="I6" i="5" s="1"/>
  <c r="P10" i="45"/>
  <c r="W44" i="33"/>
  <c r="W43" i="33"/>
  <c r="W42" i="33"/>
  <c r="W10" i="33"/>
  <c r="W36" i="34"/>
  <c r="W43" i="34"/>
  <c r="W44" i="34"/>
  <c r="W42" i="34"/>
  <c r="Q10" i="34"/>
  <c r="W10" i="34"/>
  <c r="D6" i="67"/>
  <c r="I13" i="67"/>
  <c r="D7" i="67"/>
  <c r="H15" i="6"/>
  <c r="D15" i="6"/>
  <c r="T4" i="16"/>
  <c r="N7" i="67"/>
  <c r="H108" i="6"/>
  <c r="H104" i="6"/>
  <c r="H96" i="6"/>
  <c r="H83" i="6"/>
  <c r="H76" i="6"/>
  <c r="H69" i="6"/>
  <c r="D70" i="6"/>
  <c r="H63" i="6"/>
  <c r="H59" i="6"/>
  <c r="H51" i="6"/>
  <c r="H48" i="6"/>
  <c r="H42" i="6"/>
  <c r="H38" i="6"/>
  <c r="H33" i="6"/>
  <c r="G18" i="24"/>
  <c r="H18" i="24" s="1"/>
  <c r="I18" i="24" s="1"/>
  <c r="I12" i="67"/>
  <c r="D135" i="6"/>
  <c r="Q51" i="38"/>
  <c r="Q51" i="66"/>
  <c r="Q51" i="37"/>
  <c r="Q50" i="38"/>
  <c r="Q50" i="66"/>
  <c r="Q50" i="37"/>
  <c r="Q49" i="38"/>
  <c r="Q49" i="66"/>
  <c r="Q49" i="37"/>
  <c r="Q48" i="38"/>
  <c r="Q48" i="66"/>
  <c r="Q48" i="37"/>
  <c r="Q46" i="38"/>
  <c r="Q46" i="66"/>
  <c r="Q46" i="37"/>
  <c r="Q45" i="38"/>
  <c r="Q45" i="66"/>
  <c r="Q45" i="37"/>
  <c r="Q44" i="38"/>
  <c r="Q44" i="66"/>
  <c r="Q44" i="37"/>
  <c r="Q43" i="38"/>
  <c r="Q43" i="66"/>
  <c r="Q43" i="37"/>
  <c r="Q42" i="38"/>
  <c r="Q42" i="66"/>
  <c r="Q42" i="37"/>
  <c r="Q36" i="38"/>
  <c r="Q36" i="66"/>
  <c r="Q36" i="37"/>
  <c r="Q35" i="38"/>
  <c r="Q35" i="66"/>
  <c r="Q35" i="37"/>
  <c r="Q34" i="38"/>
  <c r="Q34" i="66"/>
  <c r="Q34" i="37"/>
  <c r="Q31" i="38"/>
  <c r="Q31" i="66"/>
  <c r="Q31" i="37"/>
  <c r="Q30" i="38"/>
  <c r="Q30" i="66"/>
  <c r="Q30" i="37"/>
  <c r="Q29" i="38"/>
  <c r="Q29" i="66"/>
  <c r="Q29" i="37"/>
  <c r="Q28" i="38"/>
  <c r="Q28" i="66"/>
  <c r="Q28" i="37"/>
  <c r="Q27" i="38"/>
  <c r="Q27" i="66"/>
  <c r="Q27" i="37"/>
  <c r="Q26" i="38"/>
  <c r="Q26" i="66"/>
  <c r="Q26" i="37"/>
  <c r="Q25" i="38"/>
  <c r="Q25" i="66"/>
  <c r="Q25" i="37"/>
  <c r="Q24" i="66"/>
  <c r="Q22" i="38"/>
  <c r="Q20" i="38"/>
  <c r="Q22" i="66"/>
  <c r="Q22" i="37"/>
  <c r="Q21" i="38"/>
  <c r="Q21" i="66"/>
  <c r="Q21" i="37"/>
  <c r="Q19" i="38"/>
  <c r="Q19" i="66"/>
  <c r="Q19" i="37"/>
  <c r="Q18" i="38"/>
  <c r="Q18" i="66"/>
  <c r="Q18" i="37"/>
  <c r="Q17" i="38"/>
  <c r="Q17" i="66"/>
  <c r="Q17" i="37"/>
  <c r="Q16" i="38"/>
  <c r="Q16" i="66"/>
  <c r="Q16" i="37"/>
  <c r="Q15" i="38"/>
  <c r="Q15" i="66"/>
  <c r="Q15" i="37"/>
  <c r="Q14" i="38"/>
  <c r="Q14" i="66"/>
  <c r="Q14" i="37"/>
  <c r="Q13" i="38"/>
  <c r="Q13" i="66"/>
  <c r="Q13" i="37"/>
  <c r="Q12" i="38"/>
  <c r="Q12" i="66"/>
  <c r="Q12" i="37"/>
  <c r="Q11" i="38"/>
  <c r="Q11" i="66"/>
  <c r="Q11" i="37"/>
  <c r="Q10" i="38"/>
  <c r="Q10" i="66"/>
  <c r="Q10" i="37"/>
  <c r="Q20" i="37"/>
  <c r="Q20" i="66"/>
  <c r="Q9" i="38"/>
  <c r="Q9" i="66"/>
  <c r="Q9" i="37"/>
  <c r="W51" i="25"/>
  <c r="W51" i="26"/>
  <c r="W51" i="27"/>
  <c r="W51" i="28"/>
  <c r="W51" i="29"/>
  <c r="W51" i="30"/>
  <c r="W51" i="31"/>
  <c r="W51" i="32"/>
  <c r="W51" i="33"/>
  <c r="W51" i="34"/>
  <c r="W51" i="35"/>
  <c r="W51" i="36"/>
  <c r="W51" i="24"/>
  <c r="W50" i="25"/>
  <c r="W50" i="26"/>
  <c r="W50" i="27"/>
  <c r="W50" i="28"/>
  <c r="W50" i="29"/>
  <c r="W50" i="30"/>
  <c r="W50" i="31"/>
  <c r="W50" i="32"/>
  <c r="W50" i="33"/>
  <c r="W50" i="34"/>
  <c r="W50" i="35"/>
  <c r="W50" i="36"/>
  <c r="W50" i="24"/>
  <c r="W49" i="25"/>
  <c r="W49" i="26"/>
  <c r="W49" i="27"/>
  <c r="W49" i="28"/>
  <c r="W49" i="29"/>
  <c r="W49" i="30"/>
  <c r="W49" i="31"/>
  <c r="W49" i="32"/>
  <c r="W49" i="33"/>
  <c r="W49" i="34"/>
  <c r="W49" i="35"/>
  <c r="W49" i="36"/>
  <c r="W49" i="24"/>
  <c r="W48" i="25"/>
  <c r="W48" i="26"/>
  <c r="W48" i="27"/>
  <c r="W48" i="28"/>
  <c r="W48" i="29"/>
  <c r="W48" i="30"/>
  <c r="W48" i="31"/>
  <c r="W48" i="32"/>
  <c r="W48" i="33"/>
  <c r="W48" i="34"/>
  <c r="W48" i="35"/>
  <c r="W48" i="36"/>
  <c r="W48" i="24"/>
  <c r="W43" i="25"/>
  <c r="W44" i="25"/>
  <c r="W45" i="25"/>
  <c r="W46" i="25"/>
  <c r="W43" i="26"/>
  <c r="W44" i="26"/>
  <c r="W45" i="26"/>
  <c r="W46" i="26"/>
  <c r="W43" i="27"/>
  <c r="W44" i="27"/>
  <c r="W45" i="27"/>
  <c r="W46" i="27"/>
  <c r="W43" i="28"/>
  <c r="W44" i="28"/>
  <c r="W45" i="28"/>
  <c r="W46" i="28"/>
  <c r="W43" i="29"/>
  <c r="W44" i="29"/>
  <c r="W45" i="29"/>
  <c r="W46" i="29"/>
  <c r="W43" i="30"/>
  <c r="W41" i="30"/>
  <c r="W44" i="30"/>
  <c r="W45" i="30"/>
  <c r="W46" i="30"/>
  <c r="W43" i="31"/>
  <c r="W44" i="31"/>
  <c r="W45" i="31"/>
  <c r="W46" i="31"/>
  <c r="W43" i="32"/>
  <c r="W44" i="32"/>
  <c r="W45" i="32"/>
  <c r="W46" i="32"/>
  <c r="W45" i="33"/>
  <c r="W46" i="33"/>
  <c r="W45" i="34"/>
  <c r="W41" i="34" s="1"/>
  <c r="W46" i="34"/>
  <c r="W43" i="35"/>
  <c r="W44" i="35"/>
  <c r="W45" i="35"/>
  <c r="W46" i="35"/>
  <c r="W43" i="36"/>
  <c r="W44" i="36"/>
  <c r="W45" i="36"/>
  <c r="W46" i="36"/>
  <c r="W43" i="24"/>
  <c r="W44" i="24"/>
  <c r="W45" i="24"/>
  <c r="W46" i="24"/>
  <c r="W42" i="25"/>
  <c r="W42" i="26"/>
  <c r="W42" i="27"/>
  <c r="W42" i="28"/>
  <c r="W41" i="28" s="1"/>
  <c r="W42" i="29"/>
  <c r="W42" i="30"/>
  <c r="W42" i="31"/>
  <c r="W42" i="32"/>
  <c r="W41" i="32" s="1"/>
  <c r="W42" i="35"/>
  <c r="W42" i="36"/>
  <c r="W41" i="36" s="1"/>
  <c r="W42" i="24"/>
  <c r="W36" i="25"/>
  <c r="W36" i="26"/>
  <c r="W36" i="27"/>
  <c r="W36" i="28"/>
  <c r="W36" i="29"/>
  <c r="W36" i="30"/>
  <c r="W36" i="31"/>
  <c r="W36" i="32"/>
  <c r="W36" i="33"/>
  <c r="W36" i="35"/>
  <c r="W36" i="36"/>
  <c r="W36" i="24"/>
  <c r="W35" i="25"/>
  <c r="W35" i="26"/>
  <c r="W35" i="27"/>
  <c r="W35" i="28"/>
  <c r="W35" i="29"/>
  <c r="W35" i="30"/>
  <c r="W35" i="31"/>
  <c r="W35" i="32"/>
  <c r="W35" i="33"/>
  <c r="W35" i="34"/>
  <c r="W35" i="35"/>
  <c r="W35" i="36"/>
  <c r="W35" i="24"/>
  <c r="W34" i="25"/>
  <c r="W34" i="26"/>
  <c r="W34" i="27"/>
  <c r="W34" i="28"/>
  <c r="W34" i="29"/>
  <c r="W34" i="30"/>
  <c r="W34" i="31"/>
  <c r="W34" i="32"/>
  <c r="W34" i="33"/>
  <c r="W34" i="34"/>
  <c r="W34" i="35"/>
  <c r="W34" i="36"/>
  <c r="W34" i="24"/>
  <c r="W31" i="25"/>
  <c r="W31" i="26"/>
  <c r="W31" i="27"/>
  <c r="W31" i="28"/>
  <c r="W31" i="29"/>
  <c r="W31" i="30"/>
  <c r="W31" i="31"/>
  <c r="W31" i="32"/>
  <c r="W31" i="33"/>
  <c r="W31" i="34"/>
  <c r="W31" i="35"/>
  <c r="W31" i="36"/>
  <c r="W31" i="24"/>
  <c r="W30" i="25"/>
  <c r="W30" i="26"/>
  <c r="W30" i="27"/>
  <c r="W30" i="28"/>
  <c r="W30" i="29"/>
  <c r="W30" i="30"/>
  <c r="W30" i="31"/>
  <c r="W30" i="32"/>
  <c r="W30" i="33"/>
  <c r="W30" i="34"/>
  <c r="W30" i="35"/>
  <c r="W30" i="36"/>
  <c r="W30" i="24"/>
  <c r="W29" i="25"/>
  <c r="W29" i="26"/>
  <c r="W29" i="27"/>
  <c r="W29" i="28"/>
  <c r="W29" i="29"/>
  <c r="W29" i="30"/>
  <c r="W29" i="31"/>
  <c r="W29" i="32"/>
  <c r="W29" i="33"/>
  <c r="W29" i="34"/>
  <c r="W29" i="35"/>
  <c r="W29" i="36"/>
  <c r="W29" i="24"/>
  <c r="W28" i="25"/>
  <c r="W28" i="26"/>
  <c r="W28" i="27"/>
  <c r="W28" i="28"/>
  <c r="W28" i="29"/>
  <c r="W28" i="30"/>
  <c r="W28" i="31"/>
  <c r="W28" i="32"/>
  <c r="W28" i="33"/>
  <c r="W28" i="34"/>
  <c r="W28" i="35"/>
  <c r="W28" i="36"/>
  <c r="W28" i="24"/>
  <c r="W27" i="25"/>
  <c r="W27" i="26"/>
  <c r="W27" i="27"/>
  <c r="W27" i="28"/>
  <c r="W27" i="29"/>
  <c r="W27" i="30"/>
  <c r="W27" i="31"/>
  <c r="W27" i="32"/>
  <c r="W27" i="33"/>
  <c r="W27" i="34"/>
  <c r="W27" i="35"/>
  <c r="W27" i="36"/>
  <c r="W27" i="24"/>
  <c r="W25" i="25"/>
  <c r="W26" i="25"/>
  <c r="W25" i="26"/>
  <c r="W26" i="26"/>
  <c r="W25" i="27"/>
  <c r="W26" i="27"/>
  <c r="W25" i="28"/>
  <c r="W26" i="28"/>
  <c r="W25" i="29"/>
  <c r="W26" i="29"/>
  <c r="W25" i="30"/>
  <c r="W26" i="30"/>
  <c r="W25" i="31"/>
  <c r="W26" i="31"/>
  <c r="W25" i="32"/>
  <c r="W26" i="32"/>
  <c r="W25" i="33"/>
  <c r="W26" i="33"/>
  <c r="W25" i="34"/>
  <c r="W26" i="34"/>
  <c r="W25" i="35"/>
  <c r="W26" i="35"/>
  <c r="W25" i="36"/>
  <c r="W26" i="36"/>
  <c r="W25" i="24"/>
  <c r="W26" i="24"/>
  <c r="W24" i="30"/>
  <c r="W22" i="25"/>
  <c r="W22" i="26"/>
  <c r="W22" i="27"/>
  <c r="W22" i="28"/>
  <c r="W22" i="29"/>
  <c r="W22" i="30"/>
  <c r="W22" i="31"/>
  <c r="W22" i="32"/>
  <c r="W22" i="33"/>
  <c r="W22" i="34"/>
  <c r="W22" i="35"/>
  <c r="W22" i="36"/>
  <c r="W22" i="24"/>
  <c r="W21" i="25"/>
  <c r="W21" i="26"/>
  <c r="W21" i="27"/>
  <c r="W21" i="28"/>
  <c r="W21" i="29"/>
  <c r="W21" i="30"/>
  <c r="W21" i="31"/>
  <c r="W21" i="32"/>
  <c r="W21" i="33"/>
  <c r="W21" i="34"/>
  <c r="W21" i="35"/>
  <c r="W21" i="36"/>
  <c r="W21" i="24"/>
  <c r="W10" i="25"/>
  <c r="W11" i="25"/>
  <c r="W12" i="25"/>
  <c r="W13" i="25"/>
  <c r="W14" i="25"/>
  <c r="W15" i="25"/>
  <c r="W16" i="25"/>
  <c r="W17" i="25"/>
  <c r="W18" i="25"/>
  <c r="W19" i="25"/>
  <c r="W10" i="26"/>
  <c r="W11" i="26"/>
  <c r="W12" i="26"/>
  <c r="W13" i="26"/>
  <c r="W14" i="26"/>
  <c r="W15" i="26"/>
  <c r="W16" i="26"/>
  <c r="W17" i="26"/>
  <c r="W18" i="26"/>
  <c r="W19" i="26"/>
  <c r="W10" i="27"/>
  <c r="W11" i="27"/>
  <c r="W12" i="27"/>
  <c r="W13" i="27"/>
  <c r="W14" i="27"/>
  <c r="W15" i="27"/>
  <c r="W16" i="27"/>
  <c r="W17" i="27"/>
  <c r="W18" i="27"/>
  <c r="W19" i="27"/>
  <c r="W10" i="28"/>
  <c r="W11" i="28"/>
  <c r="W12" i="28"/>
  <c r="W13" i="28"/>
  <c r="W14" i="28"/>
  <c r="W15" i="28"/>
  <c r="W16" i="28"/>
  <c r="W17" i="28"/>
  <c r="W18" i="28"/>
  <c r="W19" i="28"/>
  <c r="W10" i="29"/>
  <c r="W11" i="29"/>
  <c r="W12" i="29"/>
  <c r="W13" i="29"/>
  <c r="W14" i="29"/>
  <c r="W15" i="29"/>
  <c r="W16" i="29"/>
  <c r="W17" i="29"/>
  <c r="W18" i="29"/>
  <c r="W19" i="29"/>
  <c r="W10" i="30"/>
  <c r="W11" i="30"/>
  <c r="W12" i="30"/>
  <c r="W13" i="30"/>
  <c r="W14" i="30"/>
  <c r="W15" i="30"/>
  <c r="W16" i="30"/>
  <c r="W17" i="30"/>
  <c r="W18" i="30"/>
  <c r="W19" i="30"/>
  <c r="W10" i="31"/>
  <c r="W11" i="31"/>
  <c r="W12" i="31"/>
  <c r="W13" i="31"/>
  <c r="W14" i="31"/>
  <c r="W15" i="31"/>
  <c r="W16" i="31"/>
  <c r="W17" i="31"/>
  <c r="W18" i="31"/>
  <c r="W19" i="31"/>
  <c r="W10" i="32"/>
  <c r="W11" i="32"/>
  <c r="W12" i="32"/>
  <c r="W13" i="32"/>
  <c r="W14" i="32"/>
  <c r="W15" i="32"/>
  <c r="W16" i="32"/>
  <c r="W17" i="32"/>
  <c r="W18" i="32"/>
  <c r="W19" i="32"/>
  <c r="W11" i="33"/>
  <c r="W12" i="33"/>
  <c r="W13" i="33"/>
  <c r="W14" i="33"/>
  <c r="W15" i="33"/>
  <c r="W16" i="33"/>
  <c r="W17" i="33"/>
  <c r="W18" i="33"/>
  <c r="W19" i="33"/>
  <c r="W11" i="34"/>
  <c r="W12" i="34"/>
  <c r="W13" i="34"/>
  <c r="W14" i="34"/>
  <c r="W15" i="34"/>
  <c r="W16" i="34"/>
  <c r="W17" i="34"/>
  <c r="W18" i="34"/>
  <c r="W19" i="34"/>
  <c r="W10" i="35"/>
  <c r="W11" i="35"/>
  <c r="W12" i="35"/>
  <c r="W13" i="35"/>
  <c r="W14" i="35"/>
  <c r="W15" i="35"/>
  <c r="W16" i="35"/>
  <c r="W17" i="35"/>
  <c r="W18" i="35"/>
  <c r="W19" i="35"/>
  <c r="W10" i="36"/>
  <c r="W11" i="36"/>
  <c r="W12" i="36"/>
  <c r="W13" i="36"/>
  <c r="W14" i="36"/>
  <c r="W15" i="36"/>
  <c r="W16" i="36"/>
  <c r="W17" i="36"/>
  <c r="W18" i="36"/>
  <c r="W19" i="36"/>
  <c r="W10" i="24"/>
  <c r="W11" i="24"/>
  <c r="W12" i="24"/>
  <c r="W13" i="24"/>
  <c r="W14" i="24"/>
  <c r="W15" i="24"/>
  <c r="W16" i="24"/>
  <c r="W17" i="24"/>
  <c r="W18" i="24"/>
  <c r="W19" i="24"/>
  <c r="W9" i="25"/>
  <c r="W9" i="26"/>
  <c r="W9" i="27"/>
  <c r="W9" i="28"/>
  <c r="W9" i="29"/>
  <c r="W8" i="29" s="1"/>
  <c r="W9" i="30"/>
  <c r="W8" i="30" s="1"/>
  <c r="W9" i="31"/>
  <c r="W9" i="32"/>
  <c r="W9" i="33"/>
  <c r="W9" i="34"/>
  <c r="W9" i="35"/>
  <c r="W9" i="36"/>
  <c r="W8" i="36" s="1"/>
  <c r="W9" i="24"/>
  <c r="W49" i="23"/>
  <c r="W48" i="23"/>
  <c r="W46" i="23"/>
  <c r="W44" i="23"/>
  <c r="W43" i="23"/>
  <c r="W42" i="23"/>
  <c r="W36" i="23"/>
  <c r="W34" i="23"/>
  <c r="W31" i="23"/>
  <c r="W30" i="23"/>
  <c r="W29" i="23"/>
  <c r="W28" i="23"/>
  <c r="W27" i="23"/>
  <c r="W26" i="23"/>
  <c r="W25" i="23"/>
  <c r="W10" i="23"/>
  <c r="W11" i="23"/>
  <c r="W12" i="23"/>
  <c r="W13" i="23"/>
  <c r="W14" i="23"/>
  <c r="W15" i="23"/>
  <c r="W16" i="23"/>
  <c r="W17" i="23"/>
  <c r="W18" i="23"/>
  <c r="W19" i="23"/>
  <c r="W21" i="23"/>
  <c r="W22" i="23"/>
  <c r="W9" i="23"/>
  <c r="W8" i="23" s="1"/>
  <c r="Y93" i="45"/>
  <c r="H8" i="5"/>
  <c r="H27" i="5" s="1"/>
  <c r="AJ218" i="13"/>
  <c r="AH171" i="13"/>
  <c r="AI178" i="13"/>
  <c r="AK171" i="13"/>
  <c r="P71" i="13"/>
  <c r="X62" i="45"/>
  <c r="P124" i="42"/>
  <c r="Y61" i="45"/>
  <c r="X61" i="45"/>
  <c r="W61" i="45"/>
  <c r="I9" i="67"/>
  <c r="R4" i="16"/>
  <c r="P86" i="42"/>
  <c r="P17" i="44"/>
  <c r="P20" i="44"/>
  <c r="D141" i="6"/>
  <c r="P20" i="48"/>
  <c r="H140" i="6"/>
  <c r="D140" i="6"/>
  <c r="V42" i="48"/>
  <c r="V40" i="48"/>
  <c r="V36" i="48"/>
  <c r="V34" i="48"/>
  <c r="V28" i="48"/>
  <c r="V27" i="48"/>
  <c r="V25" i="48"/>
  <c r="V24" i="48"/>
  <c r="V22" i="48"/>
  <c r="V21" i="48"/>
  <c r="V19" i="48"/>
  <c r="V18" i="48"/>
  <c r="V17" i="48"/>
  <c r="V11" i="48"/>
  <c r="V10" i="48"/>
  <c r="V8" i="48"/>
  <c r="W41" i="47"/>
  <c r="W25" i="47"/>
  <c r="W17" i="47"/>
  <c r="W16" i="47"/>
  <c r="W15" i="47"/>
  <c r="AB40" i="46"/>
  <c r="P152" i="46"/>
  <c r="P40" i="46"/>
  <c r="AB151" i="46"/>
  <c r="AB76" i="46"/>
  <c r="AB71" i="46"/>
  <c r="AB67" i="46"/>
  <c r="AB45" i="46"/>
  <c r="P155" i="46"/>
  <c r="AB155" i="46" s="1"/>
  <c r="AA85" i="46"/>
  <c r="AA83" i="46"/>
  <c r="AA91" i="46"/>
  <c r="V51" i="45"/>
  <c r="V50" i="45"/>
  <c r="V24" i="45"/>
  <c r="V23" i="45"/>
  <c r="V22" i="45"/>
  <c r="V19" i="45"/>
  <c r="V18" i="45"/>
  <c r="V17" i="45"/>
  <c r="V16" i="45"/>
  <c r="V15" i="45"/>
  <c r="AA69" i="43"/>
  <c r="P66" i="43"/>
  <c r="P65" i="43"/>
  <c r="P12" i="45"/>
  <c r="H58" i="67"/>
  <c r="D69" i="67"/>
  <c r="X29" i="45"/>
  <c r="P74" i="42"/>
  <c r="P37" i="44"/>
  <c r="W37" i="44"/>
  <c r="P22" i="44"/>
  <c r="W22" i="44" s="1"/>
  <c r="W20" i="44"/>
  <c r="W17" i="44"/>
  <c r="V28" i="44"/>
  <c r="V13" i="44"/>
  <c r="AA58" i="43"/>
  <c r="AA51" i="43"/>
  <c r="P71" i="43"/>
  <c r="AA71" i="43"/>
  <c r="P44" i="43"/>
  <c r="AA44" i="43" s="1"/>
  <c r="P26" i="43"/>
  <c r="P15" i="43"/>
  <c r="AA15" i="43"/>
  <c r="P70" i="43"/>
  <c r="P31" i="43"/>
  <c r="P55" i="43"/>
  <c r="AA70" i="43"/>
  <c r="P74" i="43"/>
  <c r="AA74" i="43"/>
  <c r="AA45" i="43"/>
  <c r="Y86" i="42"/>
  <c r="AA46" i="43"/>
  <c r="AA31" i="43"/>
  <c r="P34" i="46"/>
  <c r="AB34" i="46"/>
  <c r="P27" i="46"/>
  <c r="AB27" i="46" s="1"/>
  <c r="P32" i="43"/>
  <c r="P56" i="46"/>
  <c r="AB56" i="46"/>
  <c r="AA32" i="43"/>
  <c r="P18" i="43"/>
  <c r="AA18" i="43"/>
  <c r="P14" i="43"/>
  <c r="AA14" i="43" s="1"/>
  <c r="P73" i="43"/>
  <c r="Z68" i="43"/>
  <c r="P87" i="42"/>
  <c r="H139" i="67"/>
  <c r="D138" i="67"/>
  <c r="H138" i="67"/>
  <c r="D70" i="67"/>
  <c r="D107" i="67"/>
  <c r="H106" i="67"/>
  <c r="P127" i="42"/>
  <c r="Y124" i="42"/>
  <c r="Y127" i="42"/>
  <c r="H135" i="67"/>
  <c r="P105" i="42"/>
  <c r="Y105" i="42" s="1"/>
  <c r="P103" i="42"/>
  <c r="Y103" i="42"/>
  <c r="P100" i="42"/>
  <c r="Y90" i="42"/>
  <c r="P92" i="42"/>
  <c r="Y92" i="42"/>
  <c r="P90" i="42"/>
  <c r="P91" i="42"/>
  <c r="Y87" i="42"/>
  <c r="Z87" i="42" s="1"/>
  <c r="P39" i="42"/>
  <c r="P19" i="42"/>
  <c r="Y19" i="42" s="1"/>
  <c r="P28" i="42"/>
  <c r="P21" i="42"/>
  <c r="P12" i="42"/>
  <c r="X107" i="42"/>
  <c r="X42" i="42"/>
  <c r="P44" i="40"/>
  <c r="P45" i="40"/>
  <c r="H134" i="67"/>
  <c r="D134" i="67"/>
  <c r="D133" i="67"/>
  <c r="H133" i="67"/>
  <c r="P23" i="40"/>
  <c r="P49" i="40"/>
  <c r="C7" i="56"/>
  <c r="C30" i="56" s="1"/>
  <c r="D7" i="56"/>
  <c r="I15" i="56"/>
  <c r="J15" i="56"/>
  <c r="K15" i="56"/>
  <c r="L15" i="56"/>
  <c r="K25" i="56"/>
  <c r="L25" i="56"/>
  <c r="H29" i="56"/>
  <c r="D30" i="56"/>
  <c r="E30" i="56"/>
  <c r="F30" i="56"/>
  <c r="G30" i="56"/>
  <c r="H30" i="56"/>
  <c r="I30" i="56"/>
  <c r="A31" i="56"/>
  <c r="B31" i="56"/>
  <c r="C31" i="56"/>
  <c r="D31" i="56"/>
  <c r="E31" i="56"/>
  <c r="F31" i="56"/>
  <c r="G31" i="56"/>
  <c r="H31" i="56"/>
  <c r="J31" i="56"/>
  <c r="K31" i="56"/>
  <c r="L31" i="56"/>
  <c r="K37" i="56"/>
  <c r="L37" i="56"/>
  <c r="O6" i="55"/>
  <c r="Q6" i="55" s="1"/>
  <c r="C7" i="55"/>
  <c r="O8" i="55"/>
  <c r="Q8" i="55" s="1"/>
  <c r="P8" i="55"/>
  <c r="C9" i="55"/>
  <c r="D9" i="55"/>
  <c r="E9" i="55"/>
  <c r="F9" i="55"/>
  <c r="G9" i="55"/>
  <c r="H9" i="55"/>
  <c r="I9" i="55"/>
  <c r="J9" i="55"/>
  <c r="K9" i="55"/>
  <c r="L9" i="55"/>
  <c r="M9" i="55"/>
  <c r="N9" i="55"/>
  <c r="O11" i="55"/>
  <c r="O12" i="55"/>
  <c r="O13" i="55"/>
  <c r="P13" i="55"/>
  <c r="Q13" i="55"/>
  <c r="Q16" i="55"/>
  <c r="O19" i="55"/>
  <c r="O20" i="55"/>
  <c r="Q20" i="55" s="1"/>
  <c r="P20" i="55"/>
  <c r="O21" i="55"/>
  <c r="O22" i="55"/>
  <c r="O23" i="55"/>
  <c r="Q23" i="55" s="1"/>
  <c r="P23" i="55"/>
  <c r="O24" i="55"/>
  <c r="P24" i="55"/>
  <c r="Q24" i="55"/>
  <c r="O25" i="55"/>
  <c r="Q25" i="55" s="1"/>
  <c r="O26" i="55"/>
  <c r="Q26" i="55" s="1"/>
  <c r="O35" i="55"/>
  <c r="Q35" i="55"/>
  <c r="O37" i="55"/>
  <c r="O38" i="55"/>
  <c r="Q38" i="55" s="1"/>
  <c r="P38" i="55"/>
  <c r="O40" i="55"/>
  <c r="O41" i="55"/>
  <c r="P41" i="55"/>
  <c r="Q41" i="55"/>
  <c r="O42" i="55"/>
  <c r="Q42" i="55" s="1"/>
  <c r="P42" i="55"/>
  <c r="E43" i="55"/>
  <c r="G43" i="55"/>
  <c r="M43" i="55"/>
  <c r="P43" i="55"/>
  <c r="J43" i="55" s="1"/>
  <c r="C46" i="55"/>
  <c r="G46" i="55"/>
  <c r="I46" i="55"/>
  <c r="J46" i="55"/>
  <c r="K46" i="55"/>
  <c r="P46" i="55"/>
  <c r="D46" i="55" s="1"/>
  <c r="J47" i="55"/>
  <c r="P47" i="55"/>
  <c r="E47" i="55" s="1"/>
  <c r="C48" i="55"/>
  <c r="D48" i="55"/>
  <c r="E48" i="55"/>
  <c r="I48" i="55"/>
  <c r="K48" i="55"/>
  <c r="L48" i="55"/>
  <c r="M48" i="55"/>
  <c r="P48" i="55"/>
  <c r="F48" i="55" s="1"/>
  <c r="O49" i="55"/>
  <c r="P49" i="55"/>
  <c r="Q49" i="55" s="1"/>
  <c r="O50" i="55"/>
  <c r="Q50" i="55" s="1"/>
  <c r="P50" i="55"/>
  <c r="D51" i="55"/>
  <c r="F51" i="55"/>
  <c r="L51" i="55"/>
  <c r="N51" i="55"/>
  <c r="P51" i="55"/>
  <c r="I51" i="55" s="1"/>
  <c r="E52" i="55"/>
  <c r="G52" i="55"/>
  <c r="M52" i="55"/>
  <c r="P52" i="55"/>
  <c r="J52" i="55" s="1"/>
  <c r="O53" i="55"/>
  <c r="P53" i="55"/>
  <c r="Q53" i="55"/>
  <c r="O54" i="55"/>
  <c r="Q54" i="55" s="1"/>
  <c r="O55" i="55"/>
  <c r="Q55" i="55" s="1"/>
  <c r="Q63" i="55"/>
  <c r="O64" i="55"/>
  <c r="Q64" i="55" s="1"/>
  <c r="O65" i="55"/>
  <c r="O66" i="55"/>
  <c r="Q66" i="55" s="1"/>
  <c r="P66" i="55"/>
  <c r="O67" i="55"/>
  <c r="Q67" i="55" s="1"/>
  <c r="P67" i="55"/>
  <c r="O69" i="55"/>
  <c r="O70" i="55"/>
  <c r="Q70" i="55" s="1"/>
  <c r="P70" i="55"/>
  <c r="O71" i="55"/>
  <c r="Q71" i="55" s="1"/>
  <c r="P71" i="55"/>
  <c r="P72" i="55"/>
  <c r="Q74" i="55"/>
  <c r="H75" i="55"/>
  <c r="J75" i="55"/>
  <c r="P75" i="55"/>
  <c r="C76" i="55"/>
  <c r="D76" i="55"/>
  <c r="E76" i="55"/>
  <c r="I76" i="55"/>
  <c r="K76" i="55"/>
  <c r="L76" i="55"/>
  <c r="M76" i="55"/>
  <c r="P76" i="55"/>
  <c r="F76" i="55" s="1"/>
  <c r="D77" i="55"/>
  <c r="E77" i="55"/>
  <c r="F77" i="55"/>
  <c r="J77" i="55"/>
  <c r="L77" i="55"/>
  <c r="M77" i="55"/>
  <c r="N77" i="55"/>
  <c r="P77" i="55"/>
  <c r="G77" i="55" s="1"/>
  <c r="O78" i="55"/>
  <c r="P78" i="55"/>
  <c r="Q78" i="55"/>
  <c r="O79" i="55"/>
  <c r="Q79" i="55" s="1"/>
  <c r="P79" i="55"/>
  <c r="O80" i="55"/>
  <c r="P80" i="55"/>
  <c r="Q80" i="55"/>
  <c r="O81" i="55"/>
  <c r="P81" i="55"/>
  <c r="Q81" i="55" s="1"/>
  <c r="O82" i="55"/>
  <c r="Q82" i="55" s="1"/>
  <c r="P82" i="55"/>
  <c r="O83" i="55"/>
  <c r="Q83" i="55"/>
  <c r="O84" i="55"/>
  <c r="Q84" i="55"/>
  <c r="O92" i="55"/>
  <c r="Q92" i="55" s="1"/>
  <c r="O93" i="55"/>
  <c r="O94" i="55"/>
  <c r="Q94" i="55" s="1"/>
  <c r="P94" i="55"/>
  <c r="O95" i="55"/>
  <c r="Q95" i="55" s="1"/>
  <c r="P95" i="55"/>
  <c r="O97" i="55"/>
  <c r="O98" i="55"/>
  <c r="Q98" i="55" s="1"/>
  <c r="P98" i="55"/>
  <c r="O99" i="55"/>
  <c r="Q99" i="55" s="1"/>
  <c r="P99" i="55"/>
  <c r="P100" i="55"/>
  <c r="E100" i="55" s="1"/>
  <c r="F100" i="55" s="1"/>
  <c r="G100" i="55" s="1"/>
  <c r="H100" i="55" s="1"/>
  <c r="I100" i="55" s="1"/>
  <c r="J100" i="55" s="1"/>
  <c r="K100" i="55" s="1"/>
  <c r="L100" i="55" s="1"/>
  <c r="M100" i="55" s="1"/>
  <c r="N100" i="55" s="1"/>
  <c r="Q102" i="55"/>
  <c r="C103" i="55"/>
  <c r="D103" i="55"/>
  <c r="E103" i="55"/>
  <c r="I103" i="55"/>
  <c r="J103" i="55"/>
  <c r="K103" i="55"/>
  <c r="L103" i="55"/>
  <c r="M103" i="55"/>
  <c r="P103" i="55"/>
  <c r="F103" i="55" s="1"/>
  <c r="F113" i="55" s="1"/>
  <c r="C104" i="55"/>
  <c r="D104" i="55"/>
  <c r="D113" i="55" s="1"/>
  <c r="E104" i="55"/>
  <c r="E113" i="55" s="1"/>
  <c r="F104" i="55"/>
  <c r="I104" i="55"/>
  <c r="J104" i="55"/>
  <c r="K104" i="55"/>
  <c r="L104" i="55"/>
  <c r="L113" i="55" s="1"/>
  <c r="M104" i="55"/>
  <c r="M113" i="55" s="1"/>
  <c r="N104" i="55"/>
  <c r="P104" i="55"/>
  <c r="G104" i="55" s="1"/>
  <c r="C105" i="55"/>
  <c r="D105" i="55"/>
  <c r="E105" i="55"/>
  <c r="F105" i="55"/>
  <c r="G105" i="55"/>
  <c r="J105" i="55"/>
  <c r="K105" i="55"/>
  <c r="L105" i="55"/>
  <c r="M105" i="55"/>
  <c r="N105" i="55"/>
  <c r="P105" i="55"/>
  <c r="H105" i="55" s="1"/>
  <c r="O106" i="55"/>
  <c r="P106" i="55"/>
  <c r="Q106" i="55"/>
  <c r="O107" i="55"/>
  <c r="Q107" i="55" s="1"/>
  <c r="P107" i="55"/>
  <c r="O108" i="55"/>
  <c r="P108" i="55"/>
  <c r="Q108" i="55"/>
  <c r="O109" i="55"/>
  <c r="P109" i="55"/>
  <c r="Q109" i="55"/>
  <c r="O110" i="55"/>
  <c r="Q110" i="55" s="1"/>
  <c r="P110" i="55"/>
  <c r="O111" i="55"/>
  <c r="Q111" i="55"/>
  <c r="O112" i="55"/>
  <c r="Q112" i="55"/>
  <c r="C113" i="55"/>
  <c r="J113" i="55"/>
  <c r="K113" i="55"/>
  <c r="O121" i="55"/>
  <c r="Q121" i="55"/>
  <c r="O122" i="55"/>
  <c r="O123" i="55"/>
  <c r="P123" i="55"/>
  <c r="Q123" i="55"/>
  <c r="O124" i="55"/>
  <c r="P124" i="55"/>
  <c r="Q124" i="55"/>
  <c r="O126" i="55"/>
  <c r="O127" i="55"/>
  <c r="P127" i="55"/>
  <c r="Q127" i="55"/>
  <c r="O128" i="55"/>
  <c r="P128" i="55"/>
  <c r="Q128" i="55"/>
  <c r="C129" i="55"/>
  <c r="I129" i="55"/>
  <c r="J129" i="55"/>
  <c r="K129" i="55"/>
  <c r="P129" i="55"/>
  <c r="E129" i="55" s="1"/>
  <c r="Q131" i="55"/>
  <c r="C132" i="55"/>
  <c r="D132" i="55"/>
  <c r="E132" i="55"/>
  <c r="I132" i="55"/>
  <c r="J132" i="55"/>
  <c r="K132" i="55"/>
  <c r="K142" i="55" s="1"/>
  <c r="L132" i="55"/>
  <c r="M132" i="55"/>
  <c r="P132" i="55"/>
  <c r="F132" i="55" s="1"/>
  <c r="F142" i="55" s="1"/>
  <c r="C133" i="55"/>
  <c r="D133" i="55"/>
  <c r="D142" i="55" s="1"/>
  <c r="E133" i="55"/>
  <c r="F133" i="55"/>
  <c r="J133" i="55"/>
  <c r="K133" i="55"/>
  <c r="L133" i="55"/>
  <c r="L142" i="55" s="1"/>
  <c r="M133" i="55"/>
  <c r="N133" i="55"/>
  <c r="P133" i="55"/>
  <c r="G133" i="55" s="1"/>
  <c r="C134" i="55"/>
  <c r="D134" i="55"/>
  <c r="E134" i="55"/>
  <c r="F134" i="55"/>
  <c r="G134" i="55"/>
  <c r="K134" i="55"/>
  <c r="L134" i="55"/>
  <c r="M134" i="55"/>
  <c r="N134" i="55"/>
  <c r="P134" i="55"/>
  <c r="H134" i="55" s="1"/>
  <c r="O135" i="55"/>
  <c r="P135" i="55"/>
  <c r="Q135" i="55"/>
  <c r="O136" i="55"/>
  <c r="Q136" i="55" s="1"/>
  <c r="P136" i="55"/>
  <c r="O137" i="55"/>
  <c r="P137" i="55"/>
  <c r="Q137" i="55"/>
  <c r="O138" i="55"/>
  <c r="P138" i="55"/>
  <c r="Q138" i="55"/>
  <c r="O139" i="55"/>
  <c r="Q139" i="55" s="1"/>
  <c r="P139" i="55"/>
  <c r="O140" i="55"/>
  <c r="Q140" i="55"/>
  <c r="O141" i="55"/>
  <c r="Q141" i="55"/>
  <c r="O149" i="55"/>
  <c r="Q149" i="55"/>
  <c r="O150" i="55"/>
  <c r="O151" i="55"/>
  <c r="Q151" i="55" s="1"/>
  <c r="P151" i="55"/>
  <c r="O152" i="55"/>
  <c r="P152" i="55"/>
  <c r="Q152" i="55"/>
  <c r="O154" i="55"/>
  <c r="O155" i="55"/>
  <c r="Q155" i="55" s="1"/>
  <c r="P155" i="55"/>
  <c r="O156" i="55"/>
  <c r="P156" i="55"/>
  <c r="Q156" i="55"/>
  <c r="C157" i="55"/>
  <c r="D157" i="55"/>
  <c r="E157" i="55"/>
  <c r="I157" i="55"/>
  <c r="J157" i="55"/>
  <c r="K157" i="55"/>
  <c r="L157" i="55"/>
  <c r="M157" i="55"/>
  <c r="P157" i="55"/>
  <c r="F157" i="55" s="1"/>
  <c r="Q159" i="55"/>
  <c r="C160" i="55"/>
  <c r="D160" i="55"/>
  <c r="E160" i="55"/>
  <c r="F160" i="55"/>
  <c r="I160" i="55"/>
  <c r="J160" i="55"/>
  <c r="K160" i="55"/>
  <c r="L160" i="55"/>
  <c r="M160" i="55"/>
  <c r="N160" i="55"/>
  <c r="P160" i="55"/>
  <c r="G160" i="55" s="1"/>
  <c r="C161" i="55"/>
  <c r="D161" i="55"/>
  <c r="E161" i="55"/>
  <c r="F161" i="55"/>
  <c r="G161" i="55"/>
  <c r="J161" i="55"/>
  <c r="K161" i="55"/>
  <c r="L161" i="55"/>
  <c r="M161" i="55"/>
  <c r="N161" i="55"/>
  <c r="P161" i="55"/>
  <c r="H161" i="55" s="1"/>
  <c r="O163" i="55"/>
  <c r="P163" i="55"/>
  <c r="Q163" i="55"/>
  <c r="O164" i="55"/>
  <c r="P164" i="55"/>
  <c r="O165" i="55"/>
  <c r="Q165" i="55" s="1"/>
  <c r="P165" i="55"/>
  <c r="O166" i="55"/>
  <c r="P166" i="55"/>
  <c r="Q166" i="55"/>
  <c r="O167" i="55"/>
  <c r="Q167" i="55" s="1"/>
  <c r="P167" i="55"/>
  <c r="O168" i="55"/>
  <c r="Q168" i="55" s="1"/>
  <c r="O169" i="55"/>
  <c r="Q169" i="55"/>
  <c r="O178" i="55"/>
  <c r="Q178" i="55"/>
  <c r="O179" i="55"/>
  <c r="O180" i="55"/>
  <c r="Q180" i="55" s="1"/>
  <c r="P180" i="55"/>
  <c r="O181" i="55"/>
  <c r="P181" i="55"/>
  <c r="Q181" i="55"/>
  <c r="O183" i="55"/>
  <c r="O184" i="55"/>
  <c r="Q184" i="55" s="1"/>
  <c r="P184" i="55"/>
  <c r="O185" i="55"/>
  <c r="P185" i="55"/>
  <c r="Q185" i="55"/>
  <c r="C186" i="55"/>
  <c r="D186" i="55"/>
  <c r="E186" i="55"/>
  <c r="K186" i="55"/>
  <c r="L186" i="55"/>
  <c r="M186" i="55"/>
  <c r="P186" i="55"/>
  <c r="G186" i="55" s="1"/>
  <c r="Q188" i="55"/>
  <c r="E190" i="55"/>
  <c r="F190" i="55"/>
  <c r="G190" i="55"/>
  <c r="M190" i="55"/>
  <c r="N190" i="55"/>
  <c r="P190" i="55"/>
  <c r="I190" i="55" s="1"/>
  <c r="F191" i="55"/>
  <c r="G191" i="55"/>
  <c r="N191" i="55"/>
  <c r="P191" i="55"/>
  <c r="J191" i="55" s="1"/>
  <c r="O192" i="55"/>
  <c r="Q192" i="55" s="1"/>
  <c r="P192" i="55"/>
  <c r="O193" i="55"/>
  <c r="P193" i="55"/>
  <c r="Q193" i="55"/>
  <c r="O194" i="55"/>
  <c r="Q194" i="55" s="1"/>
  <c r="P194" i="55"/>
  <c r="O195" i="55"/>
  <c r="P195" i="55"/>
  <c r="Q195" i="55" s="1"/>
  <c r="O196" i="55"/>
  <c r="Q196" i="55" s="1"/>
  <c r="P196" i="55"/>
  <c r="O197" i="55"/>
  <c r="Q197" i="55" s="1"/>
  <c r="O198" i="55"/>
  <c r="Q198" i="55"/>
  <c r="O206" i="55"/>
  <c r="Q206" i="55" s="1"/>
  <c r="O207" i="55"/>
  <c r="O208" i="55"/>
  <c r="Q208" i="55" s="1"/>
  <c r="P208" i="55"/>
  <c r="O209" i="55"/>
  <c r="Q209" i="55" s="1"/>
  <c r="P209" i="55"/>
  <c r="O211" i="55"/>
  <c r="O212" i="55"/>
  <c r="Q212" i="55" s="1"/>
  <c r="P212" i="55"/>
  <c r="O213" i="55"/>
  <c r="Q213" i="55" s="1"/>
  <c r="P213" i="55"/>
  <c r="D214" i="55"/>
  <c r="E214" i="55"/>
  <c r="F214" i="55"/>
  <c r="L214" i="55"/>
  <c r="M214" i="55"/>
  <c r="N214" i="55"/>
  <c r="P214" i="55"/>
  <c r="H214" i="55" s="1"/>
  <c r="Q216" i="55"/>
  <c r="E217" i="55"/>
  <c r="F217" i="55"/>
  <c r="G217" i="55"/>
  <c r="M217" i="55"/>
  <c r="N217" i="55"/>
  <c r="P217" i="55"/>
  <c r="I217" i="55" s="1"/>
  <c r="F218" i="55"/>
  <c r="G218" i="55"/>
  <c r="N218" i="55"/>
  <c r="P218" i="55"/>
  <c r="J218" i="55" s="1"/>
  <c r="P219" i="55"/>
  <c r="O220" i="55"/>
  <c r="Q220" i="55" s="1"/>
  <c r="P220" i="55"/>
  <c r="O221" i="55"/>
  <c r="P221" i="55"/>
  <c r="Q221" i="55"/>
  <c r="O222" i="55"/>
  <c r="Q222" i="55" s="1"/>
  <c r="P222" i="55"/>
  <c r="O223" i="55"/>
  <c r="Q223" i="55" s="1"/>
  <c r="P223" i="55"/>
  <c r="O224" i="55"/>
  <c r="P224" i="55"/>
  <c r="Q224" i="55"/>
  <c r="O225" i="55"/>
  <c r="Q225" i="55" s="1"/>
  <c r="O226" i="55"/>
  <c r="Q226" i="55" s="1"/>
  <c r="O235" i="55"/>
  <c r="Q235" i="55" s="1"/>
  <c r="O236" i="55"/>
  <c r="O237" i="55"/>
  <c r="Q237" i="55" s="1"/>
  <c r="P237" i="55"/>
  <c r="O238" i="55"/>
  <c r="Q238" i="55" s="1"/>
  <c r="P238" i="55"/>
  <c r="O240" i="55"/>
  <c r="O241" i="55"/>
  <c r="Q241" i="55" s="1"/>
  <c r="P241" i="55"/>
  <c r="O242" i="55"/>
  <c r="Q242" i="55" s="1"/>
  <c r="P242" i="55"/>
  <c r="P243" i="55"/>
  <c r="Q245" i="55"/>
  <c r="C246" i="55"/>
  <c r="D246" i="55"/>
  <c r="D256" i="55" s="1"/>
  <c r="E246" i="55"/>
  <c r="I246" i="55"/>
  <c r="J246" i="55"/>
  <c r="K246" i="55"/>
  <c r="L246" i="55"/>
  <c r="M246" i="55"/>
  <c r="P246" i="55"/>
  <c r="F246" i="55" s="1"/>
  <c r="F256" i="55" s="1"/>
  <c r="C247" i="55"/>
  <c r="D247" i="55"/>
  <c r="E247" i="55"/>
  <c r="E256" i="55" s="1"/>
  <c r="F247" i="55"/>
  <c r="J247" i="55"/>
  <c r="K247" i="55"/>
  <c r="K256" i="55" s="1"/>
  <c r="L247" i="55"/>
  <c r="M247" i="55"/>
  <c r="M256" i="55" s="1"/>
  <c r="N247" i="55"/>
  <c r="P247" i="55"/>
  <c r="G247" i="55" s="1"/>
  <c r="C248" i="55"/>
  <c r="D248" i="55"/>
  <c r="O248" i="55" s="1"/>
  <c r="Q248" i="55" s="1"/>
  <c r="E248" i="55"/>
  <c r="F248" i="55"/>
  <c r="G248" i="55"/>
  <c r="I248" i="55"/>
  <c r="J248" i="55"/>
  <c r="K248" i="55"/>
  <c r="L248" i="55"/>
  <c r="M248" i="55"/>
  <c r="N248" i="55"/>
  <c r="P248" i="55"/>
  <c r="H248" i="55" s="1"/>
  <c r="O249" i="55"/>
  <c r="P249" i="55"/>
  <c r="Q249" i="55"/>
  <c r="O250" i="55"/>
  <c r="P250" i="55"/>
  <c r="Q250" i="55" s="1"/>
  <c r="O251" i="55"/>
  <c r="P251" i="55"/>
  <c r="Q251" i="55" s="1"/>
  <c r="O252" i="55"/>
  <c r="Q252" i="55" s="1"/>
  <c r="P252" i="55"/>
  <c r="O253" i="55"/>
  <c r="Q253" i="55" s="1"/>
  <c r="P253" i="55"/>
  <c r="O254" i="55"/>
  <c r="Q254" i="55" s="1"/>
  <c r="O255" i="55"/>
  <c r="Q255" i="55"/>
  <c r="J256" i="55"/>
  <c r="L256" i="55"/>
  <c r="O263" i="55"/>
  <c r="Q263" i="55"/>
  <c r="O264" i="55"/>
  <c r="O265" i="55"/>
  <c r="Q265" i="55" s="1"/>
  <c r="P265" i="55"/>
  <c r="O266" i="55"/>
  <c r="P266" i="55"/>
  <c r="Q266" i="55"/>
  <c r="O268" i="55"/>
  <c r="O269" i="55"/>
  <c r="Q269" i="55" s="1"/>
  <c r="P269" i="55"/>
  <c r="O270" i="55"/>
  <c r="P270" i="55"/>
  <c r="Q270" i="55"/>
  <c r="C271" i="55"/>
  <c r="D271" i="55"/>
  <c r="E271" i="55"/>
  <c r="I271" i="55"/>
  <c r="J271" i="55"/>
  <c r="K271" i="55"/>
  <c r="L271" i="55"/>
  <c r="M271" i="55"/>
  <c r="P271" i="55"/>
  <c r="F271" i="55" s="1"/>
  <c r="Q273" i="55"/>
  <c r="C274" i="55"/>
  <c r="D274" i="55"/>
  <c r="E274" i="55"/>
  <c r="E284" i="55" s="1"/>
  <c r="F274" i="55"/>
  <c r="J274" i="55"/>
  <c r="K274" i="55"/>
  <c r="L274" i="55"/>
  <c r="M274" i="55"/>
  <c r="N274" i="55"/>
  <c r="P274" i="55"/>
  <c r="G274" i="55" s="1"/>
  <c r="C275" i="55"/>
  <c r="D275" i="55"/>
  <c r="E275" i="55"/>
  <c r="F275" i="55"/>
  <c r="G275" i="55"/>
  <c r="I275" i="55"/>
  <c r="J275" i="55"/>
  <c r="K275" i="55"/>
  <c r="L275" i="55"/>
  <c r="M275" i="55"/>
  <c r="N275" i="55"/>
  <c r="P275" i="55"/>
  <c r="H275" i="55" s="1"/>
  <c r="E276" i="55"/>
  <c r="G276" i="55"/>
  <c r="M276" i="55"/>
  <c r="P276" i="55"/>
  <c r="H276" i="55" s="1"/>
  <c r="O277" i="55"/>
  <c r="P277" i="55"/>
  <c r="Q277" i="55"/>
  <c r="O278" i="55"/>
  <c r="P278" i="55"/>
  <c r="Q278" i="55"/>
  <c r="O279" i="55"/>
  <c r="Q279" i="55" s="1"/>
  <c r="P279" i="55"/>
  <c r="O280" i="55"/>
  <c r="P280" i="55"/>
  <c r="Q280" i="55"/>
  <c r="O281" i="55"/>
  <c r="P281" i="55"/>
  <c r="Q281" i="55" s="1"/>
  <c r="O282" i="55"/>
  <c r="Q282" i="55"/>
  <c r="O283" i="55"/>
  <c r="Q283" i="55"/>
  <c r="M284" i="55"/>
  <c r="O291" i="55"/>
  <c r="Q291" i="55" s="1"/>
  <c r="O292" i="55"/>
  <c r="O293" i="55"/>
  <c r="Q293" i="55" s="1"/>
  <c r="P293" i="55"/>
  <c r="O294" i="55"/>
  <c r="P294" i="55"/>
  <c r="Q294" i="55"/>
  <c r="O296" i="55"/>
  <c r="O297" i="55"/>
  <c r="Q297" i="55" s="1"/>
  <c r="P297" i="55"/>
  <c r="O298" i="55"/>
  <c r="P298" i="55"/>
  <c r="Q298" i="55"/>
  <c r="Q301" i="55"/>
  <c r="C302" i="55"/>
  <c r="D302" i="55"/>
  <c r="E302" i="55"/>
  <c r="F302" i="55"/>
  <c r="G302" i="55"/>
  <c r="I302" i="55"/>
  <c r="J302" i="55"/>
  <c r="K302" i="55"/>
  <c r="L302" i="55"/>
  <c r="M302" i="55"/>
  <c r="N302" i="55"/>
  <c r="P302" i="55"/>
  <c r="H302" i="55" s="1"/>
  <c r="O305" i="55"/>
  <c r="P305" i="55"/>
  <c r="Q305" i="55" s="1"/>
  <c r="O306" i="55"/>
  <c r="P306" i="55"/>
  <c r="O307" i="55"/>
  <c r="Q307" i="55" s="1"/>
  <c r="P307" i="55"/>
  <c r="O308" i="55"/>
  <c r="P308" i="55"/>
  <c r="Q308" i="55"/>
  <c r="O309" i="55"/>
  <c r="P309" i="55"/>
  <c r="Q309" i="55"/>
  <c r="O310" i="55"/>
  <c r="Q310" i="55" s="1"/>
  <c r="O311" i="55"/>
  <c r="Q311" i="55" s="1"/>
  <c r="O319" i="55"/>
  <c r="Q319" i="55" s="1"/>
  <c r="O320" i="55"/>
  <c r="O321" i="55"/>
  <c r="Q321" i="55" s="1"/>
  <c r="P321" i="55"/>
  <c r="O322" i="55"/>
  <c r="P322" i="55"/>
  <c r="Q322" i="55"/>
  <c r="O324" i="55"/>
  <c r="O325" i="55"/>
  <c r="Q325" i="55" s="1"/>
  <c r="P325" i="55"/>
  <c r="O326" i="55"/>
  <c r="P326" i="55"/>
  <c r="Q326" i="55"/>
  <c r="C327" i="55"/>
  <c r="E327" i="55"/>
  <c r="F327" i="55"/>
  <c r="J327" i="55"/>
  <c r="K327" i="55"/>
  <c r="M327" i="55"/>
  <c r="N327" i="55"/>
  <c r="P327" i="55"/>
  <c r="G327" i="55" s="1"/>
  <c r="Q329" i="55"/>
  <c r="C330" i="55"/>
  <c r="D330" i="55"/>
  <c r="E330" i="55"/>
  <c r="F330" i="55"/>
  <c r="G330" i="55"/>
  <c r="I330" i="55"/>
  <c r="J330" i="55"/>
  <c r="K330" i="55"/>
  <c r="L330" i="55"/>
  <c r="O330" i="55" s="1"/>
  <c r="Q330" i="55" s="1"/>
  <c r="M330" i="55"/>
  <c r="N330" i="55"/>
  <c r="P330" i="55"/>
  <c r="H330" i="55" s="1"/>
  <c r="E331" i="55"/>
  <c r="G331" i="55"/>
  <c r="H331" i="55"/>
  <c r="P331" i="55"/>
  <c r="D331" i="55" s="1"/>
  <c r="O333" i="55"/>
  <c r="P333" i="55"/>
  <c r="Q333" i="55" s="1"/>
  <c r="O334" i="55"/>
  <c r="P334" i="55"/>
  <c r="O335" i="55"/>
  <c r="Q335" i="55" s="1"/>
  <c r="P335" i="55"/>
  <c r="O336" i="55"/>
  <c r="P336" i="55"/>
  <c r="Q336" i="55"/>
  <c r="O337" i="55"/>
  <c r="P337" i="55"/>
  <c r="Q337" i="55"/>
  <c r="O338" i="55"/>
  <c r="Q338" i="55" s="1"/>
  <c r="O339" i="55"/>
  <c r="Q339" i="55" s="1"/>
  <c r="O347" i="55"/>
  <c r="Q347" i="55"/>
  <c r="O348" i="55"/>
  <c r="O349" i="55"/>
  <c r="P349" i="55"/>
  <c r="Q349" i="55" s="1"/>
  <c r="O350" i="55"/>
  <c r="P350" i="55"/>
  <c r="Q350" i="55" s="1"/>
  <c r="O352" i="55"/>
  <c r="O353" i="55"/>
  <c r="P353" i="55"/>
  <c r="Q353" i="55" s="1"/>
  <c r="O354" i="55"/>
  <c r="P354" i="55"/>
  <c r="Q354" i="55" s="1"/>
  <c r="C355" i="55"/>
  <c r="D355" i="55"/>
  <c r="E355" i="55"/>
  <c r="F355" i="55"/>
  <c r="G355" i="55"/>
  <c r="I355" i="55"/>
  <c r="J355" i="55"/>
  <c r="K355" i="55"/>
  <c r="L355" i="55"/>
  <c r="M355" i="55"/>
  <c r="N355" i="55"/>
  <c r="O355" i="55"/>
  <c r="Q355" i="55" s="1"/>
  <c r="P355" i="55"/>
  <c r="H355" i="55" s="1"/>
  <c r="Q357" i="55"/>
  <c r="D358" i="55"/>
  <c r="E358" i="55"/>
  <c r="G358" i="55"/>
  <c r="H358" i="55"/>
  <c r="L358" i="55"/>
  <c r="M358" i="55"/>
  <c r="P358" i="55"/>
  <c r="E359" i="55"/>
  <c r="F359" i="55"/>
  <c r="H359" i="55"/>
  <c r="I359" i="55"/>
  <c r="M359" i="55"/>
  <c r="N359" i="55"/>
  <c r="P359" i="55"/>
  <c r="F360" i="55"/>
  <c r="G360" i="55"/>
  <c r="I360" i="55"/>
  <c r="J360" i="55"/>
  <c r="L360" i="55"/>
  <c r="N360" i="55"/>
  <c r="P360" i="55"/>
  <c r="C360" i="55" s="1"/>
  <c r="C361" i="55"/>
  <c r="G361" i="55"/>
  <c r="H361" i="55"/>
  <c r="J361" i="55"/>
  <c r="K361" i="55"/>
  <c r="P361" i="55"/>
  <c r="C362" i="55"/>
  <c r="D362" i="55"/>
  <c r="H362" i="55"/>
  <c r="I362" i="55"/>
  <c r="K362" i="55"/>
  <c r="L362" i="55"/>
  <c r="P362" i="55"/>
  <c r="O363" i="55"/>
  <c r="F364" i="55"/>
  <c r="G364" i="55"/>
  <c r="I364" i="55"/>
  <c r="J364" i="55"/>
  <c r="N364" i="55"/>
  <c r="P364" i="55"/>
  <c r="C364" i="55" s="1"/>
  <c r="G365" i="55"/>
  <c r="H365" i="55"/>
  <c r="P365" i="55"/>
  <c r="O366" i="55"/>
  <c r="Q366" i="55" s="1"/>
  <c r="O367" i="55"/>
  <c r="Q367" i="55"/>
  <c r="O375" i="55"/>
  <c r="Q375" i="55" s="1"/>
  <c r="O376" i="55"/>
  <c r="O377" i="55"/>
  <c r="P377" i="55"/>
  <c r="Q377" i="55"/>
  <c r="O378" i="55"/>
  <c r="P378" i="55"/>
  <c r="Q378" i="55"/>
  <c r="O381" i="55"/>
  <c r="P381" i="55"/>
  <c r="Q381" i="55" s="1"/>
  <c r="O382" i="55"/>
  <c r="P382" i="55"/>
  <c r="Q382" i="55"/>
  <c r="C383" i="55"/>
  <c r="J383" i="55"/>
  <c r="K383" i="55"/>
  <c r="L383" i="55"/>
  <c r="P383" i="55"/>
  <c r="H383" i="55" s="1"/>
  <c r="Q385" i="55"/>
  <c r="C386" i="55"/>
  <c r="D386" i="55"/>
  <c r="E386" i="55"/>
  <c r="F386" i="55"/>
  <c r="G386" i="55"/>
  <c r="J386" i="55"/>
  <c r="K386" i="55"/>
  <c r="L386" i="55"/>
  <c r="M386" i="55"/>
  <c r="N386" i="55"/>
  <c r="P386" i="55"/>
  <c r="H386" i="55" s="1"/>
  <c r="H387" i="55"/>
  <c r="P387" i="55"/>
  <c r="H388" i="55"/>
  <c r="P388" i="55"/>
  <c r="O389" i="55"/>
  <c r="P389" i="55"/>
  <c r="Q389" i="55"/>
  <c r="O390" i="55"/>
  <c r="P390" i="55"/>
  <c r="Q390" i="55"/>
  <c r="O391" i="55"/>
  <c r="Q391" i="55" s="1"/>
  <c r="P391" i="55"/>
  <c r="O392" i="55"/>
  <c r="P392" i="55"/>
  <c r="Q392" i="55" s="1"/>
  <c r="O393" i="55"/>
  <c r="P393" i="55"/>
  <c r="Q393" i="55"/>
  <c r="O394" i="55"/>
  <c r="Q394" i="55" s="1"/>
  <c r="O395" i="55"/>
  <c r="Q395" i="55"/>
  <c r="O403" i="55"/>
  <c r="Q403" i="55" s="1"/>
  <c r="O405" i="55"/>
  <c r="Q405" i="55" s="1"/>
  <c r="P405" i="55"/>
  <c r="O406" i="55"/>
  <c r="Q406" i="55" s="1"/>
  <c r="P406" i="55"/>
  <c r="O408" i="55"/>
  <c r="O409" i="55"/>
  <c r="Q409" i="55" s="1"/>
  <c r="P409" i="55"/>
  <c r="O410" i="55"/>
  <c r="Q410" i="55" s="1"/>
  <c r="P410" i="55"/>
  <c r="Q413" i="55"/>
  <c r="C414" i="55"/>
  <c r="D414" i="55"/>
  <c r="E414" i="55"/>
  <c r="F414" i="55"/>
  <c r="I414" i="55"/>
  <c r="J414" i="55"/>
  <c r="K414" i="55"/>
  <c r="L414" i="55"/>
  <c r="M414" i="55"/>
  <c r="N414" i="55"/>
  <c r="P414" i="55"/>
  <c r="G414" i="55" s="1"/>
  <c r="C415" i="55"/>
  <c r="D415" i="55"/>
  <c r="E415" i="55"/>
  <c r="F415" i="55"/>
  <c r="G415" i="55"/>
  <c r="J415" i="55"/>
  <c r="K415" i="55"/>
  <c r="L415" i="55"/>
  <c r="M415" i="55"/>
  <c r="N415" i="55"/>
  <c r="P415" i="55"/>
  <c r="H415" i="55" s="1"/>
  <c r="H416" i="55"/>
  <c r="P416" i="55"/>
  <c r="O417" i="55"/>
  <c r="P417" i="55"/>
  <c r="Q417" i="55" s="1"/>
  <c r="O418" i="55"/>
  <c r="P418" i="55"/>
  <c r="Q418" i="55"/>
  <c r="C420" i="55"/>
  <c r="D420" i="55"/>
  <c r="G420" i="55"/>
  <c r="J420" i="55"/>
  <c r="K420" i="55"/>
  <c r="L420" i="55"/>
  <c r="P420" i="55"/>
  <c r="E420" i="55" s="1"/>
  <c r="O421" i="55"/>
  <c r="P421" i="55"/>
  <c r="Q421" i="55" s="1"/>
  <c r="O422" i="55"/>
  <c r="Q422" i="55" s="1"/>
  <c r="O423" i="55"/>
  <c r="Q423" i="55" s="1"/>
  <c r="O431" i="55"/>
  <c r="Q431" i="55" s="1"/>
  <c r="O433" i="55"/>
  <c r="Q433" i="55" s="1"/>
  <c r="P433" i="55"/>
  <c r="O434" i="55"/>
  <c r="P434" i="55"/>
  <c r="Q434" i="55" s="1"/>
  <c r="O435" i="55"/>
  <c r="O436" i="55"/>
  <c r="O437" i="55"/>
  <c r="Q437" i="55" s="1"/>
  <c r="P437" i="55"/>
  <c r="O438" i="55"/>
  <c r="P438" i="55"/>
  <c r="Q438" i="55" s="1"/>
  <c r="C439" i="55"/>
  <c r="D439" i="55"/>
  <c r="D440" i="55" s="1"/>
  <c r="E439" i="55"/>
  <c r="E440" i="55" s="1"/>
  <c r="F439" i="55"/>
  <c r="I439" i="55"/>
  <c r="I440" i="55" s="1"/>
  <c r="J439" i="55"/>
  <c r="K439" i="55"/>
  <c r="L439" i="55"/>
  <c r="L440" i="55" s="1"/>
  <c r="M439" i="55"/>
  <c r="M440" i="55" s="1"/>
  <c r="N439" i="55"/>
  <c r="P439" i="55"/>
  <c r="G439" i="55" s="1"/>
  <c r="G440" i="55"/>
  <c r="J440" i="55"/>
  <c r="N440" i="55"/>
  <c r="Q441" i="55"/>
  <c r="C442" i="55"/>
  <c r="D442" i="55"/>
  <c r="E442" i="55"/>
  <c r="F442" i="55"/>
  <c r="G442" i="55"/>
  <c r="J442" i="55"/>
  <c r="K442" i="55"/>
  <c r="L442" i="55"/>
  <c r="M442" i="55"/>
  <c r="N442" i="55"/>
  <c r="P442" i="55"/>
  <c r="H442" i="55" s="1"/>
  <c r="H443" i="55"/>
  <c r="P443" i="55"/>
  <c r="O445" i="55"/>
  <c r="P445" i="55"/>
  <c r="Q445" i="55"/>
  <c r="O446" i="55"/>
  <c r="P446" i="55"/>
  <c r="Q446" i="55"/>
  <c r="O447" i="55"/>
  <c r="P447" i="55"/>
  <c r="O448" i="55"/>
  <c r="P448" i="55"/>
  <c r="Q448" i="55" s="1"/>
  <c r="O449" i="55"/>
  <c r="P449" i="55"/>
  <c r="Q449" i="55"/>
  <c r="O450" i="55"/>
  <c r="Q450" i="55" s="1"/>
  <c r="O451" i="55"/>
  <c r="Q451" i="55"/>
  <c r="O459" i="55"/>
  <c r="Q459" i="55"/>
  <c r="O460" i="55"/>
  <c r="O461" i="55"/>
  <c r="Q461" i="55" s="1"/>
  <c r="P461" i="55"/>
  <c r="O462" i="55"/>
  <c r="P462" i="55"/>
  <c r="Q462" i="55" s="1"/>
  <c r="O464" i="55"/>
  <c r="O465" i="55"/>
  <c r="Q465" i="55" s="1"/>
  <c r="P465" i="55"/>
  <c r="O466" i="55"/>
  <c r="P466" i="55"/>
  <c r="Q466" i="55" s="1"/>
  <c r="C467" i="55"/>
  <c r="D467" i="55"/>
  <c r="E467" i="55"/>
  <c r="F467" i="55"/>
  <c r="I467" i="55"/>
  <c r="J467" i="55"/>
  <c r="K467" i="55"/>
  <c r="L467" i="55"/>
  <c r="M467" i="55"/>
  <c r="N467" i="55"/>
  <c r="P467" i="55"/>
  <c r="G467" i="55" s="1"/>
  <c r="Q469" i="55"/>
  <c r="C470" i="55"/>
  <c r="D470" i="55"/>
  <c r="E470" i="55"/>
  <c r="F470" i="55"/>
  <c r="G470" i="55"/>
  <c r="J470" i="55"/>
  <c r="K470" i="55"/>
  <c r="L470" i="55"/>
  <c r="M470" i="55"/>
  <c r="N470" i="55"/>
  <c r="P470" i="55"/>
  <c r="H470" i="55" s="1"/>
  <c r="P471" i="55"/>
  <c r="G472" i="55"/>
  <c r="P472" i="55"/>
  <c r="F472" i="55" s="1"/>
  <c r="O472" i="55" s="1"/>
  <c r="Q472" i="55" s="1"/>
  <c r="O473" i="55"/>
  <c r="P473" i="55"/>
  <c r="O474" i="55"/>
  <c r="P474" i="55"/>
  <c r="Q474" i="55" s="1"/>
  <c r="O475" i="55"/>
  <c r="O476" i="55"/>
  <c r="Q476" i="55" s="1"/>
  <c r="P476" i="55"/>
  <c r="O477" i="55"/>
  <c r="Q477" i="55" s="1"/>
  <c r="P477" i="55"/>
  <c r="O478" i="55"/>
  <c r="Q478" i="55"/>
  <c r="O479" i="55"/>
  <c r="Q479" i="55" s="1"/>
  <c r="O487" i="55"/>
  <c r="Q487" i="55" s="1"/>
  <c r="O488" i="55"/>
  <c r="O489" i="55"/>
  <c r="P489" i="55"/>
  <c r="Q489" i="55"/>
  <c r="O490" i="55"/>
  <c r="Q490" i="55" s="1"/>
  <c r="P490" i="55"/>
  <c r="J491" i="55"/>
  <c r="J496" i="55" s="1"/>
  <c r="O492" i="55"/>
  <c r="O493" i="55"/>
  <c r="O494" i="55"/>
  <c r="P494" i="55"/>
  <c r="Q494" i="55"/>
  <c r="O495" i="55"/>
  <c r="Q495" i="55" s="1"/>
  <c r="P495" i="55"/>
  <c r="C496" i="55"/>
  <c r="D496" i="55"/>
  <c r="E496" i="55"/>
  <c r="F496" i="55"/>
  <c r="G496" i="55"/>
  <c r="H496" i="55"/>
  <c r="O496" i="55" s="1"/>
  <c r="I496" i="55"/>
  <c r="K496" i="55"/>
  <c r="L496" i="55"/>
  <c r="M496" i="55"/>
  <c r="N496" i="55"/>
  <c r="Q497" i="55"/>
  <c r="C498" i="55"/>
  <c r="D498" i="55"/>
  <c r="D499" i="55" s="1"/>
  <c r="D508" i="55" s="1"/>
  <c r="E498" i="55"/>
  <c r="F498" i="55"/>
  <c r="G498" i="55"/>
  <c r="H498" i="55"/>
  <c r="P498" i="55"/>
  <c r="E499" i="55"/>
  <c r="F499" i="55"/>
  <c r="F508" i="55" s="1"/>
  <c r="G499" i="55"/>
  <c r="I499" i="55"/>
  <c r="J499" i="55"/>
  <c r="K499" i="55"/>
  <c r="L499" i="55"/>
  <c r="M499" i="55"/>
  <c r="N499" i="55"/>
  <c r="N508" i="55" s="1"/>
  <c r="P499" i="55"/>
  <c r="O500" i="55"/>
  <c r="Q500" i="55" s="1"/>
  <c r="P500" i="55"/>
  <c r="O501" i="55"/>
  <c r="P501" i="55"/>
  <c r="Q501" i="55" s="1"/>
  <c r="O502" i="55"/>
  <c r="P502" i="55"/>
  <c r="Q502" i="55"/>
  <c r="O503" i="55"/>
  <c r="P503" i="55"/>
  <c r="Q503" i="55"/>
  <c r="O504" i="55"/>
  <c r="Q504" i="55" s="1"/>
  <c r="P504" i="55"/>
  <c r="O505" i="55"/>
  <c r="P505" i="55"/>
  <c r="Q505" i="55" s="1"/>
  <c r="O506" i="55"/>
  <c r="Q506" i="55"/>
  <c r="O507" i="55"/>
  <c r="Q507" i="55" s="1"/>
  <c r="E508" i="55"/>
  <c r="I508" i="55"/>
  <c r="J508" i="55"/>
  <c r="K508" i="55"/>
  <c r="L508" i="55"/>
  <c r="M508" i="55"/>
  <c r="H8" i="54"/>
  <c r="I8" i="54"/>
  <c r="N12" i="54"/>
  <c r="O12" i="54"/>
  <c r="C14" i="54"/>
  <c r="D14" i="54"/>
  <c r="E14" i="54"/>
  <c r="F14" i="54"/>
  <c r="G14" i="54"/>
  <c r="C22" i="54"/>
  <c r="D22" i="54"/>
  <c r="E22" i="54"/>
  <c r="F22" i="54"/>
  <c r="O25" i="54"/>
  <c r="O26" i="54"/>
  <c r="D7" i="53"/>
  <c r="E7" i="53"/>
  <c r="D12" i="53"/>
  <c r="E12" i="53"/>
  <c r="D24" i="53"/>
  <c r="E24" i="53"/>
  <c r="E26" i="53"/>
  <c r="D27" i="53"/>
  <c r="D30" i="53"/>
  <c r="E30" i="53"/>
  <c r="E40" i="53"/>
  <c r="E41" i="53"/>
  <c r="E45" i="53" s="1"/>
  <c r="E63" i="53" s="1"/>
  <c r="D45" i="53"/>
  <c r="D61" i="53"/>
  <c r="E61" i="53"/>
  <c r="F5" i="52"/>
  <c r="G5" i="52" s="1"/>
  <c r="E7" i="52"/>
  <c r="F7" i="52"/>
  <c r="G7" i="52"/>
  <c r="H7" i="52"/>
  <c r="I8" i="52"/>
  <c r="I9" i="52"/>
  <c r="D10" i="52"/>
  <c r="F10" i="52"/>
  <c r="G10" i="52"/>
  <c r="H10" i="52"/>
  <c r="I11" i="52"/>
  <c r="E12" i="52"/>
  <c r="I12" i="52"/>
  <c r="I13" i="52"/>
  <c r="G14" i="52"/>
  <c r="H14" i="52"/>
  <c r="P14" i="52"/>
  <c r="D15" i="52"/>
  <c r="Z15" i="52"/>
  <c r="AA15" i="52"/>
  <c r="D16" i="52"/>
  <c r="F16" i="52"/>
  <c r="F14" i="52" s="1"/>
  <c r="T16" i="52"/>
  <c r="U16" i="52"/>
  <c r="Z16" i="52"/>
  <c r="AA16" i="52"/>
  <c r="B17" i="52"/>
  <c r="D17" i="52"/>
  <c r="P17" i="52"/>
  <c r="Z17" i="52"/>
  <c r="AA17" i="52"/>
  <c r="B18" i="52"/>
  <c r="D18" i="52"/>
  <c r="Z18" i="52"/>
  <c r="D19" i="52"/>
  <c r="E19" i="52"/>
  <c r="I19" i="52" s="1"/>
  <c r="T19" i="52"/>
  <c r="Z19" i="52"/>
  <c r="AA19" i="52"/>
  <c r="D20" i="52"/>
  <c r="M20" i="52"/>
  <c r="N20" i="52"/>
  <c r="Z20" i="52"/>
  <c r="AA20" i="52"/>
  <c r="D21" i="52"/>
  <c r="Z21" i="52"/>
  <c r="AA21" i="52"/>
  <c r="B22" i="52"/>
  <c r="D22" i="52"/>
  <c r="Z22" i="52"/>
  <c r="AA22" i="52"/>
  <c r="B23" i="52"/>
  <c r="D23" i="52"/>
  <c r="E23" i="52"/>
  <c r="I23" i="52" s="1"/>
  <c r="J23" i="52"/>
  <c r="Z23" i="52"/>
  <c r="AA23" i="52"/>
  <c r="H24" i="52"/>
  <c r="I24" i="52"/>
  <c r="I25" i="52"/>
  <c r="I26" i="52"/>
  <c r="G27" i="52"/>
  <c r="H27" i="52"/>
  <c r="B28" i="52"/>
  <c r="D28" i="52"/>
  <c r="B29" i="52"/>
  <c r="D29" i="52"/>
  <c r="L29" i="52"/>
  <c r="Z29" i="52"/>
  <c r="AA29" i="52"/>
  <c r="B30" i="52"/>
  <c r="J30" i="52"/>
  <c r="J31" i="52"/>
  <c r="E32" i="52"/>
  <c r="F32" i="52"/>
  <c r="G32" i="52"/>
  <c r="G34" i="52" s="1"/>
  <c r="H32" i="52"/>
  <c r="I32" i="52"/>
  <c r="I33" i="52"/>
  <c r="L37" i="52"/>
  <c r="M37" i="52" s="1"/>
  <c r="E5" i="51"/>
  <c r="E93" i="51" s="1"/>
  <c r="L7" i="51"/>
  <c r="C8" i="51"/>
  <c r="C7" i="51" s="1"/>
  <c r="D8" i="51"/>
  <c r="D7" i="51" s="1"/>
  <c r="L8" i="51"/>
  <c r="C9" i="51"/>
  <c r="G9" i="51" s="1"/>
  <c r="D9" i="51"/>
  <c r="L9" i="51"/>
  <c r="C10" i="51"/>
  <c r="G10" i="51" s="1"/>
  <c r="D10" i="51"/>
  <c r="L10" i="51"/>
  <c r="C11" i="51"/>
  <c r="G11" i="51" s="1"/>
  <c r="D11" i="51"/>
  <c r="L11" i="51"/>
  <c r="C12" i="51"/>
  <c r="G12" i="51" s="1"/>
  <c r="D12" i="51"/>
  <c r="L12" i="51"/>
  <c r="C13" i="51"/>
  <c r="D13" i="51"/>
  <c r="M13" i="51" s="1"/>
  <c r="L13" i="51"/>
  <c r="C15" i="51"/>
  <c r="C14" i="51" s="1"/>
  <c r="D15" i="51"/>
  <c r="C16" i="51"/>
  <c r="D16" i="51"/>
  <c r="C17" i="51"/>
  <c r="D17" i="51"/>
  <c r="M17" i="51" s="1"/>
  <c r="L17" i="51"/>
  <c r="C18" i="51"/>
  <c r="D18" i="51"/>
  <c r="L18" i="51"/>
  <c r="M18" i="51"/>
  <c r="C19" i="51"/>
  <c r="G19" i="51" s="1"/>
  <c r="D19" i="51"/>
  <c r="L19" i="51"/>
  <c r="C20" i="51"/>
  <c r="M20" i="51" s="1"/>
  <c r="D20" i="51"/>
  <c r="L20" i="51"/>
  <c r="C22" i="51"/>
  <c r="D22" i="51"/>
  <c r="G22" i="51"/>
  <c r="L22" i="51"/>
  <c r="M22" i="51"/>
  <c r="C23" i="51"/>
  <c r="M23" i="51" s="1"/>
  <c r="D23" i="51"/>
  <c r="L23" i="51"/>
  <c r="C24" i="51"/>
  <c r="D24" i="51"/>
  <c r="C25" i="51"/>
  <c r="D25" i="51"/>
  <c r="L25" i="51" s="1"/>
  <c r="M25" i="51"/>
  <c r="C26" i="51"/>
  <c r="D26" i="51"/>
  <c r="C27" i="51"/>
  <c r="D27" i="51"/>
  <c r="L27" i="51"/>
  <c r="M27" i="51"/>
  <c r="C29" i="51"/>
  <c r="C28" i="51" s="1"/>
  <c r="D29" i="51"/>
  <c r="C30" i="51"/>
  <c r="D30" i="51"/>
  <c r="G30" i="51"/>
  <c r="L30" i="51"/>
  <c r="M30" i="51"/>
  <c r="C31" i="51"/>
  <c r="D31" i="51"/>
  <c r="G31" i="51"/>
  <c r="L31" i="51"/>
  <c r="M31" i="51"/>
  <c r="C32" i="51"/>
  <c r="D32" i="51"/>
  <c r="M32" i="51" s="1"/>
  <c r="L32" i="51"/>
  <c r="C33" i="51"/>
  <c r="D33" i="51"/>
  <c r="G33" i="51"/>
  <c r="C34" i="51"/>
  <c r="D34" i="51"/>
  <c r="L34" i="51"/>
  <c r="C36" i="51"/>
  <c r="D36" i="51"/>
  <c r="C37" i="51"/>
  <c r="D37" i="51"/>
  <c r="C38" i="51"/>
  <c r="D38" i="51"/>
  <c r="G38" i="51"/>
  <c r="L38" i="51"/>
  <c r="M38" i="51"/>
  <c r="C39" i="51"/>
  <c r="G39" i="51" s="1"/>
  <c r="D39" i="51"/>
  <c r="L39" i="51" s="1"/>
  <c r="C40" i="51"/>
  <c r="G40" i="51" s="1"/>
  <c r="D40" i="51"/>
  <c r="L40" i="51" s="1"/>
  <c r="C41" i="51"/>
  <c r="G41" i="51" s="1"/>
  <c r="D41" i="51"/>
  <c r="M41" i="51" s="1"/>
  <c r="L41" i="51"/>
  <c r="C42" i="51"/>
  <c r="D42" i="51"/>
  <c r="G42" i="51" s="1"/>
  <c r="L42" i="51"/>
  <c r="M42" i="51"/>
  <c r="C43" i="51"/>
  <c r="D43" i="51"/>
  <c r="G43" i="51" s="1"/>
  <c r="C44" i="51"/>
  <c r="D44" i="51"/>
  <c r="L44" i="51" s="1"/>
  <c r="M44" i="51"/>
  <c r="C45" i="51"/>
  <c r="G45" i="51" s="1"/>
  <c r="D45" i="51"/>
  <c r="L45" i="51" s="1"/>
  <c r="C46" i="51"/>
  <c r="D46" i="51"/>
  <c r="G46" i="51"/>
  <c r="L46" i="51"/>
  <c r="C48" i="51"/>
  <c r="C47" i="51" s="1"/>
  <c r="D48" i="51"/>
  <c r="L48" i="51"/>
  <c r="M48" i="51"/>
  <c r="C49" i="51"/>
  <c r="M49" i="51" s="1"/>
  <c r="D49" i="51"/>
  <c r="G49" i="51" s="1"/>
  <c r="L49" i="51"/>
  <c r="C50" i="51"/>
  <c r="M50" i="51" s="1"/>
  <c r="D50" i="51"/>
  <c r="G50" i="51" s="1"/>
  <c r="L50" i="51"/>
  <c r="C51" i="51"/>
  <c r="D51" i="51"/>
  <c r="L51" i="51" s="1"/>
  <c r="C52" i="51"/>
  <c r="D52" i="51"/>
  <c r="C54" i="51"/>
  <c r="C53" i="51" s="1"/>
  <c r="D54" i="51"/>
  <c r="L54" i="51" s="1"/>
  <c r="M54" i="51"/>
  <c r="C55" i="51"/>
  <c r="D55" i="51"/>
  <c r="G55" i="51" s="1"/>
  <c r="C56" i="51"/>
  <c r="D56" i="51"/>
  <c r="D53" i="51" s="1"/>
  <c r="C57" i="51"/>
  <c r="D57" i="51"/>
  <c r="L57" i="51"/>
  <c r="M57" i="51"/>
  <c r="C59" i="51"/>
  <c r="C58" i="51" s="1"/>
  <c r="D59" i="51"/>
  <c r="D58" i="51" s="1"/>
  <c r="L59" i="51"/>
  <c r="C60" i="51"/>
  <c r="D60" i="51"/>
  <c r="G60" i="51"/>
  <c r="L60" i="51"/>
  <c r="M60" i="51"/>
  <c r="C61" i="51"/>
  <c r="G61" i="51" s="1"/>
  <c r="D61" i="51"/>
  <c r="M61" i="51" s="1"/>
  <c r="L61" i="51"/>
  <c r="C62" i="51"/>
  <c r="D62" i="51"/>
  <c r="M62" i="51" s="1"/>
  <c r="L62" i="51"/>
  <c r="C64" i="51"/>
  <c r="C65" i="51"/>
  <c r="D65" i="51"/>
  <c r="C66" i="51"/>
  <c r="D66" i="51"/>
  <c r="M66" i="51" s="1"/>
  <c r="C67" i="51"/>
  <c r="D67" i="51"/>
  <c r="L67" i="51"/>
  <c r="M67" i="51"/>
  <c r="C69" i="51"/>
  <c r="D69" i="51"/>
  <c r="C70" i="51"/>
  <c r="D70" i="51"/>
  <c r="M70" i="51" s="1"/>
  <c r="L70" i="51"/>
  <c r="C71" i="51"/>
  <c r="D71" i="51"/>
  <c r="L71" i="51"/>
  <c r="M71" i="51"/>
  <c r="C72" i="51"/>
  <c r="C68" i="51" s="1"/>
  <c r="D72" i="51"/>
  <c r="L72" i="51"/>
  <c r="C74" i="51"/>
  <c r="C73" i="51" s="1"/>
  <c r="D74" i="51"/>
  <c r="C75" i="51"/>
  <c r="D75" i="51"/>
  <c r="C77" i="51"/>
  <c r="C76" i="51" s="1"/>
  <c r="D77" i="51"/>
  <c r="G77" i="51" s="1"/>
  <c r="C78" i="51"/>
  <c r="D78" i="51"/>
  <c r="L78" i="51"/>
  <c r="M78" i="51"/>
  <c r="C79" i="51"/>
  <c r="D79" i="51"/>
  <c r="G79" i="51" s="1"/>
  <c r="L79" i="51"/>
  <c r="M79" i="51"/>
  <c r="D81" i="51"/>
  <c r="D80" i="51" s="1"/>
  <c r="L80" i="51" s="1"/>
  <c r="D82" i="51"/>
  <c r="L82" i="51"/>
  <c r="D83" i="51"/>
  <c r="L83" i="51"/>
  <c r="D84" i="51"/>
  <c r="L84" i="51" s="1"/>
  <c r="C85" i="51"/>
  <c r="D85" i="51"/>
  <c r="L85" i="51" s="1"/>
  <c r="E85" i="51"/>
  <c r="N85" i="51" s="1"/>
  <c r="C86" i="51"/>
  <c r="L89" i="51"/>
  <c r="L90" i="51"/>
  <c r="L91" i="51"/>
  <c r="L92" i="51"/>
  <c r="C93" i="51"/>
  <c r="D93" i="51"/>
  <c r="J93" i="51"/>
  <c r="B94" i="51"/>
  <c r="C94" i="51"/>
  <c r="D94" i="51"/>
  <c r="E94" i="51"/>
  <c r="C96" i="51"/>
  <c r="C95" i="51" s="1"/>
  <c r="C130" i="51" s="1"/>
  <c r="D96" i="51"/>
  <c r="G96" i="51" s="1"/>
  <c r="M96" i="51"/>
  <c r="C97" i="51"/>
  <c r="D97" i="51"/>
  <c r="C98" i="51"/>
  <c r="D98" i="51"/>
  <c r="C99" i="51"/>
  <c r="D99" i="51"/>
  <c r="G99" i="51"/>
  <c r="L99" i="51"/>
  <c r="M99" i="51"/>
  <c r="C100" i="51"/>
  <c r="D100" i="51"/>
  <c r="G100" i="51" s="1"/>
  <c r="C101" i="51"/>
  <c r="D101" i="51"/>
  <c r="M101" i="51" s="1"/>
  <c r="E101" i="51"/>
  <c r="N101" i="51" s="1"/>
  <c r="L101" i="51"/>
  <c r="C102" i="51"/>
  <c r="D102" i="51"/>
  <c r="E102" i="51"/>
  <c r="N102" i="51" s="1"/>
  <c r="L102" i="51"/>
  <c r="M102" i="51"/>
  <c r="C103" i="51"/>
  <c r="G103" i="51" s="1"/>
  <c r="D103" i="51"/>
  <c r="L103" i="51"/>
  <c r="M103" i="51"/>
  <c r="C104" i="51"/>
  <c r="D104" i="51"/>
  <c r="C105" i="51"/>
  <c r="D105" i="51"/>
  <c r="L105" i="51" s="1"/>
  <c r="M105" i="51"/>
  <c r="C106" i="51"/>
  <c r="D106" i="51"/>
  <c r="C107" i="51"/>
  <c r="D107" i="51"/>
  <c r="G107" i="51"/>
  <c r="L107" i="51"/>
  <c r="M107" i="51"/>
  <c r="C108" i="51"/>
  <c r="D108" i="51"/>
  <c r="L108" i="51" s="1"/>
  <c r="C109" i="51"/>
  <c r="D109" i="51"/>
  <c r="G109" i="51"/>
  <c r="L109" i="51"/>
  <c r="M109" i="51"/>
  <c r="C110" i="51"/>
  <c r="D110" i="51"/>
  <c r="L110" i="51" s="1"/>
  <c r="C111" i="51"/>
  <c r="D111" i="51"/>
  <c r="L111" i="51" s="1"/>
  <c r="M111" i="51"/>
  <c r="C112" i="51"/>
  <c r="M112" i="51" s="1"/>
  <c r="D112" i="51"/>
  <c r="G112" i="51" s="1"/>
  <c r="C113" i="51"/>
  <c r="D113" i="51"/>
  <c r="M113" i="51" s="1"/>
  <c r="G113" i="51"/>
  <c r="L113" i="51"/>
  <c r="C114" i="51"/>
  <c r="D114" i="51"/>
  <c r="G114" i="51"/>
  <c r="L114" i="51"/>
  <c r="M114" i="51"/>
  <c r="C115" i="51"/>
  <c r="D115" i="51"/>
  <c r="L115" i="51"/>
  <c r="M115" i="51"/>
  <c r="C116" i="51"/>
  <c r="G116" i="51" s="1"/>
  <c r="D116" i="51"/>
  <c r="L116" i="51"/>
  <c r="C117" i="51"/>
  <c r="D117" i="51"/>
  <c r="M117" i="51" s="1"/>
  <c r="L117" i="51"/>
  <c r="C118" i="51"/>
  <c r="D118" i="51"/>
  <c r="G118" i="51"/>
  <c r="L118" i="51"/>
  <c r="M118" i="51"/>
  <c r="C119" i="51"/>
  <c r="M119" i="51" s="1"/>
  <c r="D119" i="51"/>
  <c r="L119" i="51" s="1"/>
  <c r="C120" i="51"/>
  <c r="D120" i="51"/>
  <c r="C121" i="51"/>
  <c r="D121" i="51"/>
  <c r="M121" i="51" s="1"/>
  <c r="L121" i="51"/>
  <c r="C122" i="51"/>
  <c r="D122" i="51"/>
  <c r="L122" i="51"/>
  <c r="M122" i="51"/>
  <c r="C123" i="51"/>
  <c r="M123" i="51" s="1"/>
  <c r="D123" i="51"/>
  <c r="L123" i="51" s="1"/>
  <c r="C124" i="51"/>
  <c r="D124" i="51"/>
  <c r="C125" i="51"/>
  <c r="D125" i="51"/>
  <c r="M125" i="51" s="1"/>
  <c r="L125" i="51"/>
  <c r="C126" i="51"/>
  <c r="D126" i="51"/>
  <c r="G126" i="51"/>
  <c r="L126" i="51"/>
  <c r="M126" i="51"/>
  <c r="C128" i="51"/>
  <c r="D128" i="51"/>
  <c r="M128" i="51"/>
  <c r="C129" i="51"/>
  <c r="C127" i="51" s="1"/>
  <c r="D129" i="51"/>
  <c r="M129" i="51" s="1"/>
  <c r="L129" i="51"/>
  <c r="C132" i="51"/>
  <c r="D132" i="51"/>
  <c r="D131" i="51" s="1"/>
  <c r="L132" i="51"/>
  <c r="C133" i="51"/>
  <c r="D133" i="51"/>
  <c r="L133" i="51" s="1"/>
  <c r="C134" i="51"/>
  <c r="M134" i="51" s="1"/>
  <c r="D134" i="51"/>
  <c r="L134" i="51"/>
  <c r="C136" i="51"/>
  <c r="D136" i="51"/>
  <c r="D135" i="51" s="1"/>
  <c r="L136" i="51"/>
  <c r="C137" i="51"/>
  <c r="D137" i="51"/>
  <c r="L137" i="51" s="1"/>
  <c r="C138" i="51"/>
  <c r="M138" i="51" s="1"/>
  <c r="D138" i="51"/>
  <c r="L138" i="51"/>
  <c r="C139" i="51"/>
  <c r="D139" i="51"/>
  <c r="L139" i="51" s="1"/>
  <c r="C140" i="51"/>
  <c r="C141" i="51"/>
  <c r="D141" i="51"/>
  <c r="L141" i="51"/>
  <c r="M141" i="51"/>
  <c r="C142" i="51"/>
  <c r="D142" i="51"/>
  <c r="C143" i="51"/>
  <c r="D143" i="51"/>
  <c r="G143" i="51"/>
  <c r="L143" i="51"/>
  <c r="M143" i="51"/>
  <c r="C144" i="51"/>
  <c r="D144" i="51"/>
  <c r="M144" i="51" s="1"/>
  <c r="L144" i="51"/>
  <c r="D146" i="51"/>
  <c r="L146" i="51"/>
  <c r="D147" i="51"/>
  <c r="L147" i="51" s="1"/>
  <c r="D148" i="51"/>
  <c r="D149" i="51"/>
  <c r="D145" i="51" s="1"/>
  <c r="C150" i="51"/>
  <c r="D150" i="51"/>
  <c r="L150" i="51"/>
  <c r="M150" i="51"/>
  <c r="N150" i="51"/>
  <c r="C151" i="51"/>
  <c r="D151" i="51"/>
  <c r="L151" i="51" s="1"/>
  <c r="E151" i="51"/>
  <c r="J155" i="51"/>
  <c r="F156" i="51"/>
  <c r="F6" i="50"/>
  <c r="F7" i="50"/>
  <c r="F8" i="50"/>
  <c r="F9" i="50"/>
  <c r="F10" i="50"/>
  <c r="C11" i="50"/>
  <c r="D11" i="50"/>
  <c r="E11" i="50"/>
  <c r="F11" i="50"/>
  <c r="F17" i="50"/>
  <c r="F37" i="50"/>
  <c r="U3" i="49"/>
  <c r="U4" i="49"/>
  <c r="F6" i="49"/>
  <c r="F7" i="49"/>
  <c r="AD7" i="49"/>
  <c r="C8" i="49"/>
  <c r="E8" i="49"/>
  <c r="F8" i="49"/>
  <c r="F9" i="49"/>
  <c r="F10" i="49"/>
  <c r="F13" i="49" s="1"/>
  <c r="F11" i="49"/>
  <c r="F12" i="49"/>
  <c r="C13" i="49"/>
  <c r="D13" i="49"/>
  <c r="E13" i="49"/>
  <c r="AE14" i="49"/>
  <c r="AF14" i="49"/>
  <c r="E15" i="49" s="1"/>
  <c r="E22" i="49" s="1"/>
  <c r="D15" i="49"/>
  <c r="AE15" i="49"/>
  <c r="AF15" i="49" s="1"/>
  <c r="F16" i="49"/>
  <c r="J17" i="52" s="1"/>
  <c r="AE16" i="49"/>
  <c r="AF16" i="49"/>
  <c r="AD17" i="49"/>
  <c r="AE17" i="49"/>
  <c r="AF17" i="49" s="1"/>
  <c r="F18" i="49"/>
  <c r="AD18" i="49"/>
  <c r="AE18" i="49"/>
  <c r="F19" i="49"/>
  <c r="AE19" i="49"/>
  <c r="AF19" i="49" s="1"/>
  <c r="F20" i="49"/>
  <c r="AE20" i="49"/>
  <c r="AF20" i="49" s="1"/>
  <c r="F21" i="49"/>
  <c r="AE21" i="49"/>
  <c r="AF21" i="49" s="1"/>
  <c r="C22" i="49"/>
  <c r="AD22" i="49"/>
  <c r="AE22" i="49"/>
  <c r="AF22" i="49" s="1"/>
  <c r="F29" i="49"/>
  <c r="F31" i="49"/>
  <c r="F32" i="49"/>
  <c r="F33" i="49"/>
  <c r="F34" i="49"/>
  <c r="C35" i="49"/>
  <c r="E35" i="49"/>
  <c r="F37" i="49"/>
  <c r="F39" i="49"/>
  <c r="F40" i="49"/>
  <c r="F41" i="49"/>
  <c r="F42" i="49"/>
  <c r="F43" i="49"/>
  <c r="C44" i="49"/>
  <c r="E44" i="49"/>
  <c r="G46" i="49"/>
  <c r="C49" i="49"/>
  <c r="D49" i="49"/>
  <c r="E49" i="49"/>
  <c r="F50" i="49"/>
  <c r="F51" i="49"/>
  <c r="D52" i="49"/>
  <c r="F52" i="49"/>
  <c r="F53" i="49"/>
  <c r="F54" i="49"/>
  <c r="F55" i="49"/>
  <c r="H55" i="49"/>
  <c r="F56" i="49"/>
  <c r="C57" i="49"/>
  <c r="D57" i="49"/>
  <c r="E57" i="49"/>
  <c r="C58" i="49"/>
  <c r="D58" i="49"/>
  <c r="E58" i="49"/>
  <c r="F59" i="49"/>
  <c r="F61" i="49"/>
  <c r="F62" i="49"/>
  <c r="F63" i="49"/>
  <c r="F64" i="49"/>
  <c r="F65" i="49"/>
  <c r="E66" i="49"/>
  <c r="J81" i="49"/>
  <c r="L81" i="49"/>
  <c r="J82" i="49"/>
  <c r="J83" i="49"/>
  <c r="J84" i="49"/>
  <c r="J85" i="49"/>
  <c r="J86" i="49"/>
  <c r="J87" i="49"/>
  <c r="C88" i="49"/>
  <c r="D88" i="49"/>
  <c r="E88" i="49"/>
  <c r="F88" i="49"/>
  <c r="G88" i="49"/>
  <c r="H88" i="49"/>
  <c r="I88" i="49"/>
  <c r="C90" i="49"/>
  <c r="D90" i="49"/>
  <c r="E90" i="49"/>
  <c r="F90" i="49"/>
  <c r="G90" i="49"/>
  <c r="H90" i="49"/>
  <c r="I90" i="49"/>
  <c r="J91" i="49"/>
  <c r="J92" i="49"/>
  <c r="J93" i="49"/>
  <c r="N93" i="49"/>
  <c r="R93" i="49"/>
  <c r="J94" i="49"/>
  <c r="M94" i="49"/>
  <c r="M98" i="49" s="1"/>
  <c r="N94" i="49"/>
  <c r="N99" i="49" s="1"/>
  <c r="J95" i="49"/>
  <c r="J96" i="49"/>
  <c r="J97" i="49"/>
  <c r="C98" i="49"/>
  <c r="D98" i="49"/>
  <c r="E98" i="49"/>
  <c r="F98" i="49"/>
  <c r="G98" i="49"/>
  <c r="H98" i="49"/>
  <c r="I98" i="49"/>
  <c r="N98" i="49"/>
  <c r="J4" i="48"/>
  <c r="L7" i="48"/>
  <c r="R7" i="48" s="1"/>
  <c r="R8" i="48"/>
  <c r="S8" i="48"/>
  <c r="T8" i="48"/>
  <c r="U8" i="48"/>
  <c r="P9" i="48"/>
  <c r="J130" i="11"/>
  <c r="R10" i="48"/>
  <c r="S10" i="48"/>
  <c r="T10" i="48"/>
  <c r="U10" i="48"/>
  <c r="R11" i="48"/>
  <c r="S11" i="48"/>
  <c r="T11" i="48"/>
  <c r="U11" i="48"/>
  <c r="I12" i="48"/>
  <c r="I16" i="48" s="1"/>
  <c r="K12" i="48"/>
  <c r="L12" i="48"/>
  <c r="R12" i="48" s="1"/>
  <c r="M12" i="48"/>
  <c r="N12" i="48"/>
  <c r="O12" i="48"/>
  <c r="P12" i="48"/>
  <c r="L13" i="48"/>
  <c r="M13" i="48"/>
  <c r="L14" i="48"/>
  <c r="R14" i="48" s="1"/>
  <c r="I15" i="48"/>
  <c r="K15" i="48"/>
  <c r="D132" i="12" s="1"/>
  <c r="P15" i="48"/>
  <c r="R17" i="48"/>
  <c r="S17" i="48"/>
  <c r="T17" i="48"/>
  <c r="U17" i="48"/>
  <c r="R18" i="48"/>
  <c r="S18" i="48"/>
  <c r="T18" i="48"/>
  <c r="U18" i="48"/>
  <c r="R19" i="48"/>
  <c r="S19" i="48"/>
  <c r="T19" i="48"/>
  <c r="U19" i="48"/>
  <c r="L20" i="48"/>
  <c r="R20" i="48" s="1"/>
  <c r="P23" i="48"/>
  <c r="O134" i="12" s="1"/>
  <c r="R21" i="48"/>
  <c r="S21" i="48"/>
  <c r="T21" i="48"/>
  <c r="U21" i="48"/>
  <c r="R22" i="48"/>
  <c r="S22" i="48"/>
  <c r="T22" i="48"/>
  <c r="U22" i="48"/>
  <c r="I23" i="48"/>
  <c r="J23" i="48"/>
  <c r="J33" i="48" s="1"/>
  <c r="K23" i="48"/>
  <c r="L23" i="48"/>
  <c r="R24" i="48"/>
  <c r="S24" i="48"/>
  <c r="T24" i="48"/>
  <c r="U24" i="48"/>
  <c r="R25" i="48"/>
  <c r="S25" i="48"/>
  <c r="T25" i="48"/>
  <c r="U25" i="48"/>
  <c r="I26" i="48"/>
  <c r="C135" i="12" s="1"/>
  <c r="K26" i="48"/>
  <c r="D135" i="12" s="1"/>
  <c r="L26" i="48"/>
  <c r="M26" i="48"/>
  <c r="F135" i="12"/>
  <c r="N26" i="48"/>
  <c r="O26" i="48"/>
  <c r="P26" i="48"/>
  <c r="R27" i="48"/>
  <c r="S27" i="48"/>
  <c r="T27" i="48"/>
  <c r="U27" i="48"/>
  <c r="R28" i="48"/>
  <c r="S28" i="48"/>
  <c r="T28" i="48"/>
  <c r="U28" i="48"/>
  <c r="I29" i="48"/>
  <c r="K29" i="48"/>
  <c r="L29" i="48"/>
  <c r="E136" i="12"/>
  <c r="M29" i="48"/>
  <c r="N29" i="48"/>
  <c r="O29" i="48"/>
  <c r="P29" i="48"/>
  <c r="L30" i="48"/>
  <c r="M30" i="48"/>
  <c r="N30" i="48" s="1"/>
  <c r="V30" i="48" s="1"/>
  <c r="L31" i="48"/>
  <c r="M31" i="48" s="1"/>
  <c r="M32" i="48" s="1"/>
  <c r="I32" i="48"/>
  <c r="C137" i="12" s="1"/>
  <c r="K32" i="48"/>
  <c r="D137" i="12"/>
  <c r="R34" i="48"/>
  <c r="S34" i="48"/>
  <c r="T34" i="48"/>
  <c r="U34" i="48"/>
  <c r="I35" i="48"/>
  <c r="L35" i="48"/>
  <c r="R35" i="48"/>
  <c r="W34" i="48"/>
  <c r="W32" i="48"/>
  <c r="AC35" i="48"/>
  <c r="R36" i="48"/>
  <c r="S36" i="48"/>
  <c r="T36" i="48"/>
  <c r="U36" i="48"/>
  <c r="AC36" i="48"/>
  <c r="I39" i="48"/>
  <c r="C142" i="12"/>
  <c r="K39" i="48"/>
  <c r="L39" i="48"/>
  <c r="AC39" i="48"/>
  <c r="R40" i="48"/>
  <c r="S40" i="48"/>
  <c r="T40" i="48"/>
  <c r="U40" i="48"/>
  <c r="AC40" i="48"/>
  <c r="R42" i="48"/>
  <c r="S42" i="48"/>
  <c r="T42" i="48"/>
  <c r="U42" i="48"/>
  <c r="AC42" i="48"/>
  <c r="U3" i="47"/>
  <c r="V3" i="47"/>
  <c r="I4" i="47"/>
  <c r="I4" i="48" s="1"/>
  <c r="J4" i="47"/>
  <c r="K4" i="47"/>
  <c r="K4" i="48" s="1"/>
  <c r="L4" i="47"/>
  <c r="L4" i="48" s="1"/>
  <c r="M4" i="47"/>
  <c r="M4" i="48" s="1"/>
  <c r="N4" i="47"/>
  <c r="N4" i="48" s="1"/>
  <c r="O4" i="47"/>
  <c r="O4" i="48" s="1"/>
  <c r="P4" i="47"/>
  <c r="P4" i="48" s="1"/>
  <c r="Q4" i="47"/>
  <c r="Q4" i="48" s="1"/>
  <c r="R4" i="47"/>
  <c r="S4" i="47"/>
  <c r="T4" i="47"/>
  <c r="J7" i="47"/>
  <c r="L7" i="47"/>
  <c r="M7" i="47" s="1"/>
  <c r="R7" i="47"/>
  <c r="I13" i="47"/>
  <c r="J13" i="47"/>
  <c r="K13" i="47"/>
  <c r="R13" i="47" s="1"/>
  <c r="L13" i="47"/>
  <c r="M13" i="47"/>
  <c r="S13" i="47" s="1"/>
  <c r="N13" i="47"/>
  <c r="O13" i="47"/>
  <c r="U13" i="47" s="1"/>
  <c r="J14" i="47"/>
  <c r="L14" i="47"/>
  <c r="R15" i="47"/>
  <c r="S15" i="47"/>
  <c r="T15" i="47"/>
  <c r="U15" i="47"/>
  <c r="R16" i="47"/>
  <c r="S16" i="47"/>
  <c r="T16" i="47"/>
  <c r="U16" i="47"/>
  <c r="R17" i="47"/>
  <c r="S17" i="47"/>
  <c r="T17" i="47"/>
  <c r="U17" i="47"/>
  <c r="I18" i="47"/>
  <c r="J18" i="47" s="1"/>
  <c r="J23" i="47" s="1"/>
  <c r="K18" i="47"/>
  <c r="L18" i="47" s="1"/>
  <c r="R18" i="47" s="1"/>
  <c r="M18" i="47"/>
  <c r="J19" i="47"/>
  <c r="L19" i="47"/>
  <c r="K20" i="47"/>
  <c r="L21" i="47"/>
  <c r="M21" i="47" s="1"/>
  <c r="N21" i="47" s="1"/>
  <c r="R21" i="47"/>
  <c r="S21" i="47"/>
  <c r="J22" i="47"/>
  <c r="K22" i="47"/>
  <c r="L22" i="47"/>
  <c r="M22" i="47"/>
  <c r="N22" i="47" s="1"/>
  <c r="R22" i="47"/>
  <c r="S22" i="47"/>
  <c r="I23" i="47"/>
  <c r="P23" i="47"/>
  <c r="J24" i="47"/>
  <c r="L24" i="47"/>
  <c r="R25" i="47"/>
  <c r="S25" i="47"/>
  <c r="T25" i="47"/>
  <c r="U25" i="47"/>
  <c r="J26" i="47"/>
  <c r="L26" i="47"/>
  <c r="R26" i="47" s="1"/>
  <c r="M26" i="47"/>
  <c r="J27" i="47"/>
  <c r="L27" i="47"/>
  <c r="I28" i="47"/>
  <c r="J28" i="47"/>
  <c r="J35" i="47" s="1"/>
  <c r="K28" i="47"/>
  <c r="I29" i="47"/>
  <c r="K29" i="47"/>
  <c r="L29" i="47"/>
  <c r="M29" i="47"/>
  <c r="S29" i="47" s="1"/>
  <c r="R29" i="47"/>
  <c r="J30" i="47"/>
  <c r="J32" i="47" s="1"/>
  <c r="L30" i="47"/>
  <c r="R30" i="47" s="1"/>
  <c r="M30" i="47"/>
  <c r="I31" i="47"/>
  <c r="I32" i="47" s="1"/>
  <c r="I35" i="47" s="1"/>
  <c r="K31" i="47"/>
  <c r="P31" i="47"/>
  <c r="P32" i="47"/>
  <c r="J33" i="47"/>
  <c r="L33" i="47"/>
  <c r="R33" i="47" s="1"/>
  <c r="M33" i="47"/>
  <c r="J34" i="47"/>
  <c r="L34" i="47"/>
  <c r="J36" i="47"/>
  <c r="L36" i="47"/>
  <c r="J37" i="47"/>
  <c r="J40" i="47" s="1"/>
  <c r="L37" i="47"/>
  <c r="R37" i="47" s="1"/>
  <c r="M37" i="47"/>
  <c r="J38" i="47"/>
  <c r="L38" i="47"/>
  <c r="Q38" i="47"/>
  <c r="I39" i="47"/>
  <c r="K39" i="47"/>
  <c r="L39" i="47"/>
  <c r="R39" i="47" s="1"/>
  <c r="I40" i="47"/>
  <c r="K40" i="47"/>
  <c r="Q41" i="47"/>
  <c r="R41" i="47"/>
  <c r="S41" i="47"/>
  <c r="T41" i="47"/>
  <c r="U41" i="47"/>
  <c r="I42" i="47"/>
  <c r="I61" i="47" s="1"/>
  <c r="K42" i="47"/>
  <c r="V42" i="47"/>
  <c r="J43" i="47"/>
  <c r="L43" i="47"/>
  <c r="M43" i="47"/>
  <c r="N43" i="47" s="1"/>
  <c r="Q43" i="47"/>
  <c r="R43" i="47"/>
  <c r="S43" i="47"/>
  <c r="I44" i="47"/>
  <c r="K44" i="47"/>
  <c r="L44" i="47" s="1"/>
  <c r="J45" i="47"/>
  <c r="P45" i="47"/>
  <c r="I46" i="47"/>
  <c r="K46" i="47"/>
  <c r="L46" i="47"/>
  <c r="R46" i="47" s="1"/>
  <c r="I47" i="47"/>
  <c r="J47" i="47"/>
  <c r="K47" i="47"/>
  <c r="L47" i="47"/>
  <c r="J48" i="47"/>
  <c r="L48" i="47"/>
  <c r="M48" i="47"/>
  <c r="S48" i="47" s="1"/>
  <c r="N48" i="47"/>
  <c r="O48" i="47" s="1"/>
  <c r="U48" i="47" s="1"/>
  <c r="P48" i="47"/>
  <c r="R48" i="47"/>
  <c r="L49" i="47"/>
  <c r="R49" i="47" s="1"/>
  <c r="I50" i="47"/>
  <c r="K50" i="47"/>
  <c r="L50" i="47" s="1"/>
  <c r="I51" i="47"/>
  <c r="I58" i="47" s="1"/>
  <c r="I52" i="47"/>
  <c r="K52" i="47"/>
  <c r="L52" i="47"/>
  <c r="M52" i="47" s="1"/>
  <c r="K53" i="47"/>
  <c r="L53" i="47" s="1"/>
  <c r="M53" i="47" s="1"/>
  <c r="N53" i="47" s="1"/>
  <c r="Q53" i="47" s="1"/>
  <c r="I54" i="47"/>
  <c r="J54" i="47"/>
  <c r="K54" i="47"/>
  <c r="L54" i="47" s="1"/>
  <c r="R54" i="47" s="1"/>
  <c r="M54" i="47"/>
  <c r="P54" i="47"/>
  <c r="I55" i="47"/>
  <c r="K55" i="47"/>
  <c r="L55" i="47"/>
  <c r="M55" i="47" s="1"/>
  <c r="B4" i="46"/>
  <c r="I4" i="46"/>
  <c r="J4" i="46"/>
  <c r="K4" i="46"/>
  <c r="L4" i="46"/>
  <c r="M4" i="46"/>
  <c r="N4" i="46"/>
  <c r="O4" i="46"/>
  <c r="P4" i="46"/>
  <c r="Q4" i="46"/>
  <c r="R4" i="46"/>
  <c r="S4" i="46"/>
  <c r="T4" i="46"/>
  <c r="J7" i="46"/>
  <c r="L7" i="46"/>
  <c r="M7" i="46"/>
  <c r="N7" i="46" s="1"/>
  <c r="O7" i="46" s="1"/>
  <c r="R7" i="46"/>
  <c r="S7" i="46"/>
  <c r="J8" i="46"/>
  <c r="L8" i="46"/>
  <c r="M8" i="46" s="1"/>
  <c r="S8" i="46" s="1"/>
  <c r="N8" i="46"/>
  <c r="R8" i="46"/>
  <c r="I9" i="46"/>
  <c r="J9" i="46"/>
  <c r="K9" i="46"/>
  <c r="L9" i="46"/>
  <c r="R9" i="46" s="1"/>
  <c r="M9" i="46"/>
  <c r="P9" i="46"/>
  <c r="I10" i="46"/>
  <c r="K10" i="46"/>
  <c r="L10" i="46"/>
  <c r="M10" i="46"/>
  <c r="N10" i="46" s="1"/>
  <c r="T10" i="46" s="1"/>
  <c r="O10" i="46"/>
  <c r="R10" i="46"/>
  <c r="S10" i="46"/>
  <c r="I11" i="46"/>
  <c r="J11" i="46"/>
  <c r="K11" i="46"/>
  <c r="L11" i="46"/>
  <c r="I12" i="46"/>
  <c r="K12" i="46"/>
  <c r="L12" i="46"/>
  <c r="I13" i="46"/>
  <c r="J13" i="46" s="1"/>
  <c r="K13" i="46"/>
  <c r="L13" i="46"/>
  <c r="M13" i="46"/>
  <c r="N13" i="46" s="1"/>
  <c r="T13" i="46" s="1"/>
  <c r="O13" i="46"/>
  <c r="U13" i="46" s="1"/>
  <c r="R13" i="46"/>
  <c r="S13" i="46"/>
  <c r="I14" i="46"/>
  <c r="K14" i="46"/>
  <c r="E15" i="52" s="1"/>
  <c r="J15" i="46"/>
  <c r="L15" i="46"/>
  <c r="R15" i="46" s="1"/>
  <c r="M15" i="46"/>
  <c r="Q15" i="46"/>
  <c r="I17" i="46"/>
  <c r="I25" i="46" s="1"/>
  <c r="K17" i="46"/>
  <c r="K25" i="46" s="1"/>
  <c r="L17" i="46"/>
  <c r="L18" i="46"/>
  <c r="M18" i="46" s="1"/>
  <c r="Q18" i="46"/>
  <c r="R18" i="46"/>
  <c r="I19" i="46"/>
  <c r="K19" i="46"/>
  <c r="L19" i="46"/>
  <c r="R19" i="46" s="1"/>
  <c r="Q19" i="46"/>
  <c r="I20" i="46"/>
  <c r="K20" i="46"/>
  <c r="I21" i="46"/>
  <c r="K21" i="46"/>
  <c r="L21" i="46"/>
  <c r="M21" i="46"/>
  <c r="N21" i="46" s="1"/>
  <c r="O21" i="46" s="1"/>
  <c r="U21" i="46" s="1"/>
  <c r="R21" i="46"/>
  <c r="S21" i="46"/>
  <c r="L22" i="46"/>
  <c r="M22" i="46"/>
  <c r="N22" i="46" s="1"/>
  <c r="O22" i="46"/>
  <c r="U22" i="46" s="1"/>
  <c r="R22" i="46"/>
  <c r="S22" i="46"/>
  <c r="V22" i="46"/>
  <c r="W22" i="46"/>
  <c r="L23" i="46"/>
  <c r="R23" i="46" s="1"/>
  <c r="M23" i="46"/>
  <c r="I24" i="46"/>
  <c r="K24" i="46"/>
  <c r="L24" i="46" s="1"/>
  <c r="R24" i="46" s="1"/>
  <c r="J25" i="46"/>
  <c r="P25" i="46"/>
  <c r="I26" i="46"/>
  <c r="K26" i="46"/>
  <c r="L26" i="46"/>
  <c r="V26" i="46"/>
  <c r="W26" i="46"/>
  <c r="I27" i="46"/>
  <c r="K27" i="46"/>
  <c r="L27" i="46"/>
  <c r="M27" i="46"/>
  <c r="S27" i="46" s="1"/>
  <c r="R27" i="46"/>
  <c r="V27" i="46"/>
  <c r="W27" i="46" s="1"/>
  <c r="X27" i="46"/>
  <c r="Z27" i="46" s="1"/>
  <c r="Y27" i="46"/>
  <c r="I28" i="46"/>
  <c r="K28" i="46"/>
  <c r="L28" i="46"/>
  <c r="M28" i="46"/>
  <c r="S28" i="46" s="1"/>
  <c r="R28" i="46"/>
  <c r="V28" i="46"/>
  <c r="W28" i="46" s="1"/>
  <c r="I29" i="46"/>
  <c r="I35" i="46" s="1"/>
  <c r="K29" i="46"/>
  <c r="L29" i="46"/>
  <c r="V29" i="46"/>
  <c r="W29" i="46" s="1"/>
  <c r="Z29" i="46"/>
  <c r="I30" i="46"/>
  <c r="K30" i="46"/>
  <c r="L30" i="46" s="1"/>
  <c r="V30" i="46"/>
  <c r="W30" i="46" s="1"/>
  <c r="X30" i="46"/>
  <c r="I31" i="46"/>
  <c r="K31" i="46"/>
  <c r="L31" i="46"/>
  <c r="M31" i="46"/>
  <c r="N31" i="46" s="1"/>
  <c r="R31" i="46"/>
  <c r="S31" i="46"/>
  <c r="V31" i="46"/>
  <c r="W31" i="46"/>
  <c r="I32" i="46"/>
  <c r="K32" i="46"/>
  <c r="I33" i="46"/>
  <c r="K33" i="46"/>
  <c r="L33" i="46"/>
  <c r="M33" i="46"/>
  <c r="N33" i="46" s="1"/>
  <c r="O33" i="46"/>
  <c r="U33" i="46" s="1"/>
  <c r="R33" i="46"/>
  <c r="S33" i="46"/>
  <c r="V33" i="46"/>
  <c r="W33" i="46"/>
  <c r="I34" i="46"/>
  <c r="K34" i="46"/>
  <c r="L34" i="46" s="1"/>
  <c r="R34" i="46" s="1"/>
  <c r="M34" i="46"/>
  <c r="V34" i="46"/>
  <c r="W34" i="46" s="1"/>
  <c r="X34" i="46"/>
  <c r="Y34" i="46"/>
  <c r="Z34" i="46"/>
  <c r="J35" i="46"/>
  <c r="P35" i="46"/>
  <c r="Y35" i="46"/>
  <c r="I36" i="46"/>
  <c r="K36" i="46"/>
  <c r="I37" i="46"/>
  <c r="K37" i="46"/>
  <c r="L37" i="46"/>
  <c r="M37" i="46"/>
  <c r="S37" i="46" s="1"/>
  <c r="R37" i="46"/>
  <c r="V37" i="46"/>
  <c r="W37" i="46" s="1"/>
  <c r="X37" i="46"/>
  <c r="Y37" i="46"/>
  <c r="Z37" i="46"/>
  <c r="I38" i="46"/>
  <c r="K38" i="46"/>
  <c r="L38" i="46"/>
  <c r="M38" i="46"/>
  <c r="S38" i="46" s="1"/>
  <c r="R38" i="46"/>
  <c r="V38" i="46"/>
  <c r="W38" i="46" s="1"/>
  <c r="Y38" i="46"/>
  <c r="Z38" i="46"/>
  <c r="I39" i="46"/>
  <c r="K39" i="46"/>
  <c r="L39" i="46" s="1"/>
  <c r="W39" i="46"/>
  <c r="I40" i="46"/>
  <c r="K40" i="46"/>
  <c r="K41" i="46" s="1"/>
  <c r="V41" i="46" s="1"/>
  <c r="W41" i="46" s="1"/>
  <c r="L40" i="46"/>
  <c r="J41" i="46"/>
  <c r="P41" i="46"/>
  <c r="P64" i="46" s="1"/>
  <c r="I42" i="46"/>
  <c r="K42" i="46"/>
  <c r="L42" i="46"/>
  <c r="P42" i="46"/>
  <c r="V42" i="46"/>
  <c r="W42" i="46" s="1"/>
  <c r="I43" i="46"/>
  <c r="K43" i="46"/>
  <c r="L43" i="46"/>
  <c r="M43" i="46" s="1"/>
  <c r="S43" i="46" s="1"/>
  <c r="N43" i="46"/>
  <c r="R43" i="46"/>
  <c r="Y43" i="46"/>
  <c r="I44" i="46"/>
  <c r="K44" i="46"/>
  <c r="L44" i="46" s="1"/>
  <c r="R44" i="46" s="1"/>
  <c r="V44" i="46"/>
  <c r="W44" i="46" s="1"/>
  <c r="K45" i="46"/>
  <c r="L45" i="46"/>
  <c r="R45" i="46" s="1"/>
  <c r="V45" i="46"/>
  <c r="W45" i="46"/>
  <c r="Y45" i="46" s="1"/>
  <c r="I46" i="46"/>
  <c r="I45" i="46" s="1"/>
  <c r="K46" i="46"/>
  <c r="L46" i="46" s="1"/>
  <c r="V46" i="46"/>
  <c r="Y46" i="46"/>
  <c r="AB46" i="46"/>
  <c r="I47" i="46"/>
  <c r="K47" i="46"/>
  <c r="E17" i="52" s="1"/>
  <c r="D60" i="49" s="1"/>
  <c r="D66" i="49" s="1"/>
  <c r="L47" i="46"/>
  <c r="V47" i="46"/>
  <c r="I48" i="46"/>
  <c r="K48" i="46"/>
  <c r="L48" i="46"/>
  <c r="R48" i="46" s="1"/>
  <c r="I49" i="46"/>
  <c r="K49" i="46"/>
  <c r="L49" i="46" s="1"/>
  <c r="R49" i="46" s="1"/>
  <c r="M49" i="46"/>
  <c r="I50" i="46"/>
  <c r="K50" i="46"/>
  <c r="E21" i="52" s="1"/>
  <c r="I21" i="52" s="1"/>
  <c r="L50" i="46"/>
  <c r="M50" i="46"/>
  <c r="N50" i="46"/>
  <c r="AA50" i="46" s="1"/>
  <c r="R50" i="46"/>
  <c r="S50" i="46"/>
  <c r="T50" i="46"/>
  <c r="I51" i="46"/>
  <c r="K51" i="46"/>
  <c r="L51" i="46"/>
  <c r="R51" i="46" s="1"/>
  <c r="Q51" i="46"/>
  <c r="I52" i="46"/>
  <c r="K52" i="46"/>
  <c r="L52" i="46" s="1"/>
  <c r="I53" i="46"/>
  <c r="K53" i="46"/>
  <c r="I54" i="46"/>
  <c r="K54" i="46"/>
  <c r="L54" i="46"/>
  <c r="R54" i="46" s="1"/>
  <c r="I55" i="46"/>
  <c r="K55" i="46"/>
  <c r="L55" i="46" s="1"/>
  <c r="R55" i="46" s="1"/>
  <c r="M55" i="46"/>
  <c r="I56" i="46"/>
  <c r="K56" i="46"/>
  <c r="I57" i="46"/>
  <c r="K57" i="46"/>
  <c r="L57" i="46"/>
  <c r="W57" i="46"/>
  <c r="I58" i="46"/>
  <c r="K58" i="46"/>
  <c r="L58" i="46" s="1"/>
  <c r="M58" i="46" s="1"/>
  <c r="R58" i="46"/>
  <c r="I59" i="46"/>
  <c r="K59" i="46"/>
  <c r="L59" i="46"/>
  <c r="M59" i="46"/>
  <c r="N59" i="46" s="1"/>
  <c r="O59" i="46"/>
  <c r="U59" i="46" s="1"/>
  <c r="R59" i="46"/>
  <c r="S59" i="46"/>
  <c r="I60" i="46"/>
  <c r="K60" i="46"/>
  <c r="Q60" i="46" s="1"/>
  <c r="I61" i="46"/>
  <c r="K61" i="46"/>
  <c r="I62" i="46"/>
  <c r="K62" i="46"/>
  <c r="L62" i="46" s="1"/>
  <c r="I63" i="46"/>
  <c r="K63" i="46"/>
  <c r="L63" i="46"/>
  <c r="M63" i="46" s="1"/>
  <c r="S63" i="46" s="1"/>
  <c r="N63" i="46"/>
  <c r="R63" i="46"/>
  <c r="V64" i="46"/>
  <c r="J65" i="46"/>
  <c r="L65" i="46"/>
  <c r="I67" i="46"/>
  <c r="I72" i="46" s="1"/>
  <c r="K67" i="46"/>
  <c r="L68" i="46"/>
  <c r="R68" i="46" s="1"/>
  <c r="I69" i="46"/>
  <c r="K69" i="46"/>
  <c r="L69" i="46"/>
  <c r="V69" i="46"/>
  <c r="W69" i="46" s="1"/>
  <c r="I70" i="46"/>
  <c r="K70" i="46"/>
  <c r="V70" i="46" s="1"/>
  <c r="L70" i="46"/>
  <c r="R70" i="46" s="1"/>
  <c r="W70" i="46"/>
  <c r="I71" i="46"/>
  <c r="K71" i="46"/>
  <c r="J72" i="46"/>
  <c r="K72" i="46"/>
  <c r="I73" i="46"/>
  <c r="K73" i="46"/>
  <c r="V73" i="46" s="1"/>
  <c r="L73" i="46"/>
  <c r="R73" i="46" s="1"/>
  <c r="W73" i="46"/>
  <c r="L74" i="46"/>
  <c r="R74" i="46" s="1"/>
  <c r="M74" i="46"/>
  <c r="I75" i="46"/>
  <c r="K75" i="46"/>
  <c r="L75" i="46"/>
  <c r="R75" i="46" s="1"/>
  <c r="K76" i="46"/>
  <c r="V76" i="46" s="1"/>
  <c r="W76" i="46" s="1"/>
  <c r="L76" i="46"/>
  <c r="R76" i="46" s="1"/>
  <c r="M76" i="46"/>
  <c r="Z76" i="46"/>
  <c r="I77" i="46"/>
  <c r="I76" i="46" s="1"/>
  <c r="K77" i="46"/>
  <c r="D28" i="49" s="1"/>
  <c r="I78" i="46"/>
  <c r="K78" i="46"/>
  <c r="L78" i="46" s="1"/>
  <c r="I79" i="46"/>
  <c r="K79" i="46"/>
  <c r="L79" i="46"/>
  <c r="M79" i="46"/>
  <c r="N79" i="46" s="1"/>
  <c r="O79" i="46" s="1"/>
  <c r="U79" i="46" s="1"/>
  <c r="R79" i="46"/>
  <c r="S79" i="46"/>
  <c r="L80" i="46"/>
  <c r="M80" i="46"/>
  <c r="N80" i="46" s="1"/>
  <c r="R80" i="46"/>
  <c r="S80" i="46"/>
  <c r="I81" i="46"/>
  <c r="K81" i="46"/>
  <c r="L81" i="46" s="1"/>
  <c r="R81" i="46" s="1"/>
  <c r="M81" i="46"/>
  <c r="S81" i="46" s="1"/>
  <c r="N81" i="46"/>
  <c r="O81" i="46"/>
  <c r="U81" i="46" s="1"/>
  <c r="J82" i="46"/>
  <c r="K82" i="46"/>
  <c r="P82" i="46"/>
  <c r="Q83" i="46"/>
  <c r="R83" i="46"/>
  <c r="S83" i="46"/>
  <c r="T83" i="46"/>
  <c r="U83" i="46"/>
  <c r="J84" i="46"/>
  <c r="L84" i="46"/>
  <c r="R84" i="46" s="1"/>
  <c r="M84" i="46"/>
  <c r="S84" i="46" s="1"/>
  <c r="N84" i="46"/>
  <c r="O84" i="46" s="1"/>
  <c r="U84" i="46"/>
  <c r="Q85" i="46"/>
  <c r="R85" i="46"/>
  <c r="S85" i="46"/>
  <c r="T85" i="46"/>
  <c r="U85" i="46"/>
  <c r="W86" i="46"/>
  <c r="B91" i="46"/>
  <c r="I91" i="46"/>
  <c r="J91" i="46"/>
  <c r="K91" i="46"/>
  <c r="L91" i="46"/>
  <c r="M91" i="46"/>
  <c r="N91" i="46"/>
  <c r="O91" i="46"/>
  <c r="P91" i="46"/>
  <c r="Q91" i="46"/>
  <c r="R91" i="46"/>
  <c r="S91" i="46"/>
  <c r="T91" i="46"/>
  <c r="AD91" i="46"/>
  <c r="Q92" i="46"/>
  <c r="R92" i="46"/>
  <c r="S92" i="46"/>
  <c r="T92" i="46"/>
  <c r="I95" i="46"/>
  <c r="I97" i="46" s="1"/>
  <c r="K95" i="46"/>
  <c r="L95" i="46"/>
  <c r="I96" i="46"/>
  <c r="K96" i="46"/>
  <c r="J97" i="46"/>
  <c r="P97" i="46"/>
  <c r="I98" i="46"/>
  <c r="K98" i="46"/>
  <c r="L98" i="46"/>
  <c r="R98" i="46" s="1"/>
  <c r="I99" i="46"/>
  <c r="K99" i="46"/>
  <c r="L99" i="46"/>
  <c r="M99" i="46" s="1"/>
  <c r="N99" i="46" s="1"/>
  <c r="AA99" i="46" s="1"/>
  <c r="R99" i="46"/>
  <c r="S99" i="46"/>
  <c r="T99" i="46"/>
  <c r="V99" i="46"/>
  <c r="W99" i="46" s="1"/>
  <c r="I100" i="46"/>
  <c r="K100" i="46"/>
  <c r="L100" i="46" s="1"/>
  <c r="V100" i="46"/>
  <c r="W100" i="46" s="1"/>
  <c r="X100" i="46"/>
  <c r="Y100" i="46"/>
  <c r="L101" i="46"/>
  <c r="M101" i="46"/>
  <c r="N101" i="46"/>
  <c r="Q101" i="46"/>
  <c r="R101" i="46"/>
  <c r="S101" i="46"/>
  <c r="I102" i="46"/>
  <c r="Q102" i="46" s="1"/>
  <c r="K102" i="46"/>
  <c r="V102" i="46" s="1"/>
  <c r="W102" i="46" s="1"/>
  <c r="L102" i="46"/>
  <c r="I103" i="46"/>
  <c r="K103" i="46"/>
  <c r="Q103" i="46" s="1"/>
  <c r="L103" i="46"/>
  <c r="R103" i="46" s="1"/>
  <c r="M103" i="46"/>
  <c r="V103" i="46"/>
  <c r="W103" i="46" s="1"/>
  <c r="L104" i="46"/>
  <c r="Q104" i="46"/>
  <c r="V104" i="46"/>
  <c r="W104" i="46"/>
  <c r="I105" i="46"/>
  <c r="K105" i="46"/>
  <c r="Q105" i="46" s="1"/>
  <c r="L105" i="46"/>
  <c r="R105" i="46" s="1"/>
  <c r="M105" i="46"/>
  <c r="V105" i="46"/>
  <c r="W105" i="46" s="1"/>
  <c r="I106" i="46"/>
  <c r="I117" i="46" s="1"/>
  <c r="K106" i="46"/>
  <c r="L106" i="46"/>
  <c r="M106" i="46" s="1"/>
  <c r="N106" i="46" s="1"/>
  <c r="R106" i="46"/>
  <c r="V106" i="46"/>
  <c r="W106" i="46"/>
  <c r="L107" i="46"/>
  <c r="M107" i="46"/>
  <c r="N107" i="46"/>
  <c r="O107" i="46"/>
  <c r="P107" i="46" s="1"/>
  <c r="Q107" i="46"/>
  <c r="V107" i="46"/>
  <c r="W107" i="46"/>
  <c r="L108" i="46"/>
  <c r="M108" i="46"/>
  <c r="N108" i="46"/>
  <c r="O108" i="46"/>
  <c r="P108" i="46" s="1"/>
  <c r="Q108" i="46"/>
  <c r="V108" i="46"/>
  <c r="W108" i="46"/>
  <c r="L109" i="46"/>
  <c r="M109" i="46"/>
  <c r="N109" i="46"/>
  <c r="O109" i="46"/>
  <c r="P109" i="46" s="1"/>
  <c r="Q109" i="46"/>
  <c r="V109" i="46"/>
  <c r="W109" i="46"/>
  <c r="L110" i="46"/>
  <c r="M110" i="46"/>
  <c r="N110" i="46"/>
  <c r="O110" i="46"/>
  <c r="P110" i="46" s="1"/>
  <c r="Q110" i="46"/>
  <c r="V110" i="46"/>
  <c r="W110" i="46"/>
  <c r="L111" i="46"/>
  <c r="R111" i="46" s="1"/>
  <c r="M111" i="46"/>
  <c r="S111" i="46" s="1"/>
  <c r="N111" i="46"/>
  <c r="O111" i="46"/>
  <c r="Q111" i="46"/>
  <c r="V111" i="46"/>
  <c r="W111" i="46"/>
  <c r="I112" i="46"/>
  <c r="K112" i="46"/>
  <c r="L113" i="46"/>
  <c r="R113" i="46" s="1"/>
  <c r="M113" i="46"/>
  <c r="S113" i="46" s="1"/>
  <c r="N113" i="46"/>
  <c r="Q113" i="46"/>
  <c r="V113" i="46"/>
  <c r="W113" i="46" s="1"/>
  <c r="L114" i="46"/>
  <c r="M114" i="46" s="1"/>
  <c r="Q114" i="46"/>
  <c r="V114" i="46"/>
  <c r="W114" i="46" s="1"/>
  <c r="I115" i="46"/>
  <c r="K115" i="46"/>
  <c r="Q115" i="46" s="1"/>
  <c r="L115" i="46"/>
  <c r="L116" i="46"/>
  <c r="M116" i="46"/>
  <c r="N116" i="46" s="1"/>
  <c r="Q116" i="46"/>
  <c r="R116" i="46"/>
  <c r="S116" i="46"/>
  <c r="V116" i="46"/>
  <c r="W116" i="46"/>
  <c r="I118" i="46"/>
  <c r="K118" i="46"/>
  <c r="Q118" i="46" s="1"/>
  <c r="L118" i="46"/>
  <c r="R118" i="46" s="1"/>
  <c r="M118" i="46"/>
  <c r="V118" i="46"/>
  <c r="W118" i="46" s="1"/>
  <c r="I119" i="46"/>
  <c r="K119" i="46"/>
  <c r="L119" i="46"/>
  <c r="M119" i="46" s="1"/>
  <c r="R119" i="46"/>
  <c r="V119" i="46"/>
  <c r="W119" i="46"/>
  <c r="I120" i="46"/>
  <c r="Q120" i="46" s="1"/>
  <c r="K120" i="46"/>
  <c r="V120" i="46" s="1"/>
  <c r="W120" i="46" s="1"/>
  <c r="L120" i="46"/>
  <c r="I121" i="46"/>
  <c r="K121" i="46"/>
  <c r="Q121" i="46" s="1"/>
  <c r="L121" i="46"/>
  <c r="I122" i="46"/>
  <c r="K122" i="46"/>
  <c r="L122" i="46" s="1"/>
  <c r="Q122" i="46"/>
  <c r="V122" i="46"/>
  <c r="W122" i="46"/>
  <c r="I123" i="46"/>
  <c r="Q123" i="46" s="1"/>
  <c r="K123" i="46"/>
  <c r="V123" i="46" s="1"/>
  <c r="W123" i="46" s="1"/>
  <c r="L123" i="46"/>
  <c r="L124" i="46"/>
  <c r="R124" i="46" s="1"/>
  <c r="M124" i="46"/>
  <c r="S124" i="46" s="1"/>
  <c r="N124" i="46"/>
  <c r="Q124" i="46"/>
  <c r="V124" i="46"/>
  <c r="W124" i="46"/>
  <c r="I125" i="46"/>
  <c r="K125" i="46"/>
  <c r="I126" i="46"/>
  <c r="K126" i="46"/>
  <c r="L126" i="46"/>
  <c r="R126" i="46" s="1"/>
  <c r="M126" i="46"/>
  <c r="V126" i="46"/>
  <c r="W126" i="46"/>
  <c r="I127" i="46"/>
  <c r="K127" i="46"/>
  <c r="L128" i="46"/>
  <c r="M128" i="46"/>
  <c r="S128" i="46" s="1"/>
  <c r="N128" i="46"/>
  <c r="O128" i="46"/>
  <c r="R128" i="46"/>
  <c r="V128" i="46"/>
  <c r="W128" i="46"/>
  <c r="L129" i="46"/>
  <c r="V129" i="46"/>
  <c r="W129" i="46"/>
  <c r="L130" i="46"/>
  <c r="M130" i="46" s="1"/>
  <c r="N130" i="46" s="1"/>
  <c r="R130" i="46"/>
  <c r="S130" i="46"/>
  <c r="V130" i="46"/>
  <c r="W130" i="46" s="1"/>
  <c r="L131" i="46"/>
  <c r="M131" i="46"/>
  <c r="S131" i="46" s="1"/>
  <c r="N131" i="46"/>
  <c r="O131" i="46"/>
  <c r="R131" i="46"/>
  <c r="V131" i="46"/>
  <c r="W131" i="46"/>
  <c r="I132" i="46"/>
  <c r="K132" i="46"/>
  <c r="V132" i="46" s="1"/>
  <c r="W132" i="46" s="1"/>
  <c r="L132" i="46"/>
  <c r="L133" i="46"/>
  <c r="M133" i="46"/>
  <c r="S133" i="46" s="1"/>
  <c r="N133" i="46"/>
  <c r="O133" i="46"/>
  <c r="R133" i="46"/>
  <c r="V133" i="46"/>
  <c r="W133" i="46"/>
  <c r="I134" i="46"/>
  <c r="K134" i="46"/>
  <c r="V134" i="46" s="1"/>
  <c r="W134" i="46" s="1"/>
  <c r="L134" i="46"/>
  <c r="L135" i="46"/>
  <c r="M135" i="46"/>
  <c r="S135" i="46" s="1"/>
  <c r="N135" i="46"/>
  <c r="O135" i="46"/>
  <c r="R135" i="46"/>
  <c r="V135" i="46"/>
  <c r="W135" i="46"/>
  <c r="I136" i="46"/>
  <c r="K136" i="46"/>
  <c r="L136" i="46"/>
  <c r="V136" i="46"/>
  <c r="W136" i="46" s="1"/>
  <c r="I137" i="46"/>
  <c r="J137" i="46" s="1"/>
  <c r="K137" i="46"/>
  <c r="L137" i="46"/>
  <c r="R137" i="46" s="1"/>
  <c r="M137" i="46"/>
  <c r="V137" i="46"/>
  <c r="W137" i="46"/>
  <c r="I138" i="46"/>
  <c r="J138" i="46"/>
  <c r="K138" i="46"/>
  <c r="L138" i="46" s="1"/>
  <c r="V138" i="46"/>
  <c r="W138" i="46" s="1"/>
  <c r="J139" i="46"/>
  <c r="L139" i="46"/>
  <c r="R139" i="46" s="1"/>
  <c r="M139" i="46"/>
  <c r="V139" i="46"/>
  <c r="W139" i="46"/>
  <c r="J140" i="46"/>
  <c r="L140" i="46"/>
  <c r="R140" i="46" s="1"/>
  <c r="M140" i="46"/>
  <c r="V140" i="46"/>
  <c r="W140" i="46" s="1"/>
  <c r="I141" i="46"/>
  <c r="J141" i="46" s="1"/>
  <c r="K141" i="46"/>
  <c r="L141" i="46" s="1"/>
  <c r="M141" i="46" s="1"/>
  <c r="V141" i="46"/>
  <c r="W141" i="46" s="1"/>
  <c r="I142" i="46"/>
  <c r="J142" i="46"/>
  <c r="K142" i="46"/>
  <c r="L142" i="46"/>
  <c r="V142" i="46"/>
  <c r="W142" i="46" s="1"/>
  <c r="J143" i="46"/>
  <c r="L143" i="46"/>
  <c r="M143" i="46" s="1"/>
  <c r="R143" i="46"/>
  <c r="V143" i="46"/>
  <c r="W143" i="46" s="1"/>
  <c r="J145" i="46"/>
  <c r="L145" i="46"/>
  <c r="M145" i="46" s="1"/>
  <c r="Q145" i="46"/>
  <c r="R145" i="46"/>
  <c r="S145" i="46"/>
  <c r="I146" i="46"/>
  <c r="K146" i="46"/>
  <c r="Q146" i="46" s="1"/>
  <c r="L146" i="46"/>
  <c r="R146" i="46" s="1"/>
  <c r="M146" i="46"/>
  <c r="P146" i="46"/>
  <c r="P173" i="46" s="1"/>
  <c r="I147" i="46"/>
  <c r="K147" i="46"/>
  <c r="I148" i="46"/>
  <c r="J148" i="46" s="1"/>
  <c r="K148" i="46"/>
  <c r="Q148" i="46" s="1"/>
  <c r="L148" i="46"/>
  <c r="R148" i="46" s="1"/>
  <c r="M148" i="46"/>
  <c r="J149" i="46"/>
  <c r="L149" i="46"/>
  <c r="M149" i="46"/>
  <c r="Q149" i="46"/>
  <c r="R149" i="46"/>
  <c r="I150" i="46"/>
  <c r="I153" i="46" s="1"/>
  <c r="K150" i="46"/>
  <c r="E29" i="52" s="1"/>
  <c r="I29" i="52" s="1"/>
  <c r="I151" i="46"/>
  <c r="J151" i="46"/>
  <c r="K151" i="46"/>
  <c r="L151" i="46"/>
  <c r="I152" i="46"/>
  <c r="J152" i="46"/>
  <c r="K152" i="46"/>
  <c r="L152" i="46" s="1"/>
  <c r="P153" i="46"/>
  <c r="I154" i="46"/>
  <c r="J154" i="46" s="1"/>
  <c r="K154" i="46"/>
  <c r="L154" i="46"/>
  <c r="M154" i="46"/>
  <c r="S154" i="46" s="1"/>
  <c r="N154" i="46"/>
  <c r="AA154" i="46" s="1"/>
  <c r="O154" i="46"/>
  <c r="U154" i="46" s="1"/>
  <c r="R154" i="46"/>
  <c r="V154" i="46"/>
  <c r="W154" i="46"/>
  <c r="I155" i="46"/>
  <c r="K155" i="46"/>
  <c r="L155" i="46"/>
  <c r="V155" i="46"/>
  <c r="W155" i="46" s="1"/>
  <c r="I156" i="46"/>
  <c r="K156" i="46"/>
  <c r="L156" i="46"/>
  <c r="R156" i="46" s="1"/>
  <c r="M156" i="46"/>
  <c r="V156" i="46"/>
  <c r="W156" i="46" s="1"/>
  <c r="I159" i="46"/>
  <c r="J159" i="46"/>
  <c r="K159" i="46"/>
  <c r="I161" i="46"/>
  <c r="J161" i="46" s="1"/>
  <c r="J163" i="46" s="1"/>
  <c r="K161" i="46"/>
  <c r="I162" i="46"/>
  <c r="J162" i="46"/>
  <c r="K162" i="46"/>
  <c r="L162" i="46"/>
  <c r="V162" i="46"/>
  <c r="W162" i="46" s="1"/>
  <c r="P163" i="46"/>
  <c r="I164" i="46"/>
  <c r="K164" i="46"/>
  <c r="I165" i="46"/>
  <c r="J165" i="46"/>
  <c r="K165" i="46"/>
  <c r="L165" i="46"/>
  <c r="V165" i="46"/>
  <c r="W165" i="46" s="1"/>
  <c r="I166" i="46"/>
  <c r="J166" i="46" s="1"/>
  <c r="K166" i="46"/>
  <c r="L166" i="46" s="1"/>
  <c r="I167" i="46"/>
  <c r="J167" i="46"/>
  <c r="K167" i="46"/>
  <c r="L167" i="46"/>
  <c r="V167" i="46"/>
  <c r="W167" i="46" s="1"/>
  <c r="P168" i="46"/>
  <c r="L169" i="46"/>
  <c r="V169" i="46"/>
  <c r="W169" i="46" s="1"/>
  <c r="L170" i="46"/>
  <c r="M170" i="46" s="1"/>
  <c r="R170" i="46"/>
  <c r="V170" i="46"/>
  <c r="W170" i="46" s="1"/>
  <c r="I171" i="46"/>
  <c r="J171" i="46"/>
  <c r="K171" i="46"/>
  <c r="P171" i="46"/>
  <c r="V171" i="46"/>
  <c r="W171" i="46" s="1"/>
  <c r="K249" i="46"/>
  <c r="I4" i="45"/>
  <c r="J4" i="45"/>
  <c r="K4" i="45"/>
  <c r="L4" i="45"/>
  <c r="M4" i="45"/>
  <c r="N4" i="45"/>
  <c r="O4" i="45"/>
  <c r="P4" i="45"/>
  <c r="Q4" i="45"/>
  <c r="R4" i="45"/>
  <c r="S4" i="45"/>
  <c r="T4" i="45"/>
  <c r="J7" i="45"/>
  <c r="L7" i="45"/>
  <c r="M7" i="45" s="1"/>
  <c r="R7" i="45"/>
  <c r="J8" i="45"/>
  <c r="P8" i="45"/>
  <c r="P13" i="45" s="1"/>
  <c r="I9" i="45"/>
  <c r="I8" i="45" s="1"/>
  <c r="I13" i="45" s="1"/>
  <c r="K9" i="45"/>
  <c r="L9" i="45"/>
  <c r="R9" i="45"/>
  <c r="M9" i="45"/>
  <c r="S9" i="45"/>
  <c r="I10" i="45"/>
  <c r="K10" i="45"/>
  <c r="L10" i="45" s="1"/>
  <c r="M10" i="45" s="1"/>
  <c r="N10" i="45" s="1"/>
  <c r="H100" i="11" s="1"/>
  <c r="I11" i="45"/>
  <c r="K11" i="45"/>
  <c r="L11" i="45" s="1"/>
  <c r="R11" i="45" s="1"/>
  <c r="K12" i="45"/>
  <c r="L12" i="45"/>
  <c r="R12" i="45" s="1"/>
  <c r="J14" i="45"/>
  <c r="L14" i="45"/>
  <c r="M14" i="45" s="1"/>
  <c r="N14" i="45" s="1"/>
  <c r="T14" i="45" s="1"/>
  <c r="R15" i="45"/>
  <c r="S15" i="45"/>
  <c r="T15" i="45"/>
  <c r="U15" i="45"/>
  <c r="R16" i="45"/>
  <c r="S16" i="45"/>
  <c r="T16" i="45"/>
  <c r="U16" i="45"/>
  <c r="R17" i="45"/>
  <c r="S17" i="45"/>
  <c r="T17" i="45"/>
  <c r="U17" i="45"/>
  <c r="R18" i="45"/>
  <c r="S18" i="45"/>
  <c r="T18" i="45"/>
  <c r="U18" i="45"/>
  <c r="R19" i="45"/>
  <c r="S19" i="45"/>
  <c r="T19" i="45"/>
  <c r="U19" i="45"/>
  <c r="I20" i="45"/>
  <c r="J20" i="45"/>
  <c r="K20" i="45"/>
  <c r="R20" i="45" s="1"/>
  <c r="L20" i="45"/>
  <c r="M20" i="45"/>
  <c r="S20" i="45" s="1"/>
  <c r="N20" i="45"/>
  <c r="O20" i="45"/>
  <c r="U20" i="45" s="1"/>
  <c r="P20" i="45"/>
  <c r="V20" i="45" s="1"/>
  <c r="J21" i="45"/>
  <c r="L21" i="45"/>
  <c r="M21" i="45"/>
  <c r="S21" i="45" s="1"/>
  <c r="N21" i="45"/>
  <c r="O21" i="45"/>
  <c r="R21" i="45"/>
  <c r="R22" i="45"/>
  <c r="S22" i="45"/>
  <c r="T22" i="45"/>
  <c r="U22" i="45"/>
  <c r="R23" i="45"/>
  <c r="S23" i="45"/>
  <c r="T23" i="45"/>
  <c r="U23" i="45"/>
  <c r="R24" i="45"/>
  <c r="S24" i="45"/>
  <c r="T24" i="45"/>
  <c r="U24" i="45"/>
  <c r="J25" i="45"/>
  <c r="L25" i="45"/>
  <c r="J26" i="45"/>
  <c r="L26" i="45"/>
  <c r="M26" i="45" s="1"/>
  <c r="R26" i="45"/>
  <c r="L27" i="45"/>
  <c r="I28" i="45"/>
  <c r="K28" i="45"/>
  <c r="L28" i="45"/>
  <c r="I29" i="45"/>
  <c r="K29" i="45"/>
  <c r="L29" i="45" s="1"/>
  <c r="P29" i="45"/>
  <c r="I30" i="45"/>
  <c r="K30" i="45"/>
  <c r="L30" i="45"/>
  <c r="M30" i="45"/>
  <c r="S30" i="45"/>
  <c r="P30" i="45"/>
  <c r="I31" i="45"/>
  <c r="K31" i="45"/>
  <c r="L31" i="45" s="1"/>
  <c r="I32" i="45"/>
  <c r="K32" i="45"/>
  <c r="L32" i="45"/>
  <c r="P32" i="45"/>
  <c r="I33" i="45"/>
  <c r="K33" i="45"/>
  <c r="L33" i="45" s="1"/>
  <c r="I34" i="45"/>
  <c r="K34" i="45"/>
  <c r="L34" i="45" s="1"/>
  <c r="P34" i="45"/>
  <c r="J36" i="45"/>
  <c r="L36" i="45"/>
  <c r="I37" i="45"/>
  <c r="K37" i="45"/>
  <c r="L37" i="45"/>
  <c r="R37" i="45" s="1"/>
  <c r="M37" i="45"/>
  <c r="J39" i="45"/>
  <c r="L39" i="45"/>
  <c r="R39" i="45"/>
  <c r="M39" i="45"/>
  <c r="N39" i="45" s="1"/>
  <c r="T39" i="45" s="1"/>
  <c r="I40" i="45"/>
  <c r="K40" i="45"/>
  <c r="I41" i="45"/>
  <c r="I43" i="45" s="1"/>
  <c r="I49" i="45" s="1"/>
  <c r="C107" i="12" s="1"/>
  <c r="J41" i="45"/>
  <c r="J43" i="45" s="1"/>
  <c r="J49" i="45" s="1"/>
  <c r="K41" i="45"/>
  <c r="Q41" i="45" s="1"/>
  <c r="L41" i="45"/>
  <c r="J42" i="45"/>
  <c r="L42" i="45"/>
  <c r="R42" i="45"/>
  <c r="M42" i="45"/>
  <c r="N42" i="45" s="1"/>
  <c r="T42" i="45" s="1"/>
  <c r="S42" i="45"/>
  <c r="P43" i="45"/>
  <c r="I44" i="45"/>
  <c r="K44" i="45"/>
  <c r="L44" i="45" s="1"/>
  <c r="I45" i="45"/>
  <c r="I46" i="45" s="1"/>
  <c r="K45" i="45"/>
  <c r="L45" i="45"/>
  <c r="M45" i="45" s="1"/>
  <c r="N45" i="45" s="1"/>
  <c r="O45" i="45" s="1"/>
  <c r="U45" i="45" s="1"/>
  <c r="J46" i="45"/>
  <c r="P46" i="45"/>
  <c r="J47" i="45"/>
  <c r="L47" i="45"/>
  <c r="R47" i="45" s="1"/>
  <c r="M47" i="45"/>
  <c r="N47" i="45"/>
  <c r="T47" i="45" s="1"/>
  <c r="S47" i="45"/>
  <c r="J48" i="45"/>
  <c r="L48" i="45"/>
  <c r="M48" i="45"/>
  <c r="N48" i="45" s="1"/>
  <c r="T48" i="45" s="1"/>
  <c r="R48" i="45"/>
  <c r="S48" i="45"/>
  <c r="Q50" i="45"/>
  <c r="R50" i="45"/>
  <c r="S50" i="45"/>
  <c r="T50" i="45"/>
  <c r="U50" i="45"/>
  <c r="Q51" i="45"/>
  <c r="R51" i="45"/>
  <c r="S51" i="45"/>
  <c r="T51" i="45"/>
  <c r="U51" i="45"/>
  <c r="I52" i="45"/>
  <c r="K52" i="45"/>
  <c r="L52" i="45"/>
  <c r="M52" i="45"/>
  <c r="N52" i="45" s="1"/>
  <c r="O52" i="45"/>
  <c r="I53" i="45"/>
  <c r="K53" i="45"/>
  <c r="L53" i="45"/>
  <c r="M53" i="45"/>
  <c r="N53" i="45" s="1"/>
  <c r="R53" i="45"/>
  <c r="I54" i="45"/>
  <c r="K54" i="45"/>
  <c r="K55" i="45" s="1"/>
  <c r="J55" i="45"/>
  <c r="J57" i="45"/>
  <c r="P55" i="45"/>
  <c r="L56" i="45"/>
  <c r="R56" i="45"/>
  <c r="I58" i="45"/>
  <c r="K58" i="45"/>
  <c r="L58" i="45" s="1"/>
  <c r="M58" i="45" s="1"/>
  <c r="N58" i="45" s="1"/>
  <c r="I59" i="45"/>
  <c r="K59" i="45"/>
  <c r="L59" i="45" s="1"/>
  <c r="I60" i="45"/>
  <c r="K60" i="45"/>
  <c r="L60" i="45" s="1"/>
  <c r="P60" i="45"/>
  <c r="P65" i="45"/>
  <c r="I61" i="45"/>
  <c r="K61" i="45"/>
  <c r="L61" i="45"/>
  <c r="I62" i="45"/>
  <c r="K62" i="45"/>
  <c r="L62" i="45" s="1"/>
  <c r="M62" i="45" s="1"/>
  <c r="I63" i="45"/>
  <c r="K63" i="45"/>
  <c r="L63" i="45" s="1"/>
  <c r="M63" i="45" s="1"/>
  <c r="I64" i="45"/>
  <c r="K64" i="45"/>
  <c r="L64" i="45" s="1"/>
  <c r="J65" i="45"/>
  <c r="I66" i="45"/>
  <c r="J66" i="45"/>
  <c r="J85" i="45" s="1"/>
  <c r="K66" i="45"/>
  <c r="L66" i="45" s="1"/>
  <c r="I67" i="45"/>
  <c r="K67" i="45"/>
  <c r="L67" i="45" s="1"/>
  <c r="P67" i="45"/>
  <c r="I68" i="45"/>
  <c r="K68" i="45"/>
  <c r="I69" i="45"/>
  <c r="K69" i="45"/>
  <c r="L69" i="45" s="1"/>
  <c r="R69" i="45" s="1"/>
  <c r="I70" i="45"/>
  <c r="K70" i="45"/>
  <c r="L70" i="45"/>
  <c r="R70" i="45" s="1"/>
  <c r="I71" i="45"/>
  <c r="K71" i="45"/>
  <c r="L71" i="45" s="1"/>
  <c r="I72" i="45"/>
  <c r="K72" i="45"/>
  <c r="L72" i="45" s="1"/>
  <c r="R72" i="45" s="1"/>
  <c r="I73" i="45"/>
  <c r="K73" i="45"/>
  <c r="L73" i="45" s="1"/>
  <c r="L74" i="45"/>
  <c r="I75" i="45"/>
  <c r="K75" i="45"/>
  <c r="L75" i="45" s="1"/>
  <c r="I76" i="45"/>
  <c r="K76" i="45"/>
  <c r="L76" i="45"/>
  <c r="R76" i="45" s="1"/>
  <c r="M76" i="45"/>
  <c r="I77" i="45"/>
  <c r="K77" i="45"/>
  <c r="L77" i="45"/>
  <c r="M77" i="45" s="1"/>
  <c r="L78" i="45"/>
  <c r="I79" i="45"/>
  <c r="K79" i="45"/>
  <c r="L79" i="45"/>
  <c r="I80" i="45"/>
  <c r="K80" i="45"/>
  <c r="L80" i="45"/>
  <c r="M80" i="45" s="1"/>
  <c r="P80" i="45"/>
  <c r="I81" i="45"/>
  <c r="K81" i="45"/>
  <c r="L81" i="45" s="1"/>
  <c r="R81" i="45" s="1"/>
  <c r="I82" i="45"/>
  <c r="K82" i="45"/>
  <c r="L82" i="45" s="1"/>
  <c r="I83" i="45"/>
  <c r="K83" i="45"/>
  <c r="L83" i="45"/>
  <c r="M83" i="45" s="1"/>
  <c r="N83" i="45"/>
  <c r="Q83" i="45" s="1"/>
  <c r="I84" i="45"/>
  <c r="K84" i="45"/>
  <c r="L84" i="45"/>
  <c r="I86" i="45"/>
  <c r="K86" i="45"/>
  <c r="L86" i="45" s="1"/>
  <c r="J87" i="45"/>
  <c r="I88" i="45"/>
  <c r="K88" i="45"/>
  <c r="L88" i="45" s="1"/>
  <c r="R88" i="45" s="1"/>
  <c r="I89" i="45"/>
  <c r="K89" i="45"/>
  <c r="L89" i="45" s="1"/>
  <c r="R89" i="45"/>
  <c r="P89" i="45"/>
  <c r="I90" i="45"/>
  <c r="K90" i="45"/>
  <c r="L90" i="45"/>
  <c r="P90" i="45"/>
  <c r="L91" i="45"/>
  <c r="M91" i="45" s="1"/>
  <c r="N91" i="45" s="1"/>
  <c r="L92" i="45"/>
  <c r="M92" i="45" s="1"/>
  <c r="R92" i="45"/>
  <c r="I93" i="45"/>
  <c r="K93" i="45"/>
  <c r="L93" i="45"/>
  <c r="R93" i="45" s="1"/>
  <c r="K94" i="45"/>
  <c r="I95" i="45"/>
  <c r="I94" i="45"/>
  <c r="K95" i="45"/>
  <c r="L95" i="45"/>
  <c r="M95" i="45" s="1"/>
  <c r="R95" i="45"/>
  <c r="I96" i="45"/>
  <c r="K96" i="45"/>
  <c r="L96" i="45"/>
  <c r="R96" i="45" s="1"/>
  <c r="P96" i="45"/>
  <c r="I97" i="45"/>
  <c r="K97" i="45"/>
  <c r="L97" i="45" s="1"/>
  <c r="I98" i="45"/>
  <c r="K98" i="45"/>
  <c r="L98" i="45"/>
  <c r="R98" i="45" s="1"/>
  <c r="J99" i="45"/>
  <c r="J100" i="45"/>
  <c r="L100" i="45"/>
  <c r="M100" i="45" s="1"/>
  <c r="N100" i="45" s="1"/>
  <c r="R100" i="45"/>
  <c r="S100" i="45"/>
  <c r="I4" i="44"/>
  <c r="J4" i="44"/>
  <c r="K4" i="44"/>
  <c r="L4" i="44"/>
  <c r="M4" i="44"/>
  <c r="N4" i="44"/>
  <c r="O4" i="44"/>
  <c r="P4" i="44"/>
  <c r="Q4" i="44"/>
  <c r="R4" i="44"/>
  <c r="S4" i="44"/>
  <c r="T4" i="44"/>
  <c r="I7" i="44"/>
  <c r="K7" i="44"/>
  <c r="L7" i="44"/>
  <c r="I8" i="44"/>
  <c r="K8" i="44"/>
  <c r="L8" i="44"/>
  <c r="R8" i="44" s="1"/>
  <c r="M8" i="44"/>
  <c r="S8" i="44" s="1"/>
  <c r="P8" i="44"/>
  <c r="I9" i="44"/>
  <c r="K9" i="44"/>
  <c r="I10" i="44"/>
  <c r="J10" i="44"/>
  <c r="P10" i="44"/>
  <c r="I11" i="44"/>
  <c r="K11" i="44"/>
  <c r="L11" i="44" s="1"/>
  <c r="M11" i="44"/>
  <c r="R11" i="44"/>
  <c r="J12" i="44"/>
  <c r="P12" i="44"/>
  <c r="Q13" i="44"/>
  <c r="R13" i="44"/>
  <c r="S13" i="44"/>
  <c r="T13" i="44"/>
  <c r="U13" i="44"/>
  <c r="L14" i="44"/>
  <c r="M14" i="44"/>
  <c r="N14" i="44"/>
  <c r="Q14" i="44"/>
  <c r="R14" i="44"/>
  <c r="T14" i="44"/>
  <c r="I15" i="44"/>
  <c r="J15" i="44"/>
  <c r="K15" i="44"/>
  <c r="L15" i="44"/>
  <c r="P15" i="44"/>
  <c r="R15" i="44"/>
  <c r="J16" i="44"/>
  <c r="P16" i="44"/>
  <c r="I17" i="44"/>
  <c r="K17" i="44"/>
  <c r="L17" i="44" s="1"/>
  <c r="R17" i="44" s="1"/>
  <c r="I18" i="44"/>
  <c r="L18" i="44"/>
  <c r="I19" i="44"/>
  <c r="J19" i="44"/>
  <c r="P19" i="44"/>
  <c r="I20" i="44"/>
  <c r="I23" i="44" s="1"/>
  <c r="I24" i="44" s="1"/>
  <c r="K20" i="44"/>
  <c r="L20" i="44"/>
  <c r="R20" i="44"/>
  <c r="I21" i="44"/>
  <c r="K21" i="44"/>
  <c r="L21" i="44" s="1"/>
  <c r="I22" i="44"/>
  <c r="K22" i="44"/>
  <c r="L22" i="44" s="1"/>
  <c r="J23" i="44"/>
  <c r="J24" i="44" s="1"/>
  <c r="P23" i="44"/>
  <c r="I25" i="44"/>
  <c r="I27" i="44" s="1"/>
  <c r="I29" i="44" s="1"/>
  <c r="K25" i="44"/>
  <c r="L25" i="44"/>
  <c r="M25" i="44" s="1"/>
  <c r="N25" i="44" s="1"/>
  <c r="O25" i="44" s="1"/>
  <c r="U25" i="44" s="1"/>
  <c r="J27" i="44"/>
  <c r="J29" i="44" s="1"/>
  <c r="Q28" i="44"/>
  <c r="R28" i="44"/>
  <c r="S28" i="44"/>
  <c r="T28" i="44"/>
  <c r="U28" i="44"/>
  <c r="X33" i="44"/>
  <c r="X34" i="44"/>
  <c r="I37" i="44"/>
  <c r="I45" i="44" s="1"/>
  <c r="I26" i="44" s="1"/>
  <c r="K37" i="44"/>
  <c r="L37" i="44" s="1"/>
  <c r="M37" i="44" s="1"/>
  <c r="N37" i="44" s="1"/>
  <c r="I38" i="44"/>
  <c r="K38" i="44"/>
  <c r="L38" i="44" s="1"/>
  <c r="M38" i="44" s="1"/>
  <c r="N38" i="44" s="1"/>
  <c r="I39" i="44"/>
  <c r="K39" i="44"/>
  <c r="L39" i="44" s="1"/>
  <c r="M39" i="44" s="1"/>
  <c r="N39" i="44" s="1"/>
  <c r="I40" i="44"/>
  <c r="K40" i="44"/>
  <c r="L40" i="44" s="1"/>
  <c r="M40" i="44" s="1"/>
  <c r="N40" i="44" s="1"/>
  <c r="I41" i="44"/>
  <c r="K41" i="44"/>
  <c r="L41" i="44"/>
  <c r="M41" i="44" s="1"/>
  <c r="N41" i="44" s="1"/>
  <c r="I42" i="44"/>
  <c r="K42" i="44"/>
  <c r="L42" i="44"/>
  <c r="M42" i="44" s="1"/>
  <c r="N42" i="44" s="1"/>
  <c r="I43" i="44"/>
  <c r="K43" i="44"/>
  <c r="L43" i="44"/>
  <c r="M43" i="44" s="1"/>
  <c r="N43" i="44" s="1"/>
  <c r="I44" i="44"/>
  <c r="K44" i="44"/>
  <c r="L44" i="44"/>
  <c r="M44" i="44"/>
  <c r="N44" i="44" s="1"/>
  <c r="J45" i="44"/>
  <c r="J26" i="44" s="1"/>
  <c r="L45" i="44"/>
  <c r="L26" i="44" s="1"/>
  <c r="X45" i="44"/>
  <c r="I4" i="43"/>
  <c r="J4" i="43"/>
  <c r="K4" i="43"/>
  <c r="L4" i="43"/>
  <c r="M4" i="43"/>
  <c r="N4" i="43"/>
  <c r="O4" i="43"/>
  <c r="P4" i="43"/>
  <c r="Q4" i="43"/>
  <c r="R4" i="43"/>
  <c r="S4" i="43"/>
  <c r="T4" i="43"/>
  <c r="R5" i="43"/>
  <c r="I7" i="43"/>
  <c r="K7" i="43"/>
  <c r="I8" i="43"/>
  <c r="K8" i="43"/>
  <c r="L8" i="43"/>
  <c r="I9" i="43"/>
  <c r="K9" i="43"/>
  <c r="L9" i="43"/>
  <c r="V9" i="43"/>
  <c r="W9" i="43"/>
  <c r="I10" i="43"/>
  <c r="K10" i="43"/>
  <c r="L10" i="43"/>
  <c r="M10" i="43" s="1"/>
  <c r="S10" i="43" s="1"/>
  <c r="R10" i="43"/>
  <c r="V10" i="43"/>
  <c r="W10" i="43"/>
  <c r="I11" i="43"/>
  <c r="K11" i="43"/>
  <c r="V11" i="43"/>
  <c r="W11" i="43" s="1"/>
  <c r="L11" i="43"/>
  <c r="M11" i="43"/>
  <c r="I12" i="43"/>
  <c r="K12" i="43"/>
  <c r="V12" i="43" s="1"/>
  <c r="P12" i="43"/>
  <c r="P16" i="43" s="1"/>
  <c r="W12" i="43"/>
  <c r="I13" i="43"/>
  <c r="K13" i="43"/>
  <c r="L13" i="43"/>
  <c r="M13" i="43" s="1"/>
  <c r="S13" i="43" s="1"/>
  <c r="N13" i="43"/>
  <c r="O13" i="43" s="1"/>
  <c r="U13" i="43" s="1"/>
  <c r="R13" i="43"/>
  <c r="V13" i="43"/>
  <c r="W13" i="43"/>
  <c r="I14" i="43"/>
  <c r="I16" i="43" s="1"/>
  <c r="K14" i="43"/>
  <c r="V14" i="43"/>
  <c r="W14" i="43" s="1"/>
  <c r="L14" i="43"/>
  <c r="M14" i="43"/>
  <c r="I15" i="43"/>
  <c r="K15" i="43"/>
  <c r="V15" i="43" s="1"/>
  <c r="W15" i="43" s="1"/>
  <c r="J16" i="43"/>
  <c r="I17" i="43"/>
  <c r="K17" i="43"/>
  <c r="K19" i="43" s="1"/>
  <c r="I18" i="43"/>
  <c r="I19" i="43"/>
  <c r="K18" i="43"/>
  <c r="L18" i="43"/>
  <c r="R18" i="43" s="1"/>
  <c r="M18" i="43"/>
  <c r="V18" i="43"/>
  <c r="W18" i="43" s="1"/>
  <c r="J19" i="43"/>
  <c r="P19" i="43"/>
  <c r="K20" i="43"/>
  <c r="K21" i="43"/>
  <c r="L21" i="43" s="1"/>
  <c r="M21" i="43" s="1"/>
  <c r="V21" i="43"/>
  <c r="W21" i="43" s="1"/>
  <c r="K22" i="43"/>
  <c r="L22" i="43" s="1"/>
  <c r="M22" i="43" s="1"/>
  <c r="S22" i="43" s="1"/>
  <c r="R22" i="43"/>
  <c r="I23" i="43"/>
  <c r="K23" i="43"/>
  <c r="L23" i="43" s="1"/>
  <c r="M23" i="43" s="1"/>
  <c r="R23" i="43"/>
  <c r="N23" i="43"/>
  <c r="Z23" i="43" s="1"/>
  <c r="V23" i="43"/>
  <c r="W23" i="43" s="1"/>
  <c r="I24" i="43"/>
  <c r="K24" i="43"/>
  <c r="L24" i="43" s="1"/>
  <c r="M24" i="43" s="1"/>
  <c r="R24" i="43"/>
  <c r="S24" i="43"/>
  <c r="N24" i="43"/>
  <c r="O24" i="43"/>
  <c r="U24" i="43" s="1"/>
  <c r="V24" i="43"/>
  <c r="W24" i="43" s="1"/>
  <c r="K25" i="43"/>
  <c r="V25" i="43" s="1"/>
  <c r="W25" i="43" s="1"/>
  <c r="K26" i="43"/>
  <c r="L26" i="43"/>
  <c r="R26" i="43" s="1"/>
  <c r="V26" i="43"/>
  <c r="W26" i="43"/>
  <c r="K27" i="43"/>
  <c r="K28" i="43"/>
  <c r="L28" i="43" s="1"/>
  <c r="R28" i="43"/>
  <c r="M28" i="43"/>
  <c r="K29" i="43"/>
  <c r="V29" i="43" s="1"/>
  <c r="L29" i="43"/>
  <c r="M29" i="43" s="1"/>
  <c r="W29" i="43"/>
  <c r="K30" i="43"/>
  <c r="L30" i="43"/>
  <c r="M30" i="43" s="1"/>
  <c r="V30" i="43"/>
  <c r="W30" i="43" s="1"/>
  <c r="I31" i="43"/>
  <c r="K31" i="43"/>
  <c r="V31" i="43" s="1"/>
  <c r="W31" i="43" s="1"/>
  <c r="L31" i="43"/>
  <c r="M31" i="43"/>
  <c r="I32" i="43"/>
  <c r="K32" i="43"/>
  <c r="L32" i="43"/>
  <c r="V32" i="43"/>
  <c r="W32" i="43"/>
  <c r="K33" i="43"/>
  <c r="L33" i="43" s="1"/>
  <c r="R33" i="43" s="1"/>
  <c r="V33" i="43"/>
  <c r="I34" i="43"/>
  <c r="K34" i="43"/>
  <c r="L34" i="43"/>
  <c r="R34" i="43" s="1"/>
  <c r="V34" i="43"/>
  <c r="W34" i="43" s="1"/>
  <c r="K35" i="43"/>
  <c r="L35" i="43"/>
  <c r="M35" i="43" s="1"/>
  <c r="S35" i="43" s="1"/>
  <c r="R35" i="43"/>
  <c r="V35" i="43"/>
  <c r="W35" i="43" s="1"/>
  <c r="I36" i="43"/>
  <c r="K36" i="43"/>
  <c r="L36" i="43" s="1"/>
  <c r="V36" i="43"/>
  <c r="W36" i="43" s="1"/>
  <c r="M36" i="43"/>
  <c r="J37" i="43"/>
  <c r="K38" i="43"/>
  <c r="L38" i="43"/>
  <c r="R38" i="43" s="1"/>
  <c r="M38" i="43"/>
  <c r="V38" i="43"/>
  <c r="K39" i="43"/>
  <c r="L39" i="43" s="1"/>
  <c r="M39" i="43" s="1"/>
  <c r="N39" i="43" s="1"/>
  <c r="Z39" i="43" s="1"/>
  <c r="R39" i="43"/>
  <c r="V39" i="43"/>
  <c r="L40" i="43"/>
  <c r="R40" i="43" s="1"/>
  <c r="M40" i="43"/>
  <c r="N40" i="43" s="1"/>
  <c r="S40" i="43"/>
  <c r="V40" i="43"/>
  <c r="W40" i="43"/>
  <c r="L41" i="43"/>
  <c r="R41" i="43"/>
  <c r="M41" i="43"/>
  <c r="S41" i="43" s="1"/>
  <c r="N41" i="43"/>
  <c r="O41" i="43"/>
  <c r="U41" i="43" s="1"/>
  <c r="V41" i="43"/>
  <c r="W41" i="43" s="1"/>
  <c r="L42" i="43"/>
  <c r="R42" i="43"/>
  <c r="M42" i="43"/>
  <c r="N42" i="43"/>
  <c r="Z42" i="43" s="1"/>
  <c r="V42" i="43"/>
  <c r="W42" i="43" s="1"/>
  <c r="L43" i="43"/>
  <c r="V43" i="43"/>
  <c r="W43" i="43" s="1"/>
  <c r="K44" i="43"/>
  <c r="L44" i="43" s="1"/>
  <c r="R44" i="43" s="1"/>
  <c r="M44" i="43"/>
  <c r="V44" i="43"/>
  <c r="W44" i="43" s="1"/>
  <c r="I45" i="43"/>
  <c r="I48" i="43" s="1"/>
  <c r="K45" i="43"/>
  <c r="K46" i="43"/>
  <c r="V46" i="43" s="1"/>
  <c r="W46" i="43" s="1"/>
  <c r="L46" i="43"/>
  <c r="R46" i="43" s="1"/>
  <c r="M46" i="43"/>
  <c r="N46" i="43" s="1"/>
  <c r="Z46" i="43" s="1"/>
  <c r="I47" i="43"/>
  <c r="K47" i="43"/>
  <c r="J48" i="43"/>
  <c r="K49" i="43"/>
  <c r="V49" i="43"/>
  <c r="W49" i="43" s="1"/>
  <c r="L49" i="43"/>
  <c r="M49" i="43"/>
  <c r="K50" i="43"/>
  <c r="V50" i="43" s="1"/>
  <c r="W50" i="43" s="1"/>
  <c r="L50" i="43"/>
  <c r="M50" i="43" s="1"/>
  <c r="P50" i="43"/>
  <c r="K51" i="43"/>
  <c r="L51" i="43" s="1"/>
  <c r="L52" i="43"/>
  <c r="V52" i="43"/>
  <c r="W52" i="43"/>
  <c r="L53" i="43"/>
  <c r="R53" i="43" s="1"/>
  <c r="M53" i="43"/>
  <c r="N53" i="43" s="1"/>
  <c r="Z53" i="43" s="1"/>
  <c r="V53" i="43"/>
  <c r="W53" i="43"/>
  <c r="L54" i="43"/>
  <c r="M54" i="43"/>
  <c r="R54" i="43"/>
  <c r="V54" i="43"/>
  <c r="V55" i="43" s="1"/>
  <c r="W55" i="43" s="1"/>
  <c r="I55" i="43"/>
  <c r="I63" i="43"/>
  <c r="K55" i="43"/>
  <c r="L55" i="43" s="1"/>
  <c r="L56" i="43"/>
  <c r="K57" i="43"/>
  <c r="L57" i="43"/>
  <c r="K58" i="43"/>
  <c r="L58" i="43" s="1"/>
  <c r="M58" i="43" s="1"/>
  <c r="S58" i="43"/>
  <c r="N58" i="43"/>
  <c r="O58" i="43" s="1"/>
  <c r="U58" i="43" s="1"/>
  <c r="K59" i="43"/>
  <c r="L59" i="43" s="1"/>
  <c r="R59" i="43" s="1"/>
  <c r="L60" i="43"/>
  <c r="M60" i="43"/>
  <c r="N60" i="43" s="1"/>
  <c r="L61" i="43"/>
  <c r="M61" i="43" s="1"/>
  <c r="N61" i="43" s="1"/>
  <c r="S61" i="43"/>
  <c r="O61" i="43"/>
  <c r="U61" i="43" s="1"/>
  <c r="Q61" i="43"/>
  <c r="I62" i="43"/>
  <c r="K62" i="43"/>
  <c r="L62" i="43" s="1"/>
  <c r="V62" i="43"/>
  <c r="W62" i="43" s="1"/>
  <c r="J63" i="43"/>
  <c r="I64" i="43"/>
  <c r="K64" i="43"/>
  <c r="I65" i="43"/>
  <c r="K65" i="43"/>
  <c r="L65" i="43"/>
  <c r="M65" i="43" s="1"/>
  <c r="R65" i="43"/>
  <c r="V65" i="43"/>
  <c r="W65" i="43" s="1"/>
  <c r="I66" i="43"/>
  <c r="K66" i="43"/>
  <c r="J67" i="43"/>
  <c r="Q68" i="43"/>
  <c r="I69" i="43"/>
  <c r="K69" i="43"/>
  <c r="L69" i="43" s="1"/>
  <c r="R69" i="43" s="1"/>
  <c r="I70" i="43"/>
  <c r="L70" i="43"/>
  <c r="R70" i="43" s="1"/>
  <c r="M70" i="43"/>
  <c r="P72" i="43"/>
  <c r="V70" i="43"/>
  <c r="W70" i="43" s="1"/>
  <c r="I71" i="43"/>
  <c r="I72" i="43"/>
  <c r="K71" i="43"/>
  <c r="L71" i="43"/>
  <c r="M71" i="43" s="1"/>
  <c r="J72" i="43"/>
  <c r="J85" i="43" s="1"/>
  <c r="J86" i="43"/>
  <c r="L73" i="43"/>
  <c r="M73" i="43" s="1"/>
  <c r="R73" i="43"/>
  <c r="V73" i="43"/>
  <c r="W73" i="43" s="1"/>
  <c r="I74" i="43"/>
  <c r="K74" i="43"/>
  <c r="L74" i="43"/>
  <c r="M74" i="43" s="1"/>
  <c r="N74" i="43" s="1"/>
  <c r="Z74" i="43" s="1"/>
  <c r="R74" i="43"/>
  <c r="S74" i="43"/>
  <c r="K75" i="43"/>
  <c r="L75" i="43"/>
  <c r="I76" i="43"/>
  <c r="K76" i="43"/>
  <c r="I77" i="43"/>
  <c r="K77" i="43"/>
  <c r="V77" i="43"/>
  <c r="W77" i="43" s="1"/>
  <c r="L77" i="43"/>
  <c r="I78" i="43"/>
  <c r="K78" i="43"/>
  <c r="L78" i="43"/>
  <c r="I79" i="43"/>
  <c r="K79" i="43"/>
  <c r="L79" i="43" s="1"/>
  <c r="M79" i="43" s="1"/>
  <c r="R79" i="43"/>
  <c r="V79" i="43"/>
  <c r="W79" i="43" s="1"/>
  <c r="I80" i="43"/>
  <c r="K80" i="43"/>
  <c r="L80" i="43" s="1"/>
  <c r="I81" i="43"/>
  <c r="K81" i="43"/>
  <c r="L81" i="43" s="1"/>
  <c r="R81" i="43"/>
  <c r="M81" i="43"/>
  <c r="S81" i="43" s="1"/>
  <c r="I82" i="43"/>
  <c r="K82" i="43"/>
  <c r="L82" i="43" s="1"/>
  <c r="I83" i="43"/>
  <c r="K83" i="43"/>
  <c r="H46" i="49"/>
  <c r="L83" i="43"/>
  <c r="R83" i="43" s="1"/>
  <c r="M83" i="43"/>
  <c r="I84" i="43"/>
  <c r="K84" i="43"/>
  <c r="L84" i="43" s="1"/>
  <c r="J87" i="43"/>
  <c r="J88" i="43"/>
  <c r="I4" i="42"/>
  <c r="J4" i="42"/>
  <c r="K4" i="42"/>
  <c r="L4" i="42"/>
  <c r="M4" i="42"/>
  <c r="N4" i="42"/>
  <c r="O4" i="42"/>
  <c r="P4" i="42"/>
  <c r="Q4" i="42"/>
  <c r="J7" i="42"/>
  <c r="L7" i="42"/>
  <c r="J8" i="42"/>
  <c r="J13" i="42" s="1"/>
  <c r="L8" i="42"/>
  <c r="M8" i="42" s="1"/>
  <c r="S8" i="42" s="1"/>
  <c r="R8" i="42"/>
  <c r="J9" i="42"/>
  <c r="L9" i="42"/>
  <c r="M9" i="42"/>
  <c r="R9" i="42"/>
  <c r="J10" i="42"/>
  <c r="L10" i="42"/>
  <c r="L11" i="42"/>
  <c r="I12" i="42"/>
  <c r="K12" i="42"/>
  <c r="K13" i="42" s="1"/>
  <c r="L12" i="42"/>
  <c r="R12" i="42" s="1"/>
  <c r="V12" i="42"/>
  <c r="W12" i="42" s="1"/>
  <c r="I13" i="42"/>
  <c r="L13" i="42"/>
  <c r="P13" i="42"/>
  <c r="AA13" i="42"/>
  <c r="J14" i="42"/>
  <c r="L14" i="42"/>
  <c r="M14" i="42"/>
  <c r="R14" i="42"/>
  <c r="J15" i="42"/>
  <c r="L15" i="42"/>
  <c r="J16" i="42"/>
  <c r="L16" i="42"/>
  <c r="M16" i="42" s="1"/>
  <c r="N16" i="42"/>
  <c r="R16" i="42"/>
  <c r="J17" i="42"/>
  <c r="L17" i="42"/>
  <c r="M17" i="42"/>
  <c r="R17" i="42"/>
  <c r="J18" i="42"/>
  <c r="L18" i="42"/>
  <c r="I19" i="42"/>
  <c r="K19" i="42"/>
  <c r="K20" i="42" s="1"/>
  <c r="L19" i="42"/>
  <c r="V19" i="42"/>
  <c r="W19" i="42" s="1"/>
  <c r="I20" i="42"/>
  <c r="I24" i="42" s="1"/>
  <c r="L20" i="42"/>
  <c r="P20" i="42"/>
  <c r="AA20" i="42"/>
  <c r="J21" i="42"/>
  <c r="J23" i="42" s="1"/>
  <c r="L21" i="42"/>
  <c r="M21" i="42"/>
  <c r="R21" i="42"/>
  <c r="J22" i="42"/>
  <c r="L22" i="42"/>
  <c r="I23" i="42"/>
  <c r="K23" i="42"/>
  <c r="L23" i="42"/>
  <c r="R23" i="42" s="1"/>
  <c r="P23" i="42"/>
  <c r="AA23" i="42"/>
  <c r="K24" i="42"/>
  <c r="J25" i="42"/>
  <c r="L25" i="42"/>
  <c r="I26" i="42"/>
  <c r="K26" i="42"/>
  <c r="L26" i="42"/>
  <c r="M26" i="42" s="1"/>
  <c r="V26" i="42"/>
  <c r="W26" i="42" s="1"/>
  <c r="I27" i="42"/>
  <c r="K27" i="42"/>
  <c r="L27" i="42" s="1"/>
  <c r="R27" i="42" s="1"/>
  <c r="I28" i="42"/>
  <c r="K28" i="42"/>
  <c r="L28" i="42"/>
  <c r="V28" i="42"/>
  <c r="W28" i="42" s="1"/>
  <c r="I29" i="42"/>
  <c r="K29" i="42"/>
  <c r="L29" i="42"/>
  <c r="V29" i="42"/>
  <c r="W29" i="42" s="1"/>
  <c r="J30" i="42"/>
  <c r="K30" i="42"/>
  <c r="L30" i="42" s="1"/>
  <c r="P30" i="42"/>
  <c r="P33" i="42" s="1"/>
  <c r="R30" i="42"/>
  <c r="AA30" i="42"/>
  <c r="I31" i="42"/>
  <c r="K31" i="42"/>
  <c r="L31" i="42" s="1"/>
  <c r="M31" i="42"/>
  <c r="R31" i="42"/>
  <c r="I32" i="42"/>
  <c r="K32" i="42"/>
  <c r="J33" i="42"/>
  <c r="J37" i="42" s="1"/>
  <c r="AA33" i="42"/>
  <c r="AA37" i="42" s="1"/>
  <c r="I34" i="42"/>
  <c r="J34" i="42"/>
  <c r="K34" i="42"/>
  <c r="L34" i="42" s="1"/>
  <c r="I35" i="42"/>
  <c r="K35" i="42"/>
  <c r="I36" i="42"/>
  <c r="J36" i="42"/>
  <c r="P36" i="42"/>
  <c r="AA36" i="42"/>
  <c r="J38" i="42"/>
  <c r="L38" i="42"/>
  <c r="I39" i="42"/>
  <c r="I41" i="42" s="1"/>
  <c r="K39" i="42"/>
  <c r="L39" i="42"/>
  <c r="M39" i="42" s="1"/>
  <c r="R39" i="42"/>
  <c r="J40" i="42"/>
  <c r="L40" i="42"/>
  <c r="M40" i="42"/>
  <c r="R40" i="42"/>
  <c r="K41" i="42"/>
  <c r="L41" i="42"/>
  <c r="P41" i="42"/>
  <c r="AA41" i="42"/>
  <c r="R42" i="42"/>
  <c r="S42" i="42"/>
  <c r="T42" i="42"/>
  <c r="U42" i="42"/>
  <c r="J43" i="42"/>
  <c r="J40" i="41" s="1"/>
  <c r="L43" i="42"/>
  <c r="L44" i="42"/>
  <c r="M44" i="42" s="1"/>
  <c r="S44" i="42" s="1"/>
  <c r="R44" i="42"/>
  <c r="V44" i="42"/>
  <c r="W44" i="42"/>
  <c r="I45" i="42"/>
  <c r="J45" i="42"/>
  <c r="K45" i="42"/>
  <c r="L45" i="42"/>
  <c r="R45" i="42" s="1"/>
  <c r="M45" i="42"/>
  <c r="P45" i="42"/>
  <c r="AA45" i="42"/>
  <c r="I46" i="42"/>
  <c r="L46" i="42"/>
  <c r="M46" i="42"/>
  <c r="R46" i="42"/>
  <c r="S46" i="42"/>
  <c r="V46" i="42"/>
  <c r="W46" i="42" s="1"/>
  <c r="I47" i="42"/>
  <c r="K47" i="42"/>
  <c r="L47" i="42"/>
  <c r="M47" i="42" s="1"/>
  <c r="L48" i="42"/>
  <c r="M48" i="42" s="1"/>
  <c r="N48" i="42" s="1"/>
  <c r="X48" i="42" s="1"/>
  <c r="Q48" i="42"/>
  <c r="L49" i="42"/>
  <c r="R49" i="42" s="1"/>
  <c r="M49" i="42"/>
  <c r="N49" i="42" s="1"/>
  <c r="S49" i="42"/>
  <c r="V49" i="42"/>
  <c r="W49" i="42" s="1"/>
  <c r="K50" i="42"/>
  <c r="I51" i="42"/>
  <c r="K51" i="42"/>
  <c r="L51" i="42"/>
  <c r="M51" i="42"/>
  <c r="S51" i="42" s="1"/>
  <c r="R51" i="42"/>
  <c r="V51" i="42"/>
  <c r="W51" i="42" s="1"/>
  <c r="I52" i="42"/>
  <c r="K52" i="42"/>
  <c r="L52" i="42"/>
  <c r="M52" i="42" s="1"/>
  <c r="N52" i="42" s="1"/>
  <c r="O52" i="42" s="1"/>
  <c r="U52" i="42" s="1"/>
  <c r="S52" i="42"/>
  <c r="L53" i="42"/>
  <c r="AA53" i="42"/>
  <c r="I54" i="42"/>
  <c r="K54" i="42"/>
  <c r="L54" i="42"/>
  <c r="R54" i="42" s="1"/>
  <c r="M54" i="42"/>
  <c r="I55" i="42"/>
  <c r="J55" i="42"/>
  <c r="J43" i="41" s="1"/>
  <c r="K55" i="42"/>
  <c r="P55" i="42"/>
  <c r="J56" i="42"/>
  <c r="L56" i="42"/>
  <c r="R56" i="42" s="1"/>
  <c r="M56" i="42"/>
  <c r="N56" i="42"/>
  <c r="J57" i="42"/>
  <c r="L57" i="42"/>
  <c r="R57" i="42" s="1"/>
  <c r="M57" i="42"/>
  <c r="N57" i="42" s="1"/>
  <c r="I58" i="42"/>
  <c r="J58" i="42"/>
  <c r="K58" i="42"/>
  <c r="P58" i="42"/>
  <c r="AA58" i="42"/>
  <c r="K59" i="42"/>
  <c r="I60" i="42"/>
  <c r="I70" i="42" s="1"/>
  <c r="K60" i="42"/>
  <c r="K61" i="42"/>
  <c r="L61" i="42" s="1"/>
  <c r="R61" i="42" s="1"/>
  <c r="L62" i="42"/>
  <c r="M62" i="42"/>
  <c r="S62" i="42" s="1"/>
  <c r="N62" i="42"/>
  <c r="R62" i="42"/>
  <c r="K63" i="42"/>
  <c r="L63" i="42" s="1"/>
  <c r="K64" i="42"/>
  <c r="L64" i="42"/>
  <c r="M64" i="42"/>
  <c r="R64" i="42"/>
  <c r="K65" i="42"/>
  <c r="L65" i="42" s="1"/>
  <c r="L66" i="42"/>
  <c r="R66" i="42" s="1"/>
  <c r="M66" i="42"/>
  <c r="S66" i="42" s="1"/>
  <c r="K67" i="42"/>
  <c r="L67" i="42"/>
  <c r="M67" i="42"/>
  <c r="S67" i="42" s="1"/>
  <c r="R67" i="42"/>
  <c r="V67" i="42"/>
  <c r="W67" i="42"/>
  <c r="I68" i="42"/>
  <c r="K68" i="42"/>
  <c r="L68" i="42"/>
  <c r="M68" i="42" s="1"/>
  <c r="I69" i="42"/>
  <c r="K69" i="42"/>
  <c r="L69" i="42" s="1"/>
  <c r="R69" i="42" s="1"/>
  <c r="P69" i="42"/>
  <c r="V69" i="42"/>
  <c r="W69" i="42"/>
  <c r="AA69" i="42"/>
  <c r="J70" i="42"/>
  <c r="P70" i="42"/>
  <c r="P47" i="41" s="1"/>
  <c r="AA70" i="42"/>
  <c r="AA78" i="42" s="1"/>
  <c r="I71" i="42"/>
  <c r="I73" i="42" s="1"/>
  <c r="K71" i="42"/>
  <c r="AA71" i="42"/>
  <c r="I72" i="42"/>
  <c r="J72" i="42" s="1"/>
  <c r="J73" i="42" s="1"/>
  <c r="K72" i="42"/>
  <c r="V72" i="42" s="1"/>
  <c r="W72" i="42" s="1"/>
  <c r="P73" i="42"/>
  <c r="AA73" i="42"/>
  <c r="I74" i="42"/>
  <c r="K74" i="42"/>
  <c r="L74" i="42"/>
  <c r="M74" i="42" s="1"/>
  <c r="R74" i="42"/>
  <c r="V74" i="42"/>
  <c r="W74" i="42" s="1"/>
  <c r="I75" i="42"/>
  <c r="J75" i="42"/>
  <c r="J49" i="41" s="1"/>
  <c r="K75" i="42"/>
  <c r="L75" i="42" s="1"/>
  <c r="I76" i="42"/>
  <c r="K76" i="42"/>
  <c r="L76" i="42"/>
  <c r="M76" i="42" s="1"/>
  <c r="N76" i="42" s="1"/>
  <c r="X76" i="42" s="1"/>
  <c r="R76" i="42"/>
  <c r="J77" i="42"/>
  <c r="L77" i="42"/>
  <c r="M77" i="42"/>
  <c r="N77" i="42" s="1"/>
  <c r="Q77" i="42"/>
  <c r="I78" i="42"/>
  <c r="I79" i="42"/>
  <c r="L79" i="42"/>
  <c r="R79" i="42"/>
  <c r="I80" i="42"/>
  <c r="K80" i="42"/>
  <c r="K81" i="42" s="1"/>
  <c r="L80" i="42"/>
  <c r="M80" i="42"/>
  <c r="S80" i="42" s="1"/>
  <c r="N80" i="42"/>
  <c r="R80" i="42"/>
  <c r="I81" i="42"/>
  <c r="J81" i="42"/>
  <c r="P81" i="42"/>
  <c r="AA81" i="42"/>
  <c r="AA98" i="42" s="1"/>
  <c r="I82" i="42"/>
  <c r="K82" i="42"/>
  <c r="L82" i="42" s="1"/>
  <c r="L52" i="41" s="1"/>
  <c r="P82" i="42"/>
  <c r="I83" i="42"/>
  <c r="K83" i="42"/>
  <c r="L83" i="42"/>
  <c r="M83" i="42"/>
  <c r="N83" i="42" s="1"/>
  <c r="Q83" i="42" s="1"/>
  <c r="R83" i="42"/>
  <c r="S83" i="42"/>
  <c r="V83" i="42"/>
  <c r="W83" i="42" s="1"/>
  <c r="AA83" i="42"/>
  <c r="I84" i="42"/>
  <c r="K84" i="42"/>
  <c r="I85" i="42"/>
  <c r="L85" i="42"/>
  <c r="I86" i="42"/>
  <c r="K86" i="42"/>
  <c r="L86" i="42" s="1"/>
  <c r="R86" i="42" s="1"/>
  <c r="I87" i="42"/>
  <c r="K87" i="42"/>
  <c r="I88" i="42"/>
  <c r="K88" i="42"/>
  <c r="L88" i="42"/>
  <c r="R88" i="42" s="1"/>
  <c r="M88" i="42"/>
  <c r="N88" i="42" s="1"/>
  <c r="V88" i="42"/>
  <c r="W88" i="42" s="1"/>
  <c r="I89" i="42"/>
  <c r="K89" i="42"/>
  <c r="L89" i="42"/>
  <c r="M89" i="42"/>
  <c r="N89" i="42" s="1"/>
  <c r="Q89" i="42" s="1"/>
  <c r="R89" i="42"/>
  <c r="S89" i="42"/>
  <c r="V89" i="42"/>
  <c r="W89" i="42" s="1"/>
  <c r="I90" i="42"/>
  <c r="K90" i="42"/>
  <c r="L90" i="42"/>
  <c r="R90" i="42" s="1"/>
  <c r="M90" i="42"/>
  <c r="V90" i="42"/>
  <c r="W90" i="42" s="1"/>
  <c r="I91" i="42"/>
  <c r="K91" i="42"/>
  <c r="L91" i="42" s="1"/>
  <c r="I92" i="42"/>
  <c r="K92" i="42"/>
  <c r="AA92" i="42"/>
  <c r="I93" i="42"/>
  <c r="I135" i="42" s="1"/>
  <c r="K93" i="42"/>
  <c r="L93" i="42"/>
  <c r="R93" i="42" s="1"/>
  <c r="M93" i="42"/>
  <c r="V93" i="42"/>
  <c r="W93" i="42"/>
  <c r="I94" i="42"/>
  <c r="K94" i="42"/>
  <c r="L94" i="42"/>
  <c r="I95" i="42"/>
  <c r="K95" i="42"/>
  <c r="L95" i="42"/>
  <c r="M95" i="42" s="1"/>
  <c r="N95" i="42" s="1"/>
  <c r="O95" i="42"/>
  <c r="U95" i="42" s="1"/>
  <c r="Q95" i="42"/>
  <c r="S95" i="42"/>
  <c r="I96" i="42"/>
  <c r="K96" i="42"/>
  <c r="L96" i="42"/>
  <c r="R96" i="42" s="1"/>
  <c r="M96" i="42"/>
  <c r="J97" i="42"/>
  <c r="P97" i="42"/>
  <c r="AA97" i="42"/>
  <c r="J100" i="42"/>
  <c r="L100" i="42"/>
  <c r="M100" i="42"/>
  <c r="N100" i="42" s="1"/>
  <c r="R100" i="42"/>
  <c r="S100" i="42"/>
  <c r="I101" i="42"/>
  <c r="I102" i="42" s="1"/>
  <c r="K101" i="42"/>
  <c r="L101" i="42"/>
  <c r="R101" i="42" s="1"/>
  <c r="M101" i="42"/>
  <c r="N101" i="42" s="1"/>
  <c r="S101" i="42"/>
  <c r="T101" i="42"/>
  <c r="J102" i="42"/>
  <c r="K102" i="42"/>
  <c r="P102" i="42"/>
  <c r="AA102" i="42"/>
  <c r="I103" i="42"/>
  <c r="K103" i="42"/>
  <c r="L103" i="42" s="1"/>
  <c r="M103" i="42"/>
  <c r="N103" i="42"/>
  <c r="V103" i="42"/>
  <c r="W103" i="42" s="1"/>
  <c r="I104" i="42"/>
  <c r="K104" i="42"/>
  <c r="L104" i="42"/>
  <c r="M104" i="42" s="1"/>
  <c r="I105" i="42"/>
  <c r="K105" i="42"/>
  <c r="V105" i="42"/>
  <c r="W105" i="42" s="1"/>
  <c r="L106" i="42"/>
  <c r="M106" i="42" s="1"/>
  <c r="N106" i="42" s="1"/>
  <c r="O106" i="42"/>
  <c r="U106" i="42" s="1"/>
  <c r="P106" i="42"/>
  <c r="Q106" i="42" s="1"/>
  <c r="R106" i="42"/>
  <c r="S106" i="42"/>
  <c r="T106" i="42"/>
  <c r="AA106" i="42"/>
  <c r="Q107" i="42"/>
  <c r="J108" i="42"/>
  <c r="P108" i="42"/>
  <c r="AA108" i="42"/>
  <c r="J109" i="42"/>
  <c r="AA109" i="42"/>
  <c r="J110" i="42"/>
  <c r="L110" i="42"/>
  <c r="M110" i="42" s="1"/>
  <c r="J111" i="42"/>
  <c r="L111" i="42"/>
  <c r="I112" i="42"/>
  <c r="K112" i="42"/>
  <c r="L112" i="42"/>
  <c r="R112" i="42" s="1"/>
  <c r="P112" i="42"/>
  <c r="AA112" i="42"/>
  <c r="AA133" i="42" s="1"/>
  <c r="I113" i="42"/>
  <c r="K113" i="42"/>
  <c r="L113" i="42" s="1"/>
  <c r="L114" i="42"/>
  <c r="I115" i="42"/>
  <c r="K115" i="42"/>
  <c r="L115" i="42" s="1"/>
  <c r="P115" i="42"/>
  <c r="J116" i="42"/>
  <c r="P116" i="42"/>
  <c r="AA116" i="42"/>
  <c r="J117" i="42"/>
  <c r="L117" i="42"/>
  <c r="M117" i="42" s="1"/>
  <c r="I118" i="42"/>
  <c r="I119" i="42" s="1"/>
  <c r="J118" i="42"/>
  <c r="K118" i="42"/>
  <c r="K70" i="41" s="1"/>
  <c r="L118" i="42"/>
  <c r="P118" i="42"/>
  <c r="K119" i="42"/>
  <c r="L119" i="42"/>
  <c r="R119" i="42" s="1"/>
  <c r="P119" i="42"/>
  <c r="AA119" i="42"/>
  <c r="J120" i="42"/>
  <c r="L120" i="42"/>
  <c r="I121" i="42"/>
  <c r="K121" i="42"/>
  <c r="L121" i="42"/>
  <c r="I122" i="42"/>
  <c r="K122" i="42"/>
  <c r="L122" i="42" s="1"/>
  <c r="I123" i="42"/>
  <c r="K123" i="42"/>
  <c r="V123" i="42" s="1"/>
  <c r="W123" i="42" s="1"/>
  <c r="I124" i="42"/>
  <c r="K124" i="42"/>
  <c r="L124" i="42"/>
  <c r="R124" i="42" s="1"/>
  <c r="M124" i="42"/>
  <c r="N124" i="42" s="1"/>
  <c r="O124" i="42" s="1"/>
  <c r="U124" i="42" s="1"/>
  <c r="S124" i="42"/>
  <c r="T124" i="42"/>
  <c r="AA124" i="42"/>
  <c r="AA126" i="42" s="1"/>
  <c r="AA132" i="42" s="1"/>
  <c r="I125" i="42"/>
  <c r="K125" i="42"/>
  <c r="L125" i="42"/>
  <c r="M125" i="42" s="1"/>
  <c r="N125" i="42" s="1"/>
  <c r="X125" i="42" s="1"/>
  <c r="S125" i="42"/>
  <c r="T125" i="42"/>
  <c r="J126" i="42"/>
  <c r="P126" i="42"/>
  <c r="I127" i="42"/>
  <c r="K127" i="42"/>
  <c r="L127" i="42" s="1"/>
  <c r="R127" i="42" s="1"/>
  <c r="AA127" i="42"/>
  <c r="L128" i="42"/>
  <c r="M128" i="42" s="1"/>
  <c r="S128" i="42" s="1"/>
  <c r="N128" i="42"/>
  <c r="O128" i="42" s="1"/>
  <c r="R128" i="42"/>
  <c r="J129" i="42"/>
  <c r="M129" i="42"/>
  <c r="N129" i="42"/>
  <c r="R129" i="42"/>
  <c r="S129" i="42"/>
  <c r="J130" i="42"/>
  <c r="J132" i="42" s="1"/>
  <c r="L130" i="42"/>
  <c r="M130" i="42" s="1"/>
  <c r="N130" i="42" s="1"/>
  <c r="O130" i="42"/>
  <c r="U130" i="42" s="1"/>
  <c r="R130" i="42"/>
  <c r="S130" i="42"/>
  <c r="I131" i="42"/>
  <c r="K131" i="42"/>
  <c r="L131" i="42"/>
  <c r="R131" i="42" s="1"/>
  <c r="M131" i="42"/>
  <c r="J135" i="42"/>
  <c r="E3" i="41"/>
  <c r="E3" i="43" s="1"/>
  <c r="E3" i="44" s="1"/>
  <c r="E3" i="45" s="1"/>
  <c r="E3" i="46" s="1"/>
  <c r="U3" i="41"/>
  <c r="I4" i="41"/>
  <c r="J4" i="41"/>
  <c r="K4" i="41"/>
  <c r="L4" i="41"/>
  <c r="M4" i="41"/>
  <c r="N4" i="41"/>
  <c r="O4" i="41"/>
  <c r="P4" i="41"/>
  <c r="Q4" i="41"/>
  <c r="R4" i="41"/>
  <c r="S4" i="41"/>
  <c r="T4" i="41"/>
  <c r="B5" i="43"/>
  <c r="B5" i="44" s="1"/>
  <c r="B5" i="45" s="1"/>
  <c r="B5" i="46" s="1"/>
  <c r="B5" i="47" s="1"/>
  <c r="C5" i="41"/>
  <c r="D5" i="41"/>
  <c r="E5" i="41"/>
  <c r="F5" i="41"/>
  <c r="G5" i="41"/>
  <c r="H5" i="41"/>
  <c r="I7" i="41"/>
  <c r="J7" i="41"/>
  <c r="J13" i="41" s="1"/>
  <c r="K7" i="41"/>
  <c r="L7" i="41"/>
  <c r="L13" i="41" s="1"/>
  <c r="P7" i="41"/>
  <c r="R7" i="41"/>
  <c r="I8" i="41"/>
  <c r="J8" i="41"/>
  <c r="K8" i="41"/>
  <c r="L8" i="41"/>
  <c r="M8" i="41"/>
  <c r="S8" i="41" s="1"/>
  <c r="P8" i="41"/>
  <c r="I9" i="41"/>
  <c r="J9" i="41"/>
  <c r="K9" i="41"/>
  <c r="L9" i="41"/>
  <c r="M9" i="41"/>
  <c r="P9" i="41"/>
  <c r="S9" i="41"/>
  <c r="I10" i="41"/>
  <c r="J10" i="41"/>
  <c r="K10" i="41"/>
  <c r="R10" i="41"/>
  <c r="L10" i="41"/>
  <c r="P10" i="41"/>
  <c r="I11" i="41"/>
  <c r="J11" i="41"/>
  <c r="K11" i="41"/>
  <c r="L11" i="41"/>
  <c r="R11" i="41" s="1"/>
  <c r="P11" i="41"/>
  <c r="I12" i="41"/>
  <c r="I13" i="41" s="1"/>
  <c r="J12" i="41"/>
  <c r="K12" i="41"/>
  <c r="L12" i="41"/>
  <c r="R12" i="41" s="1"/>
  <c r="P12" i="41"/>
  <c r="I14" i="41"/>
  <c r="I20" i="41"/>
  <c r="J14" i="41"/>
  <c r="J20" i="41" s="1"/>
  <c r="K14" i="41"/>
  <c r="L14" i="41"/>
  <c r="M14" i="41"/>
  <c r="P14" i="41"/>
  <c r="I15" i="41"/>
  <c r="J15" i="41"/>
  <c r="K15" i="41"/>
  <c r="L15" i="41"/>
  <c r="P15" i="41"/>
  <c r="R15" i="41"/>
  <c r="I16" i="41"/>
  <c r="J16" i="41"/>
  <c r="K16" i="41"/>
  <c r="L16" i="41"/>
  <c r="P16" i="41"/>
  <c r="I17" i="41"/>
  <c r="J17" i="41"/>
  <c r="K17" i="41"/>
  <c r="L17" i="41"/>
  <c r="R17" i="41" s="1"/>
  <c r="M17" i="41"/>
  <c r="S17" i="41" s="1"/>
  <c r="P17" i="41"/>
  <c r="I18" i="41"/>
  <c r="J18" i="41"/>
  <c r="K18" i="41"/>
  <c r="L18" i="41"/>
  <c r="R18" i="41" s="1"/>
  <c r="P18" i="41"/>
  <c r="I19" i="41"/>
  <c r="J19" i="41"/>
  <c r="K19" i="41"/>
  <c r="L19" i="41"/>
  <c r="P19" i="41"/>
  <c r="R19" i="41"/>
  <c r="I21" i="41"/>
  <c r="I23" i="41" s="1"/>
  <c r="J21" i="41"/>
  <c r="K21" i="41"/>
  <c r="R21" i="41"/>
  <c r="L21" i="41"/>
  <c r="P21" i="41"/>
  <c r="I22" i="41"/>
  <c r="J22" i="41"/>
  <c r="J23" i="41"/>
  <c r="K22" i="41"/>
  <c r="L22" i="41"/>
  <c r="L23" i="41"/>
  <c r="R23" i="41" s="1"/>
  <c r="P22" i="41"/>
  <c r="R22" i="41"/>
  <c r="K23" i="41"/>
  <c r="I25" i="41"/>
  <c r="J25" i="41"/>
  <c r="K25" i="41"/>
  <c r="K31" i="41" s="1"/>
  <c r="L25" i="41"/>
  <c r="R25" i="41" s="1"/>
  <c r="P25" i="41"/>
  <c r="I26" i="41"/>
  <c r="J26" i="41"/>
  <c r="K26" i="41"/>
  <c r="P26" i="41"/>
  <c r="I27" i="41"/>
  <c r="J27" i="41"/>
  <c r="K27" i="41"/>
  <c r="P27" i="41"/>
  <c r="J28" i="41"/>
  <c r="K28" i="41"/>
  <c r="L28" i="41"/>
  <c r="R28" i="41" s="1"/>
  <c r="P28" i="41"/>
  <c r="I29" i="41"/>
  <c r="J29" i="41"/>
  <c r="K29" i="41"/>
  <c r="L29" i="41"/>
  <c r="M29" i="41"/>
  <c r="S29" i="41" s="1"/>
  <c r="P29" i="41"/>
  <c r="R29" i="41"/>
  <c r="I30" i="41"/>
  <c r="J30" i="41"/>
  <c r="K30" i="41"/>
  <c r="P30" i="41"/>
  <c r="I32" i="41"/>
  <c r="I34" i="41"/>
  <c r="J32" i="41"/>
  <c r="K32" i="41"/>
  <c r="P32" i="41"/>
  <c r="I33" i="41"/>
  <c r="J33" i="41"/>
  <c r="J34" i="41" s="1"/>
  <c r="K33" i="41"/>
  <c r="K34" i="41" s="1"/>
  <c r="P33" i="41"/>
  <c r="I36" i="41"/>
  <c r="K36" i="41"/>
  <c r="L36" i="41"/>
  <c r="P36" i="41"/>
  <c r="I37" i="41"/>
  <c r="J37" i="41"/>
  <c r="K37" i="41"/>
  <c r="K39" i="41" s="1"/>
  <c r="L37" i="41"/>
  <c r="M37" i="41"/>
  <c r="P37" i="41"/>
  <c r="I38" i="41"/>
  <c r="I39" i="41" s="1"/>
  <c r="J38" i="41"/>
  <c r="K38" i="41"/>
  <c r="L38" i="41"/>
  <c r="M38" i="41"/>
  <c r="S38" i="41"/>
  <c r="P38" i="41"/>
  <c r="R38" i="41"/>
  <c r="I40" i="41"/>
  <c r="K40" i="41"/>
  <c r="L40" i="41"/>
  <c r="R40" i="41"/>
  <c r="P40" i="41"/>
  <c r="I41" i="41"/>
  <c r="I42" i="41" s="1"/>
  <c r="J41" i="41"/>
  <c r="J42" i="41" s="1"/>
  <c r="K41" i="41"/>
  <c r="L41" i="41"/>
  <c r="M41" i="41"/>
  <c r="P41" i="41"/>
  <c r="S41" i="41"/>
  <c r="L42" i="41"/>
  <c r="M42" i="41"/>
  <c r="S42" i="41"/>
  <c r="I43" i="41"/>
  <c r="K43" i="41"/>
  <c r="P43" i="41"/>
  <c r="I44" i="41"/>
  <c r="J44" i="41"/>
  <c r="J46" i="41" s="1"/>
  <c r="K44" i="41"/>
  <c r="K46" i="41" s="1"/>
  <c r="L44" i="41"/>
  <c r="L46" i="41" s="1"/>
  <c r="M44" i="41"/>
  <c r="P44" i="41"/>
  <c r="I45" i="41"/>
  <c r="J45" i="41"/>
  <c r="K45" i="41"/>
  <c r="R45" i="41" s="1"/>
  <c r="L45" i="41"/>
  <c r="N45" i="41"/>
  <c r="V45" i="41" s="1"/>
  <c r="P45" i="41"/>
  <c r="P46" i="41"/>
  <c r="I46" i="41"/>
  <c r="I47" i="41"/>
  <c r="J47" i="41"/>
  <c r="I48" i="41"/>
  <c r="J48" i="41"/>
  <c r="J50" i="41" s="1"/>
  <c r="I49" i="41"/>
  <c r="K49" i="41"/>
  <c r="P49" i="41"/>
  <c r="K51" i="41"/>
  <c r="P51" i="41"/>
  <c r="I52" i="41"/>
  <c r="J52" i="41"/>
  <c r="P52" i="41"/>
  <c r="I53" i="41"/>
  <c r="J53" i="41"/>
  <c r="K53" i="41"/>
  <c r="L53" i="41"/>
  <c r="M53" i="41"/>
  <c r="S53" i="41" s="1"/>
  <c r="P53" i="41"/>
  <c r="R53" i="41"/>
  <c r="J54" i="41"/>
  <c r="I57" i="41"/>
  <c r="J57" i="41"/>
  <c r="K57" i="41"/>
  <c r="L57" i="41"/>
  <c r="L59" i="41" s="1"/>
  <c r="P57" i="41"/>
  <c r="I58" i="41"/>
  <c r="I59" i="41" s="1"/>
  <c r="J58" i="41"/>
  <c r="J59" i="41" s="1"/>
  <c r="J61" i="41" s="1"/>
  <c r="K58" i="41"/>
  <c r="R58" i="41" s="1"/>
  <c r="L58" i="41"/>
  <c r="N58" i="41"/>
  <c r="V58" i="41" s="1"/>
  <c r="P58" i="41"/>
  <c r="Q58" i="41"/>
  <c r="P59" i="41"/>
  <c r="J60" i="41"/>
  <c r="I62" i="41"/>
  <c r="K62" i="41"/>
  <c r="L62" i="41"/>
  <c r="M62" i="41"/>
  <c r="P62" i="41"/>
  <c r="I63" i="41"/>
  <c r="I64" i="41" s="1"/>
  <c r="J63" i="41"/>
  <c r="K63" i="41"/>
  <c r="L63" i="41"/>
  <c r="R63" i="41" s="1"/>
  <c r="P63" i="41"/>
  <c r="K64" i="41"/>
  <c r="P64" i="41"/>
  <c r="J65" i="41"/>
  <c r="L65" i="41"/>
  <c r="P65" i="41"/>
  <c r="I66" i="41"/>
  <c r="J66" i="41"/>
  <c r="K66" i="41"/>
  <c r="P66" i="41"/>
  <c r="I67" i="41"/>
  <c r="J67" i="41"/>
  <c r="K67" i="41"/>
  <c r="P67" i="41"/>
  <c r="I69" i="41"/>
  <c r="J69" i="41"/>
  <c r="J71" i="41" s="1"/>
  <c r="K69" i="41"/>
  <c r="P69" i="41"/>
  <c r="I70" i="41"/>
  <c r="J70" i="41"/>
  <c r="L70" i="41"/>
  <c r="P70" i="41"/>
  <c r="P71" i="41"/>
  <c r="I72" i="41"/>
  <c r="J72" i="41"/>
  <c r="K72" i="41"/>
  <c r="L72" i="41"/>
  <c r="R72" i="41" s="1"/>
  <c r="P72" i="41"/>
  <c r="J73" i="41"/>
  <c r="P73" i="41"/>
  <c r="I74" i="41"/>
  <c r="J74" i="41"/>
  <c r="K74" i="41"/>
  <c r="L74" i="41"/>
  <c r="R74" i="41" s="1"/>
  <c r="P74" i="41"/>
  <c r="I75" i="41"/>
  <c r="J75" i="41"/>
  <c r="K75" i="41"/>
  <c r="L75" i="41"/>
  <c r="M75" i="41"/>
  <c r="P75" i="41"/>
  <c r="I76" i="41"/>
  <c r="J76" i="41"/>
  <c r="K76" i="41"/>
  <c r="L76" i="41"/>
  <c r="P76" i="41"/>
  <c r="R76" i="41"/>
  <c r="C3" i="40"/>
  <c r="C3" i="41" s="1"/>
  <c r="C3" i="43" s="1"/>
  <c r="C3" i="44" s="1"/>
  <c r="C3" i="45" s="1"/>
  <c r="C3" i="46" s="1"/>
  <c r="D3" i="40"/>
  <c r="D3" i="41" s="1"/>
  <c r="D3" i="43" s="1"/>
  <c r="D3" i="44" s="1"/>
  <c r="D3" i="45" s="1"/>
  <c r="D3" i="46" s="1"/>
  <c r="E3" i="40"/>
  <c r="F3" i="40"/>
  <c r="F3" i="41" s="1"/>
  <c r="F3" i="43" s="1"/>
  <c r="F3" i="44" s="1"/>
  <c r="F3" i="45" s="1"/>
  <c r="F3" i="46" s="1"/>
  <c r="G3" i="40"/>
  <c r="G3" i="41" s="1"/>
  <c r="G3" i="43" s="1"/>
  <c r="G3" i="44" s="1"/>
  <c r="G3" i="45" s="1"/>
  <c r="G3" i="46" s="1"/>
  <c r="H3" i="40"/>
  <c r="H3" i="41" s="1"/>
  <c r="H3" i="43" s="1"/>
  <c r="H3" i="44" s="1"/>
  <c r="H3" i="45" s="1"/>
  <c r="H3" i="46" s="1"/>
  <c r="I4" i="40"/>
  <c r="J4" i="40"/>
  <c r="K4" i="40"/>
  <c r="L4" i="40"/>
  <c r="M4" i="40"/>
  <c r="N4" i="40"/>
  <c r="O4" i="40"/>
  <c r="P4" i="40"/>
  <c r="Q4" i="40"/>
  <c r="R4" i="40"/>
  <c r="S4" i="40"/>
  <c r="T4" i="40"/>
  <c r="A5" i="40"/>
  <c r="A5" i="41" s="1"/>
  <c r="A5" i="43" s="1"/>
  <c r="A5" i="44" s="1"/>
  <c r="A5" i="45" s="1"/>
  <c r="A5" i="46" s="1"/>
  <c r="B5" i="40"/>
  <c r="B5" i="41" s="1"/>
  <c r="L7" i="40"/>
  <c r="I8" i="40"/>
  <c r="I13" i="40" s="1"/>
  <c r="K8" i="40"/>
  <c r="L8" i="40"/>
  <c r="M8" i="40"/>
  <c r="P8" i="40"/>
  <c r="R8" i="40"/>
  <c r="W8" i="40"/>
  <c r="L9" i="40"/>
  <c r="M9" i="40"/>
  <c r="N9" i="40" s="1"/>
  <c r="O9" i="40" s="1"/>
  <c r="L10" i="40"/>
  <c r="M10" i="40" s="1"/>
  <c r="N10" i="40" s="1"/>
  <c r="L11" i="40"/>
  <c r="M11" i="40" s="1"/>
  <c r="N11" i="40"/>
  <c r="L12" i="40"/>
  <c r="M12" i="40" s="1"/>
  <c r="N12" i="40" s="1"/>
  <c r="J13" i="40"/>
  <c r="K13" i="40"/>
  <c r="Q14" i="40"/>
  <c r="R14" i="40"/>
  <c r="S14" i="40"/>
  <c r="T14" i="40"/>
  <c r="U14" i="40"/>
  <c r="V14" i="40"/>
  <c r="I15" i="40"/>
  <c r="K15" i="40"/>
  <c r="Q16" i="40"/>
  <c r="R16" i="40"/>
  <c r="S16" i="40"/>
  <c r="T16" i="40"/>
  <c r="U16" i="40"/>
  <c r="V16" i="40"/>
  <c r="Q17" i="40"/>
  <c r="R17" i="40"/>
  <c r="S17" i="40"/>
  <c r="T17" i="40"/>
  <c r="U17" i="40"/>
  <c r="V17" i="40"/>
  <c r="Q18" i="40"/>
  <c r="R18" i="40"/>
  <c r="S18" i="40"/>
  <c r="T18" i="40"/>
  <c r="U18" i="40"/>
  <c r="V18" i="40"/>
  <c r="Q19" i="40"/>
  <c r="R19" i="40"/>
  <c r="S19" i="40"/>
  <c r="T19" i="40"/>
  <c r="U19" i="40"/>
  <c r="V19" i="40"/>
  <c r="Q20" i="40"/>
  <c r="R20" i="40"/>
  <c r="S20" i="40"/>
  <c r="T20" i="40"/>
  <c r="U20" i="40"/>
  <c r="V20" i="40"/>
  <c r="Q21" i="40"/>
  <c r="R21" i="40"/>
  <c r="S21" i="40"/>
  <c r="T21" i="40"/>
  <c r="U21" i="40"/>
  <c r="V21" i="40"/>
  <c r="Q22" i="40"/>
  <c r="R22" i="40"/>
  <c r="S22" i="40"/>
  <c r="T22" i="40"/>
  <c r="U22" i="40"/>
  <c r="V22" i="40"/>
  <c r="L23" i="40"/>
  <c r="Q24" i="40"/>
  <c r="R24" i="40"/>
  <c r="S24" i="40"/>
  <c r="T24" i="40"/>
  <c r="U24" i="40"/>
  <c r="V24" i="40"/>
  <c r="Q25" i="40"/>
  <c r="R25" i="40"/>
  <c r="S25" i="40"/>
  <c r="T25" i="40"/>
  <c r="U25" i="40"/>
  <c r="V25" i="40"/>
  <c r="Q26" i="40"/>
  <c r="R26" i="40"/>
  <c r="S26" i="40"/>
  <c r="T26" i="40"/>
  <c r="U26" i="40"/>
  <c r="V26" i="40"/>
  <c r="I27" i="40"/>
  <c r="K27" i="40"/>
  <c r="Q28" i="40"/>
  <c r="R28" i="40"/>
  <c r="S28" i="40"/>
  <c r="T28" i="40"/>
  <c r="U28" i="40"/>
  <c r="V28" i="40"/>
  <c r="Q29" i="40"/>
  <c r="R29" i="40"/>
  <c r="S29" i="40"/>
  <c r="T29" i="40"/>
  <c r="U29" i="40"/>
  <c r="V29" i="40"/>
  <c r="Q30" i="40"/>
  <c r="R30" i="40"/>
  <c r="S30" i="40"/>
  <c r="T30" i="40"/>
  <c r="U30" i="40"/>
  <c r="V30" i="40"/>
  <c r="Q31" i="40"/>
  <c r="R31" i="40"/>
  <c r="S31" i="40"/>
  <c r="T31" i="40"/>
  <c r="U31" i="40"/>
  <c r="V31" i="40"/>
  <c r="Q32" i="40"/>
  <c r="R32" i="40"/>
  <c r="S32" i="40"/>
  <c r="T32" i="40"/>
  <c r="U32" i="40"/>
  <c r="V32" i="40"/>
  <c r="Q33" i="40"/>
  <c r="R33" i="40"/>
  <c r="S33" i="40"/>
  <c r="T33" i="40"/>
  <c r="U33" i="40"/>
  <c r="V33" i="40"/>
  <c r="I34" i="40"/>
  <c r="K34" i="40"/>
  <c r="L34" i="40"/>
  <c r="M34" i="40"/>
  <c r="N34" i="40"/>
  <c r="O34" i="40"/>
  <c r="P34" i="40"/>
  <c r="V34" i="40" s="1"/>
  <c r="R34" i="40"/>
  <c r="U34" i="40"/>
  <c r="Q35" i="40"/>
  <c r="R35" i="40"/>
  <c r="S35" i="40"/>
  <c r="T35" i="40"/>
  <c r="U35" i="40"/>
  <c r="V35" i="40"/>
  <c r="Q36" i="40"/>
  <c r="R36" i="40"/>
  <c r="S36" i="40"/>
  <c r="T36" i="40"/>
  <c r="U36" i="40"/>
  <c r="V36" i="40"/>
  <c r="Q37" i="40"/>
  <c r="R37" i="40"/>
  <c r="S37" i="40"/>
  <c r="T37" i="40"/>
  <c r="U37" i="40"/>
  <c r="V37" i="40"/>
  <c r="L38" i="40"/>
  <c r="P38" i="40"/>
  <c r="Q39" i="40"/>
  <c r="R39" i="40"/>
  <c r="S39" i="40"/>
  <c r="T39" i="40"/>
  <c r="U39" i="40"/>
  <c r="V39" i="40"/>
  <c r="Q40" i="40"/>
  <c r="R40" i="40"/>
  <c r="S40" i="40"/>
  <c r="T40" i="40"/>
  <c r="U40" i="40"/>
  <c r="V40" i="40"/>
  <c r="Q41" i="40"/>
  <c r="R41" i="40"/>
  <c r="S41" i="40"/>
  <c r="T41" i="40"/>
  <c r="U41" i="40"/>
  <c r="V41" i="40"/>
  <c r="I42" i="40"/>
  <c r="K42" i="40"/>
  <c r="P42" i="40"/>
  <c r="J43" i="40"/>
  <c r="I44" i="40"/>
  <c r="K44" i="40"/>
  <c r="L44" i="40"/>
  <c r="R44" i="40"/>
  <c r="I45" i="40"/>
  <c r="I46" i="40" s="1"/>
  <c r="K45" i="40"/>
  <c r="L45" i="40" s="1"/>
  <c r="J46" i="40"/>
  <c r="K46" i="40"/>
  <c r="P46" i="40"/>
  <c r="I47" i="40"/>
  <c r="K47" i="40"/>
  <c r="L47" i="40"/>
  <c r="P47" i="40"/>
  <c r="I48" i="40"/>
  <c r="I50" i="40" s="1"/>
  <c r="I52" i="40" s="1"/>
  <c r="K48" i="40"/>
  <c r="L48" i="40" s="1"/>
  <c r="M48" i="40"/>
  <c r="P48" i="40"/>
  <c r="R48" i="40"/>
  <c r="I49" i="40"/>
  <c r="K49" i="40"/>
  <c r="L49" i="40"/>
  <c r="R49" i="40" s="1"/>
  <c r="J50" i="40"/>
  <c r="J52" i="40" s="1"/>
  <c r="K50" i="40"/>
  <c r="P50" i="40"/>
  <c r="Q51" i="40"/>
  <c r="R51" i="40"/>
  <c r="S51" i="40"/>
  <c r="T51" i="40"/>
  <c r="U51" i="40"/>
  <c r="V51" i="40"/>
  <c r="K52" i="40"/>
  <c r="I53" i="40"/>
  <c r="I61" i="40" s="1"/>
  <c r="K53" i="40"/>
  <c r="P53" i="40"/>
  <c r="I54" i="40"/>
  <c r="K54" i="40"/>
  <c r="L54" i="40" s="1"/>
  <c r="I55" i="40"/>
  <c r="K55" i="40"/>
  <c r="L55" i="40" s="1"/>
  <c r="R55" i="40" s="1"/>
  <c r="M55" i="40"/>
  <c r="N55" i="40" s="1"/>
  <c r="P55" i="40"/>
  <c r="W55" i="40"/>
  <c r="I56" i="40"/>
  <c r="K56" i="40"/>
  <c r="L56" i="40" s="1"/>
  <c r="R56" i="40" s="1"/>
  <c r="P56" i="40"/>
  <c r="L57" i="40"/>
  <c r="M57" i="40" s="1"/>
  <c r="L58" i="40"/>
  <c r="M58" i="40"/>
  <c r="I59" i="40"/>
  <c r="K59" i="40"/>
  <c r="L59" i="40"/>
  <c r="R59" i="40" s="1"/>
  <c r="I60" i="40"/>
  <c r="K60" i="40"/>
  <c r="L60" i="40" s="1"/>
  <c r="R60" i="40" s="1"/>
  <c r="J61" i="40"/>
  <c r="J62" i="40" s="1"/>
  <c r="Q64" i="40"/>
  <c r="V64" i="40"/>
  <c r="I65" i="40"/>
  <c r="K65" i="40"/>
  <c r="L65" i="40" s="1"/>
  <c r="R65" i="40" s="1"/>
  <c r="M65" i="40"/>
  <c r="S65" i="40" s="1"/>
  <c r="N65" i="40"/>
  <c r="P65" i="40"/>
  <c r="I66" i="40"/>
  <c r="K66" i="40"/>
  <c r="L66" i="40"/>
  <c r="M66" i="40"/>
  <c r="R66" i="40"/>
  <c r="L67" i="40"/>
  <c r="M67" i="40" s="1"/>
  <c r="N67" i="40" s="1"/>
  <c r="T67" i="40" s="1"/>
  <c r="S67" i="40"/>
  <c r="V67" i="40"/>
  <c r="L68" i="40"/>
  <c r="M68" i="40" s="1"/>
  <c r="S68" i="40" s="1"/>
  <c r="R68" i="40"/>
  <c r="L69" i="40"/>
  <c r="R69" i="40" s="1"/>
  <c r="M69" i="40"/>
  <c r="S69" i="40" s="1"/>
  <c r="N69" i="40"/>
  <c r="L70" i="40"/>
  <c r="R70" i="40" s="1"/>
  <c r="M70" i="40"/>
  <c r="N70" i="40" s="1"/>
  <c r="V70" i="40" s="1"/>
  <c r="I71" i="40"/>
  <c r="K71" i="40"/>
  <c r="L71" i="40" s="1"/>
  <c r="M71" i="40" s="1"/>
  <c r="N71" i="40" s="1"/>
  <c r="V71" i="40" s="1"/>
  <c r="P71" i="40"/>
  <c r="M72" i="40"/>
  <c r="N72" i="40" s="1"/>
  <c r="R72" i="40"/>
  <c r="S72" i="40"/>
  <c r="J73" i="40"/>
  <c r="L73" i="40"/>
  <c r="M73" i="40"/>
  <c r="S73" i="40" s="1"/>
  <c r="P73" i="40"/>
  <c r="L74" i="40"/>
  <c r="M74" i="40"/>
  <c r="R74" i="40"/>
  <c r="L75" i="40"/>
  <c r="R75" i="40" s="1"/>
  <c r="M75" i="40"/>
  <c r="N75" i="40" s="1"/>
  <c r="V75" i="40" s="1"/>
  <c r="S75" i="40"/>
  <c r="L76" i="40"/>
  <c r="R76" i="40" s="1"/>
  <c r="I77" i="40"/>
  <c r="K77" i="40"/>
  <c r="L77" i="40"/>
  <c r="M77" i="40" s="1"/>
  <c r="D5" i="66"/>
  <c r="E5" i="66"/>
  <c r="E40" i="66" s="1"/>
  <c r="AI5" i="66"/>
  <c r="AJ5" i="66"/>
  <c r="D8" i="66"/>
  <c r="E8" i="66"/>
  <c r="F8" i="66"/>
  <c r="K8" i="66"/>
  <c r="Q8" i="66"/>
  <c r="R8" i="66"/>
  <c r="W8" i="66"/>
  <c r="AJ8" i="66"/>
  <c r="G9" i="66"/>
  <c r="H9" i="66"/>
  <c r="L9" i="66"/>
  <c r="M9" i="66"/>
  <c r="S9" i="66"/>
  <c r="S8" i="66" s="1"/>
  <c r="Y9" i="66"/>
  <c r="Z9" i="66"/>
  <c r="AA9" i="66" s="1"/>
  <c r="AB9" i="66" s="1"/>
  <c r="AC9" i="66" s="1"/>
  <c r="AE9" i="66"/>
  <c r="AF9" i="66"/>
  <c r="AJ9" i="66"/>
  <c r="G10" i="66"/>
  <c r="H10" i="66"/>
  <c r="I10" i="66" s="1"/>
  <c r="J10" i="66" s="1"/>
  <c r="L10" i="66"/>
  <c r="M10" i="66" s="1"/>
  <c r="N10" i="66" s="1"/>
  <c r="O10" i="66" s="1"/>
  <c r="P10" i="66"/>
  <c r="S10" i="66"/>
  <c r="T10" i="66" s="1"/>
  <c r="U10" i="66" s="1"/>
  <c r="V10" i="66" s="1"/>
  <c r="Y10" i="66"/>
  <c r="Z10" i="66" s="1"/>
  <c r="AA10" i="66" s="1"/>
  <c r="AB10" i="66"/>
  <c r="AC10" i="66" s="1"/>
  <c r="AE10" i="66"/>
  <c r="AG10" i="66"/>
  <c r="AJ10" i="66"/>
  <c r="G11" i="66"/>
  <c r="H11" i="66" s="1"/>
  <c r="I11" i="66" s="1"/>
  <c r="M11" i="66"/>
  <c r="N11" i="66"/>
  <c r="O11" i="66" s="1"/>
  <c r="P11" i="66" s="1"/>
  <c r="S11" i="66"/>
  <c r="T11" i="66" s="1"/>
  <c r="U11" i="66" s="1"/>
  <c r="V11" i="66" s="1"/>
  <c r="Y11" i="66"/>
  <c r="Z11" i="66"/>
  <c r="AA11" i="66" s="1"/>
  <c r="AB11" i="66" s="1"/>
  <c r="AC11" i="66" s="1"/>
  <c r="AE11" i="66"/>
  <c r="AJ11" i="66"/>
  <c r="G12" i="66"/>
  <c r="M12" i="66"/>
  <c r="N12" i="66" s="1"/>
  <c r="O12" i="66" s="1"/>
  <c r="P12" i="66" s="1"/>
  <c r="S12" i="66"/>
  <c r="T12" i="66" s="1"/>
  <c r="U12" i="66" s="1"/>
  <c r="V12" i="66" s="1"/>
  <c r="Y12" i="66"/>
  <c r="Z12" i="66" s="1"/>
  <c r="AA12" i="66" s="1"/>
  <c r="AB12" i="66"/>
  <c r="AC12" i="66"/>
  <c r="AJ12" i="66"/>
  <c r="F13" i="66"/>
  <c r="L13" i="66" s="1"/>
  <c r="M13" i="66" s="1"/>
  <c r="G13" i="66"/>
  <c r="H13" i="66"/>
  <c r="I13" i="66" s="1"/>
  <c r="AI13" i="66" s="1"/>
  <c r="J13" i="66"/>
  <c r="AH13" i="66" s="1"/>
  <c r="N13" i="66"/>
  <c r="O13" i="66" s="1"/>
  <c r="P13" i="66" s="1"/>
  <c r="S13" i="66"/>
  <c r="T13" i="66"/>
  <c r="U13" i="66" s="1"/>
  <c r="V13" i="66" s="1"/>
  <c r="Y13" i="66"/>
  <c r="Z13" i="66" s="1"/>
  <c r="AA13" i="66"/>
  <c r="AB13" i="66" s="1"/>
  <c r="AC13" i="66" s="1"/>
  <c r="AE13" i="66"/>
  <c r="AF13" i="66"/>
  <c r="AG13" i="66"/>
  <c r="AJ13" i="66"/>
  <c r="G14" i="66"/>
  <c r="H14" i="66"/>
  <c r="I14" i="66" s="1"/>
  <c r="AI14" i="66" s="1"/>
  <c r="J14" i="66"/>
  <c r="AH14" i="66"/>
  <c r="L14" i="66"/>
  <c r="M14" i="66" s="1"/>
  <c r="N14" i="66" s="1"/>
  <c r="O14" i="66" s="1"/>
  <c r="P14" i="66" s="1"/>
  <c r="S14" i="66"/>
  <c r="T14" i="66"/>
  <c r="U14" i="66"/>
  <c r="V14" i="66"/>
  <c r="Y14" i="66"/>
  <c r="Z14" i="66" s="1"/>
  <c r="AA14" i="66" s="1"/>
  <c r="AB14" i="66"/>
  <c r="AC14" i="66" s="1"/>
  <c r="AE14" i="66"/>
  <c r="AF14" i="66"/>
  <c r="AG14" i="66"/>
  <c r="AJ14" i="66"/>
  <c r="G15" i="66"/>
  <c r="H15" i="66" s="1"/>
  <c r="I15" i="66"/>
  <c r="M15" i="66"/>
  <c r="N15" i="66"/>
  <c r="O15" i="66"/>
  <c r="P15" i="66" s="1"/>
  <c r="S15" i="66"/>
  <c r="T15" i="66" s="1"/>
  <c r="U15" i="66" s="1"/>
  <c r="V15" i="66" s="1"/>
  <c r="Y15" i="66"/>
  <c r="Z15" i="66"/>
  <c r="AA15" i="66" s="1"/>
  <c r="AB15" i="66" s="1"/>
  <c r="AC15" i="66" s="1"/>
  <c r="AE15" i="66"/>
  <c r="AF15" i="66"/>
  <c r="AJ15" i="66"/>
  <c r="G16" i="66"/>
  <c r="H16" i="66" s="1"/>
  <c r="L16" i="66"/>
  <c r="M16" i="66" s="1"/>
  <c r="N16" i="66" s="1"/>
  <c r="O16" i="66" s="1"/>
  <c r="P16" i="66" s="1"/>
  <c r="S16" i="66"/>
  <c r="T16" i="66"/>
  <c r="U16" i="66" s="1"/>
  <c r="V16" i="66" s="1"/>
  <c r="Y16" i="66"/>
  <c r="Z16" i="66" s="1"/>
  <c r="AA16" i="66" s="1"/>
  <c r="AB16" i="66" s="1"/>
  <c r="AC16" i="66" s="1"/>
  <c r="AJ16" i="66"/>
  <c r="G17" i="66"/>
  <c r="H17" i="66"/>
  <c r="AF17" i="66" s="1"/>
  <c r="M17" i="66"/>
  <c r="N17" i="66" s="1"/>
  <c r="O17" i="66" s="1"/>
  <c r="P17" i="66" s="1"/>
  <c r="S17" i="66"/>
  <c r="T17" i="66"/>
  <c r="U17" i="66"/>
  <c r="V17" i="66"/>
  <c r="X17" i="66" s="1"/>
  <c r="Y17" i="66" s="1"/>
  <c r="Z17" i="66" s="1"/>
  <c r="AA17" i="66" s="1"/>
  <c r="AB17" i="66" s="1"/>
  <c r="AC17" i="66" s="1"/>
  <c r="AE17" i="66"/>
  <c r="AJ17" i="66"/>
  <c r="G18" i="66"/>
  <c r="H18" i="66"/>
  <c r="AF18" i="66" s="1"/>
  <c r="J18" i="66"/>
  <c r="AH18" i="66" s="1"/>
  <c r="M18" i="66"/>
  <c r="N18" i="66" s="1"/>
  <c r="S18" i="66"/>
  <c r="T18" i="66" s="1"/>
  <c r="AE18" i="66"/>
  <c r="AG18" i="66"/>
  <c r="AJ18" i="66"/>
  <c r="G19" i="66"/>
  <c r="M19" i="66"/>
  <c r="N19" i="66"/>
  <c r="O19" i="66"/>
  <c r="P19" i="66"/>
  <c r="S19" i="66"/>
  <c r="T19" i="66" s="1"/>
  <c r="U19" i="66" s="1"/>
  <c r="V19" i="66"/>
  <c r="Y19" i="66"/>
  <c r="Z19" i="66"/>
  <c r="AA19" i="66"/>
  <c r="AB19" i="66" s="1"/>
  <c r="AC19" i="66" s="1"/>
  <c r="AJ19" i="66"/>
  <c r="D20" i="66"/>
  <c r="D32" i="66" s="1"/>
  <c r="D37" i="66" s="1"/>
  <c r="E20" i="66"/>
  <c r="E32" i="66" s="1"/>
  <c r="E37" i="66" s="1"/>
  <c r="F20" i="66"/>
  <c r="P492" i="55" s="1"/>
  <c r="K20" i="66"/>
  <c r="L20" i="66"/>
  <c r="R20" i="66"/>
  <c r="W20" i="66"/>
  <c r="X20" i="66"/>
  <c r="AJ20" i="66"/>
  <c r="G21" i="66"/>
  <c r="G20" i="66" s="1"/>
  <c r="H21" i="66"/>
  <c r="H20" i="66" s="1"/>
  <c r="I21" i="66"/>
  <c r="J21" i="66"/>
  <c r="M21" i="66"/>
  <c r="N21" i="66" s="1"/>
  <c r="O21" i="66" s="1"/>
  <c r="P21" i="66" s="1"/>
  <c r="P20" i="66" s="1"/>
  <c r="S21" i="66"/>
  <c r="S20" i="66" s="1"/>
  <c r="T21" i="66"/>
  <c r="T20" i="66" s="1"/>
  <c r="U21" i="66"/>
  <c r="V21" i="66" s="1"/>
  <c r="V20" i="66" s="1"/>
  <c r="Y21" i="66"/>
  <c r="AE21" i="66"/>
  <c r="AF21" i="66"/>
  <c r="AG21" i="66"/>
  <c r="AH21" i="66"/>
  <c r="AJ21" i="66"/>
  <c r="G22" i="66"/>
  <c r="H22" i="66"/>
  <c r="M22" i="66"/>
  <c r="N22" i="66"/>
  <c r="O22" i="66" s="1"/>
  <c r="P22" i="66" s="1"/>
  <c r="S22" i="66"/>
  <c r="T22" i="66"/>
  <c r="U22" i="66" s="1"/>
  <c r="V22" i="66" s="1"/>
  <c r="Y22" i="66"/>
  <c r="Z22" i="66" s="1"/>
  <c r="AA22" i="66" s="1"/>
  <c r="AB22" i="66" s="1"/>
  <c r="AC22" i="66" s="1"/>
  <c r="AE22" i="66"/>
  <c r="AJ22" i="66"/>
  <c r="D23" i="66"/>
  <c r="E23" i="66"/>
  <c r="F23" i="66"/>
  <c r="P488" i="55" s="1"/>
  <c r="Q488" i="55" s="1"/>
  <c r="K23" i="66"/>
  <c r="L23" i="66"/>
  <c r="Q23" i="66"/>
  <c r="R23" i="66"/>
  <c r="S23" i="66"/>
  <c r="T23" i="66"/>
  <c r="W23" i="66"/>
  <c r="X23" i="66"/>
  <c r="AJ23" i="66"/>
  <c r="G24" i="66"/>
  <c r="G23" i="66" s="1"/>
  <c r="AE23" i="66" s="1"/>
  <c r="M24" i="66"/>
  <c r="S24" i="66"/>
  <c r="T24" i="66"/>
  <c r="U24" i="66" s="1"/>
  <c r="Y24" i="66"/>
  <c r="AJ24" i="66"/>
  <c r="G25" i="66"/>
  <c r="H25" i="66"/>
  <c r="I25" i="66"/>
  <c r="AG25" i="66" s="1"/>
  <c r="M25" i="66"/>
  <c r="N25" i="66"/>
  <c r="O25" i="66"/>
  <c r="P25" i="66" s="1"/>
  <c r="S25" i="66"/>
  <c r="T25" i="66"/>
  <c r="U25" i="66"/>
  <c r="V25" i="66"/>
  <c r="Y25" i="66"/>
  <c r="Z25" i="66"/>
  <c r="AA25" i="66"/>
  <c r="AB25" i="66" s="1"/>
  <c r="AC25" i="66" s="1"/>
  <c r="AE25" i="66"/>
  <c r="AF25" i="66"/>
  <c r="AJ25" i="66"/>
  <c r="G26" i="66"/>
  <c r="M26" i="66"/>
  <c r="N26" i="66" s="1"/>
  <c r="O26" i="66" s="1"/>
  <c r="P26" i="66" s="1"/>
  <c r="S26" i="66"/>
  <c r="T26" i="66" s="1"/>
  <c r="U26" i="66" s="1"/>
  <c r="V26" i="66"/>
  <c r="Y26" i="66"/>
  <c r="Z26" i="66"/>
  <c r="AA26" i="66" s="1"/>
  <c r="AB26" i="66" s="1"/>
  <c r="AC26" i="66"/>
  <c r="AJ26" i="66"/>
  <c r="G27" i="66"/>
  <c r="H27" i="66"/>
  <c r="I27" i="66"/>
  <c r="M27" i="66"/>
  <c r="N27" i="66"/>
  <c r="O27" i="66" s="1"/>
  <c r="P27" i="66" s="1"/>
  <c r="S27" i="66"/>
  <c r="T27" i="66"/>
  <c r="U27" i="66"/>
  <c r="V27" i="66" s="1"/>
  <c r="X27" i="66" s="1"/>
  <c r="X32" i="66" s="1"/>
  <c r="AE27" i="66"/>
  <c r="AF27" i="66"/>
  <c r="AJ27" i="66"/>
  <c r="G28" i="66"/>
  <c r="M28" i="66"/>
  <c r="N28" i="66" s="1"/>
  <c r="O28" i="66"/>
  <c r="P28" i="66" s="1"/>
  <c r="S28" i="66"/>
  <c r="T28" i="66" s="1"/>
  <c r="U28" i="66" s="1"/>
  <c r="V28" i="66" s="1"/>
  <c r="W28" i="66" s="1"/>
  <c r="Y28" i="66"/>
  <c r="Z28" i="66"/>
  <c r="AA28" i="66" s="1"/>
  <c r="AB28" i="66" s="1"/>
  <c r="AC28" i="66" s="1"/>
  <c r="AJ28" i="66"/>
  <c r="F29" i="66"/>
  <c r="G29" i="66" s="1"/>
  <c r="S29" i="66"/>
  <c r="T29" i="66" s="1"/>
  <c r="U29" i="66" s="1"/>
  <c r="V29" i="66" s="1"/>
  <c r="Y29" i="66"/>
  <c r="Z29" i="66"/>
  <c r="AA29" i="66" s="1"/>
  <c r="AB29" i="66" s="1"/>
  <c r="AC29" i="66" s="1"/>
  <c r="G30" i="66"/>
  <c r="H30" i="66"/>
  <c r="M30" i="66"/>
  <c r="N30" i="66" s="1"/>
  <c r="O30" i="66" s="1"/>
  <c r="P30" i="66" s="1"/>
  <c r="S30" i="66"/>
  <c r="T30" i="66"/>
  <c r="U30" i="66" s="1"/>
  <c r="V30" i="66" s="1"/>
  <c r="Y30" i="66"/>
  <c r="Z30" i="66" s="1"/>
  <c r="AA30" i="66" s="1"/>
  <c r="AB30" i="66"/>
  <c r="AC30" i="66"/>
  <c r="AE30" i="66"/>
  <c r="AJ30" i="66"/>
  <c r="G31" i="66"/>
  <c r="H31" i="66"/>
  <c r="I31" i="66" s="1"/>
  <c r="M31" i="66"/>
  <c r="N31" i="66" s="1"/>
  <c r="O31" i="66" s="1"/>
  <c r="P31" i="66" s="1"/>
  <c r="S31" i="66"/>
  <c r="T31" i="66"/>
  <c r="U31" i="66" s="1"/>
  <c r="V31" i="66" s="1"/>
  <c r="Y31" i="66"/>
  <c r="Z31" i="66" s="1"/>
  <c r="AA31" i="66"/>
  <c r="AB31" i="66" s="1"/>
  <c r="AC31" i="66" s="1"/>
  <c r="AE31" i="66"/>
  <c r="AF31" i="66"/>
  <c r="AJ31" i="66"/>
  <c r="K32" i="66"/>
  <c r="K37" i="66" s="1"/>
  <c r="D33" i="66"/>
  <c r="AJ33" i="66" s="1"/>
  <c r="E33" i="66"/>
  <c r="F33" i="66"/>
  <c r="K33" i="66"/>
  <c r="L33" i="66"/>
  <c r="Q33" i="66"/>
  <c r="R33" i="66"/>
  <c r="W33" i="66"/>
  <c r="X33" i="66"/>
  <c r="G34" i="66"/>
  <c r="M34" i="66"/>
  <c r="S34" i="66"/>
  <c r="Y34" i="66"/>
  <c r="Z34" i="66" s="1"/>
  <c r="AA34" i="66" s="1"/>
  <c r="AJ34" i="66"/>
  <c r="G35" i="66"/>
  <c r="H35" i="66" s="1"/>
  <c r="M35" i="66"/>
  <c r="N35" i="66" s="1"/>
  <c r="O35" i="66" s="1"/>
  <c r="P35" i="66" s="1"/>
  <c r="S35" i="66"/>
  <c r="T35" i="66"/>
  <c r="U35" i="66" s="1"/>
  <c r="V35" i="66" s="1"/>
  <c r="Y35" i="66"/>
  <c r="Z35" i="66" s="1"/>
  <c r="AA35" i="66" s="1"/>
  <c r="AB35" i="66"/>
  <c r="AC35" i="66"/>
  <c r="AE35" i="66"/>
  <c r="AJ35" i="66"/>
  <c r="G36" i="66"/>
  <c r="H36" i="66"/>
  <c r="I36" i="66" s="1"/>
  <c r="J36" i="66" s="1"/>
  <c r="L36" i="66"/>
  <c r="M36" i="66" s="1"/>
  <c r="N36" i="66" s="1"/>
  <c r="O36" i="66" s="1"/>
  <c r="P36" i="66" s="1"/>
  <c r="S36" i="66"/>
  <c r="T36" i="66" s="1"/>
  <c r="U36" i="66" s="1"/>
  <c r="V36" i="66" s="1"/>
  <c r="Y36" i="66"/>
  <c r="Z36" i="66"/>
  <c r="AA36" i="66" s="1"/>
  <c r="AB36" i="66" s="1"/>
  <c r="AC36" i="66"/>
  <c r="AE36" i="66"/>
  <c r="AF36" i="66"/>
  <c r="AJ36" i="66"/>
  <c r="X37" i="66"/>
  <c r="X60" i="66" s="1"/>
  <c r="AH38" i="66"/>
  <c r="E39" i="66"/>
  <c r="F39" i="66"/>
  <c r="G39" i="66"/>
  <c r="H39" i="66"/>
  <c r="N39" i="66"/>
  <c r="T39" i="66"/>
  <c r="AF39" i="66"/>
  <c r="AG39" i="66"/>
  <c r="AI39" i="66"/>
  <c r="C40" i="66"/>
  <c r="D40" i="66"/>
  <c r="X40" i="66"/>
  <c r="Y40" i="66"/>
  <c r="Z40" i="66"/>
  <c r="AA40" i="66"/>
  <c r="AB40" i="66"/>
  <c r="AC40" i="66"/>
  <c r="AE40" i="66"/>
  <c r="AH40" i="66"/>
  <c r="AI40" i="66"/>
  <c r="AJ40" i="66"/>
  <c r="D41" i="66"/>
  <c r="E41" i="66"/>
  <c r="E52" i="66" s="1"/>
  <c r="F41" i="66"/>
  <c r="K41" i="66"/>
  <c r="Q41" i="66"/>
  <c r="R41" i="66"/>
  <c r="S41" i="66"/>
  <c r="W41" i="66"/>
  <c r="X41" i="66"/>
  <c r="X52" i="66" s="1"/>
  <c r="G42" i="66"/>
  <c r="L42" i="66"/>
  <c r="M42" i="66" s="1"/>
  <c r="N42" i="66" s="1"/>
  <c r="S42" i="66"/>
  <c r="T42" i="66" s="1"/>
  <c r="T41" i="66" s="1"/>
  <c r="U42" i="66"/>
  <c r="Y42" i="66"/>
  <c r="AJ42" i="66"/>
  <c r="G43" i="66"/>
  <c r="H43" i="66"/>
  <c r="L43" i="66"/>
  <c r="M43" i="66" s="1"/>
  <c r="N43" i="66" s="1"/>
  <c r="O43" i="66" s="1"/>
  <c r="P43" i="66" s="1"/>
  <c r="S43" i="66"/>
  <c r="T43" i="66" s="1"/>
  <c r="U43" i="66" s="1"/>
  <c r="V43" i="66"/>
  <c r="Y43" i="66"/>
  <c r="Z43" i="66" s="1"/>
  <c r="AA43" i="66" s="1"/>
  <c r="AB43" i="66" s="1"/>
  <c r="AC43" i="66" s="1"/>
  <c r="AE43" i="66"/>
  <c r="AJ43" i="66"/>
  <c r="G44" i="66"/>
  <c r="H44" i="66"/>
  <c r="L44" i="66"/>
  <c r="M44" i="66" s="1"/>
  <c r="N44" i="66" s="1"/>
  <c r="O44" i="66" s="1"/>
  <c r="P44" i="66" s="1"/>
  <c r="S44" i="66"/>
  <c r="T44" i="66"/>
  <c r="U44" i="66" s="1"/>
  <c r="V44" i="66" s="1"/>
  <c r="Y44" i="66"/>
  <c r="Z44" i="66"/>
  <c r="AA44" i="66"/>
  <c r="AB44" i="66" s="1"/>
  <c r="AC44" i="66" s="1"/>
  <c r="AE44" i="66"/>
  <c r="AJ44" i="66"/>
  <c r="G45" i="66"/>
  <c r="H45" i="66"/>
  <c r="I45" i="66"/>
  <c r="L45" i="66"/>
  <c r="M45" i="66"/>
  <c r="N45" i="66" s="1"/>
  <c r="O45" i="66" s="1"/>
  <c r="P45" i="66" s="1"/>
  <c r="S45" i="66"/>
  <c r="T45" i="66"/>
  <c r="U45" i="66"/>
  <c r="V45" i="66" s="1"/>
  <c r="Y45" i="66"/>
  <c r="Z45" i="66" s="1"/>
  <c r="AA45" i="66" s="1"/>
  <c r="AB45" i="66" s="1"/>
  <c r="AC45" i="66" s="1"/>
  <c r="AE45" i="66"/>
  <c r="AF45" i="66"/>
  <c r="AJ45" i="66"/>
  <c r="G46" i="66"/>
  <c r="L46" i="66"/>
  <c r="M46" i="66" s="1"/>
  <c r="N46" i="66" s="1"/>
  <c r="O46" i="66" s="1"/>
  <c r="P46" i="66" s="1"/>
  <c r="S46" i="66"/>
  <c r="T46" i="66"/>
  <c r="U46" i="66"/>
  <c r="V46" i="66" s="1"/>
  <c r="Y46" i="66"/>
  <c r="Z46" i="66" s="1"/>
  <c r="AA46" i="66" s="1"/>
  <c r="AB46" i="66" s="1"/>
  <c r="AC46" i="66" s="1"/>
  <c r="AJ46" i="66"/>
  <c r="D47" i="66"/>
  <c r="E47" i="66"/>
  <c r="F47" i="66"/>
  <c r="K47" i="66"/>
  <c r="Q47" i="66"/>
  <c r="R47" i="66"/>
  <c r="W47" i="66"/>
  <c r="W52" i="66" s="1"/>
  <c r="X47" i="66"/>
  <c r="AJ47" i="66"/>
  <c r="G48" i="66"/>
  <c r="G47" i="66" s="1"/>
  <c r="AE47" i="66" s="1"/>
  <c r="L48" i="66"/>
  <c r="S48" i="66"/>
  <c r="Y48" i="66"/>
  <c r="Y47" i="66" s="1"/>
  <c r="Z48" i="66"/>
  <c r="AE48" i="66"/>
  <c r="AJ48" i="66"/>
  <c r="G49" i="66"/>
  <c r="H49" i="66"/>
  <c r="L49" i="66"/>
  <c r="M49" i="66" s="1"/>
  <c r="N49" i="66" s="1"/>
  <c r="O49" i="66" s="1"/>
  <c r="P49" i="66" s="1"/>
  <c r="S49" i="66"/>
  <c r="T49" i="66"/>
  <c r="U49" i="66" s="1"/>
  <c r="V49" i="66" s="1"/>
  <c r="Y49" i="66"/>
  <c r="Z49" i="66"/>
  <c r="AA49" i="66" s="1"/>
  <c r="AB49" i="66" s="1"/>
  <c r="AC49" i="66"/>
  <c r="AE49" i="66"/>
  <c r="AJ49" i="66"/>
  <c r="G50" i="66"/>
  <c r="H50" i="66"/>
  <c r="I50" i="66"/>
  <c r="J50" i="66" s="1"/>
  <c r="AH50" i="66" s="1"/>
  <c r="L50" i="66"/>
  <c r="M50" i="66" s="1"/>
  <c r="N50" i="66" s="1"/>
  <c r="O50" i="66" s="1"/>
  <c r="P50" i="66" s="1"/>
  <c r="S50" i="66"/>
  <c r="T50" i="66"/>
  <c r="U50" i="66" s="1"/>
  <c r="V50" i="66" s="1"/>
  <c r="Y50" i="66"/>
  <c r="Z50" i="66" s="1"/>
  <c r="AA50" i="66" s="1"/>
  <c r="AB50" i="66" s="1"/>
  <c r="AC50" i="66" s="1"/>
  <c r="AE50" i="66"/>
  <c r="AF50" i="66"/>
  <c r="AJ50" i="66"/>
  <c r="G51" i="66"/>
  <c r="H51" i="66" s="1"/>
  <c r="I51" i="66" s="1"/>
  <c r="J51" i="66"/>
  <c r="AH51" i="66" s="1"/>
  <c r="L51" i="66"/>
  <c r="M51" i="66" s="1"/>
  <c r="N51" i="66" s="1"/>
  <c r="O51" i="66" s="1"/>
  <c r="P51" i="66" s="1"/>
  <c r="S51" i="66"/>
  <c r="T51" i="66"/>
  <c r="U51" i="66"/>
  <c r="V51" i="66"/>
  <c r="Y51" i="66"/>
  <c r="Z51" i="66" s="1"/>
  <c r="AA51" i="66" s="1"/>
  <c r="AB51" i="66" s="1"/>
  <c r="AC51" i="66" s="1"/>
  <c r="AF51" i="66"/>
  <c r="AG51" i="66"/>
  <c r="AJ51" i="66"/>
  <c r="F52" i="66"/>
  <c r="P508" i="55" s="1"/>
  <c r="K52" i="66"/>
  <c r="R52" i="66"/>
  <c r="AE53" i="66"/>
  <c r="AF53" i="66"/>
  <c r="AG53" i="66"/>
  <c r="AH53" i="66"/>
  <c r="AI53" i="66"/>
  <c r="AJ53" i="66"/>
  <c r="C54" i="66"/>
  <c r="G54" i="66"/>
  <c r="H54" i="66"/>
  <c r="L54" i="66"/>
  <c r="M54" i="66" s="1"/>
  <c r="S54" i="66"/>
  <c r="T54" i="66" s="1"/>
  <c r="U54" i="66" s="1"/>
  <c r="V54" i="66" s="1"/>
  <c r="W54" i="66" s="1"/>
  <c r="Y54" i="66"/>
  <c r="Z54" i="66"/>
  <c r="AA54" i="66"/>
  <c r="AB54" i="66"/>
  <c r="AC54" i="66" s="1"/>
  <c r="AJ54" i="66"/>
  <c r="V55" i="66"/>
  <c r="Y55" i="66"/>
  <c r="Z55" i="66" s="1"/>
  <c r="AA55" i="66" s="1"/>
  <c r="AB55" i="66"/>
  <c r="AE55" i="66"/>
  <c r="AF55" i="66"/>
  <c r="AG55" i="66"/>
  <c r="AH55" i="66"/>
  <c r="AJ55" i="66"/>
  <c r="V56" i="66"/>
  <c r="Y56" i="66"/>
  <c r="Z56" i="66"/>
  <c r="AA56" i="66" s="1"/>
  <c r="AB56" i="66" s="1"/>
  <c r="AE56" i="66"/>
  <c r="AJ56" i="66"/>
  <c r="K57" i="66"/>
  <c r="G58" i="66"/>
  <c r="H58" i="66" s="1"/>
  <c r="K60" i="66"/>
  <c r="N2" i="39"/>
  <c r="I10" i="39"/>
  <c r="I11" i="39"/>
  <c r="T22" i="39"/>
  <c r="I26" i="39"/>
  <c r="T29" i="39"/>
  <c r="P40" i="39"/>
  <c r="R50" i="39"/>
  <c r="R52" i="39"/>
  <c r="D5" i="38"/>
  <c r="E5" i="38"/>
  <c r="AI5" i="38"/>
  <c r="AI40" i="38" s="1"/>
  <c r="AJ5" i="38"/>
  <c r="AJ40" i="38" s="1"/>
  <c r="D8" i="38"/>
  <c r="D32" i="38" s="1"/>
  <c r="D37" i="38" s="1"/>
  <c r="D60" i="38" s="1"/>
  <c r="E8" i="38"/>
  <c r="F8" i="38"/>
  <c r="P463" i="55" s="1"/>
  <c r="K8" i="38"/>
  <c r="L8" i="38"/>
  <c r="Q8" i="38"/>
  <c r="R8" i="38"/>
  <c r="R32" i="38" s="1"/>
  <c r="R37" i="38" s="1"/>
  <c r="W8" i="38"/>
  <c r="AJ8" i="38"/>
  <c r="G9" i="38"/>
  <c r="L9" i="38"/>
  <c r="M9" i="38"/>
  <c r="N9" i="38" s="1"/>
  <c r="S9" i="38"/>
  <c r="T9" i="38" s="1"/>
  <c r="Y9" i="38"/>
  <c r="Z9" i="38"/>
  <c r="AA9" i="38" s="1"/>
  <c r="AB9" i="38" s="1"/>
  <c r="AC9" i="38" s="1"/>
  <c r="AE9" i="38"/>
  <c r="AJ9" i="38"/>
  <c r="G10" i="38"/>
  <c r="H10" i="38"/>
  <c r="I10" i="38" s="1"/>
  <c r="AI10" i="38" s="1"/>
  <c r="L10" i="38"/>
  <c r="M10" i="38" s="1"/>
  <c r="S10" i="38"/>
  <c r="T10" i="38" s="1"/>
  <c r="U10" i="38" s="1"/>
  <c r="V10" i="38" s="1"/>
  <c r="Y10" i="38"/>
  <c r="Z10" i="38" s="1"/>
  <c r="AA10" i="38" s="1"/>
  <c r="AB10" i="38" s="1"/>
  <c r="AC10" i="38" s="1"/>
  <c r="AE10" i="38"/>
  <c r="AF10" i="38"/>
  <c r="AJ10" i="38"/>
  <c r="G11" i="38"/>
  <c r="AE11" i="38" s="1"/>
  <c r="M11" i="38"/>
  <c r="N11" i="38" s="1"/>
  <c r="O11" i="38" s="1"/>
  <c r="P11" i="38" s="1"/>
  <c r="S11" i="38"/>
  <c r="T11" i="38" s="1"/>
  <c r="U11" i="38" s="1"/>
  <c r="V11" i="38" s="1"/>
  <c r="Y11" i="38"/>
  <c r="Z11" i="38"/>
  <c r="AA11" i="38" s="1"/>
  <c r="AB11" i="38" s="1"/>
  <c r="AC11" i="38" s="1"/>
  <c r="AJ11" i="38"/>
  <c r="G12" i="38"/>
  <c r="H12" i="38" s="1"/>
  <c r="M12" i="38"/>
  <c r="N12" i="38"/>
  <c r="O12" i="38"/>
  <c r="P12" i="38"/>
  <c r="S12" i="38"/>
  <c r="T12" i="38" s="1"/>
  <c r="U12" i="38" s="1"/>
  <c r="V12" i="38" s="1"/>
  <c r="Y12" i="38"/>
  <c r="Z12" i="38"/>
  <c r="AA12" i="38"/>
  <c r="AB12" i="38" s="1"/>
  <c r="AC12" i="38" s="1"/>
  <c r="AJ12" i="38"/>
  <c r="G13" i="38"/>
  <c r="H13" i="38"/>
  <c r="M13" i="38"/>
  <c r="N13" i="38"/>
  <c r="O13" i="38" s="1"/>
  <c r="P13" i="38" s="1"/>
  <c r="S13" i="38"/>
  <c r="T13" i="38"/>
  <c r="U13" i="38" s="1"/>
  <c r="V13" i="38" s="1"/>
  <c r="Y13" i="38"/>
  <c r="Z13" i="38"/>
  <c r="AA13" i="38" s="1"/>
  <c r="AB13" i="38" s="1"/>
  <c r="AC13" i="38" s="1"/>
  <c r="AE13" i="38"/>
  <c r="AJ13" i="38"/>
  <c r="G14" i="38"/>
  <c r="H14" i="38" s="1"/>
  <c r="I14" i="38" s="1"/>
  <c r="AI14" i="38" s="1"/>
  <c r="J14" i="38"/>
  <c r="AH14" i="38" s="1"/>
  <c r="L14" i="38"/>
  <c r="M14" i="38" s="1"/>
  <c r="N14" i="38" s="1"/>
  <c r="O14" i="38" s="1"/>
  <c r="P14" i="38" s="1"/>
  <c r="S14" i="38"/>
  <c r="T14" i="38" s="1"/>
  <c r="U14" i="38" s="1"/>
  <c r="V14" i="38" s="1"/>
  <c r="Y14" i="38"/>
  <c r="Z14" i="38" s="1"/>
  <c r="AA14" i="38" s="1"/>
  <c r="AB14" i="38" s="1"/>
  <c r="AC14" i="38" s="1"/>
  <c r="AE14" i="38"/>
  <c r="AF14" i="38"/>
  <c r="AG14" i="38"/>
  <c r="AJ14" i="38"/>
  <c r="G15" i="38"/>
  <c r="H15" i="38"/>
  <c r="I15" i="38" s="1"/>
  <c r="J15" i="38" s="1"/>
  <c r="AH15" i="38" s="1"/>
  <c r="M15" i="38"/>
  <c r="N15" i="38"/>
  <c r="O15" i="38" s="1"/>
  <c r="P15" i="38" s="1"/>
  <c r="S15" i="38"/>
  <c r="T15" i="38" s="1"/>
  <c r="U15" i="38" s="1"/>
  <c r="V15" i="38" s="1"/>
  <c r="Y15" i="38"/>
  <c r="Z15" i="38"/>
  <c r="AA15" i="38"/>
  <c r="AB15" i="38"/>
  <c r="AC15" i="38" s="1"/>
  <c r="AE15" i="38"/>
  <c r="AG15" i="38"/>
  <c r="AJ15" i="38"/>
  <c r="G16" i="38"/>
  <c r="L16" i="38"/>
  <c r="M16" i="38" s="1"/>
  <c r="N16" i="38" s="1"/>
  <c r="O16" i="38" s="1"/>
  <c r="P16" i="38" s="1"/>
  <c r="S16" i="38"/>
  <c r="T16" i="38" s="1"/>
  <c r="U16" i="38" s="1"/>
  <c r="V16" i="38" s="1"/>
  <c r="Y16" i="38"/>
  <c r="Z16" i="38" s="1"/>
  <c r="AA16" i="38" s="1"/>
  <c r="AB16" i="38"/>
  <c r="AC16" i="38" s="1"/>
  <c r="AJ16" i="38"/>
  <c r="G17" i="38"/>
  <c r="H17" i="38"/>
  <c r="M17" i="38"/>
  <c r="N17" i="38" s="1"/>
  <c r="O17" i="38" s="1"/>
  <c r="P17" i="38" s="1"/>
  <c r="S17" i="38"/>
  <c r="T17" i="38"/>
  <c r="U17" i="38" s="1"/>
  <c r="V17" i="38" s="1"/>
  <c r="X17" i="38" s="1"/>
  <c r="Y17" i="38" s="1"/>
  <c r="Z17" i="38" s="1"/>
  <c r="AA17" i="38" s="1"/>
  <c r="AB17" i="38" s="1"/>
  <c r="AC17" i="38" s="1"/>
  <c r="AE17" i="38"/>
  <c r="AJ17" i="38"/>
  <c r="G18" i="38"/>
  <c r="H18" i="38" s="1"/>
  <c r="J18" i="38"/>
  <c r="M18" i="38"/>
  <c r="N18" i="38" s="1"/>
  <c r="S18" i="38"/>
  <c r="T18" i="38" s="1"/>
  <c r="AE18" i="38"/>
  <c r="AH18" i="38"/>
  <c r="AJ18" i="38"/>
  <c r="G19" i="38"/>
  <c r="H19" i="38" s="1"/>
  <c r="M19" i="38"/>
  <c r="N19" i="38" s="1"/>
  <c r="O19" i="38" s="1"/>
  <c r="P19" i="38" s="1"/>
  <c r="S19" i="38"/>
  <c r="T19" i="38" s="1"/>
  <c r="U19" i="38" s="1"/>
  <c r="V19" i="38" s="1"/>
  <c r="Y19" i="38"/>
  <c r="Z19" i="38" s="1"/>
  <c r="AA19" i="38" s="1"/>
  <c r="AB19" i="38" s="1"/>
  <c r="AC19" i="38" s="1"/>
  <c r="AE19" i="38"/>
  <c r="AJ19" i="38"/>
  <c r="D20" i="38"/>
  <c r="AJ20" i="38" s="1"/>
  <c r="E20" i="38"/>
  <c r="E32" i="38" s="1"/>
  <c r="E37" i="38" s="1"/>
  <c r="F20" i="38"/>
  <c r="P464" i="55" s="1"/>
  <c r="Q464" i="55" s="1"/>
  <c r="K20" i="38"/>
  <c r="L20" i="38"/>
  <c r="R20" i="38"/>
  <c r="W20" i="38"/>
  <c r="X20" i="38"/>
  <c r="AE20" i="38"/>
  <c r="G21" i="38"/>
  <c r="G20" i="38" s="1"/>
  <c r="M21" i="38"/>
  <c r="N21" i="38" s="1"/>
  <c r="S21" i="38"/>
  <c r="S20" i="38" s="1"/>
  <c r="Y21" i="38"/>
  <c r="Z21" i="38" s="1"/>
  <c r="AE21" i="38"/>
  <c r="AJ21" i="38"/>
  <c r="G22" i="38"/>
  <c r="H22" i="38"/>
  <c r="I22" i="38" s="1"/>
  <c r="M22" i="38"/>
  <c r="N22" i="38" s="1"/>
  <c r="O22" i="38" s="1"/>
  <c r="P22" i="38" s="1"/>
  <c r="S22" i="38"/>
  <c r="T22" i="38"/>
  <c r="U22" i="38" s="1"/>
  <c r="V22" i="38" s="1"/>
  <c r="Y22" i="38"/>
  <c r="Z22" i="38" s="1"/>
  <c r="AA22" i="38" s="1"/>
  <c r="AB22" i="38" s="1"/>
  <c r="AC22" i="38" s="1"/>
  <c r="AE22" i="38"/>
  <c r="AJ22" i="38"/>
  <c r="D23" i="38"/>
  <c r="E23" i="38"/>
  <c r="F23" i="38"/>
  <c r="P460" i="55" s="1"/>
  <c r="Q460" i="55" s="1"/>
  <c r="K23" i="38"/>
  <c r="L23" i="38"/>
  <c r="R23" i="38"/>
  <c r="W23" i="38"/>
  <c r="X23" i="38"/>
  <c r="AJ23" i="38"/>
  <c r="G24" i="38"/>
  <c r="K24" i="38"/>
  <c r="Q24" i="38" s="1"/>
  <c r="Q23" i="38" s="1"/>
  <c r="M24" i="38"/>
  <c r="M23" i="38" s="1"/>
  <c r="S24" i="38"/>
  <c r="T24" i="38" s="1"/>
  <c r="Y24" i="38"/>
  <c r="Y23" i="38" s="1"/>
  <c r="AJ24" i="38"/>
  <c r="G25" i="38"/>
  <c r="H25" i="38" s="1"/>
  <c r="M25" i="38"/>
  <c r="N25" i="38"/>
  <c r="O25" i="38" s="1"/>
  <c r="P25" i="38" s="1"/>
  <c r="S25" i="38"/>
  <c r="Y25" i="38"/>
  <c r="Z25" i="38"/>
  <c r="AA25" i="38" s="1"/>
  <c r="AB25" i="38" s="1"/>
  <c r="AC25" i="38"/>
  <c r="AJ25" i="38"/>
  <c r="G26" i="38"/>
  <c r="H26" i="38" s="1"/>
  <c r="AF26" i="38" s="1"/>
  <c r="I26" i="38"/>
  <c r="M26" i="38"/>
  <c r="N26" i="38" s="1"/>
  <c r="O26" i="38" s="1"/>
  <c r="P26" i="38" s="1"/>
  <c r="S26" i="38"/>
  <c r="T26" i="38" s="1"/>
  <c r="U26" i="38"/>
  <c r="V26" i="38" s="1"/>
  <c r="Y26" i="38"/>
  <c r="Z26" i="38" s="1"/>
  <c r="AA26" i="38" s="1"/>
  <c r="AB26" i="38" s="1"/>
  <c r="AC26" i="38" s="1"/>
  <c r="AE26" i="38"/>
  <c r="AJ26" i="38"/>
  <c r="G27" i="38"/>
  <c r="H27" i="38"/>
  <c r="I27" i="38" s="1"/>
  <c r="J27" i="38" s="1"/>
  <c r="AH27" i="38" s="1"/>
  <c r="M27" i="38"/>
  <c r="N27" i="38" s="1"/>
  <c r="O27" i="38" s="1"/>
  <c r="P27" i="38" s="1"/>
  <c r="S27" i="38"/>
  <c r="T27" i="38"/>
  <c r="U27" i="38" s="1"/>
  <c r="V27" i="38" s="1"/>
  <c r="X27" i="38" s="1"/>
  <c r="Y27" i="38" s="1"/>
  <c r="Z27" i="38" s="1"/>
  <c r="AA27" i="38" s="1"/>
  <c r="AB27" i="38" s="1"/>
  <c r="AC27" i="38" s="1"/>
  <c r="AE27" i="38"/>
  <c r="AG27" i="38"/>
  <c r="AJ27" i="38"/>
  <c r="G28" i="38"/>
  <c r="H28" i="38"/>
  <c r="I28" i="38"/>
  <c r="J28" i="38" s="1"/>
  <c r="M28" i="38"/>
  <c r="N28" i="38"/>
  <c r="O28" i="38"/>
  <c r="P28" i="38" s="1"/>
  <c r="S28" i="38"/>
  <c r="T28" i="38"/>
  <c r="U28" i="38"/>
  <c r="V28" i="38" s="1"/>
  <c r="W28" i="38" s="1"/>
  <c r="Y28" i="38"/>
  <c r="Z28" i="38" s="1"/>
  <c r="AA28" i="38" s="1"/>
  <c r="AB28" i="38" s="1"/>
  <c r="AC28" i="38" s="1"/>
  <c r="AE28" i="38"/>
  <c r="AF28" i="38"/>
  <c r="AH28" i="38"/>
  <c r="AJ28" i="38"/>
  <c r="G29" i="38"/>
  <c r="H29" i="38" s="1"/>
  <c r="M29" i="38"/>
  <c r="N29" i="38" s="1"/>
  <c r="O29" i="38" s="1"/>
  <c r="P29" i="38" s="1"/>
  <c r="S29" i="38"/>
  <c r="T29" i="38" s="1"/>
  <c r="U29" i="38" s="1"/>
  <c r="V29" i="38" s="1"/>
  <c r="Y29" i="38"/>
  <c r="Z29" i="38" s="1"/>
  <c r="AA29" i="38"/>
  <c r="AB29" i="38" s="1"/>
  <c r="AC29" i="38" s="1"/>
  <c r="AJ29" i="38"/>
  <c r="G30" i="38"/>
  <c r="H30" i="38" s="1"/>
  <c r="M30" i="38"/>
  <c r="N30" i="38"/>
  <c r="O30" i="38" s="1"/>
  <c r="P30" i="38" s="1"/>
  <c r="S30" i="38"/>
  <c r="T30" i="38"/>
  <c r="U30" i="38" s="1"/>
  <c r="V30" i="38" s="1"/>
  <c r="Y30" i="38"/>
  <c r="Z30" i="38"/>
  <c r="AA30" i="38" s="1"/>
  <c r="AB30" i="38" s="1"/>
  <c r="AC30" i="38"/>
  <c r="AE30" i="38"/>
  <c r="AJ30" i="38"/>
  <c r="G31" i="38"/>
  <c r="H31" i="38" s="1"/>
  <c r="I31" i="38" s="1"/>
  <c r="M31" i="38"/>
  <c r="N31" i="38" s="1"/>
  <c r="O31" i="38" s="1"/>
  <c r="P31" i="38" s="1"/>
  <c r="S31" i="38"/>
  <c r="T31" i="38" s="1"/>
  <c r="U31" i="38"/>
  <c r="V31" i="38"/>
  <c r="Y31" i="38"/>
  <c r="Z31" i="38" s="1"/>
  <c r="AA31" i="38" s="1"/>
  <c r="AB31" i="38" s="1"/>
  <c r="AC31" i="38" s="1"/>
  <c r="AE31" i="38"/>
  <c r="AJ31" i="38"/>
  <c r="K32" i="38"/>
  <c r="K37" i="38" s="1"/>
  <c r="W32" i="38"/>
  <c r="D33" i="38"/>
  <c r="E33" i="38"/>
  <c r="F33" i="38"/>
  <c r="AJ33" i="38" s="1"/>
  <c r="K33" i="38"/>
  <c r="Q33" i="38"/>
  <c r="R33" i="38"/>
  <c r="W33" i="38"/>
  <c r="X33" i="38"/>
  <c r="Y33" i="38"/>
  <c r="G34" i="38"/>
  <c r="H34" i="38"/>
  <c r="I34" i="38" s="1"/>
  <c r="AI34" i="38" s="1"/>
  <c r="M34" i="38"/>
  <c r="M33" i="38" s="1"/>
  <c r="S34" i="38"/>
  <c r="S33" i="38" s="1"/>
  <c r="T34" i="38"/>
  <c r="T33" i="38" s="1"/>
  <c r="Y34" i="38"/>
  <c r="Z34" i="38" s="1"/>
  <c r="AE34" i="38"/>
  <c r="AJ34" i="38"/>
  <c r="G35" i="38"/>
  <c r="H35" i="38" s="1"/>
  <c r="H33" i="38" s="1"/>
  <c r="M35" i="38"/>
  <c r="N35" i="38"/>
  <c r="O35" i="38" s="1"/>
  <c r="P35" i="38" s="1"/>
  <c r="S35" i="38"/>
  <c r="T35" i="38" s="1"/>
  <c r="U35" i="38" s="1"/>
  <c r="V35" i="38" s="1"/>
  <c r="Y35" i="38"/>
  <c r="Z35" i="38"/>
  <c r="AA35" i="38" s="1"/>
  <c r="AB35" i="38" s="1"/>
  <c r="AC35" i="38" s="1"/>
  <c r="AE35" i="38"/>
  <c r="AJ35" i="38"/>
  <c r="G36" i="38"/>
  <c r="H36" i="38" s="1"/>
  <c r="L36" i="38"/>
  <c r="L33" i="38" s="1"/>
  <c r="M36" i="38"/>
  <c r="N36" i="38"/>
  <c r="O36" i="38" s="1"/>
  <c r="P36" i="38" s="1"/>
  <c r="S36" i="38"/>
  <c r="T36" i="38" s="1"/>
  <c r="U36" i="38" s="1"/>
  <c r="V36" i="38" s="1"/>
  <c r="Y36" i="38"/>
  <c r="Z36" i="38"/>
  <c r="AA36" i="38" s="1"/>
  <c r="AB36" i="38" s="1"/>
  <c r="AC36" i="38" s="1"/>
  <c r="AJ36" i="38"/>
  <c r="W37" i="38"/>
  <c r="AH38" i="38"/>
  <c r="E39" i="38"/>
  <c r="F39" i="38"/>
  <c r="G39" i="38"/>
  <c r="H39" i="38"/>
  <c r="N39" i="38"/>
  <c r="T39" i="38"/>
  <c r="AF39" i="38"/>
  <c r="AG39" i="38"/>
  <c r="AI39" i="38"/>
  <c r="C40" i="38"/>
  <c r="D40" i="38"/>
  <c r="E40" i="38"/>
  <c r="X40" i="38"/>
  <c r="Y40" i="38"/>
  <c r="Z40" i="38"/>
  <c r="AA40" i="38"/>
  <c r="AB40" i="38"/>
  <c r="AC40" i="38"/>
  <c r="AE40" i="38"/>
  <c r="AH40" i="38"/>
  <c r="E41" i="38"/>
  <c r="F41" i="38"/>
  <c r="K41" i="38"/>
  <c r="Q41" i="38"/>
  <c r="R41" i="38"/>
  <c r="R52" i="38" s="1"/>
  <c r="W41" i="38"/>
  <c r="W52" i="38" s="1"/>
  <c r="X41" i="38"/>
  <c r="X52" i="38" s="1"/>
  <c r="Y41" i="38"/>
  <c r="AJ41" i="38"/>
  <c r="G42" i="38"/>
  <c r="L42" i="38"/>
  <c r="M42" i="38" s="1"/>
  <c r="N42" i="38"/>
  <c r="O42" i="38" s="1"/>
  <c r="S42" i="38"/>
  <c r="Y42" i="38"/>
  <c r="Z42" i="38"/>
  <c r="Z41" i="38" s="1"/>
  <c r="AJ42" i="38"/>
  <c r="G43" i="38"/>
  <c r="L43" i="38"/>
  <c r="M43" i="38"/>
  <c r="N43" i="38"/>
  <c r="O43" i="38" s="1"/>
  <c r="P43" i="38" s="1"/>
  <c r="S43" i="38"/>
  <c r="T43" i="38" s="1"/>
  <c r="U43" i="38"/>
  <c r="V43" i="38" s="1"/>
  <c r="Y43" i="38"/>
  <c r="Z43" i="38"/>
  <c r="AA43" i="38" s="1"/>
  <c r="AB43" i="38" s="1"/>
  <c r="AC43" i="38" s="1"/>
  <c r="AJ43" i="38"/>
  <c r="D44" i="38"/>
  <c r="D41" i="38" s="1"/>
  <c r="G44" i="38"/>
  <c r="H44" i="38" s="1"/>
  <c r="I44" i="38" s="1"/>
  <c r="AG44" i="38" s="1"/>
  <c r="L44" i="38"/>
  <c r="M44" i="38" s="1"/>
  <c r="N44" i="38"/>
  <c r="O44" i="38" s="1"/>
  <c r="P44" i="38" s="1"/>
  <c r="S44" i="38"/>
  <c r="T44" i="38" s="1"/>
  <c r="U44" i="38"/>
  <c r="V44" i="38" s="1"/>
  <c r="Y44" i="38"/>
  <c r="Z44" i="38"/>
  <c r="AA44" i="38" s="1"/>
  <c r="AB44" i="38"/>
  <c r="AC44" i="38" s="1"/>
  <c r="AE44" i="38"/>
  <c r="AF44" i="38"/>
  <c r="AJ44" i="38"/>
  <c r="G45" i="38"/>
  <c r="L45" i="38"/>
  <c r="M45" i="38" s="1"/>
  <c r="N45" i="38"/>
  <c r="O45" i="38" s="1"/>
  <c r="P45" i="38" s="1"/>
  <c r="S45" i="38"/>
  <c r="T45" i="38" s="1"/>
  <c r="U45" i="38"/>
  <c r="V45" i="38" s="1"/>
  <c r="Y45" i="38"/>
  <c r="Z45" i="38"/>
  <c r="AA45" i="38" s="1"/>
  <c r="AB45" i="38" s="1"/>
  <c r="AC45" i="38" s="1"/>
  <c r="AJ45" i="38"/>
  <c r="G46" i="38"/>
  <c r="AE46" i="38" s="1"/>
  <c r="H46" i="38"/>
  <c r="L46" i="38"/>
  <c r="S46" i="38"/>
  <c r="T46" i="38" s="1"/>
  <c r="U46" i="38" s="1"/>
  <c r="V46" i="38" s="1"/>
  <c r="Y46" i="38"/>
  <c r="Z46" i="38" s="1"/>
  <c r="AA46" i="38" s="1"/>
  <c r="AB46" i="38" s="1"/>
  <c r="AC46" i="38" s="1"/>
  <c r="AJ46" i="38"/>
  <c r="D47" i="38"/>
  <c r="D52" i="38" s="1"/>
  <c r="E47" i="38"/>
  <c r="K47" i="38"/>
  <c r="Q47" i="38"/>
  <c r="R47" i="38"/>
  <c r="W47" i="38"/>
  <c r="X47" i="38"/>
  <c r="F48" i="38"/>
  <c r="P475" i="55" s="1"/>
  <c r="Q475" i="55" s="1"/>
  <c r="S48" i="38"/>
  <c r="S47" i="38" s="1"/>
  <c r="Y48" i="38"/>
  <c r="Z48" i="38" s="1"/>
  <c r="AJ48" i="38"/>
  <c r="G49" i="38"/>
  <c r="AE49" i="38" s="1"/>
  <c r="L49" i="38"/>
  <c r="M49" i="38"/>
  <c r="N49" i="38" s="1"/>
  <c r="O49" i="38" s="1"/>
  <c r="P49" i="38"/>
  <c r="S49" i="38"/>
  <c r="T49" i="38" s="1"/>
  <c r="U49" i="38" s="1"/>
  <c r="V49" i="38" s="1"/>
  <c r="Y49" i="38"/>
  <c r="Z49" i="38" s="1"/>
  <c r="AA49" i="38" s="1"/>
  <c r="AB49" i="38"/>
  <c r="AC49" i="38" s="1"/>
  <c r="AJ49" i="38"/>
  <c r="G50" i="38"/>
  <c r="H50" i="38"/>
  <c r="AF50" i="38" s="1"/>
  <c r="I50" i="38"/>
  <c r="L50" i="38"/>
  <c r="M50" i="38" s="1"/>
  <c r="N50" i="38" s="1"/>
  <c r="O50" i="38" s="1"/>
  <c r="P50" i="38" s="1"/>
  <c r="S50" i="38"/>
  <c r="T50" i="38"/>
  <c r="U50" i="38" s="1"/>
  <c r="V50" i="38" s="1"/>
  <c r="Y50" i="38"/>
  <c r="Z50" i="38"/>
  <c r="AA50" i="38" s="1"/>
  <c r="AB50" i="38" s="1"/>
  <c r="AC50" i="38"/>
  <c r="AE50" i="38"/>
  <c r="AJ50" i="38"/>
  <c r="G51" i="38"/>
  <c r="H51" i="38" s="1"/>
  <c r="I51" i="38" s="1"/>
  <c r="L51" i="38"/>
  <c r="M51" i="38" s="1"/>
  <c r="N51" i="38" s="1"/>
  <c r="O51" i="38"/>
  <c r="P51" i="38" s="1"/>
  <c r="S51" i="38"/>
  <c r="T51" i="38"/>
  <c r="U51" i="38"/>
  <c r="V51" i="38"/>
  <c r="Y51" i="38"/>
  <c r="Z51" i="38" s="1"/>
  <c r="AA51" i="38" s="1"/>
  <c r="AB51" i="38" s="1"/>
  <c r="AC51" i="38" s="1"/>
  <c r="AE51" i="38"/>
  <c r="AF51" i="38"/>
  <c r="AJ51" i="38"/>
  <c r="K52" i="38"/>
  <c r="AE53" i="38"/>
  <c r="AF53" i="38"/>
  <c r="AG53" i="38"/>
  <c r="AH53" i="38"/>
  <c r="AI53" i="38"/>
  <c r="AJ53" i="38"/>
  <c r="C54" i="38"/>
  <c r="G54" i="38"/>
  <c r="L54" i="38"/>
  <c r="M54" i="38"/>
  <c r="N54" i="38" s="1"/>
  <c r="O54" i="38" s="1"/>
  <c r="P54" i="38" s="1"/>
  <c r="Q54" i="38" s="1"/>
  <c r="S54" i="38"/>
  <c r="T54" i="38" s="1"/>
  <c r="U54" i="38" s="1"/>
  <c r="V54" i="38" s="1"/>
  <c r="W54" i="38" s="1"/>
  <c r="Y54" i="38"/>
  <c r="Z54" i="38" s="1"/>
  <c r="AA54" i="38" s="1"/>
  <c r="AB54" i="38" s="1"/>
  <c r="AC54" i="38" s="1"/>
  <c r="AJ54" i="38"/>
  <c r="V55" i="38"/>
  <c r="Y55" i="38"/>
  <c r="Z55" i="38" s="1"/>
  <c r="AA55" i="38" s="1"/>
  <c r="AB55" i="38"/>
  <c r="AE55" i="38"/>
  <c r="AF55" i="38"/>
  <c r="AG55" i="38"/>
  <c r="AH55" i="38"/>
  <c r="AJ55" i="38"/>
  <c r="V56" i="38"/>
  <c r="Y56" i="38"/>
  <c r="Z56" i="38"/>
  <c r="AA56" i="38" s="1"/>
  <c r="AB56" i="38" s="1"/>
  <c r="AE56" i="38"/>
  <c r="AJ56" i="38"/>
  <c r="D57" i="38"/>
  <c r="G58" i="38"/>
  <c r="H58" i="38" s="1"/>
  <c r="I58" i="38" s="1"/>
  <c r="J58" i="38" s="1"/>
  <c r="K58" i="38" s="1"/>
  <c r="D5" i="37"/>
  <c r="D40" i="37" s="1"/>
  <c r="E5" i="37"/>
  <c r="AI5" i="37"/>
  <c r="AI40" i="37" s="1"/>
  <c r="AJ5" i="37"/>
  <c r="D8" i="37"/>
  <c r="E8" i="37"/>
  <c r="F8" i="37"/>
  <c r="K8" i="37"/>
  <c r="Q8" i="37"/>
  <c r="R8" i="37"/>
  <c r="W8" i="37"/>
  <c r="G9" i="37"/>
  <c r="H9" i="37"/>
  <c r="I9" i="37" s="1"/>
  <c r="M9" i="37"/>
  <c r="N9" i="37" s="1"/>
  <c r="S9" i="37"/>
  <c r="Y9" i="37"/>
  <c r="Z9" i="37"/>
  <c r="AA9" i="37" s="1"/>
  <c r="AB9" i="37" s="1"/>
  <c r="AC9" i="37" s="1"/>
  <c r="AE9" i="37"/>
  <c r="AF9" i="37"/>
  <c r="AJ9" i="37"/>
  <c r="G10" i="37"/>
  <c r="G8" i="37" s="1"/>
  <c r="H10" i="37"/>
  <c r="L10" i="37"/>
  <c r="M10" i="37"/>
  <c r="N10" i="37" s="1"/>
  <c r="O10" i="37" s="1"/>
  <c r="P10" i="37" s="1"/>
  <c r="S10" i="37"/>
  <c r="T10" i="37"/>
  <c r="U10" i="37" s="1"/>
  <c r="V10" i="37" s="1"/>
  <c r="Y10" i="37"/>
  <c r="Z10" i="37" s="1"/>
  <c r="AA10" i="37" s="1"/>
  <c r="AB10" i="37" s="1"/>
  <c r="AC10" i="37" s="1"/>
  <c r="AE10" i="37"/>
  <c r="AJ10" i="37"/>
  <c r="G11" i="37"/>
  <c r="H11" i="37"/>
  <c r="I11" i="37" s="1"/>
  <c r="M11" i="37"/>
  <c r="N11" i="37"/>
  <c r="O11" i="37" s="1"/>
  <c r="P11" i="37" s="1"/>
  <c r="S11" i="37"/>
  <c r="T11" i="37" s="1"/>
  <c r="U11" i="37" s="1"/>
  <c r="V11" i="37" s="1"/>
  <c r="Y11" i="37"/>
  <c r="Z11" i="37"/>
  <c r="AA11" i="37" s="1"/>
  <c r="AB11" i="37" s="1"/>
  <c r="AC11" i="37" s="1"/>
  <c r="AE11" i="37"/>
  <c r="AF11" i="37"/>
  <c r="AJ11" i="37"/>
  <c r="G12" i="37"/>
  <c r="H12" i="37" s="1"/>
  <c r="I12" i="37" s="1"/>
  <c r="M12" i="37"/>
  <c r="N12" i="37" s="1"/>
  <c r="O12" i="37" s="1"/>
  <c r="P12" i="37" s="1"/>
  <c r="S12" i="37"/>
  <c r="T12" i="37" s="1"/>
  <c r="U12" i="37"/>
  <c r="V12" i="37"/>
  <c r="Y12" i="37"/>
  <c r="Z12" i="37" s="1"/>
  <c r="AA12" i="37" s="1"/>
  <c r="AB12" i="37" s="1"/>
  <c r="AC12" i="37" s="1"/>
  <c r="AE12" i="37"/>
  <c r="AF12" i="37"/>
  <c r="AJ12" i="37"/>
  <c r="G13" i="37"/>
  <c r="H13" i="37"/>
  <c r="M13" i="37"/>
  <c r="N13" i="37" s="1"/>
  <c r="O13" i="37" s="1"/>
  <c r="P13" i="37" s="1"/>
  <c r="S13" i="37"/>
  <c r="T13" i="37"/>
  <c r="U13" i="37" s="1"/>
  <c r="V13" i="37" s="1"/>
  <c r="Y13" i="37"/>
  <c r="Z13" i="37" s="1"/>
  <c r="AA13" i="37" s="1"/>
  <c r="AB13" i="37" s="1"/>
  <c r="AC13" i="37" s="1"/>
  <c r="AE13" i="37"/>
  <c r="AJ13" i="37"/>
  <c r="G14" i="37"/>
  <c r="L14" i="37"/>
  <c r="L8" i="37" s="1"/>
  <c r="L32" i="37" s="1"/>
  <c r="L37" i="37" s="1"/>
  <c r="S14" i="37"/>
  <c r="T14" i="37" s="1"/>
  <c r="U14" i="37"/>
  <c r="V14" i="37" s="1"/>
  <c r="Y14" i="37"/>
  <c r="Z14" i="37"/>
  <c r="AA14" i="37"/>
  <c r="AB14" i="37" s="1"/>
  <c r="AC14" i="37" s="1"/>
  <c r="AJ14" i="37"/>
  <c r="G15" i="37"/>
  <c r="H15" i="37"/>
  <c r="M15" i="37"/>
  <c r="N15" i="37" s="1"/>
  <c r="O15" i="37" s="1"/>
  <c r="P15" i="37" s="1"/>
  <c r="S15" i="37"/>
  <c r="T15" i="37" s="1"/>
  <c r="U15" i="37" s="1"/>
  <c r="V15" i="37" s="1"/>
  <c r="Y15" i="37"/>
  <c r="Z15" i="37" s="1"/>
  <c r="AA15" i="37" s="1"/>
  <c r="AB15" i="37" s="1"/>
  <c r="AC15" i="37" s="1"/>
  <c r="AE15" i="37"/>
  <c r="AJ15" i="37"/>
  <c r="G16" i="37"/>
  <c r="H16" i="37"/>
  <c r="M16" i="37"/>
  <c r="N16" i="37" s="1"/>
  <c r="O16" i="37" s="1"/>
  <c r="P16" i="37" s="1"/>
  <c r="S16" i="37"/>
  <c r="T16" i="37" s="1"/>
  <c r="U16" i="37" s="1"/>
  <c r="V16" i="37"/>
  <c r="Y16" i="37"/>
  <c r="Z16" i="37" s="1"/>
  <c r="AA16" i="37" s="1"/>
  <c r="AB16" i="37" s="1"/>
  <c r="AC16" i="37" s="1"/>
  <c r="AE16" i="37"/>
  <c r="AJ16" i="37"/>
  <c r="G17" i="37"/>
  <c r="H17" i="37"/>
  <c r="M17" i="37"/>
  <c r="N17" i="37" s="1"/>
  <c r="O17" i="37" s="1"/>
  <c r="P17" i="37" s="1"/>
  <c r="S17" i="37"/>
  <c r="T17" i="37"/>
  <c r="U17" i="37" s="1"/>
  <c r="V17" i="37" s="1"/>
  <c r="X17" i="37"/>
  <c r="Y17" i="37" s="1"/>
  <c r="Z17" i="37" s="1"/>
  <c r="AA17" i="37" s="1"/>
  <c r="AB17" i="37" s="1"/>
  <c r="AC17" i="37"/>
  <c r="AE17" i="37"/>
  <c r="AJ17" i="37"/>
  <c r="G18" i="37"/>
  <c r="H18" i="37" s="1"/>
  <c r="AG18" i="37" s="1"/>
  <c r="J18" i="37"/>
  <c r="AH18" i="37" s="1"/>
  <c r="M18" i="37"/>
  <c r="N18" i="37" s="1"/>
  <c r="O18" i="37"/>
  <c r="P18" i="37"/>
  <c r="S18" i="37"/>
  <c r="T18" i="37" s="1"/>
  <c r="AJ18" i="37"/>
  <c r="G19" i="37"/>
  <c r="H19" i="37" s="1"/>
  <c r="M19" i="37"/>
  <c r="N19" i="37" s="1"/>
  <c r="O19" i="37" s="1"/>
  <c r="P19" i="37" s="1"/>
  <c r="S19" i="37"/>
  <c r="T19" i="37"/>
  <c r="U19" i="37" s="1"/>
  <c r="V19" i="37" s="1"/>
  <c r="Y19" i="37"/>
  <c r="Z19" i="37"/>
  <c r="AA19" i="37" s="1"/>
  <c r="AB19" i="37" s="1"/>
  <c r="AC19" i="37"/>
  <c r="AJ19" i="37"/>
  <c r="D20" i="37"/>
  <c r="E20" i="37"/>
  <c r="F20" i="37"/>
  <c r="K20" i="37"/>
  <c r="L20" i="37"/>
  <c r="R20" i="37"/>
  <c r="W20" i="37"/>
  <c r="X20" i="37"/>
  <c r="X32" i="37" s="1"/>
  <c r="X37" i="37" s="1"/>
  <c r="Y20" i="37"/>
  <c r="G21" i="37"/>
  <c r="H21" i="37"/>
  <c r="M21" i="37"/>
  <c r="M20" i="37" s="1"/>
  <c r="S21" i="37"/>
  <c r="S20" i="37" s="1"/>
  <c r="T21" i="37"/>
  <c r="U21" i="37" s="1"/>
  <c r="Y21" i="37"/>
  <c r="Z21" i="37"/>
  <c r="AA21" i="37"/>
  <c r="AE21" i="37"/>
  <c r="AJ21" i="37"/>
  <c r="G22" i="37"/>
  <c r="M22" i="37"/>
  <c r="N22" i="37" s="1"/>
  <c r="O22" i="37"/>
  <c r="P22" i="37"/>
  <c r="S22" i="37"/>
  <c r="T22" i="37" s="1"/>
  <c r="U22" i="37" s="1"/>
  <c r="V22" i="37" s="1"/>
  <c r="Y22" i="37"/>
  <c r="Z22" i="37" s="1"/>
  <c r="AA22" i="37"/>
  <c r="AB22" i="37" s="1"/>
  <c r="AC22" i="37" s="1"/>
  <c r="AJ22" i="37"/>
  <c r="D23" i="37"/>
  <c r="E23" i="37"/>
  <c r="F23" i="37"/>
  <c r="P432" i="55" s="1"/>
  <c r="L23" i="37"/>
  <c r="Q23" i="37"/>
  <c r="R23" i="37"/>
  <c r="W23" i="37"/>
  <c r="X23" i="37"/>
  <c r="Y23" i="37"/>
  <c r="AJ23" i="37"/>
  <c r="G24" i="37"/>
  <c r="K24" i="37"/>
  <c r="Q24" i="37" s="1"/>
  <c r="M24" i="37"/>
  <c r="M23" i="37" s="1"/>
  <c r="S24" i="37"/>
  <c r="S23" i="37" s="1"/>
  <c r="T24" i="37"/>
  <c r="Y24" i="37"/>
  <c r="Z24" i="37" s="1"/>
  <c r="AE24" i="37"/>
  <c r="AJ24" i="37"/>
  <c r="G25" i="37"/>
  <c r="L25" i="37"/>
  <c r="M25" i="37"/>
  <c r="N25" i="37"/>
  <c r="O25" i="37" s="1"/>
  <c r="P25" i="37"/>
  <c r="S25" i="37"/>
  <c r="T25" i="37" s="1"/>
  <c r="U25" i="37" s="1"/>
  <c r="V25" i="37" s="1"/>
  <c r="Y25" i="37"/>
  <c r="Z25" i="37"/>
  <c r="AA25" i="37" s="1"/>
  <c r="AB25" i="37" s="1"/>
  <c r="AC25" i="37" s="1"/>
  <c r="AJ25" i="37"/>
  <c r="G26" i="37"/>
  <c r="M26" i="37"/>
  <c r="N26" i="37"/>
  <c r="O26" i="37"/>
  <c r="P26" i="37"/>
  <c r="S26" i="37"/>
  <c r="T26" i="37" s="1"/>
  <c r="U26" i="37" s="1"/>
  <c r="V26" i="37" s="1"/>
  <c r="Y26" i="37"/>
  <c r="Z26" i="37"/>
  <c r="AA26" i="37"/>
  <c r="AB26" i="37" s="1"/>
  <c r="AC26" i="37" s="1"/>
  <c r="AJ26" i="37"/>
  <c r="G27" i="37"/>
  <c r="H27" i="37" s="1"/>
  <c r="AF27" i="37" s="1"/>
  <c r="I27" i="37"/>
  <c r="M27" i="37"/>
  <c r="N27" i="37"/>
  <c r="O27" i="37" s="1"/>
  <c r="P27" i="37" s="1"/>
  <c r="S27" i="37"/>
  <c r="T27" i="37"/>
  <c r="U27" i="37"/>
  <c r="V27" i="37" s="1"/>
  <c r="X27" i="37" s="1"/>
  <c r="Y27" i="37" s="1"/>
  <c r="Z27" i="37" s="1"/>
  <c r="AA27" i="37" s="1"/>
  <c r="AB27" i="37" s="1"/>
  <c r="AC27" i="37" s="1"/>
  <c r="AE27" i="37"/>
  <c r="AJ27" i="37"/>
  <c r="G28" i="37"/>
  <c r="H28" i="37"/>
  <c r="AF28" i="37" s="1"/>
  <c r="M28" i="37"/>
  <c r="N28" i="37" s="1"/>
  <c r="O28" i="37"/>
  <c r="P28" i="37" s="1"/>
  <c r="S28" i="37"/>
  <c r="T28" i="37"/>
  <c r="U28" i="37"/>
  <c r="V28" i="37"/>
  <c r="W28" i="37" s="1"/>
  <c r="Y28" i="37"/>
  <c r="Z28" i="37"/>
  <c r="AA28" i="37" s="1"/>
  <c r="AB28" i="37" s="1"/>
  <c r="AC28" i="37"/>
  <c r="AE28" i="37"/>
  <c r="AJ28" i="37"/>
  <c r="G29" i="37"/>
  <c r="H29" i="37"/>
  <c r="I29" i="37"/>
  <c r="J29" i="37" s="1"/>
  <c r="AH29" i="37" s="1"/>
  <c r="M29" i="37"/>
  <c r="N29" i="37" s="1"/>
  <c r="O29" i="37" s="1"/>
  <c r="P29" i="37"/>
  <c r="S29" i="37"/>
  <c r="T29" i="37"/>
  <c r="U29" i="37"/>
  <c r="V29" i="37"/>
  <c r="Y29" i="37"/>
  <c r="Z29" i="37" s="1"/>
  <c r="AA29" i="37" s="1"/>
  <c r="AB29" i="37" s="1"/>
  <c r="AC29" i="37" s="1"/>
  <c r="AE29" i="37"/>
  <c r="AF29" i="37"/>
  <c r="AG29" i="37"/>
  <c r="AJ29" i="37"/>
  <c r="G30" i="37"/>
  <c r="H30" i="37"/>
  <c r="M30" i="37"/>
  <c r="N30" i="37"/>
  <c r="O30" i="37"/>
  <c r="P30" i="37" s="1"/>
  <c r="S30" i="37"/>
  <c r="T30" i="37"/>
  <c r="U30" i="37" s="1"/>
  <c r="V30" i="37" s="1"/>
  <c r="Y30" i="37"/>
  <c r="Z30" i="37"/>
  <c r="AA30" i="37" s="1"/>
  <c r="AB30" i="37" s="1"/>
  <c r="AC30" i="37" s="1"/>
  <c r="AE30" i="37"/>
  <c r="AJ30" i="37"/>
  <c r="G31" i="37"/>
  <c r="M31" i="37"/>
  <c r="N31" i="37"/>
  <c r="O31" i="37"/>
  <c r="P31" i="37" s="1"/>
  <c r="S31" i="37"/>
  <c r="T31" i="37" s="1"/>
  <c r="U31" i="37" s="1"/>
  <c r="V31" i="37" s="1"/>
  <c r="Y31" i="37"/>
  <c r="Z31" i="37"/>
  <c r="AA31" i="37"/>
  <c r="AB31" i="37"/>
  <c r="AC31" i="37" s="1"/>
  <c r="AJ31" i="37"/>
  <c r="D32" i="37"/>
  <c r="D37" i="37" s="1"/>
  <c r="E32" i="37"/>
  <c r="E37" i="37" s="1"/>
  <c r="E57" i="37" s="1"/>
  <c r="R32" i="37"/>
  <c r="W32" i="37"/>
  <c r="W37" i="37" s="1"/>
  <c r="W60" i="37" s="1"/>
  <c r="D33" i="37"/>
  <c r="AJ33" i="37" s="1"/>
  <c r="E33" i="37"/>
  <c r="F33" i="37"/>
  <c r="K33" i="37"/>
  <c r="Q33" i="37"/>
  <c r="R33" i="37"/>
  <c r="S33" i="37"/>
  <c r="W33" i="37"/>
  <c r="X33" i="37"/>
  <c r="G34" i="37"/>
  <c r="H34" i="37"/>
  <c r="I34" i="37"/>
  <c r="J34" i="37" s="1"/>
  <c r="M34" i="37"/>
  <c r="S34" i="37"/>
  <c r="T34" i="37"/>
  <c r="T33" i="37" s="1"/>
  <c r="Y34" i="37"/>
  <c r="Z34" i="37" s="1"/>
  <c r="AA34" i="37" s="1"/>
  <c r="AE34" i="37"/>
  <c r="AF34" i="37"/>
  <c r="AG34" i="37"/>
  <c r="AJ34" i="37"/>
  <c r="G35" i="37"/>
  <c r="H35" i="37"/>
  <c r="I35" i="37"/>
  <c r="J35" i="37" s="1"/>
  <c r="AH35" i="37" s="1"/>
  <c r="M35" i="37"/>
  <c r="N35" i="37" s="1"/>
  <c r="O35" i="37" s="1"/>
  <c r="P35" i="37"/>
  <c r="S35" i="37"/>
  <c r="T35" i="37"/>
  <c r="U35" i="37"/>
  <c r="V35" i="37"/>
  <c r="Y35" i="37"/>
  <c r="AE35" i="37"/>
  <c r="AF35" i="37"/>
  <c r="AG35" i="37"/>
  <c r="AJ35" i="37"/>
  <c r="D36" i="37"/>
  <c r="G36" i="37"/>
  <c r="L36" i="37"/>
  <c r="L33" i="37" s="1"/>
  <c r="M36" i="37"/>
  <c r="N36" i="37" s="1"/>
  <c r="O36" i="37" s="1"/>
  <c r="P36" i="37" s="1"/>
  <c r="S36" i="37"/>
  <c r="T36" i="37"/>
  <c r="U36" i="37"/>
  <c r="V36" i="37"/>
  <c r="Y36" i="37"/>
  <c r="Z36" i="37" s="1"/>
  <c r="AA36" i="37" s="1"/>
  <c r="AB36" i="37" s="1"/>
  <c r="AC36" i="37" s="1"/>
  <c r="AJ36" i="37"/>
  <c r="R37" i="37"/>
  <c r="AH38" i="37"/>
  <c r="E39" i="37"/>
  <c r="F39" i="37"/>
  <c r="G39" i="37"/>
  <c r="H39" i="37"/>
  <c r="K39" i="37"/>
  <c r="N39" i="37"/>
  <c r="O39" i="37"/>
  <c r="Q39" i="37"/>
  <c r="T39" i="37"/>
  <c r="U39" i="37"/>
  <c r="W39" i="37"/>
  <c r="AF39" i="37"/>
  <c r="AG39" i="37"/>
  <c r="AI39" i="37"/>
  <c r="C40" i="37"/>
  <c r="E40" i="37"/>
  <c r="X40" i="37"/>
  <c r="Y40" i="37"/>
  <c r="Z40" i="37"/>
  <c r="AA40" i="37"/>
  <c r="AB40" i="37"/>
  <c r="AC40" i="37"/>
  <c r="AE40" i="37"/>
  <c r="AH40" i="37"/>
  <c r="AJ40" i="37"/>
  <c r="E41" i="37"/>
  <c r="E52" i="37" s="1"/>
  <c r="K41" i="37"/>
  <c r="L41" i="37"/>
  <c r="L52" i="37" s="1"/>
  <c r="Q41" i="37"/>
  <c r="R41" i="37"/>
  <c r="W41" i="37"/>
  <c r="X41" i="37"/>
  <c r="X52" i="37" s="1"/>
  <c r="G42" i="37"/>
  <c r="L42" i="37"/>
  <c r="M42" i="37"/>
  <c r="S42" i="37"/>
  <c r="Y42" i="37"/>
  <c r="Z42" i="37" s="1"/>
  <c r="AE42" i="37"/>
  <c r="AJ42" i="37"/>
  <c r="D43" i="37"/>
  <c r="D41" i="37" s="1"/>
  <c r="G43" i="37"/>
  <c r="L43" i="37"/>
  <c r="M43" i="37"/>
  <c r="N43" i="37" s="1"/>
  <c r="O43" i="37" s="1"/>
  <c r="P43" i="37"/>
  <c r="S43" i="37"/>
  <c r="T43" i="37" s="1"/>
  <c r="U43" i="37" s="1"/>
  <c r="V43" i="37" s="1"/>
  <c r="Y43" i="37"/>
  <c r="Z43" i="37" s="1"/>
  <c r="AA43" i="37" s="1"/>
  <c r="AB43" i="37"/>
  <c r="AC43" i="37" s="1"/>
  <c r="AJ43" i="37"/>
  <c r="F44" i="37"/>
  <c r="L44" i="37" s="1"/>
  <c r="M44" i="37" s="1"/>
  <c r="N44" i="37" s="1"/>
  <c r="O44" i="37" s="1"/>
  <c r="P44" i="37" s="1"/>
  <c r="S44" i="37"/>
  <c r="T44" i="37" s="1"/>
  <c r="U44" i="37" s="1"/>
  <c r="V44" i="37"/>
  <c r="Y44" i="37"/>
  <c r="Z44" i="37" s="1"/>
  <c r="AA44" i="37" s="1"/>
  <c r="AB44" i="37" s="1"/>
  <c r="AC44" i="37" s="1"/>
  <c r="G45" i="37"/>
  <c r="H45" i="37"/>
  <c r="M45" i="37"/>
  <c r="N45" i="37" s="1"/>
  <c r="O45" i="37" s="1"/>
  <c r="P45" i="37"/>
  <c r="S45" i="37"/>
  <c r="T45" i="37" s="1"/>
  <c r="U45" i="37" s="1"/>
  <c r="V45" i="37" s="1"/>
  <c r="Y45" i="37"/>
  <c r="Z45" i="37" s="1"/>
  <c r="AA45" i="37" s="1"/>
  <c r="AB45" i="37" s="1"/>
  <c r="AC45" i="37" s="1"/>
  <c r="AE45" i="37"/>
  <c r="AJ45" i="37"/>
  <c r="G46" i="37"/>
  <c r="H46" i="37"/>
  <c r="M46" i="37"/>
  <c r="N46" i="37" s="1"/>
  <c r="O46" i="37"/>
  <c r="P46" i="37" s="1"/>
  <c r="S46" i="37"/>
  <c r="T46" i="37"/>
  <c r="U46" i="37"/>
  <c r="V46" i="37" s="1"/>
  <c r="Y46" i="37"/>
  <c r="Z46" i="37" s="1"/>
  <c r="AA46" i="37" s="1"/>
  <c r="AB46" i="37" s="1"/>
  <c r="AC46" i="37" s="1"/>
  <c r="AE46" i="37"/>
  <c r="AJ46" i="37"/>
  <c r="D47" i="37"/>
  <c r="AJ47" i="37" s="1"/>
  <c r="E47" i="37"/>
  <c r="F47" i="37"/>
  <c r="I33" i="39" s="1"/>
  <c r="I32" i="39" s="1"/>
  <c r="K47" i="37"/>
  <c r="O47" i="37"/>
  <c r="Q47" i="37"/>
  <c r="R47" i="37"/>
  <c r="W47" i="37"/>
  <c r="X47" i="37"/>
  <c r="Y47" i="37"/>
  <c r="G48" i="37"/>
  <c r="H48" i="37" s="1"/>
  <c r="I48" i="37" s="1"/>
  <c r="J48" i="37" s="1"/>
  <c r="L48" i="37"/>
  <c r="L47" i="37" s="1"/>
  <c r="M48" i="37"/>
  <c r="M47" i="37" s="1"/>
  <c r="N48" i="37"/>
  <c r="O48" i="37" s="1"/>
  <c r="P48" i="37"/>
  <c r="S48" i="37"/>
  <c r="S47" i="37" s="1"/>
  <c r="Y48" i="37"/>
  <c r="Z48" i="37"/>
  <c r="AA48" i="37"/>
  <c r="AB48" i="37" s="1"/>
  <c r="AE48" i="37"/>
  <c r="AF48" i="37"/>
  <c r="AJ48" i="37"/>
  <c r="G49" i="37"/>
  <c r="AE49" i="37" s="1"/>
  <c r="L49" i="37"/>
  <c r="M49" i="37" s="1"/>
  <c r="N49" i="37" s="1"/>
  <c r="O49" i="37"/>
  <c r="P49" i="37" s="1"/>
  <c r="S49" i="37"/>
  <c r="T49" i="37" s="1"/>
  <c r="U49" i="37" s="1"/>
  <c r="V49" i="37"/>
  <c r="Y49" i="37"/>
  <c r="Z49" i="37" s="1"/>
  <c r="AA49" i="37" s="1"/>
  <c r="AB49" i="37" s="1"/>
  <c r="AC49" i="37" s="1"/>
  <c r="AJ49" i="37"/>
  <c r="G50" i="37"/>
  <c r="H50" i="37"/>
  <c r="AF50" i="37" s="1"/>
  <c r="M50" i="37"/>
  <c r="N50" i="37"/>
  <c r="O50" i="37" s="1"/>
  <c r="P50" i="37" s="1"/>
  <c r="S50" i="37"/>
  <c r="T50" i="37"/>
  <c r="U50" i="37" s="1"/>
  <c r="V50" i="37" s="1"/>
  <c r="Y50" i="37"/>
  <c r="Z50" i="37"/>
  <c r="AA50" i="37" s="1"/>
  <c r="AB50" i="37" s="1"/>
  <c r="AC50" i="37" s="1"/>
  <c r="AE50" i="37"/>
  <c r="AJ50" i="37"/>
  <c r="G51" i="37"/>
  <c r="H51" i="37" s="1"/>
  <c r="I51" i="37" s="1"/>
  <c r="J51" i="37" s="1"/>
  <c r="AH51" i="37" s="1"/>
  <c r="M51" i="37"/>
  <c r="N51" i="37" s="1"/>
  <c r="O51" i="37" s="1"/>
  <c r="P51" i="37"/>
  <c r="S51" i="37"/>
  <c r="T51" i="37" s="1"/>
  <c r="U51" i="37" s="1"/>
  <c r="V51" i="37" s="1"/>
  <c r="Y51" i="37"/>
  <c r="Z51" i="37" s="1"/>
  <c r="AA51" i="37" s="1"/>
  <c r="AB51" i="37" s="1"/>
  <c r="AC51" i="37" s="1"/>
  <c r="AE51" i="37"/>
  <c r="AF51" i="37"/>
  <c r="AG51" i="37"/>
  <c r="AJ51" i="37"/>
  <c r="K52" i="37"/>
  <c r="R52" i="37"/>
  <c r="R60" i="37" s="1"/>
  <c r="W52" i="37"/>
  <c r="AE53" i="37"/>
  <c r="AF53" i="37"/>
  <c r="AG53" i="37"/>
  <c r="AH53" i="37"/>
  <c r="AI53" i="37"/>
  <c r="AJ53" i="37"/>
  <c r="C54" i="37"/>
  <c r="G54" i="37"/>
  <c r="H54" i="37"/>
  <c r="L54" i="37"/>
  <c r="M54" i="37" s="1"/>
  <c r="N54" i="37" s="1"/>
  <c r="O54" i="37" s="1"/>
  <c r="P54" i="37" s="1"/>
  <c r="Q54" i="37" s="1"/>
  <c r="S54" i="37"/>
  <c r="T54" i="37"/>
  <c r="U54" i="37"/>
  <c r="V54" i="37" s="1"/>
  <c r="W54" i="37" s="1"/>
  <c r="Y54" i="37"/>
  <c r="Z54" i="37"/>
  <c r="AA54" i="37" s="1"/>
  <c r="AB54" i="37" s="1"/>
  <c r="AC54" i="37" s="1"/>
  <c r="AJ54" i="37"/>
  <c r="V55" i="37"/>
  <c r="Y55" i="37"/>
  <c r="Z55" i="37"/>
  <c r="AA55" i="37" s="1"/>
  <c r="AB55" i="37" s="1"/>
  <c r="AE55" i="37"/>
  <c r="AF55" i="37"/>
  <c r="AG55" i="37"/>
  <c r="AH55" i="37"/>
  <c r="AJ55" i="37"/>
  <c r="V56" i="37"/>
  <c r="Y56" i="37"/>
  <c r="Z56" i="37"/>
  <c r="AA56" i="37" s="1"/>
  <c r="AB56" i="37" s="1"/>
  <c r="AE56" i="37"/>
  <c r="AJ56" i="37"/>
  <c r="G58" i="37"/>
  <c r="H58" i="37" s="1"/>
  <c r="I58" i="37" s="1"/>
  <c r="J58" i="37" s="1"/>
  <c r="K58" i="37" s="1"/>
  <c r="D5" i="36"/>
  <c r="E5" i="36"/>
  <c r="AI5" i="36"/>
  <c r="AI40" i="36"/>
  <c r="AJ5" i="36"/>
  <c r="D8" i="36"/>
  <c r="AJ8" i="36" s="1"/>
  <c r="E8" i="36"/>
  <c r="F8" i="36"/>
  <c r="P407" i="55" s="1"/>
  <c r="K8" i="36"/>
  <c r="L8" i="36"/>
  <c r="L32" i="36" s="1"/>
  <c r="L37" i="36" s="1"/>
  <c r="Q8" i="36"/>
  <c r="X8" i="36"/>
  <c r="X32" i="36" s="1"/>
  <c r="X37" i="36" s="1"/>
  <c r="G9" i="36"/>
  <c r="M9" i="36"/>
  <c r="N9" i="36" s="1"/>
  <c r="S9" i="36"/>
  <c r="T9" i="36" s="1"/>
  <c r="Y9" i="36"/>
  <c r="AE9" i="36"/>
  <c r="AJ9" i="36"/>
  <c r="G10" i="36"/>
  <c r="H10" i="36" s="1"/>
  <c r="I10" i="36" s="1"/>
  <c r="M10" i="36"/>
  <c r="N10" i="36"/>
  <c r="O10" i="36" s="1"/>
  <c r="P10" i="36" s="1"/>
  <c r="R10" i="36"/>
  <c r="R8" i="36" s="1"/>
  <c r="R32" i="36" s="1"/>
  <c r="S10" i="36"/>
  <c r="Y10" i="36"/>
  <c r="Z10" i="36"/>
  <c r="AA10" i="36"/>
  <c r="AB10" i="36" s="1"/>
  <c r="AC10" i="36" s="1"/>
  <c r="AE10" i="36"/>
  <c r="AJ10" i="36"/>
  <c r="D11" i="36"/>
  <c r="G11" i="36"/>
  <c r="H11" i="36" s="1"/>
  <c r="M11" i="36"/>
  <c r="N11" i="36"/>
  <c r="O11" i="36"/>
  <c r="P11" i="36" s="1"/>
  <c r="R11" i="36"/>
  <c r="S11" i="36"/>
  <c r="T11" i="36" s="1"/>
  <c r="U11" i="36" s="1"/>
  <c r="V11" i="36" s="1"/>
  <c r="Y11" i="36"/>
  <c r="Z11" i="36"/>
  <c r="AA11" i="36"/>
  <c r="AB11" i="36" s="1"/>
  <c r="AC11" i="36" s="1"/>
  <c r="AE11" i="36"/>
  <c r="AJ11" i="36"/>
  <c r="G12" i="36"/>
  <c r="M12" i="36"/>
  <c r="N12" i="36" s="1"/>
  <c r="O12" i="36" s="1"/>
  <c r="P12" i="36" s="1"/>
  <c r="S12" i="36"/>
  <c r="T12" i="36"/>
  <c r="U12" i="36"/>
  <c r="V12" i="36" s="1"/>
  <c r="Y12" i="36"/>
  <c r="Z12" i="36" s="1"/>
  <c r="AA12" i="36" s="1"/>
  <c r="AB12" i="36" s="1"/>
  <c r="AC12" i="36" s="1"/>
  <c r="AJ12" i="36"/>
  <c r="G13" i="36"/>
  <c r="H13" i="36"/>
  <c r="I13" i="36" s="1"/>
  <c r="J13" i="36" s="1"/>
  <c r="AH13" i="36" s="1"/>
  <c r="M13" i="36"/>
  <c r="M8" i="36" s="1"/>
  <c r="N13" i="36"/>
  <c r="O13" i="36" s="1"/>
  <c r="P13" i="36" s="1"/>
  <c r="R13" i="36"/>
  <c r="S13" i="36"/>
  <c r="T13" i="36" s="1"/>
  <c r="U13" i="36" s="1"/>
  <c r="V13" i="36" s="1"/>
  <c r="Y13" i="36"/>
  <c r="Z13" i="36" s="1"/>
  <c r="AA13" i="36" s="1"/>
  <c r="AB13" i="36" s="1"/>
  <c r="AC13" i="36" s="1"/>
  <c r="AE13" i="36"/>
  <c r="AI13" i="36"/>
  <c r="AJ13" i="36"/>
  <c r="G14" i="36"/>
  <c r="H14" i="36" s="1"/>
  <c r="M14" i="36"/>
  <c r="N14" i="36" s="1"/>
  <c r="O14" i="36" s="1"/>
  <c r="P14" i="36" s="1"/>
  <c r="R14" i="36"/>
  <c r="S14" i="36" s="1"/>
  <c r="T14" i="36" s="1"/>
  <c r="U14" i="36" s="1"/>
  <c r="V14" i="36" s="1"/>
  <c r="Y14" i="36"/>
  <c r="Z14" i="36" s="1"/>
  <c r="AA14" i="36" s="1"/>
  <c r="AB14" i="36" s="1"/>
  <c r="AC14" i="36" s="1"/>
  <c r="AJ14" i="36"/>
  <c r="G15" i="36"/>
  <c r="M15" i="36"/>
  <c r="N15" i="36"/>
  <c r="O15" i="36" s="1"/>
  <c r="P15" i="36" s="1"/>
  <c r="R15" i="36"/>
  <c r="S15" i="36" s="1"/>
  <c r="T15" i="36" s="1"/>
  <c r="U15" i="36" s="1"/>
  <c r="V15" i="36" s="1"/>
  <c r="Y15" i="36"/>
  <c r="Z15" i="36"/>
  <c r="AA15" i="36" s="1"/>
  <c r="AB15" i="36" s="1"/>
  <c r="AC15" i="36" s="1"/>
  <c r="AJ15" i="36"/>
  <c r="G16" i="36"/>
  <c r="H16" i="36" s="1"/>
  <c r="I16" i="36" s="1"/>
  <c r="AI16" i="36" s="1"/>
  <c r="J16" i="36"/>
  <c r="AH16" i="36" s="1"/>
  <c r="M16" i="36"/>
  <c r="N16" i="36" s="1"/>
  <c r="O16" i="36" s="1"/>
  <c r="P16" i="36" s="1"/>
  <c r="R16" i="36"/>
  <c r="S16" i="36" s="1"/>
  <c r="T16" i="36"/>
  <c r="U16" i="36" s="1"/>
  <c r="V16" i="36" s="1"/>
  <c r="Y16" i="36"/>
  <c r="Z16" i="36" s="1"/>
  <c r="AA16" i="36" s="1"/>
  <c r="AB16" i="36" s="1"/>
  <c r="AC16" i="36" s="1"/>
  <c r="AE16" i="36"/>
  <c r="AF16" i="36"/>
  <c r="AG16" i="36"/>
  <c r="AJ16" i="36"/>
  <c r="G17" i="36"/>
  <c r="H17" i="36"/>
  <c r="I17" i="36" s="1"/>
  <c r="M17" i="36"/>
  <c r="N17" i="36" s="1"/>
  <c r="O17" i="36" s="1"/>
  <c r="P17" i="36" s="1"/>
  <c r="S17" i="36"/>
  <c r="T17" i="36"/>
  <c r="U17" i="36" s="1"/>
  <c r="V17" i="36" s="1"/>
  <c r="Y17" i="36"/>
  <c r="Z17" i="36" s="1"/>
  <c r="AA17" i="36" s="1"/>
  <c r="AB17" i="36" s="1"/>
  <c r="AC17" i="36" s="1"/>
  <c r="AE17" i="36"/>
  <c r="AJ17" i="36"/>
  <c r="G18" i="36"/>
  <c r="H18" i="36" s="1"/>
  <c r="M18" i="36"/>
  <c r="N18" i="36" s="1"/>
  <c r="S18" i="36"/>
  <c r="T18" i="36"/>
  <c r="U18" i="36" s="1"/>
  <c r="V18" i="36" s="1"/>
  <c r="AE18" i="36"/>
  <c r="AJ18" i="36"/>
  <c r="G19" i="36"/>
  <c r="H19" i="36"/>
  <c r="M19" i="36"/>
  <c r="N19" i="36" s="1"/>
  <c r="O19" i="36" s="1"/>
  <c r="P19" i="36" s="1"/>
  <c r="S19" i="36"/>
  <c r="T19" i="36" s="1"/>
  <c r="U19" i="36" s="1"/>
  <c r="V19" i="36" s="1"/>
  <c r="Y19" i="36"/>
  <c r="Z19" i="36" s="1"/>
  <c r="AA19" i="36" s="1"/>
  <c r="AB19" i="36" s="1"/>
  <c r="AC19" i="36" s="1"/>
  <c r="AE19" i="36"/>
  <c r="AJ19" i="36"/>
  <c r="D20" i="36"/>
  <c r="E20" i="36"/>
  <c r="F20" i="36"/>
  <c r="P408" i="55" s="1"/>
  <c r="Q408" i="55" s="1"/>
  <c r="K20" i="36"/>
  <c r="L20" i="36"/>
  <c r="Q20" i="36"/>
  <c r="Q32" i="36" s="1"/>
  <c r="Q37" i="36" s="1"/>
  <c r="Q60" i="36" s="1"/>
  <c r="R20" i="36"/>
  <c r="W20" i="36"/>
  <c r="X20" i="36"/>
  <c r="Y20" i="36"/>
  <c r="AJ20" i="36"/>
  <c r="G21" i="36"/>
  <c r="H21" i="36" s="1"/>
  <c r="M21" i="36"/>
  <c r="N21" i="36"/>
  <c r="O21" i="36" s="1"/>
  <c r="S21" i="36"/>
  <c r="Y21" i="36"/>
  <c r="Z21" i="36"/>
  <c r="AA21" i="36" s="1"/>
  <c r="AE21" i="36"/>
  <c r="AJ21" i="36"/>
  <c r="G22" i="36"/>
  <c r="M22" i="36"/>
  <c r="M20" i="36" s="1"/>
  <c r="S22" i="36"/>
  <c r="T22" i="36" s="1"/>
  <c r="U22" i="36" s="1"/>
  <c r="V22" i="36" s="1"/>
  <c r="Y22" i="36"/>
  <c r="Z22" i="36" s="1"/>
  <c r="AA22" i="36" s="1"/>
  <c r="AB22" i="36" s="1"/>
  <c r="AC22" i="36" s="1"/>
  <c r="AJ22" i="36"/>
  <c r="D23" i="36"/>
  <c r="E23" i="36"/>
  <c r="F23" i="36"/>
  <c r="G23" i="36"/>
  <c r="L23" i="36"/>
  <c r="Q23" i="36"/>
  <c r="R23" i="36"/>
  <c r="X23" i="36"/>
  <c r="G24" i="36"/>
  <c r="H24" i="36"/>
  <c r="H23" i="36" s="1"/>
  <c r="AF23" i="36" s="1"/>
  <c r="K24" i="36"/>
  <c r="M24" i="36"/>
  <c r="N24" i="36" s="1"/>
  <c r="O24" i="36" s="1"/>
  <c r="S24" i="36"/>
  <c r="S23" i="36" s="1"/>
  <c r="Y24" i="36"/>
  <c r="AE24" i="36"/>
  <c r="AJ24" i="36"/>
  <c r="G25" i="36"/>
  <c r="H25" i="36"/>
  <c r="I25" i="36" s="1"/>
  <c r="J25" i="36"/>
  <c r="M25" i="36"/>
  <c r="M23" i="36" s="1"/>
  <c r="R25" i="36"/>
  <c r="S25" i="36"/>
  <c r="T25" i="36" s="1"/>
  <c r="U25" i="36" s="1"/>
  <c r="V25" i="36" s="1"/>
  <c r="Y25" i="36"/>
  <c r="Z25" i="36" s="1"/>
  <c r="AA25" i="36" s="1"/>
  <c r="AB25" i="36" s="1"/>
  <c r="AC25" i="36" s="1"/>
  <c r="AE25" i="36"/>
  <c r="AF25" i="36"/>
  <c r="AG25" i="36"/>
  <c r="AH25" i="36"/>
  <c r="AI25" i="36"/>
  <c r="AJ25" i="36"/>
  <c r="G26" i="36"/>
  <c r="H26" i="36"/>
  <c r="I26" i="36" s="1"/>
  <c r="M26" i="36"/>
  <c r="N26" i="36" s="1"/>
  <c r="O26" i="36" s="1"/>
  <c r="P26" i="36" s="1"/>
  <c r="S26" i="36"/>
  <c r="T26" i="36"/>
  <c r="U26" i="36" s="1"/>
  <c r="V26" i="36" s="1"/>
  <c r="Y26" i="36"/>
  <c r="Z26" i="36"/>
  <c r="AA26" i="36" s="1"/>
  <c r="AB26" i="36" s="1"/>
  <c r="AC26" i="36" s="1"/>
  <c r="AE26" i="36"/>
  <c r="AJ26" i="36"/>
  <c r="G27" i="36"/>
  <c r="H27" i="36" s="1"/>
  <c r="M27" i="36"/>
  <c r="N27" i="36" s="1"/>
  <c r="O27" i="36" s="1"/>
  <c r="P27" i="36" s="1"/>
  <c r="T27" i="36"/>
  <c r="U27" i="36" s="1"/>
  <c r="V27" i="36" s="1"/>
  <c r="Y27" i="36"/>
  <c r="Z27" i="36" s="1"/>
  <c r="AA27" i="36"/>
  <c r="AB27" i="36"/>
  <c r="AC27" i="36" s="1"/>
  <c r="AJ27" i="36"/>
  <c r="G28" i="36"/>
  <c r="H28" i="36" s="1"/>
  <c r="M28" i="36"/>
  <c r="N28" i="36"/>
  <c r="O28" i="36" s="1"/>
  <c r="P28" i="36" s="1"/>
  <c r="R28" i="36" s="1"/>
  <c r="S28" i="36" s="1"/>
  <c r="T28" i="36" s="1"/>
  <c r="Y28" i="36"/>
  <c r="Z28" i="36" s="1"/>
  <c r="AA28" i="36" s="1"/>
  <c r="AB28" i="36" s="1"/>
  <c r="AC28" i="36" s="1"/>
  <c r="AE28" i="36"/>
  <c r="AJ28" i="36"/>
  <c r="G29" i="36"/>
  <c r="H29" i="36" s="1"/>
  <c r="M29" i="36"/>
  <c r="N29" i="36" s="1"/>
  <c r="O29" i="36" s="1"/>
  <c r="P29" i="36" s="1"/>
  <c r="S29" i="36"/>
  <c r="T29" i="36" s="1"/>
  <c r="U29" i="36" s="1"/>
  <c r="V29" i="36"/>
  <c r="Y29" i="36"/>
  <c r="Z29" i="36" s="1"/>
  <c r="AA29" i="36" s="1"/>
  <c r="AB29" i="36" s="1"/>
  <c r="AC29" i="36" s="1"/>
  <c r="AJ29" i="36"/>
  <c r="G30" i="36"/>
  <c r="H30" i="36" s="1"/>
  <c r="M30" i="36"/>
  <c r="N30" i="36"/>
  <c r="O30" i="36"/>
  <c r="P30" i="36" s="1"/>
  <c r="S30" i="36"/>
  <c r="T30" i="36" s="1"/>
  <c r="U30" i="36" s="1"/>
  <c r="V30" i="36" s="1"/>
  <c r="Y30" i="36"/>
  <c r="Z30" i="36"/>
  <c r="AA30" i="36" s="1"/>
  <c r="AB30" i="36" s="1"/>
  <c r="AC30" i="36" s="1"/>
  <c r="AE30" i="36"/>
  <c r="AJ30" i="36"/>
  <c r="G31" i="36"/>
  <c r="M31" i="36"/>
  <c r="N31" i="36" s="1"/>
  <c r="O31" i="36" s="1"/>
  <c r="P31" i="36"/>
  <c r="S31" i="36"/>
  <c r="T31" i="36" s="1"/>
  <c r="U31" i="36" s="1"/>
  <c r="V31" i="36" s="1"/>
  <c r="Y31" i="36"/>
  <c r="Z31" i="36" s="1"/>
  <c r="AA31" i="36" s="1"/>
  <c r="AB31" i="36" s="1"/>
  <c r="AC31" i="36" s="1"/>
  <c r="AJ31" i="36"/>
  <c r="E32" i="36"/>
  <c r="E37" i="36" s="1"/>
  <c r="F32" i="36"/>
  <c r="E33" i="36"/>
  <c r="K33" i="36"/>
  <c r="L33" i="36"/>
  <c r="Q33" i="36"/>
  <c r="W33" i="36"/>
  <c r="X33" i="36"/>
  <c r="G34" i="36"/>
  <c r="H34" i="36" s="1"/>
  <c r="M34" i="36"/>
  <c r="M33" i="36" s="1"/>
  <c r="S34" i="36"/>
  <c r="T34" i="36" s="1"/>
  <c r="Y34" i="36"/>
  <c r="Z34" i="36" s="1"/>
  <c r="AA34" i="36"/>
  <c r="AB34" i="36"/>
  <c r="AJ34" i="36"/>
  <c r="G35" i="36"/>
  <c r="G33" i="36" s="1"/>
  <c r="M35" i="36"/>
  <c r="N35" i="36" s="1"/>
  <c r="O35" i="36" s="1"/>
  <c r="P35" i="36" s="1"/>
  <c r="S35" i="36"/>
  <c r="T35" i="36" s="1"/>
  <c r="U35" i="36" s="1"/>
  <c r="V35" i="36" s="1"/>
  <c r="Y35" i="36"/>
  <c r="Y33" i="36" s="1"/>
  <c r="AJ35" i="36"/>
  <c r="D36" i="36"/>
  <c r="D33" i="36" s="1"/>
  <c r="F36" i="36"/>
  <c r="G36" i="36" s="1"/>
  <c r="M36" i="36"/>
  <c r="N36" i="36" s="1"/>
  <c r="O36" i="36" s="1"/>
  <c r="P36" i="36" s="1"/>
  <c r="Y36" i="36"/>
  <c r="Z36" i="36" s="1"/>
  <c r="AA36" i="36" s="1"/>
  <c r="AB36" i="36" s="1"/>
  <c r="AC36" i="36" s="1"/>
  <c r="AH38" i="36"/>
  <c r="E39" i="36"/>
  <c r="F39" i="36"/>
  <c r="G39" i="36"/>
  <c r="H39" i="36"/>
  <c r="N39" i="36"/>
  <c r="T39" i="36"/>
  <c r="AF39" i="36"/>
  <c r="AG39" i="36"/>
  <c r="AI39" i="36"/>
  <c r="C40" i="36"/>
  <c r="D40" i="36"/>
  <c r="E40" i="36"/>
  <c r="X40" i="36"/>
  <c r="Y40" i="36"/>
  <c r="Z40" i="36"/>
  <c r="AA40" i="36"/>
  <c r="AB40" i="36"/>
  <c r="AC40" i="36"/>
  <c r="AE40" i="36"/>
  <c r="AH40" i="36"/>
  <c r="AJ40" i="36"/>
  <c r="E41" i="36"/>
  <c r="F41" i="36"/>
  <c r="K41" i="36"/>
  <c r="K52" i="36" s="1"/>
  <c r="L41" i="36"/>
  <c r="Q41" i="36"/>
  <c r="R41" i="36"/>
  <c r="X41" i="36"/>
  <c r="G42" i="36"/>
  <c r="H42" i="36" s="1"/>
  <c r="M42" i="36"/>
  <c r="M41" i="36" s="1"/>
  <c r="M52" i="36" s="1"/>
  <c r="R42" i="36"/>
  <c r="S42" i="36" s="1"/>
  <c r="S41" i="36" s="1"/>
  <c r="Y42" i="36"/>
  <c r="Z42" i="36" s="1"/>
  <c r="AF42" i="36"/>
  <c r="AJ42" i="36"/>
  <c r="D43" i="36"/>
  <c r="G43" i="36"/>
  <c r="G41" i="36" s="1"/>
  <c r="M43" i="36"/>
  <c r="N43" i="36"/>
  <c r="O43" i="36" s="1"/>
  <c r="P43" i="36" s="1"/>
  <c r="R43" i="36"/>
  <c r="S43" i="36"/>
  <c r="T43" i="36" s="1"/>
  <c r="U43" i="36" s="1"/>
  <c r="V43" i="36" s="1"/>
  <c r="Y43" i="36"/>
  <c r="Z43" i="36"/>
  <c r="AA43" i="36" s="1"/>
  <c r="AB43" i="36" s="1"/>
  <c r="AC43" i="36" s="1"/>
  <c r="AE43" i="36"/>
  <c r="AJ43" i="36"/>
  <c r="G44" i="36"/>
  <c r="H44" i="36" s="1"/>
  <c r="M44" i="36"/>
  <c r="N44" i="36"/>
  <c r="O44" i="36" s="1"/>
  <c r="P44" i="36" s="1"/>
  <c r="R44" i="36"/>
  <c r="S44" i="36"/>
  <c r="T44" i="36" s="1"/>
  <c r="U44" i="36" s="1"/>
  <c r="V44" i="36" s="1"/>
  <c r="Y44" i="36"/>
  <c r="Z44" i="36" s="1"/>
  <c r="AA44" i="36" s="1"/>
  <c r="AB44" i="36" s="1"/>
  <c r="AC44" i="36" s="1"/>
  <c r="AE44" i="36"/>
  <c r="AJ44" i="36"/>
  <c r="D45" i="36"/>
  <c r="G45" i="36"/>
  <c r="H45" i="36"/>
  <c r="I45" i="36" s="1"/>
  <c r="M45" i="36"/>
  <c r="N45" i="36"/>
  <c r="O45" i="36" s="1"/>
  <c r="P45" i="36" s="1"/>
  <c r="S45" i="36"/>
  <c r="T45" i="36"/>
  <c r="U45" i="36" s="1"/>
  <c r="V45" i="36" s="1"/>
  <c r="Y45" i="36"/>
  <c r="Z45" i="36"/>
  <c r="AA45" i="36" s="1"/>
  <c r="AB45" i="36" s="1"/>
  <c r="AC45" i="36" s="1"/>
  <c r="AE45" i="36"/>
  <c r="AJ45" i="36"/>
  <c r="D46" i="36"/>
  <c r="D41" i="36" s="1"/>
  <c r="G46" i="36"/>
  <c r="H46" i="36" s="1"/>
  <c r="M46" i="36"/>
  <c r="N46" i="36"/>
  <c r="O46" i="36" s="1"/>
  <c r="P46" i="36" s="1"/>
  <c r="S46" i="36"/>
  <c r="T46" i="36" s="1"/>
  <c r="U46" i="36" s="1"/>
  <c r="V46" i="36" s="1"/>
  <c r="Y46" i="36"/>
  <c r="Z46" i="36"/>
  <c r="AA46" i="36"/>
  <c r="AB46" i="36" s="1"/>
  <c r="AC46" i="36" s="1"/>
  <c r="AE46" i="36"/>
  <c r="AJ46" i="36"/>
  <c r="D47" i="36"/>
  <c r="E47" i="36"/>
  <c r="K47" i="36"/>
  <c r="L47" i="36"/>
  <c r="Q47" i="36"/>
  <c r="W47" i="36"/>
  <c r="X47" i="36"/>
  <c r="F48" i="36"/>
  <c r="P419" i="55" s="1"/>
  <c r="M48" i="36"/>
  <c r="M47" i="36" s="1"/>
  <c r="Y48" i="36"/>
  <c r="Z48" i="36"/>
  <c r="AA48" i="36" s="1"/>
  <c r="AB48" i="36" s="1"/>
  <c r="AB47" i="36" s="1"/>
  <c r="AC48" i="36"/>
  <c r="AJ48" i="36"/>
  <c r="G49" i="36"/>
  <c r="H49" i="36"/>
  <c r="M49" i="36"/>
  <c r="N49" i="36"/>
  <c r="O49" i="36"/>
  <c r="P49" i="36" s="1"/>
  <c r="R49" i="36"/>
  <c r="S49" i="36"/>
  <c r="T49" i="36"/>
  <c r="U49" i="36" s="1"/>
  <c r="V49" i="36" s="1"/>
  <c r="Y49" i="36"/>
  <c r="Z49" i="36"/>
  <c r="AA49" i="36" s="1"/>
  <c r="AB49" i="36" s="1"/>
  <c r="AC49" i="36" s="1"/>
  <c r="AE49" i="36"/>
  <c r="AJ49" i="36"/>
  <c r="G50" i="36"/>
  <c r="H50" i="36" s="1"/>
  <c r="I50" i="36"/>
  <c r="J50" i="36"/>
  <c r="AH50" i="36" s="1"/>
  <c r="M50" i="36"/>
  <c r="N50" i="36" s="1"/>
  <c r="O50" i="36" s="1"/>
  <c r="P50" i="36" s="1"/>
  <c r="S50" i="36"/>
  <c r="T50" i="36" s="1"/>
  <c r="U50" i="36" s="1"/>
  <c r="V50" i="36" s="1"/>
  <c r="Y50" i="36"/>
  <c r="Z50" i="36" s="1"/>
  <c r="AA50" i="36" s="1"/>
  <c r="AB50" i="36" s="1"/>
  <c r="AC50" i="36" s="1"/>
  <c r="AF50" i="36"/>
  <c r="AG50" i="36"/>
  <c r="AJ50" i="36"/>
  <c r="G51" i="36"/>
  <c r="H51" i="36"/>
  <c r="I51" i="36" s="1"/>
  <c r="M51" i="36"/>
  <c r="N51" i="36" s="1"/>
  <c r="O51" i="36" s="1"/>
  <c r="P51" i="36" s="1"/>
  <c r="S51" i="36"/>
  <c r="T51" i="36"/>
  <c r="U51" i="36" s="1"/>
  <c r="V51" i="36" s="1"/>
  <c r="Y51" i="36"/>
  <c r="Z51" i="36"/>
  <c r="AA51" i="36" s="1"/>
  <c r="AB51" i="36" s="1"/>
  <c r="AC51" i="36" s="1"/>
  <c r="AE51" i="36"/>
  <c r="AJ51" i="36"/>
  <c r="E52" i="36"/>
  <c r="L52" i="36"/>
  <c r="Q52" i="36"/>
  <c r="X52" i="36"/>
  <c r="AE53" i="36"/>
  <c r="AF53" i="36"/>
  <c r="AG53" i="36"/>
  <c r="AH53" i="36"/>
  <c r="AI53" i="36"/>
  <c r="AJ53" i="36"/>
  <c r="C54" i="36"/>
  <c r="G54" i="36"/>
  <c r="M54" i="36"/>
  <c r="N54" i="36" s="1"/>
  <c r="O54" i="36" s="1"/>
  <c r="P54" i="36" s="1"/>
  <c r="Q54" i="36" s="1"/>
  <c r="R54" i="36"/>
  <c r="S54" i="36" s="1"/>
  <c r="T54" i="36" s="1"/>
  <c r="U54" i="36" s="1"/>
  <c r="V54" i="36" s="1"/>
  <c r="W54" i="36" s="1"/>
  <c r="Y54" i="36"/>
  <c r="Z54" i="36" s="1"/>
  <c r="AA54" i="36"/>
  <c r="AB54" i="36" s="1"/>
  <c r="AC54" i="36" s="1"/>
  <c r="AJ54" i="36"/>
  <c r="V55" i="36"/>
  <c r="Y55" i="36"/>
  <c r="Z55" i="36" s="1"/>
  <c r="AA55" i="36"/>
  <c r="AB55" i="36" s="1"/>
  <c r="AE55" i="36"/>
  <c r="AF55" i="36"/>
  <c r="AG55" i="36"/>
  <c r="AH55" i="36"/>
  <c r="AJ55" i="36"/>
  <c r="V56" i="36"/>
  <c r="Y56" i="36"/>
  <c r="Z56" i="36" s="1"/>
  <c r="AA56" i="36" s="1"/>
  <c r="AB56" i="36" s="1"/>
  <c r="AE56" i="36"/>
  <c r="AJ56" i="36"/>
  <c r="G58" i="36"/>
  <c r="H58" i="36" s="1"/>
  <c r="I58" i="36" s="1"/>
  <c r="J58" i="36" s="1"/>
  <c r="K58" i="36" s="1"/>
  <c r="F64" i="36"/>
  <c r="F65" i="36"/>
  <c r="M65" i="36" s="1"/>
  <c r="N66" i="36"/>
  <c r="O66" i="36"/>
  <c r="P66" i="36"/>
  <c r="Q66" i="36"/>
  <c r="R66" i="36"/>
  <c r="D5" i="35"/>
  <c r="E5" i="35"/>
  <c r="AI5" i="35"/>
  <c r="AJ5" i="35"/>
  <c r="D8" i="35"/>
  <c r="E8" i="35"/>
  <c r="F8" i="35"/>
  <c r="P351" i="55" s="1"/>
  <c r="K8" i="35"/>
  <c r="L8" i="35"/>
  <c r="L32" i="35" s="1"/>
  <c r="Q8" i="35"/>
  <c r="G9" i="35"/>
  <c r="H9" i="35"/>
  <c r="I9" i="35" s="1"/>
  <c r="M9" i="35"/>
  <c r="M8" i="35" s="1"/>
  <c r="N9" i="35"/>
  <c r="S9" i="35"/>
  <c r="T9" i="35"/>
  <c r="Y9" i="35"/>
  <c r="Z9" i="35"/>
  <c r="AA9" i="35" s="1"/>
  <c r="AB9" i="35" s="1"/>
  <c r="AC9" i="35" s="1"/>
  <c r="AE9" i="35"/>
  <c r="AJ9" i="35"/>
  <c r="G10" i="35"/>
  <c r="H10" i="35" s="1"/>
  <c r="M10" i="35"/>
  <c r="N10" i="35" s="1"/>
  <c r="O10" i="35" s="1"/>
  <c r="P10" i="35" s="1"/>
  <c r="S10" i="35"/>
  <c r="T10" i="35" s="1"/>
  <c r="U10" i="35" s="1"/>
  <c r="V10" i="35" s="1"/>
  <c r="Y10" i="35"/>
  <c r="Z10" i="35" s="1"/>
  <c r="AA10" i="35"/>
  <c r="AB10" i="35"/>
  <c r="AC10" i="35" s="1"/>
  <c r="AJ10" i="35"/>
  <c r="G11" i="35"/>
  <c r="H11" i="35" s="1"/>
  <c r="M11" i="35"/>
  <c r="N11" i="35"/>
  <c r="O11" i="35" s="1"/>
  <c r="P11" i="35" s="1"/>
  <c r="S11" i="35"/>
  <c r="T11" i="35"/>
  <c r="U11" i="35" s="1"/>
  <c r="V11" i="35" s="1"/>
  <c r="Y11" i="35"/>
  <c r="Z11" i="35"/>
  <c r="AA11" i="35" s="1"/>
  <c r="AB11" i="35" s="1"/>
  <c r="AC11" i="35" s="1"/>
  <c r="AJ11" i="35"/>
  <c r="G12" i="35"/>
  <c r="H12" i="35" s="1"/>
  <c r="I12" i="35" s="1"/>
  <c r="M12" i="35"/>
  <c r="N12" i="35" s="1"/>
  <c r="O12" i="35" s="1"/>
  <c r="P12" i="35" s="1"/>
  <c r="S12" i="35"/>
  <c r="T12" i="35" s="1"/>
  <c r="U12" i="35" s="1"/>
  <c r="V12" i="35" s="1"/>
  <c r="Y12" i="35"/>
  <c r="Z12" i="35" s="1"/>
  <c r="AA12" i="35" s="1"/>
  <c r="AB12" i="35" s="1"/>
  <c r="AC12" i="35" s="1"/>
  <c r="AF12" i="35"/>
  <c r="AJ12" i="35"/>
  <c r="G13" i="35"/>
  <c r="H13" i="35"/>
  <c r="I13" i="35" s="1"/>
  <c r="J13" i="35" s="1"/>
  <c r="AH13" i="35" s="1"/>
  <c r="M13" i="35"/>
  <c r="N13" i="35"/>
  <c r="O13" i="35" s="1"/>
  <c r="P13" i="35" s="1"/>
  <c r="S13" i="35"/>
  <c r="T13" i="35" s="1"/>
  <c r="U13" i="35" s="1"/>
  <c r="V13" i="35" s="1"/>
  <c r="Y13" i="35"/>
  <c r="Z13" i="35" s="1"/>
  <c r="AA13" i="35"/>
  <c r="AB13" i="35"/>
  <c r="AC13" i="35" s="1"/>
  <c r="AE13" i="35"/>
  <c r="AG13" i="35"/>
  <c r="AJ13" i="35"/>
  <c r="G14" i="35"/>
  <c r="M14" i="35"/>
  <c r="N14" i="35" s="1"/>
  <c r="O14" i="35" s="1"/>
  <c r="P14" i="35" s="1"/>
  <c r="S14" i="35"/>
  <c r="T14" i="35" s="1"/>
  <c r="U14" i="35" s="1"/>
  <c r="V14" i="35" s="1"/>
  <c r="Y14" i="35"/>
  <c r="Z14" i="35" s="1"/>
  <c r="AA14" i="35" s="1"/>
  <c r="AB14" i="35"/>
  <c r="AC14" i="35" s="1"/>
  <c r="AJ14" i="35"/>
  <c r="G15" i="35"/>
  <c r="H15" i="35"/>
  <c r="I15" i="35" s="1"/>
  <c r="J15" i="35" s="1"/>
  <c r="AH15" i="35" s="1"/>
  <c r="M15" i="35"/>
  <c r="N15" i="35" s="1"/>
  <c r="O15" i="35" s="1"/>
  <c r="P15" i="35" s="1"/>
  <c r="S15" i="35"/>
  <c r="T15" i="35"/>
  <c r="U15" i="35" s="1"/>
  <c r="V15" i="35" s="1"/>
  <c r="Y15" i="35"/>
  <c r="Z15" i="35" s="1"/>
  <c r="AA15" i="35" s="1"/>
  <c r="AB15" i="35" s="1"/>
  <c r="AC15" i="35" s="1"/>
  <c r="AE15" i="35"/>
  <c r="AF15" i="35"/>
  <c r="AJ15" i="35"/>
  <c r="G16" i="35"/>
  <c r="H16" i="35" s="1"/>
  <c r="M16" i="35"/>
  <c r="N16" i="35" s="1"/>
  <c r="O16" i="35" s="1"/>
  <c r="P16" i="35" s="1"/>
  <c r="R16" i="35"/>
  <c r="R8" i="35" s="1"/>
  <c r="Y16" i="35"/>
  <c r="Z16" i="35" s="1"/>
  <c r="AA16" i="35" s="1"/>
  <c r="AB16" i="35" s="1"/>
  <c r="AC16" i="35" s="1"/>
  <c r="AE16" i="35"/>
  <c r="AJ16" i="35"/>
  <c r="G17" i="35"/>
  <c r="H17" i="35" s="1"/>
  <c r="M17" i="35"/>
  <c r="N17" i="35"/>
  <c r="O17" i="35" s="1"/>
  <c r="P17" i="35" s="1"/>
  <c r="S17" i="35"/>
  <c r="T17" i="35"/>
  <c r="U17" i="35" s="1"/>
  <c r="V17" i="35" s="1"/>
  <c r="Y17" i="35"/>
  <c r="Z17" i="35"/>
  <c r="AA17" i="35" s="1"/>
  <c r="AB17" i="35" s="1"/>
  <c r="AC17" i="35" s="1"/>
  <c r="AJ17" i="35"/>
  <c r="G18" i="35"/>
  <c r="AE18" i="35" s="1"/>
  <c r="J18" i="35"/>
  <c r="AH18" i="35" s="1"/>
  <c r="N18" i="35"/>
  <c r="S18" i="35"/>
  <c r="T18" i="35" s="1"/>
  <c r="AJ18" i="35"/>
  <c r="G19" i="35"/>
  <c r="H19" i="35" s="1"/>
  <c r="M19" i="35"/>
  <c r="N19" i="35" s="1"/>
  <c r="O19" i="35" s="1"/>
  <c r="P19" i="35" s="1"/>
  <c r="S19" i="35"/>
  <c r="T19" i="35" s="1"/>
  <c r="U19" i="35" s="1"/>
  <c r="V19" i="35" s="1"/>
  <c r="Y19" i="35"/>
  <c r="Z19" i="35"/>
  <c r="AA19" i="35" s="1"/>
  <c r="AB19" i="35" s="1"/>
  <c r="AC19" i="35"/>
  <c r="AE19" i="35"/>
  <c r="AJ19" i="35"/>
  <c r="D20" i="35"/>
  <c r="E20" i="35"/>
  <c r="F20" i="35"/>
  <c r="K20" i="35"/>
  <c r="L20" i="35"/>
  <c r="Q20" i="35"/>
  <c r="R20" i="35"/>
  <c r="W20" i="35"/>
  <c r="X20" i="35"/>
  <c r="AE20" i="35"/>
  <c r="G21" i="35"/>
  <c r="G20" i="35" s="1"/>
  <c r="M21" i="35"/>
  <c r="S21" i="35"/>
  <c r="Y21" i="35"/>
  <c r="Y20" i="35" s="1"/>
  <c r="Z21" i="35"/>
  <c r="AJ21" i="35"/>
  <c r="G22" i="35"/>
  <c r="H22" i="35" s="1"/>
  <c r="I22" i="35"/>
  <c r="M22" i="35"/>
  <c r="N22" i="35"/>
  <c r="O22" i="35" s="1"/>
  <c r="P22" i="35" s="1"/>
  <c r="S22" i="35"/>
  <c r="T22" i="35" s="1"/>
  <c r="U22" i="35"/>
  <c r="V22" i="35" s="1"/>
  <c r="Y22" i="35"/>
  <c r="Z22" i="35"/>
  <c r="AA22" i="35"/>
  <c r="AB22" i="35"/>
  <c r="AC22" i="35" s="1"/>
  <c r="AE22" i="35"/>
  <c r="AF22" i="35"/>
  <c r="AJ22" i="35"/>
  <c r="D23" i="35"/>
  <c r="AJ23" i="35" s="1"/>
  <c r="E23" i="35"/>
  <c r="E32" i="35" s="1"/>
  <c r="F23" i="35"/>
  <c r="P348" i="55" s="1"/>
  <c r="Q348" i="55" s="1"/>
  <c r="K23" i="35"/>
  <c r="L23" i="35"/>
  <c r="Q23" i="35"/>
  <c r="X23" i="35"/>
  <c r="Y23" i="35"/>
  <c r="AE23" i="35"/>
  <c r="G24" i="35"/>
  <c r="G23" i="35" s="1"/>
  <c r="H24" i="35"/>
  <c r="AF24" i="35" s="1"/>
  <c r="K24" i="35"/>
  <c r="W24" i="35" s="1"/>
  <c r="W23" i="35" s="1"/>
  <c r="M24" i="35"/>
  <c r="N24" i="35"/>
  <c r="S24" i="35"/>
  <c r="S23" i="35" s="1"/>
  <c r="Y24" i="35"/>
  <c r="Z24" i="35"/>
  <c r="AE24" i="35"/>
  <c r="AJ24" i="35"/>
  <c r="G25" i="35"/>
  <c r="H25" i="35" s="1"/>
  <c r="I25" i="35"/>
  <c r="AG25" i="35" s="1"/>
  <c r="J25" i="35"/>
  <c r="AH25" i="35" s="1"/>
  <c r="M25" i="35"/>
  <c r="N25" i="35" s="1"/>
  <c r="O25" i="35" s="1"/>
  <c r="P25" i="35" s="1"/>
  <c r="S25" i="35"/>
  <c r="T25" i="35" s="1"/>
  <c r="U25" i="35"/>
  <c r="V25" i="35" s="1"/>
  <c r="Y25" i="35"/>
  <c r="Z25" i="35" s="1"/>
  <c r="AA25" i="35" s="1"/>
  <c r="AB25" i="35"/>
  <c r="AC25" i="35" s="1"/>
  <c r="AE25" i="35"/>
  <c r="AF25" i="35"/>
  <c r="AJ25" i="35"/>
  <c r="G26" i="35"/>
  <c r="H26" i="35"/>
  <c r="M26" i="35"/>
  <c r="N26" i="35" s="1"/>
  <c r="O26" i="35" s="1"/>
  <c r="P26" i="35" s="1"/>
  <c r="S26" i="35"/>
  <c r="T26" i="35"/>
  <c r="U26" i="35" s="1"/>
  <c r="V26" i="35" s="1"/>
  <c r="Y26" i="35"/>
  <c r="Z26" i="35" s="1"/>
  <c r="AA26" i="35" s="1"/>
  <c r="AB26" i="35" s="1"/>
  <c r="AC26" i="35" s="1"/>
  <c r="AE26" i="35"/>
  <c r="AJ26" i="35"/>
  <c r="G27" i="35"/>
  <c r="M27" i="35"/>
  <c r="N27" i="35" s="1"/>
  <c r="O27" i="35" s="1"/>
  <c r="P27" i="35" s="1"/>
  <c r="S27" i="35"/>
  <c r="T27" i="35" s="1"/>
  <c r="U27" i="35" s="1"/>
  <c r="V27" i="35" s="1"/>
  <c r="X27" i="35" s="1"/>
  <c r="Y27" i="35" s="1"/>
  <c r="Z27" i="35" s="1"/>
  <c r="AA27" i="35" s="1"/>
  <c r="AB27" i="35" s="1"/>
  <c r="AC27" i="35" s="1"/>
  <c r="AJ27" i="35"/>
  <c r="G28" i="35"/>
  <c r="AE28" i="35" s="1"/>
  <c r="H28" i="35"/>
  <c r="M28" i="35"/>
  <c r="N28" i="35" s="1"/>
  <c r="O28" i="35" s="1"/>
  <c r="P28" i="35" s="1"/>
  <c r="S28" i="35"/>
  <c r="Y28" i="35"/>
  <c r="Z28" i="35" s="1"/>
  <c r="AA28" i="35" s="1"/>
  <c r="AB28" i="35"/>
  <c r="AC28" i="35" s="1"/>
  <c r="AJ28" i="35"/>
  <c r="G29" i="35"/>
  <c r="H29" i="35"/>
  <c r="M29" i="35"/>
  <c r="N29" i="35"/>
  <c r="O29" i="35" s="1"/>
  <c r="P29" i="35" s="1"/>
  <c r="S29" i="35"/>
  <c r="T29" i="35"/>
  <c r="U29" i="35" s="1"/>
  <c r="V29" i="35" s="1"/>
  <c r="Y29" i="35"/>
  <c r="Z29" i="35" s="1"/>
  <c r="AA29" i="35" s="1"/>
  <c r="AB29" i="35" s="1"/>
  <c r="AC29" i="35" s="1"/>
  <c r="AE29" i="35"/>
  <c r="AJ29" i="35"/>
  <c r="G30" i="35"/>
  <c r="M30" i="35"/>
  <c r="N30" i="35" s="1"/>
  <c r="O30" i="35" s="1"/>
  <c r="P30" i="35" s="1"/>
  <c r="S30" i="35"/>
  <c r="T30" i="35" s="1"/>
  <c r="U30" i="35" s="1"/>
  <c r="V30" i="35"/>
  <c r="Y30" i="35"/>
  <c r="Z30" i="35" s="1"/>
  <c r="AA30" i="35" s="1"/>
  <c r="AB30" i="35"/>
  <c r="AC30" i="35"/>
  <c r="AJ30" i="35"/>
  <c r="G31" i="35"/>
  <c r="H31" i="35"/>
  <c r="I31" i="35" s="1"/>
  <c r="M31" i="35"/>
  <c r="N31" i="35"/>
  <c r="O31" i="35" s="1"/>
  <c r="P31" i="35" s="1"/>
  <c r="S31" i="35"/>
  <c r="T31" i="35" s="1"/>
  <c r="U31" i="35" s="1"/>
  <c r="V31" i="35" s="1"/>
  <c r="Y31" i="35"/>
  <c r="Z31" i="35"/>
  <c r="AA31" i="35" s="1"/>
  <c r="AB31" i="35" s="1"/>
  <c r="AC31" i="35" s="1"/>
  <c r="AE31" i="35"/>
  <c r="AF31" i="35"/>
  <c r="AJ31" i="35"/>
  <c r="F32" i="35"/>
  <c r="Q32" i="35"/>
  <c r="Q37" i="35" s="1"/>
  <c r="R32" i="35"/>
  <c r="R37" i="35" s="1"/>
  <c r="X32" i="35"/>
  <c r="X37" i="35" s="1"/>
  <c r="X60" i="35" s="1"/>
  <c r="D33" i="35"/>
  <c r="E33" i="35"/>
  <c r="F33" i="35"/>
  <c r="K33" i="35"/>
  <c r="L33" i="35"/>
  <c r="Q33" i="35"/>
  <c r="S33" i="35"/>
  <c r="W33" i="35"/>
  <c r="X33" i="35"/>
  <c r="AJ33" i="35"/>
  <c r="G34" i="35"/>
  <c r="H34" i="35" s="1"/>
  <c r="M34" i="35"/>
  <c r="S34" i="35"/>
  <c r="T34" i="35" s="1"/>
  <c r="U34" i="35"/>
  <c r="U33" i="35" s="1"/>
  <c r="V34" i="35"/>
  <c r="V33" i="35" s="1"/>
  <c r="Y34" i="35"/>
  <c r="AE34" i="35"/>
  <c r="AF34" i="35"/>
  <c r="AJ34" i="35"/>
  <c r="G35" i="35"/>
  <c r="M35" i="35"/>
  <c r="N35" i="35" s="1"/>
  <c r="O35" i="35" s="1"/>
  <c r="P35" i="35" s="1"/>
  <c r="S35" i="35"/>
  <c r="T35" i="35" s="1"/>
  <c r="U35" i="35" s="1"/>
  <c r="V35" i="35" s="1"/>
  <c r="Y35" i="35"/>
  <c r="Z35" i="35"/>
  <c r="AA35" i="35" s="1"/>
  <c r="AB35" i="35" s="1"/>
  <c r="AC35" i="35"/>
  <c r="AJ35" i="35"/>
  <c r="D36" i="35"/>
  <c r="G36" i="35"/>
  <c r="H36" i="35"/>
  <c r="M36" i="35"/>
  <c r="N36" i="35"/>
  <c r="O36" i="35" s="1"/>
  <c r="P36" i="35" s="1"/>
  <c r="R36" i="35"/>
  <c r="R33" i="35" s="1"/>
  <c r="S36" i="35"/>
  <c r="T36" i="35" s="1"/>
  <c r="U36" i="35" s="1"/>
  <c r="V36" i="35"/>
  <c r="Y36" i="35"/>
  <c r="Z36" i="35"/>
  <c r="AA36" i="35" s="1"/>
  <c r="AB36" i="35" s="1"/>
  <c r="AC36" i="35"/>
  <c r="AE36" i="35"/>
  <c r="AJ36" i="35"/>
  <c r="E37" i="35"/>
  <c r="L37" i="35"/>
  <c r="L60" i="35" s="1"/>
  <c r="AH38" i="35"/>
  <c r="E39" i="35"/>
  <c r="F39" i="35"/>
  <c r="G39" i="35"/>
  <c r="H39" i="35"/>
  <c r="N39" i="35"/>
  <c r="T39" i="35"/>
  <c r="AF39" i="35"/>
  <c r="AG39" i="35"/>
  <c r="AI39" i="35"/>
  <c r="C40" i="35"/>
  <c r="D40" i="35"/>
  <c r="E40" i="35"/>
  <c r="X40" i="35"/>
  <c r="Y40" i="35"/>
  <c r="Z40" i="35"/>
  <c r="AA40" i="35"/>
  <c r="AB40" i="35"/>
  <c r="AC40" i="35"/>
  <c r="AE40" i="35"/>
  <c r="AH40" i="35"/>
  <c r="AI40" i="35"/>
  <c r="AJ40" i="35"/>
  <c r="D41" i="35"/>
  <c r="E41" i="35"/>
  <c r="F41" i="35"/>
  <c r="AJ41" i="35" s="1"/>
  <c r="G41" i="35"/>
  <c r="K41" i="35"/>
  <c r="L41" i="35"/>
  <c r="M41" i="35"/>
  <c r="M52" i="35" s="1"/>
  <c r="Q41" i="35"/>
  <c r="R41" i="35"/>
  <c r="W41" i="35"/>
  <c r="X41" i="35"/>
  <c r="X52" i="35" s="1"/>
  <c r="G42" i="35"/>
  <c r="H42" i="35"/>
  <c r="M42" i="35"/>
  <c r="N42" i="35"/>
  <c r="O42" i="35"/>
  <c r="R42" i="35"/>
  <c r="S42" i="35"/>
  <c r="T42" i="35"/>
  <c r="Y42" i="35"/>
  <c r="Z42" i="35"/>
  <c r="AA42" i="35"/>
  <c r="AB42" i="35" s="1"/>
  <c r="AE42" i="35"/>
  <c r="AJ42" i="35"/>
  <c r="G43" i="35"/>
  <c r="H43" i="35"/>
  <c r="I43" i="35"/>
  <c r="M43" i="35"/>
  <c r="N43" i="35"/>
  <c r="O43" i="35" s="1"/>
  <c r="P43" i="35" s="1"/>
  <c r="R43" i="35"/>
  <c r="S43" i="35"/>
  <c r="T43" i="35"/>
  <c r="U43" i="35" s="1"/>
  <c r="V43" i="35" s="1"/>
  <c r="Y43" i="35"/>
  <c r="Z43" i="35"/>
  <c r="AA43" i="35"/>
  <c r="AB43" i="35" s="1"/>
  <c r="AC43" i="35" s="1"/>
  <c r="AE43" i="35"/>
  <c r="AF43" i="35"/>
  <c r="AI43" i="35"/>
  <c r="AJ43" i="35"/>
  <c r="G44" i="35"/>
  <c r="H44" i="35"/>
  <c r="I44" i="35" s="1"/>
  <c r="J44" i="35"/>
  <c r="M44" i="35"/>
  <c r="N44" i="35"/>
  <c r="O44" i="35" s="1"/>
  <c r="P44" i="35" s="1"/>
  <c r="R44" i="35"/>
  <c r="S44" i="35"/>
  <c r="T44" i="35"/>
  <c r="U44" i="35" s="1"/>
  <c r="V44" i="35" s="1"/>
  <c r="Y44" i="35"/>
  <c r="Z44" i="35"/>
  <c r="AA44" i="35" s="1"/>
  <c r="AB44" i="35" s="1"/>
  <c r="AC44" i="35" s="1"/>
  <c r="AE44" i="35"/>
  <c r="AF44" i="35"/>
  <c r="AG44" i="35"/>
  <c r="AI44" i="35"/>
  <c r="AJ44" i="35"/>
  <c r="G45" i="35"/>
  <c r="H45" i="35" s="1"/>
  <c r="M45" i="35"/>
  <c r="N45" i="35" s="1"/>
  <c r="O45" i="35" s="1"/>
  <c r="P45" i="35"/>
  <c r="S45" i="35"/>
  <c r="S41" i="35" s="1"/>
  <c r="Y45" i="35"/>
  <c r="Z45" i="35" s="1"/>
  <c r="AA45" i="35" s="1"/>
  <c r="AB45" i="35"/>
  <c r="AC45" i="35" s="1"/>
  <c r="AJ45" i="35"/>
  <c r="G46" i="35"/>
  <c r="H46" i="35"/>
  <c r="I46" i="35"/>
  <c r="J46" i="35" s="1"/>
  <c r="AH46" i="35" s="1"/>
  <c r="M46" i="35"/>
  <c r="N46" i="35"/>
  <c r="O46" i="35"/>
  <c r="P46" i="35" s="1"/>
  <c r="S46" i="35"/>
  <c r="T46" i="35"/>
  <c r="U46" i="35" s="1"/>
  <c r="V46" i="35" s="1"/>
  <c r="Y46" i="35"/>
  <c r="Z46" i="35"/>
  <c r="AA46" i="35"/>
  <c r="AB46" i="35" s="1"/>
  <c r="AC46" i="35" s="1"/>
  <c r="AE46" i="35"/>
  <c r="AF46" i="35"/>
  <c r="AJ46" i="35"/>
  <c r="D47" i="35"/>
  <c r="E47" i="35"/>
  <c r="F47" i="35"/>
  <c r="I29" i="39" s="1"/>
  <c r="I28" i="39" s="1"/>
  <c r="K47" i="35"/>
  <c r="L47" i="35"/>
  <c r="L52" i="35" s="1"/>
  <c r="M47" i="35"/>
  <c r="N47" i="35"/>
  <c r="Q47" i="35"/>
  <c r="Q52" i="35" s="1"/>
  <c r="W47" i="35"/>
  <c r="X47" i="35"/>
  <c r="F48" i="35"/>
  <c r="P363" i="55" s="1"/>
  <c r="Q363" i="55" s="1"/>
  <c r="M48" i="35"/>
  <c r="N48" i="35" s="1"/>
  <c r="O48" i="35" s="1"/>
  <c r="P48" i="35"/>
  <c r="R48" i="35"/>
  <c r="R47" i="35" s="1"/>
  <c r="Y48" i="35"/>
  <c r="Z48" i="35"/>
  <c r="AA48" i="35"/>
  <c r="AJ48" i="35"/>
  <c r="G49" i="35"/>
  <c r="H49" i="35" s="1"/>
  <c r="I49" i="35"/>
  <c r="J49" i="35" s="1"/>
  <c r="M49" i="35"/>
  <c r="N49" i="35" s="1"/>
  <c r="O49" i="35" s="1"/>
  <c r="P49" i="35"/>
  <c r="S49" i="35"/>
  <c r="T49" i="35" s="1"/>
  <c r="U49" i="35" s="1"/>
  <c r="V49" i="35" s="1"/>
  <c r="Y49" i="35"/>
  <c r="Z49" i="35" s="1"/>
  <c r="AA49" i="35" s="1"/>
  <c r="AB49" i="35"/>
  <c r="AC49" i="35" s="1"/>
  <c r="AF49" i="35"/>
  <c r="AH49" i="35"/>
  <c r="AJ49" i="35"/>
  <c r="G50" i="35"/>
  <c r="H50" i="35"/>
  <c r="M50" i="35"/>
  <c r="N50" i="35"/>
  <c r="O50" i="35" s="1"/>
  <c r="P50" i="35" s="1"/>
  <c r="S50" i="35"/>
  <c r="T50" i="35"/>
  <c r="U50" i="35" s="1"/>
  <c r="V50" i="35" s="1"/>
  <c r="Y50" i="35"/>
  <c r="Z50" i="35" s="1"/>
  <c r="AE50" i="35"/>
  <c r="AJ50" i="35"/>
  <c r="G51" i="35"/>
  <c r="M51" i="35"/>
  <c r="N51" i="35" s="1"/>
  <c r="O51" i="35" s="1"/>
  <c r="P51" i="35" s="1"/>
  <c r="S51" i="35"/>
  <c r="T51" i="35" s="1"/>
  <c r="U51" i="35" s="1"/>
  <c r="V51" i="35"/>
  <c r="Y51" i="35"/>
  <c r="Z51" i="35" s="1"/>
  <c r="AA51" i="35"/>
  <c r="AB51" i="35"/>
  <c r="AC51" i="35" s="1"/>
  <c r="AJ51" i="35"/>
  <c r="D52" i="35"/>
  <c r="E52" i="35"/>
  <c r="K52" i="35"/>
  <c r="AE53" i="35"/>
  <c r="AF53" i="35"/>
  <c r="AG53" i="35"/>
  <c r="AH53" i="35"/>
  <c r="AI53" i="35"/>
  <c r="AJ53" i="35"/>
  <c r="C54" i="35"/>
  <c r="G54" i="35"/>
  <c r="H54" i="35"/>
  <c r="AF54" i="35" s="1"/>
  <c r="M54" i="35"/>
  <c r="N54" i="35" s="1"/>
  <c r="O54" i="35" s="1"/>
  <c r="P54" i="35" s="1"/>
  <c r="Q54" i="35" s="1"/>
  <c r="R54" i="35"/>
  <c r="S54" i="35"/>
  <c r="T54" i="35" s="1"/>
  <c r="U54" i="35" s="1"/>
  <c r="V54" i="35" s="1"/>
  <c r="W54" i="35" s="1"/>
  <c r="AE54" i="35"/>
  <c r="AJ54" i="35"/>
  <c r="V55" i="35"/>
  <c r="Y55" i="35"/>
  <c r="Z55" i="35" s="1"/>
  <c r="AA55" i="35" s="1"/>
  <c r="AB55" i="35" s="1"/>
  <c r="AE55" i="35"/>
  <c r="AF55" i="35"/>
  <c r="AG55" i="35"/>
  <c r="AH55" i="35"/>
  <c r="AJ55" i="35"/>
  <c r="V56" i="35"/>
  <c r="Y56" i="35"/>
  <c r="Z56" i="35" s="1"/>
  <c r="AA56" i="35" s="1"/>
  <c r="AB56" i="35"/>
  <c r="AE56" i="35"/>
  <c r="AJ56" i="35"/>
  <c r="E57" i="35"/>
  <c r="G58" i="35"/>
  <c r="H58" i="35" s="1"/>
  <c r="I58" i="35" s="1"/>
  <c r="J58" i="35" s="1"/>
  <c r="K58" i="35" s="1"/>
  <c r="D5" i="34"/>
  <c r="E5" i="34"/>
  <c r="AI5" i="34"/>
  <c r="AI40" i="34" s="1"/>
  <c r="AJ5" i="34"/>
  <c r="D8" i="34"/>
  <c r="E8" i="34"/>
  <c r="F8" i="34"/>
  <c r="P323" i="55" s="1"/>
  <c r="K8" i="34"/>
  <c r="L8" i="34"/>
  <c r="Q8" i="34"/>
  <c r="Q32" i="34" s="1"/>
  <c r="Q37" i="34" s="1"/>
  <c r="R8" i="34"/>
  <c r="R32" i="34" s="1"/>
  <c r="R37" i="34" s="1"/>
  <c r="X8" i="34"/>
  <c r="AJ8" i="34"/>
  <c r="G9" i="34"/>
  <c r="G8" i="34" s="1"/>
  <c r="AE8" i="34" s="1"/>
  <c r="H9" i="34"/>
  <c r="I9" i="34" s="1"/>
  <c r="M9" i="34"/>
  <c r="N9" i="34"/>
  <c r="O9" i="34"/>
  <c r="S9" i="34"/>
  <c r="S8" i="34" s="1"/>
  <c r="T9" i="34"/>
  <c r="Y9" i="34"/>
  <c r="Z9" i="34"/>
  <c r="AA9" i="34"/>
  <c r="AB9" i="34" s="1"/>
  <c r="AC9" i="34" s="1"/>
  <c r="AE9" i="34"/>
  <c r="AF9" i="34"/>
  <c r="AG9" i="34"/>
  <c r="AJ9" i="34"/>
  <c r="G10" i="34"/>
  <c r="H10" i="34" s="1"/>
  <c r="M10" i="34"/>
  <c r="R10" i="34"/>
  <c r="S10" i="34"/>
  <c r="T10" i="34" s="1"/>
  <c r="Y10" i="34"/>
  <c r="AJ10" i="34"/>
  <c r="G11" i="34"/>
  <c r="H11" i="34" s="1"/>
  <c r="M11" i="34"/>
  <c r="N11" i="34" s="1"/>
  <c r="O11" i="34" s="1"/>
  <c r="P11" i="34" s="1"/>
  <c r="R11" i="34"/>
  <c r="S11" i="34" s="1"/>
  <c r="T11" i="34" s="1"/>
  <c r="U11" i="34" s="1"/>
  <c r="V11" i="34" s="1"/>
  <c r="Y11" i="34"/>
  <c r="Z11" i="34" s="1"/>
  <c r="AA11" i="34" s="1"/>
  <c r="AB11" i="34"/>
  <c r="AC11" i="34" s="1"/>
  <c r="AE11" i="34"/>
  <c r="AJ11" i="34"/>
  <c r="G12" i="34"/>
  <c r="H12" i="34" s="1"/>
  <c r="M12" i="34"/>
  <c r="N12" i="34"/>
  <c r="O12" i="34" s="1"/>
  <c r="P12" i="34" s="1"/>
  <c r="S12" i="34"/>
  <c r="T12" i="34"/>
  <c r="U12" i="34"/>
  <c r="V12" i="34" s="1"/>
  <c r="Y12" i="34"/>
  <c r="Z12" i="34"/>
  <c r="AA12" i="34" s="1"/>
  <c r="AB12" i="34" s="1"/>
  <c r="AC12" i="34" s="1"/>
  <c r="AE12" i="34"/>
  <c r="AJ12" i="34"/>
  <c r="G13" i="34"/>
  <c r="H13" i="34" s="1"/>
  <c r="AF13" i="34" s="1"/>
  <c r="I13" i="34"/>
  <c r="M13" i="34"/>
  <c r="N13" i="34" s="1"/>
  <c r="O13" i="34" s="1"/>
  <c r="P13" i="34" s="1"/>
  <c r="S13" i="34"/>
  <c r="T13" i="34" s="1"/>
  <c r="U13" i="34" s="1"/>
  <c r="V13" i="34" s="1"/>
  <c r="Y13" i="34"/>
  <c r="Z13" i="34" s="1"/>
  <c r="AA13" i="34" s="1"/>
  <c r="AB13" i="34"/>
  <c r="AC13" i="34" s="1"/>
  <c r="AJ13" i="34"/>
  <c r="G14" i="34"/>
  <c r="H14" i="34"/>
  <c r="I14" i="34" s="1"/>
  <c r="M14" i="34"/>
  <c r="N14" i="34" s="1"/>
  <c r="O14" i="34" s="1"/>
  <c r="P14" i="34" s="1"/>
  <c r="R14" i="34"/>
  <c r="S14" i="34"/>
  <c r="T14" i="34"/>
  <c r="U14" i="34" s="1"/>
  <c r="V14" i="34" s="1"/>
  <c r="Y14" i="34"/>
  <c r="Z14" i="34"/>
  <c r="AA14" i="34"/>
  <c r="AB14" i="34" s="1"/>
  <c r="AC14" i="34" s="1"/>
  <c r="AE14" i="34"/>
  <c r="AF14" i="34"/>
  <c r="AJ14" i="34"/>
  <c r="G15" i="34"/>
  <c r="M15" i="34"/>
  <c r="N15" i="34" s="1"/>
  <c r="O15" i="34"/>
  <c r="P15" i="34" s="1"/>
  <c r="R15" i="34"/>
  <c r="S15" i="34" s="1"/>
  <c r="T15" i="34" s="1"/>
  <c r="U15" i="34" s="1"/>
  <c r="V15" i="34" s="1"/>
  <c r="Y15" i="34"/>
  <c r="Z15" i="34"/>
  <c r="AA15" i="34" s="1"/>
  <c r="AB15" i="34" s="1"/>
  <c r="AC15" i="34"/>
  <c r="AJ15" i="34"/>
  <c r="G16" i="34"/>
  <c r="H16" i="34"/>
  <c r="I16" i="34" s="1"/>
  <c r="J16" i="34" s="1"/>
  <c r="AH16" i="34" s="1"/>
  <c r="M16" i="34"/>
  <c r="N16" i="34"/>
  <c r="O16" i="34" s="1"/>
  <c r="P16" i="34" s="1"/>
  <c r="R16" i="34"/>
  <c r="S16" i="34" s="1"/>
  <c r="T16" i="34" s="1"/>
  <c r="U16" i="34" s="1"/>
  <c r="V16" i="34" s="1"/>
  <c r="Y16" i="34"/>
  <c r="Z16" i="34"/>
  <c r="AA16" i="34"/>
  <c r="AB16" i="34" s="1"/>
  <c r="AC16" i="34" s="1"/>
  <c r="AE16" i="34"/>
  <c r="AJ16" i="34"/>
  <c r="G17" i="34"/>
  <c r="AE17" i="34" s="1"/>
  <c r="H17" i="34"/>
  <c r="AF17" i="34" s="1"/>
  <c r="I17" i="34"/>
  <c r="AG17" i="34" s="1"/>
  <c r="J17" i="34"/>
  <c r="AH17" i="34" s="1"/>
  <c r="M17" i="34"/>
  <c r="N17" i="34" s="1"/>
  <c r="O17" i="34" s="1"/>
  <c r="P17" i="34" s="1"/>
  <c r="S17" i="34"/>
  <c r="T17" i="34"/>
  <c r="U17" i="34" s="1"/>
  <c r="V17" i="34" s="1"/>
  <c r="Y17" i="34"/>
  <c r="Z17" i="34" s="1"/>
  <c r="AA17" i="34" s="1"/>
  <c r="AB17" i="34" s="1"/>
  <c r="AC17" i="34" s="1"/>
  <c r="AJ17" i="34"/>
  <c r="G18" i="34"/>
  <c r="H18" i="34"/>
  <c r="J18" i="34"/>
  <c r="AH18" i="34" s="1"/>
  <c r="N18" i="34"/>
  <c r="S18" i="34"/>
  <c r="T18" i="34"/>
  <c r="AE18" i="34"/>
  <c r="AJ18" i="34"/>
  <c r="G19" i="34"/>
  <c r="M19" i="34"/>
  <c r="N19" i="34" s="1"/>
  <c r="O19" i="34" s="1"/>
  <c r="P19" i="34"/>
  <c r="S19" i="34"/>
  <c r="T19" i="34" s="1"/>
  <c r="U19" i="34" s="1"/>
  <c r="V19" i="34"/>
  <c r="Y19" i="34"/>
  <c r="Z19" i="34" s="1"/>
  <c r="AA19" i="34" s="1"/>
  <c r="AB19" i="34" s="1"/>
  <c r="AC19" i="34" s="1"/>
  <c r="AJ19" i="34"/>
  <c r="D20" i="34"/>
  <c r="E20" i="34"/>
  <c r="F20" i="34"/>
  <c r="P324" i="55" s="1"/>
  <c r="K20" i="34"/>
  <c r="L20" i="34"/>
  <c r="Q20" i="34"/>
  <c r="R20" i="34"/>
  <c r="W20" i="34"/>
  <c r="X20" i="34"/>
  <c r="AJ20" i="34"/>
  <c r="G21" i="34"/>
  <c r="H21" i="34" s="1"/>
  <c r="AF21" i="34" s="1"/>
  <c r="M21" i="34"/>
  <c r="M20" i="34" s="1"/>
  <c r="S21" i="34"/>
  <c r="Y21" i="34"/>
  <c r="Z21" i="34"/>
  <c r="AA21" i="34"/>
  <c r="AE21" i="34"/>
  <c r="AJ21" i="34"/>
  <c r="G22" i="34"/>
  <c r="H22" i="34" s="1"/>
  <c r="M22" i="34"/>
  <c r="N22" i="34" s="1"/>
  <c r="O22" i="34" s="1"/>
  <c r="P22" i="34" s="1"/>
  <c r="S22" i="34"/>
  <c r="T22" i="34"/>
  <c r="U22" i="34" s="1"/>
  <c r="V22" i="34" s="1"/>
  <c r="Y22" i="34"/>
  <c r="Y20" i="34" s="1"/>
  <c r="Z22" i="34"/>
  <c r="AA22" i="34" s="1"/>
  <c r="AB22" i="34" s="1"/>
  <c r="AC22" i="34" s="1"/>
  <c r="AJ22" i="34"/>
  <c r="D23" i="34"/>
  <c r="D32" i="34" s="1"/>
  <c r="E23" i="34"/>
  <c r="E32" i="34" s="1"/>
  <c r="F23" i="34"/>
  <c r="P320" i="55" s="1"/>
  <c r="L23" i="34"/>
  <c r="L32" i="34" s="1"/>
  <c r="L37" i="34" s="1"/>
  <c r="L60" i="34" s="1"/>
  <c r="Q23" i="34"/>
  <c r="R23" i="34"/>
  <c r="X23" i="34"/>
  <c r="G24" i="34"/>
  <c r="H24" i="34"/>
  <c r="I24" i="34" s="1"/>
  <c r="K24" i="34"/>
  <c r="M24" i="34"/>
  <c r="S24" i="34"/>
  <c r="S23" i="34" s="1"/>
  <c r="Y24" i="34"/>
  <c r="AE24" i="34"/>
  <c r="AJ24" i="34"/>
  <c r="G25" i="34"/>
  <c r="G23" i="34" s="1"/>
  <c r="AE23" i="34" s="1"/>
  <c r="M25" i="34"/>
  <c r="N25" i="34" s="1"/>
  <c r="O25" i="34" s="1"/>
  <c r="P25" i="34" s="1"/>
  <c r="S25" i="34"/>
  <c r="T25" i="34"/>
  <c r="U25" i="34" s="1"/>
  <c r="V25" i="34" s="1"/>
  <c r="Y25" i="34"/>
  <c r="Z25" i="34"/>
  <c r="AA25" i="34"/>
  <c r="AB25" i="34" s="1"/>
  <c r="AC25" i="34" s="1"/>
  <c r="AJ25" i="34"/>
  <c r="G26" i="34"/>
  <c r="M26" i="34"/>
  <c r="N26" i="34" s="1"/>
  <c r="O26" i="34" s="1"/>
  <c r="P26" i="34"/>
  <c r="S26" i="34"/>
  <c r="T26" i="34" s="1"/>
  <c r="U26" i="34" s="1"/>
  <c r="V26" i="34" s="1"/>
  <c r="Y26" i="34"/>
  <c r="Z26" i="34" s="1"/>
  <c r="AA26" i="34" s="1"/>
  <c r="AB26" i="34"/>
  <c r="AC26" i="34"/>
  <c r="AJ26" i="34"/>
  <c r="G27" i="34"/>
  <c r="H27" i="34"/>
  <c r="AF27" i="34" s="1"/>
  <c r="I27" i="34"/>
  <c r="M27" i="34"/>
  <c r="N27" i="34" s="1"/>
  <c r="O27" i="34" s="1"/>
  <c r="P27" i="34" s="1"/>
  <c r="S27" i="34"/>
  <c r="T27" i="34"/>
  <c r="U27" i="34"/>
  <c r="V27" i="34" s="1"/>
  <c r="X27" i="34" s="1"/>
  <c r="Y27" i="34" s="1"/>
  <c r="Z27" i="34" s="1"/>
  <c r="AA27" i="34" s="1"/>
  <c r="AB27" i="34" s="1"/>
  <c r="AC27" i="34" s="1"/>
  <c r="AE27" i="34"/>
  <c r="AJ27" i="34"/>
  <c r="G28" i="34"/>
  <c r="H28" i="34" s="1"/>
  <c r="M28" i="34"/>
  <c r="N28" i="34" s="1"/>
  <c r="O28" i="34" s="1"/>
  <c r="P28" i="34" s="1"/>
  <c r="R28" i="34" s="1"/>
  <c r="S28" i="34" s="1"/>
  <c r="T28" i="34"/>
  <c r="Y28" i="34"/>
  <c r="Z28" i="34" s="1"/>
  <c r="AA28" i="34" s="1"/>
  <c r="AB28" i="34" s="1"/>
  <c r="AC28" i="34" s="1"/>
  <c r="AE28" i="34"/>
  <c r="AJ28" i="34"/>
  <c r="G29" i="34"/>
  <c r="H29" i="34" s="1"/>
  <c r="M29" i="34"/>
  <c r="N29" i="34"/>
  <c r="O29" i="34" s="1"/>
  <c r="P29" i="34" s="1"/>
  <c r="S29" i="34"/>
  <c r="T29" i="34" s="1"/>
  <c r="U29" i="34" s="1"/>
  <c r="V29" i="34" s="1"/>
  <c r="Y29" i="34"/>
  <c r="Z29" i="34"/>
  <c r="AA29" i="34" s="1"/>
  <c r="AB29" i="34" s="1"/>
  <c r="AC29" i="34" s="1"/>
  <c r="AJ29" i="34"/>
  <c r="G30" i="34"/>
  <c r="M30" i="34"/>
  <c r="N30" i="34" s="1"/>
  <c r="O30" i="34" s="1"/>
  <c r="P30" i="34" s="1"/>
  <c r="S30" i="34"/>
  <c r="T30" i="34" s="1"/>
  <c r="U30" i="34" s="1"/>
  <c r="V30" i="34" s="1"/>
  <c r="Y30" i="34"/>
  <c r="Z30" i="34" s="1"/>
  <c r="AA30" i="34" s="1"/>
  <c r="AB30" i="34"/>
  <c r="AC30" i="34" s="1"/>
  <c r="AJ30" i="34"/>
  <c r="G31" i="34"/>
  <c r="H31" i="34"/>
  <c r="I31" i="34" s="1"/>
  <c r="M31" i="34"/>
  <c r="N31" i="34" s="1"/>
  <c r="O31" i="34" s="1"/>
  <c r="P31" i="34" s="1"/>
  <c r="S31" i="34"/>
  <c r="T31" i="34"/>
  <c r="U31" i="34"/>
  <c r="V31" i="34" s="1"/>
  <c r="Y31" i="34"/>
  <c r="Z31" i="34" s="1"/>
  <c r="AA31" i="34" s="1"/>
  <c r="AB31" i="34" s="1"/>
  <c r="AC31" i="34" s="1"/>
  <c r="AE31" i="34"/>
  <c r="AF31" i="34"/>
  <c r="AJ31" i="34"/>
  <c r="E33" i="34"/>
  <c r="F33" i="34"/>
  <c r="K33" i="34"/>
  <c r="L33" i="34"/>
  <c r="Q33" i="34"/>
  <c r="R33" i="34"/>
  <c r="W33" i="34"/>
  <c r="X33" i="34"/>
  <c r="G34" i="34"/>
  <c r="H34" i="34" s="1"/>
  <c r="M34" i="34"/>
  <c r="M33" i="34" s="1"/>
  <c r="R34" i="34"/>
  <c r="S34" i="34" s="1"/>
  <c r="Y34" i="34"/>
  <c r="Y33" i="34" s="1"/>
  <c r="Z34" i="34"/>
  <c r="Z33" i="34" s="1"/>
  <c r="AJ34" i="34"/>
  <c r="G35" i="34"/>
  <c r="H35" i="34" s="1"/>
  <c r="M35" i="34"/>
  <c r="N35" i="34"/>
  <c r="O35" i="34"/>
  <c r="P35" i="34"/>
  <c r="S35" i="34"/>
  <c r="T35" i="34" s="1"/>
  <c r="U35" i="34" s="1"/>
  <c r="V35" i="34" s="1"/>
  <c r="Y35" i="34"/>
  <c r="Z35" i="34"/>
  <c r="AA35" i="34"/>
  <c r="AB35" i="34" s="1"/>
  <c r="AC35" i="34" s="1"/>
  <c r="AJ35" i="34"/>
  <c r="D36" i="34"/>
  <c r="G36" i="34"/>
  <c r="M36" i="34"/>
  <c r="N36" i="34" s="1"/>
  <c r="O36" i="34" s="1"/>
  <c r="P36" i="34" s="1"/>
  <c r="R36" i="34"/>
  <c r="S36" i="34"/>
  <c r="T36" i="34"/>
  <c r="Y36" i="34"/>
  <c r="Z36" i="34"/>
  <c r="AA36" i="34" s="1"/>
  <c r="AB36" i="34" s="1"/>
  <c r="AC36" i="34" s="1"/>
  <c r="E37" i="34"/>
  <c r="E57" i="34" s="1"/>
  <c r="AH38" i="34"/>
  <c r="E39" i="34"/>
  <c r="F39" i="34"/>
  <c r="G39" i="34"/>
  <c r="H39" i="34"/>
  <c r="N39" i="34"/>
  <c r="T39" i="34"/>
  <c r="X39" i="34"/>
  <c r="Y39" i="34"/>
  <c r="Z39" i="34"/>
  <c r="AA39" i="34"/>
  <c r="AB39" i="34"/>
  <c r="AC39" i="34"/>
  <c r="AF39" i="34"/>
  <c r="AG39" i="34"/>
  <c r="AH39" i="34"/>
  <c r="AI39" i="34"/>
  <c r="C40" i="34"/>
  <c r="D40" i="34"/>
  <c r="E40" i="34"/>
  <c r="X40" i="34"/>
  <c r="Y40" i="34"/>
  <c r="Z40" i="34"/>
  <c r="AA40" i="34"/>
  <c r="AB40" i="34"/>
  <c r="AC40" i="34"/>
  <c r="AE40" i="34"/>
  <c r="AH40" i="34"/>
  <c r="AJ40" i="34"/>
  <c r="D41" i="34"/>
  <c r="E41" i="34"/>
  <c r="K41" i="34"/>
  <c r="K52" i="34" s="1"/>
  <c r="L41" i="34"/>
  <c r="Q41" i="34"/>
  <c r="X41" i="34"/>
  <c r="G42" i="34"/>
  <c r="AE42" i="34" s="1"/>
  <c r="M42" i="34"/>
  <c r="N42" i="34" s="1"/>
  <c r="O42" i="34" s="1"/>
  <c r="P42" i="34" s="1"/>
  <c r="R42" i="34"/>
  <c r="S42" i="34"/>
  <c r="T42" i="34"/>
  <c r="Y42" i="34"/>
  <c r="Z42" i="34" s="1"/>
  <c r="AA42" i="34" s="1"/>
  <c r="AJ42" i="34"/>
  <c r="G43" i="34"/>
  <c r="H43" i="34"/>
  <c r="I43" i="34" s="1"/>
  <c r="AG43" i="34" s="1"/>
  <c r="M43" i="34"/>
  <c r="M41" i="34" s="1"/>
  <c r="M52" i="34" s="1"/>
  <c r="N43" i="34"/>
  <c r="O43" i="34" s="1"/>
  <c r="P43" i="34" s="1"/>
  <c r="R43" i="34"/>
  <c r="S43" i="34" s="1"/>
  <c r="Y43" i="34"/>
  <c r="Z43" i="34" s="1"/>
  <c r="AA43" i="34" s="1"/>
  <c r="AB43" i="34" s="1"/>
  <c r="AC43" i="34" s="1"/>
  <c r="AE43" i="34"/>
  <c r="AJ43" i="34"/>
  <c r="F44" i="34"/>
  <c r="M44" i="34"/>
  <c r="N44" i="34" s="1"/>
  <c r="O44" i="34" s="1"/>
  <c r="P44" i="34" s="1"/>
  <c r="Y44" i="34"/>
  <c r="Z44" i="34" s="1"/>
  <c r="AA44" i="34" s="1"/>
  <c r="AB44" i="34" s="1"/>
  <c r="AC44" i="34" s="1"/>
  <c r="G45" i="34"/>
  <c r="H45" i="34" s="1"/>
  <c r="M45" i="34"/>
  <c r="N45" i="34" s="1"/>
  <c r="O45" i="34" s="1"/>
  <c r="P45" i="34" s="1"/>
  <c r="S45" i="34"/>
  <c r="T45" i="34" s="1"/>
  <c r="U45" i="34" s="1"/>
  <c r="V45" i="34" s="1"/>
  <c r="Y45" i="34"/>
  <c r="Z45" i="34" s="1"/>
  <c r="AA45" i="34" s="1"/>
  <c r="AB45" i="34" s="1"/>
  <c r="AC45" i="34" s="1"/>
  <c r="AJ45" i="34"/>
  <c r="G46" i="34"/>
  <c r="H46" i="34" s="1"/>
  <c r="M46" i="34"/>
  <c r="N46" i="34"/>
  <c r="O46" i="34" s="1"/>
  <c r="P46" i="34" s="1"/>
  <c r="S46" i="34"/>
  <c r="T46" i="34" s="1"/>
  <c r="U46" i="34" s="1"/>
  <c r="V46" i="34" s="1"/>
  <c r="Y46" i="34"/>
  <c r="Z46" i="34"/>
  <c r="AA46" i="34" s="1"/>
  <c r="AB46" i="34" s="1"/>
  <c r="AC46" i="34" s="1"/>
  <c r="AJ46" i="34"/>
  <c r="D47" i="34"/>
  <c r="AJ47" i="34" s="1"/>
  <c r="E47" i="34"/>
  <c r="F47" i="34"/>
  <c r="I27" i="39" s="1"/>
  <c r="G47" i="34"/>
  <c r="J27" i="39" s="1"/>
  <c r="R27" i="39" s="1"/>
  <c r="K47" i="34"/>
  <c r="L47" i="34"/>
  <c r="Q47" i="34"/>
  <c r="Q52" i="34" s="1"/>
  <c r="R47" i="34"/>
  <c r="W47" i="34"/>
  <c r="X47" i="34"/>
  <c r="Z47" i="34"/>
  <c r="AA47" i="34"/>
  <c r="G48" i="34"/>
  <c r="H48" i="34"/>
  <c r="M48" i="34"/>
  <c r="M47" i="34" s="1"/>
  <c r="R48" i="34"/>
  <c r="S48" i="34"/>
  <c r="T48" i="34"/>
  <c r="Y48" i="34"/>
  <c r="Z48" i="34"/>
  <c r="AA48" i="34" s="1"/>
  <c r="AB48" i="34" s="1"/>
  <c r="AC48" i="34"/>
  <c r="AE48" i="34"/>
  <c r="AJ48" i="34"/>
  <c r="D49" i="34"/>
  <c r="G49" i="34"/>
  <c r="H49" i="34"/>
  <c r="M49" i="34"/>
  <c r="N49" i="34" s="1"/>
  <c r="O49" i="34" s="1"/>
  <c r="P49" i="34" s="1"/>
  <c r="R49" i="34"/>
  <c r="S49" i="34"/>
  <c r="T49" i="34" s="1"/>
  <c r="U49" i="34" s="1"/>
  <c r="V49" i="34" s="1"/>
  <c r="Y49" i="34"/>
  <c r="Z49" i="34"/>
  <c r="AA49" i="34" s="1"/>
  <c r="AB49" i="34" s="1"/>
  <c r="AC49" i="34"/>
  <c r="AE49" i="34"/>
  <c r="AJ49" i="34"/>
  <c r="G50" i="34"/>
  <c r="H50" i="34"/>
  <c r="I50" i="34"/>
  <c r="AG50" i="34" s="1"/>
  <c r="J50" i="34"/>
  <c r="AH50" i="34" s="1"/>
  <c r="M50" i="34"/>
  <c r="N50" i="34" s="1"/>
  <c r="O50" i="34" s="1"/>
  <c r="P50" i="34" s="1"/>
  <c r="S50" i="34"/>
  <c r="T50" i="34"/>
  <c r="U50" i="34"/>
  <c r="V50" i="34"/>
  <c r="Y50" i="34"/>
  <c r="Z50" i="34" s="1"/>
  <c r="AA50" i="34" s="1"/>
  <c r="AB50" i="34" s="1"/>
  <c r="AC50" i="34" s="1"/>
  <c r="AE50" i="34"/>
  <c r="AF50" i="34"/>
  <c r="AJ50" i="34"/>
  <c r="G51" i="34"/>
  <c r="H51" i="34"/>
  <c r="I51" i="34" s="1"/>
  <c r="M51" i="34"/>
  <c r="N51" i="34"/>
  <c r="O51" i="34" s="1"/>
  <c r="P51" i="34" s="1"/>
  <c r="S51" i="34"/>
  <c r="T51" i="34"/>
  <c r="U51" i="34" s="1"/>
  <c r="V51" i="34" s="1"/>
  <c r="Y51" i="34"/>
  <c r="Z51" i="34"/>
  <c r="AA51" i="34" s="1"/>
  <c r="AB51" i="34" s="1"/>
  <c r="AC51" i="34" s="1"/>
  <c r="AE51" i="34"/>
  <c r="AJ51" i="34"/>
  <c r="D52" i="34"/>
  <c r="E52" i="34"/>
  <c r="L52" i="34"/>
  <c r="X52" i="34"/>
  <c r="AE53" i="34"/>
  <c r="AF53" i="34"/>
  <c r="AG53" i="34"/>
  <c r="AH53" i="34"/>
  <c r="AI53" i="34"/>
  <c r="AJ53" i="34"/>
  <c r="C54" i="34"/>
  <c r="G54" i="34"/>
  <c r="H54" i="34"/>
  <c r="M54" i="34"/>
  <c r="N54" i="34" s="1"/>
  <c r="O54" i="34" s="1"/>
  <c r="P54" i="34" s="1"/>
  <c r="Q54" i="34" s="1"/>
  <c r="R54" i="34"/>
  <c r="S54" i="34"/>
  <c r="T54" i="34"/>
  <c r="U54" i="34"/>
  <c r="V54" i="34" s="1"/>
  <c r="W54" i="34" s="1"/>
  <c r="Y54" i="34"/>
  <c r="Z54" i="34"/>
  <c r="AA54" i="34" s="1"/>
  <c r="AB54" i="34" s="1"/>
  <c r="AC54" i="34"/>
  <c r="AE54" i="34"/>
  <c r="AJ54" i="34"/>
  <c r="V55" i="34"/>
  <c r="Y55" i="34"/>
  <c r="Z55" i="34"/>
  <c r="AA55" i="34" s="1"/>
  <c r="AB55" i="34" s="1"/>
  <c r="AE55" i="34"/>
  <c r="AF55" i="34"/>
  <c r="AG55" i="34"/>
  <c r="AH55" i="34"/>
  <c r="AJ55" i="34"/>
  <c r="V56" i="34"/>
  <c r="Y56" i="34"/>
  <c r="Z56" i="34"/>
  <c r="AA56" i="34"/>
  <c r="AB56" i="34" s="1"/>
  <c r="AE56" i="34"/>
  <c r="AJ56" i="34"/>
  <c r="G58" i="34"/>
  <c r="H58" i="34" s="1"/>
  <c r="I58" i="34" s="1"/>
  <c r="J58" i="34" s="1"/>
  <c r="K58" i="34" s="1"/>
  <c r="E60" i="34"/>
  <c r="AI39" i="33"/>
  <c r="D5" i="33"/>
  <c r="D40" i="33" s="1"/>
  <c r="E5" i="33"/>
  <c r="AI5" i="33"/>
  <c r="AJ5" i="33"/>
  <c r="D8" i="33"/>
  <c r="AJ8" i="33" s="1"/>
  <c r="E8" i="33"/>
  <c r="F8" i="33"/>
  <c r="P379" i="55" s="1"/>
  <c r="G8" i="33"/>
  <c r="K8" i="33"/>
  <c r="Q8" i="33"/>
  <c r="Q32" i="33" s="1"/>
  <c r="X8" i="33"/>
  <c r="G9" i="33"/>
  <c r="H9" i="33"/>
  <c r="I9" i="33" s="1"/>
  <c r="M9" i="33"/>
  <c r="N9" i="33"/>
  <c r="S9" i="33"/>
  <c r="T9" i="33"/>
  <c r="U9" i="33" s="1"/>
  <c r="Y9" i="33"/>
  <c r="AE9" i="33"/>
  <c r="AJ9" i="33"/>
  <c r="G10" i="33"/>
  <c r="H10" i="33" s="1"/>
  <c r="M10" i="33"/>
  <c r="N10" i="33" s="1"/>
  <c r="O10" i="33" s="1"/>
  <c r="P10" i="33" s="1"/>
  <c r="R10" i="33"/>
  <c r="R8" i="33" s="1"/>
  <c r="R32" i="33" s="1"/>
  <c r="R37" i="33" s="1"/>
  <c r="Y10" i="33"/>
  <c r="Z10" i="33"/>
  <c r="AA10" i="33" s="1"/>
  <c r="AB10" i="33" s="1"/>
  <c r="AC10" i="33"/>
  <c r="AE10" i="33"/>
  <c r="AJ10" i="33"/>
  <c r="G11" i="33"/>
  <c r="H11" i="33"/>
  <c r="I11" i="33" s="1"/>
  <c r="J11" i="33"/>
  <c r="M11" i="33"/>
  <c r="N11" i="33" s="1"/>
  <c r="O11" i="33" s="1"/>
  <c r="P11" i="33" s="1"/>
  <c r="R11" i="33"/>
  <c r="S11" i="33" s="1"/>
  <c r="T11" i="33" s="1"/>
  <c r="U11" i="33" s="1"/>
  <c r="V11" i="33"/>
  <c r="Y11" i="33"/>
  <c r="Z11" i="33" s="1"/>
  <c r="AA11" i="33" s="1"/>
  <c r="AB11" i="33" s="1"/>
  <c r="AC11" i="33" s="1"/>
  <c r="AE11" i="33"/>
  <c r="AF11" i="33"/>
  <c r="AG11" i="33"/>
  <c r="AH11" i="33"/>
  <c r="AJ11" i="33"/>
  <c r="G12" i="33"/>
  <c r="H12" i="33" s="1"/>
  <c r="M12" i="33"/>
  <c r="N12" i="33"/>
  <c r="O12" i="33"/>
  <c r="P12" i="33" s="1"/>
  <c r="S12" i="33"/>
  <c r="T12" i="33" s="1"/>
  <c r="U12" i="33" s="1"/>
  <c r="V12" i="33" s="1"/>
  <c r="Y12" i="33"/>
  <c r="Z12" i="33"/>
  <c r="AA12" i="33" s="1"/>
  <c r="AB12" i="33" s="1"/>
  <c r="AC12" i="33" s="1"/>
  <c r="AJ12" i="33"/>
  <c r="G13" i="33"/>
  <c r="L13" i="33"/>
  <c r="R13" i="33" s="1"/>
  <c r="S13" i="33" s="1"/>
  <c r="T13" i="33" s="1"/>
  <c r="U13" i="33" s="1"/>
  <c r="Y13" i="33"/>
  <c r="Z13" i="33" s="1"/>
  <c r="AA13" i="33" s="1"/>
  <c r="AB13" i="33"/>
  <c r="AC13" i="33" s="1"/>
  <c r="AJ13" i="33"/>
  <c r="G14" i="33"/>
  <c r="H14" i="33"/>
  <c r="I14" i="33" s="1"/>
  <c r="AI14" i="33" s="1"/>
  <c r="J14" i="33"/>
  <c r="AH14" i="33" s="1"/>
  <c r="M14" i="33"/>
  <c r="N14" i="33" s="1"/>
  <c r="O14" i="33" s="1"/>
  <c r="P14" i="33" s="1"/>
  <c r="R14" i="33"/>
  <c r="S14" i="33"/>
  <c r="T14" i="33"/>
  <c r="U14" i="33" s="1"/>
  <c r="V14" i="33"/>
  <c r="Y14" i="33"/>
  <c r="Z14" i="33" s="1"/>
  <c r="AA14" i="33" s="1"/>
  <c r="AB14" i="33" s="1"/>
  <c r="AC14" i="33" s="1"/>
  <c r="AE14" i="33"/>
  <c r="AF14" i="33"/>
  <c r="AJ14" i="33"/>
  <c r="G15" i="33"/>
  <c r="H15" i="33" s="1"/>
  <c r="M15" i="33"/>
  <c r="N15" i="33" s="1"/>
  <c r="O15" i="33" s="1"/>
  <c r="P15" i="33" s="1"/>
  <c r="R15" i="33"/>
  <c r="S15" i="33" s="1"/>
  <c r="T15" i="33" s="1"/>
  <c r="U15" i="33" s="1"/>
  <c r="V15" i="33" s="1"/>
  <c r="Y15" i="33"/>
  <c r="Z15" i="33" s="1"/>
  <c r="AA15" i="33" s="1"/>
  <c r="AB15" i="33" s="1"/>
  <c r="AC15" i="33" s="1"/>
  <c r="AJ15" i="33"/>
  <c r="G16" i="33"/>
  <c r="H16" i="33" s="1"/>
  <c r="M16" i="33"/>
  <c r="N16" i="33"/>
  <c r="O16" i="33" s="1"/>
  <c r="P16" i="33" s="1"/>
  <c r="R16" i="33"/>
  <c r="S16" i="33" s="1"/>
  <c r="T16" i="33" s="1"/>
  <c r="U16" i="33" s="1"/>
  <c r="V16" i="33" s="1"/>
  <c r="Y16" i="33"/>
  <c r="Z16" i="33"/>
  <c r="AA16" i="33"/>
  <c r="AB16" i="33" s="1"/>
  <c r="AC16" i="33" s="1"/>
  <c r="AJ16" i="33"/>
  <c r="G17" i="33"/>
  <c r="M17" i="33"/>
  <c r="N17" i="33" s="1"/>
  <c r="O17" i="33" s="1"/>
  <c r="P17" i="33" s="1"/>
  <c r="S17" i="33"/>
  <c r="T17" i="33" s="1"/>
  <c r="U17" i="33" s="1"/>
  <c r="V17" i="33" s="1"/>
  <c r="Y17" i="33"/>
  <c r="Z17" i="33" s="1"/>
  <c r="AA17" i="33" s="1"/>
  <c r="AB17" i="33"/>
  <c r="AC17" i="33"/>
  <c r="AJ17" i="33"/>
  <c r="G18" i="33"/>
  <c r="H18" i="33"/>
  <c r="J18" i="33"/>
  <c r="N18" i="33"/>
  <c r="S18" i="33"/>
  <c r="T18" i="33" s="1"/>
  <c r="AE18" i="33"/>
  <c r="AH18" i="33"/>
  <c r="AJ18" i="33"/>
  <c r="G19" i="33"/>
  <c r="H19" i="33" s="1"/>
  <c r="M19" i="33"/>
  <c r="N19" i="33"/>
  <c r="O19" i="33"/>
  <c r="P19" i="33" s="1"/>
  <c r="S19" i="33"/>
  <c r="T19" i="33" s="1"/>
  <c r="U19" i="33" s="1"/>
  <c r="V19" i="33" s="1"/>
  <c r="Y19" i="33"/>
  <c r="Z19" i="33" s="1"/>
  <c r="AA19" i="33" s="1"/>
  <c r="AB19" i="33" s="1"/>
  <c r="AC19" i="33" s="1"/>
  <c r="AE19" i="33"/>
  <c r="AJ19" i="33"/>
  <c r="D20" i="33"/>
  <c r="E20" i="33"/>
  <c r="E32" i="33" s="1"/>
  <c r="F20" i="33"/>
  <c r="G20" i="33"/>
  <c r="K20" i="33"/>
  <c r="L20" i="33"/>
  <c r="Q20" i="33"/>
  <c r="R20" i="33"/>
  <c r="V20" i="33"/>
  <c r="W20" i="33"/>
  <c r="X20" i="33"/>
  <c r="G21" i="33"/>
  <c r="H21" i="33"/>
  <c r="H20" i="33" s="1"/>
  <c r="AF20" i="33" s="1"/>
  <c r="I21" i="33"/>
  <c r="J21" i="33"/>
  <c r="M21" i="33"/>
  <c r="N21" i="33" s="1"/>
  <c r="O21" i="33" s="1"/>
  <c r="S21" i="33"/>
  <c r="S20" i="33" s="1"/>
  <c r="T21" i="33"/>
  <c r="T20" i="33" s="1"/>
  <c r="U21" i="33"/>
  <c r="V21" i="33"/>
  <c r="Y21" i="33"/>
  <c r="Z21" i="33" s="1"/>
  <c r="AE21" i="33"/>
  <c r="AF21" i="33"/>
  <c r="AJ21" i="33"/>
  <c r="G22" i="33"/>
  <c r="H22" i="33"/>
  <c r="I22" i="33" s="1"/>
  <c r="M22" i="33"/>
  <c r="M20" i="33" s="1"/>
  <c r="S22" i="33"/>
  <c r="T22" i="33"/>
  <c r="U22" i="33" s="1"/>
  <c r="V22" i="33" s="1"/>
  <c r="Y22" i="33"/>
  <c r="Z22" i="33"/>
  <c r="AA22" i="33" s="1"/>
  <c r="AB22" i="33" s="1"/>
  <c r="AC22" i="33" s="1"/>
  <c r="AE22" i="33"/>
  <c r="AJ22" i="33"/>
  <c r="D23" i="33"/>
  <c r="E23" i="33"/>
  <c r="F23" i="33"/>
  <c r="P376" i="55" s="1"/>
  <c r="Q376" i="55" s="1"/>
  <c r="K23" i="33"/>
  <c r="K32" i="33" s="1"/>
  <c r="K37" i="33" s="1"/>
  <c r="L23" i="33"/>
  <c r="Q23" i="33"/>
  <c r="R23" i="33"/>
  <c r="X23" i="33"/>
  <c r="Y23" i="33"/>
  <c r="Z23" i="33"/>
  <c r="AJ23" i="33"/>
  <c r="G24" i="33"/>
  <c r="K24" i="33"/>
  <c r="W24" i="33" s="1"/>
  <c r="W23" i="33" s="1"/>
  <c r="M24" i="33"/>
  <c r="M23" i="33" s="1"/>
  <c r="N24" i="33"/>
  <c r="N23" i="33" s="1"/>
  <c r="O24" i="33"/>
  <c r="S24" i="33"/>
  <c r="T24" i="33" s="1"/>
  <c r="Y24" i="33"/>
  <c r="Z24" i="33"/>
  <c r="AA24" i="33"/>
  <c r="AJ24" i="33"/>
  <c r="G25" i="33"/>
  <c r="M25" i="33"/>
  <c r="N25" i="33"/>
  <c r="O25" i="33" s="1"/>
  <c r="P25" i="33" s="1"/>
  <c r="S25" i="33"/>
  <c r="S23" i="33" s="1"/>
  <c r="T25" i="33"/>
  <c r="U25" i="33" s="1"/>
  <c r="V25" i="33" s="1"/>
  <c r="Y25" i="33"/>
  <c r="Z25" i="33"/>
  <c r="AA25" i="33" s="1"/>
  <c r="AB25" i="33" s="1"/>
  <c r="AC25" i="33" s="1"/>
  <c r="AJ25" i="33"/>
  <c r="G26" i="33"/>
  <c r="H26" i="33"/>
  <c r="I26" i="33"/>
  <c r="J26" i="33" s="1"/>
  <c r="AH26" i="33" s="1"/>
  <c r="M26" i="33"/>
  <c r="N26" i="33" s="1"/>
  <c r="O26" i="33" s="1"/>
  <c r="P26" i="33" s="1"/>
  <c r="S26" i="33"/>
  <c r="T26" i="33"/>
  <c r="U26" i="33"/>
  <c r="V26" i="33"/>
  <c r="Y26" i="33"/>
  <c r="Z26" i="33" s="1"/>
  <c r="AA26" i="33" s="1"/>
  <c r="AB26" i="33" s="1"/>
  <c r="AC26" i="33" s="1"/>
  <c r="AE26" i="33"/>
  <c r="AF26" i="33"/>
  <c r="AG26" i="33"/>
  <c r="AJ26" i="33"/>
  <c r="G27" i="33"/>
  <c r="H27" i="33"/>
  <c r="I27" i="33" s="1"/>
  <c r="M27" i="33"/>
  <c r="N27" i="33" s="1"/>
  <c r="O27" i="33" s="1"/>
  <c r="P27" i="33" s="1"/>
  <c r="S27" i="33"/>
  <c r="T27" i="33"/>
  <c r="U27" i="33" s="1"/>
  <c r="V27" i="33" s="1"/>
  <c r="Y27" i="33"/>
  <c r="Z27" i="33" s="1"/>
  <c r="AA27" i="33" s="1"/>
  <c r="AB27" i="33" s="1"/>
  <c r="AC27" i="33" s="1"/>
  <c r="AE27" i="33"/>
  <c r="AJ27" i="33"/>
  <c r="G28" i="33"/>
  <c r="H28" i="33" s="1"/>
  <c r="M28" i="33"/>
  <c r="N28" i="33"/>
  <c r="O28" i="33"/>
  <c r="P28" i="33"/>
  <c r="R28" i="33" s="1"/>
  <c r="S28" i="33" s="1"/>
  <c r="T28" i="33" s="1"/>
  <c r="Y28" i="33"/>
  <c r="Z28" i="33" s="1"/>
  <c r="AA28" i="33" s="1"/>
  <c r="AB28" i="33"/>
  <c r="AC28" i="33"/>
  <c r="AE28" i="33"/>
  <c r="AJ28" i="33"/>
  <c r="G29" i="33"/>
  <c r="H29" i="33"/>
  <c r="AF29" i="33" s="1"/>
  <c r="I29" i="33"/>
  <c r="M29" i="33"/>
  <c r="N29" i="33" s="1"/>
  <c r="O29" i="33" s="1"/>
  <c r="P29" i="33" s="1"/>
  <c r="S29" i="33"/>
  <c r="T29" i="33"/>
  <c r="U29" i="33" s="1"/>
  <c r="V29" i="33" s="1"/>
  <c r="Y29" i="33"/>
  <c r="Z29" i="33" s="1"/>
  <c r="AA29" i="33" s="1"/>
  <c r="AB29" i="33" s="1"/>
  <c r="AC29" i="33" s="1"/>
  <c r="AE29" i="33"/>
  <c r="AJ29" i="33"/>
  <c r="G30" i="33"/>
  <c r="H30" i="33" s="1"/>
  <c r="M30" i="33"/>
  <c r="N30" i="33" s="1"/>
  <c r="O30" i="33" s="1"/>
  <c r="P30" i="33" s="1"/>
  <c r="S30" i="33"/>
  <c r="T30" i="33" s="1"/>
  <c r="U30" i="33" s="1"/>
  <c r="V30" i="33"/>
  <c r="Y30" i="33"/>
  <c r="Z30" i="33" s="1"/>
  <c r="AA30" i="33" s="1"/>
  <c r="AB30" i="33" s="1"/>
  <c r="AC30" i="33" s="1"/>
  <c r="AJ30" i="33"/>
  <c r="G31" i="33"/>
  <c r="H31" i="33" s="1"/>
  <c r="M31" i="33"/>
  <c r="N31" i="33"/>
  <c r="O31" i="33"/>
  <c r="P31" i="33" s="1"/>
  <c r="S31" i="33"/>
  <c r="T31" i="33" s="1"/>
  <c r="U31" i="33" s="1"/>
  <c r="V31" i="33" s="1"/>
  <c r="Y31" i="33"/>
  <c r="Z31" i="33"/>
  <c r="AA31" i="33" s="1"/>
  <c r="AB31" i="33" s="1"/>
  <c r="AC31" i="33" s="1"/>
  <c r="AJ31" i="33"/>
  <c r="D32" i="33"/>
  <c r="X32" i="33"/>
  <c r="E33" i="33"/>
  <c r="F33" i="33"/>
  <c r="K33" i="33"/>
  <c r="L33" i="33"/>
  <c r="M33" i="33"/>
  <c r="Q33" i="33"/>
  <c r="W33" i="33"/>
  <c r="X33" i="33"/>
  <c r="Y33" i="33"/>
  <c r="G34" i="33"/>
  <c r="G33" i="33" s="1"/>
  <c r="AE33" i="33" s="1"/>
  <c r="M34" i="33"/>
  <c r="N34" i="33"/>
  <c r="S34" i="33"/>
  <c r="Y34" i="33"/>
  <c r="Z34" i="33"/>
  <c r="AJ34" i="33"/>
  <c r="G35" i="33"/>
  <c r="H35" i="33"/>
  <c r="I35" i="33" s="1"/>
  <c r="J35" i="33" s="1"/>
  <c r="AH35" i="33" s="1"/>
  <c r="M35" i="33"/>
  <c r="N35" i="33" s="1"/>
  <c r="O35" i="33"/>
  <c r="P35" i="33" s="1"/>
  <c r="S35" i="33"/>
  <c r="T35" i="33"/>
  <c r="U35" i="33"/>
  <c r="V35" i="33"/>
  <c r="Y35" i="33"/>
  <c r="Z35" i="33" s="1"/>
  <c r="AA35" i="33"/>
  <c r="AB35" i="33" s="1"/>
  <c r="AC35" i="33" s="1"/>
  <c r="AE35" i="33"/>
  <c r="AF35" i="33"/>
  <c r="AJ35" i="33"/>
  <c r="D36" i="33"/>
  <c r="D33" i="33" s="1"/>
  <c r="G36" i="33"/>
  <c r="H36" i="33"/>
  <c r="I36" i="33"/>
  <c r="J36" i="33" s="1"/>
  <c r="AH36" i="33" s="1"/>
  <c r="M36" i="33"/>
  <c r="N36" i="33" s="1"/>
  <c r="O36" i="33" s="1"/>
  <c r="P36" i="33"/>
  <c r="R36" i="33"/>
  <c r="R33" i="33" s="1"/>
  <c r="S36" i="33"/>
  <c r="T36" i="33"/>
  <c r="U36" i="33" s="1"/>
  <c r="V36" i="33" s="1"/>
  <c r="Y36" i="33"/>
  <c r="Z36" i="33" s="1"/>
  <c r="AA36" i="33"/>
  <c r="AB36" i="33" s="1"/>
  <c r="AC36" i="33" s="1"/>
  <c r="AE36" i="33"/>
  <c r="AF36" i="33"/>
  <c r="AJ36" i="33"/>
  <c r="X37" i="33"/>
  <c r="AH38" i="33"/>
  <c r="E39" i="33"/>
  <c r="F39" i="33"/>
  <c r="G39" i="33"/>
  <c r="H39" i="33"/>
  <c r="N39" i="33"/>
  <c r="T39" i="33"/>
  <c r="AF39" i="33"/>
  <c r="AG39" i="33"/>
  <c r="C40" i="33"/>
  <c r="E40" i="33"/>
  <c r="X40" i="33"/>
  <c r="Y40" i="33"/>
  <c r="Z40" i="33"/>
  <c r="AA40" i="33"/>
  <c r="AB40" i="33"/>
  <c r="AC40" i="33"/>
  <c r="AE40" i="33"/>
  <c r="AH40" i="33"/>
  <c r="AI40" i="33"/>
  <c r="AJ40" i="33"/>
  <c r="D41" i="33"/>
  <c r="E41" i="33"/>
  <c r="F41" i="33"/>
  <c r="K41" i="33"/>
  <c r="L41" i="33"/>
  <c r="Q41" i="33"/>
  <c r="X41" i="33"/>
  <c r="X52" i="33" s="1"/>
  <c r="X60" i="33" s="1"/>
  <c r="AJ41" i="33"/>
  <c r="G42" i="33"/>
  <c r="M42" i="33"/>
  <c r="R42" i="33"/>
  <c r="R41" i="33" s="1"/>
  <c r="Y42" i="33"/>
  <c r="Z42" i="33"/>
  <c r="AJ42" i="33"/>
  <c r="D43" i="33"/>
  <c r="G43" i="33"/>
  <c r="H43" i="33"/>
  <c r="AF43" i="33" s="1"/>
  <c r="I43" i="33"/>
  <c r="J43" i="33" s="1"/>
  <c r="AH43" i="33" s="1"/>
  <c r="M43" i="33"/>
  <c r="N43" i="33" s="1"/>
  <c r="O43" i="33" s="1"/>
  <c r="P43" i="33"/>
  <c r="R43" i="33"/>
  <c r="S43" i="33" s="1"/>
  <c r="T43" i="33" s="1"/>
  <c r="U43" i="33" s="1"/>
  <c r="Y43" i="33"/>
  <c r="Y41" i="33" s="1"/>
  <c r="Y52" i="33" s="1"/>
  <c r="AE43" i="33"/>
  <c r="AJ43" i="33"/>
  <c r="G44" i="33"/>
  <c r="H44" i="33"/>
  <c r="M44" i="33"/>
  <c r="N44" i="33"/>
  <c r="O44" i="33" s="1"/>
  <c r="P44" i="33" s="1"/>
  <c r="R44" i="33"/>
  <c r="S44" i="33" s="1"/>
  <c r="T44" i="33"/>
  <c r="Y44" i="33"/>
  <c r="Z44" i="33" s="1"/>
  <c r="AA44" i="33"/>
  <c r="AB44" i="33" s="1"/>
  <c r="AC44" i="33" s="1"/>
  <c r="AE44" i="33"/>
  <c r="AJ44" i="33"/>
  <c r="G45" i="33"/>
  <c r="H45" i="33" s="1"/>
  <c r="M45" i="33"/>
  <c r="N45" i="33"/>
  <c r="O45" i="33" s="1"/>
  <c r="P45" i="33" s="1"/>
  <c r="S45" i="33"/>
  <c r="T45" i="33" s="1"/>
  <c r="U45" i="33" s="1"/>
  <c r="V45" i="33" s="1"/>
  <c r="Y45" i="33"/>
  <c r="Z45" i="33"/>
  <c r="AA45" i="33" s="1"/>
  <c r="AB45" i="33" s="1"/>
  <c r="AC45" i="33" s="1"/>
  <c r="AE45" i="33"/>
  <c r="AJ45" i="33"/>
  <c r="G46" i="33"/>
  <c r="H46" i="33" s="1"/>
  <c r="AF46" i="33" s="1"/>
  <c r="M46" i="33"/>
  <c r="N46" i="33"/>
  <c r="O46" i="33" s="1"/>
  <c r="P46" i="33"/>
  <c r="S46" i="33"/>
  <c r="T46" i="33"/>
  <c r="U46" i="33"/>
  <c r="V46" i="33" s="1"/>
  <c r="Y46" i="33"/>
  <c r="Z46" i="33" s="1"/>
  <c r="AA46" i="33" s="1"/>
  <c r="AB46" i="33" s="1"/>
  <c r="AC46" i="33" s="1"/>
  <c r="AJ46" i="33"/>
  <c r="E47" i="33"/>
  <c r="E52" i="33" s="1"/>
  <c r="F47" i="33"/>
  <c r="I25" i="39" s="1"/>
  <c r="I24" i="39" s="1"/>
  <c r="K47" i="33"/>
  <c r="L47" i="33"/>
  <c r="L52" i="33" s="1"/>
  <c r="M47" i="33"/>
  <c r="Q47" i="33"/>
  <c r="W47" i="33"/>
  <c r="X47" i="33"/>
  <c r="D48" i="33"/>
  <c r="G48" i="33"/>
  <c r="M48" i="33"/>
  <c r="N48" i="33"/>
  <c r="R48" i="33"/>
  <c r="Y48" i="33"/>
  <c r="Y47" i="33" s="1"/>
  <c r="G49" i="33"/>
  <c r="M49" i="33"/>
  <c r="N49" i="33"/>
  <c r="O49" i="33" s="1"/>
  <c r="P49" i="33" s="1"/>
  <c r="R49" i="33"/>
  <c r="S49" i="33" s="1"/>
  <c r="T49" i="33" s="1"/>
  <c r="U49" i="33" s="1"/>
  <c r="V49" i="33" s="1"/>
  <c r="Y49" i="33"/>
  <c r="Z49" i="33" s="1"/>
  <c r="AA49" i="33" s="1"/>
  <c r="AB49" i="33" s="1"/>
  <c r="AC49" i="33" s="1"/>
  <c r="AJ49" i="33"/>
  <c r="D50" i="33"/>
  <c r="AJ50" i="33" s="1"/>
  <c r="G50" i="33"/>
  <c r="H50" i="33"/>
  <c r="I50" i="33"/>
  <c r="J50" i="33" s="1"/>
  <c r="AH50" i="33" s="1"/>
  <c r="M50" i="33"/>
  <c r="N50" i="33" s="1"/>
  <c r="O50" i="33"/>
  <c r="P50" i="33" s="1"/>
  <c r="S50" i="33"/>
  <c r="T50" i="33"/>
  <c r="U50" i="33"/>
  <c r="V50" i="33" s="1"/>
  <c r="Y50" i="33"/>
  <c r="Z50" i="33" s="1"/>
  <c r="AA50" i="33" s="1"/>
  <c r="AB50" i="33" s="1"/>
  <c r="AC50" i="33" s="1"/>
  <c r="AE50" i="33"/>
  <c r="AF50" i="33"/>
  <c r="G51" i="33"/>
  <c r="H51" i="33"/>
  <c r="M51" i="33"/>
  <c r="N51" i="33" s="1"/>
  <c r="O51" i="33" s="1"/>
  <c r="P51" i="33" s="1"/>
  <c r="S51" i="33"/>
  <c r="T51" i="33" s="1"/>
  <c r="U51" i="33" s="1"/>
  <c r="V51" i="33" s="1"/>
  <c r="Y51" i="33"/>
  <c r="Z51" i="33" s="1"/>
  <c r="AA51" i="33" s="1"/>
  <c r="AB51" i="33" s="1"/>
  <c r="AC51" i="33" s="1"/>
  <c r="AE51" i="33"/>
  <c r="AJ51" i="33"/>
  <c r="F52" i="33"/>
  <c r="K52" i="33"/>
  <c r="AE53" i="33"/>
  <c r="AF53" i="33"/>
  <c r="AG53" i="33"/>
  <c r="AH53" i="33"/>
  <c r="AI53" i="33"/>
  <c r="AJ53" i="33"/>
  <c r="C54" i="33"/>
  <c r="G54" i="33"/>
  <c r="H54" i="33"/>
  <c r="I54" i="33"/>
  <c r="M54" i="33"/>
  <c r="N54" i="33"/>
  <c r="O54" i="33" s="1"/>
  <c r="P54" i="33" s="1"/>
  <c r="Q54" i="33"/>
  <c r="R54" i="33"/>
  <c r="S54" i="33"/>
  <c r="T54" i="33"/>
  <c r="U54" i="33" s="1"/>
  <c r="V54" i="33" s="1"/>
  <c r="W54" i="33" s="1"/>
  <c r="Y54" i="33"/>
  <c r="Z54" i="33" s="1"/>
  <c r="AA54" i="33" s="1"/>
  <c r="AB54" i="33" s="1"/>
  <c r="AC54" i="33" s="1"/>
  <c r="AE54" i="33"/>
  <c r="AJ54" i="33"/>
  <c r="V55" i="33"/>
  <c r="Y55" i="33"/>
  <c r="Z55" i="33" s="1"/>
  <c r="AA55" i="33" s="1"/>
  <c r="AB55" i="33" s="1"/>
  <c r="AE55" i="33"/>
  <c r="AF55" i="33"/>
  <c r="AG55" i="33"/>
  <c r="AH55" i="33"/>
  <c r="AJ55" i="33"/>
  <c r="V56" i="33"/>
  <c r="Y56" i="33"/>
  <c r="Z56" i="33"/>
  <c r="AA56" i="33"/>
  <c r="AB56" i="33" s="1"/>
  <c r="AE56" i="33"/>
  <c r="AJ56" i="33"/>
  <c r="K57" i="33"/>
  <c r="F58" i="33"/>
  <c r="G58" i="33" s="1"/>
  <c r="H58" i="33" s="1"/>
  <c r="I58" i="33" s="1"/>
  <c r="J58" i="33" s="1"/>
  <c r="K58" i="33" s="1"/>
  <c r="K60" i="33"/>
  <c r="AI39" i="32"/>
  <c r="D5" i="32"/>
  <c r="E5" i="32"/>
  <c r="AI5" i="32"/>
  <c r="AJ5" i="32"/>
  <c r="D8" i="32"/>
  <c r="E8" i="32"/>
  <c r="K8" i="32"/>
  <c r="K32" i="32" s="1"/>
  <c r="L8" i="32"/>
  <c r="Q8" i="32"/>
  <c r="R8" i="32"/>
  <c r="R32" i="32" s="1"/>
  <c r="R37" i="32" s="1"/>
  <c r="R60" i="32" s="1"/>
  <c r="X8" i="32"/>
  <c r="G9" i="32"/>
  <c r="G8" i="32" s="1"/>
  <c r="AE8" i="32" s="1"/>
  <c r="H9" i="32"/>
  <c r="M9" i="32"/>
  <c r="S9" i="32"/>
  <c r="T9" i="32"/>
  <c r="Y9" i="32"/>
  <c r="AE9" i="32"/>
  <c r="AJ9" i="32"/>
  <c r="F10" i="32"/>
  <c r="G10" i="32"/>
  <c r="H10" i="32" s="1"/>
  <c r="M10" i="32"/>
  <c r="N10" i="32"/>
  <c r="O10" i="32"/>
  <c r="P10" i="32" s="1"/>
  <c r="R10" i="32"/>
  <c r="S10" i="32"/>
  <c r="T10" i="32" s="1"/>
  <c r="U10" i="32" s="1"/>
  <c r="V10" i="32" s="1"/>
  <c r="Y10" i="32"/>
  <c r="Z10" i="32"/>
  <c r="AA10" i="32" s="1"/>
  <c r="AB10" i="32" s="1"/>
  <c r="AC10" i="32" s="1"/>
  <c r="AE10" i="32"/>
  <c r="AJ10" i="32"/>
  <c r="G11" i="32"/>
  <c r="H11" i="32"/>
  <c r="I11" i="32" s="1"/>
  <c r="AI11" i="32" s="1"/>
  <c r="J11" i="32"/>
  <c r="M11" i="32"/>
  <c r="N11" i="32"/>
  <c r="O11" i="32" s="1"/>
  <c r="P11" i="32"/>
  <c r="R11" i="32"/>
  <c r="S11" i="32" s="1"/>
  <c r="T11" i="32" s="1"/>
  <c r="U11" i="32" s="1"/>
  <c r="V11" i="32" s="1"/>
  <c r="Y11" i="32"/>
  <c r="Z11" i="32"/>
  <c r="AA11" i="32" s="1"/>
  <c r="AB11" i="32"/>
  <c r="AC11" i="32"/>
  <c r="AE11" i="32"/>
  <c r="AF11" i="32"/>
  <c r="AG11" i="32"/>
  <c r="AJ11" i="32"/>
  <c r="G12" i="32"/>
  <c r="H12" i="32"/>
  <c r="I12" i="32"/>
  <c r="M12" i="32"/>
  <c r="N12" i="32"/>
  <c r="O12" i="32" s="1"/>
  <c r="P12" i="32" s="1"/>
  <c r="S12" i="32"/>
  <c r="T12" i="32"/>
  <c r="U12" i="32"/>
  <c r="V12" i="32" s="1"/>
  <c r="Y12" i="32"/>
  <c r="Z12" i="32"/>
  <c r="AA12" i="32" s="1"/>
  <c r="AB12" i="32" s="1"/>
  <c r="AC12" i="32" s="1"/>
  <c r="AE12" i="32"/>
  <c r="AF12" i="32"/>
  <c r="AJ12" i="32"/>
  <c r="G13" i="32"/>
  <c r="H13" i="32"/>
  <c r="I13" i="32" s="1"/>
  <c r="J13" i="32"/>
  <c r="M13" i="32"/>
  <c r="N13" i="32" s="1"/>
  <c r="O13" i="32" s="1"/>
  <c r="P13" i="32" s="1"/>
  <c r="S13" i="32"/>
  <c r="T13" i="32"/>
  <c r="U13" i="32" s="1"/>
  <c r="V13" i="32"/>
  <c r="Y13" i="32"/>
  <c r="Z13" i="32" s="1"/>
  <c r="AA13" i="32" s="1"/>
  <c r="AB13" i="32" s="1"/>
  <c r="AC13" i="32" s="1"/>
  <c r="AE13" i="32"/>
  <c r="AG13" i="32"/>
  <c r="AH13" i="32"/>
  <c r="AJ13" i="32"/>
  <c r="F14" i="32"/>
  <c r="F8" i="32" s="1"/>
  <c r="G14" i="32"/>
  <c r="H14" i="32" s="1"/>
  <c r="M14" i="32"/>
  <c r="N14" i="32"/>
  <c r="O14" i="32" s="1"/>
  <c r="P14" i="32" s="1"/>
  <c r="R14" i="32"/>
  <c r="S14" i="32"/>
  <c r="T14" i="32" s="1"/>
  <c r="U14" i="32" s="1"/>
  <c r="V14" i="32" s="1"/>
  <c r="Y14" i="32"/>
  <c r="Z14" i="32"/>
  <c r="AA14" i="32"/>
  <c r="AB14" i="32" s="1"/>
  <c r="AC14" i="32" s="1"/>
  <c r="AE14" i="32"/>
  <c r="AJ14" i="32"/>
  <c r="G15" i="32"/>
  <c r="H15" i="32"/>
  <c r="I15" i="32" s="1"/>
  <c r="AG15" i="32" s="1"/>
  <c r="J15" i="32"/>
  <c r="AH15" i="32" s="1"/>
  <c r="M15" i="32"/>
  <c r="N15" i="32" s="1"/>
  <c r="O15" i="32"/>
  <c r="P15" i="32"/>
  <c r="R15" i="32"/>
  <c r="S15" i="32"/>
  <c r="T15" i="32"/>
  <c r="U15" i="32" s="1"/>
  <c r="V15" i="32" s="1"/>
  <c r="Y15" i="32"/>
  <c r="Z15" i="32" s="1"/>
  <c r="AA15" i="32" s="1"/>
  <c r="AB15" i="32" s="1"/>
  <c r="AC15" i="32" s="1"/>
  <c r="AE15" i="32"/>
  <c r="AF15" i="32"/>
  <c r="AJ15" i="32"/>
  <c r="G16" i="32"/>
  <c r="H16" i="32"/>
  <c r="M16" i="32"/>
  <c r="N16" i="32" s="1"/>
  <c r="O16" i="32" s="1"/>
  <c r="P16" i="32" s="1"/>
  <c r="R16" i="32"/>
  <c r="S16" i="32" s="1"/>
  <c r="T16" i="32" s="1"/>
  <c r="U16" i="32" s="1"/>
  <c r="V16" i="32" s="1"/>
  <c r="Y16" i="32"/>
  <c r="Z16" i="32" s="1"/>
  <c r="AA16" i="32" s="1"/>
  <c r="AB16" i="32" s="1"/>
  <c r="AC16" i="32" s="1"/>
  <c r="AE16" i="32"/>
  <c r="AJ16" i="32"/>
  <c r="G17" i="32"/>
  <c r="H17" i="32" s="1"/>
  <c r="I17" i="32"/>
  <c r="J17" i="32" s="1"/>
  <c r="AH17" i="32" s="1"/>
  <c r="M17" i="32"/>
  <c r="N17" i="32"/>
  <c r="O17" i="32"/>
  <c r="P17" i="32" s="1"/>
  <c r="S17" i="32"/>
  <c r="T17" i="32" s="1"/>
  <c r="U17" i="32" s="1"/>
  <c r="V17" i="32" s="1"/>
  <c r="Y17" i="32"/>
  <c r="Z17" i="32"/>
  <c r="AA17" i="32"/>
  <c r="AB17" i="32" s="1"/>
  <c r="AC17" i="32" s="1"/>
  <c r="AF17" i="32"/>
  <c r="AG17" i="32"/>
  <c r="AJ17" i="32"/>
  <c r="G18" i="32"/>
  <c r="H18" i="32" s="1"/>
  <c r="N18" i="32"/>
  <c r="S18" i="32"/>
  <c r="T18" i="32" s="1"/>
  <c r="U18" i="32" s="1"/>
  <c r="V18" i="32" s="1"/>
  <c r="Y18" i="32"/>
  <c r="Z18" i="32" s="1"/>
  <c r="AA18" i="32" s="1"/>
  <c r="AB18" i="32" s="1"/>
  <c r="AC18" i="32" s="1"/>
  <c r="AE18" i="32"/>
  <c r="AJ18" i="32"/>
  <c r="G19" i="32"/>
  <c r="H19" i="32" s="1"/>
  <c r="M19" i="32"/>
  <c r="N19" i="32"/>
  <c r="O19" i="32"/>
  <c r="P19" i="32" s="1"/>
  <c r="S19" i="32"/>
  <c r="T19" i="32" s="1"/>
  <c r="U19" i="32" s="1"/>
  <c r="V19" i="32" s="1"/>
  <c r="Y19" i="32"/>
  <c r="Z19" i="32" s="1"/>
  <c r="AA19" i="32" s="1"/>
  <c r="AB19" i="32" s="1"/>
  <c r="AC19" i="32" s="1"/>
  <c r="AE19" i="32"/>
  <c r="AJ19" i="32"/>
  <c r="D20" i="32"/>
  <c r="E20" i="32"/>
  <c r="F20" i="32"/>
  <c r="P296" i="55" s="1"/>
  <c r="K20" i="32"/>
  <c r="L20" i="32"/>
  <c r="Q20" i="32"/>
  <c r="R20" i="32"/>
  <c r="W20" i="32"/>
  <c r="X20" i="32"/>
  <c r="Y20" i="32"/>
  <c r="AJ20" i="32"/>
  <c r="G21" i="32"/>
  <c r="H21" i="32"/>
  <c r="I21" i="32"/>
  <c r="J21" i="32" s="1"/>
  <c r="M21" i="32"/>
  <c r="N21" i="32" s="1"/>
  <c r="S21" i="32"/>
  <c r="T21" i="32"/>
  <c r="U21" i="32"/>
  <c r="Y21" i="32"/>
  <c r="Z21" i="32" s="1"/>
  <c r="Z20" i="32" s="1"/>
  <c r="AA21" i="32"/>
  <c r="AA20" i="32" s="1"/>
  <c r="AE21" i="32"/>
  <c r="AF21" i="32"/>
  <c r="AJ21" i="32"/>
  <c r="G22" i="32"/>
  <c r="G20" i="32" s="1"/>
  <c r="AE20" i="32" s="1"/>
  <c r="M22" i="32"/>
  <c r="M20" i="32" s="1"/>
  <c r="S22" i="32"/>
  <c r="T22" i="32"/>
  <c r="U22" i="32" s="1"/>
  <c r="V22" i="32" s="1"/>
  <c r="Y22" i="32"/>
  <c r="Z22" i="32" s="1"/>
  <c r="AA22" i="32" s="1"/>
  <c r="AB22" i="32" s="1"/>
  <c r="AC22" i="32" s="1"/>
  <c r="AJ22" i="32"/>
  <c r="D23" i="32"/>
  <c r="E23" i="32"/>
  <c r="F23" i="32"/>
  <c r="G23" i="32"/>
  <c r="AE23" i="32" s="1"/>
  <c r="K23" i="32"/>
  <c r="L23" i="32"/>
  <c r="Q23" i="32"/>
  <c r="R23" i="32"/>
  <c r="W23" i="32"/>
  <c r="X23" i="32"/>
  <c r="X32" i="32" s="1"/>
  <c r="X37" i="32" s="1"/>
  <c r="X60" i="32" s="1"/>
  <c r="G24" i="32"/>
  <c r="AE24" i="32" s="1"/>
  <c r="H24" i="32"/>
  <c r="H23" i="32" s="1"/>
  <c r="AF23" i="32" s="1"/>
  <c r="K24" i="32"/>
  <c r="W24" i="32" s="1"/>
  <c r="M24" i="32"/>
  <c r="M23" i="32" s="1"/>
  <c r="N24" i="32"/>
  <c r="S24" i="32"/>
  <c r="S23" i="32" s="1"/>
  <c r="Y24" i="32"/>
  <c r="Y23" i="32" s="1"/>
  <c r="AJ24" i="32"/>
  <c r="G25" i="32"/>
  <c r="H25" i="32"/>
  <c r="I25" i="32" s="1"/>
  <c r="AG25" i="32" s="1"/>
  <c r="J25" i="32"/>
  <c r="AH25" i="32" s="1"/>
  <c r="M25" i="32"/>
  <c r="N25" i="32" s="1"/>
  <c r="O25" i="32" s="1"/>
  <c r="P25" i="32" s="1"/>
  <c r="S25" i="32"/>
  <c r="T25" i="32"/>
  <c r="U25" i="32" s="1"/>
  <c r="V25" i="32"/>
  <c r="Y25" i="32"/>
  <c r="Z25" i="32" s="1"/>
  <c r="AA25" i="32"/>
  <c r="AB25" i="32"/>
  <c r="AC25" i="32" s="1"/>
  <c r="AE25" i="32"/>
  <c r="AF25" i="32"/>
  <c r="AJ25" i="32"/>
  <c r="G26" i="32"/>
  <c r="M26" i="32"/>
  <c r="N26" i="32" s="1"/>
  <c r="O26" i="32" s="1"/>
  <c r="P26" i="32" s="1"/>
  <c r="S26" i="32"/>
  <c r="T26" i="32" s="1"/>
  <c r="U26" i="32" s="1"/>
  <c r="V26" i="32" s="1"/>
  <c r="Y26" i="32"/>
  <c r="Z26" i="32" s="1"/>
  <c r="AA26" i="32" s="1"/>
  <c r="AB26" i="32" s="1"/>
  <c r="AC26" i="32" s="1"/>
  <c r="AJ26" i="32"/>
  <c r="G27" i="32"/>
  <c r="H27" i="32"/>
  <c r="I27" i="32" s="1"/>
  <c r="M27" i="32"/>
  <c r="N27" i="32"/>
  <c r="O27" i="32" s="1"/>
  <c r="P27" i="32" s="1"/>
  <c r="S27" i="32"/>
  <c r="T27" i="32"/>
  <c r="U27" i="32"/>
  <c r="V27" i="32" s="1"/>
  <c r="Y27" i="32"/>
  <c r="Z27" i="32"/>
  <c r="AA27" i="32" s="1"/>
  <c r="AB27" i="32" s="1"/>
  <c r="AC27" i="32" s="1"/>
  <c r="AE27" i="32"/>
  <c r="AF27" i="32"/>
  <c r="AJ27" i="32"/>
  <c r="G28" i="32"/>
  <c r="H28" i="32" s="1"/>
  <c r="M28" i="32"/>
  <c r="N28" i="32" s="1"/>
  <c r="O28" i="32" s="1"/>
  <c r="P28" i="32" s="1"/>
  <c r="S28" i="32"/>
  <c r="T28" i="32" s="1"/>
  <c r="U28" i="32" s="1"/>
  <c r="V28" i="32" s="1"/>
  <c r="Y28" i="32"/>
  <c r="Z28" i="32" s="1"/>
  <c r="AA28" i="32" s="1"/>
  <c r="AB28" i="32" s="1"/>
  <c r="AC28" i="32" s="1"/>
  <c r="AE28" i="32"/>
  <c r="AJ28" i="32"/>
  <c r="G29" i="32"/>
  <c r="H29" i="32"/>
  <c r="I29" i="32" s="1"/>
  <c r="M29" i="32"/>
  <c r="N29" i="32"/>
  <c r="O29" i="32"/>
  <c r="P29" i="32" s="1"/>
  <c r="S29" i="32"/>
  <c r="T29" i="32"/>
  <c r="U29" i="32" s="1"/>
  <c r="V29" i="32" s="1"/>
  <c r="Y29" i="32"/>
  <c r="Z29" i="32"/>
  <c r="AA29" i="32"/>
  <c r="AB29" i="32" s="1"/>
  <c r="AC29" i="32" s="1"/>
  <c r="AE29" i="32"/>
  <c r="AJ29" i="32"/>
  <c r="G30" i="32"/>
  <c r="M30" i="32"/>
  <c r="N30" i="32" s="1"/>
  <c r="O30" i="32" s="1"/>
  <c r="P30" i="32" s="1"/>
  <c r="S30" i="32"/>
  <c r="T30" i="32" s="1"/>
  <c r="U30" i="32" s="1"/>
  <c r="V30" i="32" s="1"/>
  <c r="Y30" i="32"/>
  <c r="Z30" i="32" s="1"/>
  <c r="AA30" i="32" s="1"/>
  <c r="AB30" i="32"/>
  <c r="AC30" i="32" s="1"/>
  <c r="AJ30" i="32"/>
  <c r="G31" i="32"/>
  <c r="H31" i="32"/>
  <c r="M31" i="32"/>
  <c r="N31" i="32"/>
  <c r="O31" i="32" s="1"/>
  <c r="P31" i="32" s="1"/>
  <c r="S31" i="32"/>
  <c r="T31" i="32"/>
  <c r="U31" i="32" s="1"/>
  <c r="V31" i="32" s="1"/>
  <c r="Y31" i="32"/>
  <c r="Z31" i="32"/>
  <c r="AA31" i="32" s="1"/>
  <c r="AB31" i="32" s="1"/>
  <c r="AC31" i="32" s="1"/>
  <c r="AE31" i="32"/>
  <c r="AJ31" i="32"/>
  <c r="D32" i="32"/>
  <c r="E32" i="32"/>
  <c r="L32" i="32"/>
  <c r="L37" i="32" s="1"/>
  <c r="Q32" i="32"/>
  <c r="Q37" i="32" s="1"/>
  <c r="D33" i="32"/>
  <c r="E33" i="32"/>
  <c r="G33" i="32"/>
  <c r="AE33" i="32" s="1"/>
  <c r="H33" i="32"/>
  <c r="AF33" i="32" s="1"/>
  <c r="K33" i="32"/>
  <c r="L33" i="32"/>
  <c r="Q33" i="32"/>
  <c r="X33" i="32"/>
  <c r="Y33" i="32"/>
  <c r="G34" i="32"/>
  <c r="H34" i="32" s="1"/>
  <c r="M34" i="32"/>
  <c r="N34" i="32"/>
  <c r="R34" i="32"/>
  <c r="R33" i="32" s="1"/>
  <c r="Y34" i="32"/>
  <c r="Z34" i="32" s="1"/>
  <c r="AJ34" i="32"/>
  <c r="G35" i="32"/>
  <c r="H35" i="32" s="1"/>
  <c r="M35" i="32"/>
  <c r="N35" i="32" s="1"/>
  <c r="O35" i="32" s="1"/>
  <c r="P35" i="32" s="1"/>
  <c r="R35" i="32"/>
  <c r="S35" i="32" s="1"/>
  <c r="T35" i="32" s="1"/>
  <c r="U35" i="32" s="1"/>
  <c r="V35" i="32"/>
  <c r="Y35" i="32"/>
  <c r="Z35" i="32" s="1"/>
  <c r="AA35" i="32" s="1"/>
  <c r="AB35" i="32" s="1"/>
  <c r="AC35" i="32" s="1"/>
  <c r="AJ35" i="32"/>
  <c r="F36" i="32"/>
  <c r="F33" i="32" s="1"/>
  <c r="AJ33" i="32" s="1"/>
  <c r="G36" i="32"/>
  <c r="H36" i="32" s="1"/>
  <c r="M36" i="32"/>
  <c r="N36" i="32"/>
  <c r="O36" i="32" s="1"/>
  <c r="P36" i="32" s="1"/>
  <c r="R36" i="32"/>
  <c r="S36" i="32" s="1"/>
  <c r="T36" i="32" s="1"/>
  <c r="U36" i="32" s="1"/>
  <c r="V36" i="32" s="1"/>
  <c r="Y36" i="32"/>
  <c r="Z36" i="32" s="1"/>
  <c r="AA36" i="32" s="1"/>
  <c r="AB36" i="32" s="1"/>
  <c r="AC36" i="32" s="1"/>
  <c r="AJ36" i="32"/>
  <c r="D37" i="32"/>
  <c r="E37" i="32"/>
  <c r="K37" i="32"/>
  <c r="K60" i="32" s="1"/>
  <c r="AH38" i="32"/>
  <c r="E39" i="32"/>
  <c r="F39" i="32"/>
  <c r="G39" i="32"/>
  <c r="H39" i="32"/>
  <c r="N39" i="32"/>
  <c r="T39" i="32"/>
  <c r="AF39" i="32"/>
  <c r="AG39" i="32"/>
  <c r="C40" i="32"/>
  <c r="D40" i="32"/>
  <c r="E40" i="32"/>
  <c r="X40" i="32"/>
  <c r="Y40" i="32"/>
  <c r="Z40" i="32"/>
  <c r="AA40" i="32"/>
  <c r="AB40" i="32"/>
  <c r="AC40" i="32"/>
  <c r="AE40" i="32"/>
  <c r="AH40" i="32"/>
  <c r="AI40" i="32"/>
  <c r="AJ40" i="32"/>
  <c r="D41" i="32"/>
  <c r="E41" i="32"/>
  <c r="K41" i="32"/>
  <c r="L41" i="32"/>
  <c r="L52" i="32" s="1"/>
  <c r="Q41" i="32"/>
  <c r="X41" i="32"/>
  <c r="G42" i="32"/>
  <c r="H42" i="32"/>
  <c r="I42" i="32" s="1"/>
  <c r="J42" i="32"/>
  <c r="AH42" i="32" s="1"/>
  <c r="M42" i="32"/>
  <c r="M41" i="32" s="1"/>
  <c r="R42" i="32"/>
  <c r="S42" i="32"/>
  <c r="T42" i="32"/>
  <c r="U42" i="32" s="1"/>
  <c r="V42" i="32" s="1"/>
  <c r="Y42" i="32"/>
  <c r="AE42" i="32"/>
  <c r="AF42" i="32"/>
  <c r="AJ42" i="32"/>
  <c r="F43" i="32"/>
  <c r="G43" i="32" s="1"/>
  <c r="M43" i="32"/>
  <c r="N43" i="32" s="1"/>
  <c r="O43" i="32" s="1"/>
  <c r="P43" i="32" s="1"/>
  <c r="R43" i="32"/>
  <c r="R41" i="32" s="1"/>
  <c r="R52" i="32" s="1"/>
  <c r="S43" i="32"/>
  <c r="T43" i="32" s="1"/>
  <c r="U43" i="32" s="1"/>
  <c r="V43" i="32" s="1"/>
  <c r="Y43" i="32"/>
  <c r="Z43" i="32" s="1"/>
  <c r="AA43" i="32" s="1"/>
  <c r="AB43" i="32" s="1"/>
  <c r="AC43" i="32" s="1"/>
  <c r="F44" i="32"/>
  <c r="P304" i="55" s="1"/>
  <c r="G44" i="32"/>
  <c r="H44" i="32" s="1"/>
  <c r="I44" i="32" s="1"/>
  <c r="M44" i="32"/>
  <c r="N44" i="32"/>
  <c r="O44" i="32" s="1"/>
  <c r="P44" i="32" s="1"/>
  <c r="R44" i="32"/>
  <c r="S44" i="32"/>
  <c r="T44" i="32"/>
  <c r="U44" i="32" s="1"/>
  <c r="V44" i="32" s="1"/>
  <c r="Y44" i="32"/>
  <c r="Z44" i="32"/>
  <c r="AA44" i="32" s="1"/>
  <c r="AB44" i="32" s="1"/>
  <c r="AC44" i="32" s="1"/>
  <c r="AF44" i="32"/>
  <c r="AJ44" i="32"/>
  <c r="G45" i="32"/>
  <c r="H45" i="32" s="1"/>
  <c r="I45" i="32" s="1"/>
  <c r="M45" i="32"/>
  <c r="N45" i="32"/>
  <c r="O45" i="32"/>
  <c r="P45" i="32" s="1"/>
  <c r="S45" i="32"/>
  <c r="T45" i="32" s="1"/>
  <c r="U45" i="32"/>
  <c r="V45" i="32" s="1"/>
  <c r="Y45" i="32"/>
  <c r="Z45" i="32"/>
  <c r="AA45" i="32"/>
  <c r="AB45" i="32" s="1"/>
  <c r="AC45" i="32" s="1"/>
  <c r="AJ45" i="32"/>
  <c r="G46" i="32"/>
  <c r="H46" i="32" s="1"/>
  <c r="M46" i="32"/>
  <c r="N46" i="32" s="1"/>
  <c r="O46" i="32" s="1"/>
  <c r="P46" i="32" s="1"/>
  <c r="S46" i="32"/>
  <c r="T46" i="32" s="1"/>
  <c r="U46" i="32" s="1"/>
  <c r="V46" i="32" s="1"/>
  <c r="Y46" i="32"/>
  <c r="Z46" i="32" s="1"/>
  <c r="AA46" i="32" s="1"/>
  <c r="AB46" i="32" s="1"/>
  <c r="AC46" i="32" s="1"/>
  <c r="AJ46" i="32"/>
  <c r="D47" i="32"/>
  <c r="AJ47" i="32" s="1"/>
  <c r="E47" i="32"/>
  <c r="E52" i="32" s="1"/>
  <c r="E57" i="32" s="1"/>
  <c r="F47" i="32"/>
  <c r="I23" i="39" s="1"/>
  <c r="K47" i="32"/>
  <c r="L47" i="32"/>
  <c r="Q47" i="32"/>
  <c r="Q52" i="32" s="1"/>
  <c r="R47" i="32"/>
  <c r="X47" i="32"/>
  <c r="G48" i="32"/>
  <c r="H48" i="32"/>
  <c r="M48" i="32"/>
  <c r="M47" i="32" s="1"/>
  <c r="N48" i="32"/>
  <c r="R48" i="32"/>
  <c r="S48" i="32"/>
  <c r="T48" i="32"/>
  <c r="Y48" i="32"/>
  <c r="Z48" i="32" s="1"/>
  <c r="AE48" i="32"/>
  <c r="AJ48" i="32"/>
  <c r="G49" i="32"/>
  <c r="G47" i="32" s="1"/>
  <c r="M49" i="32"/>
  <c r="N49" i="32"/>
  <c r="O49" i="32"/>
  <c r="P49" i="32" s="1"/>
  <c r="R49" i="32"/>
  <c r="S49" i="32" s="1"/>
  <c r="T49" i="32"/>
  <c r="U49" i="32" s="1"/>
  <c r="V49" i="32" s="1"/>
  <c r="Y49" i="32"/>
  <c r="Z49" i="32"/>
  <c r="AA49" i="32" s="1"/>
  <c r="AB49" i="32" s="1"/>
  <c r="AC49" i="32" s="1"/>
  <c r="AE49" i="32"/>
  <c r="AJ49" i="32"/>
  <c r="G50" i="32"/>
  <c r="H50" i="32" s="1"/>
  <c r="M50" i="32"/>
  <c r="N50" i="32" s="1"/>
  <c r="O50" i="32" s="1"/>
  <c r="P50" i="32" s="1"/>
  <c r="S50" i="32"/>
  <c r="T50" i="32" s="1"/>
  <c r="U50" i="32" s="1"/>
  <c r="V50" i="32"/>
  <c r="Y50" i="32"/>
  <c r="Z50" i="32" s="1"/>
  <c r="AA50" i="32" s="1"/>
  <c r="AB50" i="32" s="1"/>
  <c r="AC50" i="32" s="1"/>
  <c r="AJ50" i="32"/>
  <c r="G51" i="32"/>
  <c r="H51" i="32"/>
  <c r="I51" i="32" s="1"/>
  <c r="M51" i="32"/>
  <c r="N51" i="32"/>
  <c r="O51" i="32"/>
  <c r="P51" i="32" s="1"/>
  <c r="S51" i="32"/>
  <c r="T51" i="32"/>
  <c r="U51" i="32" s="1"/>
  <c r="V51" i="32" s="1"/>
  <c r="Y51" i="32"/>
  <c r="Z51" i="32"/>
  <c r="AA51" i="32" s="1"/>
  <c r="AB51" i="32" s="1"/>
  <c r="AC51" i="32" s="1"/>
  <c r="AE51" i="32"/>
  <c r="AJ51" i="32"/>
  <c r="D52" i="32"/>
  <c r="D57" i="32" s="1"/>
  <c r="K52" i="32"/>
  <c r="X52" i="32"/>
  <c r="AE53" i="32"/>
  <c r="AF53" i="32"/>
  <c r="AG53" i="32"/>
  <c r="AH53" i="32"/>
  <c r="AI53" i="32"/>
  <c r="AJ53" i="32"/>
  <c r="C54" i="32"/>
  <c r="G54" i="32"/>
  <c r="AE54" i="32"/>
  <c r="M54" i="32"/>
  <c r="N54" i="32"/>
  <c r="O54" i="32"/>
  <c r="P54" i="32" s="1"/>
  <c r="Q54" i="32" s="1"/>
  <c r="R54" i="32"/>
  <c r="S54" i="32"/>
  <c r="T54" i="32" s="1"/>
  <c r="U54" i="32" s="1"/>
  <c r="V54" i="32" s="1"/>
  <c r="W54" i="32" s="1"/>
  <c r="Y54" i="32"/>
  <c r="Z54" i="32" s="1"/>
  <c r="AA54" i="32" s="1"/>
  <c r="AB54" i="32"/>
  <c r="AC54" i="32"/>
  <c r="AJ54" i="32"/>
  <c r="V55" i="32"/>
  <c r="Y55" i="32"/>
  <c r="Z55" i="32" s="1"/>
  <c r="AA55" i="32" s="1"/>
  <c r="AB55" i="32" s="1"/>
  <c r="AE55" i="32"/>
  <c r="AF55" i="32"/>
  <c r="AG55" i="32"/>
  <c r="AH55" i="32"/>
  <c r="AJ55" i="32"/>
  <c r="V56" i="32"/>
  <c r="Y56" i="32"/>
  <c r="Z56" i="32" s="1"/>
  <c r="AA56" i="32"/>
  <c r="AB56" i="32" s="1"/>
  <c r="AE56" i="32"/>
  <c r="AJ56" i="32"/>
  <c r="K57" i="32"/>
  <c r="G58" i="32"/>
  <c r="H58" i="32" s="1"/>
  <c r="I58" i="32" s="1"/>
  <c r="J58" i="32" s="1"/>
  <c r="K58" i="32" s="1"/>
  <c r="E60" i="32"/>
  <c r="D5" i="31"/>
  <c r="E5" i="31"/>
  <c r="AI5" i="31"/>
  <c r="AI40" i="31" s="1"/>
  <c r="AJ5" i="31"/>
  <c r="D8" i="31"/>
  <c r="D32" i="31" s="1"/>
  <c r="D37" i="31" s="1"/>
  <c r="D60" i="31" s="1"/>
  <c r="E8" i="31"/>
  <c r="K8" i="31"/>
  <c r="L8" i="31"/>
  <c r="L32" i="31" s="1"/>
  <c r="L37" i="31" s="1"/>
  <c r="Q8" i="31"/>
  <c r="W8" i="31"/>
  <c r="X8" i="31"/>
  <c r="G9" i="31"/>
  <c r="H9" i="31"/>
  <c r="M9" i="31"/>
  <c r="N9" i="31"/>
  <c r="S9" i="31"/>
  <c r="T9" i="31"/>
  <c r="Y9" i="31"/>
  <c r="Z9" i="31"/>
  <c r="AA9" i="31" s="1"/>
  <c r="AE9" i="31"/>
  <c r="AJ9" i="31"/>
  <c r="G10" i="31"/>
  <c r="H10" i="31" s="1"/>
  <c r="M10" i="31"/>
  <c r="N10" i="31" s="1"/>
  <c r="O10" i="31" s="1"/>
  <c r="P10" i="31" s="1"/>
  <c r="R10" i="31"/>
  <c r="S10" i="31" s="1"/>
  <c r="Y10" i="31"/>
  <c r="Z10" i="31" s="1"/>
  <c r="AE10" i="31"/>
  <c r="AJ10" i="31"/>
  <c r="G11" i="31"/>
  <c r="H11" i="31"/>
  <c r="I11" i="31"/>
  <c r="J11" i="31" s="1"/>
  <c r="AH11" i="31" s="1"/>
  <c r="M11" i="31"/>
  <c r="N11" i="31" s="1"/>
  <c r="O11" i="31" s="1"/>
  <c r="P11" i="31" s="1"/>
  <c r="S11" i="31"/>
  <c r="T11" i="31"/>
  <c r="U11" i="31"/>
  <c r="V11" i="31" s="1"/>
  <c r="Y11" i="31"/>
  <c r="Z11" i="31" s="1"/>
  <c r="AA11" i="31"/>
  <c r="AB11" i="31"/>
  <c r="AC11" i="31" s="1"/>
  <c r="AE11" i="31"/>
  <c r="AF11" i="31"/>
  <c r="AJ11" i="31"/>
  <c r="G12" i="31"/>
  <c r="H12" i="31" s="1"/>
  <c r="M12" i="31"/>
  <c r="N12" i="31" s="1"/>
  <c r="O12" i="31" s="1"/>
  <c r="P12" i="31" s="1"/>
  <c r="S12" i="31"/>
  <c r="T12" i="31" s="1"/>
  <c r="U12" i="31" s="1"/>
  <c r="V12" i="31" s="1"/>
  <c r="Y12" i="31"/>
  <c r="Z12" i="31" s="1"/>
  <c r="AA12" i="31" s="1"/>
  <c r="AB12" i="31" s="1"/>
  <c r="AC12" i="31" s="1"/>
  <c r="AJ12" i="31"/>
  <c r="F13" i="31"/>
  <c r="F8" i="31" s="1"/>
  <c r="M13" i="31"/>
  <c r="N13" i="31"/>
  <c r="O13" i="31"/>
  <c r="P13" i="31" s="1"/>
  <c r="R13" i="31"/>
  <c r="S13" i="31" s="1"/>
  <c r="T13" i="31"/>
  <c r="U13" i="31" s="1"/>
  <c r="V13" i="31" s="1"/>
  <c r="Y13" i="31"/>
  <c r="Z13" i="31"/>
  <c r="AA13" i="31"/>
  <c r="AB13" i="31" s="1"/>
  <c r="AC13" i="31" s="1"/>
  <c r="AJ13" i="31"/>
  <c r="G14" i="31"/>
  <c r="H14" i="31" s="1"/>
  <c r="M14" i="31"/>
  <c r="N14" i="31" s="1"/>
  <c r="O14" i="31" s="1"/>
  <c r="P14" i="31" s="1"/>
  <c r="R14" i="31"/>
  <c r="S14" i="31" s="1"/>
  <c r="T14" i="31" s="1"/>
  <c r="U14" i="31" s="1"/>
  <c r="V14" i="31" s="1"/>
  <c r="Y14" i="31"/>
  <c r="Z14" i="31" s="1"/>
  <c r="AA14" i="31" s="1"/>
  <c r="AB14" i="31" s="1"/>
  <c r="AC14" i="31" s="1"/>
  <c r="AE14" i="31"/>
  <c r="AJ14" i="31"/>
  <c r="G15" i="31"/>
  <c r="AE15" i="31" s="1"/>
  <c r="H15" i="31"/>
  <c r="I15" i="31" s="1"/>
  <c r="J15" i="31" s="1"/>
  <c r="AH15" i="31" s="1"/>
  <c r="M15" i="31"/>
  <c r="N15" i="31" s="1"/>
  <c r="O15" i="31" s="1"/>
  <c r="P15" i="31" s="1"/>
  <c r="S15" i="31"/>
  <c r="T15" i="31"/>
  <c r="U15" i="31" s="1"/>
  <c r="V15" i="31"/>
  <c r="Y15" i="31"/>
  <c r="Z15" i="31" s="1"/>
  <c r="AA15" i="31" s="1"/>
  <c r="AB15" i="31"/>
  <c r="AC15" i="31"/>
  <c r="AF15" i="31"/>
  <c r="AG15" i="31"/>
  <c r="AJ15" i="31"/>
  <c r="G16" i="31"/>
  <c r="AE16" i="31" s="1"/>
  <c r="M16" i="31"/>
  <c r="N16" i="31" s="1"/>
  <c r="O16" i="31" s="1"/>
  <c r="P16" i="31" s="1"/>
  <c r="R16" i="31"/>
  <c r="S16" i="31" s="1"/>
  <c r="T16" i="31" s="1"/>
  <c r="U16" i="31" s="1"/>
  <c r="V16" i="31" s="1"/>
  <c r="Y16" i="31"/>
  <c r="Z16" i="31" s="1"/>
  <c r="AA16" i="31" s="1"/>
  <c r="AB16" i="31" s="1"/>
  <c r="AC16" i="31" s="1"/>
  <c r="AJ16" i="31"/>
  <c r="G17" i="31"/>
  <c r="H17" i="31" s="1"/>
  <c r="I17" i="31" s="1"/>
  <c r="AG17" i="31" s="1"/>
  <c r="J17" i="31"/>
  <c r="AH17" i="31" s="1"/>
  <c r="M17" i="31"/>
  <c r="N17" i="31"/>
  <c r="O17" i="31"/>
  <c r="P17" i="31" s="1"/>
  <c r="S17" i="31"/>
  <c r="T17" i="31" s="1"/>
  <c r="U17" i="31"/>
  <c r="V17" i="31" s="1"/>
  <c r="Y17" i="31"/>
  <c r="Z17" i="31"/>
  <c r="AA17" i="31"/>
  <c r="AB17" i="31" s="1"/>
  <c r="AC17" i="31" s="1"/>
  <c r="AF17" i="31"/>
  <c r="AJ17" i="31"/>
  <c r="G18" i="31"/>
  <c r="AE18" i="31" s="1"/>
  <c r="J18" i="31"/>
  <c r="N18" i="31"/>
  <c r="S18" i="31"/>
  <c r="T18" i="31" s="1"/>
  <c r="AH18" i="31"/>
  <c r="AJ18" i="31"/>
  <c r="G19" i="31"/>
  <c r="H19" i="31"/>
  <c r="M19" i="31"/>
  <c r="N19" i="31"/>
  <c r="O19" i="31"/>
  <c r="P19" i="31" s="1"/>
  <c r="S19" i="31"/>
  <c r="T19" i="31" s="1"/>
  <c r="U19" i="31" s="1"/>
  <c r="V19" i="31" s="1"/>
  <c r="Y19" i="31"/>
  <c r="Z19" i="31" s="1"/>
  <c r="AA19" i="31" s="1"/>
  <c r="AB19" i="31" s="1"/>
  <c r="AC19" i="31" s="1"/>
  <c r="AE19" i="31"/>
  <c r="AJ19" i="31"/>
  <c r="D20" i="31"/>
  <c r="E20" i="31"/>
  <c r="F20" i="31"/>
  <c r="P268" i="55" s="1"/>
  <c r="Q268" i="55" s="1"/>
  <c r="K20" i="31"/>
  <c r="L20" i="31"/>
  <c r="Q20" i="31"/>
  <c r="R20" i="31"/>
  <c r="X20" i="31"/>
  <c r="Y20" i="31"/>
  <c r="Z20" i="31"/>
  <c r="AJ20" i="31"/>
  <c r="G21" i="31"/>
  <c r="G20" i="31" s="1"/>
  <c r="AE20" i="31" s="1"/>
  <c r="H21" i="31"/>
  <c r="I21" i="31" s="1"/>
  <c r="M21" i="31"/>
  <c r="M20" i="31" s="1"/>
  <c r="S21" i="31"/>
  <c r="T21" i="31"/>
  <c r="Y21" i="31"/>
  <c r="Z21" i="31" s="1"/>
  <c r="AA21" i="31"/>
  <c r="AA20" i="31" s="1"/>
  <c r="AE21" i="31"/>
  <c r="AF21" i="31"/>
  <c r="AJ21" i="31"/>
  <c r="G22" i="31"/>
  <c r="AE22" i="31" s="1"/>
  <c r="M22" i="31"/>
  <c r="N22" i="31" s="1"/>
  <c r="O22" i="31" s="1"/>
  <c r="P22" i="31" s="1"/>
  <c r="S22" i="31"/>
  <c r="S20" i="31" s="1"/>
  <c r="T22" i="31"/>
  <c r="U22" i="31" s="1"/>
  <c r="V22" i="31" s="1"/>
  <c r="Y22" i="31"/>
  <c r="Z22" i="31" s="1"/>
  <c r="AA22" i="31" s="1"/>
  <c r="AB22" i="31" s="1"/>
  <c r="AC22" i="31" s="1"/>
  <c r="AJ22" i="31"/>
  <c r="D23" i="31"/>
  <c r="E23" i="31"/>
  <c r="F23" i="31"/>
  <c r="G23" i="31"/>
  <c r="L23" i="31"/>
  <c r="Q23" i="31"/>
  <c r="R23" i="31"/>
  <c r="X23" i="31"/>
  <c r="G24" i="31"/>
  <c r="AE24" i="31" s="1"/>
  <c r="H24" i="31"/>
  <c r="H23" i="31" s="1"/>
  <c r="AF23" i="31" s="1"/>
  <c r="K24" i="31"/>
  <c r="M24" i="31"/>
  <c r="M23" i="31" s="1"/>
  <c r="N24" i="31"/>
  <c r="O24" i="31" s="1"/>
  <c r="S24" i="31"/>
  <c r="S23" i="31" s="1"/>
  <c r="Y24" i="31"/>
  <c r="Z24" i="31"/>
  <c r="AA24" i="31"/>
  <c r="AF24" i="31"/>
  <c r="AJ24" i="31"/>
  <c r="G25" i="31"/>
  <c r="H25" i="31" s="1"/>
  <c r="M25" i="31"/>
  <c r="N25" i="31"/>
  <c r="O25" i="31" s="1"/>
  <c r="P25" i="31" s="1"/>
  <c r="S25" i="31"/>
  <c r="T25" i="31" s="1"/>
  <c r="U25" i="31" s="1"/>
  <c r="V25" i="31" s="1"/>
  <c r="Y25" i="31"/>
  <c r="Y23" i="31" s="1"/>
  <c r="Z25" i="31"/>
  <c r="AA25" i="31" s="1"/>
  <c r="AB25" i="31" s="1"/>
  <c r="AC25" i="31" s="1"/>
  <c r="AJ25" i="31"/>
  <c r="G26" i="31"/>
  <c r="H26" i="31"/>
  <c r="I26" i="31"/>
  <c r="J26" i="31" s="1"/>
  <c r="AH26" i="31" s="1"/>
  <c r="M26" i="31"/>
  <c r="N26" i="31" s="1"/>
  <c r="O26" i="31" s="1"/>
  <c r="P26" i="31" s="1"/>
  <c r="S26" i="31"/>
  <c r="T26" i="31"/>
  <c r="U26" i="31"/>
  <c r="V26" i="31" s="1"/>
  <c r="Y26" i="31"/>
  <c r="Z26" i="31" s="1"/>
  <c r="AA26" i="31"/>
  <c r="AB26" i="31" s="1"/>
  <c r="AC26" i="31" s="1"/>
  <c r="AE26" i="31"/>
  <c r="AF26" i="31"/>
  <c r="AJ26" i="31"/>
  <c r="G27" i="31"/>
  <c r="H27" i="31" s="1"/>
  <c r="M27" i="31"/>
  <c r="N27" i="31" s="1"/>
  <c r="O27" i="31" s="1"/>
  <c r="P27" i="31" s="1"/>
  <c r="S27" i="31"/>
  <c r="T27" i="31" s="1"/>
  <c r="U27" i="31" s="1"/>
  <c r="V27" i="31" s="1"/>
  <c r="Y27" i="31"/>
  <c r="Z27" i="31" s="1"/>
  <c r="AA27" i="31" s="1"/>
  <c r="AB27" i="31" s="1"/>
  <c r="AC27" i="31"/>
  <c r="AE27" i="31"/>
  <c r="AJ27" i="31"/>
  <c r="G28" i="31"/>
  <c r="H28" i="31" s="1"/>
  <c r="AF28" i="31" s="1"/>
  <c r="I28" i="31"/>
  <c r="AG28" i="31" s="1"/>
  <c r="J28" i="31"/>
  <c r="AH28" i="31" s="1"/>
  <c r="M28" i="31"/>
  <c r="N28" i="31"/>
  <c r="O28" i="31" s="1"/>
  <c r="P28" i="31" s="1"/>
  <c r="R28" i="31" s="1"/>
  <c r="S28" i="31" s="1"/>
  <c r="T28" i="31"/>
  <c r="Y28" i="31"/>
  <c r="Z28" i="31" s="1"/>
  <c r="AA28" i="31" s="1"/>
  <c r="AB28" i="31" s="1"/>
  <c r="AC28" i="31" s="1"/>
  <c r="AE28" i="31"/>
  <c r="AJ28" i="31"/>
  <c r="G29" i="31"/>
  <c r="H29" i="31" s="1"/>
  <c r="M29" i="31"/>
  <c r="N29" i="31"/>
  <c r="O29" i="31"/>
  <c r="P29" i="31" s="1"/>
  <c r="S29" i="31"/>
  <c r="T29" i="31" s="1"/>
  <c r="U29" i="31" s="1"/>
  <c r="V29" i="31" s="1"/>
  <c r="Y29" i="31"/>
  <c r="Z29" i="31"/>
  <c r="AA29" i="31"/>
  <c r="AB29" i="31" s="1"/>
  <c r="AC29" i="31" s="1"/>
  <c r="AE29" i="31"/>
  <c r="AJ29" i="31"/>
  <c r="G30" i="31"/>
  <c r="M30" i="31"/>
  <c r="N30" i="31"/>
  <c r="O30" i="31" s="1"/>
  <c r="P30" i="31" s="1"/>
  <c r="S30" i="31"/>
  <c r="T30" i="31" s="1"/>
  <c r="U30" i="31" s="1"/>
  <c r="V30" i="31" s="1"/>
  <c r="Y30" i="31"/>
  <c r="Z30" i="31"/>
  <c r="AA30" i="31" s="1"/>
  <c r="AB30" i="31" s="1"/>
  <c r="AC30" i="31"/>
  <c r="AJ30" i="31"/>
  <c r="G31" i="31"/>
  <c r="H31" i="31"/>
  <c r="I31" i="31"/>
  <c r="M31" i="31"/>
  <c r="N31" i="31" s="1"/>
  <c r="O31" i="31" s="1"/>
  <c r="P31" i="31" s="1"/>
  <c r="S31" i="31"/>
  <c r="T31" i="31"/>
  <c r="U31" i="31"/>
  <c r="V31" i="31" s="1"/>
  <c r="Y31" i="31"/>
  <c r="Z31" i="31" s="1"/>
  <c r="AA31" i="31" s="1"/>
  <c r="AB31" i="31" s="1"/>
  <c r="AC31" i="31" s="1"/>
  <c r="AE31" i="31"/>
  <c r="AF31" i="31"/>
  <c r="AJ31" i="31"/>
  <c r="E32" i="31"/>
  <c r="Q32" i="31"/>
  <c r="Q37" i="31" s="1"/>
  <c r="Q60" i="31" s="1"/>
  <c r="X32" i="31"/>
  <c r="E33" i="31"/>
  <c r="F33" i="31"/>
  <c r="G33" i="31"/>
  <c r="H33" i="31"/>
  <c r="AF33" i="31" s="1"/>
  <c r="K33" i="31"/>
  <c r="L33" i="31"/>
  <c r="Q33" i="31"/>
  <c r="R33" i="31"/>
  <c r="W33" i="31"/>
  <c r="AE33" i="31"/>
  <c r="G34" i="31"/>
  <c r="H34" i="31"/>
  <c r="I34" i="31" s="1"/>
  <c r="M34" i="31"/>
  <c r="M33" i="31" s="1"/>
  <c r="N34" i="31"/>
  <c r="O34" i="31" s="1"/>
  <c r="P34" i="31" s="1"/>
  <c r="P33" i="31" s="1"/>
  <c r="S34" i="31"/>
  <c r="T34" i="31"/>
  <c r="U34" i="31"/>
  <c r="Y34" i="31"/>
  <c r="Z34" i="31"/>
  <c r="AA34" i="31" s="1"/>
  <c r="AB34" i="31" s="1"/>
  <c r="AC34" i="31" s="1"/>
  <c r="AE34" i="31"/>
  <c r="AJ34" i="31"/>
  <c r="G35" i="31"/>
  <c r="H35" i="31" s="1"/>
  <c r="AF35" i="31" s="1"/>
  <c r="M35" i="31"/>
  <c r="N35" i="31"/>
  <c r="O35" i="31"/>
  <c r="P35" i="31" s="1"/>
  <c r="S35" i="31"/>
  <c r="T35" i="31" s="1"/>
  <c r="U35" i="31"/>
  <c r="V35" i="31" s="1"/>
  <c r="X35" i="31"/>
  <c r="X33" i="31"/>
  <c r="AE35" i="31"/>
  <c r="AJ35" i="31"/>
  <c r="D36" i="31"/>
  <c r="D33" i="31" s="1"/>
  <c r="AJ33" i="31" s="1"/>
  <c r="G36" i="31"/>
  <c r="H36" i="31"/>
  <c r="AF36" i="31" s="1"/>
  <c r="I36" i="31"/>
  <c r="J36" i="31" s="1"/>
  <c r="AH36" i="31" s="1"/>
  <c r="M36" i="31"/>
  <c r="N36" i="31" s="1"/>
  <c r="O36" i="31"/>
  <c r="P36" i="31" s="1"/>
  <c r="R36" i="31"/>
  <c r="S36" i="31"/>
  <c r="S33" i="31" s="1"/>
  <c r="T36" i="31"/>
  <c r="U36" i="31" s="1"/>
  <c r="V36" i="31" s="1"/>
  <c r="Y36" i="31"/>
  <c r="Z36" i="31"/>
  <c r="AA36" i="31" s="1"/>
  <c r="AB36" i="31" s="1"/>
  <c r="AC36" i="31" s="1"/>
  <c r="AE36" i="31"/>
  <c r="AI36" i="31"/>
  <c r="AJ36" i="31"/>
  <c r="E37" i="31"/>
  <c r="AH38" i="31"/>
  <c r="E39" i="31"/>
  <c r="F39" i="31"/>
  <c r="G39" i="31"/>
  <c r="H39" i="31"/>
  <c r="N39" i="31"/>
  <c r="T39" i="31"/>
  <c r="AF39" i="31"/>
  <c r="AG39" i="31"/>
  <c r="AI39" i="31"/>
  <c r="C40" i="31"/>
  <c r="D40" i="31"/>
  <c r="E40" i="31"/>
  <c r="X40" i="31"/>
  <c r="Y40" i="31"/>
  <c r="Z40" i="31"/>
  <c r="AA40" i="31"/>
  <c r="AB40" i="31"/>
  <c r="AC40" i="31"/>
  <c r="AE40" i="31"/>
  <c r="AH40" i="31"/>
  <c r="AJ40" i="31"/>
  <c r="D41" i="31"/>
  <c r="E41" i="31"/>
  <c r="F41" i="31"/>
  <c r="F52" i="31" s="1"/>
  <c r="K41" i="31"/>
  <c r="L41" i="31"/>
  <c r="N41" i="31"/>
  <c r="O41" i="31"/>
  <c r="Q41" i="31"/>
  <c r="W41" i="31"/>
  <c r="X41" i="31"/>
  <c r="X52" i="31" s="1"/>
  <c r="G42" i="31"/>
  <c r="H42" i="31"/>
  <c r="I42" i="31" s="1"/>
  <c r="J42" i="31"/>
  <c r="AH42" i="31" s="1"/>
  <c r="M42" i="31"/>
  <c r="M41" i="31" s="1"/>
  <c r="N42" i="31"/>
  <c r="O42" i="31" s="1"/>
  <c r="P42" i="31"/>
  <c r="R42" i="31"/>
  <c r="Y42" i="31"/>
  <c r="Y41" i="31" s="1"/>
  <c r="AE42" i="31"/>
  <c r="AF42" i="31"/>
  <c r="AJ42" i="31"/>
  <c r="G43" i="31"/>
  <c r="M43" i="31"/>
  <c r="N43" i="31"/>
  <c r="O43" i="31" s="1"/>
  <c r="P43" i="31" s="1"/>
  <c r="R43" i="31"/>
  <c r="S43" i="31" s="1"/>
  <c r="T43" i="31" s="1"/>
  <c r="U43" i="31" s="1"/>
  <c r="V43" i="31" s="1"/>
  <c r="Y43" i="31"/>
  <c r="Z43" i="31" s="1"/>
  <c r="AA43" i="31" s="1"/>
  <c r="AB43" i="31" s="1"/>
  <c r="AC43" i="31" s="1"/>
  <c r="AJ43" i="31"/>
  <c r="G44" i="31"/>
  <c r="M44" i="31"/>
  <c r="N44" i="31"/>
  <c r="O44" i="31" s="1"/>
  <c r="P44" i="31"/>
  <c r="R44" i="31"/>
  <c r="S44" i="31" s="1"/>
  <c r="T44" i="31" s="1"/>
  <c r="U44" i="31" s="1"/>
  <c r="V44" i="31" s="1"/>
  <c r="Y44" i="31"/>
  <c r="Z44" i="31"/>
  <c r="AA44" i="31" s="1"/>
  <c r="AB44" i="31"/>
  <c r="AC44" i="31"/>
  <c r="AJ44" i="31"/>
  <c r="G45" i="31"/>
  <c r="H45" i="31"/>
  <c r="AF45" i="31" s="1"/>
  <c r="I45" i="31"/>
  <c r="M45" i="31"/>
  <c r="N45" i="31"/>
  <c r="O45" i="31" s="1"/>
  <c r="P45" i="31" s="1"/>
  <c r="S45" i="31"/>
  <c r="T45" i="31"/>
  <c r="U45" i="31" s="1"/>
  <c r="V45" i="31" s="1"/>
  <c r="Y45" i="31"/>
  <c r="Z45" i="31"/>
  <c r="AA45" i="31" s="1"/>
  <c r="AB45" i="31" s="1"/>
  <c r="AC45" i="31" s="1"/>
  <c r="AE45" i="31"/>
  <c r="AJ45" i="31"/>
  <c r="G46" i="31"/>
  <c r="H46" i="31"/>
  <c r="I46" i="31" s="1"/>
  <c r="AI46" i="31" s="1"/>
  <c r="M46" i="31"/>
  <c r="N46" i="31" s="1"/>
  <c r="O46" i="31" s="1"/>
  <c r="P46" i="31" s="1"/>
  <c r="S46" i="31"/>
  <c r="T46" i="31"/>
  <c r="U46" i="31" s="1"/>
  <c r="V46" i="31" s="1"/>
  <c r="Y46" i="31"/>
  <c r="Z46" i="31" s="1"/>
  <c r="AA46" i="31" s="1"/>
  <c r="AB46" i="31" s="1"/>
  <c r="AC46" i="31" s="1"/>
  <c r="AE46" i="31"/>
  <c r="AG46" i="31"/>
  <c r="AJ46" i="31"/>
  <c r="D47" i="31"/>
  <c r="E47" i="31"/>
  <c r="F47" i="31"/>
  <c r="I21" i="39" s="1"/>
  <c r="I20" i="39" s="1"/>
  <c r="K47" i="31"/>
  <c r="L47" i="31"/>
  <c r="Q47" i="31"/>
  <c r="Q52" i="31" s="1"/>
  <c r="W47" i="31"/>
  <c r="W52" i="31"/>
  <c r="X47" i="31"/>
  <c r="G48" i="31"/>
  <c r="H48" i="31"/>
  <c r="I48" i="31" s="1"/>
  <c r="J48" i="31" s="1"/>
  <c r="M48" i="31"/>
  <c r="M47" i="31" s="1"/>
  <c r="R48" i="31"/>
  <c r="R47" i="31" s="1"/>
  <c r="S48" i="31"/>
  <c r="T48" i="31"/>
  <c r="U48" i="31" s="1"/>
  <c r="Y48" i="31"/>
  <c r="Y47" i="31" s="1"/>
  <c r="AE48" i="31"/>
  <c r="AF48" i="31"/>
  <c r="AJ48" i="31"/>
  <c r="G49" i="31"/>
  <c r="AE49" i="31" s="1"/>
  <c r="H49" i="31"/>
  <c r="M49" i="31"/>
  <c r="N49" i="31" s="1"/>
  <c r="O49" i="31" s="1"/>
  <c r="P49" i="31" s="1"/>
  <c r="R49" i="31"/>
  <c r="S49" i="31"/>
  <c r="T49" i="31" s="1"/>
  <c r="U49" i="31" s="1"/>
  <c r="V49" i="31" s="1"/>
  <c r="Y49" i="31"/>
  <c r="Z49" i="31"/>
  <c r="AA49" i="31" s="1"/>
  <c r="AB49" i="31" s="1"/>
  <c r="AC49" i="31" s="1"/>
  <c r="AJ49" i="31"/>
  <c r="G50" i="31"/>
  <c r="H50" i="31"/>
  <c r="I50" i="31"/>
  <c r="M50" i="31"/>
  <c r="N50" i="31"/>
  <c r="O50" i="31" s="1"/>
  <c r="P50" i="31" s="1"/>
  <c r="S50" i="31"/>
  <c r="T50" i="31"/>
  <c r="U50" i="31"/>
  <c r="V50" i="31" s="1"/>
  <c r="Y50" i="31"/>
  <c r="Z50" i="31"/>
  <c r="AA50" i="31" s="1"/>
  <c r="AB50" i="31" s="1"/>
  <c r="AC50" i="31" s="1"/>
  <c r="AE50" i="31"/>
  <c r="AF50" i="31"/>
  <c r="AJ50" i="31"/>
  <c r="G51" i="31"/>
  <c r="H51" i="31"/>
  <c r="I51" i="31" s="1"/>
  <c r="J51" i="31"/>
  <c r="M51" i="31"/>
  <c r="N51" i="31" s="1"/>
  <c r="O51" i="31" s="1"/>
  <c r="P51" i="31" s="1"/>
  <c r="S51" i="31"/>
  <c r="T51" i="31"/>
  <c r="U51" i="31" s="1"/>
  <c r="V51" i="31" s="1"/>
  <c r="Y51" i="31"/>
  <c r="Z51" i="31" s="1"/>
  <c r="AA51" i="31" s="1"/>
  <c r="AB51" i="31" s="1"/>
  <c r="AC51" i="31" s="1"/>
  <c r="AE51" i="31"/>
  <c r="AG51" i="31"/>
  <c r="AH51" i="31"/>
  <c r="AJ51" i="31"/>
  <c r="D52" i="31"/>
  <c r="E52" i="31"/>
  <c r="K52" i="31"/>
  <c r="L52" i="31"/>
  <c r="AE53" i="31"/>
  <c r="AF53" i="31"/>
  <c r="AG53" i="31"/>
  <c r="AH53" i="31"/>
  <c r="AI53" i="31"/>
  <c r="AJ53" i="31"/>
  <c r="C54" i="31"/>
  <c r="G54" i="31"/>
  <c r="H54" i="31"/>
  <c r="I54" i="31"/>
  <c r="M54" i="31"/>
  <c r="N54" i="31"/>
  <c r="O54" i="31" s="1"/>
  <c r="P54" i="31" s="1"/>
  <c r="Q54" i="31" s="1"/>
  <c r="R54" i="31"/>
  <c r="S54" i="31"/>
  <c r="T54" i="31"/>
  <c r="U54" i="31" s="1"/>
  <c r="V54" i="31" s="1"/>
  <c r="W54" i="31" s="1"/>
  <c r="Y54" i="31"/>
  <c r="Z54" i="31" s="1"/>
  <c r="AA54" i="31" s="1"/>
  <c r="AB54" i="31" s="1"/>
  <c r="AC54" i="31" s="1"/>
  <c r="AE54" i="31"/>
  <c r="AJ54" i="31"/>
  <c r="V55" i="31"/>
  <c r="Y55" i="31"/>
  <c r="Z55" i="31" s="1"/>
  <c r="AA55" i="31" s="1"/>
  <c r="AB55" i="31" s="1"/>
  <c r="AE55" i="31"/>
  <c r="AF55" i="31"/>
  <c r="AG55" i="31"/>
  <c r="AH55" i="31"/>
  <c r="AJ55" i="31"/>
  <c r="V56" i="31"/>
  <c r="Y56" i="31"/>
  <c r="Z56" i="31"/>
  <c r="AA56" i="31"/>
  <c r="AB56" i="31" s="1"/>
  <c r="AE56" i="31"/>
  <c r="AJ56" i="31"/>
  <c r="D57" i="31"/>
  <c r="E57" i="31"/>
  <c r="G58" i="31"/>
  <c r="H58" i="31" s="1"/>
  <c r="I58" i="31" s="1"/>
  <c r="J58" i="31" s="1"/>
  <c r="K58" i="31" s="1"/>
  <c r="E60" i="31"/>
  <c r="L60" i="31"/>
  <c r="D5" i="30"/>
  <c r="E5" i="30"/>
  <c r="AI5" i="30"/>
  <c r="AI40" i="30"/>
  <c r="AJ5" i="30"/>
  <c r="D8" i="30"/>
  <c r="E8" i="30"/>
  <c r="F8" i="30"/>
  <c r="P239" i="55" s="1"/>
  <c r="K8" i="30"/>
  <c r="L8" i="30"/>
  <c r="Q8" i="30"/>
  <c r="X8" i="30"/>
  <c r="AJ8" i="30"/>
  <c r="G9" i="30"/>
  <c r="M9" i="30"/>
  <c r="N9" i="30"/>
  <c r="S9" i="30"/>
  <c r="Y9" i="30"/>
  <c r="Z9" i="30"/>
  <c r="AJ9" i="30"/>
  <c r="G10" i="30"/>
  <c r="H10" i="30"/>
  <c r="I10" i="30" s="1"/>
  <c r="AI10" i="30" s="1"/>
  <c r="J10" i="30"/>
  <c r="M10" i="30"/>
  <c r="N10" i="30"/>
  <c r="O10" i="30"/>
  <c r="P10" i="30" s="1"/>
  <c r="R10" i="30"/>
  <c r="Y10" i="30"/>
  <c r="Z10" i="30"/>
  <c r="AA10" i="30"/>
  <c r="AB10" i="30" s="1"/>
  <c r="AC10" i="30" s="1"/>
  <c r="AE10" i="30"/>
  <c r="AF10" i="30"/>
  <c r="AG10" i="30"/>
  <c r="AJ10" i="30"/>
  <c r="G11" i="30"/>
  <c r="M11" i="30"/>
  <c r="N11" i="30"/>
  <c r="O11" i="30" s="1"/>
  <c r="P11" i="30" s="1"/>
  <c r="S11" i="30"/>
  <c r="T11" i="30" s="1"/>
  <c r="U11" i="30" s="1"/>
  <c r="V11" i="30" s="1"/>
  <c r="Y11" i="30"/>
  <c r="Z11" i="30" s="1"/>
  <c r="AA11" i="30" s="1"/>
  <c r="AB11" i="30" s="1"/>
  <c r="AC11" i="30" s="1"/>
  <c r="AJ11" i="30"/>
  <c r="G12" i="30"/>
  <c r="H12" i="30"/>
  <c r="M12" i="30"/>
  <c r="N12" i="30" s="1"/>
  <c r="O12" i="30"/>
  <c r="P12" i="30"/>
  <c r="S12" i="30"/>
  <c r="T12" i="30"/>
  <c r="U12" i="30"/>
  <c r="V12" i="30" s="1"/>
  <c r="Y12" i="30"/>
  <c r="Z12" i="30" s="1"/>
  <c r="AA12" i="30" s="1"/>
  <c r="AB12" i="30" s="1"/>
  <c r="AC12" i="30" s="1"/>
  <c r="AE12" i="30"/>
  <c r="AJ12" i="30"/>
  <c r="G13" i="30"/>
  <c r="H13" i="30"/>
  <c r="I13" i="30" s="1"/>
  <c r="M13" i="30"/>
  <c r="N13" i="30" s="1"/>
  <c r="O13" i="30" s="1"/>
  <c r="P13" i="30" s="1"/>
  <c r="R13" i="30"/>
  <c r="S13" i="30"/>
  <c r="T13" i="30"/>
  <c r="U13" i="30" s="1"/>
  <c r="V13" i="30" s="1"/>
  <c r="Y13" i="30"/>
  <c r="Z13" i="30" s="1"/>
  <c r="AA13" i="30" s="1"/>
  <c r="AB13" i="30" s="1"/>
  <c r="AC13" i="30" s="1"/>
  <c r="AE13" i="30"/>
  <c r="AJ13" i="30"/>
  <c r="G14" i="30"/>
  <c r="H14" i="30" s="1"/>
  <c r="M14" i="30"/>
  <c r="N14" i="30" s="1"/>
  <c r="O14" i="30"/>
  <c r="P14" i="30"/>
  <c r="R14" i="30"/>
  <c r="S14" i="30"/>
  <c r="T14" i="30" s="1"/>
  <c r="U14" i="30" s="1"/>
  <c r="V14" i="30"/>
  <c r="Y14" i="30"/>
  <c r="Z14" i="30" s="1"/>
  <c r="AA14" i="30" s="1"/>
  <c r="AB14" i="30" s="1"/>
  <c r="AC14" i="30" s="1"/>
  <c r="AE14" i="30"/>
  <c r="AJ14" i="30"/>
  <c r="G15" i="30"/>
  <c r="M15" i="30"/>
  <c r="N15" i="30" s="1"/>
  <c r="O15" i="30" s="1"/>
  <c r="P15" i="30" s="1"/>
  <c r="R15" i="30"/>
  <c r="S15" i="30" s="1"/>
  <c r="T15" i="30" s="1"/>
  <c r="U15" i="30" s="1"/>
  <c r="V15" i="30" s="1"/>
  <c r="Y15" i="30"/>
  <c r="Z15" i="30" s="1"/>
  <c r="AA15" i="30" s="1"/>
  <c r="AB15" i="30" s="1"/>
  <c r="AC15" i="30" s="1"/>
  <c r="AJ15" i="30"/>
  <c r="G16" i="30"/>
  <c r="H16" i="30"/>
  <c r="M16" i="30"/>
  <c r="N16" i="30" s="1"/>
  <c r="O16" i="30" s="1"/>
  <c r="P16" i="30" s="1"/>
  <c r="R16" i="30"/>
  <c r="S16" i="30"/>
  <c r="T16" i="30" s="1"/>
  <c r="U16" i="30" s="1"/>
  <c r="V16" i="30" s="1"/>
  <c r="Y16" i="30"/>
  <c r="Z16" i="30" s="1"/>
  <c r="AA16" i="30" s="1"/>
  <c r="AB16" i="30" s="1"/>
  <c r="AC16" i="30" s="1"/>
  <c r="AE16" i="30"/>
  <c r="AJ16" i="30"/>
  <c r="G17" i="30"/>
  <c r="H17" i="30" s="1"/>
  <c r="M17" i="30"/>
  <c r="N17" i="30" s="1"/>
  <c r="O17" i="30" s="1"/>
  <c r="P17" i="30" s="1"/>
  <c r="S17" i="30"/>
  <c r="T17" i="30" s="1"/>
  <c r="U17" i="30" s="1"/>
  <c r="V17" i="30" s="1"/>
  <c r="Y17" i="30"/>
  <c r="Z17" i="30" s="1"/>
  <c r="AA17" i="30" s="1"/>
  <c r="AB17" i="30" s="1"/>
  <c r="AC17" i="30" s="1"/>
  <c r="AE17" i="30"/>
  <c r="AJ17" i="30"/>
  <c r="G18" i="30"/>
  <c r="H18" i="30" s="1"/>
  <c r="AF18" i="30" s="1"/>
  <c r="J18" i="30"/>
  <c r="AH18" i="30" s="1"/>
  <c r="N18" i="30"/>
  <c r="S18" i="30"/>
  <c r="T18" i="30"/>
  <c r="AE18" i="30"/>
  <c r="AJ18" i="30"/>
  <c r="G19" i="30"/>
  <c r="H19" i="30" s="1"/>
  <c r="M19" i="30"/>
  <c r="N19" i="30"/>
  <c r="O19" i="30" s="1"/>
  <c r="P19" i="30" s="1"/>
  <c r="S19" i="30"/>
  <c r="T19" i="30" s="1"/>
  <c r="U19" i="30" s="1"/>
  <c r="V19" i="30" s="1"/>
  <c r="Y19" i="30"/>
  <c r="Z19" i="30" s="1"/>
  <c r="AA19" i="30"/>
  <c r="AB19" i="30" s="1"/>
  <c r="AC19" i="30" s="1"/>
  <c r="AJ19" i="30"/>
  <c r="D20" i="30"/>
  <c r="E20" i="30"/>
  <c r="F20" i="30"/>
  <c r="P240" i="55" s="1"/>
  <c r="Q240" i="55" s="1"/>
  <c r="K20" i="30"/>
  <c r="L20" i="30"/>
  <c r="L32" i="30" s="1"/>
  <c r="Q20" i="30"/>
  <c r="R20" i="30"/>
  <c r="W20" i="30"/>
  <c r="X20" i="30"/>
  <c r="G21" i="30"/>
  <c r="H21" i="30"/>
  <c r="M21" i="30"/>
  <c r="S21" i="30"/>
  <c r="Y21" i="30"/>
  <c r="Z21" i="30" s="1"/>
  <c r="AA21" i="30"/>
  <c r="AE21" i="30"/>
  <c r="AJ21" i="30"/>
  <c r="G22" i="30"/>
  <c r="G20" i="30" s="1"/>
  <c r="AE20" i="30" s="1"/>
  <c r="H22" i="30"/>
  <c r="I22" i="30" s="1"/>
  <c r="M22" i="30"/>
  <c r="N22" i="30"/>
  <c r="O22" i="30" s="1"/>
  <c r="P22" i="30" s="1"/>
  <c r="S22" i="30"/>
  <c r="T22" i="30"/>
  <c r="U22" i="30" s="1"/>
  <c r="V22" i="30" s="1"/>
  <c r="Y22" i="30"/>
  <c r="Z22" i="30"/>
  <c r="AA22" i="30" s="1"/>
  <c r="AB22" i="30" s="1"/>
  <c r="AC22" i="30" s="1"/>
  <c r="AE22" i="30"/>
  <c r="AJ22" i="30"/>
  <c r="D23" i="30"/>
  <c r="E23" i="30"/>
  <c r="F23" i="30"/>
  <c r="P236" i="55" s="1"/>
  <c r="Q236" i="55" s="1"/>
  <c r="K23" i="30"/>
  <c r="K32" i="30" s="1"/>
  <c r="K37" i="30" s="1"/>
  <c r="L23" i="30"/>
  <c r="Q23" i="30"/>
  <c r="R23" i="30"/>
  <c r="W23" i="30"/>
  <c r="X23" i="30"/>
  <c r="AA23" i="30"/>
  <c r="AJ23" i="30"/>
  <c r="G24" i="30"/>
  <c r="M24" i="30"/>
  <c r="M23" i="30" s="1"/>
  <c r="S24" i="30"/>
  <c r="T24" i="30" s="1"/>
  <c r="Y24" i="30"/>
  <c r="Z24" i="30" s="1"/>
  <c r="AA24" i="30" s="1"/>
  <c r="AB24" i="30" s="1"/>
  <c r="AJ24" i="30"/>
  <c r="G25" i="30"/>
  <c r="H25" i="30"/>
  <c r="I25" i="30" s="1"/>
  <c r="M25" i="30"/>
  <c r="N25" i="30"/>
  <c r="O25" i="30"/>
  <c r="P25" i="30" s="1"/>
  <c r="S25" i="30"/>
  <c r="T25" i="30"/>
  <c r="U25" i="30"/>
  <c r="V25" i="30" s="1"/>
  <c r="Y25" i="30"/>
  <c r="Z25" i="30"/>
  <c r="AA25" i="30"/>
  <c r="AB25" i="30" s="1"/>
  <c r="AC25" i="30" s="1"/>
  <c r="AE25" i="30"/>
  <c r="AJ25" i="30"/>
  <c r="G26" i="30"/>
  <c r="H26" i="30" s="1"/>
  <c r="M26" i="30"/>
  <c r="N26" i="30" s="1"/>
  <c r="O26" i="30" s="1"/>
  <c r="P26" i="30" s="1"/>
  <c r="S26" i="30"/>
  <c r="T26" i="30" s="1"/>
  <c r="U26" i="30" s="1"/>
  <c r="V26" i="30"/>
  <c r="Y26" i="30"/>
  <c r="Z26" i="30" s="1"/>
  <c r="AA26" i="30" s="1"/>
  <c r="AB26" i="30" s="1"/>
  <c r="AC26" i="30" s="1"/>
  <c r="AJ26" i="30"/>
  <c r="G27" i="30"/>
  <c r="H27" i="30"/>
  <c r="AF27" i="30" s="1"/>
  <c r="I27" i="30"/>
  <c r="J27" i="30" s="1"/>
  <c r="M27" i="30"/>
  <c r="N27" i="30"/>
  <c r="O27" i="30" s="1"/>
  <c r="P27" i="30" s="1"/>
  <c r="S27" i="30"/>
  <c r="T27" i="30"/>
  <c r="U27" i="30"/>
  <c r="V27" i="30" s="1"/>
  <c r="X27" i="30" s="1"/>
  <c r="AE27" i="30"/>
  <c r="AH27" i="30"/>
  <c r="AJ27" i="30"/>
  <c r="G28" i="30"/>
  <c r="H28" i="30" s="1"/>
  <c r="M28" i="30"/>
  <c r="N28" i="30" s="1"/>
  <c r="O28" i="30"/>
  <c r="P28" i="30" s="1"/>
  <c r="R28" i="30" s="1"/>
  <c r="S28" i="30" s="1"/>
  <c r="T28" i="30" s="1"/>
  <c r="Y28" i="30"/>
  <c r="Z28" i="30" s="1"/>
  <c r="AA28" i="30" s="1"/>
  <c r="AB28" i="30"/>
  <c r="AC28" i="30"/>
  <c r="AE28" i="30"/>
  <c r="AJ28" i="30"/>
  <c r="G29" i="30"/>
  <c r="H29" i="30"/>
  <c r="M29" i="30"/>
  <c r="N29" i="30"/>
  <c r="O29" i="30"/>
  <c r="P29" i="30" s="1"/>
  <c r="S29" i="30"/>
  <c r="T29" i="30"/>
  <c r="U29" i="30" s="1"/>
  <c r="V29" i="30" s="1"/>
  <c r="Y29" i="30"/>
  <c r="Z29" i="30"/>
  <c r="AA29" i="30"/>
  <c r="AB29" i="30" s="1"/>
  <c r="AC29" i="30" s="1"/>
  <c r="AE29" i="30"/>
  <c r="AJ29" i="30"/>
  <c r="G30" i="30"/>
  <c r="H30" i="30" s="1"/>
  <c r="M30" i="30"/>
  <c r="N30" i="30" s="1"/>
  <c r="O30" i="30" s="1"/>
  <c r="P30" i="30" s="1"/>
  <c r="S30" i="30"/>
  <c r="T30" i="30" s="1"/>
  <c r="U30" i="30" s="1"/>
  <c r="V30" i="30" s="1"/>
  <c r="Y30" i="30"/>
  <c r="Z30" i="30" s="1"/>
  <c r="AA30" i="30" s="1"/>
  <c r="AB30" i="30" s="1"/>
  <c r="AC30" i="30" s="1"/>
  <c r="AJ30" i="30"/>
  <c r="G31" i="30"/>
  <c r="H31" i="30"/>
  <c r="I31" i="30"/>
  <c r="J31" i="30" s="1"/>
  <c r="AH31" i="30" s="1"/>
  <c r="M31" i="30"/>
  <c r="N31" i="30"/>
  <c r="O31" i="30"/>
  <c r="P31" i="30" s="1"/>
  <c r="S31" i="30"/>
  <c r="T31" i="30"/>
  <c r="U31" i="30"/>
  <c r="V31" i="30" s="1"/>
  <c r="Y31" i="30"/>
  <c r="Z31" i="30"/>
  <c r="AA31" i="30" s="1"/>
  <c r="AB31" i="30" s="1"/>
  <c r="AC31" i="30" s="1"/>
  <c r="AE31" i="30"/>
  <c r="AF31" i="30"/>
  <c r="AJ31" i="30"/>
  <c r="D32" i="30"/>
  <c r="D37" i="30" s="1"/>
  <c r="E32" i="30"/>
  <c r="E37" i="30" s="1"/>
  <c r="E60" i="30" s="1"/>
  <c r="Q32" i="30"/>
  <c r="D33" i="30"/>
  <c r="AJ33" i="30" s="1"/>
  <c r="E33" i="30"/>
  <c r="F33" i="30"/>
  <c r="K33" i="30"/>
  <c r="L33" i="30"/>
  <c r="Q33" i="30"/>
  <c r="W33" i="30"/>
  <c r="X33" i="30"/>
  <c r="G34" i="30"/>
  <c r="H34" i="30" s="1"/>
  <c r="I34" i="30"/>
  <c r="J34" i="30" s="1"/>
  <c r="AH34" i="30" s="1"/>
  <c r="M34" i="30"/>
  <c r="N34" i="30" s="1"/>
  <c r="S34" i="30"/>
  <c r="S33" i="30" s="1"/>
  <c r="Y34" i="30"/>
  <c r="Z34" i="30" s="1"/>
  <c r="AF34" i="30"/>
  <c r="AG34" i="30"/>
  <c r="AJ34" i="30"/>
  <c r="G35" i="30"/>
  <c r="G33" i="30" s="1"/>
  <c r="AE33" i="30" s="1"/>
  <c r="M35" i="30"/>
  <c r="S35" i="30"/>
  <c r="T35" i="30" s="1"/>
  <c r="U35" i="30" s="1"/>
  <c r="V35" i="30" s="1"/>
  <c r="Y35" i="30"/>
  <c r="AJ35" i="30"/>
  <c r="D36" i="30"/>
  <c r="G36" i="30"/>
  <c r="H36" i="30"/>
  <c r="AF36" i="30" s="1"/>
  <c r="M36" i="30"/>
  <c r="N36" i="30"/>
  <c r="O36" i="30" s="1"/>
  <c r="P36" i="30" s="1"/>
  <c r="R36" i="30"/>
  <c r="R33" i="30" s="1"/>
  <c r="S36" i="30"/>
  <c r="T36" i="30" s="1"/>
  <c r="U36" i="30" s="1"/>
  <c r="V36" i="30" s="1"/>
  <c r="Y36" i="30"/>
  <c r="Z36" i="30" s="1"/>
  <c r="AA36" i="30" s="1"/>
  <c r="AB36" i="30" s="1"/>
  <c r="AC36" i="30" s="1"/>
  <c r="AE36" i="30"/>
  <c r="AJ36" i="30"/>
  <c r="L37" i="30"/>
  <c r="Q37" i="30"/>
  <c r="AH38" i="30"/>
  <c r="E39" i="30"/>
  <c r="F39" i="30"/>
  <c r="G39" i="30"/>
  <c r="H39" i="30"/>
  <c r="N39" i="30"/>
  <c r="T39" i="30"/>
  <c r="AF39" i="30"/>
  <c r="AG39" i="30"/>
  <c r="AI39" i="30"/>
  <c r="C40" i="30"/>
  <c r="D40" i="30"/>
  <c r="E40" i="30"/>
  <c r="X40" i="30"/>
  <c r="Y40" i="30"/>
  <c r="Z40" i="30"/>
  <c r="AA40" i="30"/>
  <c r="AB40" i="30"/>
  <c r="AC40" i="30"/>
  <c r="AE40" i="30"/>
  <c r="AH40" i="30"/>
  <c r="AJ40" i="30"/>
  <c r="D41" i="30"/>
  <c r="E41" i="30"/>
  <c r="F41" i="30"/>
  <c r="K41" i="30"/>
  <c r="L41" i="30"/>
  <c r="Q41" i="30"/>
  <c r="X41" i="30"/>
  <c r="X52" i="30" s="1"/>
  <c r="AJ41" i="30"/>
  <c r="G42" i="30"/>
  <c r="G41" i="30" s="1"/>
  <c r="M42" i="30"/>
  <c r="M41" i="30" s="1"/>
  <c r="M52" i="30" s="1"/>
  <c r="R42" i="30"/>
  <c r="S42" i="30" s="1"/>
  <c r="T42" i="30"/>
  <c r="Y42" i="30"/>
  <c r="Z42" i="30" s="1"/>
  <c r="AJ42" i="30"/>
  <c r="G43" i="30"/>
  <c r="H43" i="30"/>
  <c r="I43" i="30" s="1"/>
  <c r="J43" i="30" s="1"/>
  <c r="AH43" i="30" s="1"/>
  <c r="M43" i="30"/>
  <c r="N43" i="30" s="1"/>
  <c r="O43" i="30" s="1"/>
  <c r="P43" i="30" s="1"/>
  <c r="R43" i="30"/>
  <c r="S43" i="30"/>
  <c r="T43" i="30" s="1"/>
  <c r="U43" i="30" s="1"/>
  <c r="V43" i="30" s="1"/>
  <c r="Y43" i="30"/>
  <c r="Z43" i="30" s="1"/>
  <c r="AA43" i="30" s="1"/>
  <c r="AB43" i="30" s="1"/>
  <c r="AC43" i="30" s="1"/>
  <c r="AE43" i="30"/>
  <c r="AI43" i="30"/>
  <c r="AJ43" i="30"/>
  <c r="G44" i="30"/>
  <c r="H44" i="30" s="1"/>
  <c r="M44" i="30"/>
  <c r="N44" i="30"/>
  <c r="O44" i="30" s="1"/>
  <c r="P44" i="30" s="1"/>
  <c r="R44" i="30"/>
  <c r="R41" i="30" s="1"/>
  <c r="Y44" i="30"/>
  <c r="Z44" i="30"/>
  <c r="AA44" i="30" s="1"/>
  <c r="AB44" i="30" s="1"/>
  <c r="AC44" i="30"/>
  <c r="AE44" i="30"/>
  <c r="AJ44" i="30"/>
  <c r="G45" i="30"/>
  <c r="H45" i="30"/>
  <c r="I45" i="30" s="1"/>
  <c r="M45" i="30"/>
  <c r="N45" i="30"/>
  <c r="O45" i="30" s="1"/>
  <c r="P45" i="30" s="1"/>
  <c r="S45" i="30"/>
  <c r="T45" i="30"/>
  <c r="U45" i="30" s="1"/>
  <c r="V45" i="30" s="1"/>
  <c r="Y45" i="30"/>
  <c r="Z45" i="30" s="1"/>
  <c r="AA45" i="30" s="1"/>
  <c r="AB45" i="30" s="1"/>
  <c r="AC45" i="30" s="1"/>
  <c r="AE45" i="30"/>
  <c r="AJ45" i="30"/>
  <c r="G46" i="30"/>
  <c r="H46" i="30" s="1"/>
  <c r="M46" i="30"/>
  <c r="N46" i="30" s="1"/>
  <c r="O46" i="30"/>
  <c r="P46" i="30" s="1"/>
  <c r="S46" i="30"/>
  <c r="T46" i="30" s="1"/>
  <c r="U46" i="30" s="1"/>
  <c r="V46" i="30" s="1"/>
  <c r="Y46" i="30"/>
  <c r="Z46" i="30" s="1"/>
  <c r="AA46" i="30" s="1"/>
  <c r="AB46" i="30" s="1"/>
  <c r="AC46" i="30" s="1"/>
  <c r="AJ46" i="30"/>
  <c r="D47" i="30"/>
  <c r="D52" i="30" s="1"/>
  <c r="E47" i="30"/>
  <c r="F47" i="30"/>
  <c r="I19" i="39" s="1"/>
  <c r="I18" i="39" s="1"/>
  <c r="K47" i="30"/>
  <c r="L47" i="30"/>
  <c r="L52" i="30" s="1"/>
  <c r="L60" i="30" s="1"/>
  <c r="Q47" i="30"/>
  <c r="Q52" i="30" s="1"/>
  <c r="Q60" i="30" s="1"/>
  <c r="W47" i="30"/>
  <c r="X47" i="30"/>
  <c r="G48" i="30"/>
  <c r="M48" i="30"/>
  <c r="M47" i="30" s="1"/>
  <c r="R48" i="30"/>
  <c r="Y48" i="30"/>
  <c r="Y47" i="30" s="1"/>
  <c r="AJ48" i="30"/>
  <c r="G49" i="30"/>
  <c r="M49" i="30"/>
  <c r="N49" i="30" s="1"/>
  <c r="O49" i="30" s="1"/>
  <c r="P49" i="30"/>
  <c r="R49" i="30"/>
  <c r="S49" i="30" s="1"/>
  <c r="T49" i="30" s="1"/>
  <c r="U49" i="30" s="1"/>
  <c r="V49" i="30" s="1"/>
  <c r="Y49" i="30"/>
  <c r="Z49" i="30" s="1"/>
  <c r="AA49" i="30" s="1"/>
  <c r="AB49" i="30" s="1"/>
  <c r="AC49" i="30" s="1"/>
  <c r="AJ49" i="30"/>
  <c r="G50" i="30"/>
  <c r="H50" i="30" s="1"/>
  <c r="M50" i="30"/>
  <c r="N50" i="30"/>
  <c r="O50" i="30" s="1"/>
  <c r="P50" i="30" s="1"/>
  <c r="S50" i="30"/>
  <c r="T50" i="30" s="1"/>
  <c r="U50" i="30" s="1"/>
  <c r="V50" i="30" s="1"/>
  <c r="Y50" i="30"/>
  <c r="Z50" i="30"/>
  <c r="AA50" i="30" s="1"/>
  <c r="AB50" i="30" s="1"/>
  <c r="AC50" i="30" s="1"/>
  <c r="AJ50" i="30"/>
  <c r="G51" i="30"/>
  <c r="H51" i="30" s="1"/>
  <c r="I51" i="30"/>
  <c r="M51" i="30"/>
  <c r="N51" i="30" s="1"/>
  <c r="O51" i="30" s="1"/>
  <c r="P51" i="30" s="1"/>
  <c r="S51" i="30"/>
  <c r="T51" i="30" s="1"/>
  <c r="U51" i="30" s="1"/>
  <c r="V51" i="30" s="1"/>
  <c r="Y51" i="30"/>
  <c r="Z51" i="30" s="1"/>
  <c r="AA51" i="30" s="1"/>
  <c r="AB51" i="30" s="1"/>
  <c r="AC51" i="30" s="1"/>
  <c r="AF51" i="30"/>
  <c r="AJ51" i="30"/>
  <c r="E52" i="30"/>
  <c r="F52" i="30"/>
  <c r="P256" i="55" s="1"/>
  <c r="K52" i="30"/>
  <c r="AE53" i="30"/>
  <c r="AF53" i="30"/>
  <c r="AG53" i="30"/>
  <c r="AH53" i="30"/>
  <c r="AI53" i="30"/>
  <c r="AJ53" i="30"/>
  <c r="C54" i="30"/>
  <c r="G54" i="30"/>
  <c r="H54" i="30"/>
  <c r="M54" i="30"/>
  <c r="N54" i="30" s="1"/>
  <c r="O54" i="30" s="1"/>
  <c r="P54" i="30" s="1"/>
  <c r="Q54" i="30" s="1"/>
  <c r="R54" i="30"/>
  <c r="S54" i="30" s="1"/>
  <c r="T54" i="30" s="1"/>
  <c r="U54" i="30" s="1"/>
  <c r="V54" i="30" s="1"/>
  <c r="W54" i="30" s="1"/>
  <c r="Y54" i="30"/>
  <c r="Z54" i="30"/>
  <c r="AA54" i="30" s="1"/>
  <c r="AB54" i="30" s="1"/>
  <c r="AC54" i="30" s="1"/>
  <c r="AE54" i="30"/>
  <c r="AJ54" i="30"/>
  <c r="V55" i="30"/>
  <c r="Y55" i="30"/>
  <c r="Z55" i="30" s="1"/>
  <c r="AA55" i="30" s="1"/>
  <c r="AB55" i="30" s="1"/>
  <c r="AE55" i="30"/>
  <c r="AF55" i="30"/>
  <c r="AG55" i="30"/>
  <c r="AH55" i="30"/>
  <c r="AJ55" i="30"/>
  <c r="V56" i="30"/>
  <c r="Y56" i="30"/>
  <c r="Z56" i="30" s="1"/>
  <c r="AA56" i="30" s="1"/>
  <c r="AB56" i="30" s="1"/>
  <c r="AE56" i="30"/>
  <c r="AJ56" i="30"/>
  <c r="E57" i="30"/>
  <c r="G58" i="30"/>
  <c r="H58" i="30" s="1"/>
  <c r="I58" i="30" s="1"/>
  <c r="J58" i="30" s="1"/>
  <c r="K58" i="30" s="1"/>
  <c r="D5" i="29"/>
  <c r="E5" i="29"/>
  <c r="E40" i="29" s="1"/>
  <c r="AI5" i="29"/>
  <c r="AI40" i="29"/>
  <c r="AJ5" i="29"/>
  <c r="D8" i="29"/>
  <c r="E8" i="29"/>
  <c r="K8" i="29"/>
  <c r="L8" i="29"/>
  <c r="Q8" i="29"/>
  <c r="X8" i="29"/>
  <c r="Y8" i="29"/>
  <c r="G9" i="29"/>
  <c r="M9" i="29"/>
  <c r="S9" i="29"/>
  <c r="Y9" i="29"/>
  <c r="Z9" i="29" s="1"/>
  <c r="AJ9" i="29"/>
  <c r="G10" i="29"/>
  <c r="H10" i="29"/>
  <c r="M10" i="29"/>
  <c r="N10" i="29"/>
  <c r="O10" i="29"/>
  <c r="P10" i="29" s="1"/>
  <c r="R10" i="29"/>
  <c r="S10" i="29"/>
  <c r="T10" i="29" s="1"/>
  <c r="U10" i="29" s="1"/>
  <c r="V10" i="29" s="1"/>
  <c r="Y10" i="29"/>
  <c r="Z10" i="29"/>
  <c r="AA10" i="29"/>
  <c r="AB10" i="29" s="1"/>
  <c r="AC10" i="29" s="1"/>
  <c r="AE10" i="29"/>
  <c r="AJ10" i="29"/>
  <c r="G11" i="29"/>
  <c r="H11" i="29" s="1"/>
  <c r="M11" i="29"/>
  <c r="N11" i="29" s="1"/>
  <c r="O11" i="29" s="1"/>
  <c r="P11" i="29" s="1"/>
  <c r="S11" i="29"/>
  <c r="T11" i="29" s="1"/>
  <c r="U11" i="29" s="1"/>
  <c r="V11" i="29"/>
  <c r="Y11" i="29"/>
  <c r="Z11" i="29" s="1"/>
  <c r="AA11" i="29" s="1"/>
  <c r="AB11" i="29" s="1"/>
  <c r="AC11" i="29" s="1"/>
  <c r="AJ11" i="29"/>
  <c r="G12" i="29"/>
  <c r="H12" i="29"/>
  <c r="I12" i="29"/>
  <c r="J12" i="29" s="1"/>
  <c r="AH12" i="29" s="1"/>
  <c r="M12" i="29"/>
  <c r="N12" i="29"/>
  <c r="O12" i="29" s="1"/>
  <c r="P12" i="29" s="1"/>
  <c r="S12" i="29"/>
  <c r="T12" i="29"/>
  <c r="U12" i="29"/>
  <c r="V12" i="29" s="1"/>
  <c r="Y12" i="29"/>
  <c r="Z12" i="29"/>
  <c r="AA12" i="29"/>
  <c r="AB12" i="29" s="1"/>
  <c r="AC12" i="29" s="1"/>
  <c r="AE12" i="29"/>
  <c r="AF12" i="29"/>
  <c r="AJ12" i="29"/>
  <c r="F13" i="29"/>
  <c r="M13" i="29"/>
  <c r="N13" i="29" s="1"/>
  <c r="O13" i="29"/>
  <c r="P13" i="29" s="1"/>
  <c r="Y13" i="29"/>
  <c r="Z13" i="29" s="1"/>
  <c r="AA13" i="29" s="1"/>
  <c r="AB13" i="29" s="1"/>
  <c r="AC13" i="29" s="1"/>
  <c r="G14" i="29"/>
  <c r="H14" i="29" s="1"/>
  <c r="M14" i="29"/>
  <c r="N14" i="29"/>
  <c r="O14" i="29"/>
  <c r="P14" i="29" s="1"/>
  <c r="R14" i="29"/>
  <c r="S14" i="29"/>
  <c r="T14" i="29" s="1"/>
  <c r="U14" i="29" s="1"/>
  <c r="V14" i="29" s="1"/>
  <c r="Y14" i="29"/>
  <c r="Z14" i="29"/>
  <c r="AA14" i="29"/>
  <c r="AB14" i="29" s="1"/>
  <c r="AC14" i="29" s="1"/>
  <c r="AE14" i="29"/>
  <c r="AJ14" i="29"/>
  <c r="G15" i="29"/>
  <c r="H15" i="29" s="1"/>
  <c r="I15" i="29" s="1"/>
  <c r="AI15" i="29" s="1"/>
  <c r="M15" i="29"/>
  <c r="N15" i="29" s="1"/>
  <c r="O15" i="29" s="1"/>
  <c r="P15" i="29" s="1"/>
  <c r="R15" i="29"/>
  <c r="S15" i="29" s="1"/>
  <c r="T15" i="29"/>
  <c r="U15" i="29" s="1"/>
  <c r="V15" i="29" s="1"/>
  <c r="Y15" i="29"/>
  <c r="Z15" i="29" s="1"/>
  <c r="AA15" i="29" s="1"/>
  <c r="AB15" i="29" s="1"/>
  <c r="AC15" i="29" s="1"/>
  <c r="AF15" i="29"/>
  <c r="AJ15" i="29"/>
  <c r="G16" i="29"/>
  <c r="H16" i="29"/>
  <c r="I16" i="29" s="1"/>
  <c r="J16" i="29" s="1"/>
  <c r="AH16" i="29" s="1"/>
  <c r="M16" i="29"/>
  <c r="N16" i="29" s="1"/>
  <c r="O16" i="29" s="1"/>
  <c r="P16" i="29" s="1"/>
  <c r="R16" i="29"/>
  <c r="S16" i="29"/>
  <c r="T16" i="29" s="1"/>
  <c r="U16" i="29" s="1"/>
  <c r="V16" i="29" s="1"/>
  <c r="Y16" i="29"/>
  <c r="Z16" i="29"/>
  <c r="AA16" i="29" s="1"/>
  <c r="AB16" i="29" s="1"/>
  <c r="AC16" i="29" s="1"/>
  <c r="AE16" i="29"/>
  <c r="AI16" i="29"/>
  <c r="AJ16" i="29"/>
  <c r="G17" i="29"/>
  <c r="H17" i="29" s="1"/>
  <c r="M17" i="29"/>
  <c r="N17" i="29" s="1"/>
  <c r="O17" i="29" s="1"/>
  <c r="P17" i="29" s="1"/>
  <c r="S17" i="29"/>
  <c r="T17" i="29" s="1"/>
  <c r="U17" i="29" s="1"/>
  <c r="V17" i="29" s="1"/>
  <c r="Y17" i="29"/>
  <c r="Z17" i="29" s="1"/>
  <c r="AA17" i="29" s="1"/>
  <c r="AB17" i="29" s="1"/>
  <c r="AC17" i="29" s="1"/>
  <c r="AJ17" i="29"/>
  <c r="H18" i="29"/>
  <c r="I18" i="29" s="1"/>
  <c r="N18" i="29"/>
  <c r="T18" i="29"/>
  <c r="U18" i="29"/>
  <c r="V18" i="29" s="1"/>
  <c r="AE18" i="29"/>
  <c r="AJ18" i="29"/>
  <c r="G19" i="29"/>
  <c r="AE19" i="29" s="1"/>
  <c r="H19" i="29"/>
  <c r="I19" i="29" s="1"/>
  <c r="J19" i="29" s="1"/>
  <c r="AH19" i="29" s="1"/>
  <c r="M19" i="29"/>
  <c r="N19" i="29"/>
  <c r="O19" i="29" s="1"/>
  <c r="P19" i="29" s="1"/>
  <c r="S19" i="29"/>
  <c r="T19" i="29"/>
  <c r="U19" i="29" s="1"/>
  <c r="V19" i="29"/>
  <c r="Y19" i="29"/>
  <c r="Z19" i="29" s="1"/>
  <c r="AA19" i="29" s="1"/>
  <c r="AB19" i="29" s="1"/>
  <c r="AC19" i="29" s="1"/>
  <c r="AG19" i="29"/>
  <c r="AJ19" i="29"/>
  <c r="D20" i="29"/>
  <c r="E20" i="29"/>
  <c r="F20" i="29"/>
  <c r="P211" i="55" s="1"/>
  <c r="Q211" i="55" s="1"/>
  <c r="K20" i="29"/>
  <c r="L20" i="29"/>
  <c r="L32" i="29" s="1"/>
  <c r="L37" i="29" s="1"/>
  <c r="Q20" i="29"/>
  <c r="R20" i="29"/>
  <c r="W20" i="29"/>
  <c r="X20" i="29"/>
  <c r="AA20" i="29"/>
  <c r="G21" i="29"/>
  <c r="G20" i="29" s="1"/>
  <c r="AE20" i="29" s="1"/>
  <c r="M21" i="29"/>
  <c r="N21" i="29"/>
  <c r="S21" i="29"/>
  <c r="S20" i="29" s="1"/>
  <c r="T21" i="29"/>
  <c r="U21" i="29" s="1"/>
  <c r="Y21" i="29"/>
  <c r="Y20" i="29" s="1"/>
  <c r="Z21" i="29"/>
  <c r="AA21" i="29" s="1"/>
  <c r="AB21" i="29" s="1"/>
  <c r="AB20" i="29" s="1"/>
  <c r="AC21" i="29"/>
  <c r="AC20" i="29" s="1"/>
  <c r="AJ21" i="29"/>
  <c r="G22" i="29"/>
  <c r="H22" i="29" s="1"/>
  <c r="I22" i="29" s="1"/>
  <c r="AG22" i="29" s="1"/>
  <c r="J22" i="29"/>
  <c r="AH22" i="29" s="1"/>
  <c r="M22" i="29"/>
  <c r="M20" i="29" s="1"/>
  <c r="S22" i="29"/>
  <c r="T22" i="29" s="1"/>
  <c r="U22" i="29"/>
  <c r="V22" i="29" s="1"/>
  <c r="Y22" i="29"/>
  <c r="Z22" i="29" s="1"/>
  <c r="AA22" i="29" s="1"/>
  <c r="AB22" i="29" s="1"/>
  <c r="AC22" i="29" s="1"/>
  <c r="AF22" i="29"/>
  <c r="AJ22" i="29"/>
  <c r="D23" i="29"/>
  <c r="E23" i="29"/>
  <c r="F23" i="29"/>
  <c r="P207" i="55" s="1"/>
  <c r="Q207" i="55" s="1"/>
  <c r="H23" i="29"/>
  <c r="K23" i="29"/>
  <c r="L23" i="29"/>
  <c r="Q23" i="29"/>
  <c r="R23" i="29"/>
  <c r="X23" i="29"/>
  <c r="AJ23" i="29"/>
  <c r="G24" i="29"/>
  <c r="G23" i="29" s="1"/>
  <c r="AE23" i="29" s="1"/>
  <c r="H24" i="29"/>
  <c r="AF24" i="29" s="1"/>
  <c r="I24" i="29"/>
  <c r="J24" i="29" s="1"/>
  <c r="K24" i="29"/>
  <c r="W24" i="29" s="1"/>
  <c r="W23" i="29" s="1"/>
  <c r="M24" i="29"/>
  <c r="M23" i="29" s="1"/>
  <c r="S24" i="29"/>
  <c r="S23" i="29" s="1"/>
  <c r="T24" i="29"/>
  <c r="T23" i="29" s="1"/>
  <c r="Y24" i="29"/>
  <c r="AE24" i="29"/>
  <c r="AH24" i="29"/>
  <c r="AJ24" i="29"/>
  <c r="G25" i="29"/>
  <c r="H25" i="29" s="1"/>
  <c r="M25" i="29"/>
  <c r="N25" i="29" s="1"/>
  <c r="O25" i="29" s="1"/>
  <c r="P25" i="29" s="1"/>
  <c r="S25" i="29"/>
  <c r="T25" i="29" s="1"/>
  <c r="U25" i="29" s="1"/>
  <c r="V25" i="29" s="1"/>
  <c r="Y25" i="29"/>
  <c r="Z25" i="29" s="1"/>
  <c r="AA25" i="29"/>
  <c r="AB25" i="29" s="1"/>
  <c r="AC25" i="29" s="1"/>
  <c r="AJ25" i="29"/>
  <c r="G26" i="29"/>
  <c r="M26" i="29"/>
  <c r="N26" i="29"/>
  <c r="O26" i="29" s="1"/>
  <c r="P26" i="29" s="1"/>
  <c r="S26" i="29"/>
  <c r="T26" i="29"/>
  <c r="U26" i="29" s="1"/>
  <c r="V26" i="29" s="1"/>
  <c r="Y26" i="29"/>
  <c r="Z26" i="29"/>
  <c r="AA26" i="29" s="1"/>
  <c r="AB26" i="29" s="1"/>
  <c r="AC26" i="29"/>
  <c r="AJ26" i="29"/>
  <c r="G27" i="29"/>
  <c r="H27" i="29" s="1"/>
  <c r="I27" i="29" s="1"/>
  <c r="M27" i="29"/>
  <c r="N27" i="29" s="1"/>
  <c r="O27" i="29" s="1"/>
  <c r="P27" i="29" s="1"/>
  <c r="S27" i="29"/>
  <c r="T27" i="29" s="1"/>
  <c r="U27" i="29"/>
  <c r="V27" i="29" s="1"/>
  <c r="X27" i="29" s="1"/>
  <c r="Y27" i="29" s="1"/>
  <c r="Z27" i="29" s="1"/>
  <c r="AA27" i="29" s="1"/>
  <c r="AB27" i="29" s="1"/>
  <c r="AC27" i="29" s="1"/>
  <c r="AE27" i="29"/>
  <c r="AF27" i="29"/>
  <c r="AJ27" i="29"/>
  <c r="G28" i="29"/>
  <c r="H28" i="29" s="1"/>
  <c r="M28" i="29"/>
  <c r="N28" i="29" s="1"/>
  <c r="O28" i="29" s="1"/>
  <c r="P28" i="29" s="1"/>
  <c r="R28" i="29" s="1"/>
  <c r="S28" i="29" s="1"/>
  <c r="T28" i="29" s="1"/>
  <c r="Y28" i="29"/>
  <c r="Z28" i="29" s="1"/>
  <c r="AA28" i="29" s="1"/>
  <c r="AB28" i="29" s="1"/>
  <c r="AC28" i="29" s="1"/>
  <c r="AE28" i="29"/>
  <c r="AJ28" i="29"/>
  <c r="G29" i="29"/>
  <c r="H29" i="29" s="1"/>
  <c r="M29" i="29"/>
  <c r="N29" i="29" s="1"/>
  <c r="O29" i="29" s="1"/>
  <c r="P29" i="29"/>
  <c r="S29" i="29"/>
  <c r="T29" i="29" s="1"/>
  <c r="U29" i="29" s="1"/>
  <c r="V29" i="29" s="1"/>
  <c r="Y29" i="29"/>
  <c r="Z29" i="29" s="1"/>
  <c r="AA29" i="29" s="1"/>
  <c r="AB29" i="29" s="1"/>
  <c r="AC29" i="29" s="1"/>
  <c r="AJ29" i="29"/>
  <c r="G30" i="29"/>
  <c r="H30" i="29" s="1"/>
  <c r="M30" i="29"/>
  <c r="N30" i="29"/>
  <c r="O30" i="29" s="1"/>
  <c r="P30" i="29" s="1"/>
  <c r="S30" i="29"/>
  <c r="T30" i="29" s="1"/>
  <c r="U30" i="29" s="1"/>
  <c r="V30" i="29" s="1"/>
  <c r="Y30" i="29"/>
  <c r="Z30" i="29"/>
  <c r="AA30" i="29" s="1"/>
  <c r="AB30" i="29" s="1"/>
  <c r="AC30" i="29" s="1"/>
  <c r="AJ30" i="29"/>
  <c r="G31" i="29"/>
  <c r="H31" i="29" s="1"/>
  <c r="I31" i="29"/>
  <c r="J31" i="29" s="1"/>
  <c r="AH31" i="29" s="1"/>
  <c r="M31" i="29"/>
  <c r="N31" i="29" s="1"/>
  <c r="O31" i="29" s="1"/>
  <c r="P31" i="29" s="1"/>
  <c r="S31" i="29"/>
  <c r="T31" i="29" s="1"/>
  <c r="U31" i="29" s="1"/>
  <c r="V31" i="29" s="1"/>
  <c r="Y31" i="29"/>
  <c r="Z31" i="29" s="1"/>
  <c r="AA31" i="29" s="1"/>
  <c r="AB31" i="29" s="1"/>
  <c r="AC31" i="29" s="1"/>
  <c r="AF31" i="29"/>
  <c r="AG31" i="29"/>
  <c r="AJ31" i="29"/>
  <c r="E32" i="29"/>
  <c r="K32" i="29"/>
  <c r="K37" i="29" s="1"/>
  <c r="E33" i="29"/>
  <c r="F33" i="29"/>
  <c r="K33" i="29"/>
  <c r="L33" i="29"/>
  <c r="Q33" i="29"/>
  <c r="W33" i="29"/>
  <c r="X33" i="29"/>
  <c r="Y33" i="29"/>
  <c r="G34" i="29"/>
  <c r="G33" i="29" s="1"/>
  <c r="AE33" i="29" s="1"/>
  <c r="H34" i="29"/>
  <c r="I34" i="29"/>
  <c r="J34" i="29" s="1"/>
  <c r="M34" i="29"/>
  <c r="N34" i="29"/>
  <c r="O34" i="29" s="1"/>
  <c r="S34" i="29"/>
  <c r="T34" i="29"/>
  <c r="U34" i="29"/>
  <c r="Y34" i="29"/>
  <c r="Z34" i="29"/>
  <c r="AA34" i="29" s="1"/>
  <c r="AE34" i="29"/>
  <c r="AF34" i="29"/>
  <c r="AI34" i="29"/>
  <c r="AJ34" i="29"/>
  <c r="G35" i="29"/>
  <c r="H35" i="29" s="1"/>
  <c r="M35" i="29"/>
  <c r="M33" i="29" s="1"/>
  <c r="S35" i="29"/>
  <c r="T35" i="29" s="1"/>
  <c r="Y35" i="29"/>
  <c r="Z35" i="29" s="1"/>
  <c r="AA35" i="29" s="1"/>
  <c r="AB35" i="29" s="1"/>
  <c r="AC35" i="29" s="1"/>
  <c r="AJ35" i="29"/>
  <c r="D36" i="29"/>
  <c r="G36" i="29"/>
  <c r="M36" i="29"/>
  <c r="N36" i="29"/>
  <c r="O36" i="29" s="1"/>
  <c r="P36" i="29" s="1"/>
  <c r="R36" i="29"/>
  <c r="R33" i="29" s="1"/>
  <c r="Y36" i="29"/>
  <c r="Z36" i="29" s="1"/>
  <c r="AA36" i="29" s="1"/>
  <c r="AB36" i="29" s="1"/>
  <c r="AC36" i="29" s="1"/>
  <c r="E37" i="29"/>
  <c r="AH38" i="29"/>
  <c r="E39" i="29"/>
  <c r="F39" i="29"/>
  <c r="G39" i="29"/>
  <c r="H39" i="29"/>
  <c r="N39" i="29"/>
  <c r="T39" i="29"/>
  <c r="AF39" i="29"/>
  <c r="AG39" i="29"/>
  <c r="AI39" i="29"/>
  <c r="C40" i="29"/>
  <c r="D40" i="29"/>
  <c r="X40" i="29"/>
  <c r="Y40" i="29"/>
  <c r="Z40" i="29"/>
  <c r="AA40" i="29"/>
  <c r="AB40" i="29"/>
  <c r="AC40" i="29"/>
  <c r="AE40" i="29"/>
  <c r="AH40" i="29"/>
  <c r="AJ40" i="29"/>
  <c r="D41" i="29"/>
  <c r="E41" i="29"/>
  <c r="F41" i="29"/>
  <c r="G41" i="29"/>
  <c r="AE41" i="29" s="1"/>
  <c r="K41" i="29"/>
  <c r="K52" i="29" s="1"/>
  <c r="L41" i="29"/>
  <c r="Q41" i="29"/>
  <c r="R41" i="29"/>
  <c r="W41" i="29"/>
  <c r="X41" i="29"/>
  <c r="AJ41" i="29"/>
  <c r="G42" i="29"/>
  <c r="H42" i="29" s="1"/>
  <c r="M42" i="29"/>
  <c r="R42" i="29"/>
  <c r="S42" i="29" s="1"/>
  <c r="S41" i="29" s="1"/>
  <c r="Y42" i="29"/>
  <c r="Z42" i="29" s="1"/>
  <c r="AJ42" i="29"/>
  <c r="G43" i="29"/>
  <c r="AE43" i="29" s="1"/>
  <c r="H43" i="29"/>
  <c r="I43" i="29" s="1"/>
  <c r="M43" i="29"/>
  <c r="N43" i="29"/>
  <c r="O43" i="29" s="1"/>
  <c r="P43" i="29" s="1"/>
  <c r="R43" i="29"/>
  <c r="S43" i="29"/>
  <c r="T43" i="29" s="1"/>
  <c r="U43" i="29" s="1"/>
  <c r="V43" i="29" s="1"/>
  <c r="Y43" i="29"/>
  <c r="Z43" i="29" s="1"/>
  <c r="AA43" i="29" s="1"/>
  <c r="AB43" i="29" s="1"/>
  <c r="AC43" i="29" s="1"/>
  <c r="AG43" i="29"/>
  <c r="AJ43" i="29"/>
  <c r="G44" i="29"/>
  <c r="AE44" i="29" s="1"/>
  <c r="H44" i="29"/>
  <c r="I44" i="29" s="1"/>
  <c r="J44" i="29" s="1"/>
  <c r="AH44" i="29" s="1"/>
  <c r="M44" i="29"/>
  <c r="N44" i="29" s="1"/>
  <c r="O44" i="29" s="1"/>
  <c r="P44" i="29" s="1"/>
  <c r="R44" i="29"/>
  <c r="S44" i="29"/>
  <c r="T44" i="29" s="1"/>
  <c r="U44" i="29" s="1"/>
  <c r="V44" i="29" s="1"/>
  <c r="Y44" i="29"/>
  <c r="Z44" i="29" s="1"/>
  <c r="AA44" i="29" s="1"/>
  <c r="AB44" i="29" s="1"/>
  <c r="AC44" i="29" s="1"/>
  <c r="AG44" i="29"/>
  <c r="AI44" i="29"/>
  <c r="AJ44" i="29"/>
  <c r="G45" i="29"/>
  <c r="H45" i="29"/>
  <c r="AF45" i="29" s="1"/>
  <c r="I45" i="29"/>
  <c r="J45" i="29" s="1"/>
  <c r="AH45" i="29" s="1"/>
  <c r="M45" i="29"/>
  <c r="N45" i="29"/>
  <c r="O45" i="29"/>
  <c r="P45" i="29" s="1"/>
  <c r="R45" i="29"/>
  <c r="S45" i="29"/>
  <c r="T45" i="29"/>
  <c r="U45" i="29" s="1"/>
  <c r="V45" i="29" s="1"/>
  <c r="Y45" i="29"/>
  <c r="Z45" i="29"/>
  <c r="AA45" i="29" s="1"/>
  <c r="AB45" i="29" s="1"/>
  <c r="AC45" i="29" s="1"/>
  <c r="AE45" i="29"/>
  <c r="AJ45" i="29"/>
  <c r="G46" i="29"/>
  <c r="H46" i="29" s="1"/>
  <c r="M46" i="29"/>
  <c r="N46" i="29" s="1"/>
  <c r="O46" i="29" s="1"/>
  <c r="P46" i="29" s="1"/>
  <c r="S46" i="29"/>
  <c r="T46" i="29" s="1"/>
  <c r="U46" i="29" s="1"/>
  <c r="V46" i="29" s="1"/>
  <c r="Y46" i="29"/>
  <c r="Z46" i="29" s="1"/>
  <c r="AA46" i="29" s="1"/>
  <c r="AB46" i="29" s="1"/>
  <c r="AC46" i="29" s="1"/>
  <c r="AJ46" i="29"/>
  <c r="D47" i="29"/>
  <c r="E47" i="29"/>
  <c r="F47" i="29"/>
  <c r="I17" i="39" s="1"/>
  <c r="I16" i="39" s="1"/>
  <c r="K47" i="29"/>
  <c r="L47" i="29"/>
  <c r="Q47" i="29"/>
  <c r="Q52" i="29" s="1"/>
  <c r="R47" i="29"/>
  <c r="X47" i="29"/>
  <c r="AA47" i="29"/>
  <c r="G48" i="29"/>
  <c r="G47" i="29" s="1"/>
  <c r="M48" i="29"/>
  <c r="N48" i="29"/>
  <c r="O48" i="29"/>
  <c r="R48" i="29"/>
  <c r="S48" i="29"/>
  <c r="T48" i="29"/>
  <c r="Y48" i="29"/>
  <c r="Z48" i="29"/>
  <c r="AA48" i="29"/>
  <c r="AB48" i="29" s="1"/>
  <c r="AE48" i="29"/>
  <c r="AJ48" i="29"/>
  <c r="G49" i="29"/>
  <c r="H49" i="29" s="1"/>
  <c r="AF49" i="29" s="1"/>
  <c r="I49" i="29"/>
  <c r="AG49" i="29" s="1"/>
  <c r="M49" i="29"/>
  <c r="N49" i="29" s="1"/>
  <c r="R49" i="29"/>
  <c r="S49" i="29" s="1"/>
  <c r="T49" i="29" s="1"/>
  <c r="U49" i="29"/>
  <c r="V49" i="29" s="1"/>
  <c r="Y49" i="29"/>
  <c r="Z49" i="29"/>
  <c r="AA49" i="29"/>
  <c r="AB49" i="29" s="1"/>
  <c r="AC49" i="29" s="1"/>
  <c r="AE49" i="29"/>
  <c r="AJ49" i="29"/>
  <c r="G50" i="29"/>
  <c r="H50" i="29" s="1"/>
  <c r="M50" i="29"/>
  <c r="N50" i="29" s="1"/>
  <c r="O50" i="29" s="1"/>
  <c r="P50" i="29" s="1"/>
  <c r="S50" i="29"/>
  <c r="T50" i="29" s="1"/>
  <c r="U50" i="29" s="1"/>
  <c r="V50" i="29"/>
  <c r="Y50" i="29"/>
  <c r="Z50" i="29" s="1"/>
  <c r="AA50" i="29" s="1"/>
  <c r="AB50" i="29" s="1"/>
  <c r="AC50" i="29" s="1"/>
  <c r="AJ50" i="29"/>
  <c r="G51" i="29"/>
  <c r="H51" i="29"/>
  <c r="I51" i="29"/>
  <c r="J51" i="29" s="1"/>
  <c r="AH51" i="29" s="1"/>
  <c r="M51" i="29"/>
  <c r="N51" i="29"/>
  <c r="O51" i="29" s="1"/>
  <c r="P51" i="29" s="1"/>
  <c r="S51" i="29"/>
  <c r="T51" i="29"/>
  <c r="U51" i="29"/>
  <c r="V51" i="29" s="1"/>
  <c r="Y51" i="29"/>
  <c r="Z51" i="29"/>
  <c r="AA51" i="29"/>
  <c r="AB51" i="29" s="1"/>
  <c r="AC51" i="29" s="1"/>
  <c r="AE51" i="29"/>
  <c r="AF51" i="29"/>
  <c r="AJ51" i="29"/>
  <c r="E52" i="29"/>
  <c r="F52" i="29"/>
  <c r="P227" i="55" s="1"/>
  <c r="L52" i="29"/>
  <c r="X52" i="29"/>
  <c r="AE53" i="29"/>
  <c r="AF53" i="29"/>
  <c r="AG53" i="29"/>
  <c r="AH53" i="29"/>
  <c r="AI53" i="29"/>
  <c r="AJ53" i="29"/>
  <c r="C54" i="29"/>
  <c r="G54" i="29"/>
  <c r="H54" i="29" s="1"/>
  <c r="M54" i="29"/>
  <c r="N54" i="29"/>
  <c r="O54" i="29" s="1"/>
  <c r="P54" i="29" s="1"/>
  <c r="Q54" i="29"/>
  <c r="R54" i="29"/>
  <c r="S54" i="29" s="1"/>
  <c r="T54" i="29" s="1"/>
  <c r="U54" i="29" s="1"/>
  <c r="V54" i="29" s="1"/>
  <c r="W54" i="29" s="1"/>
  <c r="Y54" i="29"/>
  <c r="Z54" i="29"/>
  <c r="AA54" i="29" s="1"/>
  <c r="AB54" i="29" s="1"/>
  <c r="AC54" i="29" s="1"/>
  <c r="AJ54" i="29"/>
  <c r="V55" i="29"/>
  <c r="Y55" i="29"/>
  <c r="Z55" i="29" s="1"/>
  <c r="AA55" i="29"/>
  <c r="AB55" i="29" s="1"/>
  <c r="AE55" i="29"/>
  <c r="AF55" i="29"/>
  <c r="AG55" i="29"/>
  <c r="AH55" i="29"/>
  <c r="AJ55" i="29"/>
  <c r="V56" i="29"/>
  <c r="Y56" i="29"/>
  <c r="Z56" i="29" s="1"/>
  <c r="AA56" i="29" s="1"/>
  <c r="AB56" i="29" s="1"/>
  <c r="AE56" i="29"/>
  <c r="AJ56" i="29"/>
  <c r="G58" i="29"/>
  <c r="H58" i="29" s="1"/>
  <c r="I58" i="29" s="1"/>
  <c r="J58" i="29" s="1"/>
  <c r="K58" i="29" s="1"/>
  <c r="D5" i="28"/>
  <c r="E5" i="28"/>
  <c r="AI5" i="28"/>
  <c r="AI40" i="28" s="1"/>
  <c r="AJ5" i="28"/>
  <c r="D8" i="28"/>
  <c r="AJ8" i="28" s="1"/>
  <c r="E8" i="28"/>
  <c r="F8" i="28"/>
  <c r="P182" i="55" s="1"/>
  <c r="K8" i="28"/>
  <c r="L8" i="28"/>
  <c r="Q8" i="28"/>
  <c r="W8" i="28"/>
  <c r="X8" i="28"/>
  <c r="G9" i="28"/>
  <c r="H9" i="28"/>
  <c r="M9" i="28"/>
  <c r="N9" i="28"/>
  <c r="O9" i="28"/>
  <c r="S9" i="28"/>
  <c r="T9" i="28"/>
  <c r="Y9" i="28"/>
  <c r="Y8" i="28" s="1"/>
  <c r="Z9" i="28"/>
  <c r="AA9" i="28"/>
  <c r="AB9" i="28" s="1"/>
  <c r="AE9" i="28"/>
  <c r="AJ9" i="28"/>
  <c r="G10" i="28"/>
  <c r="AE10" i="28" s="1"/>
  <c r="M10" i="28"/>
  <c r="N10" i="28"/>
  <c r="O10" i="28" s="1"/>
  <c r="P10" i="28" s="1"/>
  <c r="R10" i="28"/>
  <c r="S10" i="28"/>
  <c r="T10" i="28"/>
  <c r="U10" i="28" s="1"/>
  <c r="V10" i="28" s="1"/>
  <c r="Y10" i="28"/>
  <c r="Z10" i="28"/>
  <c r="AJ10" i="28"/>
  <c r="G11" i="28"/>
  <c r="H11" i="28"/>
  <c r="I11" i="28"/>
  <c r="M11" i="28"/>
  <c r="N11" i="28"/>
  <c r="O11" i="28"/>
  <c r="P11" i="28" s="1"/>
  <c r="S11" i="28"/>
  <c r="T11" i="28"/>
  <c r="U11" i="28" s="1"/>
  <c r="V11" i="28" s="1"/>
  <c r="Y11" i="28"/>
  <c r="Z11" i="28"/>
  <c r="AA11" i="28"/>
  <c r="AB11" i="28" s="1"/>
  <c r="AC11" i="28" s="1"/>
  <c r="AE11" i="28"/>
  <c r="AF11" i="28"/>
  <c r="AJ11" i="28"/>
  <c r="G12" i="28"/>
  <c r="H12" i="28" s="1"/>
  <c r="M12" i="28"/>
  <c r="N12" i="28" s="1"/>
  <c r="O12" i="28" s="1"/>
  <c r="P12" i="28" s="1"/>
  <c r="S12" i="28"/>
  <c r="T12" i="28" s="1"/>
  <c r="U12" i="28" s="1"/>
  <c r="V12" i="28" s="1"/>
  <c r="Y12" i="28"/>
  <c r="Z12" i="28" s="1"/>
  <c r="AA12" i="28" s="1"/>
  <c r="AB12" i="28" s="1"/>
  <c r="AC12" i="28" s="1"/>
  <c r="AJ12" i="28"/>
  <c r="G13" i="28"/>
  <c r="H13" i="28"/>
  <c r="I13" i="28" s="1"/>
  <c r="AI13" i="28" s="1"/>
  <c r="J13" i="28"/>
  <c r="AH13" i="28" s="1"/>
  <c r="M13" i="28"/>
  <c r="N13" i="28" s="1"/>
  <c r="O13" i="28" s="1"/>
  <c r="P13" i="28"/>
  <c r="R13" i="28"/>
  <c r="S13" i="28" s="1"/>
  <c r="T13" i="28" s="1"/>
  <c r="U13" i="28" s="1"/>
  <c r="V13" i="28" s="1"/>
  <c r="Y13" i="28"/>
  <c r="Z13" i="28" s="1"/>
  <c r="AA13" i="28" s="1"/>
  <c r="AB13" i="28" s="1"/>
  <c r="AC13" i="28" s="1"/>
  <c r="AE13" i="28"/>
  <c r="AF13" i="28"/>
  <c r="AG13" i="28"/>
  <c r="AJ13" i="28"/>
  <c r="G14" i="28"/>
  <c r="H14" i="28" s="1"/>
  <c r="M14" i="28"/>
  <c r="N14" i="28"/>
  <c r="O14" i="28" s="1"/>
  <c r="P14" i="28" s="1"/>
  <c r="R14" i="28"/>
  <c r="S14" i="28"/>
  <c r="T14" i="28" s="1"/>
  <c r="U14" i="28" s="1"/>
  <c r="V14" i="28" s="1"/>
  <c r="Y14" i="28"/>
  <c r="Z14" i="28"/>
  <c r="AA14" i="28" s="1"/>
  <c r="AB14" i="28" s="1"/>
  <c r="AC14" i="28"/>
  <c r="AE14" i="28"/>
  <c r="AJ14" i="28"/>
  <c r="G15" i="28"/>
  <c r="H15" i="28"/>
  <c r="I15" i="28" s="1"/>
  <c r="AI15" i="28" s="1"/>
  <c r="J15" i="28"/>
  <c r="AH15" i="28" s="1"/>
  <c r="M15" i="28"/>
  <c r="N15" i="28" s="1"/>
  <c r="O15" i="28" s="1"/>
  <c r="P15" i="28" s="1"/>
  <c r="R15" i="28"/>
  <c r="S15" i="28" s="1"/>
  <c r="T15" i="28"/>
  <c r="U15" i="28" s="1"/>
  <c r="V15" i="28" s="1"/>
  <c r="Y15" i="28"/>
  <c r="Z15" i="28" s="1"/>
  <c r="AA15" i="28" s="1"/>
  <c r="AB15" i="28" s="1"/>
  <c r="AC15" i="28" s="1"/>
  <c r="AE15" i="28"/>
  <c r="AF15" i="28"/>
  <c r="AG15" i="28"/>
  <c r="AJ15" i="28"/>
  <c r="G16" i="28"/>
  <c r="H16" i="28" s="1"/>
  <c r="M16" i="28"/>
  <c r="M8" i="28" s="1"/>
  <c r="R16" i="28"/>
  <c r="S16" i="28"/>
  <c r="T16" i="28" s="1"/>
  <c r="U16" i="28" s="1"/>
  <c r="V16" i="28" s="1"/>
  <c r="Y16" i="28"/>
  <c r="Z16" i="28"/>
  <c r="AA16" i="28" s="1"/>
  <c r="AB16" i="28" s="1"/>
  <c r="AC16" i="28" s="1"/>
  <c r="AE16" i="28"/>
  <c r="AJ16" i="28"/>
  <c r="G17" i="28"/>
  <c r="H17" i="28"/>
  <c r="I17" i="28"/>
  <c r="J17" i="28" s="1"/>
  <c r="AH17" i="28" s="1"/>
  <c r="M17" i="28"/>
  <c r="N17" i="28"/>
  <c r="O17" i="28" s="1"/>
  <c r="P17" i="28" s="1"/>
  <c r="S17" i="28"/>
  <c r="T17" i="28"/>
  <c r="U17" i="28"/>
  <c r="V17" i="28" s="1"/>
  <c r="Y17" i="28"/>
  <c r="Z17" i="28"/>
  <c r="AA17" i="28"/>
  <c r="AB17" i="28" s="1"/>
  <c r="AC17" i="28" s="1"/>
  <c r="AE17" i="28"/>
  <c r="AF17" i="28"/>
  <c r="AJ17" i="28"/>
  <c r="H18" i="28"/>
  <c r="J18" i="28"/>
  <c r="N18" i="28"/>
  <c r="T18" i="28"/>
  <c r="AE18" i="28"/>
  <c r="AH18" i="28"/>
  <c r="AJ18" i="28"/>
  <c r="G19" i="28"/>
  <c r="H19" i="28" s="1"/>
  <c r="M19" i="28"/>
  <c r="N19" i="28" s="1"/>
  <c r="O19" i="28"/>
  <c r="P19" i="28" s="1"/>
  <c r="S19" i="28"/>
  <c r="T19" i="28" s="1"/>
  <c r="U19" i="28" s="1"/>
  <c r="V19" i="28" s="1"/>
  <c r="Y19" i="28"/>
  <c r="Z19" i="28" s="1"/>
  <c r="AA19" i="28" s="1"/>
  <c r="AB19" i="28" s="1"/>
  <c r="AC19" i="28" s="1"/>
  <c r="AJ19" i="28"/>
  <c r="D20" i="28"/>
  <c r="E20" i="28"/>
  <c r="E32" i="28" s="1"/>
  <c r="E37" i="28" s="1"/>
  <c r="F20" i="28"/>
  <c r="P183" i="55" s="1"/>
  <c r="Q183" i="55" s="1"/>
  <c r="K20" i="28"/>
  <c r="L20" i="28"/>
  <c r="Q20" i="28"/>
  <c r="R20" i="28"/>
  <c r="T20" i="28"/>
  <c r="U20" i="28"/>
  <c r="W20" i="28"/>
  <c r="X20" i="28"/>
  <c r="G21" i="28"/>
  <c r="G20" i="28" s="1"/>
  <c r="AE20" i="28" s="1"/>
  <c r="H21" i="28"/>
  <c r="I21" i="28" s="1"/>
  <c r="M21" i="28"/>
  <c r="N21" i="28"/>
  <c r="O21" i="28"/>
  <c r="S21" i="28"/>
  <c r="S20" i="28" s="1"/>
  <c r="T21" i="28"/>
  <c r="U21" i="28" s="1"/>
  <c r="V21" i="28" s="1"/>
  <c r="Y21" i="28"/>
  <c r="Z21" i="28"/>
  <c r="AA21" i="28"/>
  <c r="AB21" i="28" s="1"/>
  <c r="AE21" i="28"/>
  <c r="AJ21" i="28"/>
  <c r="G22" i="28"/>
  <c r="H22" i="28" s="1"/>
  <c r="M22" i="28"/>
  <c r="S22" i="28"/>
  <c r="T22" i="28" s="1"/>
  <c r="U22" i="28" s="1"/>
  <c r="V22" i="28" s="1"/>
  <c r="Y22" i="28"/>
  <c r="AJ22" i="28"/>
  <c r="D23" i="28"/>
  <c r="E23" i="28"/>
  <c r="F23" i="28"/>
  <c r="P179" i="55" s="1"/>
  <c r="Q179" i="55" s="1"/>
  <c r="K23" i="28"/>
  <c r="L23" i="28"/>
  <c r="Q23" i="28"/>
  <c r="R23" i="28"/>
  <c r="X23" i="28"/>
  <c r="Y23" i="28"/>
  <c r="Z23" i="28"/>
  <c r="AJ23" i="28"/>
  <c r="G24" i="28"/>
  <c r="H24" i="28" s="1"/>
  <c r="K24" i="28"/>
  <c r="W24" i="28" s="1"/>
  <c r="W23" i="28" s="1"/>
  <c r="W32" i="28" s="1"/>
  <c r="M24" i="28"/>
  <c r="N24" i="28"/>
  <c r="O24" i="28"/>
  <c r="S24" i="28"/>
  <c r="T24" i="28"/>
  <c r="U24" i="28"/>
  <c r="Y24" i="28"/>
  <c r="Z24" i="28"/>
  <c r="AA24" i="28" s="1"/>
  <c r="AJ24" i="28"/>
  <c r="G25" i="28"/>
  <c r="M25" i="28"/>
  <c r="M23" i="28" s="1"/>
  <c r="S25" i="28"/>
  <c r="Y25" i="28"/>
  <c r="Z25" i="28" s="1"/>
  <c r="AA25" i="28" s="1"/>
  <c r="AB25" i="28" s="1"/>
  <c r="AC25" i="28" s="1"/>
  <c r="AJ25" i="28"/>
  <c r="G26" i="28"/>
  <c r="H26" i="28"/>
  <c r="M26" i="28"/>
  <c r="N26" i="28"/>
  <c r="O26" i="28"/>
  <c r="P26" i="28" s="1"/>
  <c r="S26" i="28"/>
  <c r="T26" i="28"/>
  <c r="U26" i="28"/>
  <c r="V26" i="28" s="1"/>
  <c r="Y26" i="28"/>
  <c r="Z26" i="28"/>
  <c r="AA26" i="28"/>
  <c r="AB26" i="28" s="1"/>
  <c r="AC26" i="28" s="1"/>
  <c r="AE26" i="28"/>
  <c r="AJ26" i="28"/>
  <c r="G27" i="28"/>
  <c r="H27" i="28" s="1"/>
  <c r="M27" i="28"/>
  <c r="N27" i="28" s="1"/>
  <c r="O27" i="28" s="1"/>
  <c r="P27" i="28" s="1"/>
  <c r="S27" i="28"/>
  <c r="T27" i="28" s="1"/>
  <c r="U27" i="28" s="1"/>
  <c r="V27" i="28" s="1"/>
  <c r="X27" i="28" s="1"/>
  <c r="AJ27" i="28"/>
  <c r="G28" i="28"/>
  <c r="AE28" i="28" s="1"/>
  <c r="H28" i="28"/>
  <c r="AF28" i="28" s="1"/>
  <c r="M28" i="28"/>
  <c r="N28" i="28" s="1"/>
  <c r="O28" i="28" s="1"/>
  <c r="P28" i="28" s="1"/>
  <c r="S28" i="28"/>
  <c r="T28" i="28"/>
  <c r="Y28" i="28"/>
  <c r="Z28" i="28" s="1"/>
  <c r="AA28" i="28"/>
  <c r="AB28" i="28" s="1"/>
  <c r="AC28" i="28" s="1"/>
  <c r="AJ28" i="28"/>
  <c r="G29" i="28"/>
  <c r="H29" i="28"/>
  <c r="M29" i="28"/>
  <c r="N29" i="28"/>
  <c r="O29" i="28" s="1"/>
  <c r="P29" i="28" s="1"/>
  <c r="S29" i="28"/>
  <c r="T29" i="28" s="1"/>
  <c r="U29" i="28" s="1"/>
  <c r="V29" i="28" s="1"/>
  <c r="Y29" i="28"/>
  <c r="Z29" i="28"/>
  <c r="AA29" i="28" s="1"/>
  <c r="AB29" i="28" s="1"/>
  <c r="AC29" i="28" s="1"/>
  <c r="AE29" i="28"/>
  <c r="AJ29" i="28"/>
  <c r="G30" i="28"/>
  <c r="H30" i="28" s="1"/>
  <c r="I30" i="28"/>
  <c r="J30" i="28" s="1"/>
  <c r="AH30" i="28" s="1"/>
  <c r="M30" i="28"/>
  <c r="N30" i="28" s="1"/>
  <c r="O30" i="28" s="1"/>
  <c r="P30" i="28" s="1"/>
  <c r="S30" i="28"/>
  <c r="T30" i="28" s="1"/>
  <c r="U30" i="28"/>
  <c r="V30" i="28" s="1"/>
  <c r="Y30" i="28"/>
  <c r="Z30" i="28" s="1"/>
  <c r="AA30" i="28" s="1"/>
  <c r="AB30" i="28"/>
  <c r="AC30" i="28" s="1"/>
  <c r="AF30" i="28"/>
  <c r="AG30" i="28"/>
  <c r="AJ30" i="28"/>
  <c r="G31" i="28"/>
  <c r="H31" i="28"/>
  <c r="M31" i="28"/>
  <c r="N31" i="28" s="1"/>
  <c r="O31" i="28" s="1"/>
  <c r="P31" i="28" s="1"/>
  <c r="S31" i="28"/>
  <c r="T31" i="28"/>
  <c r="U31" i="28" s="1"/>
  <c r="V31" i="28" s="1"/>
  <c r="Y31" i="28"/>
  <c r="Z31" i="28" s="1"/>
  <c r="AA31" i="28" s="1"/>
  <c r="AB31" i="28" s="1"/>
  <c r="AC31" i="28" s="1"/>
  <c r="AE31" i="28"/>
  <c r="AJ31" i="28"/>
  <c r="K32" i="28"/>
  <c r="L32" i="28"/>
  <c r="L37" i="28" s="1"/>
  <c r="Q32" i="28"/>
  <c r="E33" i="28"/>
  <c r="F33" i="28"/>
  <c r="G33" i="28"/>
  <c r="AE33" i="28" s="1"/>
  <c r="K33" i="28"/>
  <c r="K37" i="28" s="1"/>
  <c r="L33" i="28"/>
  <c r="Q33" i="28"/>
  <c r="R33" i="28"/>
  <c r="S33" i="28"/>
  <c r="W33" i="28"/>
  <c r="X33" i="28"/>
  <c r="G34" i="28"/>
  <c r="H34" i="28"/>
  <c r="I34" i="28"/>
  <c r="M34" i="28"/>
  <c r="M33" i="28" s="1"/>
  <c r="N34" i="28"/>
  <c r="O34" i="28"/>
  <c r="P34" i="28" s="1"/>
  <c r="R34" i="28"/>
  <c r="S34" i="28"/>
  <c r="T34" i="28"/>
  <c r="Y34" i="28"/>
  <c r="Y33" i="28" s="1"/>
  <c r="Z34" i="28"/>
  <c r="AE34" i="28"/>
  <c r="AJ34" i="28"/>
  <c r="G35" i="28"/>
  <c r="H35" i="28"/>
  <c r="AF35" i="28" s="1"/>
  <c r="I35" i="28"/>
  <c r="M35" i="28"/>
  <c r="N35" i="28"/>
  <c r="O35" i="28"/>
  <c r="P35" i="28" s="1"/>
  <c r="S35" i="28"/>
  <c r="T35" i="28"/>
  <c r="U35" i="28" s="1"/>
  <c r="V35" i="28" s="1"/>
  <c r="Y35" i="28"/>
  <c r="Z35" i="28"/>
  <c r="AA35" i="28"/>
  <c r="AB35" i="28" s="1"/>
  <c r="AC35" i="28" s="1"/>
  <c r="AE35" i="28"/>
  <c r="AJ35" i="28"/>
  <c r="D36" i="28"/>
  <c r="G36" i="28"/>
  <c r="H36" i="28" s="1"/>
  <c r="M36" i="28"/>
  <c r="N36" i="28" s="1"/>
  <c r="O36" i="28" s="1"/>
  <c r="P36" i="28" s="1"/>
  <c r="R36" i="28"/>
  <c r="S36" i="28" s="1"/>
  <c r="T36" i="28"/>
  <c r="U36" i="28" s="1"/>
  <c r="V36" i="28" s="1"/>
  <c r="Y36" i="28"/>
  <c r="Z36" i="28"/>
  <c r="AA36" i="28"/>
  <c r="AB36" i="28" s="1"/>
  <c r="AC36" i="28" s="1"/>
  <c r="AE36" i="28"/>
  <c r="AF36" i="28"/>
  <c r="Q37" i="28"/>
  <c r="AH38" i="28"/>
  <c r="E39" i="28"/>
  <c r="F39" i="28"/>
  <c r="G39" i="28"/>
  <c r="H39" i="28"/>
  <c r="N39" i="28"/>
  <c r="T39" i="28"/>
  <c r="AF39" i="28"/>
  <c r="AG39" i="28"/>
  <c r="AI39" i="28"/>
  <c r="C40" i="28"/>
  <c r="D40" i="28"/>
  <c r="E40" i="28"/>
  <c r="X40" i="28"/>
  <c r="Y40" i="28"/>
  <c r="Z40" i="28"/>
  <c r="AA40" i="28"/>
  <c r="AB40" i="28"/>
  <c r="AC40" i="28"/>
  <c r="AE40" i="28"/>
  <c r="AH40" i="28"/>
  <c r="AJ40" i="28"/>
  <c r="D41" i="28"/>
  <c r="E41" i="28"/>
  <c r="F41" i="28"/>
  <c r="G41" i="28"/>
  <c r="K41" i="28"/>
  <c r="L41" i="28"/>
  <c r="Q41" i="28"/>
  <c r="R41" i="28"/>
  <c r="R52" i="28" s="1"/>
  <c r="X41" i="28"/>
  <c r="AJ41" i="28"/>
  <c r="F42" i="28"/>
  <c r="P189" i="55" s="1"/>
  <c r="G42" i="28"/>
  <c r="H42" i="28"/>
  <c r="M42" i="28"/>
  <c r="N42" i="28"/>
  <c r="O42" i="28" s="1"/>
  <c r="P42" i="28"/>
  <c r="R42" i="28"/>
  <c r="S42" i="28"/>
  <c r="T42" i="28"/>
  <c r="Y42" i="28"/>
  <c r="Z42" i="28"/>
  <c r="AA42" i="28" s="1"/>
  <c r="AB42" i="28"/>
  <c r="AE42" i="28"/>
  <c r="AF42" i="28"/>
  <c r="AJ42" i="28"/>
  <c r="G43" i="28"/>
  <c r="H43" i="28" s="1"/>
  <c r="I43" i="28" s="1"/>
  <c r="AG43" i="28" s="1"/>
  <c r="M43" i="28"/>
  <c r="M41" i="28" s="1"/>
  <c r="R43" i="28"/>
  <c r="S43" i="28" s="1"/>
  <c r="Y43" i="28"/>
  <c r="Z43" i="28" s="1"/>
  <c r="AA43" i="28" s="1"/>
  <c r="AB43" i="28"/>
  <c r="AC43" i="28"/>
  <c r="AE43" i="28"/>
  <c r="AF43" i="28"/>
  <c r="AI43" i="28"/>
  <c r="AJ43" i="28"/>
  <c r="G44" i="28"/>
  <c r="H44" i="28"/>
  <c r="I44" i="28" s="1"/>
  <c r="AG44" i="28" s="1"/>
  <c r="J44" i="28"/>
  <c r="AH44" i="28"/>
  <c r="M44" i="28"/>
  <c r="N44" i="28" s="1"/>
  <c r="O44" i="28" s="1"/>
  <c r="P44" i="28" s="1"/>
  <c r="R44" i="28"/>
  <c r="S44" i="28"/>
  <c r="T44" i="28"/>
  <c r="U44" i="28" s="1"/>
  <c r="V44" i="28"/>
  <c r="Y44" i="28"/>
  <c r="Z44" i="28" s="1"/>
  <c r="AA44" i="28" s="1"/>
  <c r="AB44" i="28" s="1"/>
  <c r="AC44" i="28" s="1"/>
  <c r="AE44" i="28"/>
  <c r="AF44" i="28"/>
  <c r="AJ44" i="28"/>
  <c r="G45" i="28"/>
  <c r="H45" i="28"/>
  <c r="M45" i="28"/>
  <c r="N45" i="28"/>
  <c r="O45" i="28"/>
  <c r="P45" i="28" s="1"/>
  <c r="S45" i="28"/>
  <c r="T45" i="28" s="1"/>
  <c r="U45" i="28" s="1"/>
  <c r="V45" i="28" s="1"/>
  <c r="Y45" i="28"/>
  <c r="Z45" i="28" s="1"/>
  <c r="AA45" i="28"/>
  <c r="AB45" i="28"/>
  <c r="AC45" i="28" s="1"/>
  <c r="AE45" i="28"/>
  <c r="AJ45" i="28"/>
  <c r="G46" i="28"/>
  <c r="H46" i="28"/>
  <c r="I46" i="28" s="1"/>
  <c r="M46" i="28"/>
  <c r="N46" i="28" s="1"/>
  <c r="O46" i="28" s="1"/>
  <c r="P46" i="28" s="1"/>
  <c r="S46" i="28"/>
  <c r="T46" i="28"/>
  <c r="U46" i="28"/>
  <c r="V46" i="28" s="1"/>
  <c r="Y46" i="28"/>
  <c r="Z46" i="28" s="1"/>
  <c r="AA46" i="28" s="1"/>
  <c r="AB46" i="28" s="1"/>
  <c r="AC46" i="28" s="1"/>
  <c r="AE46" i="28"/>
  <c r="AJ46" i="28"/>
  <c r="D47" i="28"/>
  <c r="E47" i="28"/>
  <c r="F47" i="28"/>
  <c r="G47" i="28"/>
  <c r="J15" i="39" s="1"/>
  <c r="K47" i="28"/>
  <c r="L47" i="28"/>
  <c r="L52" i="28" s="1"/>
  <c r="Q47" i="28"/>
  <c r="Q52" i="28" s="1"/>
  <c r="W47" i="28"/>
  <c r="X47" i="28"/>
  <c r="AE47" i="28"/>
  <c r="G48" i="28"/>
  <c r="H48" i="28" s="1"/>
  <c r="M48" i="28"/>
  <c r="R48" i="28"/>
  <c r="R47" i="28" s="1"/>
  <c r="Y48" i="28"/>
  <c r="Y47" i="28" s="1"/>
  <c r="AE48" i="28"/>
  <c r="AJ48" i="28"/>
  <c r="G49" i="28"/>
  <c r="H49" i="28" s="1"/>
  <c r="I49" i="28" s="1"/>
  <c r="J49" i="28" s="1"/>
  <c r="AH49" i="28" s="1"/>
  <c r="M49" i="28"/>
  <c r="N49" i="28" s="1"/>
  <c r="O49" i="28" s="1"/>
  <c r="P49" i="28" s="1"/>
  <c r="R49" i="28"/>
  <c r="S49" i="28" s="1"/>
  <c r="T49" i="28"/>
  <c r="U49" i="28" s="1"/>
  <c r="V49" i="28" s="1"/>
  <c r="Y49" i="28"/>
  <c r="Z49" i="28" s="1"/>
  <c r="AA49" i="28" s="1"/>
  <c r="AB49" i="28" s="1"/>
  <c r="AC49" i="28" s="1"/>
  <c r="AE49" i="28"/>
  <c r="AF49" i="28"/>
  <c r="AG49" i="28"/>
  <c r="AJ49" i="28"/>
  <c r="G50" i="28"/>
  <c r="H50" i="28" s="1"/>
  <c r="M50" i="28"/>
  <c r="N50" i="28"/>
  <c r="O50" i="28" s="1"/>
  <c r="P50" i="28" s="1"/>
  <c r="S50" i="28"/>
  <c r="T50" i="28" s="1"/>
  <c r="U50" i="28" s="1"/>
  <c r="V50" i="28"/>
  <c r="Y50" i="28"/>
  <c r="Z50" i="28" s="1"/>
  <c r="AA50" i="28" s="1"/>
  <c r="AB50" i="28" s="1"/>
  <c r="AC50" i="28" s="1"/>
  <c r="AJ50" i="28"/>
  <c r="G51" i="28"/>
  <c r="H51" i="28" s="1"/>
  <c r="M51" i="28"/>
  <c r="N51" i="28"/>
  <c r="O51" i="28"/>
  <c r="P51" i="28" s="1"/>
  <c r="S51" i="28"/>
  <c r="T51" i="28" s="1"/>
  <c r="U51" i="28" s="1"/>
  <c r="V51" i="28" s="1"/>
  <c r="Y51" i="28"/>
  <c r="Z51" i="28"/>
  <c r="AA51" i="28"/>
  <c r="AB51" i="28" s="1"/>
  <c r="AC51" i="28" s="1"/>
  <c r="AJ51" i="28"/>
  <c r="D52" i="28"/>
  <c r="E52" i="28"/>
  <c r="K52" i="28"/>
  <c r="X52" i="28"/>
  <c r="AE53" i="28"/>
  <c r="AF53" i="28"/>
  <c r="AG53" i="28"/>
  <c r="AH53" i="28"/>
  <c r="AI53" i="28"/>
  <c r="AJ53" i="28"/>
  <c r="C54" i="28"/>
  <c r="D54" i="28"/>
  <c r="AJ54" i="28" s="1"/>
  <c r="G54" i="28"/>
  <c r="AE54" i="28" s="1"/>
  <c r="M54" i="28"/>
  <c r="N54" i="28" s="1"/>
  <c r="O54" i="28" s="1"/>
  <c r="P54" i="28" s="1"/>
  <c r="Q54" i="28" s="1"/>
  <c r="R54" i="28"/>
  <c r="S54" i="28" s="1"/>
  <c r="T54" i="28" s="1"/>
  <c r="U54" i="28" s="1"/>
  <c r="V54" i="28" s="1"/>
  <c r="W54" i="28" s="1"/>
  <c r="Y54" i="28"/>
  <c r="Z54" i="28" s="1"/>
  <c r="AA54" i="28" s="1"/>
  <c r="AB54" i="28" s="1"/>
  <c r="AC54" i="28" s="1"/>
  <c r="V55" i="28"/>
  <c r="Y55" i="28"/>
  <c r="Z55" i="28" s="1"/>
  <c r="AA55" i="28" s="1"/>
  <c r="AB55" i="28" s="1"/>
  <c r="AE55" i="28"/>
  <c r="AF55" i="28"/>
  <c r="AG55" i="28"/>
  <c r="AH55" i="28"/>
  <c r="AJ55" i="28"/>
  <c r="V56" i="28"/>
  <c r="Y56" i="28"/>
  <c r="Z56" i="28"/>
  <c r="AA56" i="28"/>
  <c r="AB56" i="28" s="1"/>
  <c r="AE56" i="28"/>
  <c r="AJ56" i="28"/>
  <c r="K57" i="28"/>
  <c r="G58" i="28"/>
  <c r="H58" i="28" s="1"/>
  <c r="I58" i="28" s="1"/>
  <c r="J58" i="28" s="1"/>
  <c r="K58" i="28" s="1"/>
  <c r="K60" i="28"/>
  <c r="D5" i="27"/>
  <c r="E5" i="27"/>
  <c r="AI5" i="27"/>
  <c r="AJ5" i="27"/>
  <c r="D8" i="27"/>
  <c r="E8" i="27"/>
  <c r="F8" i="27"/>
  <c r="P153" i="55" s="1"/>
  <c r="K8" i="27"/>
  <c r="L8" i="27"/>
  <c r="Q8" i="27"/>
  <c r="X8" i="27"/>
  <c r="AJ8" i="27"/>
  <c r="G9" i="27"/>
  <c r="M9" i="27"/>
  <c r="N9" i="27" s="1"/>
  <c r="S9" i="27"/>
  <c r="T9" i="27" s="1"/>
  <c r="U9" i="27"/>
  <c r="Y9" i="27"/>
  <c r="AJ9" i="27"/>
  <c r="G10" i="27"/>
  <c r="H10" i="27"/>
  <c r="I10" i="27" s="1"/>
  <c r="AG10" i="27" s="1"/>
  <c r="M10" i="27"/>
  <c r="N10" i="27"/>
  <c r="O10" i="27" s="1"/>
  <c r="P10" i="27" s="1"/>
  <c r="R10" i="27"/>
  <c r="S10" i="27"/>
  <c r="T10" i="27" s="1"/>
  <c r="U10" i="27" s="1"/>
  <c r="V10" i="27" s="1"/>
  <c r="Y10" i="27"/>
  <c r="Z10" i="27"/>
  <c r="AA10" i="27"/>
  <c r="AB10" i="27" s="1"/>
  <c r="AC10" i="27" s="1"/>
  <c r="AE10" i="27"/>
  <c r="AJ10" i="27"/>
  <c r="G11" i="27"/>
  <c r="H11" i="27" s="1"/>
  <c r="M11" i="27"/>
  <c r="N11" i="27"/>
  <c r="O11" i="27" s="1"/>
  <c r="P11" i="27" s="1"/>
  <c r="R11" i="27"/>
  <c r="S11" i="27" s="1"/>
  <c r="Y11" i="27"/>
  <c r="Z11" i="27"/>
  <c r="AA11" i="27" s="1"/>
  <c r="AB11" i="27" s="1"/>
  <c r="AC11" i="27"/>
  <c r="AE11" i="27"/>
  <c r="AJ11" i="27"/>
  <c r="G12" i="27"/>
  <c r="H12" i="27" s="1"/>
  <c r="I12" i="27"/>
  <c r="J12" i="27" s="1"/>
  <c r="AH12" i="27" s="1"/>
  <c r="M12" i="27"/>
  <c r="N12" i="27" s="1"/>
  <c r="O12" i="27" s="1"/>
  <c r="P12" i="27" s="1"/>
  <c r="S12" i="27"/>
  <c r="T12" i="27" s="1"/>
  <c r="U12" i="27" s="1"/>
  <c r="V12" i="27" s="1"/>
  <c r="Y12" i="27"/>
  <c r="Z12" i="27" s="1"/>
  <c r="AA12" i="27" s="1"/>
  <c r="AB12" i="27" s="1"/>
  <c r="AC12" i="27" s="1"/>
  <c r="AF12" i="27"/>
  <c r="AG12" i="27"/>
  <c r="AJ12" i="27"/>
  <c r="G13" i="27"/>
  <c r="H13" i="27"/>
  <c r="I13" i="27" s="1"/>
  <c r="J13" i="27" s="1"/>
  <c r="AH13" i="27" s="1"/>
  <c r="M13" i="27"/>
  <c r="N13" i="27"/>
  <c r="O13" i="27" s="1"/>
  <c r="P13" i="27" s="1"/>
  <c r="R13" i="27"/>
  <c r="S13" i="27"/>
  <c r="T13" i="27" s="1"/>
  <c r="U13" i="27" s="1"/>
  <c r="V13" i="27" s="1"/>
  <c r="Y13" i="27"/>
  <c r="Z13" i="27"/>
  <c r="AA13" i="27" s="1"/>
  <c r="AB13" i="27" s="1"/>
  <c r="AC13" i="27" s="1"/>
  <c r="AE13" i="27"/>
  <c r="AI13" i="27"/>
  <c r="AJ13" i="27"/>
  <c r="G14" i="27"/>
  <c r="M14" i="27"/>
  <c r="N14" i="27" s="1"/>
  <c r="O14" i="27" s="1"/>
  <c r="P14" i="27" s="1"/>
  <c r="R14" i="27"/>
  <c r="S14" i="27" s="1"/>
  <c r="T14" i="27" s="1"/>
  <c r="U14" i="27" s="1"/>
  <c r="V14" i="27" s="1"/>
  <c r="Y14" i="27"/>
  <c r="Z14" i="27" s="1"/>
  <c r="AA14" i="27"/>
  <c r="AB14" i="27" s="1"/>
  <c r="AC14" i="27" s="1"/>
  <c r="AJ14" i="27"/>
  <c r="G15" i="27"/>
  <c r="H15" i="27"/>
  <c r="I15" i="27" s="1"/>
  <c r="AI15" i="27" s="1"/>
  <c r="M15" i="27"/>
  <c r="N15" i="27"/>
  <c r="O15" i="27" s="1"/>
  <c r="P15" i="27" s="1"/>
  <c r="S15" i="27"/>
  <c r="T15" i="27"/>
  <c r="U15" i="27" s="1"/>
  <c r="V15" i="27" s="1"/>
  <c r="Y15" i="27"/>
  <c r="Z15" i="27" s="1"/>
  <c r="AA15" i="27" s="1"/>
  <c r="AB15" i="27" s="1"/>
  <c r="AC15" i="27" s="1"/>
  <c r="AE15" i="27"/>
  <c r="AG15" i="27"/>
  <c r="AJ15" i="27"/>
  <c r="G16" i="27"/>
  <c r="H16" i="27" s="1"/>
  <c r="M16" i="27"/>
  <c r="N16" i="27"/>
  <c r="O16" i="27" s="1"/>
  <c r="P16" i="27" s="1"/>
  <c r="R16" i="27"/>
  <c r="S16" i="27" s="1"/>
  <c r="T16" i="27" s="1"/>
  <c r="U16" i="27" s="1"/>
  <c r="V16" i="27" s="1"/>
  <c r="Y16" i="27"/>
  <c r="Z16" i="27"/>
  <c r="AA16" i="27" s="1"/>
  <c r="AB16" i="27" s="1"/>
  <c r="AC16" i="27" s="1"/>
  <c r="AJ16" i="27"/>
  <c r="G17" i="27"/>
  <c r="H17" i="27" s="1"/>
  <c r="M17" i="27"/>
  <c r="N17" i="27"/>
  <c r="O17" i="27"/>
  <c r="P17" i="27"/>
  <c r="S17" i="27"/>
  <c r="T17" i="27" s="1"/>
  <c r="U17" i="27" s="1"/>
  <c r="V17" i="27" s="1"/>
  <c r="Y17" i="27"/>
  <c r="Z17" i="27"/>
  <c r="AA17" i="27"/>
  <c r="AB17" i="27"/>
  <c r="AC17" i="27" s="1"/>
  <c r="AJ17" i="27"/>
  <c r="H18" i="27"/>
  <c r="J18" i="27"/>
  <c r="AH18" i="27" s="1"/>
  <c r="N18" i="27"/>
  <c r="T18" i="27"/>
  <c r="AE18" i="27"/>
  <c r="AJ18" i="27"/>
  <c r="G19" i="27"/>
  <c r="H19" i="27" s="1"/>
  <c r="M19" i="27"/>
  <c r="N19" i="27" s="1"/>
  <c r="O19" i="27"/>
  <c r="P19" i="27" s="1"/>
  <c r="S19" i="27"/>
  <c r="T19" i="27" s="1"/>
  <c r="U19" i="27" s="1"/>
  <c r="V19" i="27" s="1"/>
  <c r="Y19" i="27"/>
  <c r="Z19" i="27" s="1"/>
  <c r="AA19" i="27" s="1"/>
  <c r="AB19" i="27"/>
  <c r="AC19" i="27"/>
  <c r="AE19" i="27"/>
  <c r="AJ19" i="27"/>
  <c r="D20" i="27"/>
  <c r="E20" i="27"/>
  <c r="F20" i="27"/>
  <c r="G20" i="27"/>
  <c r="K20" i="27"/>
  <c r="L20" i="27"/>
  <c r="Q20" i="27"/>
  <c r="R20" i="27"/>
  <c r="W20" i="27"/>
  <c r="X20" i="27"/>
  <c r="AE20" i="27"/>
  <c r="G21" i="27"/>
  <c r="H21" i="27" s="1"/>
  <c r="H20" i="27" s="1"/>
  <c r="AF20" i="27" s="1"/>
  <c r="M21" i="27"/>
  <c r="N21" i="27" s="1"/>
  <c r="O21" i="27" s="1"/>
  <c r="P21" i="27" s="1"/>
  <c r="S21" i="27"/>
  <c r="S20" i="27" s="1"/>
  <c r="Y21" i="27"/>
  <c r="AF21" i="27"/>
  <c r="AJ21" i="27"/>
  <c r="G22" i="27"/>
  <c r="H22" i="27"/>
  <c r="I22" i="27" s="1"/>
  <c r="M22" i="27"/>
  <c r="N22" i="27" s="1"/>
  <c r="S22" i="27"/>
  <c r="T22" i="27"/>
  <c r="U22" i="27" s="1"/>
  <c r="V22" i="27" s="1"/>
  <c r="Y22" i="27"/>
  <c r="Z22" i="27" s="1"/>
  <c r="AA22" i="27" s="1"/>
  <c r="AB22" i="27" s="1"/>
  <c r="AC22" i="27" s="1"/>
  <c r="AE22" i="27"/>
  <c r="AJ22" i="27"/>
  <c r="D23" i="27"/>
  <c r="D32" i="27" s="1"/>
  <c r="E23" i="27"/>
  <c r="F23" i="27"/>
  <c r="P150" i="55" s="1"/>
  <c r="K23" i="27"/>
  <c r="L23" i="27"/>
  <c r="Q23" i="27"/>
  <c r="R23" i="27"/>
  <c r="X23" i="27"/>
  <c r="AJ23" i="27"/>
  <c r="G24" i="27"/>
  <c r="K24" i="27"/>
  <c r="W24" i="27" s="1"/>
  <c r="W23" i="27" s="1"/>
  <c r="M24" i="27"/>
  <c r="M23" i="27" s="1"/>
  <c r="S24" i="27"/>
  <c r="Y24" i="27"/>
  <c r="Y23" i="27" s="1"/>
  <c r="AJ24" i="27"/>
  <c r="G25" i="27"/>
  <c r="AE25" i="27" s="1"/>
  <c r="H25" i="27"/>
  <c r="AF25" i="27" s="1"/>
  <c r="I25" i="27"/>
  <c r="M25" i="27"/>
  <c r="N25" i="27"/>
  <c r="O25" i="27" s="1"/>
  <c r="P25" i="27" s="1"/>
  <c r="S25" i="27"/>
  <c r="T25" i="27" s="1"/>
  <c r="U25" i="27" s="1"/>
  <c r="V25" i="27" s="1"/>
  <c r="Y25" i="27"/>
  <c r="Z25" i="27"/>
  <c r="AA25" i="27" s="1"/>
  <c r="AB25" i="27" s="1"/>
  <c r="AC25" i="27"/>
  <c r="AJ25" i="27"/>
  <c r="G26" i="27"/>
  <c r="H26" i="27" s="1"/>
  <c r="I26" i="27"/>
  <c r="J26" i="27" s="1"/>
  <c r="AH26" i="27" s="1"/>
  <c r="M26" i="27"/>
  <c r="N26" i="27" s="1"/>
  <c r="O26" i="27" s="1"/>
  <c r="P26" i="27" s="1"/>
  <c r="S26" i="27"/>
  <c r="T26" i="27" s="1"/>
  <c r="U26" i="27" s="1"/>
  <c r="V26" i="27" s="1"/>
  <c r="Y26" i="27"/>
  <c r="Z26" i="27" s="1"/>
  <c r="AA26" i="27" s="1"/>
  <c r="AB26" i="27" s="1"/>
  <c r="AC26" i="27" s="1"/>
  <c r="AF26" i="27"/>
  <c r="AG26" i="27"/>
  <c r="AJ26" i="27"/>
  <c r="G27" i="27"/>
  <c r="AE27" i="27" s="1"/>
  <c r="H27" i="27"/>
  <c r="I27" i="27" s="1"/>
  <c r="J27" i="27" s="1"/>
  <c r="AH27" i="27" s="1"/>
  <c r="M27" i="27"/>
  <c r="N27" i="27" s="1"/>
  <c r="O27" i="27" s="1"/>
  <c r="P27" i="27" s="1"/>
  <c r="S27" i="27"/>
  <c r="T27" i="27"/>
  <c r="U27" i="27" s="1"/>
  <c r="V27" i="27" s="1"/>
  <c r="X27" i="27"/>
  <c r="X32" i="27" s="1"/>
  <c r="X37" i="27" s="1"/>
  <c r="X60" i="27" s="1"/>
  <c r="Y27" i="27"/>
  <c r="Z27" i="27" s="1"/>
  <c r="AA27" i="27" s="1"/>
  <c r="AB27" i="27" s="1"/>
  <c r="AC27" i="27" s="1"/>
  <c r="AG27" i="27"/>
  <c r="AJ27" i="27"/>
  <c r="G28" i="27"/>
  <c r="H28" i="27" s="1"/>
  <c r="I28" i="27" s="1"/>
  <c r="J28" i="27" s="1"/>
  <c r="AH28" i="27" s="1"/>
  <c r="M28" i="27"/>
  <c r="N28" i="27"/>
  <c r="O28" i="27"/>
  <c r="P28" i="27" s="1"/>
  <c r="Y28" i="27"/>
  <c r="Z28" i="27" s="1"/>
  <c r="AA28" i="27" s="1"/>
  <c r="AB28" i="27" s="1"/>
  <c r="AC28" i="27" s="1"/>
  <c r="AE28" i="27"/>
  <c r="AG28" i="27"/>
  <c r="AJ28" i="27"/>
  <c r="G29" i="27"/>
  <c r="H29" i="27" s="1"/>
  <c r="M29" i="27"/>
  <c r="N29" i="27"/>
  <c r="O29" i="27" s="1"/>
  <c r="P29" i="27" s="1"/>
  <c r="S29" i="27"/>
  <c r="T29" i="27" s="1"/>
  <c r="U29" i="27" s="1"/>
  <c r="V29" i="27" s="1"/>
  <c r="Y29" i="27"/>
  <c r="Z29" i="27" s="1"/>
  <c r="AA29" i="27" s="1"/>
  <c r="AB29" i="27" s="1"/>
  <c r="AC29" i="27" s="1"/>
  <c r="AJ29" i="27"/>
  <c r="G30" i="27"/>
  <c r="H30" i="27"/>
  <c r="I30" i="27"/>
  <c r="J30" i="27" s="1"/>
  <c r="AH30" i="27" s="1"/>
  <c r="M30" i="27"/>
  <c r="N30" i="27"/>
  <c r="O30" i="27"/>
  <c r="P30" i="27"/>
  <c r="S30" i="27"/>
  <c r="T30" i="27"/>
  <c r="U30" i="27"/>
  <c r="V30" i="27" s="1"/>
  <c r="Y30" i="27"/>
  <c r="Z30" i="27"/>
  <c r="AA30" i="27" s="1"/>
  <c r="AB30" i="27" s="1"/>
  <c r="AC30" i="27" s="1"/>
  <c r="AE30" i="27"/>
  <c r="AF30" i="27"/>
  <c r="AJ30" i="27"/>
  <c r="G31" i="27"/>
  <c r="H31" i="27" s="1"/>
  <c r="M31" i="27"/>
  <c r="N31" i="27" s="1"/>
  <c r="O31" i="27" s="1"/>
  <c r="P31" i="27" s="1"/>
  <c r="S31" i="27"/>
  <c r="T31" i="27"/>
  <c r="U31" i="27" s="1"/>
  <c r="V31" i="27" s="1"/>
  <c r="Y31" i="27"/>
  <c r="Z31" i="27" s="1"/>
  <c r="AA31" i="27" s="1"/>
  <c r="AB31" i="27"/>
  <c r="AC31" i="27" s="1"/>
  <c r="AJ31" i="27"/>
  <c r="E32" i="27"/>
  <c r="F32" i="27"/>
  <c r="Q32" i="27"/>
  <c r="E33" i="27"/>
  <c r="F33" i="27"/>
  <c r="G33" i="27"/>
  <c r="K33" i="27"/>
  <c r="L33" i="27"/>
  <c r="Q33" i="27"/>
  <c r="W33" i="27"/>
  <c r="X33" i="27"/>
  <c r="G34" i="27"/>
  <c r="H34" i="27"/>
  <c r="M34" i="27"/>
  <c r="N34" i="27"/>
  <c r="O34" i="27"/>
  <c r="P34" i="27" s="1"/>
  <c r="S34" i="27"/>
  <c r="T34" i="27"/>
  <c r="U34" i="27"/>
  <c r="V34" i="27" s="1"/>
  <c r="Y34" i="27"/>
  <c r="Z34" i="27"/>
  <c r="AA34" i="27"/>
  <c r="AE34" i="27"/>
  <c r="AJ34" i="27"/>
  <c r="G35" i="27"/>
  <c r="H35" i="27"/>
  <c r="I35" i="27"/>
  <c r="J35" i="27" s="1"/>
  <c r="AH35" i="27" s="1"/>
  <c r="M35" i="27"/>
  <c r="N35" i="27" s="1"/>
  <c r="O35" i="27" s="1"/>
  <c r="P35" i="27" s="1"/>
  <c r="S35" i="27"/>
  <c r="T35" i="27"/>
  <c r="U35" i="27"/>
  <c r="V35" i="27" s="1"/>
  <c r="Y35" i="27"/>
  <c r="Z35" i="27" s="1"/>
  <c r="AE35" i="27"/>
  <c r="AF35" i="27"/>
  <c r="AG35" i="27"/>
  <c r="AJ35" i="27"/>
  <c r="D36" i="27"/>
  <c r="D33" i="27" s="1"/>
  <c r="G36" i="27"/>
  <c r="H36" i="27" s="1"/>
  <c r="M36" i="27"/>
  <c r="N36" i="27" s="1"/>
  <c r="O36" i="27" s="1"/>
  <c r="P36" i="27" s="1"/>
  <c r="R36" i="27"/>
  <c r="R33" i="27" s="1"/>
  <c r="Y36" i="27"/>
  <c r="Z36" i="27" s="1"/>
  <c r="AA36" i="27" s="1"/>
  <c r="AB36" i="27" s="1"/>
  <c r="AC36" i="27" s="1"/>
  <c r="AF36" i="27"/>
  <c r="AJ36" i="27"/>
  <c r="Q37" i="27"/>
  <c r="Q60" i="27" s="1"/>
  <c r="AH38" i="27"/>
  <c r="E39" i="27"/>
  <c r="F39" i="27"/>
  <c r="G39" i="27"/>
  <c r="H39" i="27"/>
  <c r="N39" i="27"/>
  <c r="T39" i="27"/>
  <c r="AF39" i="27"/>
  <c r="AG39" i="27"/>
  <c r="AI39" i="27"/>
  <c r="C40" i="27"/>
  <c r="D40" i="27"/>
  <c r="E40" i="27"/>
  <c r="X40" i="27"/>
  <c r="Y40" i="27"/>
  <c r="Z40" i="27"/>
  <c r="AA40" i="27"/>
  <c r="AB40" i="27"/>
  <c r="AC40" i="27"/>
  <c r="AE40" i="27"/>
  <c r="AH40" i="27"/>
  <c r="AI40" i="27"/>
  <c r="AJ40" i="27"/>
  <c r="E41" i="27"/>
  <c r="E52" i="27" s="1"/>
  <c r="F41" i="27"/>
  <c r="K41" i="27"/>
  <c r="L41" i="27"/>
  <c r="L52" i="27" s="1"/>
  <c r="M41" i="27"/>
  <c r="M52" i="27" s="1"/>
  <c r="Q41" i="27"/>
  <c r="W41" i="27"/>
  <c r="W52" i="27" s="1"/>
  <c r="X41" i="27"/>
  <c r="AE41" i="27"/>
  <c r="G42" i="27"/>
  <c r="G41" i="27" s="1"/>
  <c r="H42" i="27"/>
  <c r="M42" i="27"/>
  <c r="N42" i="27"/>
  <c r="O42" i="27" s="1"/>
  <c r="R42" i="27"/>
  <c r="R41" i="27" s="1"/>
  <c r="S42" i="27"/>
  <c r="T42" i="27" s="1"/>
  <c r="Y42" i="27"/>
  <c r="AE42" i="27"/>
  <c r="AJ42" i="27"/>
  <c r="G43" i="27"/>
  <c r="H43" i="27"/>
  <c r="I43" i="27" s="1"/>
  <c r="J43" i="27" s="1"/>
  <c r="M43" i="27"/>
  <c r="N43" i="27" s="1"/>
  <c r="O43" i="27" s="1"/>
  <c r="P43" i="27" s="1"/>
  <c r="R43" i="27"/>
  <c r="S43" i="27"/>
  <c r="T43" i="27" s="1"/>
  <c r="U43" i="27" s="1"/>
  <c r="V43" i="27"/>
  <c r="Y43" i="27"/>
  <c r="Z43" i="27"/>
  <c r="AA43" i="27" s="1"/>
  <c r="AB43" i="27" s="1"/>
  <c r="AC43" i="27" s="1"/>
  <c r="AE43" i="27"/>
  <c r="AH43" i="27"/>
  <c r="AJ43" i="27"/>
  <c r="F44" i="27"/>
  <c r="P162" i="55" s="1"/>
  <c r="G44" i="27"/>
  <c r="H44" i="27" s="1"/>
  <c r="I44" i="27" s="1"/>
  <c r="J44" i="27" s="1"/>
  <c r="M44" i="27"/>
  <c r="N44" i="27" s="1"/>
  <c r="O44" i="27" s="1"/>
  <c r="P44" i="27" s="1"/>
  <c r="R44" i="27"/>
  <c r="S44" i="27" s="1"/>
  <c r="T44" i="27" s="1"/>
  <c r="U44" i="27" s="1"/>
  <c r="V44" i="27" s="1"/>
  <c r="Y44" i="27"/>
  <c r="Z44" i="27" s="1"/>
  <c r="AA44" i="27" s="1"/>
  <c r="AB44" i="27" s="1"/>
  <c r="AC44" i="27" s="1"/>
  <c r="AF44" i="27"/>
  <c r="AG44" i="27"/>
  <c r="AJ44" i="27"/>
  <c r="G45" i="27"/>
  <c r="H45" i="27"/>
  <c r="I45" i="27" s="1"/>
  <c r="M45" i="27"/>
  <c r="N45" i="27"/>
  <c r="O45" i="27" s="1"/>
  <c r="P45" i="27" s="1"/>
  <c r="S45" i="27"/>
  <c r="T45" i="27"/>
  <c r="U45" i="27" s="1"/>
  <c r="V45" i="27" s="1"/>
  <c r="Y45" i="27"/>
  <c r="Z45" i="27"/>
  <c r="AA45" i="27" s="1"/>
  <c r="AB45" i="27" s="1"/>
  <c r="AC45" i="27" s="1"/>
  <c r="AE45" i="27"/>
  <c r="AJ45" i="27"/>
  <c r="D46" i="27"/>
  <c r="D41" i="27" s="1"/>
  <c r="D52" i="27" s="1"/>
  <c r="G46" i="27"/>
  <c r="H46" i="27"/>
  <c r="I46" i="27"/>
  <c r="J46" i="27" s="1"/>
  <c r="AH46" i="27" s="1"/>
  <c r="M46" i="27"/>
  <c r="N46" i="27"/>
  <c r="O46" i="27"/>
  <c r="P46" i="27" s="1"/>
  <c r="S46" i="27"/>
  <c r="T46" i="27"/>
  <c r="U46" i="27"/>
  <c r="V46" i="27" s="1"/>
  <c r="Y46" i="27"/>
  <c r="Z46" i="27"/>
  <c r="AA46" i="27"/>
  <c r="AB46" i="27"/>
  <c r="AC46" i="27" s="1"/>
  <c r="AE46" i="27"/>
  <c r="AF46" i="27"/>
  <c r="AI46" i="27"/>
  <c r="D47" i="27"/>
  <c r="AJ47" i="27" s="1"/>
  <c r="E47" i="27"/>
  <c r="F47" i="27"/>
  <c r="I13" i="39" s="1"/>
  <c r="I12" i="39" s="1"/>
  <c r="K47" i="27"/>
  <c r="L47" i="27"/>
  <c r="Q47" i="27"/>
  <c r="W47" i="27"/>
  <c r="X47" i="27"/>
  <c r="G48" i="27"/>
  <c r="H48" i="27" s="1"/>
  <c r="M48" i="27"/>
  <c r="M47" i="27" s="1"/>
  <c r="R48" i="27"/>
  <c r="S48" i="27" s="1"/>
  <c r="T48" i="27" s="1"/>
  <c r="U48" i="27" s="1"/>
  <c r="Y48" i="27"/>
  <c r="Y47" i="27" s="1"/>
  <c r="Z48" i="27"/>
  <c r="AA48" i="27"/>
  <c r="AB48" i="27" s="1"/>
  <c r="AJ48" i="27"/>
  <c r="G49" i="27"/>
  <c r="M49" i="27"/>
  <c r="N49" i="27" s="1"/>
  <c r="O49" i="27" s="1"/>
  <c r="P49" i="27" s="1"/>
  <c r="R49" i="27"/>
  <c r="S49" i="27" s="1"/>
  <c r="T49" i="27" s="1"/>
  <c r="U49" i="27" s="1"/>
  <c r="V49" i="27" s="1"/>
  <c r="Y49" i="27"/>
  <c r="Z49" i="27"/>
  <c r="Z47" i="27" s="1"/>
  <c r="AA49" i="27"/>
  <c r="AB49" i="27" s="1"/>
  <c r="AC49" i="27" s="1"/>
  <c r="AJ49" i="27"/>
  <c r="G50" i="27"/>
  <c r="H50" i="27" s="1"/>
  <c r="M50" i="27"/>
  <c r="N50" i="27" s="1"/>
  <c r="O50" i="27" s="1"/>
  <c r="P50" i="27" s="1"/>
  <c r="S50" i="27"/>
  <c r="T50" i="27"/>
  <c r="U50" i="27" s="1"/>
  <c r="V50" i="27" s="1"/>
  <c r="Y50" i="27"/>
  <c r="Z50" i="27" s="1"/>
  <c r="AA50" i="27" s="1"/>
  <c r="AB50" i="27"/>
  <c r="AC50" i="27" s="1"/>
  <c r="AE50" i="27"/>
  <c r="AJ50" i="27"/>
  <c r="G51" i="27"/>
  <c r="H51" i="27"/>
  <c r="AF51" i="27" s="1"/>
  <c r="I51" i="27"/>
  <c r="M51" i="27"/>
  <c r="N51" i="27"/>
  <c r="O51" i="27" s="1"/>
  <c r="P51" i="27" s="1"/>
  <c r="S51" i="27"/>
  <c r="T51" i="27"/>
  <c r="U51" i="27" s="1"/>
  <c r="V51" i="27" s="1"/>
  <c r="Y51" i="27"/>
  <c r="Z51" i="27"/>
  <c r="AA51" i="27" s="1"/>
  <c r="AB51" i="27" s="1"/>
  <c r="AC51" i="27" s="1"/>
  <c r="AE51" i="27"/>
  <c r="AJ51" i="27"/>
  <c r="K52" i="27"/>
  <c r="Q52" i="27"/>
  <c r="X52" i="27"/>
  <c r="AE53" i="27"/>
  <c r="AF53" i="27"/>
  <c r="AG53" i="27"/>
  <c r="AH53" i="27"/>
  <c r="AI53" i="27"/>
  <c r="AJ53" i="27"/>
  <c r="C54" i="27"/>
  <c r="G54" i="27"/>
  <c r="AE54" i="27"/>
  <c r="M54" i="27"/>
  <c r="N54" i="27"/>
  <c r="O54" i="27" s="1"/>
  <c r="P54" i="27" s="1"/>
  <c r="Q54" i="27" s="1"/>
  <c r="R54" i="27"/>
  <c r="S54" i="27" s="1"/>
  <c r="T54" i="27" s="1"/>
  <c r="U54" i="27" s="1"/>
  <c r="V54" i="27" s="1"/>
  <c r="W54" i="27" s="1"/>
  <c r="Y54" i="27"/>
  <c r="Z54" i="27" s="1"/>
  <c r="AA54" i="27" s="1"/>
  <c r="AB54" i="27" s="1"/>
  <c r="AC54" i="27" s="1"/>
  <c r="AJ54" i="27"/>
  <c r="V55" i="27"/>
  <c r="Y55" i="27"/>
  <c r="Z55" i="27" s="1"/>
  <c r="AA55" i="27" s="1"/>
  <c r="AB55" i="27" s="1"/>
  <c r="AE55" i="27"/>
  <c r="AF55" i="27"/>
  <c r="AG55" i="27"/>
  <c r="AH55" i="27"/>
  <c r="AJ55" i="27"/>
  <c r="V56" i="27"/>
  <c r="Y56" i="27"/>
  <c r="Z56" i="27"/>
  <c r="AA56" i="27" s="1"/>
  <c r="AB56" i="27" s="1"/>
  <c r="AE56" i="27"/>
  <c r="AJ56" i="27"/>
  <c r="G58" i="27"/>
  <c r="H58" i="27" s="1"/>
  <c r="I58" i="27" s="1"/>
  <c r="J58" i="27" s="1"/>
  <c r="K58" i="27" s="1"/>
  <c r="D5" i="26"/>
  <c r="E5" i="26"/>
  <c r="E40" i="26" s="1"/>
  <c r="AI5" i="26"/>
  <c r="AJ5" i="26"/>
  <c r="D8" i="26"/>
  <c r="E8" i="26"/>
  <c r="F8" i="26"/>
  <c r="P125" i="55" s="1"/>
  <c r="K8" i="26"/>
  <c r="L8" i="26"/>
  <c r="Q8" i="26"/>
  <c r="X8" i="26"/>
  <c r="AJ8" i="26"/>
  <c r="G9" i="26"/>
  <c r="H9" i="26"/>
  <c r="M9" i="26"/>
  <c r="N9" i="26"/>
  <c r="S9" i="26"/>
  <c r="T9" i="26"/>
  <c r="Y9" i="26"/>
  <c r="Z9" i="26"/>
  <c r="AA9" i="26" s="1"/>
  <c r="AB9" i="26"/>
  <c r="AJ9" i="26"/>
  <c r="G10" i="26"/>
  <c r="H10" i="26"/>
  <c r="I10" i="26" s="1"/>
  <c r="AI10" i="26" s="1"/>
  <c r="J10" i="26"/>
  <c r="AH10" i="26" s="1"/>
  <c r="M10" i="26"/>
  <c r="N10" i="26"/>
  <c r="O10" i="26" s="1"/>
  <c r="P10" i="26" s="1"/>
  <c r="R10" i="26"/>
  <c r="S10" i="26"/>
  <c r="T10" i="26" s="1"/>
  <c r="U10" i="26" s="1"/>
  <c r="V10" i="26" s="1"/>
  <c r="Y10" i="26"/>
  <c r="Z10" i="26"/>
  <c r="AA10" i="26" s="1"/>
  <c r="AB10" i="26" s="1"/>
  <c r="AC10" i="26" s="1"/>
  <c r="AE10" i="26"/>
  <c r="AJ10" i="26"/>
  <c r="G11" i="26"/>
  <c r="H11" i="26"/>
  <c r="I11" i="26" s="1"/>
  <c r="AG11" i="26" s="1"/>
  <c r="J11" i="26"/>
  <c r="AH11" i="26" s="1"/>
  <c r="M11" i="26"/>
  <c r="N11" i="26"/>
  <c r="O11" i="26" s="1"/>
  <c r="P11" i="26" s="1"/>
  <c r="S11" i="26"/>
  <c r="T11" i="26"/>
  <c r="U11" i="26" s="1"/>
  <c r="V11" i="26"/>
  <c r="Y11" i="26"/>
  <c r="Y8" i="26" s="1"/>
  <c r="Z11" i="26"/>
  <c r="AA11" i="26" s="1"/>
  <c r="AB11" i="26" s="1"/>
  <c r="AC11" i="26" s="1"/>
  <c r="AE11" i="26"/>
  <c r="AJ11" i="26"/>
  <c r="G12" i="26"/>
  <c r="H12" i="26"/>
  <c r="I12" i="26" s="1"/>
  <c r="M12" i="26"/>
  <c r="N12" i="26"/>
  <c r="O12" i="26"/>
  <c r="P12" i="26" s="1"/>
  <c r="S12" i="26"/>
  <c r="T12" i="26"/>
  <c r="U12" i="26" s="1"/>
  <c r="V12" i="26" s="1"/>
  <c r="Y12" i="26"/>
  <c r="Z12" i="26"/>
  <c r="AA12" i="26" s="1"/>
  <c r="AB12" i="26" s="1"/>
  <c r="AC12" i="26" s="1"/>
  <c r="AE12" i="26"/>
  <c r="AF12" i="26"/>
  <c r="AJ12" i="26"/>
  <c r="G13" i="26"/>
  <c r="H13" i="26" s="1"/>
  <c r="M13" i="26"/>
  <c r="N13" i="26" s="1"/>
  <c r="O13" i="26" s="1"/>
  <c r="P13" i="26" s="1"/>
  <c r="R13" i="26"/>
  <c r="R8" i="26" s="1"/>
  <c r="R32" i="26" s="1"/>
  <c r="S13" i="26"/>
  <c r="T13" i="26"/>
  <c r="U13" i="26" s="1"/>
  <c r="V13" i="26" s="1"/>
  <c r="Y13" i="26"/>
  <c r="Z13" i="26" s="1"/>
  <c r="AA13" i="26" s="1"/>
  <c r="AB13" i="26" s="1"/>
  <c r="AC13" i="26"/>
  <c r="AE13" i="26"/>
  <c r="AJ13" i="26"/>
  <c r="G14" i="26"/>
  <c r="H14" i="26"/>
  <c r="I14" i="26" s="1"/>
  <c r="AI14" i="26" s="1"/>
  <c r="J14" i="26"/>
  <c r="AH14" i="26" s="1"/>
  <c r="M14" i="26"/>
  <c r="N14" i="26" s="1"/>
  <c r="O14" i="26" s="1"/>
  <c r="P14" i="26" s="1"/>
  <c r="R14" i="26"/>
  <c r="S14" i="26" s="1"/>
  <c r="T14" i="26" s="1"/>
  <c r="U14" i="26" s="1"/>
  <c r="V14" i="26" s="1"/>
  <c r="Y14" i="26"/>
  <c r="Z14" i="26" s="1"/>
  <c r="AA14" i="26" s="1"/>
  <c r="AB14" i="26" s="1"/>
  <c r="AC14" i="26" s="1"/>
  <c r="AE14" i="26"/>
  <c r="AF14" i="26"/>
  <c r="AG14" i="26"/>
  <c r="AJ14" i="26"/>
  <c r="G15" i="26"/>
  <c r="H15" i="26"/>
  <c r="I15" i="26" s="1"/>
  <c r="J15" i="26" s="1"/>
  <c r="AH15" i="26"/>
  <c r="M15" i="26"/>
  <c r="N15" i="26"/>
  <c r="O15" i="26" s="1"/>
  <c r="P15" i="26" s="1"/>
  <c r="R15" i="26"/>
  <c r="S15" i="26"/>
  <c r="T15" i="26" s="1"/>
  <c r="U15" i="26" s="1"/>
  <c r="V15" i="26"/>
  <c r="Y15" i="26"/>
  <c r="Z15" i="26" s="1"/>
  <c r="AA15" i="26" s="1"/>
  <c r="AB15" i="26" s="1"/>
  <c r="AC15" i="26" s="1"/>
  <c r="AE15" i="26"/>
  <c r="AG15" i="26"/>
  <c r="AI15" i="26"/>
  <c r="AJ15" i="26"/>
  <c r="G16" i="26"/>
  <c r="H16" i="26"/>
  <c r="I16" i="26" s="1"/>
  <c r="J16" i="26" s="1"/>
  <c r="AH16" i="26" s="1"/>
  <c r="M16" i="26"/>
  <c r="N16" i="26"/>
  <c r="O16" i="26"/>
  <c r="P16" i="26" s="1"/>
  <c r="R16" i="26"/>
  <c r="S16" i="26"/>
  <c r="T16" i="26" s="1"/>
  <c r="U16" i="26" s="1"/>
  <c r="V16" i="26" s="1"/>
  <c r="Y16" i="26"/>
  <c r="Z16" i="26"/>
  <c r="AA16" i="26" s="1"/>
  <c r="AB16" i="26" s="1"/>
  <c r="AC16" i="26" s="1"/>
  <c r="AE16" i="26"/>
  <c r="AF16" i="26"/>
  <c r="AG16" i="26"/>
  <c r="AJ16" i="26"/>
  <c r="G17" i="26"/>
  <c r="AE17" i="26" s="1"/>
  <c r="H17" i="26"/>
  <c r="M17" i="26"/>
  <c r="N17" i="26"/>
  <c r="O17" i="26" s="1"/>
  <c r="P17" i="26"/>
  <c r="S17" i="26"/>
  <c r="T17" i="26"/>
  <c r="U17" i="26" s="1"/>
  <c r="V17" i="26" s="1"/>
  <c r="Y17" i="26"/>
  <c r="Z17" i="26"/>
  <c r="AA17" i="26" s="1"/>
  <c r="AB17" i="26"/>
  <c r="AC17" i="26" s="1"/>
  <c r="AJ17" i="26"/>
  <c r="H18" i="26"/>
  <c r="I18" i="26"/>
  <c r="AG18" i="26" s="1"/>
  <c r="J18" i="26"/>
  <c r="AH18" i="26" s="1"/>
  <c r="AF18" i="26"/>
  <c r="AJ18" i="26"/>
  <c r="H19" i="26"/>
  <c r="I19" i="26" s="1"/>
  <c r="AG19" i="26" s="1"/>
  <c r="M19" i="26"/>
  <c r="N19" i="26"/>
  <c r="O19" i="26" s="1"/>
  <c r="P19" i="26" s="1"/>
  <c r="T19" i="26"/>
  <c r="U19" i="26" s="1"/>
  <c r="V19" i="26" s="1"/>
  <c r="Y19" i="26"/>
  <c r="Z19" i="26" s="1"/>
  <c r="AA19" i="26" s="1"/>
  <c r="AB19" i="26" s="1"/>
  <c r="AC19" i="26" s="1"/>
  <c r="AE19" i="26"/>
  <c r="AI19" i="26"/>
  <c r="AJ19" i="26"/>
  <c r="D20" i="26"/>
  <c r="D32" i="26" s="1"/>
  <c r="D37" i="26" s="1"/>
  <c r="E20" i="26"/>
  <c r="E32" i="26" s="1"/>
  <c r="E37" i="26" s="1"/>
  <c r="F20" i="26"/>
  <c r="K20" i="26"/>
  <c r="L20" i="26"/>
  <c r="L32" i="26" s="1"/>
  <c r="Q20" i="26"/>
  <c r="R20" i="26"/>
  <c r="T20" i="26"/>
  <c r="W20" i="26"/>
  <c r="X20" i="26"/>
  <c r="G21" i="26"/>
  <c r="G20" i="26" s="1"/>
  <c r="AE20" i="26" s="1"/>
  <c r="H21" i="26"/>
  <c r="H20" i="26" s="1"/>
  <c r="I21" i="26"/>
  <c r="I20" i="26" s="1"/>
  <c r="AG20" i="26" s="1"/>
  <c r="M21" i="26"/>
  <c r="N21" i="26"/>
  <c r="O21" i="26" s="1"/>
  <c r="S21" i="26"/>
  <c r="S20" i="26" s="1"/>
  <c r="T21" i="26"/>
  <c r="U21" i="26"/>
  <c r="Y21" i="26"/>
  <c r="Z21" i="26"/>
  <c r="AA21" i="26" s="1"/>
  <c r="AE21" i="26"/>
  <c r="AF21" i="26"/>
  <c r="AJ21" i="26"/>
  <c r="G22" i="26"/>
  <c r="H22" i="26"/>
  <c r="I22" i="26" s="1"/>
  <c r="AG22" i="26" s="1"/>
  <c r="J22" i="26"/>
  <c r="AH22" i="26" s="1"/>
  <c r="M22" i="26"/>
  <c r="M20" i="26" s="1"/>
  <c r="S22" i="26"/>
  <c r="T22" i="26"/>
  <c r="U22" i="26" s="1"/>
  <c r="V22" i="26"/>
  <c r="Y22" i="26"/>
  <c r="AE22" i="26"/>
  <c r="AJ22" i="26"/>
  <c r="D23" i="26"/>
  <c r="E23" i="26"/>
  <c r="F23" i="26"/>
  <c r="P122" i="55" s="1"/>
  <c r="K23" i="26"/>
  <c r="K32" i="26" s="1"/>
  <c r="L23" i="26"/>
  <c r="Q23" i="26"/>
  <c r="R23" i="26"/>
  <c r="X23" i="26"/>
  <c r="Y23" i="26"/>
  <c r="AJ23" i="26"/>
  <c r="G24" i="26"/>
  <c r="K24" i="26"/>
  <c r="W24" i="26" s="1"/>
  <c r="W23" i="26" s="1"/>
  <c r="M24" i="26"/>
  <c r="M23" i="26" s="1"/>
  <c r="N24" i="26"/>
  <c r="N23" i="26" s="1"/>
  <c r="O24" i="26"/>
  <c r="O23" i="26" s="1"/>
  <c r="S24" i="26"/>
  <c r="T24" i="26"/>
  <c r="Y24" i="26"/>
  <c r="Z24" i="26"/>
  <c r="Z23" i="26" s="1"/>
  <c r="AA24" i="26"/>
  <c r="AJ24" i="26"/>
  <c r="G25" i="26"/>
  <c r="H25" i="26" s="1"/>
  <c r="M25" i="26"/>
  <c r="N25" i="26"/>
  <c r="O25" i="26" s="1"/>
  <c r="P25" i="26"/>
  <c r="S25" i="26"/>
  <c r="Y25" i="26"/>
  <c r="Z25" i="26"/>
  <c r="AA25" i="26" s="1"/>
  <c r="AB25" i="26" s="1"/>
  <c r="AC25" i="26" s="1"/>
  <c r="AE25" i="26"/>
  <c r="AJ25" i="26"/>
  <c r="G26" i="26"/>
  <c r="H26" i="26"/>
  <c r="I26" i="26"/>
  <c r="J26" i="26" s="1"/>
  <c r="AH26" i="26" s="1"/>
  <c r="M26" i="26"/>
  <c r="N26" i="26"/>
  <c r="O26" i="26" s="1"/>
  <c r="P26" i="26" s="1"/>
  <c r="S26" i="26"/>
  <c r="T26" i="26"/>
  <c r="U26" i="26"/>
  <c r="V26" i="26" s="1"/>
  <c r="Y26" i="26"/>
  <c r="Z26" i="26"/>
  <c r="AA26" i="26" s="1"/>
  <c r="AB26" i="26" s="1"/>
  <c r="AC26" i="26" s="1"/>
  <c r="AE26" i="26"/>
  <c r="AF26" i="26"/>
  <c r="AJ26" i="26"/>
  <c r="G27" i="26"/>
  <c r="H27" i="26"/>
  <c r="I27" i="26" s="1"/>
  <c r="AG27" i="26" s="1"/>
  <c r="J27" i="26"/>
  <c r="M27" i="26"/>
  <c r="N27" i="26" s="1"/>
  <c r="O27" i="26" s="1"/>
  <c r="P27" i="26" s="1"/>
  <c r="S27" i="26"/>
  <c r="T27" i="26"/>
  <c r="U27" i="26" s="1"/>
  <c r="V27" i="26"/>
  <c r="X27" i="26"/>
  <c r="Y27" i="26" s="1"/>
  <c r="Z27" i="26" s="1"/>
  <c r="AA27" i="26" s="1"/>
  <c r="AB27" i="26" s="1"/>
  <c r="AC27" i="26" s="1"/>
  <c r="AE27" i="26"/>
  <c r="AF27" i="26"/>
  <c r="AH27" i="26"/>
  <c r="AJ27" i="26"/>
  <c r="G28" i="26"/>
  <c r="H28" i="26" s="1"/>
  <c r="I28" i="26" s="1"/>
  <c r="M28" i="26"/>
  <c r="N28" i="26" s="1"/>
  <c r="O28" i="26" s="1"/>
  <c r="P28" i="26" s="1"/>
  <c r="Y28" i="26"/>
  <c r="Z28" i="26" s="1"/>
  <c r="AA28" i="26" s="1"/>
  <c r="AB28" i="26" s="1"/>
  <c r="AC28" i="26" s="1"/>
  <c r="AE28" i="26"/>
  <c r="AJ28" i="26"/>
  <c r="G29" i="26"/>
  <c r="H29" i="26" s="1"/>
  <c r="I29" i="26" s="1"/>
  <c r="M29" i="26"/>
  <c r="N29" i="26" s="1"/>
  <c r="O29" i="26" s="1"/>
  <c r="P29" i="26" s="1"/>
  <c r="S29" i="26"/>
  <c r="T29" i="26" s="1"/>
  <c r="U29" i="26"/>
  <c r="V29" i="26" s="1"/>
  <c r="Y29" i="26"/>
  <c r="Z29" i="26" s="1"/>
  <c r="AA29" i="26" s="1"/>
  <c r="AB29" i="26" s="1"/>
  <c r="AC29" i="26" s="1"/>
  <c r="AJ29" i="26"/>
  <c r="G30" i="26"/>
  <c r="H30" i="26" s="1"/>
  <c r="M30" i="26"/>
  <c r="N30" i="26" s="1"/>
  <c r="O30" i="26" s="1"/>
  <c r="P30" i="26" s="1"/>
  <c r="S30" i="26"/>
  <c r="T30" i="26" s="1"/>
  <c r="U30" i="26" s="1"/>
  <c r="V30" i="26" s="1"/>
  <c r="Y30" i="26"/>
  <c r="Z30" i="26"/>
  <c r="AA30" i="26" s="1"/>
  <c r="AB30" i="26" s="1"/>
  <c r="AC30" i="26" s="1"/>
  <c r="AE30" i="26"/>
  <c r="AJ30" i="26"/>
  <c r="G31" i="26"/>
  <c r="M31" i="26"/>
  <c r="N31" i="26" s="1"/>
  <c r="O31" i="26" s="1"/>
  <c r="P31" i="26" s="1"/>
  <c r="S31" i="26"/>
  <c r="T31" i="26" s="1"/>
  <c r="U31" i="26" s="1"/>
  <c r="V31" i="26" s="1"/>
  <c r="Y31" i="26"/>
  <c r="Z31" i="26" s="1"/>
  <c r="AA31" i="26"/>
  <c r="AB31" i="26" s="1"/>
  <c r="AC31" i="26"/>
  <c r="AJ31" i="26"/>
  <c r="D33" i="26"/>
  <c r="E33" i="26"/>
  <c r="F33" i="26"/>
  <c r="K33" i="26"/>
  <c r="L33" i="26"/>
  <c r="L37" i="26" s="1"/>
  <c r="L60" i="26" s="1"/>
  <c r="M33" i="26"/>
  <c r="Q33" i="26"/>
  <c r="T33" i="26"/>
  <c r="W33" i="26"/>
  <c r="X33" i="26"/>
  <c r="AE33" i="26"/>
  <c r="AF33" i="26"/>
  <c r="G34" i="26"/>
  <c r="G33" i="26" s="1"/>
  <c r="H34" i="26"/>
  <c r="H33" i="26" s="1"/>
  <c r="I34" i="26"/>
  <c r="J34" i="26" s="1"/>
  <c r="M34" i="26"/>
  <c r="N34" i="26" s="1"/>
  <c r="O34" i="26" s="1"/>
  <c r="S34" i="26"/>
  <c r="T34" i="26"/>
  <c r="U34" i="26"/>
  <c r="Y34" i="26"/>
  <c r="AE34" i="26"/>
  <c r="AF34" i="26"/>
  <c r="AG34" i="26"/>
  <c r="AJ34" i="26"/>
  <c r="G35" i="26"/>
  <c r="H35" i="26"/>
  <c r="I35" i="26"/>
  <c r="J35" i="26"/>
  <c r="M35" i="26"/>
  <c r="N35" i="26"/>
  <c r="O35" i="26" s="1"/>
  <c r="P35" i="26" s="1"/>
  <c r="S35" i="26"/>
  <c r="T35" i="26"/>
  <c r="U35" i="26"/>
  <c r="V35" i="26"/>
  <c r="Y35" i="26"/>
  <c r="Z35" i="26" s="1"/>
  <c r="AA35" i="26" s="1"/>
  <c r="AB35" i="26" s="1"/>
  <c r="AC35" i="26" s="1"/>
  <c r="AE35" i="26"/>
  <c r="AF35" i="26"/>
  <c r="AG35" i="26"/>
  <c r="AH35" i="26"/>
  <c r="AI35" i="26"/>
  <c r="AJ35" i="26"/>
  <c r="D36" i="26"/>
  <c r="AJ36" i="26" s="1"/>
  <c r="G36" i="26"/>
  <c r="H36" i="26"/>
  <c r="M36" i="26"/>
  <c r="N36" i="26"/>
  <c r="O36" i="26" s="1"/>
  <c r="P36" i="26" s="1"/>
  <c r="R36" i="26"/>
  <c r="R33" i="26" s="1"/>
  <c r="S36" i="26"/>
  <c r="S33" i="26" s="1"/>
  <c r="T36" i="26"/>
  <c r="U36" i="26" s="1"/>
  <c r="V36" i="26"/>
  <c r="Y36" i="26"/>
  <c r="Z36" i="26" s="1"/>
  <c r="AA36" i="26" s="1"/>
  <c r="AB36" i="26" s="1"/>
  <c r="AC36" i="26" s="1"/>
  <c r="AE36" i="26"/>
  <c r="AF36" i="26"/>
  <c r="K37" i="26"/>
  <c r="E39" i="26"/>
  <c r="F39" i="26"/>
  <c r="G39" i="26"/>
  <c r="H39" i="26"/>
  <c r="N39" i="26"/>
  <c r="T39" i="26"/>
  <c r="AF39" i="26"/>
  <c r="AG39" i="26"/>
  <c r="AI39" i="26"/>
  <c r="C40" i="26"/>
  <c r="D40" i="26"/>
  <c r="X40" i="26"/>
  <c r="Y40" i="26"/>
  <c r="Z40" i="26"/>
  <c r="AA40" i="26"/>
  <c r="AB40" i="26"/>
  <c r="AC40" i="26"/>
  <c r="AE40" i="26"/>
  <c r="AH40" i="26"/>
  <c r="AI40" i="26"/>
  <c r="AJ40" i="26"/>
  <c r="D41" i="26"/>
  <c r="E41" i="26"/>
  <c r="F41" i="26"/>
  <c r="K41" i="26"/>
  <c r="L41" i="26"/>
  <c r="Q41" i="26"/>
  <c r="X41" i="26"/>
  <c r="X52" i="26" s="1"/>
  <c r="Y41" i="26"/>
  <c r="AJ41" i="26"/>
  <c r="G42" i="26"/>
  <c r="M42" i="26"/>
  <c r="N42" i="26" s="1"/>
  <c r="O42" i="26" s="1"/>
  <c r="P42" i="26" s="1"/>
  <c r="R42" i="26"/>
  <c r="R41" i="26" s="1"/>
  <c r="Y42" i="26"/>
  <c r="Z42" i="26" s="1"/>
  <c r="AA42" i="26" s="1"/>
  <c r="AE42" i="26"/>
  <c r="AJ42" i="26"/>
  <c r="G43" i="26"/>
  <c r="H43" i="26"/>
  <c r="I43" i="26" s="1"/>
  <c r="AI43" i="26" s="1"/>
  <c r="J43" i="26"/>
  <c r="M43" i="26"/>
  <c r="R43" i="26"/>
  <c r="S43" i="26"/>
  <c r="T43" i="26"/>
  <c r="U43" i="26" s="1"/>
  <c r="V43" i="26"/>
  <c r="Y43" i="26"/>
  <c r="Z43" i="26" s="1"/>
  <c r="AA43" i="26" s="1"/>
  <c r="AB43" i="26" s="1"/>
  <c r="AC43" i="26" s="1"/>
  <c r="AE43" i="26"/>
  <c r="AF43" i="26"/>
  <c r="AG43" i="26"/>
  <c r="AH43" i="26"/>
  <c r="AJ43" i="26"/>
  <c r="G44" i="26"/>
  <c r="H44" i="26"/>
  <c r="I44" i="26" s="1"/>
  <c r="J44" i="26"/>
  <c r="AH44" i="26"/>
  <c r="M44" i="26"/>
  <c r="N44" i="26" s="1"/>
  <c r="O44" i="26" s="1"/>
  <c r="P44" i="26" s="1"/>
  <c r="R44" i="26"/>
  <c r="S44" i="26"/>
  <c r="T44" i="26"/>
  <c r="U44" i="26" s="1"/>
  <c r="V44" i="26"/>
  <c r="Y44" i="26"/>
  <c r="Z44" i="26" s="1"/>
  <c r="AA44" i="26" s="1"/>
  <c r="AB44" i="26" s="1"/>
  <c r="AC44" i="26" s="1"/>
  <c r="AE44" i="26"/>
  <c r="AF44" i="26"/>
  <c r="AG44" i="26"/>
  <c r="AI44" i="26"/>
  <c r="AJ44" i="26"/>
  <c r="G45" i="26"/>
  <c r="H45" i="26"/>
  <c r="I45" i="26" s="1"/>
  <c r="M45" i="26"/>
  <c r="N45" i="26"/>
  <c r="O45" i="26" s="1"/>
  <c r="P45" i="26" s="1"/>
  <c r="S45" i="26"/>
  <c r="T45" i="26"/>
  <c r="U45" i="26" s="1"/>
  <c r="V45" i="26" s="1"/>
  <c r="Y45" i="26"/>
  <c r="Z45" i="26"/>
  <c r="AA45" i="26" s="1"/>
  <c r="AB45" i="26" s="1"/>
  <c r="AC45" i="26" s="1"/>
  <c r="AE45" i="26"/>
  <c r="AJ45" i="26"/>
  <c r="G46" i="26"/>
  <c r="M46" i="26"/>
  <c r="N46" i="26"/>
  <c r="O46" i="26"/>
  <c r="P46" i="26"/>
  <c r="S46" i="26"/>
  <c r="T46" i="26"/>
  <c r="U46" i="26" s="1"/>
  <c r="V46" i="26" s="1"/>
  <c r="Y46" i="26"/>
  <c r="Z46" i="26"/>
  <c r="AA46" i="26"/>
  <c r="AB46" i="26"/>
  <c r="AC46" i="26" s="1"/>
  <c r="AJ46" i="26"/>
  <c r="D47" i="26"/>
  <c r="D52" i="26" s="1"/>
  <c r="E47" i="26"/>
  <c r="E52" i="26" s="1"/>
  <c r="F47" i="26"/>
  <c r="K47" i="26"/>
  <c r="K52" i="26" s="1"/>
  <c r="L47" i="26"/>
  <c r="L52" i="26" s="1"/>
  <c r="Q47" i="26"/>
  <c r="W47" i="26"/>
  <c r="X47" i="26"/>
  <c r="G48" i="26"/>
  <c r="J11" i="39" s="1"/>
  <c r="R11" i="39" s="1"/>
  <c r="H48" i="26"/>
  <c r="M48" i="26"/>
  <c r="N48" i="26" s="1"/>
  <c r="R48" i="26"/>
  <c r="R47" i="26" s="1"/>
  <c r="S48" i="26"/>
  <c r="T48" i="26"/>
  <c r="U48" i="26" s="1"/>
  <c r="V48" i="26"/>
  <c r="Y48" i="26"/>
  <c r="AE48" i="26"/>
  <c r="AF48" i="26"/>
  <c r="AJ48" i="26"/>
  <c r="G49" i="26"/>
  <c r="H49" i="26"/>
  <c r="I49" i="26" s="1"/>
  <c r="M49" i="26"/>
  <c r="N49" i="26"/>
  <c r="O49" i="26" s="1"/>
  <c r="P49" i="26" s="1"/>
  <c r="R49" i="26"/>
  <c r="S49" i="26"/>
  <c r="T49" i="26" s="1"/>
  <c r="U49" i="26" s="1"/>
  <c r="V49" i="26" s="1"/>
  <c r="Y49" i="26"/>
  <c r="Z49" i="26"/>
  <c r="AA49" i="26" s="1"/>
  <c r="AB49" i="26" s="1"/>
  <c r="AC49" i="26" s="1"/>
  <c r="AE49" i="26"/>
  <c r="AF49" i="26"/>
  <c r="AJ49" i="26"/>
  <c r="G50" i="26"/>
  <c r="M50" i="26"/>
  <c r="N50" i="26"/>
  <c r="O50" i="26"/>
  <c r="P50" i="26"/>
  <c r="S50" i="26"/>
  <c r="Y50" i="26"/>
  <c r="Z50" i="26"/>
  <c r="AA50" i="26"/>
  <c r="AB50" i="26"/>
  <c r="AC50" i="26" s="1"/>
  <c r="AJ50" i="26"/>
  <c r="G51" i="26"/>
  <c r="H51" i="26" s="1"/>
  <c r="M51" i="26"/>
  <c r="N51" i="26" s="1"/>
  <c r="O51" i="26" s="1"/>
  <c r="P51" i="26" s="1"/>
  <c r="S51" i="26"/>
  <c r="T51" i="26"/>
  <c r="U51" i="26"/>
  <c r="V51" i="26" s="1"/>
  <c r="Y51" i="26"/>
  <c r="Z51" i="26" s="1"/>
  <c r="AA51" i="26" s="1"/>
  <c r="AB51" i="26" s="1"/>
  <c r="AC51" i="26"/>
  <c r="AJ51" i="26"/>
  <c r="Q52" i="26"/>
  <c r="R52" i="26"/>
  <c r="AE53" i="26"/>
  <c r="AG53" i="26"/>
  <c r="AH53" i="26"/>
  <c r="AI53" i="26"/>
  <c r="AJ53" i="26"/>
  <c r="C54" i="26"/>
  <c r="G54" i="26"/>
  <c r="H54" i="26" s="1"/>
  <c r="M54" i="26"/>
  <c r="N54" i="26"/>
  <c r="O54" i="26"/>
  <c r="P54" i="26" s="1"/>
  <c r="Q54" i="26" s="1"/>
  <c r="R54" i="26"/>
  <c r="S54" i="26"/>
  <c r="T54" i="26"/>
  <c r="U54" i="26"/>
  <c r="V54" i="26"/>
  <c r="W54" i="26"/>
  <c r="Y54" i="26"/>
  <c r="Z54" i="26"/>
  <c r="AA54" i="26" s="1"/>
  <c r="AB54" i="26" s="1"/>
  <c r="AC54" i="26" s="1"/>
  <c r="AE54" i="26"/>
  <c r="AJ54" i="26"/>
  <c r="V55" i="26"/>
  <c r="Y55" i="26"/>
  <c r="Z55" i="26"/>
  <c r="AA55" i="26" s="1"/>
  <c r="AB55" i="26" s="1"/>
  <c r="AE55" i="26"/>
  <c r="AF55" i="26"/>
  <c r="AG55" i="26"/>
  <c r="AH55" i="26"/>
  <c r="AJ55" i="26"/>
  <c r="V56" i="26"/>
  <c r="Y56" i="26"/>
  <c r="Z56" i="26"/>
  <c r="AA56" i="26"/>
  <c r="AB56" i="26" s="1"/>
  <c r="AE56" i="26"/>
  <c r="AJ56" i="26"/>
  <c r="G58" i="26"/>
  <c r="H58" i="26"/>
  <c r="I58" i="26"/>
  <c r="J58" i="26" s="1"/>
  <c r="K58" i="26" s="1"/>
  <c r="K60" i="26"/>
  <c r="D5" i="25"/>
  <c r="E5" i="25"/>
  <c r="AI5" i="25"/>
  <c r="AI40" i="25"/>
  <c r="AJ5" i="25"/>
  <c r="D8" i="25"/>
  <c r="E8" i="25"/>
  <c r="F8" i="25"/>
  <c r="P96" i="55" s="1"/>
  <c r="K8" i="25"/>
  <c r="L8" i="25"/>
  <c r="Q8" i="25"/>
  <c r="X8" i="25"/>
  <c r="X32" i="25" s="1"/>
  <c r="AJ8" i="25"/>
  <c r="G9" i="25"/>
  <c r="H9" i="25"/>
  <c r="M9" i="25"/>
  <c r="S9" i="25"/>
  <c r="Y9" i="25"/>
  <c r="Z9" i="25" s="1"/>
  <c r="AA9" i="25" s="1"/>
  <c r="AB9" i="25"/>
  <c r="AC9" i="25" s="1"/>
  <c r="AC8" i="25" s="1"/>
  <c r="AE9" i="25"/>
  <c r="AJ9" i="25"/>
  <c r="G10" i="25"/>
  <c r="H10" i="25"/>
  <c r="I10" i="25" s="1"/>
  <c r="AI10" i="25" s="1"/>
  <c r="M10" i="25"/>
  <c r="N10" i="25"/>
  <c r="O10" i="25"/>
  <c r="P10" i="25" s="1"/>
  <c r="R10" i="25"/>
  <c r="R8" i="25" s="1"/>
  <c r="R32" i="25" s="1"/>
  <c r="R37" i="25" s="1"/>
  <c r="S10" i="25"/>
  <c r="T10" i="25"/>
  <c r="U10" i="25" s="1"/>
  <c r="V10" i="25" s="1"/>
  <c r="Y10" i="25"/>
  <c r="Z10" i="25"/>
  <c r="AA10" i="25"/>
  <c r="AB10" i="25" s="1"/>
  <c r="AC10" i="25" s="1"/>
  <c r="AE10" i="25"/>
  <c r="AF10" i="25"/>
  <c r="AJ10" i="25"/>
  <c r="G11" i="25"/>
  <c r="H11" i="25" s="1"/>
  <c r="M11" i="25"/>
  <c r="N11" i="25" s="1"/>
  <c r="O11" i="25" s="1"/>
  <c r="P11" i="25" s="1"/>
  <c r="S11" i="25"/>
  <c r="T11" i="25" s="1"/>
  <c r="U11" i="25" s="1"/>
  <c r="V11" i="25" s="1"/>
  <c r="Y11" i="25"/>
  <c r="Y8" i="25" s="1"/>
  <c r="Z11" i="25"/>
  <c r="AA11" i="25" s="1"/>
  <c r="AB11" i="25" s="1"/>
  <c r="AC11" i="25" s="1"/>
  <c r="AE11" i="25"/>
  <c r="AJ11" i="25"/>
  <c r="G12" i="25"/>
  <c r="H12" i="25"/>
  <c r="I12" i="25"/>
  <c r="J12" i="25" s="1"/>
  <c r="AH12" i="25" s="1"/>
  <c r="M12" i="25"/>
  <c r="N12" i="25"/>
  <c r="O12" i="25" s="1"/>
  <c r="P12" i="25" s="1"/>
  <c r="S12" i="25"/>
  <c r="T12" i="25"/>
  <c r="U12" i="25"/>
  <c r="V12" i="25" s="1"/>
  <c r="Y12" i="25"/>
  <c r="Z12" i="25"/>
  <c r="AA12" i="25" s="1"/>
  <c r="AB12" i="25" s="1"/>
  <c r="AC12" i="25" s="1"/>
  <c r="AE12" i="25"/>
  <c r="AF12" i="25"/>
  <c r="AJ12" i="25"/>
  <c r="G13" i="25"/>
  <c r="M13" i="25"/>
  <c r="N13" i="25"/>
  <c r="O13" i="25" s="1"/>
  <c r="P13" i="25" s="1"/>
  <c r="R13" i="25"/>
  <c r="S13" i="25"/>
  <c r="T13" i="25" s="1"/>
  <c r="U13" i="25" s="1"/>
  <c r="V13" i="25" s="1"/>
  <c r="Y13" i="25"/>
  <c r="Z13" i="25"/>
  <c r="AA13" i="25" s="1"/>
  <c r="AB13" i="25" s="1"/>
  <c r="AC13" i="25" s="1"/>
  <c r="AJ13" i="25"/>
  <c r="G14" i="25"/>
  <c r="H14" i="25"/>
  <c r="I14" i="25" s="1"/>
  <c r="AI14" i="25" s="1"/>
  <c r="J14" i="25"/>
  <c r="AH14" i="25" s="1"/>
  <c r="M14" i="25"/>
  <c r="N14" i="25" s="1"/>
  <c r="O14" i="25" s="1"/>
  <c r="P14" i="25" s="1"/>
  <c r="R14" i="25"/>
  <c r="S14" i="25"/>
  <c r="T14" i="25"/>
  <c r="U14" i="25" s="1"/>
  <c r="V14" i="25" s="1"/>
  <c r="Y14" i="25"/>
  <c r="Z14" i="25" s="1"/>
  <c r="AA14" i="25" s="1"/>
  <c r="AB14" i="25" s="1"/>
  <c r="AC14" i="25" s="1"/>
  <c r="AE14" i="25"/>
  <c r="AF14" i="25"/>
  <c r="AG14" i="25"/>
  <c r="AJ14" i="25"/>
  <c r="G15" i="25"/>
  <c r="H15" i="25" s="1"/>
  <c r="M15" i="25"/>
  <c r="N15" i="25" s="1"/>
  <c r="O15" i="25" s="1"/>
  <c r="P15" i="25" s="1"/>
  <c r="R15" i="25"/>
  <c r="S15" i="25" s="1"/>
  <c r="T15" i="25" s="1"/>
  <c r="U15" i="25" s="1"/>
  <c r="V15" i="25"/>
  <c r="Y15" i="25"/>
  <c r="Z15" i="25"/>
  <c r="AA15" i="25" s="1"/>
  <c r="AB15" i="25" s="1"/>
  <c r="AC15" i="25" s="1"/>
  <c r="AJ15" i="25"/>
  <c r="G16" i="25"/>
  <c r="H16" i="25"/>
  <c r="I16" i="25" s="1"/>
  <c r="J16" i="25"/>
  <c r="AH16" i="25" s="1"/>
  <c r="M16" i="25"/>
  <c r="N16" i="25"/>
  <c r="O16" i="25" s="1"/>
  <c r="P16" i="25" s="1"/>
  <c r="R16" i="25"/>
  <c r="S16" i="25"/>
  <c r="T16" i="25" s="1"/>
  <c r="U16" i="25" s="1"/>
  <c r="V16" i="25" s="1"/>
  <c r="Y16" i="25"/>
  <c r="Z16" i="25"/>
  <c r="AA16" i="25" s="1"/>
  <c r="AB16" i="25" s="1"/>
  <c r="AC16" i="25" s="1"/>
  <c r="AE16" i="25"/>
  <c r="AF16" i="25"/>
  <c r="AG16" i="25"/>
  <c r="AI16" i="25"/>
  <c r="AJ16" i="25"/>
  <c r="G17" i="25"/>
  <c r="M17" i="25"/>
  <c r="N17" i="25" s="1"/>
  <c r="O17" i="25" s="1"/>
  <c r="P17" i="25" s="1"/>
  <c r="S17" i="25"/>
  <c r="T17" i="25"/>
  <c r="U17" i="25" s="1"/>
  <c r="V17" i="25" s="1"/>
  <c r="Y17" i="25"/>
  <c r="Z17" i="25" s="1"/>
  <c r="AA17" i="25" s="1"/>
  <c r="AB17" i="25"/>
  <c r="AC17" i="25"/>
  <c r="AJ17" i="25"/>
  <c r="H18" i="25"/>
  <c r="AF18" i="25" s="1"/>
  <c r="J18" i="25"/>
  <c r="AH18" i="25" s="1"/>
  <c r="N18" i="25"/>
  <c r="T18" i="25"/>
  <c r="AJ18" i="25"/>
  <c r="G19" i="25"/>
  <c r="AE19" i="25" s="1"/>
  <c r="H19" i="25"/>
  <c r="M19" i="25"/>
  <c r="N19" i="25" s="1"/>
  <c r="O19" i="25" s="1"/>
  <c r="P19" i="25" s="1"/>
  <c r="S19" i="25"/>
  <c r="T19" i="25"/>
  <c r="U19" i="25" s="1"/>
  <c r="V19" i="25"/>
  <c r="Y19" i="25"/>
  <c r="Z19" i="25"/>
  <c r="AA19" i="25" s="1"/>
  <c r="AB19" i="25" s="1"/>
  <c r="AC19" i="25" s="1"/>
  <c r="AJ19" i="25"/>
  <c r="D20" i="25"/>
  <c r="E20" i="25"/>
  <c r="F20" i="25"/>
  <c r="P97" i="55" s="1"/>
  <c r="H20" i="25"/>
  <c r="AF20" i="25" s="1"/>
  <c r="K20" i="25"/>
  <c r="L20" i="25"/>
  <c r="Q20" i="25"/>
  <c r="R20" i="25"/>
  <c r="W20" i="25"/>
  <c r="X20" i="25"/>
  <c r="Y20" i="25"/>
  <c r="AJ20" i="25"/>
  <c r="G21" i="25"/>
  <c r="G20" i="25" s="1"/>
  <c r="AE20" i="25" s="1"/>
  <c r="H21" i="25"/>
  <c r="I21" i="25" s="1"/>
  <c r="M21" i="25"/>
  <c r="M20" i="25" s="1"/>
  <c r="N21" i="25"/>
  <c r="S21" i="25"/>
  <c r="T21" i="25"/>
  <c r="Y21" i="25"/>
  <c r="Z21" i="25"/>
  <c r="AE21" i="25"/>
  <c r="AF21" i="25"/>
  <c r="AJ21" i="25"/>
  <c r="G22" i="25"/>
  <c r="H22" i="25"/>
  <c r="M22" i="25"/>
  <c r="N22" i="25" s="1"/>
  <c r="O22" i="25" s="1"/>
  <c r="P22" i="25" s="1"/>
  <c r="S22" i="25"/>
  <c r="T22" i="25" s="1"/>
  <c r="U22" i="25" s="1"/>
  <c r="V22" i="25" s="1"/>
  <c r="Y22" i="25"/>
  <c r="Z22" i="25" s="1"/>
  <c r="AA22" i="25" s="1"/>
  <c r="AB22" i="25"/>
  <c r="AC22" i="25" s="1"/>
  <c r="AE22" i="25"/>
  <c r="AJ22" i="25"/>
  <c r="D23" i="25"/>
  <c r="E23" i="25"/>
  <c r="E32" i="25" s="1"/>
  <c r="F23" i="25"/>
  <c r="G23" i="25"/>
  <c r="L23" i="25"/>
  <c r="M23" i="25"/>
  <c r="N23" i="25"/>
  <c r="O23" i="25"/>
  <c r="Q23" i="25"/>
  <c r="R23" i="25"/>
  <c r="X23" i="25"/>
  <c r="AE23" i="25"/>
  <c r="G24" i="25"/>
  <c r="H24" i="25" s="1"/>
  <c r="K24" i="25"/>
  <c r="M24" i="25"/>
  <c r="N24" i="25"/>
  <c r="O24" i="25" s="1"/>
  <c r="P24" i="25" s="1"/>
  <c r="P23" i="25" s="1"/>
  <c r="S24" i="25"/>
  <c r="S23" i="25" s="1"/>
  <c r="T24" i="25"/>
  <c r="U24" i="25"/>
  <c r="U23" i="25" s="1"/>
  <c r="Y24" i="25"/>
  <c r="Z24" i="25"/>
  <c r="AE24" i="25"/>
  <c r="AF24" i="25"/>
  <c r="AJ24" i="25"/>
  <c r="G25" i="25"/>
  <c r="H25" i="25" s="1"/>
  <c r="M25" i="25"/>
  <c r="N25" i="25"/>
  <c r="O25" i="25" s="1"/>
  <c r="P25" i="25" s="1"/>
  <c r="S25" i="25"/>
  <c r="T25" i="25" s="1"/>
  <c r="U25" i="25" s="1"/>
  <c r="V25" i="25"/>
  <c r="Y25" i="25"/>
  <c r="Z25" i="25" s="1"/>
  <c r="AA25" i="25" s="1"/>
  <c r="AB25" i="25" s="1"/>
  <c r="AC25" i="25" s="1"/>
  <c r="AE25" i="25"/>
  <c r="AJ25" i="25"/>
  <c r="G26" i="25"/>
  <c r="H26" i="25"/>
  <c r="I26" i="25" s="1"/>
  <c r="M26" i="25"/>
  <c r="N26" i="25"/>
  <c r="O26" i="25"/>
  <c r="P26" i="25" s="1"/>
  <c r="S26" i="25"/>
  <c r="T26" i="25"/>
  <c r="U26" i="25" s="1"/>
  <c r="V26" i="25" s="1"/>
  <c r="Y26" i="25"/>
  <c r="Z26" i="25"/>
  <c r="AA26" i="25"/>
  <c r="AB26" i="25" s="1"/>
  <c r="AC26" i="25" s="1"/>
  <c r="AE26" i="25"/>
  <c r="AF26" i="25"/>
  <c r="AJ26" i="25"/>
  <c r="G27" i="25"/>
  <c r="M27" i="25"/>
  <c r="N27" i="25" s="1"/>
  <c r="O27" i="25" s="1"/>
  <c r="P27" i="25"/>
  <c r="S27" i="25"/>
  <c r="T27" i="25"/>
  <c r="U27" i="25" s="1"/>
  <c r="V27" i="25" s="1"/>
  <c r="X27" i="25" s="1"/>
  <c r="Y27" i="25" s="1"/>
  <c r="Z27" i="25" s="1"/>
  <c r="AA27" i="25" s="1"/>
  <c r="AB27" i="25" s="1"/>
  <c r="AC27" i="25"/>
  <c r="AJ27" i="25"/>
  <c r="G28" i="25"/>
  <c r="AE28" i="25" s="1"/>
  <c r="H28" i="25"/>
  <c r="M28" i="25"/>
  <c r="N28" i="25" s="1"/>
  <c r="O28" i="25" s="1"/>
  <c r="P28" i="25" s="1"/>
  <c r="Y28" i="25"/>
  <c r="Z28" i="25" s="1"/>
  <c r="AA28" i="25" s="1"/>
  <c r="AB28" i="25" s="1"/>
  <c r="AC28" i="25" s="1"/>
  <c r="AJ28" i="25"/>
  <c r="G29" i="25"/>
  <c r="M29" i="25"/>
  <c r="N29" i="25" s="1"/>
  <c r="O29" i="25"/>
  <c r="P29" i="25" s="1"/>
  <c r="S29" i="25"/>
  <c r="T29" i="25" s="1"/>
  <c r="U29" i="25" s="1"/>
  <c r="V29" i="25" s="1"/>
  <c r="Y29" i="25"/>
  <c r="Z29" i="25" s="1"/>
  <c r="AA29" i="25" s="1"/>
  <c r="AB29" i="25"/>
  <c r="AC29" i="25" s="1"/>
  <c r="AJ29" i="25"/>
  <c r="G30" i="25"/>
  <c r="H30" i="25" s="1"/>
  <c r="M30" i="25"/>
  <c r="N30" i="25" s="1"/>
  <c r="O30" i="25" s="1"/>
  <c r="P30" i="25" s="1"/>
  <c r="S30" i="25"/>
  <c r="T30" i="25"/>
  <c r="U30" i="25" s="1"/>
  <c r="V30" i="25" s="1"/>
  <c r="Y30" i="25"/>
  <c r="Z30" i="25" s="1"/>
  <c r="AA30" i="25"/>
  <c r="AB30" i="25" s="1"/>
  <c r="AC30" i="25" s="1"/>
  <c r="AJ30" i="25"/>
  <c r="G31" i="25"/>
  <c r="H31" i="25" s="1"/>
  <c r="M31" i="25"/>
  <c r="N31" i="25" s="1"/>
  <c r="O31" i="25" s="1"/>
  <c r="P31" i="25"/>
  <c r="S31" i="25"/>
  <c r="T31" i="25" s="1"/>
  <c r="U31" i="25"/>
  <c r="V31" i="25" s="1"/>
  <c r="Y31" i="25"/>
  <c r="Z31" i="25" s="1"/>
  <c r="AA31" i="25"/>
  <c r="AB31" i="25" s="1"/>
  <c r="AC31" i="25" s="1"/>
  <c r="AE31" i="25"/>
  <c r="AJ31" i="25"/>
  <c r="D32" i="25"/>
  <c r="F32" i="25"/>
  <c r="L32" i="25"/>
  <c r="Q32" i="25"/>
  <c r="E33" i="25"/>
  <c r="F33" i="25"/>
  <c r="G33" i="25"/>
  <c r="AE33" i="25" s="1"/>
  <c r="K33" i="25"/>
  <c r="L33" i="25"/>
  <c r="Q33" i="25"/>
  <c r="R33" i="25"/>
  <c r="W33" i="25"/>
  <c r="G34" i="25"/>
  <c r="H34" i="25"/>
  <c r="M34" i="25"/>
  <c r="M33" i="25" s="1"/>
  <c r="S34" i="25"/>
  <c r="T34" i="25"/>
  <c r="Y34" i="25"/>
  <c r="Z34" i="25" s="1"/>
  <c r="AA34" i="25"/>
  <c r="AE34" i="25"/>
  <c r="AJ34" i="25"/>
  <c r="G35" i="25"/>
  <c r="H35" i="25"/>
  <c r="AF35" i="25" s="1"/>
  <c r="M35" i="25"/>
  <c r="N35" i="25" s="1"/>
  <c r="O35" i="25" s="1"/>
  <c r="P35" i="25" s="1"/>
  <c r="S35" i="25"/>
  <c r="T35" i="25"/>
  <c r="U35" i="25" s="1"/>
  <c r="V35" i="25" s="1"/>
  <c r="X35" i="25" s="1"/>
  <c r="AE35" i="25"/>
  <c r="AJ35" i="25"/>
  <c r="D36" i="25"/>
  <c r="G36" i="25"/>
  <c r="H36" i="25"/>
  <c r="AF36" i="25" s="1"/>
  <c r="M36" i="25"/>
  <c r="N36" i="25" s="1"/>
  <c r="O36" i="25" s="1"/>
  <c r="P36" i="25"/>
  <c r="R36" i="25"/>
  <c r="S36" i="25"/>
  <c r="T36" i="25"/>
  <c r="U36" i="25" s="1"/>
  <c r="V36" i="25" s="1"/>
  <c r="Y36" i="25"/>
  <c r="Z36" i="25" s="1"/>
  <c r="AA36" i="25" s="1"/>
  <c r="AB36" i="25" s="1"/>
  <c r="AC36" i="25" s="1"/>
  <c r="AE36" i="25"/>
  <c r="E37" i="25"/>
  <c r="F37" i="25"/>
  <c r="P101" i="55" s="1"/>
  <c r="L37" i="25"/>
  <c r="E39" i="25"/>
  <c r="F39" i="25"/>
  <c r="G39" i="25"/>
  <c r="H39" i="25"/>
  <c r="N39" i="25"/>
  <c r="T39" i="25"/>
  <c r="AF39" i="25"/>
  <c r="AG39" i="25"/>
  <c r="AI39" i="25"/>
  <c r="C40" i="25"/>
  <c r="D40" i="25"/>
  <c r="E40" i="25"/>
  <c r="X40" i="25"/>
  <c r="Y40" i="25"/>
  <c r="Z40" i="25"/>
  <c r="AA40" i="25"/>
  <c r="AB40" i="25"/>
  <c r="AC40" i="25"/>
  <c r="AE40" i="25"/>
  <c r="AH40" i="25"/>
  <c r="AJ40" i="25"/>
  <c r="D41" i="25"/>
  <c r="E41" i="25"/>
  <c r="F41" i="25"/>
  <c r="AJ41" i="25" s="1"/>
  <c r="K41" i="25"/>
  <c r="L41" i="25"/>
  <c r="L52" i="25" s="1"/>
  <c r="Q41" i="25"/>
  <c r="W41" i="25"/>
  <c r="X41" i="25"/>
  <c r="X52" i="25" s="1"/>
  <c r="G42" i="25"/>
  <c r="H42" i="25"/>
  <c r="M42" i="25"/>
  <c r="R42" i="25"/>
  <c r="S42" i="25"/>
  <c r="Y42" i="25"/>
  <c r="AE42" i="25"/>
  <c r="AJ42" i="25"/>
  <c r="G43" i="25"/>
  <c r="AE43" i="25" s="1"/>
  <c r="M43" i="25"/>
  <c r="N43" i="25" s="1"/>
  <c r="O43" i="25"/>
  <c r="P43" i="25" s="1"/>
  <c r="R43" i="25"/>
  <c r="S43" i="25"/>
  <c r="T43" i="25" s="1"/>
  <c r="U43" i="25"/>
  <c r="V43" i="25" s="1"/>
  <c r="Y43" i="25"/>
  <c r="Z43" i="25"/>
  <c r="AA43" i="25" s="1"/>
  <c r="AB43" i="25"/>
  <c r="AC43" i="25" s="1"/>
  <c r="AJ43" i="25"/>
  <c r="G44" i="25"/>
  <c r="M44" i="25"/>
  <c r="N44" i="25" s="1"/>
  <c r="O44" i="25" s="1"/>
  <c r="P44" i="25" s="1"/>
  <c r="R44" i="25"/>
  <c r="S44" i="25" s="1"/>
  <c r="T44" i="25" s="1"/>
  <c r="U44" i="25" s="1"/>
  <c r="V44" i="25" s="1"/>
  <c r="Y44" i="25"/>
  <c r="Z44" i="25"/>
  <c r="AA44" i="25" s="1"/>
  <c r="AB44" i="25" s="1"/>
  <c r="AC44" i="25" s="1"/>
  <c r="AJ44" i="25"/>
  <c r="G45" i="25"/>
  <c r="AE45" i="25" s="1"/>
  <c r="H45" i="25"/>
  <c r="M45" i="25"/>
  <c r="N45" i="25" s="1"/>
  <c r="O45" i="25"/>
  <c r="P45" i="25" s="1"/>
  <c r="S45" i="25"/>
  <c r="T45" i="25"/>
  <c r="U45" i="25" s="1"/>
  <c r="V45" i="25" s="1"/>
  <c r="Y45" i="25"/>
  <c r="Z45" i="25" s="1"/>
  <c r="AA45" i="25"/>
  <c r="AB45" i="25" s="1"/>
  <c r="AC45" i="25" s="1"/>
  <c r="AJ45" i="25"/>
  <c r="G46" i="25"/>
  <c r="M46" i="25"/>
  <c r="N46" i="25"/>
  <c r="O46" i="25" s="1"/>
  <c r="P46" i="25" s="1"/>
  <c r="S46" i="25"/>
  <c r="T46" i="25" s="1"/>
  <c r="U46" i="25"/>
  <c r="V46" i="25" s="1"/>
  <c r="Y46" i="25"/>
  <c r="Z46" i="25"/>
  <c r="AA46" i="25" s="1"/>
  <c r="AB46" i="25" s="1"/>
  <c r="AC46" i="25" s="1"/>
  <c r="AJ46" i="25"/>
  <c r="D47" i="25"/>
  <c r="E47" i="25"/>
  <c r="E52" i="25" s="1"/>
  <c r="F47" i="25"/>
  <c r="I9" i="39" s="1"/>
  <c r="I8" i="39" s="1"/>
  <c r="K47" i="25"/>
  <c r="L47" i="25"/>
  <c r="Q47" i="25"/>
  <c r="R47" i="25"/>
  <c r="W47" i="25"/>
  <c r="W52" i="25"/>
  <c r="X47" i="25"/>
  <c r="AJ47" i="25"/>
  <c r="G48" i="25"/>
  <c r="H48" i="25" s="1"/>
  <c r="I48" i="25" s="1"/>
  <c r="J48" i="25"/>
  <c r="AH48" i="25" s="1"/>
  <c r="M48" i="25"/>
  <c r="N48" i="25"/>
  <c r="R48" i="25"/>
  <c r="S48" i="25" s="1"/>
  <c r="T48" i="25"/>
  <c r="Y48" i="25"/>
  <c r="Z48" i="25" s="1"/>
  <c r="AE48" i="25"/>
  <c r="AF48" i="25"/>
  <c r="AI48" i="25"/>
  <c r="AJ48" i="25"/>
  <c r="G49" i="25"/>
  <c r="G47" i="25" s="1"/>
  <c r="M49" i="25"/>
  <c r="N49" i="25"/>
  <c r="O49" i="25"/>
  <c r="P49" i="25" s="1"/>
  <c r="R49" i="25"/>
  <c r="S49" i="25" s="1"/>
  <c r="T49" i="25" s="1"/>
  <c r="U49" i="25" s="1"/>
  <c r="V49" i="25" s="1"/>
  <c r="Y49" i="25"/>
  <c r="AJ49" i="25"/>
  <c r="G50" i="25"/>
  <c r="H50" i="25"/>
  <c r="M50" i="25"/>
  <c r="N50" i="25" s="1"/>
  <c r="O50" i="25" s="1"/>
  <c r="P50" i="25" s="1"/>
  <c r="S50" i="25"/>
  <c r="T50" i="25"/>
  <c r="U50" i="25" s="1"/>
  <c r="V50" i="25" s="1"/>
  <c r="Y50" i="25"/>
  <c r="Z50" i="25" s="1"/>
  <c r="AA50" i="25" s="1"/>
  <c r="AB50" i="25" s="1"/>
  <c r="AC50" i="25" s="1"/>
  <c r="AE50" i="25"/>
  <c r="AJ50" i="25"/>
  <c r="G51" i="25"/>
  <c r="H51" i="25" s="1"/>
  <c r="M51" i="25"/>
  <c r="N51" i="25" s="1"/>
  <c r="O51" i="25"/>
  <c r="P51" i="25" s="1"/>
  <c r="S51" i="25"/>
  <c r="T51" i="25" s="1"/>
  <c r="U51" i="25" s="1"/>
  <c r="V51" i="25" s="1"/>
  <c r="Y51" i="25"/>
  <c r="Z51" i="25" s="1"/>
  <c r="AA51" i="25" s="1"/>
  <c r="AB51" i="25" s="1"/>
  <c r="AC51" i="25" s="1"/>
  <c r="AJ51" i="25"/>
  <c r="D52" i="25"/>
  <c r="F52" i="25"/>
  <c r="F57" i="25" s="1"/>
  <c r="K52" i="25"/>
  <c r="Q52" i="25"/>
  <c r="AE53" i="25"/>
  <c r="AG53" i="25"/>
  <c r="AH53" i="25"/>
  <c r="AI53" i="25"/>
  <c r="AJ53" i="25"/>
  <c r="C54" i="25"/>
  <c r="G54" i="25"/>
  <c r="H54" i="25" s="1"/>
  <c r="M54" i="25"/>
  <c r="N54" i="25" s="1"/>
  <c r="O54" i="25"/>
  <c r="P54" i="25" s="1"/>
  <c r="Q54" i="25" s="1"/>
  <c r="R54" i="25"/>
  <c r="S54" i="25" s="1"/>
  <c r="T54" i="25" s="1"/>
  <c r="U54" i="25"/>
  <c r="V54" i="25" s="1"/>
  <c r="W54" i="25" s="1"/>
  <c r="Y54" i="25"/>
  <c r="Z54" i="25" s="1"/>
  <c r="AA54" i="25" s="1"/>
  <c r="AB54" i="25" s="1"/>
  <c r="AC54" i="25" s="1"/>
  <c r="AE54" i="25"/>
  <c r="AJ54" i="25"/>
  <c r="V55" i="25"/>
  <c r="Y55" i="25"/>
  <c r="Z55" i="25" s="1"/>
  <c r="AA55" i="25"/>
  <c r="AB55" i="25" s="1"/>
  <c r="AE55" i="25"/>
  <c r="AF55" i="25"/>
  <c r="AG55" i="25"/>
  <c r="AH55" i="25"/>
  <c r="AJ55" i="25"/>
  <c r="V56" i="25"/>
  <c r="Y56" i="25"/>
  <c r="Z56" i="25" s="1"/>
  <c r="AA56" i="25" s="1"/>
  <c r="AB56" i="25"/>
  <c r="AE56" i="25"/>
  <c r="AJ56" i="25"/>
  <c r="G58" i="25"/>
  <c r="H58" i="25" s="1"/>
  <c r="I58" i="25" s="1"/>
  <c r="J58" i="25" s="1"/>
  <c r="K58" i="25" s="1"/>
  <c r="F60" i="25"/>
  <c r="D5" i="24"/>
  <c r="E5" i="24"/>
  <c r="G5" i="24"/>
  <c r="G40" i="24" s="1"/>
  <c r="AI5" i="24"/>
  <c r="AI40" i="24" s="1"/>
  <c r="AJ5" i="24"/>
  <c r="AJ40" i="24" s="1"/>
  <c r="D8" i="24"/>
  <c r="E8" i="24"/>
  <c r="F8" i="24"/>
  <c r="P68" i="55" s="1"/>
  <c r="K8" i="24"/>
  <c r="L8" i="24"/>
  <c r="Q8" i="24"/>
  <c r="X8" i="24"/>
  <c r="AJ8" i="24"/>
  <c r="G9" i="24"/>
  <c r="M9" i="24"/>
  <c r="N9" i="24"/>
  <c r="S9" i="24"/>
  <c r="Y9" i="24"/>
  <c r="Z9" i="24"/>
  <c r="AJ9" i="24"/>
  <c r="G10" i="24"/>
  <c r="H10" i="24"/>
  <c r="I10" i="24"/>
  <c r="M10" i="24"/>
  <c r="N10" i="24" s="1"/>
  <c r="O10" i="24" s="1"/>
  <c r="P10" i="24"/>
  <c r="S10" i="24"/>
  <c r="T10" i="24"/>
  <c r="U10" i="24"/>
  <c r="V10" i="24" s="1"/>
  <c r="Y10" i="24"/>
  <c r="Z10" i="24" s="1"/>
  <c r="AA10" i="24" s="1"/>
  <c r="AB10" i="24" s="1"/>
  <c r="AC10" i="24" s="1"/>
  <c r="AE10" i="24"/>
  <c r="AF10" i="24"/>
  <c r="AJ10" i="24"/>
  <c r="G11" i="24"/>
  <c r="H11" i="24"/>
  <c r="M11" i="24"/>
  <c r="N11" i="24" s="1"/>
  <c r="O11" i="24"/>
  <c r="P11" i="24" s="1"/>
  <c r="S11" i="24"/>
  <c r="T11" i="24"/>
  <c r="U11" i="24" s="1"/>
  <c r="V11" i="24"/>
  <c r="Y11" i="24"/>
  <c r="Z11" i="24" s="1"/>
  <c r="AA11" i="24"/>
  <c r="AB11" i="24" s="1"/>
  <c r="AC11" i="24" s="1"/>
  <c r="AE11" i="24"/>
  <c r="AJ11" i="24"/>
  <c r="G12" i="24"/>
  <c r="M12" i="24"/>
  <c r="N12" i="24"/>
  <c r="O12" i="24" s="1"/>
  <c r="P12" i="24" s="1"/>
  <c r="S12" i="24"/>
  <c r="T12" i="24" s="1"/>
  <c r="U12" i="24" s="1"/>
  <c r="V12" i="24"/>
  <c r="Y12" i="24"/>
  <c r="Z12" i="24"/>
  <c r="AA12" i="24"/>
  <c r="AB12" i="24" s="1"/>
  <c r="AC12" i="24" s="1"/>
  <c r="AJ12" i="24"/>
  <c r="G13" i="24"/>
  <c r="M13" i="24"/>
  <c r="N13" i="24"/>
  <c r="O13" i="24" s="1"/>
  <c r="P13" i="24"/>
  <c r="S13" i="24"/>
  <c r="T13" i="24" s="1"/>
  <c r="U13" i="24"/>
  <c r="V13" i="24" s="1"/>
  <c r="Y13" i="24"/>
  <c r="Z13" i="24"/>
  <c r="AA13" i="24" s="1"/>
  <c r="AB13" i="24"/>
  <c r="AC13" i="24" s="1"/>
  <c r="AJ13" i="24"/>
  <c r="G14" i="24"/>
  <c r="H14" i="24"/>
  <c r="I14" i="24" s="1"/>
  <c r="M14" i="24"/>
  <c r="N14" i="24" s="1"/>
  <c r="O14" i="24" s="1"/>
  <c r="P14" i="24"/>
  <c r="S14" i="24"/>
  <c r="T14" i="24"/>
  <c r="U14" i="24"/>
  <c r="V14" i="24" s="1"/>
  <c r="Y14" i="24"/>
  <c r="Z14" i="24" s="1"/>
  <c r="AA14" i="24" s="1"/>
  <c r="AB14" i="24"/>
  <c r="AC14" i="24" s="1"/>
  <c r="AE14" i="24"/>
  <c r="AJ14" i="24"/>
  <c r="G15" i="24"/>
  <c r="H15" i="24"/>
  <c r="M15" i="24"/>
  <c r="N15" i="24" s="1"/>
  <c r="O15" i="24" s="1"/>
  <c r="P15" i="24" s="1"/>
  <c r="S15" i="24"/>
  <c r="T15" i="24"/>
  <c r="U15" i="24" s="1"/>
  <c r="V15" i="24" s="1"/>
  <c r="Y15" i="24"/>
  <c r="Z15" i="24" s="1"/>
  <c r="AA15" i="24"/>
  <c r="AB15" i="24" s="1"/>
  <c r="AC15" i="24" s="1"/>
  <c r="AE15" i="24"/>
  <c r="AJ15" i="24"/>
  <c r="G16" i="24"/>
  <c r="M16" i="24"/>
  <c r="N16" i="24"/>
  <c r="O16" i="24" s="1"/>
  <c r="P16" i="24"/>
  <c r="R16" i="24"/>
  <c r="S16" i="24" s="1"/>
  <c r="T16" i="24"/>
  <c r="U16" i="24" s="1"/>
  <c r="V16" i="24" s="1"/>
  <c r="Y16" i="24"/>
  <c r="Z16" i="24"/>
  <c r="AA16" i="24" s="1"/>
  <c r="AB16" i="24"/>
  <c r="AC16" i="24" s="1"/>
  <c r="AJ16" i="24"/>
  <c r="G17" i="24"/>
  <c r="H17" i="24"/>
  <c r="M17" i="24"/>
  <c r="N17" i="24" s="1"/>
  <c r="O17" i="24"/>
  <c r="P17" i="24" s="1"/>
  <c r="S17" i="24"/>
  <c r="T17" i="24"/>
  <c r="U17" i="24" s="1"/>
  <c r="V17" i="24"/>
  <c r="Y17" i="24"/>
  <c r="Z17" i="24" s="1"/>
  <c r="AA17" i="24"/>
  <c r="AB17" i="24" s="1"/>
  <c r="AC17" i="24" s="1"/>
  <c r="AE17" i="24"/>
  <c r="AJ17" i="24"/>
  <c r="N18" i="24"/>
  <c r="T18" i="24"/>
  <c r="AE18" i="24"/>
  <c r="AJ18" i="24"/>
  <c r="H19" i="24"/>
  <c r="I19" i="24" s="1"/>
  <c r="J19" i="24"/>
  <c r="AH19" i="24" s="1"/>
  <c r="M19" i="24"/>
  <c r="N19" i="24" s="1"/>
  <c r="O19" i="24" s="1"/>
  <c r="P19" i="24" s="1"/>
  <c r="T19" i="24"/>
  <c r="U19" i="24" s="1"/>
  <c r="V19" i="24"/>
  <c r="Y19" i="24"/>
  <c r="Z19" i="24"/>
  <c r="AA19" i="24" s="1"/>
  <c r="AB19" i="24" s="1"/>
  <c r="AC19" i="24" s="1"/>
  <c r="AE19" i="24"/>
  <c r="AG19" i="24"/>
  <c r="AI19" i="24"/>
  <c r="AJ19" i="24"/>
  <c r="D20" i="24"/>
  <c r="E20" i="24"/>
  <c r="F20" i="24"/>
  <c r="P69" i="55" s="1"/>
  <c r="K20" i="24"/>
  <c r="L20" i="24"/>
  <c r="M20" i="24"/>
  <c r="Q20" i="24"/>
  <c r="R20" i="24"/>
  <c r="W20" i="24"/>
  <c r="X20" i="24"/>
  <c r="Y20" i="24"/>
  <c r="AJ20" i="24"/>
  <c r="G21" i="24"/>
  <c r="M21" i="24"/>
  <c r="N21" i="24"/>
  <c r="N20" i="24" s="1"/>
  <c r="S21" i="24"/>
  <c r="T21" i="24" s="1"/>
  <c r="U21" i="24" s="1"/>
  <c r="Y21" i="24"/>
  <c r="Z21" i="24"/>
  <c r="AJ21" i="24"/>
  <c r="G22" i="24"/>
  <c r="H22" i="24"/>
  <c r="I22" i="24"/>
  <c r="M22" i="24"/>
  <c r="N22" i="24" s="1"/>
  <c r="O22" i="24" s="1"/>
  <c r="P22" i="24"/>
  <c r="S22" i="24"/>
  <c r="T22" i="24" s="1"/>
  <c r="Y22" i="24"/>
  <c r="Z22" i="24" s="1"/>
  <c r="AA22" i="24" s="1"/>
  <c r="AB22" i="24"/>
  <c r="AC22" i="24"/>
  <c r="AE22" i="24"/>
  <c r="AF22" i="24"/>
  <c r="AJ22" i="24"/>
  <c r="D23" i="24"/>
  <c r="E23" i="24"/>
  <c r="F23" i="24"/>
  <c r="P65" i="55" s="1"/>
  <c r="G23" i="24"/>
  <c r="AE23" i="24" s="1"/>
  <c r="L23" i="24"/>
  <c r="M23" i="24"/>
  <c r="Q23" i="24"/>
  <c r="R23" i="24"/>
  <c r="X23" i="24"/>
  <c r="G24" i="24"/>
  <c r="AE24" i="24" s="1"/>
  <c r="H24" i="24"/>
  <c r="AF24" i="24" s="1"/>
  <c r="I24" i="24"/>
  <c r="K24" i="24"/>
  <c r="M24" i="24"/>
  <c r="N24" i="24" s="1"/>
  <c r="O24" i="24" s="1"/>
  <c r="S24" i="24"/>
  <c r="T24" i="24" s="1"/>
  <c r="Y24" i="24"/>
  <c r="Y23" i="24" s="1"/>
  <c r="AJ24" i="24"/>
  <c r="G25" i="24"/>
  <c r="AE25" i="24" s="1"/>
  <c r="H25" i="24"/>
  <c r="M25" i="24"/>
  <c r="N25" i="24"/>
  <c r="O25" i="24" s="1"/>
  <c r="P25" i="24" s="1"/>
  <c r="S25" i="24"/>
  <c r="T25" i="24" s="1"/>
  <c r="U25" i="24" s="1"/>
  <c r="V25" i="24"/>
  <c r="Y25" i="24"/>
  <c r="Z25" i="24"/>
  <c r="AA25" i="24" s="1"/>
  <c r="AB25" i="24" s="1"/>
  <c r="AC25" i="24" s="1"/>
  <c r="AJ25" i="24"/>
  <c r="G26" i="24"/>
  <c r="H26" i="24" s="1"/>
  <c r="M26" i="24"/>
  <c r="N26" i="24" s="1"/>
  <c r="O26" i="24" s="1"/>
  <c r="P26" i="24" s="1"/>
  <c r="S26" i="24"/>
  <c r="T26" i="24" s="1"/>
  <c r="U26" i="24"/>
  <c r="V26" i="24"/>
  <c r="Y26" i="24"/>
  <c r="Z26" i="24"/>
  <c r="AA26" i="24" s="1"/>
  <c r="AB26" i="24" s="1"/>
  <c r="AC26" i="24" s="1"/>
  <c r="AE26" i="24"/>
  <c r="AJ26" i="24"/>
  <c r="G27" i="24"/>
  <c r="AE27" i="24" s="1"/>
  <c r="H27" i="24"/>
  <c r="M27" i="24"/>
  <c r="N27" i="24" s="1"/>
  <c r="O27" i="24" s="1"/>
  <c r="P27" i="24" s="1"/>
  <c r="S27" i="24"/>
  <c r="T27" i="24"/>
  <c r="U27" i="24" s="1"/>
  <c r="V27" i="24" s="1"/>
  <c r="Y27" i="24"/>
  <c r="Z27" i="24"/>
  <c r="AA27" i="24" s="1"/>
  <c r="AB27" i="24" s="1"/>
  <c r="AC27" i="24" s="1"/>
  <c r="AJ27" i="24"/>
  <c r="G28" i="24"/>
  <c r="AE28" i="24" s="1"/>
  <c r="H28" i="24"/>
  <c r="I28" i="24" s="1"/>
  <c r="J28" i="24" s="1"/>
  <c r="AH28" i="24" s="1"/>
  <c r="M28" i="24"/>
  <c r="N28" i="24" s="1"/>
  <c r="O28" i="24" s="1"/>
  <c r="P28" i="24" s="1"/>
  <c r="R28" i="24"/>
  <c r="S28" i="24" s="1"/>
  <c r="T28" i="24" s="1"/>
  <c r="Y28" i="24"/>
  <c r="Z28" i="24" s="1"/>
  <c r="AA28" i="24" s="1"/>
  <c r="AB28" i="24" s="1"/>
  <c r="AC28" i="24" s="1"/>
  <c r="AG28" i="24"/>
  <c r="AJ28" i="24"/>
  <c r="G29" i="24"/>
  <c r="H29" i="24"/>
  <c r="I29" i="24"/>
  <c r="AG29" i="24" s="1"/>
  <c r="M29" i="24"/>
  <c r="N29" i="24"/>
  <c r="O29" i="24" s="1"/>
  <c r="P29" i="24" s="1"/>
  <c r="S29" i="24"/>
  <c r="T29" i="24"/>
  <c r="U29" i="24" s="1"/>
  <c r="V29" i="24" s="1"/>
  <c r="Y29" i="24"/>
  <c r="Z29" i="24"/>
  <c r="AA29" i="24"/>
  <c r="AB29" i="24" s="1"/>
  <c r="AC29" i="24" s="1"/>
  <c r="AE29" i="24"/>
  <c r="AF29" i="24"/>
  <c r="AJ29" i="24"/>
  <c r="G30" i="24"/>
  <c r="M30" i="24"/>
  <c r="S30" i="24"/>
  <c r="T30" i="24" s="1"/>
  <c r="U30" i="24" s="1"/>
  <c r="V30" i="24"/>
  <c r="Y30" i="24"/>
  <c r="Z30" i="24"/>
  <c r="AA30" i="24"/>
  <c r="AB30" i="24" s="1"/>
  <c r="AC30" i="24" s="1"/>
  <c r="AJ30" i="24"/>
  <c r="G31" i="24"/>
  <c r="H31" i="24"/>
  <c r="AF31" i="24" s="1"/>
  <c r="I31" i="24"/>
  <c r="M31" i="24"/>
  <c r="N31" i="24"/>
  <c r="O31" i="24" s="1"/>
  <c r="P31" i="24" s="1"/>
  <c r="S31" i="24"/>
  <c r="T31" i="24" s="1"/>
  <c r="U31" i="24" s="1"/>
  <c r="V31" i="24" s="1"/>
  <c r="Y31" i="24"/>
  <c r="Z31" i="24"/>
  <c r="AA31" i="24"/>
  <c r="AB31" i="24" s="1"/>
  <c r="AC31" i="24" s="1"/>
  <c r="AE31" i="24"/>
  <c r="AJ31" i="24"/>
  <c r="D32" i="24"/>
  <c r="D37" i="24" s="1"/>
  <c r="D60" i="24" s="1"/>
  <c r="E32" i="24"/>
  <c r="F32" i="24"/>
  <c r="F37" i="24" s="1"/>
  <c r="L32" i="24"/>
  <c r="L37" i="24" s="1"/>
  <c r="Q32" i="24"/>
  <c r="AJ32" i="24"/>
  <c r="D33" i="24"/>
  <c r="E33" i="24"/>
  <c r="F33" i="24"/>
  <c r="K33" i="24"/>
  <c r="L33" i="24"/>
  <c r="Q33" i="24"/>
  <c r="R33" i="24"/>
  <c r="W33" i="24"/>
  <c r="X33" i="24"/>
  <c r="AJ33" i="24"/>
  <c r="G34" i="24"/>
  <c r="H34" i="24"/>
  <c r="I34" i="24"/>
  <c r="AI34" i="24" s="1"/>
  <c r="J34" i="24"/>
  <c r="M34" i="24"/>
  <c r="M33" i="24" s="1"/>
  <c r="N34" i="24"/>
  <c r="O34" i="24" s="1"/>
  <c r="R34" i="24"/>
  <c r="S34" i="24"/>
  <c r="T34" i="24"/>
  <c r="U34" i="24"/>
  <c r="Y34" i="24"/>
  <c r="Z34" i="24" s="1"/>
  <c r="AE34" i="24"/>
  <c r="AF34" i="24"/>
  <c r="AG34" i="24"/>
  <c r="AJ34" i="24"/>
  <c r="G35" i="24"/>
  <c r="H35" i="24"/>
  <c r="I35" i="24"/>
  <c r="J35" i="24" s="1"/>
  <c r="AH35" i="24" s="1"/>
  <c r="M35" i="24"/>
  <c r="N35" i="24"/>
  <c r="O35" i="24" s="1"/>
  <c r="P35" i="24" s="1"/>
  <c r="S35" i="24"/>
  <c r="T35" i="24"/>
  <c r="U35" i="24"/>
  <c r="V35" i="24" s="1"/>
  <c r="Y35" i="24"/>
  <c r="Z35" i="24"/>
  <c r="AA35" i="24" s="1"/>
  <c r="AB35" i="24" s="1"/>
  <c r="AC35" i="24" s="1"/>
  <c r="AE35" i="24"/>
  <c r="AF35" i="24"/>
  <c r="AG35" i="24"/>
  <c r="AJ35" i="24"/>
  <c r="G36" i="24"/>
  <c r="M36" i="24"/>
  <c r="N36" i="24" s="1"/>
  <c r="O36" i="24" s="1"/>
  <c r="P36" i="24" s="1"/>
  <c r="R36" i="24"/>
  <c r="S36" i="24"/>
  <c r="T36" i="24" s="1"/>
  <c r="U36" i="24" s="1"/>
  <c r="V36" i="24" s="1"/>
  <c r="Y36" i="24"/>
  <c r="Z36" i="24"/>
  <c r="AA36" i="24" s="1"/>
  <c r="AB36" i="24" s="1"/>
  <c r="AC36" i="24" s="1"/>
  <c r="AJ36" i="24"/>
  <c r="E37" i="24"/>
  <c r="Q37" i="24"/>
  <c r="AH38" i="24"/>
  <c r="E39" i="24"/>
  <c r="F39" i="24"/>
  <c r="G39" i="24"/>
  <c r="H39" i="24"/>
  <c r="N39" i="24"/>
  <c r="T39" i="24"/>
  <c r="X39" i="24"/>
  <c r="Y39" i="24"/>
  <c r="Z39" i="24"/>
  <c r="AA39" i="24"/>
  <c r="AB39" i="24"/>
  <c r="AC39" i="24"/>
  <c r="AF39" i="24"/>
  <c r="AG39" i="24"/>
  <c r="AI39" i="24"/>
  <c r="C40" i="24"/>
  <c r="D40" i="24"/>
  <c r="E40" i="24"/>
  <c r="X40" i="24"/>
  <c r="Y40" i="24"/>
  <c r="Z40" i="24"/>
  <c r="AA40" i="24"/>
  <c r="AB40" i="24"/>
  <c r="AC40" i="24"/>
  <c r="AE40" i="24"/>
  <c r="AH40" i="24"/>
  <c r="D41" i="24"/>
  <c r="E41" i="24"/>
  <c r="F41" i="24"/>
  <c r="AJ41" i="24" s="1"/>
  <c r="K41" i="24"/>
  <c r="L41" i="24"/>
  <c r="Q41" i="24"/>
  <c r="Q52" i="24" s="1"/>
  <c r="W41" i="24"/>
  <c r="X41" i="24"/>
  <c r="G42" i="24"/>
  <c r="AE42" i="24" s="1"/>
  <c r="M42" i="24"/>
  <c r="M41" i="24" s="1"/>
  <c r="N42" i="24"/>
  <c r="R42" i="24"/>
  <c r="S42" i="24" s="1"/>
  <c r="Y42" i="24"/>
  <c r="Y41" i="24" s="1"/>
  <c r="AJ42" i="24"/>
  <c r="G43" i="24"/>
  <c r="H43" i="24" s="1"/>
  <c r="M43" i="24"/>
  <c r="N43" i="24"/>
  <c r="O43" i="24"/>
  <c r="P43" i="24" s="1"/>
  <c r="R43" i="24"/>
  <c r="S43" i="24" s="1"/>
  <c r="Y43" i="24"/>
  <c r="Z43" i="24"/>
  <c r="AA43" i="24" s="1"/>
  <c r="AB43" i="24" s="1"/>
  <c r="AC43" i="24" s="1"/>
  <c r="AE43" i="24"/>
  <c r="AJ43" i="24"/>
  <c r="G44" i="24"/>
  <c r="M44" i="24"/>
  <c r="N44" i="24"/>
  <c r="O44" i="24" s="1"/>
  <c r="P44" i="24" s="1"/>
  <c r="R44" i="24"/>
  <c r="S44" i="24"/>
  <c r="T44" i="24" s="1"/>
  <c r="U44" i="24" s="1"/>
  <c r="V44" i="24" s="1"/>
  <c r="Y44" i="24"/>
  <c r="Z44" i="24" s="1"/>
  <c r="AA44" i="24" s="1"/>
  <c r="AB44" i="24" s="1"/>
  <c r="AC44" i="24" s="1"/>
  <c r="AJ44" i="24"/>
  <c r="G45" i="24"/>
  <c r="AE45" i="24" s="1"/>
  <c r="M45" i="24"/>
  <c r="N45" i="24" s="1"/>
  <c r="O45" i="24"/>
  <c r="P45" i="24"/>
  <c r="S45" i="24"/>
  <c r="T45" i="24"/>
  <c r="U45" i="24" s="1"/>
  <c r="V45" i="24" s="1"/>
  <c r="Y45" i="24"/>
  <c r="Z45" i="24" s="1"/>
  <c r="AA45" i="24" s="1"/>
  <c r="AB45" i="24" s="1"/>
  <c r="AC45" i="24"/>
  <c r="AJ45" i="24"/>
  <c r="G46" i="24"/>
  <c r="H46" i="24" s="1"/>
  <c r="M46" i="24"/>
  <c r="N46" i="24"/>
  <c r="O46" i="24" s="1"/>
  <c r="P46" i="24" s="1"/>
  <c r="S46" i="24"/>
  <c r="T46" i="24"/>
  <c r="U46" i="24" s="1"/>
  <c r="V46" i="24" s="1"/>
  <c r="Y46" i="24"/>
  <c r="Z46" i="24"/>
  <c r="AA46" i="24" s="1"/>
  <c r="AB46" i="24" s="1"/>
  <c r="AC46" i="24" s="1"/>
  <c r="AE46" i="24"/>
  <c r="AJ46" i="24"/>
  <c r="D47" i="24"/>
  <c r="E47" i="24"/>
  <c r="F47" i="24"/>
  <c r="F52" i="24" s="1"/>
  <c r="K47" i="24"/>
  <c r="L47" i="24"/>
  <c r="Q47" i="24"/>
  <c r="W47" i="24"/>
  <c r="W52" i="24"/>
  <c r="X47" i="24"/>
  <c r="AF47" i="24"/>
  <c r="G48" i="24"/>
  <c r="G47" i="24" s="1"/>
  <c r="H48" i="24"/>
  <c r="H47" i="24" s="1"/>
  <c r="K7" i="39" s="1"/>
  <c r="M48" i="24"/>
  <c r="M47" i="24" s="1"/>
  <c r="N48" i="24"/>
  <c r="R48" i="24"/>
  <c r="R47" i="24" s="1"/>
  <c r="S48" i="24"/>
  <c r="T48" i="24" s="1"/>
  <c r="Y48" i="24"/>
  <c r="Z48" i="24" s="1"/>
  <c r="AE48" i="24"/>
  <c r="AF48" i="24"/>
  <c r="AJ48" i="24"/>
  <c r="G49" i="24"/>
  <c r="AE49" i="24" s="1"/>
  <c r="H49" i="24"/>
  <c r="AF49" i="24" s="1"/>
  <c r="I49" i="24"/>
  <c r="M49" i="24"/>
  <c r="N49" i="24" s="1"/>
  <c r="O49" i="24" s="1"/>
  <c r="P49" i="24" s="1"/>
  <c r="S49" i="24"/>
  <c r="T49" i="24" s="1"/>
  <c r="U49" i="24" s="1"/>
  <c r="V49" i="24" s="1"/>
  <c r="Y49" i="24"/>
  <c r="Z49" i="24" s="1"/>
  <c r="AA49" i="24" s="1"/>
  <c r="AB49" i="24" s="1"/>
  <c r="AC49" i="24" s="1"/>
  <c r="AJ49" i="24"/>
  <c r="G50" i="24"/>
  <c r="H50" i="24"/>
  <c r="I50" i="24"/>
  <c r="J50" i="24" s="1"/>
  <c r="AH50" i="24" s="1"/>
  <c r="M50" i="24"/>
  <c r="N50" i="24" s="1"/>
  <c r="S50" i="24"/>
  <c r="Y50" i="24"/>
  <c r="Z50" i="24" s="1"/>
  <c r="AA50" i="24" s="1"/>
  <c r="AB50" i="24" s="1"/>
  <c r="AC50" i="24" s="1"/>
  <c r="AE50" i="24"/>
  <c r="AF50" i="24"/>
  <c r="AJ50" i="24"/>
  <c r="G51" i="24"/>
  <c r="H51" i="24"/>
  <c r="I51" i="24"/>
  <c r="M51" i="24"/>
  <c r="N51" i="24" s="1"/>
  <c r="O51" i="24" s="1"/>
  <c r="P51" i="24" s="1"/>
  <c r="S51" i="24"/>
  <c r="T51" i="24"/>
  <c r="U51" i="24"/>
  <c r="V51" i="24" s="1"/>
  <c r="Y51" i="24"/>
  <c r="Z51" i="24" s="1"/>
  <c r="AA51" i="24" s="1"/>
  <c r="AB51" i="24" s="1"/>
  <c r="AC51" i="24" s="1"/>
  <c r="AE51" i="24"/>
  <c r="AF51" i="24"/>
  <c r="AJ51" i="24"/>
  <c r="D52" i="24"/>
  <c r="E52" i="24"/>
  <c r="K52" i="24"/>
  <c r="L52" i="24"/>
  <c r="L60" i="24" s="1"/>
  <c r="X52" i="24"/>
  <c r="AE53" i="24"/>
  <c r="AF53" i="24"/>
  <c r="AG53" i="24"/>
  <c r="AH53" i="24"/>
  <c r="AI53" i="24"/>
  <c r="AJ53" i="24"/>
  <c r="C54" i="24"/>
  <c r="G54" i="24"/>
  <c r="H54" i="24"/>
  <c r="M54" i="24"/>
  <c r="N54" i="24"/>
  <c r="O54" i="24"/>
  <c r="P54" i="24"/>
  <c r="Q54" i="24" s="1"/>
  <c r="R54" i="24"/>
  <c r="S54" i="24" s="1"/>
  <c r="T54" i="24" s="1"/>
  <c r="U54" i="24" s="1"/>
  <c r="V54" i="24" s="1"/>
  <c r="W54" i="24" s="1"/>
  <c r="Y54" i="24"/>
  <c r="Z54" i="24" s="1"/>
  <c r="AA54" i="24" s="1"/>
  <c r="AB54" i="24" s="1"/>
  <c r="AC54" i="24" s="1"/>
  <c r="AE54" i="24"/>
  <c r="AJ54" i="24"/>
  <c r="V55" i="24"/>
  <c r="Y55" i="24"/>
  <c r="Z55" i="24" s="1"/>
  <c r="AA55" i="24" s="1"/>
  <c r="AB55" i="24" s="1"/>
  <c r="AE55" i="24"/>
  <c r="AF55" i="24"/>
  <c r="AG55" i="24"/>
  <c r="AH55" i="24"/>
  <c r="AJ55" i="24"/>
  <c r="V56" i="24"/>
  <c r="Y56" i="24"/>
  <c r="Z56" i="24" s="1"/>
  <c r="AA56" i="24" s="1"/>
  <c r="AB56" i="24" s="1"/>
  <c r="AE56" i="24"/>
  <c r="AJ56" i="24"/>
  <c r="D57" i="24"/>
  <c r="E57" i="24"/>
  <c r="G58" i="24"/>
  <c r="H58" i="24" s="1"/>
  <c r="I58" i="24" s="1"/>
  <c r="J58" i="24" s="1"/>
  <c r="K58" i="24" s="1"/>
  <c r="E60" i="24"/>
  <c r="K4" i="23"/>
  <c r="K4" i="26"/>
  <c r="K39" i="26" s="1"/>
  <c r="M4" i="23"/>
  <c r="M4" i="38" s="1"/>
  <c r="M39" i="38" s="1"/>
  <c r="O4" i="23"/>
  <c r="O4" i="38"/>
  <c r="O39" i="38" s="1"/>
  <c r="P4" i="23"/>
  <c r="P4" i="32" s="1"/>
  <c r="P39" i="32" s="1"/>
  <c r="Q4" i="23"/>
  <c r="Q4" i="27"/>
  <c r="Q39" i="27"/>
  <c r="S4" i="23"/>
  <c r="U4" i="23"/>
  <c r="U4" i="66"/>
  <c r="U39" i="66" s="1"/>
  <c r="V4" i="23"/>
  <c r="V4" i="26"/>
  <c r="V39" i="26"/>
  <c r="D5" i="23"/>
  <c r="E5" i="23"/>
  <c r="F5" i="23"/>
  <c r="F5" i="26" s="1"/>
  <c r="F40" i="26" s="1"/>
  <c r="G5" i="23"/>
  <c r="H5" i="23"/>
  <c r="I5" i="23"/>
  <c r="J5" i="23"/>
  <c r="K5" i="23"/>
  <c r="L5" i="23"/>
  <c r="M5" i="23"/>
  <c r="N5" i="23"/>
  <c r="O5" i="23"/>
  <c r="P5" i="23"/>
  <c r="Q5" i="23"/>
  <c r="R5" i="23"/>
  <c r="S5" i="23"/>
  <c r="S5" i="24" s="1"/>
  <c r="S40" i="24" s="1"/>
  <c r="T5" i="23"/>
  <c r="U5" i="23"/>
  <c r="V5" i="23"/>
  <c r="V5" i="24" s="1"/>
  <c r="V40" i="24" s="1"/>
  <c r="W5" i="23"/>
  <c r="AI5" i="23"/>
  <c r="AJ5" i="23"/>
  <c r="D8" i="23"/>
  <c r="AJ8" i="23" s="1"/>
  <c r="E8" i="23"/>
  <c r="F8" i="23"/>
  <c r="P39" i="55" s="1"/>
  <c r="K8" i="23"/>
  <c r="L8" i="23"/>
  <c r="Q8" i="23"/>
  <c r="X8" i="23"/>
  <c r="G9" i="23"/>
  <c r="G8" i="23" s="1"/>
  <c r="M9" i="23"/>
  <c r="N9" i="23"/>
  <c r="S9" i="23"/>
  <c r="T9" i="23"/>
  <c r="U9" i="23" s="1"/>
  <c r="V9" i="23" s="1"/>
  <c r="Y9" i="23"/>
  <c r="Z9" i="23" s="1"/>
  <c r="AE9" i="23"/>
  <c r="AJ9" i="23"/>
  <c r="G10" i="23"/>
  <c r="H10" i="23"/>
  <c r="I10" i="23" s="1"/>
  <c r="J10" i="23" s="1"/>
  <c r="M10" i="23"/>
  <c r="R10" i="23"/>
  <c r="S10" i="23" s="1"/>
  <c r="T10" i="23" s="1"/>
  <c r="U10" i="23" s="1"/>
  <c r="Y10" i="23"/>
  <c r="Z10" i="23"/>
  <c r="AA10" i="23" s="1"/>
  <c r="AB10" i="23" s="1"/>
  <c r="AC10" i="23" s="1"/>
  <c r="AE10" i="23"/>
  <c r="AF10" i="23"/>
  <c r="AG10" i="23"/>
  <c r="AI10" i="23"/>
  <c r="AJ10" i="23"/>
  <c r="G11" i="23"/>
  <c r="H11" i="23"/>
  <c r="I11" i="23" s="1"/>
  <c r="J11" i="23" s="1"/>
  <c r="AH11" i="23" s="1"/>
  <c r="M11" i="23"/>
  <c r="N11" i="23" s="1"/>
  <c r="O11" i="23" s="1"/>
  <c r="P11" i="23" s="1"/>
  <c r="R11" i="23"/>
  <c r="S11" i="23" s="1"/>
  <c r="T11" i="23" s="1"/>
  <c r="U11" i="23" s="1"/>
  <c r="V11" i="23" s="1"/>
  <c r="Y11" i="23"/>
  <c r="Z11" i="23" s="1"/>
  <c r="AA11" i="23" s="1"/>
  <c r="AB11" i="23" s="1"/>
  <c r="AC11" i="23" s="1"/>
  <c r="AE11" i="23"/>
  <c r="AF11" i="23"/>
  <c r="AJ11" i="23"/>
  <c r="G12" i="23"/>
  <c r="H12" i="23"/>
  <c r="I12" i="23" s="1"/>
  <c r="M12" i="23"/>
  <c r="N12" i="23"/>
  <c r="O12" i="23" s="1"/>
  <c r="P12" i="23" s="1"/>
  <c r="S12" i="23"/>
  <c r="T12" i="23"/>
  <c r="U12" i="23" s="1"/>
  <c r="V12" i="23" s="1"/>
  <c r="Y12" i="23"/>
  <c r="Z12" i="23"/>
  <c r="AA12" i="23" s="1"/>
  <c r="AE12" i="23"/>
  <c r="AJ12" i="23"/>
  <c r="G13" i="23"/>
  <c r="H13" i="23"/>
  <c r="M13" i="23"/>
  <c r="N13" i="23"/>
  <c r="O13" i="23" s="1"/>
  <c r="P13" i="23" s="1"/>
  <c r="S13" i="23"/>
  <c r="T13" i="23"/>
  <c r="U13" i="23" s="1"/>
  <c r="V13" i="23" s="1"/>
  <c r="Y13" i="23"/>
  <c r="Z13" i="23"/>
  <c r="AA13" i="23" s="1"/>
  <c r="AB13" i="23" s="1"/>
  <c r="AC13" i="23" s="1"/>
  <c r="AE13" i="23"/>
  <c r="AJ13" i="23"/>
  <c r="G14" i="23"/>
  <c r="H14" i="23"/>
  <c r="I14" i="23" s="1"/>
  <c r="AG14" i="23" s="1"/>
  <c r="M14" i="23"/>
  <c r="N14" i="23"/>
  <c r="O14" i="23" s="1"/>
  <c r="P14" i="23" s="1"/>
  <c r="R14" i="23"/>
  <c r="S14" i="23"/>
  <c r="T14" i="23" s="1"/>
  <c r="U14" i="23" s="1"/>
  <c r="V14" i="23" s="1"/>
  <c r="Y14" i="23"/>
  <c r="Z14" i="23" s="1"/>
  <c r="AA14" i="23" s="1"/>
  <c r="AB14" i="23" s="1"/>
  <c r="AC14" i="23" s="1"/>
  <c r="AE14" i="23"/>
  <c r="AF14" i="23"/>
  <c r="AI14" i="23"/>
  <c r="AJ14" i="23"/>
  <c r="G15" i="23"/>
  <c r="H15" i="23" s="1"/>
  <c r="M15" i="23"/>
  <c r="N15" i="23" s="1"/>
  <c r="O15" i="23" s="1"/>
  <c r="P15" i="23" s="1"/>
  <c r="S15" i="23"/>
  <c r="T15" i="23" s="1"/>
  <c r="U15" i="23" s="1"/>
  <c r="V15" i="23" s="1"/>
  <c r="Y15" i="23"/>
  <c r="Z15" i="23" s="1"/>
  <c r="AA15" i="23" s="1"/>
  <c r="AB15" i="23" s="1"/>
  <c r="AC15" i="23" s="1"/>
  <c r="AJ15" i="23"/>
  <c r="G16" i="23"/>
  <c r="H16" i="23" s="1"/>
  <c r="M16" i="23"/>
  <c r="N16" i="23" s="1"/>
  <c r="O16" i="23"/>
  <c r="P16" i="23" s="1"/>
  <c r="R16" i="23"/>
  <c r="S16" i="23" s="1"/>
  <c r="T16" i="23" s="1"/>
  <c r="U16" i="23" s="1"/>
  <c r="V16" i="23" s="1"/>
  <c r="Y16" i="23"/>
  <c r="Z16" i="23" s="1"/>
  <c r="AA16" i="23"/>
  <c r="AB16" i="23" s="1"/>
  <c r="AC16" i="23" s="1"/>
  <c r="AJ16" i="23"/>
  <c r="G17" i="23"/>
  <c r="M17" i="23"/>
  <c r="N17" i="23" s="1"/>
  <c r="O17" i="23" s="1"/>
  <c r="P17" i="23" s="1"/>
  <c r="S17" i="23"/>
  <c r="T17" i="23" s="1"/>
  <c r="U17" i="23" s="1"/>
  <c r="V17" i="23" s="1"/>
  <c r="Y17" i="23"/>
  <c r="Z17" i="23" s="1"/>
  <c r="AA17" i="23" s="1"/>
  <c r="AB17" i="23" s="1"/>
  <c r="AC17" i="23" s="1"/>
  <c r="AJ17" i="23"/>
  <c r="H18" i="23"/>
  <c r="I18" i="23" s="1"/>
  <c r="AG18" i="23" s="1"/>
  <c r="J18" i="23"/>
  <c r="AH18" i="23" s="1"/>
  <c r="N18" i="23"/>
  <c r="O18" i="23"/>
  <c r="P18" i="23" s="1"/>
  <c r="S18" i="23"/>
  <c r="T18" i="23" s="1"/>
  <c r="U18" i="23" s="1"/>
  <c r="V18" i="23" s="1"/>
  <c r="Y18" i="23"/>
  <c r="Z18" i="23" s="1"/>
  <c r="AA18" i="23" s="1"/>
  <c r="AB18" i="23" s="1"/>
  <c r="AC18" i="23" s="1"/>
  <c r="AE18" i="23"/>
  <c r="AF18" i="23"/>
  <c r="AJ18" i="23"/>
  <c r="G19" i="23"/>
  <c r="AE19" i="23" s="1"/>
  <c r="M19" i="23"/>
  <c r="N19" i="23"/>
  <c r="O19" i="23" s="1"/>
  <c r="P19" i="23"/>
  <c r="S19" i="23"/>
  <c r="T19" i="23"/>
  <c r="U19" i="23" s="1"/>
  <c r="V19" i="23" s="1"/>
  <c r="Y19" i="23"/>
  <c r="Z19" i="23" s="1"/>
  <c r="AA19" i="23" s="1"/>
  <c r="AB19" i="23" s="1"/>
  <c r="AC19" i="23"/>
  <c r="AJ19" i="23"/>
  <c r="D20" i="23"/>
  <c r="E20" i="23"/>
  <c r="E32" i="23" s="1"/>
  <c r="F20" i="23"/>
  <c r="P40" i="55" s="1"/>
  <c r="G20" i="23"/>
  <c r="K20" i="23"/>
  <c r="W20" i="23" s="1"/>
  <c r="L20" i="23"/>
  <c r="M20" i="23"/>
  <c r="Q20" i="23"/>
  <c r="R20" i="23"/>
  <c r="S20" i="23"/>
  <c r="X20" i="23"/>
  <c r="AE20" i="23"/>
  <c r="AJ20" i="23"/>
  <c r="G21" i="23"/>
  <c r="H21" i="23"/>
  <c r="H20" i="23" s="1"/>
  <c r="AF20" i="23" s="1"/>
  <c r="M21" i="23"/>
  <c r="N21" i="23"/>
  <c r="S21" i="23"/>
  <c r="T21" i="23"/>
  <c r="T20" i="23" s="1"/>
  <c r="Y21" i="23"/>
  <c r="Y20" i="23" s="1"/>
  <c r="Z21" i="23"/>
  <c r="AA21" i="23" s="1"/>
  <c r="AE21" i="23"/>
  <c r="AJ21" i="23"/>
  <c r="G22" i="23"/>
  <c r="H22" i="23"/>
  <c r="I22" i="23" s="1"/>
  <c r="M22" i="23"/>
  <c r="N22" i="23"/>
  <c r="O22" i="23" s="1"/>
  <c r="P22" i="23" s="1"/>
  <c r="S22" i="23"/>
  <c r="T22" i="23"/>
  <c r="U22" i="23" s="1"/>
  <c r="V22" i="23" s="1"/>
  <c r="Y22" i="23"/>
  <c r="Z22" i="23"/>
  <c r="AA22" i="23" s="1"/>
  <c r="AB22" i="23" s="1"/>
  <c r="AC22" i="23" s="1"/>
  <c r="AE22" i="23"/>
  <c r="AJ22" i="23"/>
  <c r="D23" i="23"/>
  <c r="E23" i="23"/>
  <c r="F23" i="23"/>
  <c r="P36" i="55" s="1"/>
  <c r="L23" i="23"/>
  <c r="Q23" i="23"/>
  <c r="W23" i="23"/>
  <c r="X23" i="23"/>
  <c r="Y23" i="23"/>
  <c r="AJ23" i="23"/>
  <c r="G24" i="23"/>
  <c r="H24" i="23" s="1"/>
  <c r="K24" i="23"/>
  <c r="K23" i="23" s="1"/>
  <c r="M24" i="23"/>
  <c r="M23" i="23" s="1"/>
  <c r="N24" i="23"/>
  <c r="S24" i="23"/>
  <c r="T24" i="23"/>
  <c r="U24" i="23" s="1"/>
  <c r="Y24" i="23"/>
  <c r="Z24" i="23"/>
  <c r="AJ24" i="23"/>
  <c r="G25" i="23"/>
  <c r="H25" i="23"/>
  <c r="I25" i="23" s="1"/>
  <c r="J25" i="23" s="1"/>
  <c r="AH25" i="23" s="1"/>
  <c r="M25" i="23"/>
  <c r="N25" i="23" s="1"/>
  <c r="O25" i="23" s="1"/>
  <c r="P25" i="23" s="1"/>
  <c r="R25" i="23"/>
  <c r="S25" i="23" s="1"/>
  <c r="T25" i="23" s="1"/>
  <c r="Y25" i="23"/>
  <c r="Z25" i="23"/>
  <c r="AA25" i="23" s="1"/>
  <c r="AB25" i="23" s="1"/>
  <c r="AC25" i="23" s="1"/>
  <c r="AE25" i="23"/>
  <c r="AJ25" i="23"/>
  <c r="G26" i="23"/>
  <c r="L26" i="23"/>
  <c r="M26" i="23" s="1"/>
  <c r="N26" i="23" s="1"/>
  <c r="O26" i="23" s="1"/>
  <c r="P26" i="23"/>
  <c r="S26" i="23"/>
  <c r="T26" i="23"/>
  <c r="U26" i="23" s="1"/>
  <c r="V26" i="23" s="1"/>
  <c r="Y26" i="23"/>
  <c r="Z26" i="23"/>
  <c r="AA26" i="23" s="1"/>
  <c r="AB26" i="23"/>
  <c r="AC26" i="23" s="1"/>
  <c r="AJ26" i="23"/>
  <c r="F27" i="23"/>
  <c r="P37" i="55" s="1"/>
  <c r="Q37" i="55" s="1"/>
  <c r="G27" i="23"/>
  <c r="R27" i="23"/>
  <c r="S27" i="23" s="1"/>
  <c r="T27" i="23" s="1"/>
  <c r="U27" i="23" s="1"/>
  <c r="V27" i="23" s="1"/>
  <c r="AJ27" i="23"/>
  <c r="G28" i="23"/>
  <c r="H28" i="23"/>
  <c r="AF28" i="23" s="1"/>
  <c r="I28" i="23"/>
  <c r="L28" i="23"/>
  <c r="M28" i="23" s="1"/>
  <c r="N28" i="23" s="1"/>
  <c r="O28" i="23" s="1"/>
  <c r="P28" i="23" s="1"/>
  <c r="Y28" i="23"/>
  <c r="Z28" i="23"/>
  <c r="AA28" i="23" s="1"/>
  <c r="AB28" i="23" s="1"/>
  <c r="AC28" i="23" s="1"/>
  <c r="AE28" i="23"/>
  <c r="AJ28" i="23"/>
  <c r="G29" i="23"/>
  <c r="H29" i="23"/>
  <c r="I29" i="23" s="1"/>
  <c r="M29" i="23"/>
  <c r="N29" i="23"/>
  <c r="O29" i="23"/>
  <c r="P29" i="23"/>
  <c r="S29" i="23"/>
  <c r="T29" i="23"/>
  <c r="U29" i="23" s="1"/>
  <c r="V29" i="23" s="1"/>
  <c r="Y29" i="23"/>
  <c r="Z29" i="23"/>
  <c r="AA29" i="23"/>
  <c r="AB29" i="23"/>
  <c r="AC29" i="23" s="1"/>
  <c r="AE29" i="23"/>
  <c r="AJ29" i="23"/>
  <c r="G30" i="23"/>
  <c r="H30" i="23"/>
  <c r="M30" i="23"/>
  <c r="N30" i="23"/>
  <c r="O30" i="23" s="1"/>
  <c r="P30" i="23" s="1"/>
  <c r="U30" i="23"/>
  <c r="V30" i="23"/>
  <c r="Y30" i="23"/>
  <c r="Z30" i="23"/>
  <c r="AA30" i="23" s="1"/>
  <c r="AB30" i="23" s="1"/>
  <c r="AC30" i="23" s="1"/>
  <c r="AE30" i="23"/>
  <c r="AJ30" i="23"/>
  <c r="G31" i="23"/>
  <c r="H31" i="23"/>
  <c r="I31" i="23"/>
  <c r="AG31" i="23" s="1"/>
  <c r="J31" i="23"/>
  <c r="AH31" i="23" s="1"/>
  <c r="M31" i="23"/>
  <c r="N31" i="23"/>
  <c r="O31" i="23" s="1"/>
  <c r="P31" i="23" s="1"/>
  <c r="R31" i="23"/>
  <c r="S31" i="23"/>
  <c r="T31" i="23"/>
  <c r="U31" i="23"/>
  <c r="V31" i="23" s="1"/>
  <c r="Y31" i="23"/>
  <c r="Z31" i="23" s="1"/>
  <c r="AA31" i="23" s="1"/>
  <c r="AB31" i="23" s="1"/>
  <c r="AC31" i="23" s="1"/>
  <c r="AE31" i="23"/>
  <c r="AF31" i="23"/>
  <c r="AJ31" i="23"/>
  <c r="D32" i="23"/>
  <c r="AJ32" i="23" s="1"/>
  <c r="F32" i="23"/>
  <c r="L32" i="23"/>
  <c r="Q32" i="23"/>
  <c r="X32" i="23"/>
  <c r="E33" i="23"/>
  <c r="F33" i="23"/>
  <c r="H33" i="23"/>
  <c r="K33" i="23"/>
  <c r="L33" i="23"/>
  <c r="Q33" i="23"/>
  <c r="W33" i="23"/>
  <c r="X33" i="23"/>
  <c r="G34" i="23"/>
  <c r="H34" i="23" s="1"/>
  <c r="M34" i="23"/>
  <c r="R34" i="23"/>
  <c r="R33" i="23" s="1"/>
  <c r="Y34" i="23"/>
  <c r="Z34" i="23"/>
  <c r="AA34" i="23" s="1"/>
  <c r="AJ34" i="23"/>
  <c r="G35" i="23"/>
  <c r="H35" i="23" s="1"/>
  <c r="M35" i="23"/>
  <c r="N35" i="23" s="1"/>
  <c r="O35" i="23" s="1"/>
  <c r="P35" i="23" s="1"/>
  <c r="S35" i="23"/>
  <c r="T35" i="23" s="1"/>
  <c r="U35" i="23" s="1"/>
  <c r="V35" i="23" s="1"/>
  <c r="Y35" i="23"/>
  <c r="Z35" i="23" s="1"/>
  <c r="AA35" i="23" s="1"/>
  <c r="AB35" i="23" s="1"/>
  <c r="AC35" i="23" s="1"/>
  <c r="AJ35" i="23"/>
  <c r="D36" i="23"/>
  <c r="D33" i="23" s="1"/>
  <c r="G36" i="23"/>
  <c r="H36" i="23"/>
  <c r="AF36" i="23" s="1"/>
  <c r="M36" i="23"/>
  <c r="N36" i="23"/>
  <c r="O36" i="23" s="1"/>
  <c r="P36" i="23" s="1"/>
  <c r="R36" i="23"/>
  <c r="S36" i="23" s="1"/>
  <c r="T36" i="23" s="1"/>
  <c r="U36" i="23" s="1"/>
  <c r="V36" i="23" s="1"/>
  <c r="Y36" i="23"/>
  <c r="Z36" i="23"/>
  <c r="AA36" i="23" s="1"/>
  <c r="AB36" i="23" s="1"/>
  <c r="AC36" i="23" s="1"/>
  <c r="AE36" i="23"/>
  <c r="AJ36" i="23"/>
  <c r="F37" i="23"/>
  <c r="P44" i="55" s="1"/>
  <c r="L37" i="23"/>
  <c r="Q37" i="23"/>
  <c r="X37" i="23"/>
  <c r="AH38" i="23"/>
  <c r="E39" i="23"/>
  <c r="F39" i="23"/>
  <c r="G39" i="23"/>
  <c r="H39" i="23"/>
  <c r="K39" i="23"/>
  <c r="N39" i="23"/>
  <c r="P39" i="23"/>
  <c r="T39" i="23"/>
  <c r="V39" i="23"/>
  <c r="X39" i="23"/>
  <c r="Y39" i="23"/>
  <c r="Z39" i="23"/>
  <c r="AA39" i="23"/>
  <c r="AB39" i="23"/>
  <c r="AC39" i="23"/>
  <c r="AF39" i="23"/>
  <c r="AG39" i="23"/>
  <c r="AI39" i="23"/>
  <c r="C40" i="23"/>
  <c r="D40" i="23"/>
  <c r="E40" i="23"/>
  <c r="F40" i="23"/>
  <c r="G40" i="23"/>
  <c r="H40" i="23"/>
  <c r="I40" i="23"/>
  <c r="J40" i="23"/>
  <c r="L40" i="23"/>
  <c r="M40" i="23"/>
  <c r="N40" i="23"/>
  <c r="O40" i="23"/>
  <c r="P40" i="23"/>
  <c r="R40" i="23"/>
  <c r="S40" i="23"/>
  <c r="T40" i="23"/>
  <c r="U40" i="23"/>
  <c r="V40" i="23"/>
  <c r="W40" i="23"/>
  <c r="X40" i="23"/>
  <c r="Y40" i="23"/>
  <c r="Z40" i="23"/>
  <c r="AA40" i="23"/>
  <c r="AB40" i="23"/>
  <c r="AC40" i="23"/>
  <c r="AE40" i="23"/>
  <c r="AH40" i="23"/>
  <c r="AI40" i="23"/>
  <c r="AJ40" i="23"/>
  <c r="E41" i="23"/>
  <c r="F41" i="23"/>
  <c r="K41" i="23"/>
  <c r="L41" i="23"/>
  <c r="Q41" i="23"/>
  <c r="W41" i="23"/>
  <c r="X41" i="23"/>
  <c r="D42" i="23"/>
  <c r="D41" i="23" s="1"/>
  <c r="D52" i="23" s="1"/>
  <c r="G42" i="23"/>
  <c r="M42" i="23"/>
  <c r="N42" i="23"/>
  <c r="O42" i="23"/>
  <c r="R42" i="23"/>
  <c r="S42" i="23"/>
  <c r="Y42" i="23"/>
  <c r="Z42" i="23" s="1"/>
  <c r="AA42" i="23"/>
  <c r="AE42" i="23"/>
  <c r="AJ42" i="23"/>
  <c r="D43" i="23"/>
  <c r="G43" i="23"/>
  <c r="H43" i="23"/>
  <c r="I43" i="23" s="1"/>
  <c r="J43" i="23" s="1"/>
  <c r="M43" i="23"/>
  <c r="N43" i="23" s="1"/>
  <c r="O43" i="23" s="1"/>
  <c r="P43" i="23" s="1"/>
  <c r="R43" i="23"/>
  <c r="S43" i="23"/>
  <c r="T43" i="23"/>
  <c r="U43" i="23" s="1"/>
  <c r="V43" i="23" s="1"/>
  <c r="Y43" i="23"/>
  <c r="Y41" i="23" s="1"/>
  <c r="Z43" i="23"/>
  <c r="AA43" i="23" s="1"/>
  <c r="AB43" i="23"/>
  <c r="AC43" i="23" s="1"/>
  <c r="AE43" i="23"/>
  <c r="AF43" i="23"/>
  <c r="AJ43" i="23"/>
  <c r="D44" i="23"/>
  <c r="G44" i="23"/>
  <c r="M44" i="23"/>
  <c r="N44" i="23" s="1"/>
  <c r="O44" i="23" s="1"/>
  <c r="P44" i="23" s="1"/>
  <c r="R44" i="23"/>
  <c r="Y44" i="23"/>
  <c r="Z44" i="23" s="1"/>
  <c r="AA44" i="23" s="1"/>
  <c r="AB44" i="23" s="1"/>
  <c r="AC44" i="23" s="1"/>
  <c r="AJ44" i="23"/>
  <c r="G45" i="23"/>
  <c r="H45" i="23" s="1"/>
  <c r="I45" i="23" s="1"/>
  <c r="M45" i="23"/>
  <c r="N45" i="23"/>
  <c r="O45" i="23" s="1"/>
  <c r="P45" i="23" s="1"/>
  <c r="S45" i="23"/>
  <c r="T45" i="23" s="1"/>
  <c r="U45" i="23" s="1"/>
  <c r="V45" i="23" s="1"/>
  <c r="Y45" i="23"/>
  <c r="Z45" i="23"/>
  <c r="AA45" i="23" s="1"/>
  <c r="AB45" i="23" s="1"/>
  <c r="AC45" i="23" s="1"/>
  <c r="AE45" i="23"/>
  <c r="AJ45" i="23"/>
  <c r="G46" i="23"/>
  <c r="H46" i="23" s="1"/>
  <c r="M46" i="23"/>
  <c r="S46" i="23"/>
  <c r="T46" i="23" s="1"/>
  <c r="U46" i="23" s="1"/>
  <c r="V46" i="23" s="1"/>
  <c r="Y46" i="23"/>
  <c r="Z46" i="23" s="1"/>
  <c r="AA46" i="23" s="1"/>
  <c r="AB46" i="23" s="1"/>
  <c r="AC46" i="23" s="1"/>
  <c r="AJ46" i="23"/>
  <c r="D47" i="23"/>
  <c r="AJ47" i="23" s="1"/>
  <c r="E47" i="23"/>
  <c r="F47" i="23"/>
  <c r="I5" i="39" s="1"/>
  <c r="I4" i="39" s="1"/>
  <c r="K47" i="23"/>
  <c r="L47" i="23"/>
  <c r="Q47" i="23"/>
  <c r="W47" i="23"/>
  <c r="X47" i="23"/>
  <c r="G48" i="23"/>
  <c r="G47" i="23" s="1"/>
  <c r="H48" i="23"/>
  <c r="M48" i="23"/>
  <c r="M47" i="23" s="1"/>
  <c r="R48" i="23"/>
  <c r="R47" i="23" s="1"/>
  <c r="S48" i="23"/>
  <c r="Y48" i="23"/>
  <c r="Z48" i="23" s="1"/>
  <c r="AA48" i="23" s="1"/>
  <c r="AE48" i="23"/>
  <c r="AJ48" i="23"/>
  <c r="G49" i="23"/>
  <c r="H49" i="23" s="1"/>
  <c r="M49" i="23"/>
  <c r="N49" i="23"/>
  <c r="O49" i="23"/>
  <c r="P49" i="23" s="1"/>
  <c r="R49" i="23"/>
  <c r="S49" i="23" s="1"/>
  <c r="T49" i="23" s="1"/>
  <c r="U49" i="23" s="1"/>
  <c r="V49" i="23" s="1"/>
  <c r="Y49" i="23"/>
  <c r="Z49" i="23" s="1"/>
  <c r="AA49" i="23" s="1"/>
  <c r="AB49" i="23" s="1"/>
  <c r="AC49" i="23" s="1"/>
  <c r="AE49" i="23"/>
  <c r="AJ49" i="23"/>
  <c r="G50" i="23"/>
  <c r="H50" i="23" s="1"/>
  <c r="M50" i="23"/>
  <c r="N50" i="23"/>
  <c r="O50" i="23" s="1"/>
  <c r="P50" i="23" s="1"/>
  <c r="R50" i="23"/>
  <c r="S50" i="23"/>
  <c r="T50" i="23" s="1"/>
  <c r="U50" i="23"/>
  <c r="V50" i="23" s="1"/>
  <c r="Y50" i="23"/>
  <c r="Z50" i="23" s="1"/>
  <c r="AA50" i="23" s="1"/>
  <c r="AB50" i="23" s="1"/>
  <c r="AC50" i="23"/>
  <c r="AE50" i="23"/>
  <c r="AJ50" i="23"/>
  <c r="G51" i="23"/>
  <c r="H51" i="23" s="1"/>
  <c r="AF51" i="23" s="1"/>
  <c r="I51" i="23"/>
  <c r="J51" i="23" s="1"/>
  <c r="AH51" i="23" s="1"/>
  <c r="L51" i="23"/>
  <c r="M51" i="23" s="1"/>
  <c r="N51" i="23" s="1"/>
  <c r="O51" i="23" s="1"/>
  <c r="P51" i="23" s="1"/>
  <c r="S51" i="23"/>
  <c r="T51" i="23"/>
  <c r="U51" i="23" s="1"/>
  <c r="V51" i="23" s="1"/>
  <c r="Y51" i="23"/>
  <c r="Z51" i="23"/>
  <c r="AA51" i="23" s="1"/>
  <c r="AB51" i="23" s="1"/>
  <c r="AC51" i="23" s="1"/>
  <c r="AE51" i="23"/>
  <c r="AG51" i="23"/>
  <c r="AJ51" i="23"/>
  <c r="E52" i="23"/>
  <c r="K52" i="23"/>
  <c r="L52" i="23"/>
  <c r="Q52" i="23"/>
  <c r="Q60" i="23" s="1"/>
  <c r="X52" i="23"/>
  <c r="AE53" i="23"/>
  <c r="AF53" i="23"/>
  <c r="AG53" i="23"/>
  <c r="AH53" i="23"/>
  <c r="AI53" i="23"/>
  <c r="AJ53" i="23"/>
  <c r="C54" i="23"/>
  <c r="G54" i="23"/>
  <c r="H54" i="23" s="1"/>
  <c r="M54" i="23"/>
  <c r="N54" i="23" s="1"/>
  <c r="O54" i="23" s="1"/>
  <c r="P54" i="23" s="1"/>
  <c r="Q54" i="23" s="1"/>
  <c r="R54" i="23"/>
  <c r="S54" i="23" s="1"/>
  <c r="T54" i="23" s="1"/>
  <c r="U54" i="23" s="1"/>
  <c r="V54" i="23" s="1"/>
  <c r="W54" i="23" s="1"/>
  <c r="Y54" i="23"/>
  <c r="Z54" i="23"/>
  <c r="AA54" i="23" s="1"/>
  <c r="AB54" i="23" s="1"/>
  <c r="AC54" i="23" s="1"/>
  <c r="AE54" i="23"/>
  <c r="AJ54" i="23"/>
  <c r="V55" i="23"/>
  <c r="Y55" i="23"/>
  <c r="Z55" i="23"/>
  <c r="AA55" i="23" s="1"/>
  <c r="AB55" i="23" s="1"/>
  <c r="AE55" i="23"/>
  <c r="AF55" i="23"/>
  <c r="AG55" i="23"/>
  <c r="AH55" i="23"/>
  <c r="AI55" i="23"/>
  <c r="AJ55" i="23"/>
  <c r="V56" i="23"/>
  <c r="Y56" i="23"/>
  <c r="Z56" i="23" s="1"/>
  <c r="AA56" i="23" s="1"/>
  <c r="AB56" i="23" s="1"/>
  <c r="AE56" i="23"/>
  <c r="AI56" i="23"/>
  <c r="AJ56" i="23"/>
  <c r="E57" i="23"/>
  <c r="G58" i="23"/>
  <c r="H58" i="23" s="1"/>
  <c r="E60" i="23"/>
  <c r="L60" i="23"/>
  <c r="X60" i="23"/>
  <c r="I4" i="22"/>
  <c r="J4" i="22"/>
  <c r="K4" i="22"/>
  <c r="L4" i="22"/>
  <c r="M4" i="22"/>
  <c r="N4" i="22"/>
  <c r="O4" i="22"/>
  <c r="P4" i="22"/>
  <c r="Q4" i="22"/>
  <c r="I7" i="22"/>
  <c r="K7" i="22"/>
  <c r="L7" i="22"/>
  <c r="M7" i="22"/>
  <c r="S7" i="22" s="1"/>
  <c r="N7" i="22"/>
  <c r="Q7" i="22" s="1"/>
  <c r="R7" i="22"/>
  <c r="L8" i="22"/>
  <c r="I9" i="22"/>
  <c r="K9" i="22"/>
  <c r="I10" i="22"/>
  <c r="K10" i="22"/>
  <c r="L10" i="22"/>
  <c r="R10" i="22" s="1"/>
  <c r="M10" i="22"/>
  <c r="I11" i="22"/>
  <c r="K11" i="22"/>
  <c r="L11" i="22" s="1"/>
  <c r="M11" i="22" s="1"/>
  <c r="R11" i="22"/>
  <c r="I12" i="22"/>
  <c r="K12" i="22"/>
  <c r="L12" i="22"/>
  <c r="R12" i="22" s="1"/>
  <c r="M12" i="22"/>
  <c r="I13" i="22"/>
  <c r="J13" i="22"/>
  <c r="J26" i="22" s="1"/>
  <c r="P13" i="22"/>
  <c r="L14" i="22"/>
  <c r="M14" i="22"/>
  <c r="R14" i="22"/>
  <c r="I15" i="22"/>
  <c r="I22" i="22" s="1"/>
  <c r="I26" i="22" s="1"/>
  <c r="K15" i="22"/>
  <c r="L15" i="22"/>
  <c r="I16" i="22"/>
  <c r="K16" i="22"/>
  <c r="L16" i="22" s="1"/>
  <c r="M16" i="22" s="1"/>
  <c r="S16" i="22" s="1"/>
  <c r="R16" i="22"/>
  <c r="I17" i="22"/>
  <c r="K17" i="22"/>
  <c r="L17" i="22" s="1"/>
  <c r="R17" i="22" s="1"/>
  <c r="M17" i="22"/>
  <c r="I18" i="22"/>
  <c r="K18" i="22"/>
  <c r="L18" i="22" s="1"/>
  <c r="M18" i="22" s="1"/>
  <c r="I19" i="22"/>
  <c r="K19" i="22"/>
  <c r="I20" i="22"/>
  <c r="L20" i="22"/>
  <c r="M20" i="22" s="1"/>
  <c r="N20" i="22" s="1"/>
  <c r="Q20" i="22" s="1"/>
  <c r="I21" i="22"/>
  <c r="J21" i="22"/>
  <c r="K21" i="22"/>
  <c r="P21" i="22"/>
  <c r="J22" i="22"/>
  <c r="P22" i="22"/>
  <c r="L23" i="22"/>
  <c r="L24" i="22"/>
  <c r="R24" i="22" s="1"/>
  <c r="M24" i="22"/>
  <c r="N24" i="22" s="1"/>
  <c r="S24" i="22"/>
  <c r="I25" i="22"/>
  <c r="K25" i="22"/>
  <c r="P25" i="22"/>
  <c r="L27" i="22"/>
  <c r="M27" i="22" s="1"/>
  <c r="S27" i="22" s="1"/>
  <c r="R27" i="22"/>
  <c r="L28" i="22"/>
  <c r="M28" i="22"/>
  <c r="R28" i="22"/>
  <c r="I29" i="22"/>
  <c r="K29" i="22"/>
  <c r="L29" i="22"/>
  <c r="I30" i="22"/>
  <c r="K30" i="22"/>
  <c r="L30" i="22"/>
  <c r="M30" i="22" s="1"/>
  <c r="S30" i="22" s="1"/>
  <c r="N30" i="22"/>
  <c r="R30" i="22"/>
  <c r="J31" i="22"/>
  <c r="J36" i="22" s="1"/>
  <c r="K31" i="22"/>
  <c r="L31" i="22"/>
  <c r="P31" i="22"/>
  <c r="R31" i="22"/>
  <c r="L32" i="22"/>
  <c r="R32" i="22" s="1"/>
  <c r="M32" i="22"/>
  <c r="N32" i="22" s="1"/>
  <c r="O32" i="22"/>
  <c r="U32" i="22" s="1"/>
  <c r="S32" i="22"/>
  <c r="L33" i="22"/>
  <c r="M33" i="22" s="1"/>
  <c r="S33" i="22" s="1"/>
  <c r="N33" i="22"/>
  <c r="R33" i="22"/>
  <c r="I34" i="22"/>
  <c r="K34" i="22"/>
  <c r="P34" i="22"/>
  <c r="L35" i="22"/>
  <c r="M35" i="22" s="1"/>
  <c r="R35" i="22"/>
  <c r="P36" i="22"/>
  <c r="I37" i="22"/>
  <c r="K37" i="22"/>
  <c r="L37" i="22" s="1"/>
  <c r="L38" i="22"/>
  <c r="M38" i="22"/>
  <c r="R38" i="22"/>
  <c r="I39" i="22"/>
  <c r="I41" i="22" s="1"/>
  <c r="J39" i="22"/>
  <c r="K39" i="22"/>
  <c r="P39" i="22"/>
  <c r="L40" i="22"/>
  <c r="M40" i="22" s="1"/>
  <c r="S40" i="22" s="1"/>
  <c r="N40" i="22"/>
  <c r="R40" i="22"/>
  <c r="J41" i="22"/>
  <c r="P41" i="22"/>
  <c r="P42" i="22"/>
  <c r="K43" i="22"/>
  <c r="K45" i="22" s="1"/>
  <c r="L43" i="22"/>
  <c r="M43" i="22" s="1"/>
  <c r="S43" i="22" s="1"/>
  <c r="L44" i="22"/>
  <c r="M44" i="22" s="1"/>
  <c r="S44" i="22" s="1"/>
  <c r="N44" i="22"/>
  <c r="R44" i="22"/>
  <c r="I45" i="22"/>
  <c r="J45" i="22"/>
  <c r="L45" i="22"/>
  <c r="R45" i="22" s="1"/>
  <c r="P45" i="22"/>
  <c r="I46" i="22"/>
  <c r="K46" i="22"/>
  <c r="L46" i="22" s="1"/>
  <c r="M46" i="22" s="1"/>
  <c r="L47" i="22"/>
  <c r="I48" i="22"/>
  <c r="J48" i="22"/>
  <c r="K48" i="22"/>
  <c r="P48" i="22"/>
  <c r="I49" i="22"/>
  <c r="K49" i="22"/>
  <c r="K51" i="22" s="1"/>
  <c r="L49" i="22"/>
  <c r="L50" i="22"/>
  <c r="I51" i="22"/>
  <c r="J51" i="22"/>
  <c r="P51" i="22"/>
  <c r="I52" i="22"/>
  <c r="J52" i="22"/>
  <c r="L53" i="22"/>
  <c r="M53" i="22"/>
  <c r="R53" i="22"/>
  <c r="L54" i="22"/>
  <c r="I55" i="22"/>
  <c r="K55" i="22"/>
  <c r="P55" i="22"/>
  <c r="L56" i="22"/>
  <c r="M56" i="22"/>
  <c r="N56" i="22" s="1"/>
  <c r="R56" i="22"/>
  <c r="S56" i="22"/>
  <c r="L57" i="22"/>
  <c r="M57" i="22" s="1"/>
  <c r="N57" i="22"/>
  <c r="R57" i="22"/>
  <c r="L58" i="22"/>
  <c r="M58" i="22"/>
  <c r="R58" i="22"/>
  <c r="I59" i="22"/>
  <c r="K59" i="22"/>
  <c r="L59" i="22"/>
  <c r="R59" i="22" s="1"/>
  <c r="P59" i="22"/>
  <c r="I60" i="22"/>
  <c r="K60" i="22"/>
  <c r="L60" i="22"/>
  <c r="M60" i="22" s="1"/>
  <c r="S60" i="22" s="1"/>
  <c r="R60" i="22"/>
  <c r="I61" i="22"/>
  <c r="I48" i="21" s="1"/>
  <c r="L61" i="22"/>
  <c r="M61" i="22"/>
  <c r="R61" i="22"/>
  <c r="I62" i="22"/>
  <c r="K62" i="22"/>
  <c r="L62" i="22" s="1"/>
  <c r="M62" i="22" s="1"/>
  <c r="R62" i="22"/>
  <c r="I63" i="22"/>
  <c r="K63" i="22"/>
  <c r="I64" i="22"/>
  <c r="I65" i="22" s="1"/>
  <c r="K64" i="22"/>
  <c r="L64" i="22"/>
  <c r="M64" i="22" s="1"/>
  <c r="P64" i="22"/>
  <c r="R64" i="22"/>
  <c r="J65" i="22"/>
  <c r="J66" i="22" s="1"/>
  <c r="L67" i="22"/>
  <c r="R67" i="22" s="1"/>
  <c r="M67" i="22"/>
  <c r="N67" i="22" s="1"/>
  <c r="S67" i="22"/>
  <c r="I68" i="22"/>
  <c r="L68" i="22"/>
  <c r="M68" i="22"/>
  <c r="S68" i="22" s="1"/>
  <c r="R68" i="22"/>
  <c r="L69" i="22"/>
  <c r="M69" i="22"/>
  <c r="R69" i="22"/>
  <c r="I70" i="22"/>
  <c r="I83" i="22" s="1"/>
  <c r="L70" i="22"/>
  <c r="M70" i="22"/>
  <c r="R70" i="22"/>
  <c r="I71" i="22"/>
  <c r="K71" i="22"/>
  <c r="L71" i="22" s="1"/>
  <c r="R71" i="22"/>
  <c r="L72" i="22"/>
  <c r="M72" i="22"/>
  <c r="R72" i="22"/>
  <c r="L73" i="22"/>
  <c r="L74" i="22"/>
  <c r="M74" i="22"/>
  <c r="N74" i="22" s="1"/>
  <c r="L75" i="22"/>
  <c r="M75" i="22"/>
  <c r="R75" i="22"/>
  <c r="I76" i="22"/>
  <c r="K76" i="22"/>
  <c r="L76" i="22"/>
  <c r="K77" i="22"/>
  <c r="L77" i="22"/>
  <c r="M77" i="22" s="1"/>
  <c r="N77" i="22" s="1"/>
  <c r="Q77" i="22"/>
  <c r="S77" i="22"/>
  <c r="I78" i="22"/>
  <c r="K78" i="22"/>
  <c r="L78" i="22"/>
  <c r="P78" i="22"/>
  <c r="AC44" i="18" s="1"/>
  <c r="I79" i="22"/>
  <c r="K79" i="22"/>
  <c r="K83" i="22" s="1"/>
  <c r="K80" i="22"/>
  <c r="L80" i="22"/>
  <c r="K81" i="22"/>
  <c r="L81" i="22" s="1"/>
  <c r="M81" i="22" s="1"/>
  <c r="R81" i="22"/>
  <c r="I82" i="22"/>
  <c r="K82" i="22"/>
  <c r="L82" i="22" s="1"/>
  <c r="R82" i="22" s="1"/>
  <c r="M82" i="22"/>
  <c r="J83" i="22"/>
  <c r="J84" i="22" s="1"/>
  <c r="P83" i="22"/>
  <c r="I86" i="22"/>
  <c r="L86" i="22"/>
  <c r="M86" i="22" s="1"/>
  <c r="S86" i="22" s="1"/>
  <c r="I87" i="22"/>
  <c r="K87" i="22"/>
  <c r="L87" i="22"/>
  <c r="I88" i="22"/>
  <c r="J88" i="22"/>
  <c r="K88" i="22"/>
  <c r="K90" i="22" s="1"/>
  <c r="P88" i="22"/>
  <c r="I89" i="22"/>
  <c r="I58" i="21" s="1"/>
  <c r="I59" i="21" s="1"/>
  <c r="K89" i="22"/>
  <c r="L89" i="22"/>
  <c r="J90" i="22"/>
  <c r="J92" i="22" s="1"/>
  <c r="P90" i="22"/>
  <c r="I91" i="22"/>
  <c r="K91" i="22"/>
  <c r="L91" i="22" s="1"/>
  <c r="M91" i="22" s="1"/>
  <c r="R91" i="22"/>
  <c r="L93" i="22"/>
  <c r="R93" i="22" s="1"/>
  <c r="M93" i="22"/>
  <c r="S93" i="22"/>
  <c r="I94" i="22"/>
  <c r="I95" i="22" s="1"/>
  <c r="K94" i="22"/>
  <c r="L94" i="22"/>
  <c r="M94" i="22" s="1"/>
  <c r="N94" i="22"/>
  <c r="R94" i="22"/>
  <c r="J95" i="22"/>
  <c r="K95" i="22"/>
  <c r="L95" i="22"/>
  <c r="R95" i="22" s="1"/>
  <c r="P95" i="22"/>
  <c r="I96" i="22"/>
  <c r="K96" i="22"/>
  <c r="L96" i="22"/>
  <c r="M96" i="22" s="1"/>
  <c r="N96" i="22"/>
  <c r="Q96" i="22" s="1"/>
  <c r="R96" i="22"/>
  <c r="L97" i="22"/>
  <c r="L98" i="22"/>
  <c r="M98" i="22"/>
  <c r="R98" i="22"/>
  <c r="I99" i="22"/>
  <c r="J99" i="22"/>
  <c r="K99" i="22"/>
  <c r="P99" i="22"/>
  <c r="L100" i="22"/>
  <c r="L101" i="22"/>
  <c r="M101" i="22"/>
  <c r="R101" i="22"/>
  <c r="I102" i="22"/>
  <c r="K102" i="22"/>
  <c r="P102" i="22"/>
  <c r="L103" i="22"/>
  <c r="M103" i="22" s="1"/>
  <c r="S103" i="22" s="1"/>
  <c r="R103" i="22"/>
  <c r="I104" i="22"/>
  <c r="K104" i="22"/>
  <c r="I105" i="22"/>
  <c r="I107" i="22" s="1"/>
  <c r="L105" i="22"/>
  <c r="M105" i="22"/>
  <c r="N105" i="22" s="1"/>
  <c r="O105" i="22"/>
  <c r="U105" i="22" s="1"/>
  <c r="R105" i="22"/>
  <c r="T105" i="22"/>
  <c r="I106" i="22"/>
  <c r="K106" i="22"/>
  <c r="L106" i="22" s="1"/>
  <c r="R106" i="22" s="1"/>
  <c r="P106" i="22"/>
  <c r="J107" i="22"/>
  <c r="P107" i="22"/>
  <c r="I108" i="22"/>
  <c r="K108" i="22"/>
  <c r="L109" i="22"/>
  <c r="M109" i="22" s="1"/>
  <c r="S109" i="22" s="1"/>
  <c r="R109" i="22"/>
  <c r="L110" i="22"/>
  <c r="R110" i="22" s="1"/>
  <c r="M110" i="22"/>
  <c r="N110" i="22" s="1"/>
  <c r="O110" i="22" s="1"/>
  <c r="S110" i="22"/>
  <c r="L111" i="22"/>
  <c r="M111" i="22" s="1"/>
  <c r="S111" i="22" s="1"/>
  <c r="N111" i="22"/>
  <c r="O111" i="22" s="1"/>
  <c r="U111" i="22" s="1"/>
  <c r="R111" i="22"/>
  <c r="T111" i="22"/>
  <c r="L112" i="22"/>
  <c r="M112" i="22"/>
  <c r="N112" i="22" s="1"/>
  <c r="O112" i="22" s="1"/>
  <c r="O78" i="21" s="1"/>
  <c r="U78" i="21" s="1"/>
  <c r="R112" i="22"/>
  <c r="S112" i="22"/>
  <c r="S139" i="22" s="1"/>
  <c r="L113" i="22"/>
  <c r="L114" i="22"/>
  <c r="M114" i="22"/>
  <c r="N114" i="22" s="1"/>
  <c r="O114" i="22"/>
  <c r="R114" i="22"/>
  <c r="L115" i="22"/>
  <c r="M115" i="22" s="1"/>
  <c r="S115" i="22" s="1"/>
  <c r="L116" i="22"/>
  <c r="R116" i="22" s="1"/>
  <c r="M116" i="22"/>
  <c r="N116" i="22" s="1"/>
  <c r="O116" i="22" s="1"/>
  <c r="S116" i="22"/>
  <c r="L117" i="22"/>
  <c r="M117" i="22" s="1"/>
  <c r="S117" i="22" s="1"/>
  <c r="N117" i="22"/>
  <c r="O117" i="22" s="1"/>
  <c r="U117" i="22" s="1"/>
  <c r="R117" i="22"/>
  <c r="T117" i="22"/>
  <c r="L118" i="22"/>
  <c r="R118" i="22" s="1"/>
  <c r="M118" i="22"/>
  <c r="N118" i="22" s="1"/>
  <c r="O118" i="22" s="1"/>
  <c r="I119" i="22"/>
  <c r="K119" i="22"/>
  <c r="L119" i="22"/>
  <c r="M119" i="22" s="1"/>
  <c r="S119" i="22" s="1"/>
  <c r="I120" i="22"/>
  <c r="K120" i="22"/>
  <c r="I121" i="22"/>
  <c r="I122" i="22" s="1"/>
  <c r="K121" i="22"/>
  <c r="L121" i="22" s="1"/>
  <c r="M121" i="22" s="1"/>
  <c r="J122" i="22"/>
  <c r="J123" i="22" s="1"/>
  <c r="P122" i="22"/>
  <c r="P123" i="22"/>
  <c r="J124" i="22"/>
  <c r="J126" i="22"/>
  <c r="V128" i="22"/>
  <c r="L129" i="22"/>
  <c r="R129" i="22" s="1"/>
  <c r="M129" i="22"/>
  <c r="N129" i="22"/>
  <c r="L130" i="22"/>
  <c r="M130" i="22"/>
  <c r="S130" i="22" s="1"/>
  <c r="N130" i="22"/>
  <c r="O130" i="22" s="1"/>
  <c r="U130" i="22" s="1"/>
  <c r="R130" i="22"/>
  <c r="L131" i="22"/>
  <c r="R131" i="22" s="1"/>
  <c r="M131" i="22"/>
  <c r="S131" i="22" s="1"/>
  <c r="N131" i="22"/>
  <c r="L132" i="22"/>
  <c r="I133" i="22"/>
  <c r="J133" i="22"/>
  <c r="K133" i="22"/>
  <c r="I134" i="22"/>
  <c r="I136" i="22" s="1"/>
  <c r="D48" i="18" s="1"/>
  <c r="D47" i="18" s="1"/>
  <c r="J134" i="22"/>
  <c r="K134" i="22"/>
  <c r="L134" i="22"/>
  <c r="M134" i="22" s="1"/>
  <c r="R134" i="22"/>
  <c r="S134" i="22"/>
  <c r="I135" i="22"/>
  <c r="K135" i="22"/>
  <c r="L135" i="22"/>
  <c r="R135" i="22" s="1"/>
  <c r="M135" i="22"/>
  <c r="S135" i="22" s="1"/>
  <c r="N135" i="22"/>
  <c r="J136" i="22"/>
  <c r="K136" i="22"/>
  <c r="I4" i="21"/>
  <c r="J4" i="21"/>
  <c r="K4" i="21"/>
  <c r="L4" i="21"/>
  <c r="M4" i="21"/>
  <c r="N4" i="21"/>
  <c r="O4" i="21"/>
  <c r="P4" i="21"/>
  <c r="Q4" i="21"/>
  <c r="R4" i="21"/>
  <c r="S4" i="21"/>
  <c r="T4" i="21"/>
  <c r="A5" i="21"/>
  <c r="B5" i="21"/>
  <c r="C5" i="21"/>
  <c r="D5" i="21"/>
  <c r="E5" i="21"/>
  <c r="F5" i="21"/>
  <c r="G5" i="21"/>
  <c r="H5" i="21"/>
  <c r="J5" i="21"/>
  <c r="M5" i="21"/>
  <c r="I7" i="21"/>
  <c r="J7" i="21"/>
  <c r="K7" i="21"/>
  <c r="K13" i="21" s="1"/>
  <c r="L7" i="21"/>
  <c r="M7" i="21"/>
  <c r="T7" i="21" s="1"/>
  <c r="N7" i="21"/>
  <c r="P7" i="21"/>
  <c r="Q7" i="21" s="1"/>
  <c r="I8" i="21"/>
  <c r="J8" i="21"/>
  <c r="K8" i="21"/>
  <c r="R8" i="21" s="1"/>
  <c r="L8" i="21"/>
  <c r="P8" i="21"/>
  <c r="P13" i="21" s="1"/>
  <c r="I9" i="21"/>
  <c r="J9" i="21"/>
  <c r="K9" i="21"/>
  <c r="P9" i="21"/>
  <c r="I10" i="21"/>
  <c r="J10" i="21"/>
  <c r="K10" i="21"/>
  <c r="L10" i="21"/>
  <c r="M10" i="21"/>
  <c r="S10" i="21" s="1"/>
  <c r="P10" i="21"/>
  <c r="R10" i="21"/>
  <c r="I11" i="21"/>
  <c r="I13" i="21" s="1"/>
  <c r="J11" i="21"/>
  <c r="K11" i="21"/>
  <c r="L11" i="21"/>
  <c r="M11" i="21"/>
  <c r="S11" i="21" s="1"/>
  <c r="P11" i="21"/>
  <c r="R11" i="21"/>
  <c r="I12" i="21"/>
  <c r="J12" i="21"/>
  <c r="K12" i="21"/>
  <c r="L12" i="21"/>
  <c r="R12" i="21" s="1"/>
  <c r="M12" i="21"/>
  <c r="P12" i="21"/>
  <c r="I14" i="21"/>
  <c r="J14" i="21"/>
  <c r="J20" i="21" s="1"/>
  <c r="K14" i="21"/>
  <c r="L14" i="21"/>
  <c r="P14" i="21"/>
  <c r="I15" i="21"/>
  <c r="J15" i="21"/>
  <c r="K15" i="21"/>
  <c r="L15" i="21"/>
  <c r="P15" i="21"/>
  <c r="R15" i="21"/>
  <c r="I16" i="21"/>
  <c r="J16" i="21"/>
  <c r="K16" i="21"/>
  <c r="L16" i="21"/>
  <c r="M16" i="21"/>
  <c r="P16" i="21"/>
  <c r="P20" i="21" s="1"/>
  <c r="R16" i="21"/>
  <c r="S16" i="21"/>
  <c r="I17" i="21"/>
  <c r="J17" i="21"/>
  <c r="K17" i="21"/>
  <c r="L17" i="21"/>
  <c r="R17" i="21" s="1"/>
  <c r="M17" i="21"/>
  <c r="S17" i="21" s="1"/>
  <c r="P17" i="21"/>
  <c r="I18" i="21"/>
  <c r="J18" i="21"/>
  <c r="K18" i="21"/>
  <c r="L18" i="21"/>
  <c r="R18" i="21" s="1"/>
  <c r="M18" i="21"/>
  <c r="P18" i="21"/>
  <c r="I19" i="21"/>
  <c r="J19" i="21"/>
  <c r="K19" i="21"/>
  <c r="P19" i="21"/>
  <c r="I21" i="21"/>
  <c r="J21" i="21"/>
  <c r="J23" i="21" s="1"/>
  <c r="K21" i="21"/>
  <c r="L21" i="21"/>
  <c r="P21" i="21"/>
  <c r="R21" i="21"/>
  <c r="I22" i="21"/>
  <c r="J22" i="21"/>
  <c r="K22" i="21"/>
  <c r="L22" i="21"/>
  <c r="L23" i="21" s="1"/>
  <c r="M22" i="21"/>
  <c r="S22" i="21" s="1"/>
  <c r="N22" i="21"/>
  <c r="T22" i="21" s="1"/>
  <c r="P22" i="21"/>
  <c r="I23" i="21"/>
  <c r="K23" i="21"/>
  <c r="P23" i="21"/>
  <c r="R23" i="21"/>
  <c r="I25" i="21"/>
  <c r="J25" i="21"/>
  <c r="K25" i="21"/>
  <c r="L25" i="21"/>
  <c r="S25" i="21" s="1"/>
  <c r="M25" i="21"/>
  <c r="P25" i="21"/>
  <c r="R25" i="21"/>
  <c r="J26" i="21"/>
  <c r="K26" i="21"/>
  <c r="L26" i="21"/>
  <c r="R26" i="21" s="1"/>
  <c r="P26" i="21"/>
  <c r="I27" i="21"/>
  <c r="J27" i="21"/>
  <c r="K27" i="21"/>
  <c r="R27" i="21" s="1"/>
  <c r="L27" i="21"/>
  <c r="M27" i="21"/>
  <c r="N27" i="21"/>
  <c r="T27" i="21" s="1"/>
  <c r="O27" i="21"/>
  <c r="U27" i="21" s="1"/>
  <c r="P27" i="21"/>
  <c r="S27" i="21"/>
  <c r="I28" i="21"/>
  <c r="J28" i="21"/>
  <c r="K28" i="21"/>
  <c r="L28" i="21"/>
  <c r="M28" i="21"/>
  <c r="N28" i="21"/>
  <c r="P28" i="21"/>
  <c r="T28" i="21"/>
  <c r="I29" i="21"/>
  <c r="J29" i="21"/>
  <c r="K29" i="21"/>
  <c r="P29" i="21"/>
  <c r="I30" i="21"/>
  <c r="J30" i="21"/>
  <c r="K30" i="21"/>
  <c r="R30" i="21" s="1"/>
  <c r="L30" i="21"/>
  <c r="M30" i="21"/>
  <c r="P30" i="21"/>
  <c r="S30" i="21"/>
  <c r="I32" i="21"/>
  <c r="I34" i="21" s="1"/>
  <c r="J32" i="21"/>
  <c r="J34" i="21" s="1"/>
  <c r="P32" i="21"/>
  <c r="I33" i="21"/>
  <c r="J33" i="21"/>
  <c r="K33" i="21"/>
  <c r="L33" i="21"/>
  <c r="R33" i="21" s="1"/>
  <c r="M33" i="21"/>
  <c r="N33" i="21"/>
  <c r="P33" i="21"/>
  <c r="P34" i="21"/>
  <c r="I36" i="21"/>
  <c r="J36" i="21"/>
  <c r="K36" i="21"/>
  <c r="L36" i="21"/>
  <c r="P36" i="21"/>
  <c r="R36" i="21"/>
  <c r="I37" i="21"/>
  <c r="J37" i="21"/>
  <c r="K37" i="21"/>
  <c r="I38" i="21"/>
  <c r="J38" i="21"/>
  <c r="K38" i="21"/>
  <c r="P38" i="21"/>
  <c r="I39" i="21"/>
  <c r="K39" i="21"/>
  <c r="I40" i="21"/>
  <c r="J40" i="21"/>
  <c r="K40" i="21"/>
  <c r="L40" i="21"/>
  <c r="M40" i="21"/>
  <c r="P40" i="21"/>
  <c r="I41" i="21"/>
  <c r="I42" i="21" s="1"/>
  <c r="J41" i="21"/>
  <c r="K41" i="21"/>
  <c r="P41" i="21"/>
  <c r="P42" i="21" s="1"/>
  <c r="J42" i="21"/>
  <c r="K42" i="21"/>
  <c r="I43" i="21"/>
  <c r="J43" i="21"/>
  <c r="K43" i="21"/>
  <c r="R43" i="21" s="1"/>
  <c r="L43" i="21"/>
  <c r="M43" i="21"/>
  <c r="P43" i="21"/>
  <c r="S43" i="21"/>
  <c r="I44" i="21"/>
  <c r="J44" i="21"/>
  <c r="K44" i="21"/>
  <c r="K46" i="21" s="1"/>
  <c r="L44" i="21"/>
  <c r="M44" i="21"/>
  <c r="N44" i="21"/>
  <c r="P44" i="21"/>
  <c r="I45" i="21"/>
  <c r="I46" i="21" s="1"/>
  <c r="J45" i="21"/>
  <c r="K45" i="21"/>
  <c r="R45" i="21" s="1"/>
  <c r="L45" i="21"/>
  <c r="P45" i="21"/>
  <c r="P46" i="21" s="1"/>
  <c r="J46" i="21"/>
  <c r="L46" i="21"/>
  <c r="I47" i="21"/>
  <c r="J47" i="21"/>
  <c r="K47" i="21"/>
  <c r="R47" i="21" s="1"/>
  <c r="L47" i="21"/>
  <c r="M47" i="21"/>
  <c r="P47" i="21"/>
  <c r="S47" i="21"/>
  <c r="J48" i="21"/>
  <c r="J50" i="21" s="1"/>
  <c r="K48" i="21"/>
  <c r="L48" i="21"/>
  <c r="M48" i="21"/>
  <c r="P48" i="21"/>
  <c r="R48" i="21"/>
  <c r="S48" i="21"/>
  <c r="I49" i="21"/>
  <c r="J49" i="21"/>
  <c r="I50" i="21"/>
  <c r="I51" i="21"/>
  <c r="J51" i="21"/>
  <c r="K51" i="21"/>
  <c r="L51" i="21"/>
  <c r="M51" i="21"/>
  <c r="N51" i="21"/>
  <c r="P51" i="21"/>
  <c r="T51" i="21"/>
  <c r="I52" i="21"/>
  <c r="J52" i="21"/>
  <c r="K52" i="21"/>
  <c r="R52" i="21" s="1"/>
  <c r="L52" i="21"/>
  <c r="M52" i="21"/>
  <c r="P52" i="21"/>
  <c r="S52" i="21"/>
  <c r="I53" i="21"/>
  <c r="J53" i="21"/>
  <c r="K53" i="21"/>
  <c r="R53" i="21" s="1"/>
  <c r="L53" i="21"/>
  <c r="M53" i="21"/>
  <c r="P53" i="21"/>
  <c r="S53" i="21"/>
  <c r="J54" i="21"/>
  <c r="J55" i="21"/>
  <c r="I57" i="21"/>
  <c r="J57" i="21"/>
  <c r="K57" i="21"/>
  <c r="K59" i="21" s="1"/>
  <c r="K61" i="21" s="1"/>
  <c r="P57" i="21"/>
  <c r="J58" i="21"/>
  <c r="J59" i="21" s="1"/>
  <c r="K58" i="21"/>
  <c r="R58" i="21" s="1"/>
  <c r="L58" i="21"/>
  <c r="P58" i="21"/>
  <c r="I60" i="21"/>
  <c r="J60" i="21"/>
  <c r="K60" i="21"/>
  <c r="L60" i="21"/>
  <c r="M60" i="21"/>
  <c r="S60" i="21" s="1"/>
  <c r="P60" i="21"/>
  <c r="R60" i="21"/>
  <c r="I62" i="21"/>
  <c r="J62" i="21"/>
  <c r="K62" i="21"/>
  <c r="R62" i="21" s="1"/>
  <c r="L62" i="21"/>
  <c r="M62" i="21"/>
  <c r="P62" i="21"/>
  <c r="S62" i="21"/>
  <c r="I63" i="21"/>
  <c r="J63" i="21"/>
  <c r="J64" i="21" s="1"/>
  <c r="K63" i="21"/>
  <c r="K64" i="21" s="1"/>
  <c r="L63" i="21"/>
  <c r="P63" i="21"/>
  <c r="I64" i="21"/>
  <c r="P64" i="21"/>
  <c r="P88" i="21" s="1"/>
  <c r="I65" i="21"/>
  <c r="J65" i="21"/>
  <c r="K65" i="21"/>
  <c r="L65" i="21"/>
  <c r="M65" i="21"/>
  <c r="N65" i="21"/>
  <c r="Q65" i="21" s="1"/>
  <c r="P65" i="21"/>
  <c r="S65" i="21"/>
  <c r="T65" i="21"/>
  <c r="I66" i="21"/>
  <c r="J66" i="21"/>
  <c r="K66" i="21"/>
  <c r="L66" i="21"/>
  <c r="P66" i="21"/>
  <c r="R66" i="21"/>
  <c r="I67" i="21"/>
  <c r="I68" i="21" s="1"/>
  <c r="J67" i="21"/>
  <c r="J68" i="21" s="1"/>
  <c r="K67" i="21"/>
  <c r="R67" i="21" s="1"/>
  <c r="L67" i="21"/>
  <c r="M67" i="21"/>
  <c r="P67" i="21"/>
  <c r="S67" i="21"/>
  <c r="P68" i="21"/>
  <c r="I69" i="21"/>
  <c r="J69" i="21"/>
  <c r="K69" i="21"/>
  <c r="L69" i="21"/>
  <c r="P69" i="21"/>
  <c r="R69" i="21"/>
  <c r="I70" i="21"/>
  <c r="J70" i="21"/>
  <c r="K70" i="21"/>
  <c r="L70" i="21"/>
  <c r="L71" i="21" s="1"/>
  <c r="M70" i="21"/>
  <c r="S70" i="21" s="1"/>
  <c r="P70" i="21"/>
  <c r="R70" i="21"/>
  <c r="I71" i="21"/>
  <c r="J71" i="21"/>
  <c r="K71" i="21"/>
  <c r="P71" i="21"/>
  <c r="R71" i="21"/>
  <c r="I72" i="21"/>
  <c r="J72" i="21"/>
  <c r="K72" i="21"/>
  <c r="T72" i="21"/>
  <c r="U72" i="21"/>
  <c r="I73" i="21"/>
  <c r="J73" i="21"/>
  <c r="P73" i="21"/>
  <c r="I74" i="21"/>
  <c r="J74" i="21"/>
  <c r="P74" i="21"/>
  <c r="I75" i="21"/>
  <c r="J75" i="21"/>
  <c r="K75" i="21"/>
  <c r="L75" i="21"/>
  <c r="M75" i="21"/>
  <c r="S75" i="21" s="1"/>
  <c r="P75" i="21"/>
  <c r="R75" i="21"/>
  <c r="I76" i="21"/>
  <c r="J76" i="21"/>
  <c r="K76" i="21"/>
  <c r="L76" i="21"/>
  <c r="M76" i="21"/>
  <c r="T76" i="21" s="1"/>
  <c r="N76" i="21"/>
  <c r="P76" i="21"/>
  <c r="R76" i="21"/>
  <c r="S76" i="21"/>
  <c r="I77" i="21"/>
  <c r="J77" i="21"/>
  <c r="K77" i="21"/>
  <c r="L77" i="21"/>
  <c r="M77" i="21"/>
  <c r="S77" i="21" s="1"/>
  <c r="N77" i="21"/>
  <c r="O77" i="21"/>
  <c r="P77" i="21"/>
  <c r="R77" i="21"/>
  <c r="I78" i="21"/>
  <c r="J78" i="21"/>
  <c r="K78" i="21"/>
  <c r="L78" i="21"/>
  <c r="M78" i="21"/>
  <c r="T78" i="21" s="1"/>
  <c r="N78" i="21"/>
  <c r="P78" i="21"/>
  <c r="R78" i="21"/>
  <c r="S78" i="21"/>
  <c r="I79" i="21"/>
  <c r="J79" i="21"/>
  <c r="K79" i="21"/>
  <c r="P79" i="21"/>
  <c r="I80" i="21"/>
  <c r="J80" i="21"/>
  <c r="K80" i="21"/>
  <c r="L80" i="21"/>
  <c r="M80" i="21"/>
  <c r="T80" i="21" s="1"/>
  <c r="N80" i="21"/>
  <c r="P80" i="21"/>
  <c r="R80" i="21"/>
  <c r="S80" i="21"/>
  <c r="I81" i="21"/>
  <c r="J81" i="21"/>
  <c r="K81" i="21"/>
  <c r="L81" i="21"/>
  <c r="M81" i="21"/>
  <c r="S81" i="21" s="1"/>
  <c r="P81" i="21"/>
  <c r="R81" i="21"/>
  <c r="I82" i="21"/>
  <c r="J82" i="21"/>
  <c r="K82" i="21"/>
  <c r="L82" i="21"/>
  <c r="M82" i="21"/>
  <c r="T82" i="21" s="1"/>
  <c r="N82" i="21"/>
  <c r="P82" i="21"/>
  <c r="R82" i="21"/>
  <c r="S82" i="21"/>
  <c r="I83" i="21"/>
  <c r="J83" i="21"/>
  <c r="K83" i="21"/>
  <c r="L83" i="21"/>
  <c r="M83" i="21"/>
  <c r="S83" i="21" s="1"/>
  <c r="N83" i="21"/>
  <c r="O83" i="21"/>
  <c r="P83" i="21"/>
  <c r="R83" i="21"/>
  <c r="I84" i="21"/>
  <c r="J84" i="21"/>
  <c r="K84" i="21"/>
  <c r="L84" i="21"/>
  <c r="M84" i="21"/>
  <c r="T84" i="21" s="1"/>
  <c r="N84" i="21"/>
  <c r="P84" i="21"/>
  <c r="P87" i="21" s="1"/>
  <c r="R84" i="21"/>
  <c r="S84" i="21"/>
  <c r="J85" i="21"/>
  <c r="K85" i="21"/>
  <c r="L85" i="21"/>
  <c r="M85" i="21"/>
  <c r="S85" i="21" s="1"/>
  <c r="P85" i="21"/>
  <c r="R85" i="21"/>
  <c r="I86" i="21"/>
  <c r="J86" i="21"/>
  <c r="P86" i="21"/>
  <c r="R3" i="20"/>
  <c r="I4" i="20"/>
  <c r="J4" i="20"/>
  <c r="K4" i="20"/>
  <c r="L4" i="20"/>
  <c r="M4" i="20"/>
  <c r="M122" i="20" s="1"/>
  <c r="M159" i="20" s="1"/>
  <c r="N4" i="20"/>
  <c r="N122" i="20" s="1"/>
  <c r="N159" i="20" s="1"/>
  <c r="O4" i="20"/>
  <c r="P4" i="20"/>
  <c r="P122" i="20"/>
  <c r="P159" i="20" s="1"/>
  <c r="Q4" i="20"/>
  <c r="Q122" i="20"/>
  <c r="Q159" i="20"/>
  <c r="R4" i="20"/>
  <c r="S4" i="20"/>
  <c r="T4" i="20"/>
  <c r="I5" i="20"/>
  <c r="I5" i="21" s="1"/>
  <c r="K5" i="20"/>
  <c r="K5" i="21" s="1"/>
  <c r="L5" i="20"/>
  <c r="L5" i="21" s="1"/>
  <c r="M5" i="20"/>
  <c r="N5" i="20"/>
  <c r="N5" i="21" s="1"/>
  <c r="O5" i="20"/>
  <c r="O5" i="21" s="1"/>
  <c r="P5" i="20"/>
  <c r="P5" i="21" s="1"/>
  <c r="Q5" i="20"/>
  <c r="Q5" i="21" s="1"/>
  <c r="K7" i="20"/>
  <c r="L7" i="20" s="1"/>
  <c r="M7" i="20" s="1"/>
  <c r="K8" i="20"/>
  <c r="L8" i="20"/>
  <c r="R8" i="20" s="1"/>
  <c r="K9" i="20"/>
  <c r="L9" i="20" s="1"/>
  <c r="K10" i="20"/>
  <c r="L10" i="20"/>
  <c r="K11" i="20"/>
  <c r="L11" i="20"/>
  <c r="L12" i="20"/>
  <c r="M12" i="20"/>
  <c r="S12" i="20"/>
  <c r="I13" i="20"/>
  <c r="J13" i="20"/>
  <c r="P13" i="20"/>
  <c r="I14" i="20"/>
  <c r="L14" i="20"/>
  <c r="M14" i="20" s="1"/>
  <c r="R14" i="20"/>
  <c r="L15" i="20"/>
  <c r="M15" i="20"/>
  <c r="N15" i="20"/>
  <c r="O15" i="20"/>
  <c r="U15" i="20" s="1"/>
  <c r="R15" i="20"/>
  <c r="S15" i="20"/>
  <c r="L16" i="20"/>
  <c r="R16" i="20" s="1"/>
  <c r="M16" i="20"/>
  <c r="L17" i="20"/>
  <c r="M17" i="20"/>
  <c r="N17" i="20"/>
  <c r="V17" i="20" s="1"/>
  <c r="R17" i="20"/>
  <c r="S17" i="20"/>
  <c r="T17" i="20"/>
  <c r="L18" i="20"/>
  <c r="M18" i="20" s="1"/>
  <c r="R18" i="20"/>
  <c r="L19" i="20"/>
  <c r="M19" i="20"/>
  <c r="N19" i="20"/>
  <c r="O19" i="20"/>
  <c r="U19" i="20" s="1"/>
  <c r="R19" i="20"/>
  <c r="S19" i="20"/>
  <c r="L20" i="20"/>
  <c r="R20" i="20" s="1"/>
  <c r="L21" i="20"/>
  <c r="M21" i="20"/>
  <c r="N21" i="20"/>
  <c r="V21" i="20" s="1"/>
  <c r="R21" i="20"/>
  <c r="S21" i="20"/>
  <c r="T21" i="20"/>
  <c r="L22" i="20"/>
  <c r="M22" i="20" s="1"/>
  <c r="R22" i="20"/>
  <c r="L23" i="20"/>
  <c r="M23" i="20"/>
  <c r="N23" i="20"/>
  <c r="O23" i="20" s="1"/>
  <c r="U23" i="20" s="1"/>
  <c r="R23" i="20"/>
  <c r="S23" i="20"/>
  <c r="L24" i="20"/>
  <c r="R24" i="20" s="1"/>
  <c r="L25" i="20"/>
  <c r="M25" i="20"/>
  <c r="N25" i="20"/>
  <c r="V25" i="20" s="1"/>
  <c r="R25" i="20"/>
  <c r="S25" i="20"/>
  <c r="T25" i="20"/>
  <c r="L26" i="20"/>
  <c r="M26" i="20" s="1"/>
  <c r="R26" i="20"/>
  <c r="L27" i="20"/>
  <c r="M27" i="20"/>
  <c r="N27" i="20"/>
  <c r="R27" i="20"/>
  <c r="S27" i="20"/>
  <c r="L28" i="20"/>
  <c r="R28" i="20" s="1"/>
  <c r="M28" i="20"/>
  <c r="I29" i="20"/>
  <c r="L29" i="20"/>
  <c r="M29" i="20"/>
  <c r="N29" i="20" s="1"/>
  <c r="R29" i="20"/>
  <c r="S29" i="20"/>
  <c r="T29" i="20"/>
  <c r="K30" i="20"/>
  <c r="L30" i="20" s="1"/>
  <c r="L31" i="20"/>
  <c r="M31" i="20"/>
  <c r="S31" i="20" s="1"/>
  <c r="N31" i="20"/>
  <c r="R31" i="20"/>
  <c r="V31" i="20"/>
  <c r="K32" i="20"/>
  <c r="L32" i="20" s="1"/>
  <c r="M32" i="20" s="1"/>
  <c r="N32" i="20" s="1"/>
  <c r="P32" i="20"/>
  <c r="R32" i="20"/>
  <c r="S32" i="20"/>
  <c r="I33" i="20"/>
  <c r="L33" i="20"/>
  <c r="M33" i="20"/>
  <c r="S33" i="20" s="1"/>
  <c r="N33" i="20"/>
  <c r="O33" i="20" s="1"/>
  <c r="U33" i="20" s="1"/>
  <c r="P33" i="20"/>
  <c r="R33" i="20"/>
  <c r="V33" i="20"/>
  <c r="L34" i="20"/>
  <c r="I35" i="20"/>
  <c r="J35" i="20"/>
  <c r="L35" i="20"/>
  <c r="M35" i="20"/>
  <c r="N35" i="20"/>
  <c r="V35" i="20" s="1"/>
  <c r="O35" i="20"/>
  <c r="U35" i="20" s="1"/>
  <c r="Q35" i="20"/>
  <c r="R35" i="20"/>
  <c r="S35" i="20"/>
  <c r="T35" i="20"/>
  <c r="L36" i="20"/>
  <c r="L38" i="20" s="1"/>
  <c r="R38" i="20" s="1"/>
  <c r="M36" i="20"/>
  <c r="R36" i="20"/>
  <c r="L37" i="20"/>
  <c r="I38" i="20"/>
  <c r="J38" i="20"/>
  <c r="J46" i="20" s="1"/>
  <c r="J75" i="20" s="1"/>
  <c r="K38" i="20"/>
  <c r="P38" i="20"/>
  <c r="I39" i="20"/>
  <c r="L39" i="20"/>
  <c r="M39" i="20"/>
  <c r="N39" i="20"/>
  <c r="V39" i="20" s="1"/>
  <c r="R39" i="20"/>
  <c r="S39" i="20"/>
  <c r="T39" i="20"/>
  <c r="L40" i="20"/>
  <c r="M40" i="20" s="1"/>
  <c r="S40" i="20" s="1"/>
  <c r="R40" i="20"/>
  <c r="L41" i="20"/>
  <c r="M41" i="20"/>
  <c r="N41" i="20"/>
  <c r="T41" i="20" s="1"/>
  <c r="O41" i="20"/>
  <c r="U41" i="20" s="1"/>
  <c r="R41" i="20"/>
  <c r="S41" i="20"/>
  <c r="L42" i="20"/>
  <c r="M42" i="20"/>
  <c r="S42" i="20" s="1"/>
  <c r="N42" i="20"/>
  <c r="R42" i="20"/>
  <c r="I43" i="20"/>
  <c r="I45" i="20" s="1"/>
  <c r="I46" i="20" s="1"/>
  <c r="L43" i="20"/>
  <c r="R43" i="20" s="1"/>
  <c r="M43" i="20"/>
  <c r="P43" i="20"/>
  <c r="L44" i="20"/>
  <c r="M44" i="20"/>
  <c r="S44" i="20" s="1"/>
  <c r="P44" i="20"/>
  <c r="R44" i="20"/>
  <c r="J45" i="20"/>
  <c r="K45" i="20"/>
  <c r="L45" i="20"/>
  <c r="R45" i="20" s="1"/>
  <c r="L47" i="20"/>
  <c r="M47" i="20" s="1"/>
  <c r="L48" i="20"/>
  <c r="M48" i="20"/>
  <c r="N48" i="20"/>
  <c r="V48" i="20" s="1"/>
  <c r="R48" i="20"/>
  <c r="S48" i="20"/>
  <c r="T48" i="20"/>
  <c r="L49" i="20"/>
  <c r="M49" i="20" s="1"/>
  <c r="R49" i="20"/>
  <c r="L50" i="20"/>
  <c r="M50" i="20"/>
  <c r="N50" i="20"/>
  <c r="O50" i="20"/>
  <c r="U50" i="20" s="1"/>
  <c r="R50" i="20"/>
  <c r="S50" i="20"/>
  <c r="L51" i="20"/>
  <c r="R51" i="20" s="1"/>
  <c r="L52" i="20"/>
  <c r="M52" i="20"/>
  <c r="N52" i="20"/>
  <c r="V52" i="20" s="1"/>
  <c r="R52" i="20"/>
  <c r="S52" i="20"/>
  <c r="T52" i="20"/>
  <c r="L53" i="20"/>
  <c r="M53" i="20" s="1"/>
  <c r="R53" i="20"/>
  <c r="L54" i="20"/>
  <c r="M54" i="20"/>
  <c r="N54" i="20"/>
  <c r="O54" i="20" s="1"/>
  <c r="U54" i="20" s="1"/>
  <c r="R54" i="20"/>
  <c r="S54" i="20"/>
  <c r="L55" i="20"/>
  <c r="R55" i="20" s="1"/>
  <c r="L56" i="20"/>
  <c r="M56" i="20"/>
  <c r="N56" i="20"/>
  <c r="T56" i="20" s="1"/>
  <c r="R56" i="20"/>
  <c r="S56" i="20"/>
  <c r="L57" i="20"/>
  <c r="M57" i="20"/>
  <c r="N57" i="20"/>
  <c r="T57" i="20" s="1"/>
  <c r="O57" i="20"/>
  <c r="U57" i="20" s="1"/>
  <c r="R57" i="20"/>
  <c r="S57" i="20"/>
  <c r="I58" i="20"/>
  <c r="I74" i="20" s="1"/>
  <c r="I75" i="20" s="1"/>
  <c r="J58" i="20"/>
  <c r="J74" i="20" s="1"/>
  <c r="K58" i="20"/>
  <c r="I59" i="20"/>
  <c r="K59" i="20"/>
  <c r="L59" i="20"/>
  <c r="L60" i="20"/>
  <c r="M60" i="20"/>
  <c r="L61" i="20"/>
  <c r="I62" i="20"/>
  <c r="L62" i="20"/>
  <c r="M62" i="20"/>
  <c r="S62" i="20" s="1"/>
  <c r="P62" i="20"/>
  <c r="R62" i="20"/>
  <c r="L63" i="20"/>
  <c r="M63" i="20"/>
  <c r="N63" i="20"/>
  <c r="R63" i="20"/>
  <c r="S63" i="20"/>
  <c r="L64" i="20"/>
  <c r="R64" i="20" s="1"/>
  <c r="M64" i="20"/>
  <c r="L65" i="20"/>
  <c r="M65" i="20"/>
  <c r="N65" i="20"/>
  <c r="V65" i="20" s="1"/>
  <c r="R65" i="20"/>
  <c r="S65" i="20"/>
  <c r="T65" i="20"/>
  <c r="L66" i="20"/>
  <c r="M66" i="20" s="1"/>
  <c r="R66" i="20"/>
  <c r="L67" i="20"/>
  <c r="M67" i="20"/>
  <c r="N67" i="20"/>
  <c r="O67" i="20" s="1"/>
  <c r="U67" i="20" s="1"/>
  <c r="R67" i="20"/>
  <c r="S67" i="20"/>
  <c r="L68" i="20"/>
  <c r="R68" i="20" s="1"/>
  <c r="M68" i="20"/>
  <c r="L69" i="20"/>
  <c r="M69" i="20"/>
  <c r="N69" i="20"/>
  <c r="V69" i="20" s="1"/>
  <c r="R69" i="20"/>
  <c r="S69" i="20"/>
  <c r="T69" i="20"/>
  <c r="L70" i="20"/>
  <c r="M70" i="20" s="1"/>
  <c r="R70" i="20"/>
  <c r="L71" i="20"/>
  <c r="M71" i="20"/>
  <c r="S71" i="20" s="1"/>
  <c r="N71" i="20"/>
  <c r="T71" i="20" s="1"/>
  <c r="R71" i="20"/>
  <c r="L72" i="20"/>
  <c r="I73" i="20"/>
  <c r="J73" i="20"/>
  <c r="K73" i="20"/>
  <c r="K74" i="20"/>
  <c r="D42" i="18"/>
  <c r="R76" i="20"/>
  <c r="S76" i="20"/>
  <c r="T76" i="20"/>
  <c r="U76" i="20"/>
  <c r="V76" i="20"/>
  <c r="K77" i="20"/>
  <c r="L77" i="20" s="1"/>
  <c r="L78" i="20"/>
  <c r="M78" i="20" s="1"/>
  <c r="R78" i="20"/>
  <c r="L79" i="20"/>
  <c r="M79" i="20"/>
  <c r="N79" i="20"/>
  <c r="O79" i="20" s="1"/>
  <c r="U79" i="20" s="1"/>
  <c r="R79" i="20"/>
  <c r="S79" i="20"/>
  <c r="L80" i="20"/>
  <c r="R80" i="20" s="1"/>
  <c r="L81" i="20"/>
  <c r="M81" i="20"/>
  <c r="N81" i="20"/>
  <c r="V81" i="20" s="1"/>
  <c r="R81" i="20"/>
  <c r="S81" i="20"/>
  <c r="T81" i="20"/>
  <c r="L82" i="20"/>
  <c r="M82" i="20" s="1"/>
  <c r="R82" i="20"/>
  <c r="L83" i="20"/>
  <c r="M83" i="20"/>
  <c r="N83" i="20"/>
  <c r="O83" i="20" s="1"/>
  <c r="U83" i="20" s="1"/>
  <c r="R83" i="20"/>
  <c r="S83" i="20"/>
  <c r="L84" i="20"/>
  <c r="R84" i="20" s="1"/>
  <c r="L85" i="20"/>
  <c r="M85" i="20"/>
  <c r="N85" i="20"/>
  <c r="V85" i="20" s="1"/>
  <c r="R85" i="20"/>
  <c r="S85" i="20"/>
  <c r="T85" i="20"/>
  <c r="L86" i="20"/>
  <c r="M86" i="20" s="1"/>
  <c r="R86" i="20"/>
  <c r="L87" i="20"/>
  <c r="M87" i="20"/>
  <c r="N87" i="20"/>
  <c r="O87" i="20"/>
  <c r="U87" i="20" s="1"/>
  <c r="R87" i="20"/>
  <c r="S87" i="20"/>
  <c r="L88" i="20"/>
  <c r="L89" i="20"/>
  <c r="R89" i="20" s="1"/>
  <c r="L90" i="20"/>
  <c r="L91" i="20"/>
  <c r="M91" i="20"/>
  <c r="N91" i="20" s="1"/>
  <c r="R91" i="20"/>
  <c r="S91" i="20"/>
  <c r="L92" i="20"/>
  <c r="M92" i="20"/>
  <c r="N92" i="20"/>
  <c r="V92" i="20" s="1"/>
  <c r="O92" i="20"/>
  <c r="U92" i="20" s="1"/>
  <c r="Q92" i="20"/>
  <c r="R92" i="20"/>
  <c r="S92" i="20"/>
  <c r="T92" i="20"/>
  <c r="L93" i="20"/>
  <c r="M93" i="20"/>
  <c r="S93" i="20" s="1"/>
  <c r="R93" i="20"/>
  <c r="L94" i="20"/>
  <c r="L95" i="20"/>
  <c r="M95" i="20"/>
  <c r="N95" i="20" s="1"/>
  <c r="T95" i="20" s="1"/>
  <c r="R95" i="20"/>
  <c r="L96" i="20"/>
  <c r="M96" i="20"/>
  <c r="N96" i="20" s="1"/>
  <c r="R96" i="20"/>
  <c r="L97" i="20"/>
  <c r="M97" i="20"/>
  <c r="N97" i="20" s="1"/>
  <c r="R97" i="20"/>
  <c r="S97" i="20"/>
  <c r="L98" i="20"/>
  <c r="M98" i="20"/>
  <c r="N98" i="20"/>
  <c r="T98" i="20" s="1"/>
  <c r="O98" i="20"/>
  <c r="U98" i="20" s="1"/>
  <c r="R98" i="20"/>
  <c r="S98" i="20"/>
  <c r="L99" i="20"/>
  <c r="M99" i="20"/>
  <c r="N99" i="20"/>
  <c r="R99" i="20"/>
  <c r="S99" i="20"/>
  <c r="L100" i="20"/>
  <c r="R100" i="20" s="1"/>
  <c r="M100" i="20"/>
  <c r="L101" i="20"/>
  <c r="M101" i="20"/>
  <c r="N101" i="20"/>
  <c r="T101" i="20" s="1"/>
  <c r="R101" i="20"/>
  <c r="S101" i="20"/>
  <c r="L102" i="20"/>
  <c r="M102" i="20"/>
  <c r="N102" i="20"/>
  <c r="T102" i="20" s="1"/>
  <c r="O102" i="20"/>
  <c r="R102" i="20"/>
  <c r="S102" i="20"/>
  <c r="L103" i="20"/>
  <c r="R103" i="20" s="1"/>
  <c r="M103" i="20"/>
  <c r="L104" i="20"/>
  <c r="M104" i="20"/>
  <c r="N104" i="20"/>
  <c r="V104" i="20" s="1"/>
  <c r="R104" i="20"/>
  <c r="S104" i="20"/>
  <c r="T104" i="20"/>
  <c r="L105" i="20"/>
  <c r="M105" i="20" s="1"/>
  <c r="R105" i="20"/>
  <c r="L106" i="20"/>
  <c r="M106" i="20"/>
  <c r="N106" i="20"/>
  <c r="O106" i="20"/>
  <c r="U106" i="20" s="1"/>
  <c r="R106" i="20"/>
  <c r="S106" i="20"/>
  <c r="L107" i="20"/>
  <c r="R107" i="20" s="1"/>
  <c r="M107" i="20"/>
  <c r="N107" i="20" s="1"/>
  <c r="L108" i="20"/>
  <c r="R108" i="20" s="1"/>
  <c r="L109" i="20"/>
  <c r="M109" i="20"/>
  <c r="N109" i="20" s="1"/>
  <c r="L110" i="20"/>
  <c r="M110" i="20"/>
  <c r="N110" i="20"/>
  <c r="O110" i="20"/>
  <c r="L111" i="20"/>
  <c r="M111" i="20" s="1"/>
  <c r="N111" i="20" s="1"/>
  <c r="R111" i="20"/>
  <c r="L112" i="20"/>
  <c r="M112" i="20"/>
  <c r="N112" i="20"/>
  <c r="V112" i="20" s="1"/>
  <c r="O112" i="20"/>
  <c r="U112" i="20" s="1"/>
  <c r="Q112" i="20"/>
  <c r="R112" i="20"/>
  <c r="S112" i="20"/>
  <c r="T112" i="20"/>
  <c r="I113" i="20"/>
  <c r="J113" i="20"/>
  <c r="K113" i="20"/>
  <c r="F43" i="18" s="1"/>
  <c r="R114" i="20"/>
  <c r="S114" i="20"/>
  <c r="T114" i="20"/>
  <c r="U114" i="20"/>
  <c r="R115" i="20"/>
  <c r="P116" i="20"/>
  <c r="R116" i="20"/>
  <c r="Q117" i="20"/>
  <c r="R118" i="20"/>
  <c r="A119" i="20"/>
  <c r="I122" i="20"/>
  <c r="J122" i="20"/>
  <c r="K122" i="20"/>
  <c r="L122" i="20"/>
  <c r="O122" i="20"/>
  <c r="O159" i="20"/>
  <c r="R122" i="20"/>
  <c r="R159" i="20" s="1"/>
  <c r="S122" i="20"/>
  <c r="S159" i="20" s="1"/>
  <c r="T122" i="20"/>
  <c r="T159" i="20"/>
  <c r="U122" i="20"/>
  <c r="L125" i="20"/>
  <c r="M125" i="20"/>
  <c r="N125" i="20"/>
  <c r="T125" i="20" s="1"/>
  <c r="O125" i="20"/>
  <c r="R125" i="20"/>
  <c r="S125" i="20"/>
  <c r="L126" i="20"/>
  <c r="M126" i="20"/>
  <c r="S126" i="20" s="1"/>
  <c r="N126" i="20"/>
  <c r="R126" i="20"/>
  <c r="O127" i="20"/>
  <c r="U127" i="20" s="1"/>
  <c r="R127" i="20"/>
  <c r="T127" i="20"/>
  <c r="L128" i="20"/>
  <c r="L134" i="20" s="1"/>
  <c r="M128" i="20"/>
  <c r="N128" i="20" s="1"/>
  <c r="R128" i="20"/>
  <c r="S128" i="20"/>
  <c r="T128" i="20"/>
  <c r="L129" i="20"/>
  <c r="M129" i="20" s="1"/>
  <c r="R129" i="20"/>
  <c r="S129" i="20"/>
  <c r="O130" i="20"/>
  <c r="R130" i="20"/>
  <c r="T130" i="20"/>
  <c r="U130" i="20"/>
  <c r="L131" i="20"/>
  <c r="L132" i="20"/>
  <c r="R132" i="20" s="1"/>
  <c r="M132" i="20"/>
  <c r="N132" i="20"/>
  <c r="V132" i="20" s="1"/>
  <c r="S132" i="20"/>
  <c r="T132" i="20"/>
  <c r="O133" i="20"/>
  <c r="U133" i="20" s="1"/>
  <c r="R133" i="20"/>
  <c r="T133" i="20"/>
  <c r="I134" i="20"/>
  <c r="J134" i="20"/>
  <c r="K134" i="20"/>
  <c r="P134" i="20"/>
  <c r="R135" i="20"/>
  <c r="T135" i="20"/>
  <c r="U135" i="20"/>
  <c r="R136" i="20"/>
  <c r="T136" i="20"/>
  <c r="U136" i="20"/>
  <c r="R137" i="20"/>
  <c r="T137" i="20"/>
  <c r="U137" i="20"/>
  <c r="L138" i="20"/>
  <c r="M138" i="20"/>
  <c r="N138" i="20"/>
  <c r="T138" i="20" s="1"/>
  <c r="O138" i="20"/>
  <c r="R138" i="20"/>
  <c r="S138" i="20"/>
  <c r="L139" i="20"/>
  <c r="M139" i="20"/>
  <c r="S139" i="20" s="1"/>
  <c r="N139" i="20"/>
  <c r="O139" i="20" s="1"/>
  <c r="U139" i="20" s="1"/>
  <c r="R139" i="20"/>
  <c r="O140" i="20"/>
  <c r="U140" i="20" s="1"/>
  <c r="R140" i="20"/>
  <c r="T140" i="20"/>
  <c r="L141" i="20"/>
  <c r="M141" i="20"/>
  <c r="N141" i="20" s="1"/>
  <c r="T141" i="20" s="1"/>
  <c r="R141" i="20"/>
  <c r="S141" i="20"/>
  <c r="L142" i="20"/>
  <c r="L144" i="20" s="1"/>
  <c r="R142" i="20"/>
  <c r="R143" i="20"/>
  <c r="T143" i="20"/>
  <c r="U143" i="20"/>
  <c r="I144" i="20"/>
  <c r="I155" i="20" s="1"/>
  <c r="I25" i="19" s="1"/>
  <c r="J144" i="20"/>
  <c r="K144" i="20"/>
  <c r="P144" i="20"/>
  <c r="R145" i="20"/>
  <c r="T145" i="20"/>
  <c r="U145" i="20"/>
  <c r="R146" i="20"/>
  <c r="T146" i="20"/>
  <c r="U146" i="20"/>
  <c r="R147" i="20"/>
  <c r="T147" i="20"/>
  <c r="U147" i="20"/>
  <c r="L148" i="20"/>
  <c r="M148" i="20"/>
  <c r="S148" i="20" s="1"/>
  <c r="N148" i="20"/>
  <c r="O148" i="20"/>
  <c r="U148" i="20" s="1"/>
  <c r="R148" i="20"/>
  <c r="L149" i="20"/>
  <c r="R149" i="20" s="1"/>
  <c r="M149" i="20"/>
  <c r="S149" i="20" s="1"/>
  <c r="R150" i="20"/>
  <c r="T150" i="20"/>
  <c r="U150" i="20"/>
  <c r="I152" i="20"/>
  <c r="J152" i="20"/>
  <c r="K152" i="20"/>
  <c r="F7" i="55" s="1"/>
  <c r="P152" i="20"/>
  <c r="I153" i="20"/>
  <c r="J153" i="20"/>
  <c r="K153" i="20"/>
  <c r="P153" i="20"/>
  <c r="R154" i="20"/>
  <c r="T154" i="20"/>
  <c r="U154" i="20"/>
  <c r="J155" i="20"/>
  <c r="P155" i="20"/>
  <c r="A159" i="20"/>
  <c r="B159" i="20"/>
  <c r="I159" i="20"/>
  <c r="J159" i="20"/>
  <c r="K159" i="20"/>
  <c r="L159" i="20"/>
  <c r="U159" i="20"/>
  <c r="L162" i="20"/>
  <c r="M162" i="20" s="1"/>
  <c r="L163" i="20"/>
  <c r="M163" i="20"/>
  <c r="L165" i="20"/>
  <c r="R165" i="20" s="1"/>
  <c r="M165" i="20"/>
  <c r="L166" i="20"/>
  <c r="R166" i="20" s="1"/>
  <c r="L168" i="20"/>
  <c r="R168" i="20" s="1"/>
  <c r="L169" i="20"/>
  <c r="R169" i="20" s="1"/>
  <c r="M169" i="20"/>
  <c r="O170" i="20"/>
  <c r="C171" i="20"/>
  <c r="C192" i="20" s="1"/>
  <c r="D171" i="20"/>
  <c r="E171" i="20"/>
  <c r="F171" i="20"/>
  <c r="F192" i="20" s="1"/>
  <c r="G171" i="20"/>
  <c r="H171" i="20"/>
  <c r="I171" i="20"/>
  <c r="I192" i="20" s="1"/>
  <c r="J171" i="20"/>
  <c r="K171" i="20"/>
  <c r="K192" i="20" s="1"/>
  <c r="P171" i="20"/>
  <c r="M172" i="20"/>
  <c r="O172" i="20"/>
  <c r="L175" i="20"/>
  <c r="M175" i="20"/>
  <c r="S175" i="20" s="1"/>
  <c r="N175" i="20"/>
  <c r="T175" i="20" s="1"/>
  <c r="O175" i="20"/>
  <c r="R175" i="20"/>
  <c r="L176" i="20"/>
  <c r="M176" i="20"/>
  <c r="S176" i="20" s="1"/>
  <c r="N176" i="20"/>
  <c r="T176" i="20" s="1"/>
  <c r="O176" i="20"/>
  <c r="U176" i="20" s="1"/>
  <c r="R176" i="20"/>
  <c r="S177" i="20"/>
  <c r="T177" i="20"/>
  <c r="U177" i="20"/>
  <c r="L178" i="20"/>
  <c r="M178" i="20" s="1"/>
  <c r="L179" i="20"/>
  <c r="R179" i="20" s="1"/>
  <c r="M179" i="20"/>
  <c r="I181" i="20"/>
  <c r="J181" i="20"/>
  <c r="K181" i="20"/>
  <c r="P181" i="20"/>
  <c r="L185" i="20"/>
  <c r="M185" i="20" s="1"/>
  <c r="N185" i="20" s="1"/>
  <c r="R185" i="20"/>
  <c r="L186" i="20"/>
  <c r="M186" i="20" s="1"/>
  <c r="R186" i="20"/>
  <c r="I189" i="20"/>
  <c r="J189" i="20"/>
  <c r="K189" i="20"/>
  <c r="P189" i="20"/>
  <c r="I190" i="20"/>
  <c r="J190" i="20"/>
  <c r="K190" i="20"/>
  <c r="P190" i="20"/>
  <c r="S191" i="20"/>
  <c r="T191" i="20"/>
  <c r="U191" i="20"/>
  <c r="D192" i="20"/>
  <c r="E192" i="20"/>
  <c r="G192" i="20"/>
  <c r="H192" i="20"/>
  <c r="P192" i="20"/>
  <c r="P193" i="20"/>
  <c r="R193" i="20"/>
  <c r="S193" i="20"/>
  <c r="T193" i="20"/>
  <c r="U193" i="20"/>
  <c r="I1" i="19"/>
  <c r="K1" i="19"/>
  <c r="L1" i="19"/>
  <c r="M1" i="19"/>
  <c r="N1" i="19"/>
  <c r="O1" i="19"/>
  <c r="I2" i="19"/>
  <c r="I4" i="19" s="1"/>
  <c r="L2" i="19"/>
  <c r="M2" i="19"/>
  <c r="N2" i="19"/>
  <c r="T2" i="19" s="1"/>
  <c r="O2" i="19"/>
  <c r="U2" i="19" s="1"/>
  <c r="Q2" i="19"/>
  <c r="R2" i="19"/>
  <c r="S2" i="19"/>
  <c r="I3" i="19"/>
  <c r="Q3" i="19" s="1"/>
  <c r="L3" i="19"/>
  <c r="M3" i="19" s="1"/>
  <c r="J4" i="19"/>
  <c r="K4" i="19"/>
  <c r="P4" i="19"/>
  <c r="V4" i="19"/>
  <c r="W4" i="19"/>
  <c r="L5" i="19"/>
  <c r="M5" i="19"/>
  <c r="N5" i="19" s="1"/>
  <c r="Q5" i="19"/>
  <c r="R5" i="19"/>
  <c r="S5" i="19"/>
  <c r="T5" i="19"/>
  <c r="I6" i="19"/>
  <c r="L6" i="19"/>
  <c r="M6" i="19"/>
  <c r="N6" i="19"/>
  <c r="T6" i="19" s="1"/>
  <c r="O6" i="19"/>
  <c r="U6" i="19" s="1"/>
  <c r="Q6" i="19"/>
  <c r="R6" i="19"/>
  <c r="S6" i="19"/>
  <c r="I7" i="19"/>
  <c r="Q7" i="19" s="1"/>
  <c r="L7" i="19"/>
  <c r="P7" i="19"/>
  <c r="L8" i="19"/>
  <c r="M8" i="19" s="1"/>
  <c r="N8" i="19" s="1"/>
  <c r="Q8" i="19"/>
  <c r="R8" i="19"/>
  <c r="S8" i="19"/>
  <c r="L9" i="19"/>
  <c r="M9" i="19"/>
  <c r="N9" i="19"/>
  <c r="T9" i="19" s="1"/>
  <c r="O9" i="19"/>
  <c r="U9" i="19" s="1"/>
  <c r="P9" i="19"/>
  <c r="Y9" i="19" s="1"/>
  <c r="Q9" i="19"/>
  <c r="R9" i="19"/>
  <c r="S9" i="19"/>
  <c r="B10" i="19"/>
  <c r="L10" i="19"/>
  <c r="P10" i="19"/>
  <c r="Q10" i="19"/>
  <c r="I11" i="19"/>
  <c r="L11" i="19"/>
  <c r="M11" i="19"/>
  <c r="N11" i="19"/>
  <c r="T11" i="19" s="1"/>
  <c r="O11" i="19"/>
  <c r="Q11" i="19"/>
  <c r="R11" i="19"/>
  <c r="S11" i="19"/>
  <c r="V11" i="19"/>
  <c r="W11" i="19"/>
  <c r="Y11" i="19"/>
  <c r="I12" i="19"/>
  <c r="Q12" i="19" s="1"/>
  <c r="L12" i="19"/>
  <c r="M12" i="19"/>
  <c r="N12" i="19" s="1"/>
  <c r="R12" i="19"/>
  <c r="S12" i="19"/>
  <c r="T12" i="19"/>
  <c r="V12" i="19"/>
  <c r="W12" i="19" s="1"/>
  <c r="J13" i="19"/>
  <c r="K13" i="19"/>
  <c r="I14" i="19"/>
  <c r="L14" i="19"/>
  <c r="M14" i="19"/>
  <c r="N14" i="19"/>
  <c r="T14" i="19" s="1"/>
  <c r="O14" i="19"/>
  <c r="U14" i="19" s="1"/>
  <c r="Q14" i="19"/>
  <c r="R14" i="19"/>
  <c r="S14" i="19"/>
  <c r="K15" i="19"/>
  <c r="L15" i="19" s="1"/>
  <c r="L16" i="19"/>
  <c r="M16" i="19" s="1"/>
  <c r="N16" i="19" s="1"/>
  <c r="Q16" i="19"/>
  <c r="R16" i="19"/>
  <c r="L17" i="19"/>
  <c r="M17" i="19"/>
  <c r="N17" i="19"/>
  <c r="T17" i="19" s="1"/>
  <c r="O17" i="19"/>
  <c r="Q17" i="19"/>
  <c r="R17" i="19"/>
  <c r="S17" i="19"/>
  <c r="L19" i="19"/>
  <c r="R19" i="19" s="1"/>
  <c r="M19" i="19"/>
  <c r="S19" i="19" s="1"/>
  <c r="Q19" i="19"/>
  <c r="L20" i="19"/>
  <c r="M20" i="19"/>
  <c r="N20" i="19" s="1"/>
  <c r="Q20" i="19"/>
  <c r="R20" i="19"/>
  <c r="S20" i="19"/>
  <c r="T20" i="19"/>
  <c r="Q21" i="19"/>
  <c r="R21" i="19"/>
  <c r="S21" i="19"/>
  <c r="T21" i="19"/>
  <c r="U21" i="19"/>
  <c r="P25" i="19"/>
  <c r="P27" i="19"/>
  <c r="P31" i="19" s="1"/>
  <c r="P28" i="19"/>
  <c r="P29" i="19"/>
  <c r="C4" i="18"/>
  <c r="C4" i="23" s="1"/>
  <c r="D4" i="18"/>
  <c r="D4" i="23" s="1"/>
  <c r="E4" i="18"/>
  <c r="F4" i="18"/>
  <c r="G4" i="18"/>
  <c r="H4" i="18"/>
  <c r="H39" i="18" s="1"/>
  <c r="I4" i="18"/>
  <c r="L4" i="23"/>
  <c r="D5" i="18"/>
  <c r="E5" i="18"/>
  <c r="F5" i="18"/>
  <c r="G5" i="18"/>
  <c r="H5" i="18"/>
  <c r="H40" i="18" s="1"/>
  <c r="I5" i="18"/>
  <c r="I40" i="18" s="1"/>
  <c r="J5" i="18"/>
  <c r="K5" i="18"/>
  <c r="L5" i="18"/>
  <c r="N5" i="18"/>
  <c r="O5" i="18"/>
  <c r="P5" i="18"/>
  <c r="Q5" i="18"/>
  <c r="Q40" i="18" s="1"/>
  <c r="R5" i="18"/>
  <c r="S5" i="18"/>
  <c r="T5" i="18"/>
  <c r="U5" i="18"/>
  <c r="V5" i="18"/>
  <c r="W5" i="18"/>
  <c r="X5" i="18"/>
  <c r="Y5" i="18"/>
  <c r="Y40" i="18" s="1"/>
  <c r="Z5" i="18"/>
  <c r="AA5" i="18"/>
  <c r="AB5" i="18"/>
  <c r="AC5" i="18"/>
  <c r="AJ5" i="18"/>
  <c r="AJ40" i="18" s="1"/>
  <c r="A6" i="18"/>
  <c r="B6" i="18"/>
  <c r="C6" i="18"/>
  <c r="D6" i="18"/>
  <c r="F6" i="18"/>
  <c r="G6" i="18"/>
  <c r="H6" i="18"/>
  <c r="I6" i="18"/>
  <c r="J6" i="18"/>
  <c r="K6" i="18"/>
  <c r="L6" i="18"/>
  <c r="M6" i="18"/>
  <c r="N6" i="18"/>
  <c r="O6" i="18"/>
  <c r="P6" i="18"/>
  <c r="Q6" i="18"/>
  <c r="R6" i="18"/>
  <c r="S6" i="18"/>
  <c r="T6" i="18"/>
  <c r="U6" i="18"/>
  <c r="V6" i="18"/>
  <c r="W6" i="18"/>
  <c r="X6" i="18"/>
  <c r="Y6" i="18"/>
  <c r="Z6" i="18"/>
  <c r="AA6" i="18"/>
  <c r="AB6" i="18"/>
  <c r="AC6" i="18"/>
  <c r="L8" i="18"/>
  <c r="X8" i="18"/>
  <c r="G9" i="18"/>
  <c r="H9" i="18"/>
  <c r="I9" i="18"/>
  <c r="M9" i="18"/>
  <c r="N9" i="18" s="1"/>
  <c r="R9" i="18"/>
  <c r="S9" i="18"/>
  <c r="Y9" i="18"/>
  <c r="Z9" i="18"/>
  <c r="AA9" i="18"/>
  <c r="AB9" i="18"/>
  <c r="AE9" i="18"/>
  <c r="AI9" i="18"/>
  <c r="D10" i="18"/>
  <c r="E10" i="18"/>
  <c r="F10" i="18"/>
  <c r="M10" i="18"/>
  <c r="M10" i="17" s="1"/>
  <c r="R10" i="18"/>
  <c r="S10" i="18"/>
  <c r="T10" i="18"/>
  <c r="U10" i="18"/>
  <c r="V10" i="18" s="1"/>
  <c r="Y10" i="18"/>
  <c r="Z10" i="18"/>
  <c r="AA10" i="18" s="1"/>
  <c r="D11" i="18"/>
  <c r="E11" i="18"/>
  <c r="F11" i="18"/>
  <c r="R11" i="18" s="1"/>
  <c r="G11" i="18"/>
  <c r="H11" i="18"/>
  <c r="AG11" i="18" s="1"/>
  <c r="I11" i="18"/>
  <c r="K11" i="18"/>
  <c r="W11" i="18" s="1"/>
  <c r="W11" i="17" s="1"/>
  <c r="M11" i="18"/>
  <c r="N11" i="18" s="1"/>
  <c r="Y11" i="18"/>
  <c r="Z11" i="18"/>
  <c r="Z11" i="17" s="1"/>
  <c r="AA11" i="18"/>
  <c r="AJ11" i="18"/>
  <c r="M12" i="18"/>
  <c r="N12" i="18"/>
  <c r="R12" i="18"/>
  <c r="S12" i="18" s="1"/>
  <c r="Y12" i="18"/>
  <c r="Z12" i="18"/>
  <c r="AA12" i="18"/>
  <c r="AB12" i="18" s="1"/>
  <c r="AC12" i="18" s="1"/>
  <c r="AE12" i="18"/>
  <c r="AF12" i="18"/>
  <c r="AG12" i="18"/>
  <c r="AH12" i="18"/>
  <c r="AI12" i="18"/>
  <c r="M13" i="18"/>
  <c r="N13" i="18" s="1"/>
  <c r="R13" i="18"/>
  <c r="S13" i="18" s="1"/>
  <c r="Y13" i="18"/>
  <c r="Z13" i="18"/>
  <c r="AE13" i="18"/>
  <c r="AF13" i="18"/>
  <c r="AG13" i="18"/>
  <c r="AH13" i="18"/>
  <c r="AI13" i="18"/>
  <c r="D14" i="18"/>
  <c r="E14" i="18"/>
  <c r="F14" i="18"/>
  <c r="R14" i="18" s="1"/>
  <c r="K14" i="18"/>
  <c r="M14" i="18"/>
  <c r="Y14" i="18"/>
  <c r="Z14" i="18"/>
  <c r="AA14" i="18" s="1"/>
  <c r="D15" i="18"/>
  <c r="E15" i="18"/>
  <c r="F15" i="18"/>
  <c r="AI15" i="18" s="1"/>
  <c r="G15" i="18"/>
  <c r="H15" i="18"/>
  <c r="K15" i="18"/>
  <c r="W15" i="18" s="1"/>
  <c r="M15" i="18"/>
  <c r="N15" i="18"/>
  <c r="O15" i="18"/>
  <c r="O15" i="17" s="1"/>
  <c r="Y15" i="18"/>
  <c r="Y15" i="17" s="1"/>
  <c r="D16" i="18"/>
  <c r="AI16" i="18" s="1"/>
  <c r="E16" i="18"/>
  <c r="F16" i="18"/>
  <c r="G16" i="18"/>
  <c r="H16" i="18"/>
  <c r="I16" i="18"/>
  <c r="J16" i="18"/>
  <c r="K16" i="18"/>
  <c r="W16" i="18" s="1"/>
  <c r="M16" i="18"/>
  <c r="N16" i="18"/>
  <c r="O16" i="18" s="1"/>
  <c r="R16" i="18"/>
  <c r="S16" i="18" s="1"/>
  <c r="Y16" i="18"/>
  <c r="Z16" i="18" s="1"/>
  <c r="AE16" i="18"/>
  <c r="AF16" i="18"/>
  <c r="M17" i="18"/>
  <c r="N17" i="18"/>
  <c r="N17" i="17" s="1"/>
  <c r="R17" i="18"/>
  <c r="S17" i="18" s="1"/>
  <c r="Y17" i="18"/>
  <c r="Z17" i="18"/>
  <c r="AA17" i="18"/>
  <c r="AB17" i="18" s="1"/>
  <c r="AE17" i="18"/>
  <c r="AF17" i="18"/>
  <c r="AG17" i="18"/>
  <c r="AI17" i="18"/>
  <c r="N18" i="18"/>
  <c r="O18" i="18"/>
  <c r="P18" i="18" s="1"/>
  <c r="R18" i="18"/>
  <c r="T18" i="18"/>
  <c r="T18" i="17" s="1"/>
  <c r="U18" i="18"/>
  <c r="V18" i="18" s="1"/>
  <c r="Y18" i="18"/>
  <c r="Z18" i="18" s="1"/>
  <c r="AE18" i="18"/>
  <c r="AF18" i="18"/>
  <c r="AG18" i="18"/>
  <c r="AI18" i="18"/>
  <c r="D19" i="18"/>
  <c r="E19" i="18"/>
  <c r="F19" i="18"/>
  <c r="R19" i="18" s="1"/>
  <c r="G19" i="18"/>
  <c r="K19" i="18"/>
  <c r="W19" i="18" s="1"/>
  <c r="W19" i="17" s="1"/>
  <c r="M19" i="18"/>
  <c r="N19" i="18" s="1"/>
  <c r="Y19" i="18"/>
  <c r="Z19" i="18"/>
  <c r="AA19" i="18"/>
  <c r="AB19" i="18" s="1"/>
  <c r="AI19" i="18"/>
  <c r="D20" i="18"/>
  <c r="E20" i="18"/>
  <c r="F20" i="18"/>
  <c r="P11" i="55" s="1"/>
  <c r="Q11" i="55" s="1"/>
  <c r="R20" i="18"/>
  <c r="R20" i="17" s="1"/>
  <c r="S20" i="18"/>
  <c r="X20" i="18"/>
  <c r="AI20" i="18"/>
  <c r="G21" i="18"/>
  <c r="M21" i="18"/>
  <c r="N21" i="18"/>
  <c r="O21" i="18"/>
  <c r="O20" i="18" s="1"/>
  <c r="P21" i="18"/>
  <c r="S21" i="18"/>
  <c r="T21" i="18"/>
  <c r="T20" i="18" s="1"/>
  <c r="Y21" i="18"/>
  <c r="Y20" i="18" s="1"/>
  <c r="Z21" i="18"/>
  <c r="AI21" i="18"/>
  <c r="F22" i="18"/>
  <c r="G22" i="18"/>
  <c r="AE22" i="18" s="1"/>
  <c r="H22" i="18"/>
  <c r="N22" i="18" s="1"/>
  <c r="I22" i="18"/>
  <c r="K22" i="18"/>
  <c r="L22" i="18"/>
  <c r="M22" i="18"/>
  <c r="O22" i="18"/>
  <c r="S22" i="18"/>
  <c r="T22" i="18"/>
  <c r="U22" i="18"/>
  <c r="V22" i="18"/>
  <c r="Y22" i="18"/>
  <c r="Z22" i="18"/>
  <c r="AA22" i="18"/>
  <c r="AB22" i="18" s="1"/>
  <c r="AF22" i="18"/>
  <c r="AG22" i="18"/>
  <c r="AI22" i="18"/>
  <c r="L23" i="18"/>
  <c r="R23" i="18"/>
  <c r="S23" i="18"/>
  <c r="H24" i="18"/>
  <c r="AF24" i="18" s="1"/>
  <c r="I24" i="18"/>
  <c r="AG24" i="18" s="1"/>
  <c r="M24" i="18"/>
  <c r="M23" i="18" s="1"/>
  <c r="S24" i="18"/>
  <c r="T24" i="18"/>
  <c r="U24" i="18"/>
  <c r="Y24" i="18"/>
  <c r="Z24" i="18"/>
  <c r="AA24" i="18" s="1"/>
  <c r="AE24" i="18"/>
  <c r="AI24" i="18"/>
  <c r="D25" i="18"/>
  <c r="E25" i="18"/>
  <c r="E23" i="18" s="1"/>
  <c r="E23" i="17" s="1"/>
  <c r="AU23" i="17" s="1"/>
  <c r="K25" i="18"/>
  <c r="K23" i="18" s="1"/>
  <c r="M25" i="18"/>
  <c r="M25" i="17" s="1"/>
  <c r="N25" i="18"/>
  <c r="S25" i="18"/>
  <c r="T25" i="18" s="1"/>
  <c r="G26" i="18"/>
  <c r="H26" i="18" s="1"/>
  <c r="M26" i="18"/>
  <c r="S26" i="18"/>
  <c r="T26" i="18"/>
  <c r="U26" i="18"/>
  <c r="U26" i="17" s="1"/>
  <c r="V26" i="18"/>
  <c r="W26" i="18" s="1"/>
  <c r="W26" i="17" s="1"/>
  <c r="O21" i="10" s="1"/>
  <c r="Y26" i="18"/>
  <c r="Z26" i="18"/>
  <c r="AA26" i="18" s="1"/>
  <c r="AE26" i="18"/>
  <c r="AI26" i="18"/>
  <c r="G27" i="18"/>
  <c r="H27" i="18" s="1"/>
  <c r="M27" i="18"/>
  <c r="N27" i="18"/>
  <c r="O27" i="18"/>
  <c r="P27" i="18" s="1"/>
  <c r="AE27" i="18"/>
  <c r="AI27" i="18"/>
  <c r="G28" i="18"/>
  <c r="M28" i="18"/>
  <c r="N28" i="18" s="1"/>
  <c r="R28" i="18"/>
  <c r="S28" i="18"/>
  <c r="T28" i="18"/>
  <c r="U28" i="18" s="1"/>
  <c r="Y28" i="18"/>
  <c r="Z28" i="18"/>
  <c r="Z28" i="17" s="1"/>
  <c r="AA28" i="18"/>
  <c r="AI28" i="18"/>
  <c r="F29" i="18"/>
  <c r="M29" i="18"/>
  <c r="N29" i="18"/>
  <c r="O29" i="18"/>
  <c r="P29" i="18"/>
  <c r="Q29" i="18" s="1"/>
  <c r="Q29" i="17" s="1"/>
  <c r="Y29" i="18"/>
  <c r="Z29" i="18"/>
  <c r="AI29" i="18"/>
  <c r="G30" i="18"/>
  <c r="H30" i="18"/>
  <c r="AF30" i="18" s="1"/>
  <c r="I30" i="18"/>
  <c r="J30" i="18" s="1"/>
  <c r="M30" i="18"/>
  <c r="N30" i="18"/>
  <c r="O30" i="18"/>
  <c r="P30" i="18" s="1"/>
  <c r="Q30" i="18" s="1"/>
  <c r="Q30" i="17" s="1"/>
  <c r="S30" i="18"/>
  <c r="T30" i="18" s="1"/>
  <c r="Y30" i="18"/>
  <c r="AE30" i="18"/>
  <c r="AG30" i="18"/>
  <c r="AH30" i="18"/>
  <c r="AI30" i="18"/>
  <c r="D31" i="18"/>
  <c r="AI31" i="18" s="1"/>
  <c r="E31" i="18"/>
  <c r="F31" i="18"/>
  <c r="P9" i="55" s="1"/>
  <c r="G31" i="18"/>
  <c r="H31" i="18"/>
  <c r="I31" i="18"/>
  <c r="J31" i="18"/>
  <c r="K31" i="18"/>
  <c r="W31" i="18" s="1"/>
  <c r="M31" i="18"/>
  <c r="N31" i="18"/>
  <c r="O31" i="18" s="1"/>
  <c r="P31" i="18" s="1"/>
  <c r="R31" i="18"/>
  <c r="R31" i="17" s="1"/>
  <c r="Y31" i="18"/>
  <c r="Z31" i="18" s="1"/>
  <c r="AE31" i="18"/>
  <c r="AF31" i="18"/>
  <c r="E33" i="18"/>
  <c r="E33" i="17" s="1"/>
  <c r="AU33" i="17" s="1"/>
  <c r="L33" i="18"/>
  <c r="X33" i="18"/>
  <c r="D34" i="18"/>
  <c r="E34" i="18"/>
  <c r="E34" i="17" s="1"/>
  <c r="AU34" i="17" s="1"/>
  <c r="F34" i="18"/>
  <c r="G34" i="18"/>
  <c r="AE34" i="18" s="1"/>
  <c r="H34" i="18"/>
  <c r="K34" i="18"/>
  <c r="M34" i="18"/>
  <c r="R34" i="18"/>
  <c r="S34" i="18" s="1"/>
  <c r="Y34" i="18"/>
  <c r="Z34" i="18"/>
  <c r="AA34" i="18"/>
  <c r="AF34" i="18"/>
  <c r="M35" i="18"/>
  <c r="N35" i="18" s="1"/>
  <c r="S35" i="18"/>
  <c r="T35" i="18"/>
  <c r="U35" i="18"/>
  <c r="V35" i="18" s="1"/>
  <c r="Y35" i="18"/>
  <c r="Z35" i="18"/>
  <c r="AA35" i="18"/>
  <c r="AB35" i="18" s="1"/>
  <c r="AC35" i="18" s="1"/>
  <c r="AE35" i="18"/>
  <c r="AG35" i="18"/>
  <c r="AI35" i="18"/>
  <c r="D36" i="18"/>
  <c r="E36" i="18"/>
  <c r="M36" i="18"/>
  <c r="O2" i="39" s="1"/>
  <c r="N36" i="18"/>
  <c r="P2" i="39" s="1"/>
  <c r="P33" i="39" s="1"/>
  <c r="O36" i="18"/>
  <c r="P36" i="18" s="1"/>
  <c r="Q36" i="18" s="1"/>
  <c r="Q36" i="17" s="1"/>
  <c r="U141" i="12" s="1"/>
  <c r="X36" i="18"/>
  <c r="C39" i="18"/>
  <c r="D39" i="18"/>
  <c r="E39" i="18"/>
  <c r="F39" i="18"/>
  <c r="G39" i="18"/>
  <c r="K39" i="18"/>
  <c r="M39" i="18"/>
  <c r="N39" i="18"/>
  <c r="O39" i="18"/>
  <c r="P39" i="18"/>
  <c r="Q39" i="18"/>
  <c r="S39" i="18"/>
  <c r="T39" i="18"/>
  <c r="U39" i="18"/>
  <c r="V39" i="18"/>
  <c r="X39" i="18"/>
  <c r="Y39" i="18"/>
  <c r="AA39" i="18"/>
  <c r="AB39" i="18"/>
  <c r="AC39" i="18"/>
  <c r="AE39" i="18"/>
  <c r="AF39" i="18"/>
  <c r="AG39" i="18"/>
  <c r="AI39" i="18"/>
  <c r="AJ39" i="18"/>
  <c r="C40" i="18"/>
  <c r="D40" i="18"/>
  <c r="E40" i="18"/>
  <c r="F40" i="18"/>
  <c r="G40" i="18"/>
  <c r="J40" i="18"/>
  <c r="K40" i="18"/>
  <c r="L40" i="18"/>
  <c r="M40" i="18"/>
  <c r="N40" i="18"/>
  <c r="O40" i="18"/>
  <c r="P40" i="18"/>
  <c r="R40" i="18"/>
  <c r="S40" i="18"/>
  <c r="T40" i="18"/>
  <c r="U40" i="18"/>
  <c r="V40" i="18"/>
  <c r="W40" i="18"/>
  <c r="X40" i="18"/>
  <c r="Z40" i="18"/>
  <c r="AA40" i="18"/>
  <c r="AB40" i="18"/>
  <c r="AC40" i="18"/>
  <c r="AE40" i="18"/>
  <c r="AH40" i="18"/>
  <c r="AI40" i="18"/>
  <c r="L41" i="18"/>
  <c r="M41" i="18"/>
  <c r="M42" i="18"/>
  <c r="N42" i="18"/>
  <c r="N41" i="18" s="1"/>
  <c r="O42" i="18"/>
  <c r="M43" i="18"/>
  <c r="N43" i="18"/>
  <c r="O43" i="18" s="1"/>
  <c r="R43" i="18"/>
  <c r="S43" i="18"/>
  <c r="T43" i="18" s="1"/>
  <c r="X43" i="18"/>
  <c r="M44" i="18"/>
  <c r="N44" i="18"/>
  <c r="O44" i="18" s="1"/>
  <c r="X44" i="18"/>
  <c r="G45" i="18"/>
  <c r="M45" i="18"/>
  <c r="N45" i="18"/>
  <c r="O45" i="18"/>
  <c r="O45" i="17" s="1"/>
  <c r="P45" i="18"/>
  <c r="S45" i="18"/>
  <c r="T45" i="18"/>
  <c r="U45" i="18" s="1"/>
  <c r="Y45" i="18"/>
  <c r="Z45" i="18"/>
  <c r="AA45" i="18" s="1"/>
  <c r="AI45" i="18"/>
  <c r="D46" i="18"/>
  <c r="E46" i="18"/>
  <c r="F46" i="18"/>
  <c r="P21" i="55" s="1"/>
  <c r="M46" i="18"/>
  <c r="N46" i="18"/>
  <c r="O46" i="18"/>
  <c r="P46" i="18" s="1"/>
  <c r="Q46" i="18" s="1"/>
  <c r="Y46" i="18"/>
  <c r="Z46" i="18" s="1"/>
  <c r="AA46" i="18" s="1"/>
  <c r="AA46" i="17" s="1"/>
  <c r="AB46" i="18"/>
  <c r="L47" i="18"/>
  <c r="X47" i="18"/>
  <c r="E48" i="18"/>
  <c r="E48" i="17" s="1"/>
  <c r="AU48" i="17" s="1"/>
  <c r="F48" i="18"/>
  <c r="M48" i="18"/>
  <c r="N48" i="18"/>
  <c r="O48" i="18" s="1"/>
  <c r="R48" i="18"/>
  <c r="S48" i="18" s="1"/>
  <c r="Y48" i="18"/>
  <c r="Y47" i="18" s="1"/>
  <c r="Z48" i="18"/>
  <c r="Z47" i="18" s="1"/>
  <c r="AA48" i="18"/>
  <c r="AB48" i="18" s="1"/>
  <c r="G49" i="18"/>
  <c r="H49" i="18" s="1"/>
  <c r="M49" i="18"/>
  <c r="S49" i="18"/>
  <c r="T49" i="18"/>
  <c r="U49" i="18"/>
  <c r="U49" i="17" s="1"/>
  <c r="V49" i="18"/>
  <c r="Y49" i="18"/>
  <c r="Z49" i="18"/>
  <c r="AA49" i="18" s="1"/>
  <c r="AE49" i="18"/>
  <c r="AI49" i="18"/>
  <c r="G50" i="18"/>
  <c r="H50" i="18" s="1"/>
  <c r="M50" i="18"/>
  <c r="N50" i="18"/>
  <c r="O50" i="18"/>
  <c r="P50" i="18" s="1"/>
  <c r="S50" i="18"/>
  <c r="T50" i="18"/>
  <c r="U50" i="18" s="1"/>
  <c r="Y50" i="18"/>
  <c r="Z50" i="18" s="1"/>
  <c r="AA50" i="18" s="1"/>
  <c r="AE50" i="18"/>
  <c r="AI50" i="18"/>
  <c r="G51" i="18"/>
  <c r="H51" i="18"/>
  <c r="I51" i="18"/>
  <c r="AG51" i="18" s="1"/>
  <c r="M51" i="18"/>
  <c r="N51" i="18"/>
  <c r="O51" i="18" s="1"/>
  <c r="S51" i="18"/>
  <c r="T51" i="18"/>
  <c r="Y51" i="18"/>
  <c r="Z51" i="18" s="1"/>
  <c r="AE51" i="18"/>
  <c r="AF51" i="18"/>
  <c r="AI51" i="18"/>
  <c r="AE53" i="18"/>
  <c r="AF53" i="18"/>
  <c r="AG53" i="18"/>
  <c r="AH53" i="18"/>
  <c r="AI53" i="18"/>
  <c r="AJ53" i="18"/>
  <c r="G54" i="18"/>
  <c r="M54" i="18"/>
  <c r="M54" i="17" s="1"/>
  <c r="N54" i="18"/>
  <c r="R54" i="18"/>
  <c r="S54" i="18"/>
  <c r="Y54" i="18"/>
  <c r="Z54" i="18" s="1"/>
  <c r="AA54" i="18" s="1"/>
  <c r="AI54" i="18"/>
  <c r="G55" i="18"/>
  <c r="H55" i="18"/>
  <c r="M55" i="18"/>
  <c r="N55" i="18"/>
  <c r="S55" i="18"/>
  <c r="T55" i="18" s="1"/>
  <c r="Y55" i="18"/>
  <c r="Z55" i="18"/>
  <c r="AE55" i="18"/>
  <c r="AI55" i="18"/>
  <c r="M56" i="18"/>
  <c r="N56" i="18"/>
  <c r="S56" i="18"/>
  <c r="T56" i="18" s="1"/>
  <c r="Y56" i="18"/>
  <c r="Z56" i="18"/>
  <c r="AI56" i="18"/>
  <c r="G58" i="18"/>
  <c r="I71" i="18"/>
  <c r="J71" i="18"/>
  <c r="K71" i="18"/>
  <c r="Z73" i="18"/>
  <c r="D5" i="17"/>
  <c r="D40" i="17" s="1"/>
  <c r="E5" i="17"/>
  <c r="F5" i="17"/>
  <c r="G5" i="17"/>
  <c r="H5" i="17"/>
  <c r="I5" i="17"/>
  <c r="J5" i="17"/>
  <c r="K5" i="17"/>
  <c r="AF5" i="17"/>
  <c r="AG5" i="17"/>
  <c r="AI5" i="17"/>
  <c r="AI40" i="17" s="1"/>
  <c r="X8" i="17"/>
  <c r="D9" i="17"/>
  <c r="E9" i="17"/>
  <c r="F9" i="17"/>
  <c r="AE9" i="17" s="1"/>
  <c r="G9" i="17"/>
  <c r="AL9" i="17" s="1"/>
  <c r="L9" i="17"/>
  <c r="M9" i="17"/>
  <c r="R9" i="17"/>
  <c r="X9" i="17"/>
  <c r="Y9" i="17"/>
  <c r="AU9" i="17"/>
  <c r="F10" i="17"/>
  <c r="L10" i="17"/>
  <c r="R10" i="17"/>
  <c r="X10" i="17"/>
  <c r="Y10" i="17"/>
  <c r="AK10" i="17"/>
  <c r="D11" i="17"/>
  <c r="E11" i="17"/>
  <c r="AU11" i="17" s="1"/>
  <c r="F11" i="17"/>
  <c r="K11" i="17"/>
  <c r="L11" i="17"/>
  <c r="M11" i="17"/>
  <c r="X11" i="17"/>
  <c r="Y11" i="17"/>
  <c r="AJ11" i="17"/>
  <c r="AK11" i="17"/>
  <c r="AP11" i="17"/>
  <c r="D12" i="17"/>
  <c r="AJ12" i="17" s="1"/>
  <c r="E12" i="17"/>
  <c r="AU12" i="17" s="1"/>
  <c r="F12" i="17"/>
  <c r="G12" i="17"/>
  <c r="AE12" i="17" s="1"/>
  <c r="K12" i="17"/>
  <c r="L12" i="17"/>
  <c r="M12" i="17"/>
  <c r="R12" i="17"/>
  <c r="W12" i="17"/>
  <c r="X12" i="17"/>
  <c r="Y12" i="17"/>
  <c r="Z12" i="17"/>
  <c r="AK12" i="17"/>
  <c r="AL12" i="17"/>
  <c r="AQ12" i="17" s="1"/>
  <c r="AP12" i="17"/>
  <c r="D13" i="17"/>
  <c r="AJ13" i="17" s="1"/>
  <c r="E13" i="17"/>
  <c r="F13" i="17"/>
  <c r="K13" i="17"/>
  <c r="L13" i="17"/>
  <c r="X13" i="17"/>
  <c r="Y13" i="17"/>
  <c r="AK13" i="17"/>
  <c r="AP13" i="17"/>
  <c r="AU13" i="17"/>
  <c r="E14" i="17"/>
  <c r="AU14" i="17" s="1"/>
  <c r="F14" i="17"/>
  <c r="L14" i="17"/>
  <c r="X14" i="17"/>
  <c r="Y14" i="17"/>
  <c r="Z14" i="17"/>
  <c r="AK14" i="17"/>
  <c r="D15" i="17"/>
  <c r="E15" i="17"/>
  <c r="AU15" i="17" s="1"/>
  <c r="K15" i="17"/>
  <c r="L15" i="17"/>
  <c r="M15" i="17"/>
  <c r="N15" i="17"/>
  <c r="X15" i="17"/>
  <c r="AP15" i="17"/>
  <c r="D16" i="17"/>
  <c r="E16" i="17"/>
  <c r="AU16" i="17" s="1"/>
  <c r="F16" i="17"/>
  <c r="G16" i="17"/>
  <c r="K16" i="17"/>
  <c r="L16" i="17"/>
  <c r="M16" i="17"/>
  <c r="R16" i="17"/>
  <c r="W16" i="17"/>
  <c r="O44" i="10" s="1"/>
  <c r="X16" i="17"/>
  <c r="Y16" i="17"/>
  <c r="AJ16" i="17"/>
  <c r="AK16" i="17"/>
  <c r="AP16" i="17"/>
  <c r="D17" i="17"/>
  <c r="AJ17" i="17" s="1"/>
  <c r="E17" i="17"/>
  <c r="AU17" i="17" s="1"/>
  <c r="F17" i="17"/>
  <c r="K17" i="17"/>
  <c r="L17" i="17"/>
  <c r="M17" i="17"/>
  <c r="R17" i="17"/>
  <c r="X17" i="17"/>
  <c r="Y17" i="17"/>
  <c r="Z17" i="17"/>
  <c r="AA17" i="17"/>
  <c r="AK17" i="17"/>
  <c r="AP17" i="17"/>
  <c r="D18" i="17"/>
  <c r="E18" i="17"/>
  <c r="AU18" i="17" s="1"/>
  <c r="F18" i="17"/>
  <c r="G18" i="17"/>
  <c r="AL18" i="17"/>
  <c r="K18" i="17"/>
  <c r="L18" i="17"/>
  <c r="M18" i="17"/>
  <c r="N18" i="17"/>
  <c r="O18" i="17"/>
  <c r="R18" i="17"/>
  <c r="S18" i="17"/>
  <c r="U18" i="17"/>
  <c r="X18" i="17"/>
  <c r="Y18" i="17"/>
  <c r="AJ18" i="17"/>
  <c r="AK18" i="17"/>
  <c r="AP18" i="17"/>
  <c r="D19" i="17"/>
  <c r="AJ19" i="17" s="1"/>
  <c r="E19" i="17"/>
  <c r="F19" i="17"/>
  <c r="AK19" i="17" s="1"/>
  <c r="K19" i="17"/>
  <c r="AP19" i="17" s="1"/>
  <c r="L19" i="17"/>
  <c r="M19" i="17"/>
  <c r="X19" i="17"/>
  <c r="Y19" i="17"/>
  <c r="Z19" i="17"/>
  <c r="AA19" i="17"/>
  <c r="AU19" i="17"/>
  <c r="D20" i="17"/>
  <c r="E20" i="17"/>
  <c r="F20" i="17"/>
  <c r="X20" i="17"/>
  <c r="AU20" i="17"/>
  <c r="D21" i="17"/>
  <c r="E21" i="17"/>
  <c r="F21" i="17"/>
  <c r="G21" i="17"/>
  <c r="L21" i="17"/>
  <c r="M21" i="17"/>
  <c r="R21" i="17"/>
  <c r="S21" i="17"/>
  <c r="X21" i="17"/>
  <c r="Y21" i="17"/>
  <c r="AJ21" i="17"/>
  <c r="AK21" i="17"/>
  <c r="AU21" i="17"/>
  <c r="D22" i="17"/>
  <c r="AJ22" i="17" s="1"/>
  <c r="E22" i="17"/>
  <c r="AU22" i="17" s="1"/>
  <c r="F22" i="17"/>
  <c r="G22" i="17"/>
  <c r="K22" i="17"/>
  <c r="Q22" i="17"/>
  <c r="R22" i="17"/>
  <c r="S22" i="17"/>
  <c r="X22" i="17"/>
  <c r="Y22" i="17"/>
  <c r="AK22" i="17"/>
  <c r="AP22" i="17"/>
  <c r="L23" i="17"/>
  <c r="D24" i="17"/>
  <c r="E24" i="17"/>
  <c r="F24" i="17"/>
  <c r="G24" i="17"/>
  <c r="AL24" i="17" s="1"/>
  <c r="K24" i="17"/>
  <c r="AP24" i="17"/>
  <c r="L24" i="17"/>
  <c r="M24" i="17"/>
  <c r="R24" i="17"/>
  <c r="S24" i="17"/>
  <c r="X24" i="17"/>
  <c r="Y24" i="17"/>
  <c r="AE24" i="17"/>
  <c r="AU24" i="17"/>
  <c r="E25" i="17"/>
  <c r="AU25" i="17" s="1"/>
  <c r="K25" i="17"/>
  <c r="L25" i="17"/>
  <c r="R25" i="17"/>
  <c r="S25" i="17"/>
  <c r="D26" i="17"/>
  <c r="E26" i="17"/>
  <c r="F26" i="17"/>
  <c r="G26" i="17"/>
  <c r="L26" i="17"/>
  <c r="R26" i="17"/>
  <c r="S26" i="17"/>
  <c r="T26" i="17"/>
  <c r="V26" i="17"/>
  <c r="X26" i="17"/>
  <c r="Y26" i="17"/>
  <c r="Z26" i="17"/>
  <c r="AU26" i="17"/>
  <c r="D27" i="17"/>
  <c r="E27" i="17"/>
  <c r="AU27" i="17" s="1"/>
  <c r="F27" i="17"/>
  <c r="AK27" i="17" s="1"/>
  <c r="G27" i="17"/>
  <c r="L27" i="17"/>
  <c r="M27" i="17"/>
  <c r="N27" i="17"/>
  <c r="O27" i="17"/>
  <c r="D28" i="17"/>
  <c r="E28" i="17"/>
  <c r="F28" i="17"/>
  <c r="AJ28" i="17" s="1"/>
  <c r="L28" i="17"/>
  <c r="M28" i="17"/>
  <c r="R28" i="17"/>
  <c r="S28" i="17"/>
  <c r="T28" i="17"/>
  <c r="W28" i="17"/>
  <c r="X28" i="17"/>
  <c r="Y28" i="17"/>
  <c r="AU28" i="17"/>
  <c r="D29" i="17"/>
  <c r="E29" i="17"/>
  <c r="AU29" i="17" s="1"/>
  <c r="K29" i="17"/>
  <c r="X29" i="17"/>
  <c r="Y29" i="17"/>
  <c r="AP29" i="17"/>
  <c r="D30" i="17"/>
  <c r="E30" i="17"/>
  <c r="AU30" i="17" s="1"/>
  <c r="F30" i="17"/>
  <c r="AJ30" i="17" s="1"/>
  <c r="G30" i="17"/>
  <c r="L30" i="17"/>
  <c r="X30" i="17"/>
  <c r="AK30" i="17"/>
  <c r="D31" i="17"/>
  <c r="E31" i="17"/>
  <c r="F31" i="17"/>
  <c r="G31" i="17"/>
  <c r="AL31" i="17" s="1"/>
  <c r="K31" i="17"/>
  <c r="AP31" i="17" s="1"/>
  <c r="L31" i="17"/>
  <c r="M31" i="17"/>
  <c r="N31" i="17"/>
  <c r="O31" i="17"/>
  <c r="W31" i="17"/>
  <c r="X31" i="17"/>
  <c r="Y31" i="17"/>
  <c r="AU31" i="17"/>
  <c r="L33" i="17"/>
  <c r="F34" i="17"/>
  <c r="G34" i="17"/>
  <c r="AL34" i="17" s="1"/>
  <c r="K34" i="17"/>
  <c r="L34" i="17"/>
  <c r="R34" i="17"/>
  <c r="X34" i="17"/>
  <c r="Y34" i="17"/>
  <c r="AP34" i="17"/>
  <c r="D35" i="17"/>
  <c r="E35" i="17"/>
  <c r="AU35" i="17" s="1"/>
  <c r="F35" i="17"/>
  <c r="AJ35" i="17" s="1"/>
  <c r="G35" i="17"/>
  <c r="AL35" i="17" s="1"/>
  <c r="AQ35" i="17" s="1"/>
  <c r="K35" i="17"/>
  <c r="AP35" i="17" s="1"/>
  <c r="L35" i="17"/>
  <c r="M35" i="17"/>
  <c r="R35" i="17"/>
  <c r="S35" i="17"/>
  <c r="T35" i="17"/>
  <c r="AE35" i="17"/>
  <c r="AK35" i="17"/>
  <c r="D36" i="17"/>
  <c r="I37" i="48" s="1"/>
  <c r="I38" i="48" s="1"/>
  <c r="E36" i="17"/>
  <c r="J37" i="48" s="1"/>
  <c r="L36" i="17"/>
  <c r="M36" i="17"/>
  <c r="N36" i="17"/>
  <c r="X36" i="17"/>
  <c r="AU36" i="17"/>
  <c r="AJ38" i="17"/>
  <c r="AQ38" i="17"/>
  <c r="AR38" i="17"/>
  <c r="AS38" i="17"/>
  <c r="AU38" i="17"/>
  <c r="C39" i="17"/>
  <c r="D39" i="17"/>
  <c r="E39" i="17"/>
  <c r="F39" i="17"/>
  <c r="AQ39" i="17"/>
  <c r="AR39" i="17"/>
  <c r="AS39" i="17"/>
  <c r="B40" i="17"/>
  <c r="C40" i="17"/>
  <c r="E40" i="17"/>
  <c r="F40" i="17"/>
  <c r="G40" i="17"/>
  <c r="H40" i="17"/>
  <c r="I40" i="17"/>
  <c r="J40" i="17"/>
  <c r="K40" i="17"/>
  <c r="L40" i="17"/>
  <c r="M40" i="17"/>
  <c r="N40" i="17"/>
  <c r="O40" i="17"/>
  <c r="P40" i="17"/>
  <c r="Q40" i="17"/>
  <c r="R40" i="17"/>
  <c r="S40" i="17"/>
  <c r="T40" i="17"/>
  <c r="U40" i="17"/>
  <c r="V40" i="17"/>
  <c r="W40" i="17"/>
  <c r="X40" i="17"/>
  <c r="Y40" i="17"/>
  <c r="Z40" i="17"/>
  <c r="AA40" i="17"/>
  <c r="AB40" i="17"/>
  <c r="AC40" i="17"/>
  <c r="AD40" i="17"/>
  <c r="AE40" i="17"/>
  <c r="AH40" i="17"/>
  <c r="AJ40" i="17"/>
  <c r="L42" i="17"/>
  <c r="M42" i="17"/>
  <c r="L43" i="17"/>
  <c r="M43" i="17"/>
  <c r="R43" i="17"/>
  <c r="X43" i="17"/>
  <c r="L44" i="17"/>
  <c r="M44" i="17"/>
  <c r="N44" i="17"/>
  <c r="X44" i="17"/>
  <c r="AC44" i="17"/>
  <c r="D45" i="17"/>
  <c r="AJ45" i="17" s="1"/>
  <c r="E45" i="17"/>
  <c r="F45" i="17"/>
  <c r="L45" i="17"/>
  <c r="M45" i="17"/>
  <c r="N45" i="17"/>
  <c r="R45" i="17"/>
  <c r="S45" i="17"/>
  <c r="X45" i="17"/>
  <c r="Y45" i="17"/>
  <c r="Z45" i="17"/>
  <c r="AK45" i="17"/>
  <c r="AU45" i="17"/>
  <c r="D46" i="17"/>
  <c r="E46" i="17"/>
  <c r="F46" i="17"/>
  <c r="AJ46" i="17" s="1"/>
  <c r="L46" i="17"/>
  <c r="Q46" i="17"/>
  <c r="X46" i="17"/>
  <c r="Y46" i="17"/>
  <c r="Z46" i="17"/>
  <c r="AK46" i="17"/>
  <c r="AU46" i="17"/>
  <c r="X47" i="17"/>
  <c r="D48" i="17"/>
  <c r="X48" i="17"/>
  <c r="Y48" i="17"/>
  <c r="D49" i="17"/>
  <c r="E49" i="17"/>
  <c r="AU49" i="17" s="1"/>
  <c r="F49" i="17"/>
  <c r="AK49" i="17" s="1"/>
  <c r="G49" i="17"/>
  <c r="AL49" i="17" s="1"/>
  <c r="AQ49" i="17" s="1"/>
  <c r="L49" i="17"/>
  <c r="R49" i="17"/>
  <c r="S49" i="17"/>
  <c r="T49" i="17"/>
  <c r="X49" i="17"/>
  <c r="AJ49" i="17"/>
  <c r="D50" i="17"/>
  <c r="E50" i="17"/>
  <c r="F50" i="17"/>
  <c r="AK50" i="17" s="1"/>
  <c r="G50" i="17"/>
  <c r="AE50" i="17" s="1"/>
  <c r="L50" i="17"/>
  <c r="M50" i="17"/>
  <c r="R50" i="17"/>
  <c r="X50" i="17"/>
  <c r="Y50" i="17"/>
  <c r="Z50" i="17"/>
  <c r="AJ50" i="17"/>
  <c r="AL50" i="17"/>
  <c r="AQ50" i="17" s="1"/>
  <c r="AU50" i="17"/>
  <c r="D51" i="17"/>
  <c r="E51" i="17"/>
  <c r="F51" i="17"/>
  <c r="G51" i="17"/>
  <c r="L51" i="17"/>
  <c r="M51" i="17"/>
  <c r="N51" i="17"/>
  <c r="R51" i="17"/>
  <c r="S51" i="17"/>
  <c r="X51" i="17"/>
  <c r="Y51" i="17"/>
  <c r="AE51" i="17"/>
  <c r="AJ51" i="17"/>
  <c r="AK51" i="17"/>
  <c r="AL51" i="17"/>
  <c r="AQ51" i="17"/>
  <c r="AU51" i="17"/>
  <c r="AI53" i="17"/>
  <c r="AJ53" i="17"/>
  <c r="AK53" i="17"/>
  <c r="AL53" i="17"/>
  <c r="AM53" i="17"/>
  <c r="AQ53" i="17" s="1"/>
  <c r="AN53" i="17"/>
  <c r="AO53" i="17"/>
  <c r="AP53" i="17"/>
  <c r="AU53" i="17"/>
  <c r="D54" i="17"/>
  <c r="C154" i="11"/>
  <c r="E54" i="17"/>
  <c r="AU54" i="17"/>
  <c r="F54" i="17"/>
  <c r="E154" i="11" s="1"/>
  <c r="E160" i="7" s="1"/>
  <c r="K54" i="17"/>
  <c r="AP54" i="17" s="1"/>
  <c r="L54" i="17"/>
  <c r="X54" i="17"/>
  <c r="D55" i="17"/>
  <c r="C155" i="11"/>
  <c r="F55" i="17"/>
  <c r="AB155" i="12" s="1"/>
  <c r="L55" i="17"/>
  <c r="M55" i="17"/>
  <c r="R55" i="17"/>
  <c r="S55" i="17"/>
  <c r="X55" i="17"/>
  <c r="AU55" i="17"/>
  <c r="D56" i="17"/>
  <c r="F56" i="17"/>
  <c r="G56" i="17"/>
  <c r="H56" i="17"/>
  <c r="I56" i="17"/>
  <c r="J56" i="17"/>
  <c r="L56" i="17"/>
  <c r="M56" i="17"/>
  <c r="R56" i="17"/>
  <c r="S56" i="17"/>
  <c r="X56" i="17"/>
  <c r="AU56" i="17"/>
  <c r="F58" i="17"/>
  <c r="AU59" i="17"/>
  <c r="F71" i="17"/>
  <c r="G71" i="17"/>
  <c r="F74" i="17"/>
  <c r="G74" i="17"/>
  <c r="F80" i="17"/>
  <c r="G80" i="17"/>
  <c r="F85" i="17"/>
  <c r="G85" i="17"/>
  <c r="E3" i="1"/>
  <c r="E42" i="1" s="1"/>
  <c r="B13" i="1"/>
  <c r="L3" i="16"/>
  <c r="M3" i="16"/>
  <c r="W3" i="16"/>
  <c r="W4" i="16"/>
  <c r="W5" i="16"/>
  <c r="W6" i="16"/>
  <c r="D7" i="16"/>
  <c r="D8" i="16"/>
  <c r="W8" i="16"/>
  <c r="D9" i="16"/>
  <c r="T9" i="16"/>
  <c r="D10" i="16"/>
  <c r="W10" i="16" s="1"/>
  <c r="W11" i="16"/>
  <c r="U12" i="16"/>
  <c r="W12" i="16"/>
  <c r="W13" i="16"/>
  <c r="O13" i="15" s="1"/>
  <c r="W14" i="16"/>
  <c r="G15" i="16"/>
  <c r="W15" i="16" s="1"/>
  <c r="T15" i="16"/>
  <c r="W16" i="16"/>
  <c r="W17" i="16"/>
  <c r="W18" i="16"/>
  <c r="T19" i="16"/>
  <c r="W19" i="16"/>
  <c r="T20" i="16"/>
  <c r="W20" i="16"/>
  <c r="C21" i="16"/>
  <c r="E21" i="16"/>
  <c r="F21" i="16"/>
  <c r="G21" i="16"/>
  <c r="J21" i="16"/>
  <c r="K21" i="16"/>
  <c r="L21" i="16"/>
  <c r="M21" i="16"/>
  <c r="N21" i="16"/>
  <c r="O21" i="16"/>
  <c r="P21" i="16"/>
  <c r="Q21" i="16"/>
  <c r="R21" i="16"/>
  <c r="S21" i="16"/>
  <c r="U21" i="16"/>
  <c r="V21" i="16"/>
  <c r="U24" i="16"/>
  <c r="N3" i="15"/>
  <c r="N4" i="15"/>
  <c r="N5" i="15"/>
  <c r="O5" i="15" s="1"/>
  <c r="N6" i="15"/>
  <c r="O6" i="15" s="1"/>
  <c r="N7" i="15"/>
  <c r="N8" i="15"/>
  <c r="O8" i="15" s="1"/>
  <c r="N9" i="15"/>
  <c r="N10" i="15"/>
  <c r="O10" i="15"/>
  <c r="N11" i="15"/>
  <c r="O11" i="15" s="1"/>
  <c r="N12" i="15"/>
  <c r="O12" i="15" s="1"/>
  <c r="N13" i="15"/>
  <c r="N14" i="15"/>
  <c r="O14" i="15"/>
  <c r="N15" i="15"/>
  <c r="N16" i="15"/>
  <c r="O16" i="15" s="1"/>
  <c r="N17" i="15"/>
  <c r="O17" i="15"/>
  <c r="N18" i="15"/>
  <c r="O18" i="15"/>
  <c r="N19" i="15"/>
  <c r="N20" i="15"/>
  <c r="C21" i="15"/>
  <c r="D21" i="15"/>
  <c r="E21" i="15"/>
  <c r="F21" i="15"/>
  <c r="G21" i="15"/>
  <c r="H21" i="15"/>
  <c r="I21" i="15"/>
  <c r="J21" i="15"/>
  <c r="K21" i="15"/>
  <c r="L21" i="15"/>
  <c r="M21" i="15"/>
  <c r="I4" i="14"/>
  <c r="J4" i="14"/>
  <c r="K4" i="14"/>
  <c r="L4" i="14"/>
  <c r="M4" i="14"/>
  <c r="N4" i="14"/>
  <c r="O4" i="14"/>
  <c r="P4" i="14"/>
  <c r="Q4" i="14"/>
  <c r="I5" i="14"/>
  <c r="L5" i="14"/>
  <c r="M5" i="14"/>
  <c r="N5" i="14"/>
  <c r="O5" i="14"/>
  <c r="P5" i="14"/>
  <c r="Q5" i="14"/>
  <c r="L7" i="14"/>
  <c r="M7" i="14" s="1"/>
  <c r="L8" i="14"/>
  <c r="R8" i="14" s="1"/>
  <c r="I9" i="14"/>
  <c r="I16" i="14" s="1"/>
  <c r="K9" i="14"/>
  <c r="L10" i="14"/>
  <c r="L12" i="14" s="1"/>
  <c r="R12" i="14" s="1"/>
  <c r="M10" i="14"/>
  <c r="L11" i="14"/>
  <c r="R11" i="14" s="1"/>
  <c r="M11" i="14"/>
  <c r="I12" i="14"/>
  <c r="K12" i="14"/>
  <c r="L13" i="14"/>
  <c r="M13" i="14" s="1"/>
  <c r="R13" i="14"/>
  <c r="S13" i="14"/>
  <c r="L14" i="14"/>
  <c r="M14" i="14" s="1"/>
  <c r="N14" i="14" s="1"/>
  <c r="R14" i="14"/>
  <c r="S14" i="14"/>
  <c r="I15" i="14"/>
  <c r="K15" i="14"/>
  <c r="L17" i="14"/>
  <c r="R17" i="14" s="1"/>
  <c r="L18" i="14"/>
  <c r="R18" i="14" s="1"/>
  <c r="L19" i="14"/>
  <c r="R19" i="14" s="1"/>
  <c r="L20" i="14"/>
  <c r="R20" i="14" s="1"/>
  <c r="M20" i="14"/>
  <c r="L21" i="14"/>
  <c r="R21" i="14" s="1"/>
  <c r="M21" i="14"/>
  <c r="L22" i="14"/>
  <c r="R22" i="14" s="1"/>
  <c r="M22" i="14"/>
  <c r="I23" i="14"/>
  <c r="I33" i="14" s="1"/>
  <c r="J23" i="14"/>
  <c r="K23" i="14"/>
  <c r="P23" i="14"/>
  <c r="Y23" i="14"/>
  <c r="L24" i="14"/>
  <c r="M24" i="14"/>
  <c r="R24" i="14"/>
  <c r="L25" i="14"/>
  <c r="M25" i="14"/>
  <c r="S25" i="14" s="1"/>
  <c r="R25" i="14"/>
  <c r="I26" i="14"/>
  <c r="K26" i="14"/>
  <c r="L26" i="14"/>
  <c r="R26" i="14" s="1"/>
  <c r="P26" i="14"/>
  <c r="Y26" i="14"/>
  <c r="L27" i="14"/>
  <c r="L28" i="14"/>
  <c r="I29" i="14"/>
  <c r="K29" i="14"/>
  <c r="P29" i="14"/>
  <c r="Y29" i="14"/>
  <c r="L30" i="14"/>
  <c r="M30" i="14"/>
  <c r="N30" i="14" s="1"/>
  <c r="R30" i="14"/>
  <c r="L31" i="14"/>
  <c r="M31" i="14"/>
  <c r="S31" i="14" s="1"/>
  <c r="R31" i="14"/>
  <c r="I32" i="14"/>
  <c r="K32" i="14"/>
  <c r="L32" i="14"/>
  <c r="P32" i="14"/>
  <c r="Y32" i="14"/>
  <c r="L34" i="14"/>
  <c r="M34" i="14" s="1"/>
  <c r="R34" i="14"/>
  <c r="I35" i="14"/>
  <c r="K35" i="14"/>
  <c r="L35" i="14" s="1"/>
  <c r="R35" i="14" s="1"/>
  <c r="X35" i="14"/>
  <c r="L36" i="14"/>
  <c r="V36" i="14"/>
  <c r="I37" i="14"/>
  <c r="J37" i="14"/>
  <c r="K37" i="14"/>
  <c r="V37" i="14" s="1"/>
  <c r="P37" i="14"/>
  <c r="Y37" i="14"/>
  <c r="L38" i="14"/>
  <c r="L39" i="14"/>
  <c r="L40" i="14"/>
  <c r="M40" i="14"/>
  <c r="L41" i="14"/>
  <c r="R41" i="14" s="1"/>
  <c r="L42" i="14"/>
  <c r="R42" i="14" s="1"/>
  <c r="I43" i="14"/>
  <c r="K43" i="14"/>
  <c r="P43" i="14"/>
  <c r="Y43" i="14"/>
  <c r="I44" i="14"/>
  <c r="K44" i="14"/>
  <c r="L44" i="14"/>
  <c r="M44" i="14" s="1"/>
  <c r="N44" i="14" s="1"/>
  <c r="Q44" i="14" s="1"/>
  <c r="O44" i="14"/>
  <c r="U44" i="14" s="1"/>
  <c r="R44" i="14"/>
  <c r="S44" i="14"/>
  <c r="P45" i="14"/>
  <c r="P47" i="14" s="1"/>
  <c r="P51" i="14" s="1"/>
  <c r="L46" i="14"/>
  <c r="M46" i="14"/>
  <c r="S46" i="14" s="1"/>
  <c r="R46" i="14"/>
  <c r="B3" i="13"/>
  <c r="B3" i="20" s="1"/>
  <c r="I3" i="13"/>
  <c r="I3" i="20" s="1"/>
  <c r="J3" i="13"/>
  <c r="J3" i="20" s="1"/>
  <c r="J3" i="40" s="1"/>
  <c r="J3" i="41" s="1"/>
  <c r="J3" i="43" s="1"/>
  <c r="J3" i="44" s="1"/>
  <c r="J3" i="45" s="1"/>
  <c r="J3" i="46" s="1"/>
  <c r="K3" i="13"/>
  <c r="K3" i="20" s="1"/>
  <c r="L3" i="13"/>
  <c r="L3" i="20" s="1"/>
  <c r="M3" i="13"/>
  <c r="M3" i="20" s="1"/>
  <c r="N3" i="13"/>
  <c r="N3" i="20"/>
  <c r="O3" i="13"/>
  <c r="O3" i="20" s="1"/>
  <c r="P3" i="13"/>
  <c r="P3" i="20"/>
  <c r="Q3" i="13"/>
  <c r="Q3" i="20" s="1"/>
  <c r="R3" i="13"/>
  <c r="S3" i="13"/>
  <c r="S3" i="20" s="1"/>
  <c r="T3" i="13"/>
  <c r="T3" i="20" s="1"/>
  <c r="I4" i="13"/>
  <c r="J4" i="13"/>
  <c r="K4" i="13"/>
  <c r="L4" i="13"/>
  <c r="M4" i="13"/>
  <c r="N4" i="13"/>
  <c r="O4" i="13"/>
  <c r="P4" i="13"/>
  <c r="Q4" i="13"/>
  <c r="R4" i="13"/>
  <c r="S4" i="13"/>
  <c r="T4" i="13"/>
  <c r="I5" i="13"/>
  <c r="I5" i="40" s="1"/>
  <c r="I5" i="41" s="1"/>
  <c r="I5" i="43" s="1"/>
  <c r="I5" i="44" s="1"/>
  <c r="I5" i="45" s="1"/>
  <c r="I5" i="46" s="1"/>
  <c r="I5" i="47" s="1"/>
  <c r="J5" i="13"/>
  <c r="J5" i="40" s="1"/>
  <c r="J5" i="41" s="1"/>
  <c r="J5" i="43" s="1"/>
  <c r="J5" i="44" s="1"/>
  <c r="J5" i="45" s="1"/>
  <c r="J5" i="46" s="1"/>
  <c r="J5" i="47" s="1"/>
  <c r="K5" i="13"/>
  <c r="K5" i="40" s="1"/>
  <c r="K5" i="41" s="1"/>
  <c r="K5" i="43" s="1"/>
  <c r="K5" i="44" s="1"/>
  <c r="K5" i="45" s="1"/>
  <c r="K5" i="46" s="1"/>
  <c r="L5" i="13"/>
  <c r="L5" i="40" s="1"/>
  <c r="L5" i="41" s="1"/>
  <c r="L5" i="43" s="1"/>
  <c r="L5" i="44" s="1"/>
  <c r="L5" i="45" s="1"/>
  <c r="L5" i="46" s="1"/>
  <c r="M5" i="13"/>
  <c r="M5" i="40" s="1"/>
  <c r="M5" i="41" s="1"/>
  <c r="M5" i="43" s="1"/>
  <c r="M5" i="44" s="1"/>
  <c r="M5" i="45" s="1"/>
  <c r="M5" i="46" s="1"/>
  <c r="N5" i="13"/>
  <c r="N5" i="40" s="1"/>
  <c r="N5" i="41" s="1"/>
  <c r="N5" i="43" s="1"/>
  <c r="N5" i="44" s="1"/>
  <c r="N5" i="45" s="1"/>
  <c r="N5" i="46" s="1"/>
  <c r="N93" i="46" s="1"/>
  <c r="O5" i="13"/>
  <c r="O5" i="40" s="1"/>
  <c r="O5" i="41" s="1"/>
  <c r="O5" i="43" s="1"/>
  <c r="O5" i="44" s="1"/>
  <c r="O5" i="45" s="1"/>
  <c r="O5" i="46" s="1"/>
  <c r="O5" i="47" s="1"/>
  <c r="P5" i="13"/>
  <c r="P5" i="40" s="1"/>
  <c r="P5" i="41" s="1"/>
  <c r="P5" i="43" s="1"/>
  <c r="P5" i="44" s="1"/>
  <c r="P5" i="45" s="1"/>
  <c r="P5" i="46" s="1"/>
  <c r="P93" i="46" s="1"/>
  <c r="Q5" i="13"/>
  <c r="Q5" i="40" s="1"/>
  <c r="Q5" i="41" s="1"/>
  <c r="Q5" i="43" s="1"/>
  <c r="Q5" i="44" s="1"/>
  <c r="Q5" i="45" s="1"/>
  <c r="Q5" i="46" s="1"/>
  <c r="L7" i="13"/>
  <c r="M7" i="13" s="1"/>
  <c r="R7" i="13"/>
  <c r="X7" i="13"/>
  <c r="AE7" i="13"/>
  <c r="L8" i="13"/>
  <c r="M8" i="13"/>
  <c r="X8" i="13"/>
  <c r="AE8" i="13"/>
  <c r="K9" i="13"/>
  <c r="L9" i="13"/>
  <c r="M9" i="13" s="1"/>
  <c r="P9" i="13"/>
  <c r="R9" i="13"/>
  <c r="X9" i="13"/>
  <c r="Z9" i="13"/>
  <c r="AE9" i="13"/>
  <c r="L10" i="13"/>
  <c r="M10" i="13" s="1"/>
  <c r="N10" i="13" s="1"/>
  <c r="P10" i="13"/>
  <c r="S10" i="13"/>
  <c r="X10" i="13"/>
  <c r="Z10" i="13"/>
  <c r="AE10" i="13"/>
  <c r="K11" i="13"/>
  <c r="L11" i="13" s="1"/>
  <c r="R11" i="13" s="1"/>
  <c r="AE11" i="13"/>
  <c r="L12" i="13"/>
  <c r="M12" i="13" s="1"/>
  <c r="N12" i="13" s="1"/>
  <c r="P12" i="13"/>
  <c r="O12" i="12" s="1"/>
  <c r="S12" i="13"/>
  <c r="T12" i="13"/>
  <c r="Z12" i="13"/>
  <c r="AE12" i="13"/>
  <c r="L13" i="13"/>
  <c r="R13" i="13" s="1"/>
  <c r="M13" i="13"/>
  <c r="S13" i="13" s="1"/>
  <c r="P13" i="13"/>
  <c r="Z13" i="13"/>
  <c r="Z18" i="13" s="1"/>
  <c r="AE13" i="13"/>
  <c r="L14" i="13"/>
  <c r="AE14" i="13"/>
  <c r="L15" i="13"/>
  <c r="M15" i="13" s="1"/>
  <c r="N15" i="13" s="1"/>
  <c r="AG15" i="13" s="1"/>
  <c r="R15" i="13"/>
  <c r="S15" i="13"/>
  <c r="T15" i="13"/>
  <c r="AE15" i="13"/>
  <c r="L16" i="13"/>
  <c r="M16" i="13"/>
  <c r="R16" i="13"/>
  <c r="AE16" i="13"/>
  <c r="K17" i="13"/>
  <c r="L17" i="13" s="1"/>
  <c r="R17" i="13" s="1"/>
  <c r="M17" i="13"/>
  <c r="AE17" i="13"/>
  <c r="I18" i="13"/>
  <c r="J18" i="13"/>
  <c r="AA18" i="13"/>
  <c r="AB18" i="13"/>
  <c r="AE18" i="13"/>
  <c r="L19" i="13"/>
  <c r="M19" i="13" s="1"/>
  <c r="R19" i="13"/>
  <c r="AE19" i="13"/>
  <c r="I20" i="13"/>
  <c r="J20" i="13"/>
  <c r="AE20" i="13" s="1"/>
  <c r="K20" i="13"/>
  <c r="R20" i="13" s="1"/>
  <c r="L20" i="13"/>
  <c r="P20" i="13"/>
  <c r="Z20" i="13"/>
  <c r="L21" i="13"/>
  <c r="M21" i="13"/>
  <c r="S21" i="13" s="1"/>
  <c r="R21" i="13"/>
  <c r="AE21" i="13"/>
  <c r="R22" i="13"/>
  <c r="S22" i="13"/>
  <c r="T22" i="13"/>
  <c r="U22" i="13"/>
  <c r="AE22" i="13"/>
  <c r="AG22" i="13"/>
  <c r="R23" i="13"/>
  <c r="S23" i="13"/>
  <c r="T23" i="13"/>
  <c r="U23" i="13"/>
  <c r="AE23" i="13"/>
  <c r="AG23" i="13"/>
  <c r="R24" i="13"/>
  <c r="S24" i="13"/>
  <c r="T24" i="13"/>
  <c r="U24" i="13"/>
  <c r="AE24" i="13"/>
  <c r="AG24" i="13"/>
  <c r="R25" i="13"/>
  <c r="S25" i="13"/>
  <c r="T25" i="13"/>
  <c r="U25" i="13"/>
  <c r="AE25" i="13"/>
  <c r="AG25" i="13"/>
  <c r="R26" i="13"/>
  <c r="S26" i="13"/>
  <c r="T26" i="13"/>
  <c r="U26" i="13"/>
  <c r="AE26" i="13"/>
  <c r="AG26" i="13"/>
  <c r="I27" i="13"/>
  <c r="J27" i="13"/>
  <c r="AE27" i="13" s="1"/>
  <c r="K27" i="13"/>
  <c r="L27" i="13"/>
  <c r="M27" i="13"/>
  <c r="T27" i="13" s="1"/>
  <c r="N27" i="13"/>
  <c r="O27" i="13"/>
  <c r="P27" i="13"/>
  <c r="S27" i="13"/>
  <c r="U27" i="13"/>
  <c r="Z27" i="13"/>
  <c r="AG27" i="13"/>
  <c r="R28" i="13"/>
  <c r="S28" i="13"/>
  <c r="T28" i="13"/>
  <c r="U28" i="13"/>
  <c r="AE28" i="13"/>
  <c r="AG28" i="13"/>
  <c r="R29" i="13"/>
  <c r="S29" i="13"/>
  <c r="T29" i="13"/>
  <c r="U29" i="13"/>
  <c r="AE29" i="13"/>
  <c r="AG29" i="13"/>
  <c r="R30" i="13"/>
  <c r="S30" i="13"/>
  <c r="T30" i="13"/>
  <c r="U30" i="13"/>
  <c r="AE30" i="13"/>
  <c r="AG30" i="13"/>
  <c r="R31" i="13"/>
  <c r="S31" i="13"/>
  <c r="T31" i="13"/>
  <c r="U31" i="13"/>
  <c r="AE31" i="13"/>
  <c r="AG31" i="13"/>
  <c r="R32" i="13"/>
  <c r="S32" i="13"/>
  <c r="T32" i="13"/>
  <c r="U32" i="13"/>
  <c r="AE32" i="13"/>
  <c r="AG32" i="13"/>
  <c r="I33" i="13"/>
  <c r="K33" i="13"/>
  <c r="L33" i="13"/>
  <c r="M33" i="13"/>
  <c r="N33" i="13"/>
  <c r="T33" i="13" s="1"/>
  <c r="O33" i="13"/>
  <c r="U33" i="13" s="1"/>
  <c r="P33" i="13"/>
  <c r="R33" i="13"/>
  <c r="S33" i="13"/>
  <c r="Z33" i="13"/>
  <c r="AB33" i="13"/>
  <c r="AE33" i="13"/>
  <c r="AG33" i="13"/>
  <c r="I34" i="13"/>
  <c r="K34" i="13"/>
  <c r="L34" i="13"/>
  <c r="M34" i="13" s="1"/>
  <c r="R34" i="13"/>
  <c r="AE34" i="13"/>
  <c r="L35" i="13"/>
  <c r="R35" i="13" s="1"/>
  <c r="M35" i="13"/>
  <c r="AE35" i="13"/>
  <c r="L36" i="13"/>
  <c r="R36" i="13" s="1"/>
  <c r="M36" i="13"/>
  <c r="AE36" i="13"/>
  <c r="L37" i="13"/>
  <c r="M37" i="13" s="1"/>
  <c r="N37" i="13" s="1"/>
  <c r="R37" i="13"/>
  <c r="S37" i="13"/>
  <c r="T37" i="13"/>
  <c r="AE37" i="13"/>
  <c r="I38" i="13"/>
  <c r="J38" i="13"/>
  <c r="K38" i="13"/>
  <c r="P38" i="13"/>
  <c r="Z38" i="13"/>
  <c r="L39" i="13"/>
  <c r="R39" i="13" s="1"/>
  <c r="L40" i="13"/>
  <c r="P40" i="13"/>
  <c r="Z40" i="13"/>
  <c r="Z42" i="13" s="1"/>
  <c r="Z50" i="13" s="1"/>
  <c r="Z58" i="13" s="1"/>
  <c r="L41" i="13"/>
  <c r="M41" i="13"/>
  <c r="N41" i="13" s="1"/>
  <c r="O41" i="13" s="1"/>
  <c r="U41" i="13" s="1"/>
  <c r="P41" i="13"/>
  <c r="R41" i="13"/>
  <c r="S41" i="13"/>
  <c r="Z41" i="13"/>
  <c r="I42" i="13"/>
  <c r="J42" i="13"/>
  <c r="J50" i="13" s="1"/>
  <c r="K42" i="13"/>
  <c r="L43" i="13"/>
  <c r="M43" i="13" s="1"/>
  <c r="R43" i="13"/>
  <c r="L44" i="13"/>
  <c r="M44" i="13"/>
  <c r="S44" i="13" s="1"/>
  <c r="R44" i="13"/>
  <c r="L45" i="13"/>
  <c r="L46" i="13"/>
  <c r="I47" i="13"/>
  <c r="K47" i="13"/>
  <c r="L47" i="13" s="1"/>
  <c r="I48" i="13"/>
  <c r="K48" i="13"/>
  <c r="I49" i="13"/>
  <c r="I50" i="13" s="1"/>
  <c r="I58" i="13" s="1"/>
  <c r="J49" i="13"/>
  <c r="P49" i="13"/>
  <c r="Z49" i="13"/>
  <c r="I51" i="13"/>
  <c r="L51" i="13"/>
  <c r="P51" i="13"/>
  <c r="Z51" i="13"/>
  <c r="AE51" i="13"/>
  <c r="I52" i="13"/>
  <c r="L52" i="13"/>
  <c r="M52" i="13"/>
  <c r="P52" i="13"/>
  <c r="R52" i="13"/>
  <c r="Z52" i="13"/>
  <c r="AE52" i="13"/>
  <c r="I53" i="13"/>
  <c r="K53" i="13"/>
  <c r="L53" i="13" s="1"/>
  <c r="AE53" i="13"/>
  <c r="L54" i="13"/>
  <c r="M54" i="13"/>
  <c r="P54" i="13"/>
  <c r="R54" i="13"/>
  <c r="Z54" i="13"/>
  <c r="AE54" i="13"/>
  <c r="L55" i="13"/>
  <c r="R55" i="13" s="1"/>
  <c r="AE55" i="13"/>
  <c r="L56" i="13"/>
  <c r="M56" i="13"/>
  <c r="N56" i="13" s="1"/>
  <c r="O56" i="13" s="1"/>
  <c r="U56" i="13" s="1"/>
  <c r="R56" i="13"/>
  <c r="AE56" i="13"/>
  <c r="K57" i="13"/>
  <c r="AE57" i="13"/>
  <c r="I59" i="13"/>
  <c r="Z59" i="13"/>
  <c r="AE60" i="13"/>
  <c r="AG60" i="13"/>
  <c r="R61" i="13"/>
  <c r="S61" i="13"/>
  <c r="T61" i="13"/>
  <c r="U61" i="13"/>
  <c r="AE61" i="13"/>
  <c r="AG61" i="13"/>
  <c r="I62" i="13"/>
  <c r="K62" i="13"/>
  <c r="L62" i="13"/>
  <c r="R62" i="13" s="1"/>
  <c r="M62" i="13"/>
  <c r="N62" i="13"/>
  <c r="O62" i="13"/>
  <c r="U62" i="13" s="1"/>
  <c r="P62" i="13"/>
  <c r="O63" i="13" s="1"/>
  <c r="T62" i="13"/>
  <c r="Z62" i="13"/>
  <c r="AE62" i="13"/>
  <c r="AG62" i="13"/>
  <c r="I63" i="13"/>
  <c r="L63" i="13"/>
  <c r="M63" i="13"/>
  <c r="P63" i="13"/>
  <c r="S63" i="13"/>
  <c r="Z63" i="13"/>
  <c r="AE63" i="13"/>
  <c r="I64" i="13"/>
  <c r="K64" i="13"/>
  <c r="AE64" i="13"/>
  <c r="L65" i="13"/>
  <c r="M65" i="13" s="1"/>
  <c r="N65" i="13" s="1"/>
  <c r="AE65" i="13"/>
  <c r="I66" i="13"/>
  <c r="K66" i="13"/>
  <c r="L66" i="13" s="1"/>
  <c r="AE66" i="13"/>
  <c r="R67" i="13"/>
  <c r="S67" i="13"/>
  <c r="T67" i="13"/>
  <c r="U67" i="13"/>
  <c r="AE67" i="13"/>
  <c r="AG67" i="13"/>
  <c r="R68" i="13"/>
  <c r="S68" i="13"/>
  <c r="T68" i="13"/>
  <c r="U68" i="13"/>
  <c r="AE68" i="13"/>
  <c r="AG68" i="13"/>
  <c r="L69" i="13"/>
  <c r="M69" i="13" s="1"/>
  <c r="S69" i="13" s="1"/>
  <c r="N69" i="13"/>
  <c r="R69" i="13"/>
  <c r="AE69" i="13"/>
  <c r="I70" i="13"/>
  <c r="J70" i="13"/>
  <c r="P70" i="13"/>
  <c r="Z70" i="13"/>
  <c r="AF70" i="13"/>
  <c r="K71" i="13"/>
  <c r="L71" i="13" s="1"/>
  <c r="AE71" i="13"/>
  <c r="I72" i="13"/>
  <c r="K72" i="13"/>
  <c r="L72" i="13" s="1"/>
  <c r="AE72" i="13"/>
  <c r="I73" i="13"/>
  <c r="I71" i="13" s="1"/>
  <c r="I74" i="13" s="1"/>
  <c r="C31" i="11" s="1"/>
  <c r="K73" i="13"/>
  <c r="L73" i="13"/>
  <c r="R73" i="13"/>
  <c r="M73" i="13"/>
  <c r="N73" i="13" s="1"/>
  <c r="AE73" i="13"/>
  <c r="J74" i="13"/>
  <c r="K74" i="13"/>
  <c r="P74" i="13"/>
  <c r="Z74" i="13"/>
  <c r="L75" i="13"/>
  <c r="M75" i="13"/>
  <c r="AE75" i="13"/>
  <c r="I76" i="13"/>
  <c r="K76" i="13"/>
  <c r="L76" i="13"/>
  <c r="M76" i="13" s="1"/>
  <c r="S76" i="13" s="1"/>
  <c r="AE76" i="13"/>
  <c r="I77" i="13"/>
  <c r="K77" i="13"/>
  <c r="L77" i="13"/>
  <c r="M77" i="13"/>
  <c r="N77" i="13" s="1"/>
  <c r="Q77" i="13" s="1"/>
  <c r="O77" i="13"/>
  <c r="U77" i="13" s="1"/>
  <c r="R77" i="13"/>
  <c r="S77" i="13"/>
  <c r="AE77" i="13"/>
  <c r="AG77" i="13"/>
  <c r="I78" i="13"/>
  <c r="J78" i="13"/>
  <c r="K78" i="13"/>
  <c r="P78" i="13"/>
  <c r="Z78" i="13"/>
  <c r="AE78" i="13"/>
  <c r="L79" i="13"/>
  <c r="R79" i="13" s="1"/>
  <c r="M79" i="13"/>
  <c r="N79" i="13"/>
  <c r="S79" i="13"/>
  <c r="AE79" i="13"/>
  <c r="I80" i="13"/>
  <c r="L80" i="13"/>
  <c r="M80" i="13" s="1"/>
  <c r="N80" i="13" s="1"/>
  <c r="AE80" i="13"/>
  <c r="I81" i="13"/>
  <c r="L81" i="13"/>
  <c r="M81" i="13" s="1"/>
  <c r="AE81" i="13"/>
  <c r="L82" i="13"/>
  <c r="M82" i="13"/>
  <c r="R82" i="13"/>
  <c r="AE82" i="13"/>
  <c r="I83" i="13"/>
  <c r="J83" i="13"/>
  <c r="K83" i="13"/>
  <c r="P83" i="13"/>
  <c r="Z83" i="13"/>
  <c r="L84" i="13"/>
  <c r="R84" i="13" s="1"/>
  <c r="M84" i="13"/>
  <c r="AE84" i="13"/>
  <c r="I85" i="13"/>
  <c r="I87" i="13" s="1"/>
  <c r="L85" i="13"/>
  <c r="R85" i="13"/>
  <c r="M85" i="13"/>
  <c r="N85" i="13" s="1"/>
  <c r="AE85" i="13"/>
  <c r="L86" i="13"/>
  <c r="M86" i="13"/>
  <c r="AE86" i="13"/>
  <c r="J87" i="13"/>
  <c r="AE87" i="13" s="1"/>
  <c r="K87" i="13"/>
  <c r="P87" i="13"/>
  <c r="Z87" i="13"/>
  <c r="L88" i="13"/>
  <c r="M88" i="13"/>
  <c r="P88" i="13"/>
  <c r="R88" i="13"/>
  <c r="AE88" i="13"/>
  <c r="I89" i="13"/>
  <c r="L89" i="13"/>
  <c r="R89" i="13"/>
  <c r="M89" i="13"/>
  <c r="N89" i="13"/>
  <c r="X89" i="13"/>
  <c r="AE89" i="13"/>
  <c r="I90" i="13"/>
  <c r="J90" i="13"/>
  <c r="AE90" i="13" s="1"/>
  <c r="K90" i="13"/>
  <c r="P90" i="13"/>
  <c r="Z90" i="13"/>
  <c r="I91" i="13"/>
  <c r="L91" i="13"/>
  <c r="R91" i="13" s="1"/>
  <c r="P91" i="13"/>
  <c r="AE91" i="13"/>
  <c r="L92" i="13"/>
  <c r="R92" i="13" s="1"/>
  <c r="M92" i="13"/>
  <c r="AE92" i="13"/>
  <c r="I93" i="13"/>
  <c r="I97" i="13" s="1"/>
  <c r="K93" i="13"/>
  <c r="L93" i="13" s="1"/>
  <c r="AE93" i="13"/>
  <c r="L94" i="13"/>
  <c r="R94" i="13"/>
  <c r="M94" i="13"/>
  <c r="AE94" i="13"/>
  <c r="L95" i="13"/>
  <c r="M95" i="13"/>
  <c r="AE95" i="13"/>
  <c r="L96" i="13"/>
  <c r="M96" i="13"/>
  <c r="P96" i="13"/>
  <c r="P97" i="13" s="1"/>
  <c r="R96" i="13"/>
  <c r="AE96" i="13"/>
  <c r="J97" i="13"/>
  <c r="AE97" i="13"/>
  <c r="K97" i="13"/>
  <c r="Z97" i="13"/>
  <c r="I98" i="13"/>
  <c r="K98" i="13"/>
  <c r="L98" i="13"/>
  <c r="P98" i="13"/>
  <c r="Z98" i="13"/>
  <c r="AE98" i="13"/>
  <c r="I99" i="13"/>
  <c r="K99" i="13"/>
  <c r="L99" i="13"/>
  <c r="M99" i="13"/>
  <c r="N99" i="13" s="1"/>
  <c r="T99" i="13" s="1"/>
  <c r="O99" i="13"/>
  <c r="U99" i="13" s="1"/>
  <c r="P99" i="13"/>
  <c r="Q99" i="13" s="1"/>
  <c r="R99" i="13"/>
  <c r="AE99" i="13"/>
  <c r="T102" i="13"/>
  <c r="U102" i="13"/>
  <c r="AE102" i="13"/>
  <c r="AG102" i="13"/>
  <c r="AE103" i="13"/>
  <c r="L104" i="13"/>
  <c r="M104" i="13"/>
  <c r="N104" i="13" s="1"/>
  <c r="Q104" i="13" s="1"/>
  <c r="R104" i="13"/>
  <c r="S104" i="13"/>
  <c r="T104" i="13"/>
  <c r="AE104" i="13"/>
  <c r="I105" i="13"/>
  <c r="K105" i="13"/>
  <c r="L105" i="13"/>
  <c r="AE105" i="13"/>
  <c r="I106" i="13"/>
  <c r="I119" i="13" s="1"/>
  <c r="L106" i="13"/>
  <c r="M106" i="13"/>
  <c r="P106" i="13"/>
  <c r="V106" i="13"/>
  <c r="W106" i="13" s="1"/>
  <c r="Z106" i="13"/>
  <c r="AE106" i="13"/>
  <c r="L107" i="13"/>
  <c r="V107" i="13"/>
  <c r="W107" i="13" s="1"/>
  <c r="AE107" i="13"/>
  <c r="L108" i="13"/>
  <c r="M108" i="13"/>
  <c r="N108" i="13" s="1"/>
  <c r="R108" i="13"/>
  <c r="AE108" i="13"/>
  <c r="L109" i="13"/>
  <c r="M109" i="13"/>
  <c r="S109" i="13" s="1"/>
  <c r="P109" i="13"/>
  <c r="P119" i="13" s="1"/>
  <c r="J37" i="11" s="1"/>
  <c r="R109" i="13"/>
  <c r="AE109" i="13"/>
  <c r="I110" i="13"/>
  <c r="L110" i="13"/>
  <c r="M110" i="13" s="1"/>
  <c r="P110" i="13"/>
  <c r="U37" i="12" s="1"/>
  <c r="V110" i="13"/>
  <c r="W110" i="13"/>
  <c r="X110" i="13"/>
  <c r="Z110" i="13"/>
  <c r="AE110" i="13"/>
  <c r="I111" i="13"/>
  <c r="L111" i="13"/>
  <c r="M111" i="13" s="1"/>
  <c r="R111" i="13"/>
  <c r="V111" i="13"/>
  <c r="W111" i="13" s="1"/>
  <c r="Z111" i="13"/>
  <c r="AE111" i="13"/>
  <c r="I112" i="13"/>
  <c r="K112" i="13"/>
  <c r="Z112" i="13"/>
  <c r="AE112" i="13"/>
  <c r="L113" i="13"/>
  <c r="AE113" i="13"/>
  <c r="L114" i="13"/>
  <c r="M114" i="13"/>
  <c r="R114" i="13"/>
  <c r="V114" i="13"/>
  <c r="W114" i="13"/>
  <c r="AE114" i="13"/>
  <c r="L115" i="13"/>
  <c r="Z115" i="13"/>
  <c r="Z119" i="13" s="1"/>
  <c r="AE115" i="13"/>
  <c r="I116" i="13"/>
  <c r="K116" i="13"/>
  <c r="L116" i="13"/>
  <c r="M116" i="13" s="1"/>
  <c r="S116" i="13" s="1"/>
  <c r="R116" i="13"/>
  <c r="V116" i="13"/>
  <c r="W116" i="13" s="1"/>
  <c r="Z116" i="13"/>
  <c r="AE116" i="13"/>
  <c r="L117" i="13"/>
  <c r="M117" i="13"/>
  <c r="AE117" i="13"/>
  <c r="S118" i="13"/>
  <c r="AE118" i="13"/>
  <c r="AG118" i="13"/>
  <c r="J119" i="13"/>
  <c r="L120" i="13"/>
  <c r="M120" i="13"/>
  <c r="N120" i="13" s="1"/>
  <c r="P120" i="13"/>
  <c r="R120" i="13"/>
  <c r="T120" i="13"/>
  <c r="AE120" i="13"/>
  <c r="I121" i="13"/>
  <c r="L121" i="13"/>
  <c r="R121" i="13" s="1"/>
  <c r="M121" i="13"/>
  <c r="S121" i="13" s="1"/>
  <c r="P121" i="13"/>
  <c r="V121" i="13"/>
  <c r="W121" i="13" s="1"/>
  <c r="Z121" i="13"/>
  <c r="AE121" i="13"/>
  <c r="L122" i="13"/>
  <c r="M122" i="13" s="1"/>
  <c r="R122" i="13"/>
  <c r="AE122" i="13"/>
  <c r="A123" i="13"/>
  <c r="A125" i="13" s="1"/>
  <c r="L123" i="13"/>
  <c r="R123" i="13" s="1"/>
  <c r="M123" i="13"/>
  <c r="S123" i="13" s="1"/>
  <c r="N123" i="13"/>
  <c r="O123" i="13" s="1"/>
  <c r="U123" i="13" s="1"/>
  <c r="AE123" i="13"/>
  <c r="A124" i="13"/>
  <c r="I124" i="13"/>
  <c r="L124" i="13"/>
  <c r="M124" i="13" s="1"/>
  <c r="S124" i="13" s="1"/>
  <c r="V124" i="13"/>
  <c r="W124" i="13" s="1"/>
  <c r="Z124" i="13"/>
  <c r="AE124" i="13"/>
  <c r="I125" i="13"/>
  <c r="L125" i="13"/>
  <c r="R125" i="13"/>
  <c r="M125" i="13"/>
  <c r="N125" i="13"/>
  <c r="P125" i="13"/>
  <c r="V125" i="13"/>
  <c r="W125" i="13" s="1"/>
  <c r="Z125" i="13"/>
  <c r="AE125" i="13"/>
  <c r="I126" i="13"/>
  <c r="I129" i="13" s="1"/>
  <c r="I130" i="13" s="1"/>
  <c r="K126" i="13"/>
  <c r="L126" i="13"/>
  <c r="L129" i="13" s="1"/>
  <c r="P126" i="13"/>
  <c r="V126" i="13"/>
  <c r="W126" i="13"/>
  <c r="Z126" i="13"/>
  <c r="AE126" i="13"/>
  <c r="L127" i="13"/>
  <c r="M127" i="13" s="1"/>
  <c r="R127" i="13"/>
  <c r="AE127" i="13"/>
  <c r="L128" i="13"/>
  <c r="R128" i="13" s="1"/>
  <c r="AE128" i="13"/>
  <c r="J129" i="13"/>
  <c r="K129" i="13"/>
  <c r="P129" i="13"/>
  <c r="Z129" i="13"/>
  <c r="AE129" i="13"/>
  <c r="J130" i="13"/>
  <c r="D38" i="11" s="1"/>
  <c r="K130" i="13"/>
  <c r="Z130" i="13"/>
  <c r="L131" i="13"/>
  <c r="P131" i="13"/>
  <c r="Z131" i="13"/>
  <c r="AE131" i="13"/>
  <c r="L132" i="13"/>
  <c r="P132" i="13"/>
  <c r="Z132" i="13"/>
  <c r="AE132" i="13"/>
  <c r="L133" i="13"/>
  <c r="M133" i="13" s="1"/>
  <c r="P133" i="13"/>
  <c r="R133" i="13"/>
  <c r="Z133" i="13"/>
  <c r="AE133" i="13"/>
  <c r="L134" i="13"/>
  <c r="V134" i="13"/>
  <c r="W134" i="13"/>
  <c r="AE134" i="13"/>
  <c r="I135" i="13"/>
  <c r="L135" i="13"/>
  <c r="R135" i="13" s="1"/>
  <c r="P135" i="13"/>
  <c r="V135" i="13"/>
  <c r="W135" i="13" s="1"/>
  <c r="Z135" i="13"/>
  <c r="AE135" i="13"/>
  <c r="I136" i="13"/>
  <c r="K136" i="13"/>
  <c r="L136" i="13"/>
  <c r="P136" i="13"/>
  <c r="Z136" i="13"/>
  <c r="AE136" i="13"/>
  <c r="I137" i="13"/>
  <c r="K137" i="13"/>
  <c r="L137" i="13"/>
  <c r="P137" i="13"/>
  <c r="Z137" i="13"/>
  <c r="AE137" i="13"/>
  <c r="I138" i="13"/>
  <c r="K138" i="13"/>
  <c r="L138" i="13"/>
  <c r="AE138" i="13"/>
  <c r="I139" i="13"/>
  <c r="K139" i="13"/>
  <c r="L139" i="13"/>
  <c r="M139" i="13"/>
  <c r="S139" i="13"/>
  <c r="P139" i="13"/>
  <c r="R139" i="13"/>
  <c r="Z139" i="13"/>
  <c r="AE139" i="13"/>
  <c r="I140" i="13"/>
  <c r="K140" i="13"/>
  <c r="L140" i="13"/>
  <c r="M140" i="13"/>
  <c r="N140" i="13" s="1"/>
  <c r="P140" i="13"/>
  <c r="R140" i="13"/>
  <c r="AE140" i="13"/>
  <c r="I141" i="13"/>
  <c r="K141" i="13"/>
  <c r="L141" i="13"/>
  <c r="M141" i="13" s="1"/>
  <c r="S141" i="13" s="1"/>
  <c r="R141" i="13"/>
  <c r="AE141" i="13"/>
  <c r="I142" i="13"/>
  <c r="K142" i="13"/>
  <c r="L142" i="13"/>
  <c r="R142" i="13" s="1"/>
  <c r="M142" i="13"/>
  <c r="N142" i="13"/>
  <c r="AE142" i="13"/>
  <c r="I143" i="13"/>
  <c r="K143" i="13"/>
  <c r="L143" i="13" s="1"/>
  <c r="P143" i="13"/>
  <c r="AE143" i="13"/>
  <c r="I144" i="13"/>
  <c r="K144" i="13"/>
  <c r="L144" i="13" s="1"/>
  <c r="Z144" i="13"/>
  <c r="Z160" i="13" s="1"/>
  <c r="AE144" i="13"/>
  <c r="I145" i="13"/>
  <c r="K145" i="13"/>
  <c r="L145" i="13" s="1"/>
  <c r="P145" i="13"/>
  <c r="Z145" i="13"/>
  <c r="AE145" i="13"/>
  <c r="I146" i="13"/>
  <c r="K146" i="13"/>
  <c r="L146" i="13" s="1"/>
  <c r="M146" i="13" s="1"/>
  <c r="AE146" i="13"/>
  <c r="I147" i="13"/>
  <c r="K147" i="13"/>
  <c r="L147" i="13"/>
  <c r="R147" i="13" s="1"/>
  <c r="M147" i="13"/>
  <c r="S147" i="13" s="1"/>
  <c r="P147" i="13"/>
  <c r="Z147" i="13"/>
  <c r="AE147" i="13"/>
  <c r="I148" i="13"/>
  <c r="K148" i="13"/>
  <c r="L148" i="13"/>
  <c r="R148" i="13" s="1"/>
  <c r="M148" i="13"/>
  <c r="AE148" i="13"/>
  <c r="I149" i="13"/>
  <c r="K149" i="13"/>
  <c r="AE149" i="13"/>
  <c r="I150" i="13"/>
  <c r="K150" i="13"/>
  <c r="L150" i="13" s="1"/>
  <c r="R150" i="13" s="1"/>
  <c r="Z150" i="13"/>
  <c r="AE150" i="13"/>
  <c r="I151" i="13"/>
  <c r="K151" i="13"/>
  <c r="L151" i="13"/>
  <c r="R151" i="13" s="1"/>
  <c r="AE151" i="13"/>
  <c r="I152" i="13"/>
  <c r="K152" i="13"/>
  <c r="L152" i="13" s="1"/>
  <c r="M152" i="13" s="1"/>
  <c r="N152" i="13" s="1"/>
  <c r="R152" i="13"/>
  <c r="AE152" i="13"/>
  <c r="I153" i="13"/>
  <c r="K153" i="13"/>
  <c r="L153" i="13" s="1"/>
  <c r="AE153" i="13"/>
  <c r="I154" i="13"/>
  <c r="K154" i="13"/>
  <c r="L154" i="13"/>
  <c r="M154" i="13" s="1"/>
  <c r="Z154" i="13"/>
  <c r="AE154" i="13"/>
  <c r="L155" i="13"/>
  <c r="R155" i="13"/>
  <c r="M155" i="13"/>
  <c r="P155" i="13"/>
  <c r="AE155" i="13"/>
  <c r="I156" i="13"/>
  <c r="K156" i="13"/>
  <c r="L156" i="13"/>
  <c r="P156" i="13"/>
  <c r="Z156" i="13"/>
  <c r="AE156" i="13"/>
  <c r="K157" i="13"/>
  <c r="L157" i="13" s="1"/>
  <c r="P157" i="13"/>
  <c r="AE157" i="13"/>
  <c r="L158" i="13"/>
  <c r="AE158" i="13"/>
  <c r="L159" i="13"/>
  <c r="AE159" i="13"/>
  <c r="J160" i="13"/>
  <c r="AE160" i="13" s="1"/>
  <c r="L161" i="13"/>
  <c r="R161" i="13" s="1"/>
  <c r="M161" i="13"/>
  <c r="AE161" i="13"/>
  <c r="I162" i="13"/>
  <c r="I165" i="13" s="1"/>
  <c r="I175" i="13" s="1"/>
  <c r="K162" i="13"/>
  <c r="L162" i="13"/>
  <c r="P162" i="13"/>
  <c r="Z162" i="13"/>
  <c r="AE162" i="13"/>
  <c r="K163" i="13"/>
  <c r="L163" i="13"/>
  <c r="P163" i="13"/>
  <c r="AE163" i="13"/>
  <c r="I164" i="13"/>
  <c r="K164" i="13"/>
  <c r="L164" i="13"/>
  <c r="P164" i="13"/>
  <c r="P165" i="13" s="1"/>
  <c r="Z164" i="13"/>
  <c r="AE164" i="13"/>
  <c r="J165" i="13"/>
  <c r="AE165" i="13" s="1"/>
  <c r="K165" i="13"/>
  <c r="K175" i="13" s="1"/>
  <c r="Z165" i="13"/>
  <c r="I166" i="13"/>
  <c r="K166" i="13"/>
  <c r="L166" i="13"/>
  <c r="R166" i="13" s="1"/>
  <c r="Z166" i="13"/>
  <c r="AE166" i="13"/>
  <c r="L167" i="13"/>
  <c r="R167" i="13" s="1"/>
  <c r="Z167" i="13"/>
  <c r="Z175" i="13" s="1"/>
  <c r="AE167" i="13"/>
  <c r="L168" i="13"/>
  <c r="M168" i="13" s="1"/>
  <c r="P168" i="13"/>
  <c r="Z168" i="13"/>
  <c r="AE168" i="13"/>
  <c r="I169" i="13"/>
  <c r="K169" i="13"/>
  <c r="L169" i="13"/>
  <c r="M169" i="13" s="1"/>
  <c r="AE169" i="13"/>
  <c r="I170" i="13"/>
  <c r="K170" i="13"/>
  <c r="V170" i="13" s="1"/>
  <c r="W170" i="13" s="1"/>
  <c r="L170" i="13"/>
  <c r="P170" i="13"/>
  <c r="P173" i="13" s="1"/>
  <c r="Z170" i="13"/>
  <c r="AE170" i="13"/>
  <c r="I171" i="13"/>
  <c r="I173" i="13" s="1"/>
  <c r="K171" i="13"/>
  <c r="L171" i="13"/>
  <c r="M171" i="13" s="1"/>
  <c r="S171" i="13" s="1"/>
  <c r="V171" i="13"/>
  <c r="W171" i="13" s="1"/>
  <c r="Z171" i="13"/>
  <c r="AE171" i="13"/>
  <c r="I172" i="13"/>
  <c r="L172" i="13"/>
  <c r="M172" i="13" s="1"/>
  <c r="P172" i="13"/>
  <c r="AE172" i="13"/>
  <c r="J173" i="13"/>
  <c r="AE173" i="13" s="1"/>
  <c r="K173" i="13"/>
  <c r="Z173" i="13"/>
  <c r="L174" i="13"/>
  <c r="AE174" i="13"/>
  <c r="R176" i="13"/>
  <c r="S176" i="13"/>
  <c r="T176" i="13"/>
  <c r="U176" i="13"/>
  <c r="AE176" i="13"/>
  <c r="AG176" i="13"/>
  <c r="R177" i="13"/>
  <c r="S177" i="13"/>
  <c r="T177" i="13"/>
  <c r="U177" i="13"/>
  <c r="AE177" i="13"/>
  <c r="AG177" i="13"/>
  <c r="L178" i="13"/>
  <c r="M178" i="13"/>
  <c r="AE178" i="13"/>
  <c r="L179" i="13"/>
  <c r="R179" i="13" s="1"/>
  <c r="AE179" i="13"/>
  <c r="I180" i="13"/>
  <c r="J180" i="13"/>
  <c r="AE180" i="13" s="1"/>
  <c r="K180" i="13"/>
  <c r="P180" i="13"/>
  <c r="Z180" i="13"/>
  <c r="R182" i="13"/>
  <c r="S182" i="13"/>
  <c r="T182" i="13"/>
  <c r="U182" i="13"/>
  <c r="AE182" i="13"/>
  <c r="AG182" i="13"/>
  <c r="R183" i="13"/>
  <c r="S183" i="13"/>
  <c r="T183" i="13"/>
  <c r="U183" i="13"/>
  <c r="AE183" i="13"/>
  <c r="AG183" i="13"/>
  <c r="R184" i="13"/>
  <c r="S184" i="13"/>
  <c r="T184" i="13"/>
  <c r="U184" i="13"/>
  <c r="AE184" i="13"/>
  <c r="AG184" i="13"/>
  <c r="L185" i="13"/>
  <c r="R185" i="13"/>
  <c r="M185" i="13"/>
  <c r="S185" i="13"/>
  <c r="N185" i="13"/>
  <c r="O185" i="13"/>
  <c r="U185" i="13" s="1"/>
  <c r="P185" i="13"/>
  <c r="Z185" i="13"/>
  <c r="AE185" i="13"/>
  <c r="AG185" i="13"/>
  <c r="L187" i="13"/>
  <c r="R187" i="13" s="1"/>
  <c r="AE187" i="13"/>
  <c r="L188" i="13"/>
  <c r="R188" i="13"/>
  <c r="AE188" i="13"/>
  <c r="P189" i="13"/>
  <c r="Z189" i="13"/>
  <c r="AE189" i="13"/>
  <c r="I190" i="13"/>
  <c r="K190" i="13"/>
  <c r="L190" i="13"/>
  <c r="R190" i="13" s="1"/>
  <c r="M190" i="13"/>
  <c r="P190" i="13"/>
  <c r="AE190" i="13"/>
  <c r="AF190" i="13"/>
  <c r="L191" i="13"/>
  <c r="R191" i="13" s="1"/>
  <c r="M191" i="13"/>
  <c r="P191" i="13"/>
  <c r="P198" i="13" s="1"/>
  <c r="J43" i="11" s="1"/>
  <c r="I44" i="10" s="1"/>
  <c r="AE191" i="13"/>
  <c r="I192" i="13"/>
  <c r="L192" i="13"/>
  <c r="P192" i="13"/>
  <c r="Z192" i="13"/>
  <c r="AE192" i="13"/>
  <c r="I193" i="13"/>
  <c r="K193" i="13"/>
  <c r="AE193" i="13"/>
  <c r="I194" i="13"/>
  <c r="I197" i="13" s="1"/>
  <c r="I198" i="13" s="1"/>
  <c r="K194" i="13"/>
  <c r="L194" i="13"/>
  <c r="M194" i="13" s="1"/>
  <c r="P194" i="13"/>
  <c r="Z194" i="13"/>
  <c r="AE194" i="13"/>
  <c r="L195" i="13"/>
  <c r="M195" i="13" s="1"/>
  <c r="R195" i="13"/>
  <c r="AE195" i="13"/>
  <c r="I196" i="13"/>
  <c r="L196" i="13"/>
  <c r="R196" i="13" s="1"/>
  <c r="P196" i="13"/>
  <c r="Z196" i="13"/>
  <c r="AE196" i="13"/>
  <c r="J197" i="13"/>
  <c r="J198" i="13" s="1"/>
  <c r="P197" i="13"/>
  <c r="AE197" i="13"/>
  <c r="L199" i="13"/>
  <c r="R199" i="13" s="1"/>
  <c r="M199" i="13"/>
  <c r="G44" i="11" s="1"/>
  <c r="AE199" i="13"/>
  <c r="AF199" i="13"/>
  <c r="L200" i="13"/>
  <c r="M200" i="13"/>
  <c r="AE200" i="13"/>
  <c r="I201" i="13"/>
  <c r="K201" i="13"/>
  <c r="L201" i="13" s="1"/>
  <c r="P201" i="13"/>
  <c r="AE201" i="13"/>
  <c r="L202" i="13"/>
  <c r="R202" i="13" s="1"/>
  <c r="P202" i="13"/>
  <c r="Z202" i="13"/>
  <c r="AE202" i="13"/>
  <c r="L203" i="13"/>
  <c r="AE203" i="13"/>
  <c r="L204" i="13"/>
  <c r="R204" i="13" s="1"/>
  <c r="AE204" i="13"/>
  <c r="L205" i="13"/>
  <c r="R205" i="13" s="1"/>
  <c r="AE205" i="13"/>
  <c r="I206" i="13"/>
  <c r="L206" i="13"/>
  <c r="R206" i="13" s="1"/>
  <c r="Z206" i="13"/>
  <c r="Z207" i="13" s="1"/>
  <c r="Z211" i="13" s="1"/>
  <c r="AE206" i="13"/>
  <c r="I207" i="13"/>
  <c r="I211" i="13" s="1"/>
  <c r="J207" i="13"/>
  <c r="J211" i="13"/>
  <c r="K207" i="13"/>
  <c r="P207" i="13"/>
  <c r="L208" i="13"/>
  <c r="R208" i="13"/>
  <c r="M208" i="13"/>
  <c r="S208" i="13"/>
  <c r="AE208" i="13"/>
  <c r="L209" i="13"/>
  <c r="R209" i="13" s="1"/>
  <c r="M209" i="13"/>
  <c r="N209" i="13" s="1"/>
  <c r="AE209" i="13"/>
  <c r="L210" i="13"/>
  <c r="M210" i="13"/>
  <c r="AE210" i="13"/>
  <c r="K211" i="13"/>
  <c r="J46" i="12" s="1"/>
  <c r="I212" i="13"/>
  <c r="L212" i="13"/>
  <c r="P212" i="13"/>
  <c r="Z212" i="13"/>
  <c r="AE212" i="13"/>
  <c r="I213" i="13"/>
  <c r="L213" i="13"/>
  <c r="R213" i="13" s="1"/>
  <c r="P213" i="13"/>
  <c r="AE213" i="13"/>
  <c r="L214" i="13"/>
  <c r="M214" i="13" s="1"/>
  <c r="S214" i="13" s="1"/>
  <c r="R214" i="13"/>
  <c r="N214" i="13"/>
  <c r="O214" i="13" s="1"/>
  <c r="U214" i="13" s="1"/>
  <c r="AE214" i="13"/>
  <c r="L215" i="13"/>
  <c r="M215" i="13"/>
  <c r="AE215" i="13"/>
  <c r="L216" i="13"/>
  <c r="M216" i="13"/>
  <c r="R216" i="13"/>
  <c r="AE216" i="13"/>
  <c r="I217" i="13"/>
  <c r="J217" i="13"/>
  <c r="K217" i="13"/>
  <c r="P217" i="13"/>
  <c r="Z217" i="13"/>
  <c r="AE217" i="13"/>
  <c r="AE219" i="13"/>
  <c r="L220" i="13"/>
  <c r="M220" i="13" s="1"/>
  <c r="R220" i="13"/>
  <c r="AE220" i="13"/>
  <c r="I221" i="13"/>
  <c r="I224" i="13" s="1"/>
  <c r="I228" i="13" s="1"/>
  <c r="K221" i="13"/>
  <c r="L221" i="13"/>
  <c r="M221" i="13" s="1"/>
  <c r="P221" i="13"/>
  <c r="R221" i="13"/>
  <c r="AE221" i="13"/>
  <c r="I222" i="13"/>
  <c r="K222" i="13"/>
  <c r="L222" i="13"/>
  <c r="AE222" i="13"/>
  <c r="L223" i="13"/>
  <c r="M223" i="13" s="1"/>
  <c r="AE223" i="13"/>
  <c r="J224" i="13"/>
  <c r="J228" i="13"/>
  <c r="K224" i="13"/>
  <c r="P224" i="13"/>
  <c r="P228" i="13" s="1"/>
  <c r="Z224" i="13"/>
  <c r="Z228" i="13" s="1"/>
  <c r="AE224" i="13"/>
  <c r="I225" i="13"/>
  <c r="L225" i="13"/>
  <c r="R225" i="13" s="1"/>
  <c r="P225" i="13"/>
  <c r="Q225" i="13"/>
  <c r="AE225" i="13"/>
  <c r="L226" i="13"/>
  <c r="R226" i="13"/>
  <c r="M226" i="13"/>
  <c r="S226" i="13" s="1"/>
  <c r="AE226" i="13"/>
  <c r="L227" i="13"/>
  <c r="M227" i="13"/>
  <c r="AE227" i="13"/>
  <c r="K228" i="13"/>
  <c r="D55" i="12" s="1"/>
  <c r="L229" i="13"/>
  <c r="R229" i="13" s="1"/>
  <c r="M229" i="13"/>
  <c r="N229" i="13" s="1"/>
  <c r="O229" i="13" s="1"/>
  <c r="AE229" i="13"/>
  <c r="L230" i="13"/>
  <c r="R230" i="13" s="1"/>
  <c r="M230" i="13"/>
  <c r="AE230" i="13"/>
  <c r="L231" i="13"/>
  <c r="AE231" i="13"/>
  <c r="L232" i="13"/>
  <c r="M232" i="13" s="1"/>
  <c r="R232" i="13"/>
  <c r="AE232" i="13"/>
  <c r="L233" i="13"/>
  <c r="R233" i="13" s="1"/>
  <c r="M233" i="13"/>
  <c r="N233" i="13" s="1"/>
  <c r="O233" i="13" s="1"/>
  <c r="U233" i="13" s="1"/>
  <c r="S233" i="13"/>
  <c r="AE233" i="13"/>
  <c r="L234" i="13"/>
  <c r="R234" i="13" s="1"/>
  <c r="AE234" i="13"/>
  <c r="L235" i="13"/>
  <c r="AE235" i="13"/>
  <c r="R236" i="13"/>
  <c r="S236" i="13"/>
  <c r="T236" i="13"/>
  <c r="U236" i="13"/>
  <c r="AE236" i="13"/>
  <c r="AG236" i="13"/>
  <c r="L237" i="13"/>
  <c r="R237" i="13" s="1"/>
  <c r="M237" i="13"/>
  <c r="N237" i="13" s="1"/>
  <c r="T237" i="13" s="1"/>
  <c r="AE237" i="13"/>
  <c r="L238" i="13"/>
  <c r="R238" i="13"/>
  <c r="M238" i="13"/>
  <c r="N238" i="13" s="1"/>
  <c r="AE238" i="13"/>
  <c r="I239" i="13"/>
  <c r="K239" i="13"/>
  <c r="L239" i="13"/>
  <c r="AE239" i="13"/>
  <c r="L240" i="13"/>
  <c r="R240" i="13" s="1"/>
  <c r="AE240" i="13"/>
  <c r="L241" i="13"/>
  <c r="R241" i="13" s="1"/>
  <c r="AE241" i="13"/>
  <c r="I242" i="13"/>
  <c r="C56" i="11" s="1"/>
  <c r="C56" i="7" s="1"/>
  <c r="J242" i="13"/>
  <c r="K242" i="13"/>
  <c r="P242" i="13"/>
  <c r="I56" i="12"/>
  <c r="Z242" i="13"/>
  <c r="R244" i="13"/>
  <c r="T244" i="13"/>
  <c r="U244" i="13"/>
  <c r="AE244" i="13"/>
  <c r="AG244" i="13"/>
  <c r="AE245" i="13"/>
  <c r="AG245" i="13"/>
  <c r="L246" i="13"/>
  <c r="M246" i="13"/>
  <c r="N246" i="13" s="1"/>
  <c r="R246" i="13"/>
  <c r="AE246" i="13"/>
  <c r="L247" i="13"/>
  <c r="M247" i="13"/>
  <c r="R247" i="13"/>
  <c r="AE247" i="13"/>
  <c r="L248" i="13"/>
  <c r="M248" i="13" s="1"/>
  <c r="AE248" i="13"/>
  <c r="I249" i="13"/>
  <c r="K249" i="13"/>
  <c r="P249" i="13"/>
  <c r="Z249" i="13"/>
  <c r="AE249" i="13"/>
  <c r="L250" i="13"/>
  <c r="M250" i="13" s="1"/>
  <c r="R250" i="13"/>
  <c r="AE250" i="13"/>
  <c r="L251" i="13"/>
  <c r="M251" i="13"/>
  <c r="N251" i="13" s="1"/>
  <c r="R251" i="13"/>
  <c r="AE251" i="13"/>
  <c r="I252" i="13"/>
  <c r="I253" i="13" s="1"/>
  <c r="K252" i="13"/>
  <c r="L252" i="13"/>
  <c r="M252" i="13" s="1"/>
  <c r="R22" i="12" s="1"/>
  <c r="AE252" i="13"/>
  <c r="J253" i="13"/>
  <c r="AE253" i="13" s="1"/>
  <c r="K253" i="13"/>
  <c r="P253" i="13"/>
  <c r="Z253" i="13"/>
  <c r="Z254" i="13" s="1"/>
  <c r="Z272" i="13" s="1"/>
  <c r="Z328" i="13" s="1"/>
  <c r="K254" i="13"/>
  <c r="E22" i="11" s="1"/>
  <c r="L255" i="13"/>
  <c r="M255" i="13"/>
  <c r="AE255" i="13"/>
  <c r="L256" i="13"/>
  <c r="M256" i="13" s="1"/>
  <c r="R256" i="13"/>
  <c r="AE256" i="13"/>
  <c r="I257" i="13"/>
  <c r="K257" i="13"/>
  <c r="L257" i="13"/>
  <c r="AE257" i="13"/>
  <c r="I258" i="13"/>
  <c r="K258" i="13"/>
  <c r="AE258" i="13"/>
  <c r="K259" i="13"/>
  <c r="L259" i="13" s="1"/>
  <c r="AE259" i="13"/>
  <c r="I260" i="13"/>
  <c r="K260" i="13"/>
  <c r="L260" i="13" s="1"/>
  <c r="M260" i="13"/>
  <c r="N260" i="13" s="1"/>
  <c r="AE260" i="13"/>
  <c r="I261" i="13"/>
  <c r="K261" i="13"/>
  <c r="L261" i="13" s="1"/>
  <c r="M261" i="13" s="1"/>
  <c r="N261" i="13" s="1"/>
  <c r="AE261" i="13"/>
  <c r="I262" i="13"/>
  <c r="K262" i="13"/>
  <c r="AE262" i="13"/>
  <c r="I263" i="13"/>
  <c r="K263" i="13"/>
  <c r="L263" i="13" s="1"/>
  <c r="M263" i="13" s="1"/>
  <c r="N263" i="13" s="1"/>
  <c r="AE263" i="13"/>
  <c r="I264" i="13"/>
  <c r="I271" i="13"/>
  <c r="C26" i="12" s="1"/>
  <c r="J264" i="13"/>
  <c r="AE264" i="13" s="1"/>
  <c r="P264" i="13"/>
  <c r="O26" i="12" s="1"/>
  <c r="Z264" i="13"/>
  <c r="Z271" i="13" s="1"/>
  <c r="L265" i="13"/>
  <c r="M265" i="13"/>
  <c r="N265" i="13" s="1"/>
  <c r="R265" i="13"/>
  <c r="S265" i="13"/>
  <c r="AE265" i="13"/>
  <c r="I266" i="13"/>
  <c r="K266" i="13"/>
  <c r="L266" i="13"/>
  <c r="AE266" i="13"/>
  <c r="I267" i="13"/>
  <c r="K267" i="13"/>
  <c r="L267" i="13" s="1"/>
  <c r="M267" i="13" s="1"/>
  <c r="R267" i="13"/>
  <c r="AE267" i="13"/>
  <c r="K268" i="13"/>
  <c r="C8" i="54" s="1"/>
  <c r="AE268" i="13"/>
  <c r="L269" i="13"/>
  <c r="AE269" i="13"/>
  <c r="I270" i="13"/>
  <c r="J270" i="13"/>
  <c r="K270" i="13"/>
  <c r="P270" i="13"/>
  <c r="Z270" i="13"/>
  <c r="AE270" i="13"/>
  <c r="L273" i="13"/>
  <c r="M273" i="13"/>
  <c r="N273" i="13"/>
  <c r="R273" i="13"/>
  <c r="S273" i="13"/>
  <c r="AE273" i="13"/>
  <c r="L274" i="13"/>
  <c r="Z274" i="13"/>
  <c r="AE274" i="13"/>
  <c r="I275" i="13"/>
  <c r="K275" i="13"/>
  <c r="AE275" i="13"/>
  <c r="I276" i="13"/>
  <c r="J276" i="13"/>
  <c r="P276" i="13"/>
  <c r="Z276" i="13"/>
  <c r="AE276" i="13"/>
  <c r="L277" i="13"/>
  <c r="M277" i="13"/>
  <c r="P277" i="13"/>
  <c r="R277" i="13"/>
  <c r="Z277" i="13"/>
  <c r="AE277" i="13"/>
  <c r="L278" i="13"/>
  <c r="R278" i="13" s="1"/>
  <c r="AE278" i="13"/>
  <c r="I279" i="13"/>
  <c r="J279" i="13"/>
  <c r="AE279" i="13" s="1"/>
  <c r="K279" i="13"/>
  <c r="P279" i="13"/>
  <c r="Z279" i="13"/>
  <c r="N280" i="13"/>
  <c r="U280" i="13" s="1"/>
  <c r="R280" i="13"/>
  <c r="S280" i="13"/>
  <c r="T280" i="13"/>
  <c r="AE280" i="13"/>
  <c r="I281" i="13"/>
  <c r="J281" i="13"/>
  <c r="Z281" i="13"/>
  <c r="AE281" i="13"/>
  <c r="L282" i="13"/>
  <c r="M282" i="13" s="1"/>
  <c r="N282" i="13"/>
  <c r="R282" i="13"/>
  <c r="AE282" i="13"/>
  <c r="L283" i="13"/>
  <c r="P283" i="13"/>
  <c r="AE283" i="13"/>
  <c r="I284" i="13"/>
  <c r="I285" i="13" s="1"/>
  <c r="K284" i="13"/>
  <c r="L284" i="13"/>
  <c r="AE284" i="13"/>
  <c r="J285" i="13"/>
  <c r="K285" i="13"/>
  <c r="P285" i="13"/>
  <c r="Z285" i="13"/>
  <c r="AE285" i="13"/>
  <c r="I286" i="13"/>
  <c r="K286" i="13"/>
  <c r="F21" i="50" s="1"/>
  <c r="L286" i="13"/>
  <c r="R286" i="13" s="1"/>
  <c r="AE286" i="13"/>
  <c r="J287" i="13"/>
  <c r="Z287" i="13"/>
  <c r="AE287" i="13"/>
  <c r="AE288" i="13"/>
  <c r="AG288" i="13"/>
  <c r="L289" i="13"/>
  <c r="R289" i="13" s="1"/>
  <c r="M289" i="13"/>
  <c r="S289" i="13" s="1"/>
  <c r="AE289" i="13"/>
  <c r="L290" i="13"/>
  <c r="R290" i="13" s="1"/>
  <c r="AE290" i="13"/>
  <c r="L291" i="13"/>
  <c r="AE291" i="13"/>
  <c r="I292" i="13"/>
  <c r="K292" i="13"/>
  <c r="P292" i="13"/>
  <c r="Z292" i="13"/>
  <c r="AE292" i="13"/>
  <c r="K293" i="13"/>
  <c r="L293" i="13"/>
  <c r="R293" i="13" s="1"/>
  <c r="P293" i="13"/>
  <c r="AE293" i="13"/>
  <c r="I294" i="13"/>
  <c r="K294" i="13"/>
  <c r="K296" i="13" s="1"/>
  <c r="K299" i="13" s="1"/>
  <c r="E60" i="11" s="1"/>
  <c r="P294" i="13"/>
  <c r="AE294" i="13"/>
  <c r="L295" i="13"/>
  <c r="P295" i="13"/>
  <c r="Z295" i="13"/>
  <c r="AE295" i="13"/>
  <c r="I296" i="13"/>
  <c r="J296" i="13"/>
  <c r="P296" i="13"/>
  <c r="P299" i="13" s="1"/>
  <c r="I60" i="12" s="1"/>
  <c r="Z296" i="13"/>
  <c r="Z299" i="13" s="1"/>
  <c r="R297" i="13"/>
  <c r="S297" i="13"/>
  <c r="T297" i="13"/>
  <c r="U297" i="13"/>
  <c r="AE297" i="13"/>
  <c r="AG297" i="13"/>
  <c r="R298" i="13"/>
  <c r="S298" i="13"/>
  <c r="T298" i="13"/>
  <c r="U298" i="13"/>
  <c r="AE298" i="13"/>
  <c r="AG298" i="13"/>
  <c r="I299" i="13"/>
  <c r="L300" i="13"/>
  <c r="AE300" i="13"/>
  <c r="L301" i="13"/>
  <c r="M301" i="13"/>
  <c r="R301" i="13"/>
  <c r="AE301" i="13"/>
  <c r="L302" i="13"/>
  <c r="R302" i="13" s="1"/>
  <c r="AE302" i="13"/>
  <c r="L303" i="13"/>
  <c r="R303" i="13" s="1"/>
  <c r="M303" i="13"/>
  <c r="N303" i="13" s="1"/>
  <c r="AE303" i="13"/>
  <c r="I304" i="13"/>
  <c r="J304" i="13"/>
  <c r="J317" i="13" s="1"/>
  <c r="K304" i="13"/>
  <c r="P304" i="13"/>
  <c r="Z304" i="13"/>
  <c r="K305" i="13"/>
  <c r="L305" i="13"/>
  <c r="AE305" i="13"/>
  <c r="I306" i="13"/>
  <c r="K306" i="13"/>
  <c r="L306" i="13"/>
  <c r="AE306" i="13"/>
  <c r="K307" i="13"/>
  <c r="L307" i="13"/>
  <c r="M307" i="13" s="1"/>
  <c r="R307" i="13"/>
  <c r="AE307" i="13"/>
  <c r="L308" i="13"/>
  <c r="R308" i="13" s="1"/>
  <c r="AE308" i="13"/>
  <c r="L309" i="13"/>
  <c r="M309" i="13" s="1"/>
  <c r="AE309" i="13"/>
  <c r="L310" i="13"/>
  <c r="AE310" i="13"/>
  <c r="I311" i="13"/>
  <c r="J311" i="13"/>
  <c r="AE311" i="13" s="1"/>
  <c r="K311" i="13"/>
  <c r="P311" i="13"/>
  <c r="AF311" i="13" s="1"/>
  <c r="Z311" i="13"/>
  <c r="Z317" i="13"/>
  <c r="L312" i="13"/>
  <c r="M312" i="13"/>
  <c r="S312" i="13" s="1"/>
  <c r="R312" i="13"/>
  <c r="AE312" i="13"/>
  <c r="L313" i="13"/>
  <c r="M313" i="13"/>
  <c r="S313" i="13" s="1"/>
  <c r="N313" i="13"/>
  <c r="R313" i="13"/>
  <c r="AE313" i="13"/>
  <c r="K314" i="13"/>
  <c r="AE314" i="13"/>
  <c r="L315" i="13"/>
  <c r="M315" i="13" s="1"/>
  <c r="AE315" i="13"/>
  <c r="L316" i="13"/>
  <c r="M316" i="13" s="1"/>
  <c r="R316" i="13"/>
  <c r="AE316" i="13"/>
  <c r="I317" i="13"/>
  <c r="C61" i="11" s="1"/>
  <c r="I320" i="13"/>
  <c r="J320" i="13"/>
  <c r="K320" i="13"/>
  <c r="L320" i="13"/>
  <c r="M320" i="13"/>
  <c r="S320" i="13" s="1"/>
  <c r="N320" i="13"/>
  <c r="O320" i="13"/>
  <c r="P320" i="13"/>
  <c r="AF320" i="13" s="1"/>
  <c r="R320" i="13"/>
  <c r="Z320" i="13"/>
  <c r="AE320" i="13"/>
  <c r="AG320" i="13"/>
  <c r="I321" i="13"/>
  <c r="J321" i="13"/>
  <c r="AE321" i="13" s="1"/>
  <c r="K321" i="13"/>
  <c r="P321" i="13"/>
  <c r="Z321" i="13"/>
  <c r="I322" i="13"/>
  <c r="J322" i="13"/>
  <c r="K322" i="13"/>
  <c r="L322" i="13"/>
  <c r="P322" i="13"/>
  <c r="Z322" i="13"/>
  <c r="AE322" i="13"/>
  <c r="I323" i="13"/>
  <c r="J323" i="13"/>
  <c r="K323" i="13"/>
  <c r="P323" i="13"/>
  <c r="AF323" i="13" s="1"/>
  <c r="Z323" i="13"/>
  <c r="AE323" i="13"/>
  <c r="V325" i="13"/>
  <c r="W325" i="13"/>
  <c r="C4" i="12"/>
  <c r="D4" i="12"/>
  <c r="D91" i="12" s="1"/>
  <c r="E4" i="12"/>
  <c r="F4" i="12"/>
  <c r="G4" i="12"/>
  <c r="H4" i="12"/>
  <c r="I4" i="12"/>
  <c r="J4" i="12"/>
  <c r="K4" i="12"/>
  <c r="L4" i="12"/>
  <c r="L91" i="12" s="1"/>
  <c r="M4" i="12"/>
  <c r="N4" i="12"/>
  <c r="O4" i="12"/>
  <c r="P4" i="12"/>
  <c r="Q4" i="12"/>
  <c r="R4" i="12"/>
  <c r="S4" i="12"/>
  <c r="T4" i="12"/>
  <c r="T91" i="12" s="1"/>
  <c r="U4" i="12"/>
  <c r="V4" i="12"/>
  <c r="W4" i="12"/>
  <c r="X4" i="12"/>
  <c r="Y4" i="12"/>
  <c r="Z4" i="12"/>
  <c r="AA4" i="12"/>
  <c r="A5" i="12"/>
  <c r="B5" i="12"/>
  <c r="C5" i="12"/>
  <c r="D5" i="12"/>
  <c r="E5" i="12"/>
  <c r="F5" i="12"/>
  <c r="G5" i="12"/>
  <c r="H5" i="12"/>
  <c r="I5" i="12"/>
  <c r="J5" i="12"/>
  <c r="K5" i="12"/>
  <c r="L5" i="12"/>
  <c r="M5" i="12"/>
  <c r="N5" i="12"/>
  <c r="O5" i="12"/>
  <c r="P5" i="12"/>
  <c r="Q5" i="12"/>
  <c r="R5" i="12"/>
  <c r="S5" i="12"/>
  <c r="T5" i="12"/>
  <c r="U5" i="12"/>
  <c r="V5" i="12"/>
  <c r="W5" i="12"/>
  <c r="X5" i="12"/>
  <c r="Y5" i="12"/>
  <c r="Z5" i="12"/>
  <c r="AA5" i="12"/>
  <c r="AB5" i="12"/>
  <c r="AC5" i="12"/>
  <c r="AD5" i="12"/>
  <c r="E7" i="12"/>
  <c r="P7" i="12"/>
  <c r="Q7" i="12"/>
  <c r="R7" i="12"/>
  <c r="S7" i="12"/>
  <c r="T7" i="12"/>
  <c r="U7" i="12"/>
  <c r="V7" i="12"/>
  <c r="W7" i="12"/>
  <c r="X7" i="12"/>
  <c r="Y7" i="12"/>
  <c r="Z7" i="12"/>
  <c r="AA7" i="12"/>
  <c r="C8" i="12"/>
  <c r="C7" i="12" s="1"/>
  <c r="D8" i="12"/>
  <c r="E8" i="12"/>
  <c r="F8" i="12"/>
  <c r="I8" i="12"/>
  <c r="J8" i="12"/>
  <c r="K8" i="12"/>
  <c r="L8" i="12"/>
  <c r="O8" i="12"/>
  <c r="AG8" i="12" s="1"/>
  <c r="AB8" i="12"/>
  <c r="AC8" i="12"/>
  <c r="AD8" i="12"/>
  <c r="AJ8" i="12"/>
  <c r="C9" i="12"/>
  <c r="D9" i="12"/>
  <c r="AH9" i="12" s="1"/>
  <c r="E9" i="12"/>
  <c r="F9" i="12"/>
  <c r="I9" i="12"/>
  <c r="J9" i="12"/>
  <c r="K9" i="12"/>
  <c r="L9" i="12"/>
  <c r="O9" i="12"/>
  <c r="AB9" i="12"/>
  <c r="AC9" i="12"/>
  <c r="AI9" i="12" s="1"/>
  <c r="AD9" i="12"/>
  <c r="AJ9" i="12"/>
  <c r="C10" i="12"/>
  <c r="D10" i="12"/>
  <c r="E10" i="12"/>
  <c r="F10" i="12"/>
  <c r="I10" i="12"/>
  <c r="J10" i="12"/>
  <c r="K10" i="12"/>
  <c r="L10" i="12"/>
  <c r="O10" i="12"/>
  <c r="AG10" i="12" s="1"/>
  <c r="AB10" i="12"/>
  <c r="AC10" i="12"/>
  <c r="AI10" i="12" s="1"/>
  <c r="AD10" i="12"/>
  <c r="AJ10" i="12"/>
  <c r="C11" i="12"/>
  <c r="D11" i="12"/>
  <c r="E11" i="12"/>
  <c r="F11" i="12"/>
  <c r="G11" i="12"/>
  <c r="I11" i="12"/>
  <c r="J11" i="12"/>
  <c r="AB11" i="12" s="1"/>
  <c r="AH11" i="12" s="1"/>
  <c r="K11" i="12"/>
  <c r="L11" i="12"/>
  <c r="M11" i="12"/>
  <c r="AE11" i="12" s="1"/>
  <c r="O11" i="12"/>
  <c r="AC11" i="12"/>
  <c r="AI11" i="12" s="1"/>
  <c r="AD11" i="12"/>
  <c r="AJ11" i="12" s="1"/>
  <c r="AG11" i="12"/>
  <c r="C12" i="12"/>
  <c r="D12" i="12"/>
  <c r="AH12" i="12" s="1"/>
  <c r="E12" i="12"/>
  <c r="I12" i="12"/>
  <c r="J12" i="12"/>
  <c r="K12" i="12"/>
  <c r="AC12" i="12" s="1"/>
  <c r="AB12" i="12"/>
  <c r="AG12" i="12"/>
  <c r="C13" i="12"/>
  <c r="D13" i="12"/>
  <c r="E13" i="12"/>
  <c r="F13" i="12"/>
  <c r="I13" i="12"/>
  <c r="J13" i="12"/>
  <c r="AB13" i="12" s="1"/>
  <c r="K13" i="12"/>
  <c r="AC13" i="12" s="1"/>
  <c r="AI13" i="12" s="1"/>
  <c r="L13" i="12"/>
  <c r="O13" i="12"/>
  <c r="AD13" i="12"/>
  <c r="AJ13" i="12" s="1"/>
  <c r="AG13" i="12"/>
  <c r="AM13" i="12" s="1"/>
  <c r="V14" i="12"/>
  <c r="W14" i="12"/>
  <c r="X14" i="12"/>
  <c r="Y14" i="12"/>
  <c r="Z14" i="12"/>
  <c r="AA14" i="12"/>
  <c r="C15" i="12"/>
  <c r="D15" i="12"/>
  <c r="E15" i="12"/>
  <c r="AI15" i="12" s="1"/>
  <c r="I15" i="12"/>
  <c r="J15" i="12"/>
  <c r="AB15" i="12" s="1"/>
  <c r="K15" i="12"/>
  <c r="L15" i="12"/>
  <c r="O15" i="12"/>
  <c r="O14" i="12" s="1"/>
  <c r="AC15" i="12"/>
  <c r="AG15" i="12"/>
  <c r="C16" i="12"/>
  <c r="D16" i="12"/>
  <c r="AH16" i="12" s="1"/>
  <c r="E16" i="12"/>
  <c r="AI16" i="12" s="1"/>
  <c r="F16" i="12"/>
  <c r="I16" i="12"/>
  <c r="AB16" i="12"/>
  <c r="AC16" i="12"/>
  <c r="AD16" i="12"/>
  <c r="AJ16" i="12" s="1"/>
  <c r="AE16" i="12"/>
  <c r="AF16" i="12"/>
  <c r="AG16" i="12"/>
  <c r="AM16" i="12" s="1"/>
  <c r="C17" i="12"/>
  <c r="D17" i="12"/>
  <c r="E17" i="12"/>
  <c r="F17" i="12"/>
  <c r="G17" i="12"/>
  <c r="H17" i="12"/>
  <c r="AL17" i="12" s="1"/>
  <c r="I17" i="12"/>
  <c r="AM17" i="12" s="1"/>
  <c r="AB17" i="12"/>
  <c r="AC17" i="12"/>
  <c r="AD17" i="12"/>
  <c r="AE17" i="12"/>
  <c r="AF17" i="12"/>
  <c r="AG17" i="12"/>
  <c r="AH17" i="12"/>
  <c r="AI17" i="12"/>
  <c r="AJ17" i="12"/>
  <c r="AK17" i="12"/>
  <c r="C18" i="12"/>
  <c r="D18" i="12"/>
  <c r="E18" i="12"/>
  <c r="AI18" i="12" s="1"/>
  <c r="F18" i="12"/>
  <c r="AJ18" i="12" s="1"/>
  <c r="G18" i="12"/>
  <c r="AK18" i="12" s="1"/>
  <c r="H18" i="12"/>
  <c r="I18" i="12"/>
  <c r="AB18" i="12"/>
  <c r="AC18" i="12"/>
  <c r="AD18" i="12"/>
  <c r="AE18" i="12"/>
  <c r="AF18" i="12"/>
  <c r="AL18" i="12" s="1"/>
  <c r="AG18" i="12"/>
  <c r="AH18" i="12"/>
  <c r="AM18" i="12"/>
  <c r="C19" i="12"/>
  <c r="O19" i="12"/>
  <c r="P19" i="12"/>
  <c r="P14" i="12" s="1"/>
  <c r="C20" i="12"/>
  <c r="D20" i="12"/>
  <c r="I20" i="12"/>
  <c r="AB20" i="12"/>
  <c r="AC20" i="12"/>
  <c r="AD20" i="12"/>
  <c r="AE20" i="12"/>
  <c r="AF20" i="12"/>
  <c r="AG20" i="12"/>
  <c r="AH20" i="12"/>
  <c r="V21" i="12"/>
  <c r="W21" i="12"/>
  <c r="X21" i="12"/>
  <c r="Y21" i="12"/>
  <c r="Z21" i="12"/>
  <c r="AA21" i="12"/>
  <c r="J22" i="12"/>
  <c r="O22" i="12"/>
  <c r="P22" i="12"/>
  <c r="P21" i="12" s="1"/>
  <c r="U22" i="12"/>
  <c r="U23" i="10" s="1"/>
  <c r="E23" i="12"/>
  <c r="AB23" i="12"/>
  <c r="AC23" i="12"/>
  <c r="AD23" i="12"/>
  <c r="AE23" i="12"/>
  <c r="AF23" i="12"/>
  <c r="AG23" i="12"/>
  <c r="AH23" i="12"/>
  <c r="C24" i="12"/>
  <c r="D24" i="12"/>
  <c r="AH24" i="12" s="1"/>
  <c r="I24" i="12"/>
  <c r="AB24" i="12"/>
  <c r="AC24" i="12"/>
  <c r="AD24" i="12"/>
  <c r="AE24" i="12"/>
  <c r="AF24" i="12"/>
  <c r="AG24" i="12"/>
  <c r="AM24" i="12" s="1"/>
  <c r="C25" i="12"/>
  <c r="D25" i="12"/>
  <c r="E25" i="12"/>
  <c r="I25" i="12"/>
  <c r="AB25" i="12"/>
  <c r="AC25" i="12"/>
  <c r="AI25" i="12" s="1"/>
  <c r="AD25" i="12"/>
  <c r="AE25" i="12"/>
  <c r="AF25" i="12"/>
  <c r="AG25" i="12"/>
  <c r="AH25" i="12"/>
  <c r="P26" i="12"/>
  <c r="U26" i="12"/>
  <c r="D27" i="12"/>
  <c r="E27" i="12" s="1"/>
  <c r="P27" i="12"/>
  <c r="AG27" i="12"/>
  <c r="AM27" i="12" s="1"/>
  <c r="C30" i="12"/>
  <c r="I30" i="12"/>
  <c r="O30" i="12" s="1"/>
  <c r="AG30" i="12" s="1"/>
  <c r="AM30" i="12" s="1"/>
  <c r="Q30" i="12"/>
  <c r="R30" i="12" s="1"/>
  <c r="D31" i="12"/>
  <c r="I31" i="12"/>
  <c r="P31" i="12"/>
  <c r="C32" i="12"/>
  <c r="D32" i="12"/>
  <c r="J32" i="12"/>
  <c r="I32" i="12"/>
  <c r="O32" i="12" s="1"/>
  <c r="AG32" i="12" s="1"/>
  <c r="D33" i="12"/>
  <c r="I33" i="12"/>
  <c r="J33" i="12"/>
  <c r="AB33" i="12" s="1"/>
  <c r="K33" i="12"/>
  <c r="AC33" i="12" s="1"/>
  <c r="O33" i="12"/>
  <c r="AG33" i="12" s="1"/>
  <c r="AM33" i="12" s="1"/>
  <c r="V35" i="12"/>
  <c r="W35" i="12"/>
  <c r="X35" i="12"/>
  <c r="Y35" i="12"/>
  <c r="Z35" i="12"/>
  <c r="AA35" i="12"/>
  <c r="C36" i="12"/>
  <c r="D36" i="12"/>
  <c r="E36" i="12"/>
  <c r="F36" i="12"/>
  <c r="G36" i="12"/>
  <c r="I36" i="12"/>
  <c r="O36" i="12"/>
  <c r="AG36" i="12" s="1"/>
  <c r="AM36" i="12" s="1"/>
  <c r="P36" i="12"/>
  <c r="Q36" i="12"/>
  <c r="R36" i="12"/>
  <c r="S36" i="12"/>
  <c r="U36" i="12"/>
  <c r="AB36" i="12"/>
  <c r="AH36" i="12" s="1"/>
  <c r="AC36" i="12"/>
  <c r="AD36" i="12"/>
  <c r="AI36" i="12"/>
  <c r="AJ36" i="12"/>
  <c r="J37" i="12"/>
  <c r="D38" i="12"/>
  <c r="J38" i="12"/>
  <c r="AB38" i="12" s="1"/>
  <c r="AH38" i="12"/>
  <c r="E40" i="12"/>
  <c r="F40" i="12" s="1"/>
  <c r="AB40" i="12"/>
  <c r="AC40" i="12"/>
  <c r="AD40" i="12"/>
  <c r="AE40" i="12"/>
  <c r="AF40" i="12"/>
  <c r="AG40" i="12"/>
  <c r="AH40" i="12"/>
  <c r="AI40" i="12"/>
  <c r="C41" i="12"/>
  <c r="D41" i="12"/>
  <c r="I41" i="12"/>
  <c r="O41" i="12"/>
  <c r="C42" i="12"/>
  <c r="D42" i="12"/>
  <c r="E42" i="12"/>
  <c r="AI42" i="12" s="1"/>
  <c r="I42" i="12"/>
  <c r="J42" i="12"/>
  <c r="K42" i="12"/>
  <c r="AC42" i="12" s="1"/>
  <c r="O42" i="12"/>
  <c r="AG42" i="12" s="1"/>
  <c r="AM42" i="12" s="1"/>
  <c r="AB42" i="12"/>
  <c r="AH42" i="12" s="1"/>
  <c r="C44" i="12"/>
  <c r="D44" i="12"/>
  <c r="AH44" i="12" s="1"/>
  <c r="I44" i="12"/>
  <c r="M44" i="12" s="1"/>
  <c r="AB44" i="12"/>
  <c r="AC44" i="12"/>
  <c r="AD44" i="12"/>
  <c r="C45" i="12"/>
  <c r="D45" i="12"/>
  <c r="AH45" i="12" s="1"/>
  <c r="J45" i="12"/>
  <c r="AB45" i="12"/>
  <c r="P46" i="12"/>
  <c r="U46" i="12"/>
  <c r="Q47" i="12"/>
  <c r="V47" i="12"/>
  <c r="W47" i="12"/>
  <c r="X47" i="12"/>
  <c r="Y47" i="12"/>
  <c r="Z47" i="12"/>
  <c r="AA47" i="12"/>
  <c r="C48" i="12"/>
  <c r="D48" i="12"/>
  <c r="E48" i="12"/>
  <c r="F48" i="12"/>
  <c r="I48" i="12"/>
  <c r="AB48" i="12"/>
  <c r="AC48" i="12"/>
  <c r="AD48" i="12"/>
  <c r="AE48" i="12"/>
  <c r="AF48" i="12"/>
  <c r="AG48" i="12"/>
  <c r="AM48" i="12" s="1"/>
  <c r="AH48" i="12"/>
  <c r="AI48" i="12"/>
  <c r="AJ48" i="12"/>
  <c r="C49" i="12"/>
  <c r="D50" i="12"/>
  <c r="AH50" i="12" s="1"/>
  <c r="I50" i="12"/>
  <c r="J50" i="12"/>
  <c r="O50" i="12"/>
  <c r="AG50" i="12" s="1"/>
  <c r="AM50" i="12" s="1"/>
  <c r="AB50" i="12"/>
  <c r="C51" i="12"/>
  <c r="D51" i="12"/>
  <c r="E51" i="12"/>
  <c r="I51" i="12"/>
  <c r="P51" i="12"/>
  <c r="P47" i="12" s="1"/>
  <c r="Q51" i="12"/>
  <c r="AC51" i="12" s="1"/>
  <c r="AI51" i="12" s="1"/>
  <c r="U51" i="12"/>
  <c r="U47" i="12" s="1"/>
  <c r="AB51" i="12"/>
  <c r="AH51" i="12" s="1"/>
  <c r="AG51" i="12"/>
  <c r="AM51" i="12" s="1"/>
  <c r="E52" i="12"/>
  <c r="F52" i="12"/>
  <c r="G52" i="12" s="1"/>
  <c r="U52" i="12"/>
  <c r="AB52" i="12"/>
  <c r="AC52" i="12"/>
  <c r="AI52" i="12" s="1"/>
  <c r="AD52" i="12"/>
  <c r="AE52" i="12"/>
  <c r="AF52" i="12"/>
  <c r="AG52" i="12"/>
  <c r="AH52" i="12"/>
  <c r="AJ52" i="12"/>
  <c r="V53" i="12"/>
  <c r="W53" i="12"/>
  <c r="X53" i="12"/>
  <c r="Y53" i="12"/>
  <c r="Z53" i="12"/>
  <c r="AA53" i="12"/>
  <c r="E54" i="12"/>
  <c r="F54" i="12" s="1"/>
  <c r="AB54" i="12"/>
  <c r="AH54" i="12" s="1"/>
  <c r="AC54" i="12"/>
  <c r="AD54" i="12"/>
  <c r="AE54" i="12"/>
  <c r="AF54" i="12"/>
  <c r="AG54" i="12"/>
  <c r="P55" i="12"/>
  <c r="C56" i="12"/>
  <c r="J56" i="12"/>
  <c r="K56" i="12"/>
  <c r="O56" i="12"/>
  <c r="O53" i="12" s="1"/>
  <c r="D57" i="12"/>
  <c r="I57" i="12"/>
  <c r="O57" i="12"/>
  <c r="P57" i="12"/>
  <c r="Q57" i="12"/>
  <c r="AC57" i="12" s="1"/>
  <c r="U57" i="12"/>
  <c r="AB57" i="12"/>
  <c r="AG57" i="12"/>
  <c r="AM57" i="12" s="1"/>
  <c r="AH57" i="12"/>
  <c r="L58" i="12"/>
  <c r="V58" i="12"/>
  <c r="W58" i="12"/>
  <c r="X58" i="12"/>
  <c r="Y58" i="12"/>
  <c r="Z58" i="12"/>
  <c r="AA58" i="12"/>
  <c r="E59" i="12"/>
  <c r="F59" i="12" s="1"/>
  <c r="U59" i="12"/>
  <c r="AG59" i="12" s="1"/>
  <c r="AB59" i="12"/>
  <c r="AH59" i="12" s="1"/>
  <c r="AC59" i="12"/>
  <c r="AD59" i="12"/>
  <c r="AE59" i="12"/>
  <c r="AF59" i="12"/>
  <c r="AI59" i="12"/>
  <c r="AJ59" i="12"/>
  <c r="C60" i="12"/>
  <c r="J61" i="12"/>
  <c r="J58" i="12" s="1"/>
  <c r="K61" i="12"/>
  <c r="K58" i="12" s="1"/>
  <c r="L61" i="12"/>
  <c r="M61" i="12"/>
  <c r="M58" i="12" s="1"/>
  <c r="N61" i="12"/>
  <c r="N58" i="12" s="1"/>
  <c r="O61" i="12"/>
  <c r="O58" i="12" s="1"/>
  <c r="I62" i="12"/>
  <c r="O62" i="12"/>
  <c r="U62" i="12"/>
  <c r="AG62" i="12" s="1"/>
  <c r="C64" i="12"/>
  <c r="I64" i="12"/>
  <c r="AB64" i="12"/>
  <c r="AC64" i="12"/>
  <c r="AD64" i="12"/>
  <c r="AE64" i="12"/>
  <c r="AF64" i="12"/>
  <c r="AG64" i="12"/>
  <c r="AM64" i="12" s="1"/>
  <c r="C65" i="12"/>
  <c r="D65" i="12"/>
  <c r="I65" i="12"/>
  <c r="AB65" i="12"/>
  <c r="AC65" i="12"/>
  <c r="AD65" i="12"/>
  <c r="AE65" i="12"/>
  <c r="AF65" i="12"/>
  <c r="AG65" i="12"/>
  <c r="AH65" i="12"/>
  <c r="C66" i="12"/>
  <c r="D66" i="12"/>
  <c r="E66" i="12"/>
  <c r="I66" i="12"/>
  <c r="AB66" i="12"/>
  <c r="AC66" i="12"/>
  <c r="AD66" i="12"/>
  <c r="AE66" i="12"/>
  <c r="AF66" i="12"/>
  <c r="AG66" i="12"/>
  <c r="AM66" i="12" s="1"/>
  <c r="AH66" i="12"/>
  <c r="AI66" i="12"/>
  <c r="C67" i="12"/>
  <c r="D67" i="12"/>
  <c r="AH67" i="12" s="1"/>
  <c r="I67" i="12"/>
  <c r="AB67" i="12"/>
  <c r="AC67" i="12"/>
  <c r="AD67" i="12"/>
  <c r="AE67" i="12"/>
  <c r="AF67" i="12"/>
  <c r="AG67" i="12"/>
  <c r="AM67" i="12" s="1"/>
  <c r="X68" i="12"/>
  <c r="Y68" i="12"/>
  <c r="Z68" i="12"/>
  <c r="Z87" i="12" s="1"/>
  <c r="AA68" i="12"/>
  <c r="C69" i="12"/>
  <c r="C68" i="12" s="1"/>
  <c r="D69" i="12"/>
  <c r="D68" i="12" s="1"/>
  <c r="I69" i="12"/>
  <c r="I68" i="12" s="1"/>
  <c r="J69" i="12"/>
  <c r="K69" i="12"/>
  <c r="L69" i="12"/>
  <c r="P69" i="12"/>
  <c r="Q69" i="12" s="1"/>
  <c r="W69" i="12"/>
  <c r="AB69" i="12"/>
  <c r="AH69" i="12"/>
  <c r="C70" i="12"/>
  <c r="D70" i="12"/>
  <c r="E70" i="12"/>
  <c r="I70" i="12"/>
  <c r="J70" i="12"/>
  <c r="K70" i="12"/>
  <c r="P70" i="12"/>
  <c r="Q70" i="12"/>
  <c r="S70" i="12"/>
  <c r="T70" i="12"/>
  <c r="U70" i="12"/>
  <c r="U68" i="12" s="1"/>
  <c r="V70" i="12"/>
  <c r="V68" i="12" s="1"/>
  <c r="V87" i="12" s="1"/>
  <c r="AB70" i="12"/>
  <c r="AH70" i="12" s="1"/>
  <c r="C71" i="12"/>
  <c r="D71" i="12"/>
  <c r="AH71" i="12" s="1"/>
  <c r="I71" i="12"/>
  <c r="J71" i="12"/>
  <c r="P71" i="12"/>
  <c r="Q71" i="12"/>
  <c r="S71" i="12"/>
  <c r="T71" i="12"/>
  <c r="U71" i="12"/>
  <c r="V71" i="12"/>
  <c r="AB71" i="12"/>
  <c r="AG71" i="12"/>
  <c r="AM71" i="12" s="1"/>
  <c r="C72" i="12"/>
  <c r="D72" i="12"/>
  <c r="E72" i="12"/>
  <c r="I72" i="12"/>
  <c r="J72" i="12"/>
  <c r="AB72" i="12" s="1"/>
  <c r="AH72" i="12" s="1"/>
  <c r="P72" i="12"/>
  <c r="Q72" i="12"/>
  <c r="S72" i="12"/>
  <c r="T72" i="12"/>
  <c r="U72" i="12"/>
  <c r="AG72" i="12" s="1"/>
  <c r="AM72" i="12" s="1"/>
  <c r="V72" i="12"/>
  <c r="C73" i="12"/>
  <c r="P73" i="12"/>
  <c r="Q73" i="12"/>
  <c r="S73" i="12"/>
  <c r="V73" i="12"/>
  <c r="W73" i="12"/>
  <c r="X73" i="12"/>
  <c r="Y73" i="12"/>
  <c r="Z73" i="12"/>
  <c r="AA73" i="12"/>
  <c r="C74" i="12"/>
  <c r="D74" i="12"/>
  <c r="D73" i="12" s="1"/>
  <c r="I74" i="12"/>
  <c r="R74" i="12"/>
  <c r="R73" i="12" s="1"/>
  <c r="S74" i="12"/>
  <c r="T74" i="12" s="1"/>
  <c r="C75" i="12"/>
  <c r="D75" i="12"/>
  <c r="E75" i="12"/>
  <c r="I75" i="12"/>
  <c r="U75" i="12"/>
  <c r="AB75" i="12"/>
  <c r="AC75" i="12"/>
  <c r="AI75" i="12" s="1"/>
  <c r="AD75" i="12"/>
  <c r="AE75" i="12"/>
  <c r="AF75" i="12"/>
  <c r="AG75" i="12"/>
  <c r="AH75" i="12"/>
  <c r="E76" i="12"/>
  <c r="P76" i="12"/>
  <c r="Q76" i="12"/>
  <c r="R76" i="12"/>
  <c r="S76" i="12"/>
  <c r="T76" i="12"/>
  <c r="U76" i="12"/>
  <c r="V76" i="12"/>
  <c r="W76" i="12"/>
  <c r="X76" i="12"/>
  <c r="Y76" i="12"/>
  <c r="Y87" i="12" s="1"/>
  <c r="Z76" i="12"/>
  <c r="AA76" i="12"/>
  <c r="C77" i="12"/>
  <c r="C76" i="12" s="1"/>
  <c r="D77" i="12"/>
  <c r="E77" i="12"/>
  <c r="I77" i="12"/>
  <c r="I76" i="12" s="1"/>
  <c r="AB77" i="12"/>
  <c r="AC77" i="12"/>
  <c r="AH77" i="12"/>
  <c r="AI77" i="12"/>
  <c r="C78" i="12"/>
  <c r="D78" i="12"/>
  <c r="D76" i="12" s="1"/>
  <c r="E78" i="12"/>
  <c r="I78" i="12"/>
  <c r="AB78" i="12"/>
  <c r="AH78" i="12" s="1"/>
  <c r="AC78" i="12"/>
  <c r="AD78" i="12"/>
  <c r="AE78" i="12"/>
  <c r="AF78" i="12"/>
  <c r="AG78" i="12"/>
  <c r="AI78" i="12"/>
  <c r="C79" i="12"/>
  <c r="D79" i="12"/>
  <c r="E79" i="12"/>
  <c r="F79" i="12"/>
  <c r="G79" i="12"/>
  <c r="AK79" i="12" s="1"/>
  <c r="H79" i="12"/>
  <c r="I79" i="12"/>
  <c r="J79" i="12"/>
  <c r="J76" i="12" s="1"/>
  <c r="K79" i="12"/>
  <c r="L79" i="12"/>
  <c r="M79" i="12"/>
  <c r="AE79" i="12" s="1"/>
  <c r="N79" i="12"/>
  <c r="N80" i="10" s="1"/>
  <c r="O79" i="12"/>
  <c r="AD79" i="12"/>
  <c r="AG79" i="12"/>
  <c r="AM79" i="12" s="1"/>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I80" i="12" s="1"/>
  <c r="AD80" i="12"/>
  <c r="AE80" i="12"/>
  <c r="AK80" i="12" s="1"/>
  <c r="AF80" i="12"/>
  <c r="AG80" i="12"/>
  <c r="AJ80" i="12"/>
  <c r="AL80" i="12"/>
  <c r="AM80" i="12"/>
  <c r="AB81" i="12"/>
  <c r="AH81" i="12"/>
  <c r="AI81" i="12"/>
  <c r="AJ81" i="12"/>
  <c r="AK81" i="12"/>
  <c r="AL81" i="12"/>
  <c r="AM81" i="12"/>
  <c r="AB82" i="12"/>
  <c r="AH82" i="12" s="1"/>
  <c r="AI82" i="12"/>
  <c r="AJ82" i="12"/>
  <c r="AK82" i="12"/>
  <c r="AL82" i="12"/>
  <c r="AM82" i="12"/>
  <c r="AB83" i="12"/>
  <c r="AH83" i="12" s="1"/>
  <c r="AI83" i="12"/>
  <c r="AJ83" i="12"/>
  <c r="AK83" i="12"/>
  <c r="AL83" i="12"/>
  <c r="AM83" i="12"/>
  <c r="AB84" i="12"/>
  <c r="AH84" i="12"/>
  <c r="AI84" i="12"/>
  <c r="AJ84" i="12"/>
  <c r="AK84" i="12"/>
  <c r="AL84" i="12"/>
  <c r="AM84" i="12"/>
  <c r="O85" i="12"/>
  <c r="U85" i="12"/>
  <c r="AB85" i="12"/>
  <c r="AH85" i="12" s="1"/>
  <c r="AI85" i="12"/>
  <c r="AJ85" i="12"/>
  <c r="AK85" i="12"/>
  <c r="AL85" i="12"/>
  <c r="AM85" i="12"/>
  <c r="E86" i="12"/>
  <c r="F86" i="12"/>
  <c r="AJ86" i="12" s="1"/>
  <c r="N86" i="12"/>
  <c r="O86" i="12"/>
  <c r="AG86" i="12" s="1"/>
  <c r="U86" i="12"/>
  <c r="AB86" i="12"/>
  <c r="AH86" i="12" s="1"/>
  <c r="AC86" i="12"/>
  <c r="AD86" i="12"/>
  <c r="AE86" i="12"/>
  <c r="AF86" i="12"/>
  <c r="AI86" i="12"/>
  <c r="X87" i="12"/>
  <c r="B90"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91" i="12"/>
  <c r="C91" i="12"/>
  <c r="E91" i="12"/>
  <c r="F91" i="12"/>
  <c r="G91" i="12"/>
  <c r="H91" i="12"/>
  <c r="I91" i="12"/>
  <c r="J91" i="12"/>
  <c r="K91" i="12"/>
  <c r="M91" i="12"/>
  <c r="N91" i="12"/>
  <c r="O91" i="12"/>
  <c r="P91" i="12"/>
  <c r="Q91" i="12"/>
  <c r="R91" i="12"/>
  <c r="S91" i="12"/>
  <c r="U91" i="12"/>
  <c r="V91" i="12"/>
  <c r="W91" i="12"/>
  <c r="X91" i="12"/>
  <c r="Y91" i="12"/>
  <c r="Z91" i="12"/>
  <c r="AA91" i="12"/>
  <c r="AB91" i="12"/>
  <c r="AC91" i="12"/>
  <c r="AD91" i="12"/>
  <c r="AE91" i="12"/>
  <c r="AF91" i="12"/>
  <c r="AG91" i="12"/>
  <c r="AA92" i="12"/>
  <c r="J93" i="12"/>
  <c r="J94" i="12" s="1"/>
  <c r="P93" i="12"/>
  <c r="E94" i="12"/>
  <c r="F94" i="12"/>
  <c r="I94" i="12"/>
  <c r="U96" i="12"/>
  <c r="U97" i="10" s="1"/>
  <c r="V97" i="12"/>
  <c r="V92" i="12" s="1"/>
  <c r="V128" i="12" s="1"/>
  <c r="W97" i="12"/>
  <c r="W92" i="12"/>
  <c r="W128" i="12" s="1"/>
  <c r="X97" i="12"/>
  <c r="X92" i="12" s="1"/>
  <c r="X128" i="12" s="1"/>
  <c r="Y97" i="12"/>
  <c r="Y92" i="12"/>
  <c r="Y128" i="12" s="1"/>
  <c r="Z97" i="12"/>
  <c r="Z92" i="12" s="1"/>
  <c r="AB98" i="12"/>
  <c r="AC98" i="12"/>
  <c r="AI98" i="12" s="1"/>
  <c r="AH98" i="12"/>
  <c r="AJ98" i="12"/>
  <c r="AM98" i="12"/>
  <c r="AB99" i="12"/>
  <c r="AC99" i="12"/>
  <c r="AI99" i="12" s="1"/>
  <c r="AH99" i="12"/>
  <c r="AJ99" i="12"/>
  <c r="C100" i="12"/>
  <c r="C101" i="12"/>
  <c r="D101" i="12"/>
  <c r="E101" i="12"/>
  <c r="F101" i="12"/>
  <c r="AJ101" i="12" s="1"/>
  <c r="G101" i="12"/>
  <c r="I101" i="12"/>
  <c r="J101" i="12"/>
  <c r="AB101" i="12" s="1"/>
  <c r="AH101" i="12" s="1"/>
  <c r="AC101" i="12"/>
  <c r="AI101" i="12" s="1"/>
  <c r="AD101" i="12"/>
  <c r="AE101" i="12"/>
  <c r="AK101" i="12" s="1"/>
  <c r="AF101" i="12"/>
  <c r="AG101" i="12"/>
  <c r="C102" i="12"/>
  <c r="D102" i="12"/>
  <c r="E102" i="12"/>
  <c r="F102" i="12"/>
  <c r="AJ102" i="12" s="1"/>
  <c r="G102" i="12"/>
  <c r="H102" i="12"/>
  <c r="AL102" i="12" s="1"/>
  <c r="I102" i="12"/>
  <c r="J102" i="12"/>
  <c r="AB102" i="12"/>
  <c r="AC102" i="12"/>
  <c r="AI102" i="12" s="1"/>
  <c r="AD102" i="12"/>
  <c r="AE102" i="12"/>
  <c r="AF102" i="12"/>
  <c r="AG102" i="12"/>
  <c r="AM102" i="12" s="1"/>
  <c r="AK102" i="12"/>
  <c r="C103" i="12"/>
  <c r="D103" i="12"/>
  <c r="E103" i="12"/>
  <c r="AI103" i="12" s="1"/>
  <c r="F103" i="12"/>
  <c r="G103" i="12"/>
  <c r="I103" i="12"/>
  <c r="J103" i="12"/>
  <c r="AB103" i="12"/>
  <c r="AH103" i="12" s="1"/>
  <c r="AC103" i="12"/>
  <c r="AD103" i="12"/>
  <c r="AE103" i="12"/>
  <c r="AK103" i="12" s="1"/>
  <c r="AF103" i="12"/>
  <c r="AG103" i="12"/>
  <c r="AJ103" i="12"/>
  <c r="J104" i="12"/>
  <c r="AB104" i="12" s="1"/>
  <c r="P104" i="12"/>
  <c r="Q104" i="12"/>
  <c r="U104" i="12"/>
  <c r="C105" i="12"/>
  <c r="D105" i="12"/>
  <c r="AB105" i="12"/>
  <c r="AC105" i="12"/>
  <c r="AI105" i="12" s="1"/>
  <c r="AD105" i="12"/>
  <c r="AJ105" i="12"/>
  <c r="AE105" i="12"/>
  <c r="AK105" i="12" s="1"/>
  <c r="AF105" i="12"/>
  <c r="AL105" i="12" s="1"/>
  <c r="AG105" i="12"/>
  <c r="AM105" i="12" s="1"/>
  <c r="C106" i="12"/>
  <c r="D106" i="12"/>
  <c r="AH106" i="12" s="1"/>
  <c r="E106" i="12"/>
  <c r="F106" i="12"/>
  <c r="AJ106" i="12"/>
  <c r="G106" i="12"/>
  <c r="I106" i="12"/>
  <c r="AM106" i="12" s="1"/>
  <c r="AB106" i="12"/>
  <c r="AC106" i="12"/>
  <c r="AI106" i="12" s="1"/>
  <c r="AD106" i="12"/>
  <c r="AE106" i="12"/>
  <c r="AK106" i="12" s="1"/>
  <c r="AF106" i="12"/>
  <c r="AG106" i="12"/>
  <c r="E108" i="12"/>
  <c r="AI108" i="12" s="1"/>
  <c r="AB108" i="12"/>
  <c r="AC108" i="12"/>
  <c r="AD108" i="12"/>
  <c r="AE108" i="12"/>
  <c r="AF108" i="12"/>
  <c r="AG108" i="12"/>
  <c r="AH108" i="12"/>
  <c r="E109" i="12"/>
  <c r="F109" i="12" s="1"/>
  <c r="G109" i="12"/>
  <c r="AB109" i="12"/>
  <c r="AH109" i="12" s="1"/>
  <c r="AC109" i="12"/>
  <c r="AD109" i="12"/>
  <c r="AE109" i="12"/>
  <c r="AF109" i="12"/>
  <c r="AG109" i="12"/>
  <c r="AI109" i="12"/>
  <c r="O110" i="12"/>
  <c r="O110" i="10"/>
  <c r="V111" i="12"/>
  <c r="W111" i="12"/>
  <c r="X111" i="12"/>
  <c r="Y111" i="12"/>
  <c r="Z111" i="12"/>
  <c r="AA111" i="12"/>
  <c r="J112" i="12"/>
  <c r="O112" i="12"/>
  <c r="C113" i="12"/>
  <c r="D113" i="12"/>
  <c r="E113" i="12"/>
  <c r="F113" i="12"/>
  <c r="O113" i="12"/>
  <c r="AG113" i="12" s="1"/>
  <c r="AM113" i="12" s="1"/>
  <c r="P113" i="12"/>
  <c r="AB113" i="12" s="1"/>
  <c r="AH113" i="12" s="1"/>
  <c r="Q113" i="12"/>
  <c r="AC113" i="12" s="1"/>
  <c r="AI113" i="12" s="1"/>
  <c r="R113" i="12"/>
  <c r="AD113" i="12"/>
  <c r="AJ113" i="12"/>
  <c r="O114" i="12"/>
  <c r="E115" i="12"/>
  <c r="O115" i="12"/>
  <c r="U115" i="12"/>
  <c r="AB115" i="12"/>
  <c r="AC115" i="12"/>
  <c r="AD115" i="12"/>
  <c r="AE115" i="12"/>
  <c r="AF115" i="12"/>
  <c r="AG115" i="12"/>
  <c r="AH115" i="12"/>
  <c r="J116" i="12"/>
  <c r="K116" i="12"/>
  <c r="O116" i="12"/>
  <c r="C117" i="12"/>
  <c r="D117" i="12"/>
  <c r="E117" i="12"/>
  <c r="F117" i="12"/>
  <c r="I117" i="12"/>
  <c r="AB117" i="12"/>
  <c r="AH117" i="12" s="1"/>
  <c r="AC117" i="12"/>
  <c r="AI117" i="12" s="1"/>
  <c r="AD117" i="12"/>
  <c r="AE117" i="12"/>
  <c r="AF117" i="12"/>
  <c r="AG117" i="12"/>
  <c r="AM117" i="12" s="1"/>
  <c r="AJ117" i="12"/>
  <c r="E118" i="12"/>
  <c r="F118" i="12" s="1"/>
  <c r="AB118" i="12"/>
  <c r="AH118" i="12" s="1"/>
  <c r="AC118" i="12"/>
  <c r="AD118" i="12"/>
  <c r="AE118" i="12"/>
  <c r="AF118" i="12"/>
  <c r="AG118" i="12"/>
  <c r="AI118" i="12"/>
  <c r="E119" i="12"/>
  <c r="F119" i="12" s="1"/>
  <c r="AB119" i="12"/>
  <c r="AC119" i="12"/>
  <c r="AD119" i="12"/>
  <c r="AE119" i="12"/>
  <c r="AF119" i="12"/>
  <c r="AG119" i="12"/>
  <c r="AH119" i="12"/>
  <c r="AI119" i="12"/>
  <c r="C120" i="12"/>
  <c r="I120" i="12"/>
  <c r="U120" i="12"/>
  <c r="AG120" i="12"/>
  <c r="E121" i="12"/>
  <c r="F121" i="12"/>
  <c r="U121" i="12"/>
  <c r="AG121" i="12" s="1"/>
  <c r="AB121" i="12"/>
  <c r="AH121" i="12" s="1"/>
  <c r="AC121" i="12"/>
  <c r="AD121" i="12"/>
  <c r="AE121" i="12"/>
  <c r="AF121" i="12"/>
  <c r="AI121" i="12"/>
  <c r="C122" i="12"/>
  <c r="C123" i="12"/>
  <c r="D123" i="12"/>
  <c r="P123" i="12"/>
  <c r="AB123" i="12" s="1"/>
  <c r="AH123" i="12" s="1"/>
  <c r="J124" i="12"/>
  <c r="K124" i="12"/>
  <c r="O124" i="12"/>
  <c r="P125" i="12"/>
  <c r="Q125" i="12"/>
  <c r="R125" i="12"/>
  <c r="S125" i="12"/>
  <c r="T125" i="12"/>
  <c r="U125" i="12"/>
  <c r="V125" i="12"/>
  <c r="W125" i="12"/>
  <c r="X125" i="12"/>
  <c r="Y125" i="12"/>
  <c r="Z125" i="12"/>
  <c r="AA125" i="12"/>
  <c r="C126" i="12"/>
  <c r="C125" i="12" s="1"/>
  <c r="D126" i="12"/>
  <c r="E126" i="12"/>
  <c r="I126" i="12"/>
  <c r="J126" i="12"/>
  <c r="K126" i="12"/>
  <c r="AC126" i="12" s="1"/>
  <c r="O126" i="12"/>
  <c r="AG126" i="12" s="1"/>
  <c r="C127" i="12"/>
  <c r="D127" i="12"/>
  <c r="I127" i="12"/>
  <c r="J127" i="12"/>
  <c r="AB127" i="12" s="1"/>
  <c r="O127" i="12"/>
  <c r="O125" i="12" s="1"/>
  <c r="J129" i="12"/>
  <c r="L129" i="12"/>
  <c r="M129" i="12"/>
  <c r="N129" i="12"/>
  <c r="O129" i="12"/>
  <c r="P129" i="12"/>
  <c r="Q129" i="12"/>
  <c r="R129" i="12"/>
  <c r="S129" i="12"/>
  <c r="T129" i="12"/>
  <c r="U129" i="12"/>
  <c r="V129" i="12"/>
  <c r="C130" i="12"/>
  <c r="D130" i="12"/>
  <c r="AB130" i="12"/>
  <c r="AB129" i="12" s="1"/>
  <c r="AC130" i="12"/>
  <c r="AD130" i="12"/>
  <c r="AD129" i="12" s="1"/>
  <c r="AE130" i="12"/>
  <c r="AE129" i="12" s="1"/>
  <c r="AF130" i="12"/>
  <c r="AF129" i="12" s="1"/>
  <c r="AG130" i="12"/>
  <c r="AH130" i="12"/>
  <c r="C131" i="12"/>
  <c r="D131" i="12"/>
  <c r="F131" i="12"/>
  <c r="AJ131" i="12" s="1"/>
  <c r="G131" i="12"/>
  <c r="AK131" i="12" s="1"/>
  <c r="I131" i="12"/>
  <c r="AB131" i="12"/>
  <c r="AH131" i="12" s="1"/>
  <c r="AC131" i="12"/>
  <c r="AD131" i="12"/>
  <c r="AE131" i="12"/>
  <c r="AF131" i="12"/>
  <c r="AG131" i="12"/>
  <c r="C132" i="12"/>
  <c r="I132" i="12"/>
  <c r="AB132" i="12"/>
  <c r="AH132" i="12" s="1"/>
  <c r="AD132" i="12"/>
  <c r="AE132" i="12"/>
  <c r="AF132" i="12"/>
  <c r="AG132" i="12"/>
  <c r="J133" i="12"/>
  <c r="V133" i="12"/>
  <c r="W133" i="12"/>
  <c r="X133" i="12"/>
  <c r="Y133" i="12"/>
  <c r="Z133" i="12"/>
  <c r="AA133" i="12"/>
  <c r="C134" i="12"/>
  <c r="D134" i="12"/>
  <c r="P134" i="12"/>
  <c r="P133" i="12" s="1"/>
  <c r="Q134" i="12"/>
  <c r="G135" i="12"/>
  <c r="I135" i="12"/>
  <c r="AB135" i="12"/>
  <c r="AH135" i="12" s="1"/>
  <c r="AC135" i="12"/>
  <c r="AD135" i="12"/>
  <c r="AJ135" i="12" s="1"/>
  <c r="AE135" i="12"/>
  <c r="AF135" i="12"/>
  <c r="AG135" i="12"/>
  <c r="AK135" i="12"/>
  <c r="C136" i="12"/>
  <c r="F136" i="12"/>
  <c r="AJ136" i="12" s="1"/>
  <c r="H136" i="12"/>
  <c r="AL136" i="12" s="1"/>
  <c r="I136" i="12"/>
  <c r="AB136" i="12"/>
  <c r="AC136" i="12"/>
  <c r="AI136" i="12" s="1"/>
  <c r="AD136" i="12"/>
  <c r="AE136" i="12"/>
  <c r="AF136" i="12"/>
  <c r="AG136" i="12"/>
  <c r="AB137" i="12"/>
  <c r="AH137" i="12" s="1"/>
  <c r="Q138" i="12"/>
  <c r="C139" i="12"/>
  <c r="D139" i="12"/>
  <c r="AH139" i="12"/>
  <c r="E139" i="12"/>
  <c r="AI139" i="12" s="1"/>
  <c r="F139" i="12"/>
  <c r="AJ139" i="12"/>
  <c r="G139" i="12"/>
  <c r="H139" i="12"/>
  <c r="AL139" i="12" s="1"/>
  <c r="I139" i="12"/>
  <c r="AB139" i="12"/>
  <c r="AC139" i="12"/>
  <c r="AD139" i="12"/>
  <c r="AE139" i="12"/>
  <c r="AK139" i="12" s="1"/>
  <c r="AF139" i="12"/>
  <c r="AG139" i="12"/>
  <c r="AM139" i="12" s="1"/>
  <c r="C140" i="12"/>
  <c r="D140" i="12"/>
  <c r="J140" i="12"/>
  <c r="P141" i="12"/>
  <c r="P138" i="12" s="1"/>
  <c r="Q141" i="12"/>
  <c r="R141" i="12"/>
  <c r="R138" i="12" s="1"/>
  <c r="V141" i="12"/>
  <c r="V138" i="12" s="1"/>
  <c r="V151" i="12" s="1"/>
  <c r="D142" i="12"/>
  <c r="I142" i="12"/>
  <c r="J142" i="12"/>
  <c r="AB142" i="12" s="1"/>
  <c r="O142" i="12"/>
  <c r="O141" i="10"/>
  <c r="C143" i="12"/>
  <c r="D143" i="12"/>
  <c r="AH143" i="12" s="1"/>
  <c r="E143" i="12"/>
  <c r="AI143" i="12" s="1"/>
  <c r="F143" i="12"/>
  <c r="G143" i="12"/>
  <c r="H143" i="12"/>
  <c r="AL143" i="12" s="1"/>
  <c r="I143" i="12"/>
  <c r="U143" i="12"/>
  <c r="U138" i="12" s="1"/>
  <c r="AB143" i="12"/>
  <c r="AC143" i="12"/>
  <c r="AD143" i="12"/>
  <c r="AJ143" i="12" s="1"/>
  <c r="AE143" i="12"/>
  <c r="AK143" i="12" s="1"/>
  <c r="AF143" i="12"/>
  <c r="C144" i="12"/>
  <c r="D144" i="12"/>
  <c r="E144" i="12"/>
  <c r="F144" i="12"/>
  <c r="G144" i="12"/>
  <c r="H144" i="12"/>
  <c r="I144" i="12"/>
  <c r="J144" i="12"/>
  <c r="K144" i="12"/>
  <c r="L144" i="12"/>
  <c r="M144" i="12"/>
  <c r="N144" i="12"/>
  <c r="AF144" i="12" s="1"/>
  <c r="AL144" i="12" s="1"/>
  <c r="O144" i="12"/>
  <c r="P144" i="12"/>
  <c r="Q144" i="12"/>
  <c r="R144" i="12"/>
  <c r="S144" i="12"/>
  <c r="T144" i="12"/>
  <c r="U144" i="12"/>
  <c r="V144" i="12"/>
  <c r="W144" i="12"/>
  <c r="X144" i="12"/>
  <c r="Y144" i="12"/>
  <c r="Z144" i="12"/>
  <c r="AA144" i="12"/>
  <c r="AC144" i="12"/>
  <c r="AI144" i="12" s="1"/>
  <c r="AD144" i="12"/>
  <c r="AE144" i="12"/>
  <c r="AG144" i="12"/>
  <c r="AK144" i="12"/>
  <c r="AM144" i="12"/>
  <c r="AB145" i="12"/>
  <c r="AH145" i="12"/>
  <c r="AI145" i="12"/>
  <c r="AJ145" i="12"/>
  <c r="AK145" i="12"/>
  <c r="AL145" i="12"/>
  <c r="AM145" i="12"/>
  <c r="AB146" i="12"/>
  <c r="AH146" i="12" s="1"/>
  <c r="AI146" i="12"/>
  <c r="AJ146" i="12"/>
  <c r="AK146" i="12"/>
  <c r="AL146" i="12"/>
  <c r="AM146" i="12"/>
  <c r="AB147" i="12"/>
  <c r="AH147" i="12" s="1"/>
  <c r="AI147" i="12"/>
  <c r="AJ147" i="12"/>
  <c r="AK147" i="12"/>
  <c r="AL147" i="12"/>
  <c r="AM147" i="12"/>
  <c r="AB148" i="12"/>
  <c r="AH148" i="12"/>
  <c r="AI148" i="12"/>
  <c r="AJ148" i="12"/>
  <c r="AK148" i="12"/>
  <c r="AL148" i="12"/>
  <c r="AM148" i="12"/>
  <c r="AH149" i="12"/>
  <c r="AI149" i="12"/>
  <c r="AJ149" i="12"/>
  <c r="AK149" i="12"/>
  <c r="AL149" i="12"/>
  <c r="AM149" i="12"/>
  <c r="AH150" i="12"/>
  <c r="AI150" i="12"/>
  <c r="AJ150" i="12"/>
  <c r="AK150" i="12"/>
  <c r="AL150" i="12"/>
  <c r="AM150" i="12"/>
  <c r="AH153" i="12"/>
  <c r="AI153" i="12"/>
  <c r="AJ153" i="12"/>
  <c r="AK153" i="12"/>
  <c r="AL153" i="12"/>
  <c r="AM153" i="12"/>
  <c r="AG155" i="12"/>
  <c r="B3" i="11"/>
  <c r="C3" i="11"/>
  <c r="D3" i="11"/>
  <c r="E3" i="11"/>
  <c r="F3" i="11"/>
  <c r="F90" i="11" s="1"/>
  <c r="G3" i="11"/>
  <c r="H3" i="11"/>
  <c r="I3" i="11"/>
  <c r="J3" i="11"/>
  <c r="K3" i="11"/>
  <c r="L3" i="11"/>
  <c r="M3" i="11"/>
  <c r="N3" i="11"/>
  <c r="B4" i="11"/>
  <c r="B4" i="12" s="1"/>
  <c r="C4" i="11"/>
  <c r="D4" i="11"/>
  <c r="E4" i="11"/>
  <c r="F4" i="11"/>
  <c r="G4" i="11"/>
  <c r="H4" i="11"/>
  <c r="I4" i="11"/>
  <c r="J4" i="11"/>
  <c r="J91" i="11" s="1"/>
  <c r="K4" i="11"/>
  <c r="K91" i="11"/>
  <c r="L4" i="11"/>
  <c r="M4" i="11"/>
  <c r="N4" i="11"/>
  <c r="N91" i="11"/>
  <c r="A5" i="11"/>
  <c r="B5" i="11"/>
  <c r="C5" i="11"/>
  <c r="D5" i="11"/>
  <c r="E5" i="11"/>
  <c r="F5" i="11"/>
  <c r="G5" i="11"/>
  <c r="H5" i="11"/>
  <c r="I5" i="11"/>
  <c r="J5" i="11"/>
  <c r="C8" i="11"/>
  <c r="C7" i="11" s="1"/>
  <c r="D8" i="11"/>
  <c r="E8" i="11"/>
  <c r="Q8" i="11" s="1"/>
  <c r="F8" i="11"/>
  <c r="G8" i="11"/>
  <c r="J8" i="11"/>
  <c r="L8" i="11"/>
  <c r="Z8" i="11"/>
  <c r="C9" i="11"/>
  <c r="D9" i="11"/>
  <c r="E9" i="11"/>
  <c r="F9" i="11"/>
  <c r="L9" i="11" s="1"/>
  <c r="G9" i="11"/>
  <c r="J9" i="11"/>
  <c r="Q9" i="11"/>
  <c r="Z9" i="11"/>
  <c r="C10" i="11"/>
  <c r="D10" i="11"/>
  <c r="E10" i="11"/>
  <c r="L10" i="11" s="1"/>
  <c r="F10" i="11"/>
  <c r="G10" i="11"/>
  <c r="J10" i="11"/>
  <c r="M10" i="11"/>
  <c r="Z10" i="11"/>
  <c r="C11" i="11"/>
  <c r="D11" i="11"/>
  <c r="E11" i="11"/>
  <c r="F11" i="11"/>
  <c r="L11" i="11" s="1"/>
  <c r="G11" i="11"/>
  <c r="H11" i="11"/>
  <c r="N11" i="11"/>
  <c r="J11" i="11"/>
  <c r="K11" i="11" s="1"/>
  <c r="Q11" i="11"/>
  <c r="Z11" i="11"/>
  <c r="C12" i="11"/>
  <c r="D12" i="11"/>
  <c r="D7" i="11" s="1"/>
  <c r="Z7" i="11" s="1"/>
  <c r="E12" i="11"/>
  <c r="Q12" i="11" s="1"/>
  <c r="F12" i="11"/>
  <c r="J12" i="11"/>
  <c r="Z12" i="11"/>
  <c r="C13" i="11"/>
  <c r="D13" i="11"/>
  <c r="Z13" i="11" s="1"/>
  <c r="E13" i="11"/>
  <c r="F13" i="11"/>
  <c r="G13" i="11"/>
  <c r="M13" i="11" s="1"/>
  <c r="J13" i="11"/>
  <c r="L13" i="11"/>
  <c r="Q13" i="11"/>
  <c r="C15" i="11"/>
  <c r="Q15" i="11" s="1"/>
  <c r="D15" i="11"/>
  <c r="E15" i="11"/>
  <c r="L15" i="11" s="1"/>
  <c r="F15" i="11"/>
  <c r="J15" i="11"/>
  <c r="Z15" i="11"/>
  <c r="C16" i="11"/>
  <c r="D16" i="11"/>
  <c r="E16" i="11"/>
  <c r="F16" i="11"/>
  <c r="L16" i="11" s="1"/>
  <c r="G16" i="11"/>
  <c r="J16" i="11"/>
  <c r="M16" i="11"/>
  <c r="Q16" i="11"/>
  <c r="Z16" i="11"/>
  <c r="C17" i="11"/>
  <c r="D17" i="11"/>
  <c r="E17" i="11"/>
  <c r="F17" i="11"/>
  <c r="L17" i="11" s="1"/>
  <c r="G17" i="11"/>
  <c r="H17" i="11"/>
  <c r="N17" i="11" s="1"/>
  <c r="I17" i="11"/>
  <c r="J17" i="11"/>
  <c r="O17" i="11"/>
  <c r="Q17" i="11"/>
  <c r="Z17" i="11"/>
  <c r="C18" i="11"/>
  <c r="D18" i="11"/>
  <c r="Z18" i="11" s="1"/>
  <c r="E18" i="11"/>
  <c r="Q18" i="11" s="1"/>
  <c r="F18" i="11"/>
  <c r="L18" i="11" s="1"/>
  <c r="G18" i="11"/>
  <c r="H18" i="11"/>
  <c r="N18" i="11" s="1"/>
  <c r="I18" i="11"/>
  <c r="J18" i="11"/>
  <c r="M18" i="11"/>
  <c r="C19" i="11"/>
  <c r="C20" i="11"/>
  <c r="D20" i="11"/>
  <c r="Z20" i="11" s="1"/>
  <c r="E20" i="11"/>
  <c r="Q20" i="11" s="1"/>
  <c r="J20" i="11"/>
  <c r="C23" i="11"/>
  <c r="E23" i="11"/>
  <c r="Q23" i="11"/>
  <c r="Z23" i="11"/>
  <c r="C24" i="11"/>
  <c r="D24" i="11"/>
  <c r="E24" i="11"/>
  <c r="D25" i="10" s="1"/>
  <c r="J24" i="11"/>
  <c r="Q24" i="11"/>
  <c r="Z24" i="11"/>
  <c r="C25" i="11"/>
  <c r="D25" i="11"/>
  <c r="E25" i="11"/>
  <c r="Q25" i="11" s="1"/>
  <c r="F25" i="11"/>
  <c r="L25" i="11" s="1"/>
  <c r="J25" i="11"/>
  <c r="J25" i="7" s="1"/>
  <c r="Z25" i="11"/>
  <c r="C27" i="11"/>
  <c r="E27" i="11"/>
  <c r="Q27" i="11" s="1"/>
  <c r="J27" i="11"/>
  <c r="Z27" i="11"/>
  <c r="C30" i="11"/>
  <c r="J30" i="11"/>
  <c r="E31" i="11"/>
  <c r="J31" i="11"/>
  <c r="J29" i="11" s="1"/>
  <c r="C32" i="11"/>
  <c r="D32" i="11"/>
  <c r="Z32" i="11" s="1"/>
  <c r="E32" i="11"/>
  <c r="J32" i="11"/>
  <c r="I33" i="10" s="1"/>
  <c r="Q32" i="11"/>
  <c r="D33" i="11"/>
  <c r="E33" i="11"/>
  <c r="J33" i="11"/>
  <c r="Z33" i="11"/>
  <c r="C36" i="11"/>
  <c r="Q36" i="11" s="1"/>
  <c r="D36" i="11"/>
  <c r="E36" i="11"/>
  <c r="F36" i="11"/>
  <c r="G36" i="11"/>
  <c r="M36" i="11" s="1"/>
  <c r="H36" i="11"/>
  <c r="J36" i="11"/>
  <c r="K36" i="11" s="1"/>
  <c r="L36" i="11"/>
  <c r="N36" i="11"/>
  <c r="Z36" i="11"/>
  <c r="E38" i="11"/>
  <c r="D39" i="10"/>
  <c r="C40" i="11"/>
  <c r="E40" i="11"/>
  <c r="F40" i="11"/>
  <c r="L40" i="11"/>
  <c r="Q40" i="11"/>
  <c r="Z40" i="11"/>
  <c r="C41" i="11"/>
  <c r="E41" i="11"/>
  <c r="Z41" i="11"/>
  <c r="C42" i="11"/>
  <c r="D42" i="11"/>
  <c r="E42" i="11"/>
  <c r="Q42" i="11" s="1"/>
  <c r="F42" i="11"/>
  <c r="L42" i="11" s="1"/>
  <c r="J42" i="11"/>
  <c r="Z42" i="11"/>
  <c r="C44" i="11"/>
  <c r="C44" i="7"/>
  <c r="D44" i="11"/>
  <c r="Z44" i="11"/>
  <c r="E44" i="11"/>
  <c r="Q44" i="11" s="1"/>
  <c r="F44" i="11"/>
  <c r="J44" i="11"/>
  <c r="I45" i="10"/>
  <c r="C45" i="11"/>
  <c r="D45" i="11"/>
  <c r="E45" i="11"/>
  <c r="Z45" i="11"/>
  <c r="C48" i="11"/>
  <c r="D48" i="11"/>
  <c r="D47" i="11" s="1"/>
  <c r="Z47" i="11" s="1"/>
  <c r="E48" i="11"/>
  <c r="F48" i="11"/>
  <c r="G48" i="11"/>
  <c r="H48" i="11"/>
  <c r="N48" i="11" s="1"/>
  <c r="J48" i="11"/>
  <c r="M48" i="11"/>
  <c r="Z48" i="11"/>
  <c r="C49" i="11"/>
  <c r="D49" i="11"/>
  <c r="Z49" i="11"/>
  <c r="D50" i="11"/>
  <c r="E50" i="11"/>
  <c r="J50" i="11"/>
  <c r="Z50" i="11"/>
  <c r="C51" i="11"/>
  <c r="D51" i="11"/>
  <c r="E51" i="11"/>
  <c r="F51" i="11"/>
  <c r="L51" i="11" s="1"/>
  <c r="J51" i="11"/>
  <c r="Q51" i="11"/>
  <c r="Z51" i="11"/>
  <c r="C52" i="11"/>
  <c r="E52" i="11"/>
  <c r="Q52" i="11" s="1"/>
  <c r="F52" i="11"/>
  <c r="L52" i="11" s="1"/>
  <c r="G52" i="11"/>
  <c r="Z52" i="11"/>
  <c r="C54" i="11"/>
  <c r="Q54" i="11" s="1"/>
  <c r="E54" i="11"/>
  <c r="F54" i="11"/>
  <c r="L54" i="11" s="1"/>
  <c r="Z54" i="11"/>
  <c r="C57" i="11"/>
  <c r="E57" i="11"/>
  <c r="J57" i="11"/>
  <c r="Q57" i="11"/>
  <c r="Z57" i="11"/>
  <c r="C59" i="11"/>
  <c r="E59" i="11"/>
  <c r="F59" i="11"/>
  <c r="L59" i="11" s="1"/>
  <c r="Q59" i="11"/>
  <c r="Z59" i="11"/>
  <c r="C62" i="11"/>
  <c r="Z62" i="11"/>
  <c r="C64" i="11"/>
  <c r="Z64" i="11"/>
  <c r="C65" i="11"/>
  <c r="D65" i="11"/>
  <c r="E65" i="11"/>
  <c r="E64" i="11" s="1"/>
  <c r="J65" i="11"/>
  <c r="J64" i="11" s="1"/>
  <c r="Z65" i="11"/>
  <c r="C66" i="11"/>
  <c r="D66" i="11"/>
  <c r="E66" i="11"/>
  <c r="F66" i="11"/>
  <c r="J66" i="11"/>
  <c r="L66" i="11"/>
  <c r="Q66" i="11"/>
  <c r="Z66" i="11"/>
  <c r="C67" i="11"/>
  <c r="D67" i="11"/>
  <c r="E67" i="11"/>
  <c r="Q67" i="11" s="1"/>
  <c r="J67" i="11"/>
  <c r="Z67" i="11"/>
  <c r="D68" i="11"/>
  <c r="D87" i="11" s="1"/>
  <c r="Z87" i="11" s="1"/>
  <c r="C69" i="11"/>
  <c r="D69" i="11"/>
  <c r="E69" i="11"/>
  <c r="J69" i="11"/>
  <c r="Z69" i="11"/>
  <c r="C70" i="11"/>
  <c r="D70" i="11"/>
  <c r="E70" i="11"/>
  <c r="F70" i="11"/>
  <c r="J70" i="11"/>
  <c r="L70" i="11"/>
  <c r="Z70" i="11"/>
  <c r="C71" i="11"/>
  <c r="D71" i="11"/>
  <c r="E71" i="11"/>
  <c r="Q71" i="11" s="1"/>
  <c r="J71" i="11"/>
  <c r="Z71" i="11"/>
  <c r="C72" i="11"/>
  <c r="D72" i="11"/>
  <c r="Z72" i="11" s="1"/>
  <c r="E72" i="11"/>
  <c r="F72" i="11"/>
  <c r="L72" i="11" s="1"/>
  <c r="J72" i="11"/>
  <c r="Q72" i="11"/>
  <c r="C74" i="11"/>
  <c r="C73" i="11" s="1"/>
  <c r="D74" i="11"/>
  <c r="D73" i="11" s="1"/>
  <c r="Z73" i="11" s="1"/>
  <c r="E74" i="11"/>
  <c r="J74" i="12" s="1"/>
  <c r="J74" i="11"/>
  <c r="Q74" i="11"/>
  <c r="Z74" i="11"/>
  <c r="C75" i="11"/>
  <c r="D75" i="11"/>
  <c r="Z75" i="11" s="1"/>
  <c r="E75" i="11"/>
  <c r="Q75" i="11" s="1"/>
  <c r="F75" i="11"/>
  <c r="L75" i="11" s="1"/>
  <c r="J75" i="11"/>
  <c r="D76" i="11"/>
  <c r="Z76" i="11"/>
  <c r="C77" i="11"/>
  <c r="D77" i="11"/>
  <c r="Z77" i="11" s="1"/>
  <c r="E77" i="11"/>
  <c r="F77" i="11"/>
  <c r="L77" i="11" s="1"/>
  <c r="J77" i="11"/>
  <c r="Q77" i="11"/>
  <c r="C78" i="11"/>
  <c r="C76" i="11" s="1"/>
  <c r="D78" i="11"/>
  <c r="E78" i="11"/>
  <c r="F78" i="11"/>
  <c r="J78" i="11"/>
  <c r="Z78" i="11"/>
  <c r="C79" i="11"/>
  <c r="D79" i="11"/>
  <c r="E79" i="11"/>
  <c r="Q79" i="11" s="1"/>
  <c r="F79" i="11"/>
  <c r="F76" i="11" s="1"/>
  <c r="G79" i="11"/>
  <c r="N79" i="11" s="1"/>
  <c r="H79" i="11"/>
  <c r="I79" i="11"/>
  <c r="O79" i="11" s="1"/>
  <c r="J79" i="11"/>
  <c r="K79" i="11"/>
  <c r="L79" i="11"/>
  <c r="M79" i="11"/>
  <c r="W79" i="11"/>
  <c r="X79" i="11"/>
  <c r="Z79" i="11"/>
  <c r="C80" i="11"/>
  <c r="E80" i="11"/>
  <c r="F80" i="11"/>
  <c r="L80" i="11" s="1"/>
  <c r="G80" i="11"/>
  <c r="H80" i="11"/>
  <c r="I80" i="11"/>
  <c r="O80" i="11" s="1"/>
  <c r="J80" i="11"/>
  <c r="Q80" i="11"/>
  <c r="Z80" i="11"/>
  <c r="L81" i="11"/>
  <c r="M81" i="11"/>
  <c r="N81" i="11"/>
  <c r="O81" i="11"/>
  <c r="Q81" i="11"/>
  <c r="Z81" i="11"/>
  <c r="L82" i="11"/>
  <c r="M82" i="11"/>
  <c r="N82" i="11"/>
  <c r="O82" i="11"/>
  <c r="Q82" i="11"/>
  <c r="Z82" i="11"/>
  <c r="L83" i="11"/>
  <c r="M83" i="11"/>
  <c r="N83" i="11"/>
  <c r="O83" i="11"/>
  <c r="Q83" i="11"/>
  <c r="Z83" i="11"/>
  <c r="L84" i="11"/>
  <c r="M84" i="11"/>
  <c r="N84" i="11"/>
  <c r="O84" i="11"/>
  <c r="Q84" i="11"/>
  <c r="Z84" i="11"/>
  <c r="M85" i="11"/>
  <c r="N85" i="11"/>
  <c r="Q85" i="11"/>
  <c r="Z85" i="11"/>
  <c r="C86" i="11"/>
  <c r="E86" i="11"/>
  <c r="Q86" i="11" s="1"/>
  <c r="F86" i="11"/>
  <c r="G86" i="11"/>
  <c r="Z86" i="11"/>
  <c r="R87" i="11"/>
  <c r="W88" i="11"/>
  <c r="L89" i="11"/>
  <c r="Z89" i="11"/>
  <c r="B90" i="11"/>
  <c r="C90" i="11"/>
  <c r="D90" i="11"/>
  <c r="E90" i="11"/>
  <c r="G90" i="11"/>
  <c r="H90" i="11"/>
  <c r="I90" i="11"/>
  <c r="J90" i="11"/>
  <c r="K90" i="11"/>
  <c r="L90" i="11"/>
  <c r="M90" i="11"/>
  <c r="B91" i="11"/>
  <c r="B91" i="12" s="1"/>
  <c r="C91" i="11"/>
  <c r="D91" i="11"/>
  <c r="E91" i="11"/>
  <c r="F91" i="11"/>
  <c r="G91" i="11"/>
  <c r="H91" i="11"/>
  <c r="I91" i="11"/>
  <c r="L91" i="11"/>
  <c r="M91" i="11"/>
  <c r="O91" i="11"/>
  <c r="P91" i="11"/>
  <c r="Q91" i="11"/>
  <c r="D94" i="11"/>
  <c r="F94" i="11"/>
  <c r="G94" i="11"/>
  <c r="J94" i="11"/>
  <c r="M94" i="11"/>
  <c r="Z94" i="11"/>
  <c r="F98" i="11"/>
  <c r="G98" i="11"/>
  <c r="J98" i="11"/>
  <c r="I99" i="10" s="1"/>
  <c r="O99" i="10" s="1"/>
  <c r="L98" i="11"/>
  <c r="M98" i="11"/>
  <c r="Q98" i="11"/>
  <c r="Z98" i="11"/>
  <c r="D99" i="11"/>
  <c r="F99" i="11"/>
  <c r="G99" i="11" s="1"/>
  <c r="M99" i="11" s="1"/>
  <c r="Q99" i="11"/>
  <c r="Z99" i="11"/>
  <c r="C100" i="11"/>
  <c r="J100" i="11"/>
  <c r="C101" i="11"/>
  <c r="D101" i="11"/>
  <c r="E101" i="11"/>
  <c r="L101" i="11"/>
  <c r="F101" i="11"/>
  <c r="G101" i="11"/>
  <c r="M101" i="11" s="1"/>
  <c r="H101" i="11"/>
  <c r="J101" i="11"/>
  <c r="Z101" i="11"/>
  <c r="C102" i="11"/>
  <c r="D102" i="11"/>
  <c r="E102" i="11"/>
  <c r="F102" i="11"/>
  <c r="G102" i="11"/>
  <c r="H102" i="11"/>
  <c r="I102" i="11"/>
  <c r="O102" i="11" s="1"/>
  <c r="J102" i="11"/>
  <c r="Z102" i="11"/>
  <c r="C103" i="11"/>
  <c r="D103" i="11"/>
  <c r="E103" i="11"/>
  <c r="F103" i="11"/>
  <c r="G103" i="11"/>
  <c r="H103" i="11"/>
  <c r="I103" i="11"/>
  <c r="O103" i="11"/>
  <c r="J103" i="11"/>
  <c r="M103" i="11"/>
  <c r="N103" i="11"/>
  <c r="C105" i="11"/>
  <c r="D105" i="11"/>
  <c r="Z105" i="11"/>
  <c r="K105" i="11"/>
  <c r="L105" i="11"/>
  <c r="M105" i="11"/>
  <c r="N105" i="11"/>
  <c r="O105" i="11"/>
  <c r="Q105" i="11"/>
  <c r="C106" i="11"/>
  <c r="D106" i="11"/>
  <c r="Z106" i="11" s="1"/>
  <c r="E106" i="11"/>
  <c r="Q106" i="11" s="1"/>
  <c r="F106" i="11"/>
  <c r="G106" i="11"/>
  <c r="H106" i="11"/>
  <c r="J106" i="11"/>
  <c r="C107" i="11"/>
  <c r="D107" i="11"/>
  <c r="Z107" i="11"/>
  <c r="C108" i="11"/>
  <c r="Q108" i="11" s="1"/>
  <c r="E108" i="11"/>
  <c r="F108" i="11"/>
  <c r="L108" i="11"/>
  <c r="Z108" i="11"/>
  <c r="C109" i="11"/>
  <c r="E109" i="11"/>
  <c r="F109" i="11"/>
  <c r="Z109" i="11"/>
  <c r="D110" i="11"/>
  <c r="Z110" i="11" s="1"/>
  <c r="D113" i="11"/>
  <c r="E113" i="11"/>
  <c r="F113" i="11"/>
  <c r="G113" i="11"/>
  <c r="M113" i="11" s="1"/>
  <c r="L113" i="11"/>
  <c r="Q113" i="11"/>
  <c r="Z113" i="11"/>
  <c r="C115" i="11"/>
  <c r="Q115" i="11" s="1"/>
  <c r="E115" i="11"/>
  <c r="Z115" i="11"/>
  <c r="C117" i="11"/>
  <c r="D117" i="11"/>
  <c r="Z117" i="11" s="1"/>
  <c r="E117" i="11"/>
  <c r="Q117" i="11" s="1"/>
  <c r="F117" i="11"/>
  <c r="G117" i="11"/>
  <c r="J117" i="11"/>
  <c r="L117" i="11"/>
  <c r="M117" i="11"/>
  <c r="C118" i="11"/>
  <c r="E118" i="11"/>
  <c r="F118" i="11"/>
  <c r="L118" i="11" s="1"/>
  <c r="Q118" i="11"/>
  <c r="Z118" i="11"/>
  <c r="C119" i="11"/>
  <c r="Q119" i="11" s="1"/>
  <c r="E119" i="11"/>
  <c r="F119" i="11"/>
  <c r="L119" i="11"/>
  <c r="Z119" i="11"/>
  <c r="C120" i="11"/>
  <c r="J120" i="11"/>
  <c r="Z120" i="11"/>
  <c r="C121" i="11"/>
  <c r="E121" i="11"/>
  <c r="F121" i="11"/>
  <c r="L121" i="11" s="1"/>
  <c r="G121" i="11"/>
  <c r="M121" i="11" s="1"/>
  <c r="Q121" i="11"/>
  <c r="Z121" i="11"/>
  <c r="C122" i="11"/>
  <c r="D122" i="11"/>
  <c r="Z122" i="11"/>
  <c r="C123" i="11"/>
  <c r="D123" i="11"/>
  <c r="Z123" i="11" s="1"/>
  <c r="E123" i="11"/>
  <c r="Q123" i="11" s="1"/>
  <c r="C126" i="11"/>
  <c r="C125" i="11" s="1"/>
  <c r="D126" i="11"/>
  <c r="Z126" i="11" s="1"/>
  <c r="E126" i="11"/>
  <c r="F126" i="11"/>
  <c r="J126" i="11"/>
  <c r="J125" i="11"/>
  <c r="L126" i="11"/>
  <c r="Q126" i="11"/>
  <c r="R126" i="11"/>
  <c r="C127" i="11"/>
  <c r="D127" i="11"/>
  <c r="Z127" i="11"/>
  <c r="E127" i="11"/>
  <c r="Q127" i="11"/>
  <c r="J127" i="11"/>
  <c r="R127" i="11"/>
  <c r="C130" i="11"/>
  <c r="Q130" i="11" s="1"/>
  <c r="D130" i="11"/>
  <c r="E130" i="11"/>
  <c r="C131" i="11"/>
  <c r="C133" i="7"/>
  <c r="D131" i="11"/>
  <c r="E131" i="11"/>
  <c r="Q131" i="11" s="1"/>
  <c r="G131" i="11"/>
  <c r="H131" i="11"/>
  <c r="I131" i="11"/>
  <c r="H131" i="10"/>
  <c r="J131" i="11"/>
  <c r="Z131" i="11"/>
  <c r="C132" i="11"/>
  <c r="C132" i="10" s="1"/>
  <c r="D132" i="11"/>
  <c r="J132" i="11"/>
  <c r="J134" i="7"/>
  <c r="Z132" i="11"/>
  <c r="C134" i="11"/>
  <c r="D134" i="11"/>
  <c r="Z134" i="11" s="1"/>
  <c r="E134" i="11"/>
  <c r="C135" i="11"/>
  <c r="C137" i="7"/>
  <c r="D135" i="11"/>
  <c r="Z135" i="11"/>
  <c r="G135" i="11"/>
  <c r="G137" i="7"/>
  <c r="H135" i="11"/>
  <c r="J135" i="11"/>
  <c r="C136" i="11"/>
  <c r="D136" i="11"/>
  <c r="Z136" i="11"/>
  <c r="E136" i="11"/>
  <c r="E138" i="7" s="1"/>
  <c r="G136" i="11"/>
  <c r="F136" i="10" s="1"/>
  <c r="AJ136" i="10" s="1"/>
  <c r="I136" i="11"/>
  <c r="J136" i="11"/>
  <c r="C137" i="11"/>
  <c r="C139" i="7"/>
  <c r="D137" i="11"/>
  <c r="Z137" i="11" s="1"/>
  <c r="G137" i="11"/>
  <c r="F137" i="10"/>
  <c r="R26" i="9" s="1"/>
  <c r="C139" i="11"/>
  <c r="D139" i="11"/>
  <c r="E139" i="11"/>
  <c r="F139" i="11"/>
  <c r="G139" i="11"/>
  <c r="M139" i="11"/>
  <c r="H139" i="11"/>
  <c r="I139" i="11"/>
  <c r="J139" i="11"/>
  <c r="I139" i="10"/>
  <c r="Z139" i="11"/>
  <c r="C140" i="11"/>
  <c r="D140" i="11"/>
  <c r="E140" i="11"/>
  <c r="Q140" i="11"/>
  <c r="F140" i="11"/>
  <c r="F142" i="7" s="1"/>
  <c r="Z140" i="11"/>
  <c r="R141" i="11"/>
  <c r="S141" i="11"/>
  <c r="D142" i="11"/>
  <c r="Z142" i="11" s="1"/>
  <c r="E142" i="11"/>
  <c r="D141" i="10"/>
  <c r="J142" i="11"/>
  <c r="X142" i="11" s="1"/>
  <c r="C143" i="11"/>
  <c r="D143" i="11"/>
  <c r="E143" i="11"/>
  <c r="F143" i="11"/>
  <c r="G143" i="11"/>
  <c r="F142" i="10"/>
  <c r="H143" i="11"/>
  <c r="H144" i="7"/>
  <c r="I143" i="11"/>
  <c r="I144" i="7"/>
  <c r="J143" i="11"/>
  <c r="J144" i="7"/>
  <c r="L143" i="11"/>
  <c r="Z143" i="11"/>
  <c r="C144" i="11"/>
  <c r="E144" i="11"/>
  <c r="F144" i="11"/>
  <c r="G144" i="11"/>
  <c r="H144" i="11"/>
  <c r="I144" i="11"/>
  <c r="J144" i="11"/>
  <c r="L144" i="11"/>
  <c r="M144" i="11"/>
  <c r="N144" i="11"/>
  <c r="O144" i="11"/>
  <c r="Q144" i="11"/>
  <c r="Z144" i="11"/>
  <c r="L145" i="11"/>
  <c r="M145" i="11"/>
  <c r="N145" i="11"/>
  <c r="O145" i="11"/>
  <c r="Q145" i="11"/>
  <c r="Z145" i="11"/>
  <c r="L146" i="11"/>
  <c r="M146" i="11"/>
  <c r="N146" i="11"/>
  <c r="O146" i="11"/>
  <c r="Q146" i="11"/>
  <c r="Z146" i="11"/>
  <c r="L147" i="11"/>
  <c r="M147" i="11"/>
  <c r="N147" i="11"/>
  <c r="O147" i="11"/>
  <c r="Q147" i="11"/>
  <c r="Z147" i="11"/>
  <c r="L148" i="11"/>
  <c r="M148" i="11"/>
  <c r="N148" i="11"/>
  <c r="O148" i="11"/>
  <c r="Q148" i="11"/>
  <c r="Z148" i="11"/>
  <c r="L149" i="11"/>
  <c r="M149" i="11"/>
  <c r="N149" i="11"/>
  <c r="O149" i="11"/>
  <c r="Q149" i="11"/>
  <c r="Z149" i="11"/>
  <c r="L150" i="11"/>
  <c r="M150" i="11"/>
  <c r="N150" i="11"/>
  <c r="O150" i="11"/>
  <c r="Q150" i="11"/>
  <c r="Z150" i="11"/>
  <c r="W152" i="11"/>
  <c r="Z153" i="11"/>
  <c r="D154" i="11"/>
  <c r="Z154" i="11" s="1"/>
  <c r="J155" i="11"/>
  <c r="Z155" i="11"/>
  <c r="Z156" i="11"/>
  <c r="C5" i="10"/>
  <c r="D5" i="10"/>
  <c r="E5" i="10"/>
  <c r="F5" i="10"/>
  <c r="G5" i="10"/>
  <c r="H5" i="10"/>
  <c r="I5" i="10"/>
  <c r="I91" i="10"/>
  <c r="C9" i="10"/>
  <c r="D9" i="10"/>
  <c r="F9" i="10"/>
  <c r="I9" i="10"/>
  <c r="J9" i="10"/>
  <c r="K9" i="10"/>
  <c r="L9" i="10"/>
  <c r="O9" i="10"/>
  <c r="AG9" i="10" s="1"/>
  <c r="P9" i="10"/>
  <c r="Q9" i="10"/>
  <c r="R9" i="10"/>
  <c r="S9" i="10"/>
  <c r="T9" i="10"/>
  <c r="U9" i="10"/>
  <c r="V9" i="10"/>
  <c r="W9" i="10"/>
  <c r="X9" i="10"/>
  <c r="Y9" i="10"/>
  <c r="Z9" i="10"/>
  <c r="AA9" i="10"/>
  <c r="AB9" i="10"/>
  <c r="AH9" i="10"/>
  <c r="C10" i="10"/>
  <c r="D10" i="10"/>
  <c r="E10" i="10"/>
  <c r="I10" i="10"/>
  <c r="J10" i="10"/>
  <c r="K10" i="10"/>
  <c r="L10" i="10"/>
  <c r="P10" i="10"/>
  <c r="Q10" i="10"/>
  <c r="R10" i="10"/>
  <c r="S10" i="10"/>
  <c r="T10" i="10"/>
  <c r="U10" i="10"/>
  <c r="V10" i="10"/>
  <c r="W10" i="10"/>
  <c r="X10" i="10"/>
  <c r="Y10" i="10"/>
  <c r="Z10" i="10"/>
  <c r="AA10" i="10"/>
  <c r="AB10" i="10"/>
  <c r="AH10" i="10" s="1"/>
  <c r="AD10" i="10"/>
  <c r="C11" i="10"/>
  <c r="D11" i="10"/>
  <c r="E11" i="10"/>
  <c r="F11" i="10"/>
  <c r="AJ11" i="10" s="1"/>
  <c r="I11" i="10"/>
  <c r="J11" i="10"/>
  <c r="K11" i="10"/>
  <c r="AC11" i="10" s="1"/>
  <c r="AI11" i="10" s="1"/>
  <c r="L11" i="10"/>
  <c r="O11" i="10"/>
  <c r="P11" i="10"/>
  <c r="Q11" i="10"/>
  <c r="R11" i="10"/>
  <c r="S11" i="10"/>
  <c r="T11" i="10"/>
  <c r="U11" i="10"/>
  <c r="AG11" i="10" s="1"/>
  <c r="AM11" i="10" s="1"/>
  <c r="V11" i="10"/>
  <c r="AB11" i="10" s="1"/>
  <c r="W11" i="10"/>
  <c r="X11" i="10"/>
  <c r="Y11" i="10"/>
  <c r="Z11" i="10"/>
  <c r="AA11" i="10"/>
  <c r="AD11" i="10"/>
  <c r="AH11" i="10"/>
  <c r="C12" i="10"/>
  <c r="D12" i="10"/>
  <c r="E12" i="10"/>
  <c r="F12" i="10"/>
  <c r="G12" i="10"/>
  <c r="AK12" i="10" s="1"/>
  <c r="I12" i="10"/>
  <c r="J12" i="10"/>
  <c r="K12" i="10"/>
  <c r="L12" i="10"/>
  <c r="M12" i="10"/>
  <c r="AE12" i="10" s="1"/>
  <c r="O12" i="10"/>
  <c r="P12" i="10"/>
  <c r="Q12" i="10"/>
  <c r="AC12" i="10" s="1"/>
  <c r="AI12" i="10" s="1"/>
  <c r="R12" i="10"/>
  <c r="S12" i="10"/>
  <c r="T12" i="10"/>
  <c r="U12" i="10"/>
  <c r="V12" i="10"/>
  <c r="W12" i="10"/>
  <c r="X12" i="10"/>
  <c r="Y12" i="10"/>
  <c r="Z12" i="10"/>
  <c r="AA12" i="10"/>
  <c r="AG12" i="10"/>
  <c r="C13" i="10"/>
  <c r="D13" i="10"/>
  <c r="E13" i="10"/>
  <c r="I13" i="10"/>
  <c r="J13" i="10"/>
  <c r="AB13" i="10" s="1"/>
  <c r="AH13" i="10" s="1"/>
  <c r="K13" i="10"/>
  <c r="O13" i="10"/>
  <c r="P13" i="10"/>
  <c r="Q13" i="10"/>
  <c r="R13" i="10"/>
  <c r="S13" i="10"/>
  <c r="T13" i="10"/>
  <c r="U13" i="10"/>
  <c r="V13" i="10"/>
  <c r="W13" i="10"/>
  <c r="X13" i="10"/>
  <c r="Y13" i="10"/>
  <c r="Z13" i="10"/>
  <c r="AA13" i="10"/>
  <c r="C14" i="10"/>
  <c r="D14" i="10"/>
  <c r="E14" i="10"/>
  <c r="F14" i="10"/>
  <c r="I14" i="10"/>
  <c r="J14" i="10"/>
  <c r="AB14" i="10" s="1"/>
  <c r="AH14" i="10" s="1"/>
  <c r="K14" i="10"/>
  <c r="L14" i="10"/>
  <c r="AD14" i="10" s="1"/>
  <c r="AJ14" i="10" s="1"/>
  <c r="O14" i="10"/>
  <c r="P14" i="10"/>
  <c r="Q14" i="10"/>
  <c r="R14" i="10"/>
  <c r="S14" i="10"/>
  <c r="T14" i="10"/>
  <c r="U14" i="10"/>
  <c r="V14" i="10"/>
  <c r="W14" i="10"/>
  <c r="X14" i="10"/>
  <c r="Y14" i="10"/>
  <c r="Z14" i="10"/>
  <c r="AA14" i="10"/>
  <c r="P15" i="10"/>
  <c r="C16" i="10"/>
  <c r="D16" i="10"/>
  <c r="E16" i="10"/>
  <c r="I16" i="10"/>
  <c r="J16" i="10"/>
  <c r="K16" i="10"/>
  <c r="L16" i="10"/>
  <c r="O16" i="10"/>
  <c r="AG16" i="10" s="1"/>
  <c r="AM16" i="10" s="1"/>
  <c r="P16" i="10"/>
  <c r="Q16" i="10"/>
  <c r="R16" i="10"/>
  <c r="S16" i="10"/>
  <c r="T16" i="10"/>
  <c r="U16" i="10"/>
  <c r="V16" i="10"/>
  <c r="W16" i="10"/>
  <c r="X16" i="10"/>
  <c r="Y16" i="10"/>
  <c r="Z16" i="10"/>
  <c r="AA16" i="10"/>
  <c r="AB16" i="10"/>
  <c r="C17" i="10"/>
  <c r="D17" i="10"/>
  <c r="E17" i="10"/>
  <c r="F17" i="10"/>
  <c r="I17" i="10"/>
  <c r="J17" i="10"/>
  <c r="AB17" i="10" s="1"/>
  <c r="AH17" i="10" s="1"/>
  <c r="K17" i="10"/>
  <c r="L17" i="10"/>
  <c r="M17" i="10"/>
  <c r="N17" i="10"/>
  <c r="O17" i="10"/>
  <c r="AG17" i="10" s="1"/>
  <c r="AM17" i="10" s="1"/>
  <c r="P17" i="10"/>
  <c r="Q17" i="10"/>
  <c r="R17" i="10"/>
  <c r="AD17" i="10" s="1"/>
  <c r="AJ17" i="10" s="1"/>
  <c r="S17" i="10"/>
  <c r="T17" i="10"/>
  <c r="U17" i="10"/>
  <c r="V17" i="10"/>
  <c r="W17" i="10"/>
  <c r="X17" i="10"/>
  <c r="Y17" i="10"/>
  <c r="Z17" i="10"/>
  <c r="AF17" i="10" s="1"/>
  <c r="AA17" i="10"/>
  <c r="AE17" i="10"/>
  <c r="C18" i="10"/>
  <c r="D18" i="10"/>
  <c r="E18" i="10"/>
  <c r="F18" i="10"/>
  <c r="G18" i="10"/>
  <c r="H18" i="10"/>
  <c r="I18" i="10"/>
  <c r="J18" i="10"/>
  <c r="AB18" i="10" s="1"/>
  <c r="AH18" i="10" s="1"/>
  <c r="K18" i="10"/>
  <c r="L18" i="10"/>
  <c r="M18" i="10"/>
  <c r="AE18" i="10" s="1"/>
  <c r="AK18" i="10" s="1"/>
  <c r="N18" i="10"/>
  <c r="O18" i="10"/>
  <c r="P18" i="10"/>
  <c r="Q18" i="10"/>
  <c r="R18" i="10"/>
  <c r="S18" i="10"/>
  <c r="T18" i="10"/>
  <c r="U18" i="10"/>
  <c r="AG18" i="10" s="1"/>
  <c r="AM18" i="10" s="1"/>
  <c r="V18" i="10"/>
  <c r="W18" i="10"/>
  <c r="X18" i="10"/>
  <c r="Y18" i="10"/>
  <c r="Z18" i="10"/>
  <c r="AA18" i="10"/>
  <c r="AC18" i="10"/>
  <c r="C19" i="10"/>
  <c r="D19" i="10"/>
  <c r="E19" i="10"/>
  <c r="F19" i="10"/>
  <c r="G19" i="10"/>
  <c r="H19" i="10"/>
  <c r="AL19" i="10" s="1"/>
  <c r="I19" i="10"/>
  <c r="J19" i="10"/>
  <c r="K19" i="10"/>
  <c r="L19" i="10"/>
  <c r="M19" i="10"/>
  <c r="AE19" i="10" s="1"/>
  <c r="AK19" i="10" s="1"/>
  <c r="N19" i="10"/>
  <c r="O19" i="10"/>
  <c r="P19" i="10"/>
  <c r="AB19" i="10" s="1"/>
  <c r="AH19" i="10" s="1"/>
  <c r="Q19" i="10"/>
  <c r="R19" i="10"/>
  <c r="S19" i="10"/>
  <c r="T19" i="10"/>
  <c r="U19" i="10"/>
  <c r="V19" i="10"/>
  <c r="W19" i="10"/>
  <c r="X19" i="10"/>
  <c r="AD19" i="10" s="1"/>
  <c r="Y19" i="10"/>
  <c r="Z19" i="10"/>
  <c r="AA19" i="10"/>
  <c r="AC19" i="10"/>
  <c r="AF19" i="10"/>
  <c r="P20" i="10"/>
  <c r="L21" i="10"/>
  <c r="M21" i="10"/>
  <c r="N21" i="10"/>
  <c r="P21" i="10"/>
  <c r="V21" i="10"/>
  <c r="W21" i="10"/>
  <c r="X21" i="10"/>
  <c r="Y21" i="10"/>
  <c r="Z21" i="10"/>
  <c r="AA21" i="10"/>
  <c r="AB21" i="10"/>
  <c r="J23" i="10"/>
  <c r="O23" i="10"/>
  <c r="P23" i="10"/>
  <c r="P22" i="10" s="1"/>
  <c r="V23" i="10"/>
  <c r="W23" i="10"/>
  <c r="X23" i="10"/>
  <c r="X22" i="10" s="1"/>
  <c r="Y23" i="10"/>
  <c r="Y22" i="10" s="1"/>
  <c r="Z23" i="10"/>
  <c r="AA23" i="10"/>
  <c r="C24" i="10"/>
  <c r="D24" i="10"/>
  <c r="J24" i="10"/>
  <c r="AB24" i="10" s="1"/>
  <c r="K24" i="10"/>
  <c r="L24" i="10"/>
  <c r="M24" i="10"/>
  <c r="AE24" i="10" s="1"/>
  <c r="N24" i="10"/>
  <c r="O24" i="10"/>
  <c r="P24" i="10"/>
  <c r="Q24" i="10"/>
  <c r="R24" i="10"/>
  <c r="S24" i="10"/>
  <c r="T24" i="10"/>
  <c r="U24" i="10"/>
  <c r="V24" i="10"/>
  <c r="W24" i="10"/>
  <c r="X24" i="10"/>
  <c r="Y24" i="10"/>
  <c r="Z24" i="10"/>
  <c r="AA24" i="10"/>
  <c r="AC24" i="10"/>
  <c r="AH24" i="10"/>
  <c r="C25" i="10"/>
  <c r="I25" i="10"/>
  <c r="J25" i="10"/>
  <c r="K25" i="10"/>
  <c r="AC25" i="10" s="1"/>
  <c r="L25" i="10"/>
  <c r="AD25" i="10" s="1"/>
  <c r="M25" i="10"/>
  <c r="N25" i="10"/>
  <c r="O25" i="10"/>
  <c r="P25" i="10"/>
  <c r="Q25" i="10"/>
  <c r="R25" i="10"/>
  <c r="S25" i="10"/>
  <c r="AE25" i="10" s="1"/>
  <c r="T25" i="10"/>
  <c r="AF25" i="10" s="1"/>
  <c r="U25" i="10"/>
  <c r="V25" i="10"/>
  <c r="W25" i="10"/>
  <c r="X25" i="10"/>
  <c r="Y25" i="10"/>
  <c r="Z25" i="10"/>
  <c r="AA25" i="10"/>
  <c r="AG25" i="10" s="1"/>
  <c r="AM25" i="10" s="1"/>
  <c r="AB25" i="10"/>
  <c r="D26" i="10"/>
  <c r="J26" i="10"/>
  <c r="AB26" i="10" s="1"/>
  <c r="AH26" i="10" s="1"/>
  <c r="K26" i="10"/>
  <c r="L26" i="10"/>
  <c r="M26" i="10"/>
  <c r="N26" i="10"/>
  <c r="O26" i="10"/>
  <c r="P26" i="10"/>
  <c r="Q26" i="10"/>
  <c r="AC26" i="10" s="1"/>
  <c r="R26" i="10"/>
  <c r="AD26" i="10" s="1"/>
  <c r="S26" i="10"/>
  <c r="T26" i="10"/>
  <c r="U26" i="10"/>
  <c r="V26" i="10"/>
  <c r="W26" i="10"/>
  <c r="W22" i="10" s="1"/>
  <c r="X26" i="10"/>
  <c r="Y26" i="10"/>
  <c r="Z26" i="10"/>
  <c r="AF26" i="10" s="1"/>
  <c r="AA26" i="10"/>
  <c r="AE26" i="10"/>
  <c r="P27" i="10"/>
  <c r="V27" i="10"/>
  <c r="W27" i="10"/>
  <c r="X27" i="10"/>
  <c r="Y27" i="10"/>
  <c r="Z27" i="10"/>
  <c r="AA27" i="10"/>
  <c r="C28" i="10"/>
  <c r="D28" i="10"/>
  <c r="J28" i="10"/>
  <c r="K28" i="10"/>
  <c r="L28" i="10"/>
  <c r="M28" i="10"/>
  <c r="N28" i="10"/>
  <c r="O28" i="10"/>
  <c r="P28" i="10"/>
  <c r="AB28" i="10" s="1"/>
  <c r="AH28" i="10" s="1"/>
  <c r="V28" i="10"/>
  <c r="W28" i="10"/>
  <c r="X28" i="10"/>
  <c r="Y28" i="10"/>
  <c r="Z28" i="10"/>
  <c r="AA28" i="10"/>
  <c r="C31" i="10"/>
  <c r="I31" i="10"/>
  <c r="O31" i="10"/>
  <c r="P31" i="10"/>
  <c r="Q31" i="10"/>
  <c r="R31" i="10"/>
  <c r="U31" i="10"/>
  <c r="V31" i="10"/>
  <c r="W31" i="10"/>
  <c r="X31" i="10"/>
  <c r="Y31" i="10"/>
  <c r="Z31" i="10"/>
  <c r="AA31" i="10"/>
  <c r="I32" i="10"/>
  <c r="P32" i="10"/>
  <c r="C33" i="10"/>
  <c r="D33" i="10"/>
  <c r="P33" i="10"/>
  <c r="Q33" i="10"/>
  <c r="R33" i="10"/>
  <c r="S33" i="10"/>
  <c r="T33" i="10"/>
  <c r="U33" i="10"/>
  <c r="V33" i="10"/>
  <c r="W33" i="10"/>
  <c r="X33" i="10"/>
  <c r="Y33" i="10"/>
  <c r="Z33" i="10"/>
  <c r="AA33" i="10"/>
  <c r="D34" i="10"/>
  <c r="I34" i="10"/>
  <c r="J34" i="10"/>
  <c r="K34" i="10"/>
  <c r="O34" i="10"/>
  <c r="P34" i="10"/>
  <c r="Q34" i="10"/>
  <c r="R34" i="10"/>
  <c r="S34" i="10"/>
  <c r="T34" i="10"/>
  <c r="U34" i="10"/>
  <c r="V34" i="10"/>
  <c r="W34" i="10"/>
  <c r="X34" i="10"/>
  <c r="Y34" i="10"/>
  <c r="Z34" i="10"/>
  <c r="AA34" i="10"/>
  <c r="AB34" i="10"/>
  <c r="AC34" i="10"/>
  <c r="AH34" i="10"/>
  <c r="P35" i="10"/>
  <c r="Q35" i="10"/>
  <c r="R35" i="10"/>
  <c r="S35" i="10"/>
  <c r="T35" i="10"/>
  <c r="U35" i="10"/>
  <c r="V35" i="10"/>
  <c r="W35" i="10"/>
  <c r="X35" i="10"/>
  <c r="Y35" i="10"/>
  <c r="Z35" i="10"/>
  <c r="AA35" i="10"/>
  <c r="C37" i="10"/>
  <c r="D37" i="10"/>
  <c r="E37" i="10"/>
  <c r="J37" i="10"/>
  <c r="P37" i="10"/>
  <c r="Q37" i="10"/>
  <c r="V37" i="10"/>
  <c r="W37" i="10"/>
  <c r="X37" i="10"/>
  <c r="Y37" i="10"/>
  <c r="Y36" i="10" s="1"/>
  <c r="Z37" i="10"/>
  <c r="AA37" i="10"/>
  <c r="AB37" i="10"/>
  <c r="AH37" i="10" s="1"/>
  <c r="V38" i="10"/>
  <c r="W38" i="10"/>
  <c r="X38" i="10"/>
  <c r="Y38" i="10"/>
  <c r="Z38" i="10"/>
  <c r="AA38" i="10"/>
  <c r="P39" i="10"/>
  <c r="Q39" i="10"/>
  <c r="V39" i="10"/>
  <c r="W39" i="10"/>
  <c r="X39" i="10"/>
  <c r="Y39" i="10"/>
  <c r="Z39" i="10"/>
  <c r="AA39" i="10"/>
  <c r="P40" i="10"/>
  <c r="Q40" i="10"/>
  <c r="R40" i="10"/>
  <c r="S40" i="10"/>
  <c r="T40" i="10"/>
  <c r="U40" i="10"/>
  <c r="V40" i="10"/>
  <c r="W40" i="10"/>
  <c r="X40" i="10"/>
  <c r="Y40" i="10"/>
  <c r="Z40" i="10"/>
  <c r="Z36" i="10" s="1"/>
  <c r="AA40" i="10"/>
  <c r="C41" i="10"/>
  <c r="D41" i="10"/>
  <c r="P41" i="10"/>
  <c r="V41" i="10"/>
  <c r="W41" i="10"/>
  <c r="X41" i="10"/>
  <c r="Y41" i="10"/>
  <c r="Z41" i="10"/>
  <c r="AA41" i="10"/>
  <c r="P42" i="10"/>
  <c r="V42" i="10"/>
  <c r="W42" i="10"/>
  <c r="W36" i="10" s="1"/>
  <c r="X42" i="10"/>
  <c r="Y42" i="10"/>
  <c r="Z42" i="10"/>
  <c r="AA42" i="10"/>
  <c r="C43" i="10"/>
  <c r="I43" i="10"/>
  <c r="P43" i="10"/>
  <c r="Q43" i="10"/>
  <c r="R43" i="10"/>
  <c r="S43" i="10"/>
  <c r="V43" i="10"/>
  <c r="W43" i="10"/>
  <c r="X43" i="10"/>
  <c r="Y43" i="10"/>
  <c r="Z43" i="10"/>
  <c r="AA43" i="10"/>
  <c r="J44" i="10"/>
  <c r="V44" i="10"/>
  <c r="W44" i="10"/>
  <c r="X44" i="10"/>
  <c r="Y44" i="10"/>
  <c r="Z44" i="10"/>
  <c r="AA44" i="10"/>
  <c r="C45" i="10"/>
  <c r="J45" i="10"/>
  <c r="P45" i="10"/>
  <c r="Q45" i="10"/>
  <c r="R45" i="10"/>
  <c r="V45" i="10"/>
  <c r="AB45" i="10" s="1"/>
  <c r="W45" i="10"/>
  <c r="X45" i="10"/>
  <c r="Y45" i="10"/>
  <c r="Z45" i="10"/>
  <c r="AA45" i="10"/>
  <c r="C46" i="10"/>
  <c r="P46" i="10"/>
  <c r="Q46" i="10"/>
  <c r="R46" i="10"/>
  <c r="S46" i="10"/>
  <c r="V46" i="10"/>
  <c r="P47" i="10"/>
  <c r="V47" i="10"/>
  <c r="W47" i="10"/>
  <c r="X47" i="10"/>
  <c r="Y47" i="10"/>
  <c r="Z47" i="10"/>
  <c r="AA47" i="10"/>
  <c r="C49" i="10"/>
  <c r="D49" i="10"/>
  <c r="E49" i="10"/>
  <c r="J49" i="10"/>
  <c r="K49" i="10"/>
  <c r="P49" i="10"/>
  <c r="P48" i="10" s="1"/>
  <c r="Q49" i="10"/>
  <c r="R49" i="10"/>
  <c r="S49" i="10"/>
  <c r="T49" i="10"/>
  <c r="U49" i="10"/>
  <c r="V49" i="10"/>
  <c r="W49" i="10"/>
  <c r="W48" i="10" s="1"/>
  <c r="X49" i="10"/>
  <c r="X48" i="10" s="1"/>
  <c r="Y49" i="10"/>
  <c r="Z49" i="10"/>
  <c r="AA49" i="10"/>
  <c r="C50" i="10"/>
  <c r="P50" i="10"/>
  <c r="Q50" i="10"/>
  <c r="R50" i="10"/>
  <c r="S50" i="10"/>
  <c r="T50" i="10"/>
  <c r="U50" i="10"/>
  <c r="V50" i="10"/>
  <c r="W50" i="10"/>
  <c r="X50" i="10"/>
  <c r="Y50" i="10"/>
  <c r="Z50" i="10"/>
  <c r="Z48" i="10" s="1"/>
  <c r="AA50" i="10"/>
  <c r="D51" i="10"/>
  <c r="I51" i="10"/>
  <c r="P51" i="10"/>
  <c r="J51" i="10" s="1"/>
  <c r="AB51" i="10" s="1"/>
  <c r="Q51" i="10"/>
  <c r="R51" i="10"/>
  <c r="S51" i="10"/>
  <c r="T51" i="10"/>
  <c r="U51" i="10"/>
  <c r="U48" i="10"/>
  <c r="V51" i="10"/>
  <c r="W51" i="10"/>
  <c r="X51" i="10"/>
  <c r="Y51" i="10"/>
  <c r="Z51" i="10"/>
  <c r="AA51" i="10"/>
  <c r="C52" i="10"/>
  <c r="D52" i="10"/>
  <c r="E52" i="10"/>
  <c r="I52" i="10"/>
  <c r="J52" i="10"/>
  <c r="K52" i="10"/>
  <c r="L52" i="10"/>
  <c r="M52" i="10"/>
  <c r="N52" i="10"/>
  <c r="O52" i="10"/>
  <c r="P52" i="10"/>
  <c r="Q52" i="10"/>
  <c r="AC52" i="10" s="1"/>
  <c r="AI52" i="10" s="1"/>
  <c r="U52" i="10"/>
  <c r="V52" i="10"/>
  <c r="AB52" i="10" s="1"/>
  <c r="AH52" i="10" s="1"/>
  <c r="W52" i="10"/>
  <c r="X52" i="10"/>
  <c r="Y52" i="10"/>
  <c r="Z52" i="10"/>
  <c r="AA52" i="10"/>
  <c r="AG52" i="10" s="1"/>
  <c r="C53" i="10"/>
  <c r="D53" i="10"/>
  <c r="AH53" i="10" s="1"/>
  <c r="E53" i="10"/>
  <c r="F53" i="10"/>
  <c r="J53" i="10"/>
  <c r="K53" i="10"/>
  <c r="L53" i="10"/>
  <c r="AD53" i="10" s="1"/>
  <c r="AJ53" i="10" s="1"/>
  <c r="M53" i="10"/>
  <c r="N53" i="10"/>
  <c r="O53" i="10"/>
  <c r="P53" i="10"/>
  <c r="Q53" i="10"/>
  <c r="AC53" i="10" s="1"/>
  <c r="AI53" i="10" s="1"/>
  <c r="R53" i="10"/>
  <c r="S53" i="10"/>
  <c r="T53" i="10"/>
  <c r="AF53" i="10" s="1"/>
  <c r="U53" i="10"/>
  <c r="V53" i="10"/>
  <c r="W53" i="10"/>
  <c r="X53" i="10"/>
  <c r="Y53" i="10"/>
  <c r="AE53" i="10" s="1"/>
  <c r="Z53" i="10"/>
  <c r="AA53" i="10"/>
  <c r="AG53" i="10" s="1"/>
  <c r="AB53" i="10"/>
  <c r="W54" i="10"/>
  <c r="Z54" i="10"/>
  <c r="C55" i="10"/>
  <c r="D55" i="10"/>
  <c r="E55" i="10"/>
  <c r="J55" i="10"/>
  <c r="K55" i="10"/>
  <c r="L55" i="10"/>
  <c r="M55" i="10"/>
  <c r="N55" i="10"/>
  <c r="AF55" i="10" s="1"/>
  <c r="O55" i="10"/>
  <c r="P55" i="10"/>
  <c r="Q55" i="10"/>
  <c r="AC55" i="10" s="1"/>
  <c r="AI55" i="10" s="1"/>
  <c r="R55" i="10"/>
  <c r="S55" i="10"/>
  <c r="T55" i="10"/>
  <c r="U55" i="10"/>
  <c r="V55" i="10"/>
  <c r="W55" i="10"/>
  <c r="X55" i="10"/>
  <c r="X54" i="10" s="1"/>
  <c r="Y55" i="10"/>
  <c r="AE55" i="10" s="1"/>
  <c r="Z55" i="10"/>
  <c r="AA55" i="10"/>
  <c r="AG55" i="10" s="1"/>
  <c r="AD55" i="10"/>
  <c r="J56" i="10"/>
  <c r="K56" i="10"/>
  <c r="L56" i="10"/>
  <c r="M56" i="10"/>
  <c r="N56" i="10"/>
  <c r="O56" i="10"/>
  <c r="P56" i="10"/>
  <c r="AB56" i="10" s="1"/>
  <c r="V56" i="10"/>
  <c r="W56" i="10"/>
  <c r="X56" i="10"/>
  <c r="Y56" i="10"/>
  <c r="Z56" i="10"/>
  <c r="AA56" i="10"/>
  <c r="V57" i="10"/>
  <c r="W57" i="10"/>
  <c r="X57" i="10"/>
  <c r="Y57" i="10"/>
  <c r="Z57" i="10"/>
  <c r="AA57" i="10"/>
  <c r="C58" i="10"/>
  <c r="D58" i="10"/>
  <c r="I58" i="10"/>
  <c r="J58" i="10"/>
  <c r="K58" i="10"/>
  <c r="L58" i="10"/>
  <c r="M58" i="10"/>
  <c r="N58" i="10"/>
  <c r="O58" i="10"/>
  <c r="P58" i="10"/>
  <c r="Q58" i="10"/>
  <c r="U58" i="10"/>
  <c r="V58" i="10"/>
  <c r="AB58" i="10" s="1"/>
  <c r="AH58" i="10" s="1"/>
  <c r="W58" i="10"/>
  <c r="X58" i="10"/>
  <c r="Y58" i="10"/>
  <c r="Z58" i="10"/>
  <c r="AA58" i="10"/>
  <c r="AC58" i="10"/>
  <c r="K59" i="10"/>
  <c r="Y59" i="10"/>
  <c r="C60" i="10"/>
  <c r="D60" i="10"/>
  <c r="E60" i="10"/>
  <c r="J60" i="10"/>
  <c r="K60" i="10"/>
  <c r="AC60" i="10" s="1"/>
  <c r="AI60" i="10" s="1"/>
  <c r="L60" i="10"/>
  <c r="M60" i="10"/>
  <c r="N60" i="10"/>
  <c r="O60" i="10"/>
  <c r="P60" i="10"/>
  <c r="AB60" i="10" s="1"/>
  <c r="AH60" i="10" s="1"/>
  <c r="Q60" i="10"/>
  <c r="R60" i="10"/>
  <c r="S60" i="10"/>
  <c r="AE60" i="10" s="1"/>
  <c r="T60" i="10"/>
  <c r="U60" i="10"/>
  <c r="V60" i="10"/>
  <c r="V59" i="10" s="1"/>
  <c r="W60" i="10"/>
  <c r="W59" i="10" s="1"/>
  <c r="X60" i="10"/>
  <c r="Y60" i="10"/>
  <c r="Z60" i="10"/>
  <c r="Z59" i="10" s="1"/>
  <c r="AA60" i="10"/>
  <c r="AG60" i="10" s="1"/>
  <c r="AF60" i="10"/>
  <c r="J61" i="10"/>
  <c r="K61" i="10"/>
  <c r="L61" i="10"/>
  <c r="M61" i="10"/>
  <c r="N61" i="10"/>
  <c r="O61" i="10"/>
  <c r="V61" i="10"/>
  <c r="W61" i="10"/>
  <c r="X61" i="10"/>
  <c r="Y61" i="10"/>
  <c r="Z61" i="10"/>
  <c r="AA61" i="10"/>
  <c r="J62" i="10"/>
  <c r="K62" i="10"/>
  <c r="V62" i="10"/>
  <c r="W62" i="10"/>
  <c r="X62" i="10"/>
  <c r="Y62" i="10"/>
  <c r="Z62" i="10"/>
  <c r="AA62" i="10"/>
  <c r="C63" i="10"/>
  <c r="J63" i="10"/>
  <c r="K63" i="10"/>
  <c r="L63" i="10"/>
  <c r="M63" i="10"/>
  <c r="N63" i="10"/>
  <c r="O63" i="10"/>
  <c r="U63" i="10"/>
  <c r="V63" i="10"/>
  <c r="W63" i="10"/>
  <c r="X63" i="10"/>
  <c r="Y63" i="10"/>
  <c r="Z63" i="10"/>
  <c r="AA63" i="10"/>
  <c r="AG63" i="10" s="1"/>
  <c r="C65" i="10"/>
  <c r="K65" i="10"/>
  <c r="S65" i="10"/>
  <c r="C66" i="10"/>
  <c r="D66" i="10"/>
  <c r="I66" i="10"/>
  <c r="J66" i="10"/>
  <c r="J65" i="10" s="1"/>
  <c r="K66" i="10"/>
  <c r="L66" i="10"/>
  <c r="M66" i="10"/>
  <c r="M65" i="10" s="1"/>
  <c r="N66" i="10"/>
  <c r="O66" i="10"/>
  <c r="P66" i="10"/>
  <c r="P65" i="10" s="1"/>
  <c r="Q66" i="10"/>
  <c r="R66" i="10"/>
  <c r="R65" i="10" s="1"/>
  <c r="S66" i="10"/>
  <c r="T66" i="10"/>
  <c r="U66" i="10"/>
  <c r="V66" i="10"/>
  <c r="W66" i="10"/>
  <c r="W65" i="10" s="1"/>
  <c r="X66" i="10"/>
  <c r="X65" i="10" s="1"/>
  <c r="Y66" i="10"/>
  <c r="Z66" i="10"/>
  <c r="Z65" i="10" s="1"/>
  <c r="AA66" i="10"/>
  <c r="AD66" i="10"/>
  <c r="C67" i="10"/>
  <c r="D67" i="10"/>
  <c r="AH67" i="10" s="1"/>
  <c r="E67" i="10"/>
  <c r="I67" i="10"/>
  <c r="J67" i="10"/>
  <c r="K67" i="10"/>
  <c r="L67" i="10"/>
  <c r="AD67" i="10" s="1"/>
  <c r="M67" i="10"/>
  <c r="N67" i="10"/>
  <c r="O67" i="10"/>
  <c r="P67" i="10"/>
  <c r="Q67" i="10"/>
  <c r="AC67" i="10" s="1"/>
  <c r="AI67" i="10" s="1"/>
  <c r="R67" i="10"/>
  <c r="S67" i="10"/>
  <c r="T67" i="10"/>
  <c r="AF67" i="10" s="1"/>
  <c r="U67" i="10"/>
  <c r="V67" i="10"/>
  <c r="W67" i="10"/>
  <c r="X67" i="10"/>
  <c r="Y67" i="10"/>
  <c r="AE67" i="10" s="1"/>
  <c r="Z67" i="10"/>
  <c r="AA67" i="10"/>
  <c r="AB67" i="10"/>
  <c r="C68" i="10"/>
  <c r="D68" i="10"/>
  <c r="I68" i="10"/>
  <c r="J68" i="10"/>
  <c r="K68" i="10"/>
  <c r="L68" i="10"/>
  <c r="AD68" i="10" s="1"/>
  <c r="M68" i="10"/>
  <c r="N68" i="10"/>
  <c r="O68" i="10"/>
  <c r="P68" i="10"/>
  <c r="Q68" i="10"/>
  <c r="R68" i="10"/>
  <c r="S68" i="10"/>
  <c r="T68" i="10"/>
  <c r="AF68" i="10" s="1"/>
  <c r="U68" i="10"/>
  <c r="V68" i="10"/>
  <c r="W68" i="10"/>
  <c r="AC68" i="10" s="1"/>
  <c r="X68" i="10"/>
  <c r="Y68" i="10"/>
  <c r="Z68" i="10"/>
  <c r="AA68" i="10"/>
  <c r="AB68" i="10"/>
  <c r="AE68" i="10"/>
  <c r="I69" i="10"/>
  <c r="Y69" i="10"/>
  <c r="C70" i="10"/>
  <c r="D70" i="10"/>
  <c r="I70" i="10"/>
  <c r="J70" i="10"/>
  <c r="J69" i="10" s="1"/>
  <c r="K70" i="10"/>
  <c r="L70" i="10"/>
  <c r="P70" i="10"/>
  <c r="Q70" i="10"/>
  <c r="Q69" i="10" s="1"/>
  <c r="U70" i="10"/>
  <c r="V70" i="10"/>
  <c r="V69" i="10" s="1"/>
  <c r="W70" i="10"/>
  <c r="X70" i="10"/>
  <c r="X69" i="10" s="1"/>
  <c r="Y70" i="10"/>
  <c r="Z70" i="10"/>
  <c r="AA70" i="10"/>
  <c r="AB70" i="10"/>
  <c r="AC70" i="10"/>
  <c r="D71" i="10"/>
  <c r="E71" i="10"/>
  <c r="I71" i="10"/>
  <c r="J71" i="10"/>
  <c r="K71" i="10"/>
  <c r="O71" i="10"/>
  <c r="P71" i="10"/>
  <c r="Q71" i="10"/>
  <c r="S71" i="10"/>
  <c r="T71" i="10"/>
  <c r="U71" i="10"/>
  <c r="V71" i="10"/>
  <c r="X71" i="10"/>
  <c r="Y71" i="10"/>
  <c r="Z71" i="10"/>
  <c r="AA71" i="10"/>
  <c r="AB71" i="10"/>
  <c r="AH71" i="10" s="1"/>
  <c r="C72" i="10"/>
  <c r="D72" i="10"/>
  <c r="I72" i="10"/>
  <c r="J72" i="10"/>
  <c r="O72" i="10"/>
  <c r="P72" i="10"/>
  <c r="Q72" i="10"/>
  <c r="S72" i="10"/>
  <c r="T72" i="10"/>
  <c r="U72" i="10"/>
  <c r="U69" i="10" s="1"/>
  <c r="V72" i="10"/>
  <c r="X72" i="10"/>
  <c r="Y72" i="10"/>
  <c r="Z72" i="10"/>
  <c r="AA72" i="10"/>
  <c r="AB72" i="10"/>
  <c r="C73" i="10"/>
  <c r="D73" i="10"/>
  <c r="E73" i="10"/>
  <c r="I73" i="10"/>
  <c r="J73" i="10"/>
  <c r="O73" i="10"/>
  <c r="P73" i="10"/>
  <c r="AB73" i="10" s="1"/>
  <c r="AH73" i="10" s="1"/>
  <c r="Q73" i="10"/>
  <c r="S73" i="10"/>
  <c r="T73" i="10"/>
  <c r="U73" i="10"/>
  <c r="V73" i="10"/>
  <c r="X73" i="10"/>
  <c r="Y73" i="10"/>
  <c r="Z73" i="10"/>
  <c r="AA73" i="10"/>
  <c r="P74" i="10"/>
  <c r="Y74" i="10"/>
  <c r="D75" i="10"/>
  <c r="I75" i="10"/>
  <c r="I74" i="10" s="1"/>
  <c r="P75" i="10"/>
  <c r="V75" i="10"/>
  <c r="V74" i="10" s="1"/>
  <c r="W75" i="10"/>
  <c r="W74" i="10" s="1"/>
  <c r="X75" i="10"/>
  <c r="X74" i="10" s="1"/>
  <c r="Y75" i="10"/>
  <c r="Z75" i="10"/>
  <c r="Z74" i="10" s="1"/>
  <c r="AA75" i="10"/>
  <c r="C76" i="10"/>
  <c r="D76" i="10"/>
  <c r="AH76" i="10" s="1"/>
  <c r="E76" i="10"/>
  <c r="I76" i="10"/>
  <c r="J76" i="10"/>
  <c r="K76" i="10"/>
  <c r="L76" i="10"/>
  <c r="P76" i="10"/>
  <c r="AB76" i="10" s="1"/>
  <c r="Q76" i="10"/>
  <c r="V76" i="10"/>
  <c r="W76" i="10"/>
  <c r="X76" i="10"/>
  <c r="Y76" i="10"/>
  <c r="Z76" i="10"/>
  <c r="AA76" i="10"/>
  <c r="AC76" i="10"/>
  <c r="AI76" i="10" s="1"/>
  <c r="Q77" i="10"/>
  <c r="V77" i="10"/>
  <c r="Y77" i="10"/>
  <c r="C78" i="10"/>
  <c r="C77" i="10" s="1"/>
  <c r="D78" i="10"/>
  <c r="D77" i="10" s="1"/>
  <c r="E78" i="10"/>
  <c r="J78" i="10"/>
  <c r="J77" i="10" s="1"/>
  <c r="K78" i="10"/>
  <c r="K77" i="10" s="1"/>
  <c r="P78" i="10"/>
  <c r="Q78" i="10"/>
  <c r="R78" i="10"/>
  <c r="S78" i="10"/>
  <c r="S77" i="10" s="1"/>
  <c r="T78" i="10"/>
  <c r="T77" i="10" s="1"/>
  <c r="U78" i="10"/>
  <c r="U77" i="10" s="1"/>
  <c r="V78" i="10"/>
  <c r="W78" i="10"/>
  <c r="AC78" i="10" s="1"/>
  <c r="X78" i="10"/>
  <c r="X77" i="10" s="1"/>
  <c r="Y78" i="10"/>
  <c r="Z78" i="10"/>
  <c r="AA78" i="10"/>
  <c r="C79" i="10"/>
  <c r="D79" i="10"/>
  <c r="E79" i="10"/>
  <c r="I79" i="10"/>
  <c r="J79" i="10"/>
  <c r="AB79" i="10" s="1"/>
  <c r="AH79" i="10" s="1"/>
  <c r="K79" i="10"/>
  <c r="L79" i="10"/>
  <c r="M79" i="10"/>
  <c r="N79" i="10"/>
  <c r="O79" i="10"/>
  <c r="P79" i="10"/>
  <c r="Q79" i="10"/>
  <c r="R79" i="10"/>
  <c r="AD79" i="10" s="1"/>
  <c r="S79" i="10"/>
  <c r="T79" i="10"/>
  <c r="U79" i="10"/>
  <c r="V79" i="10"/>
  <c r="W79" i="10"/>
  <c r="AC79" i="10" s="1"/>
  <c r="AI79" i="10" s="1"/>
  <c r="X79" i="10"/>
  <c r="Y79" i="10"/>
  <c r="Z79" i="10"/>
  <c r="AF79" i="10" s="1"/>
  <c r="AA79" i="10"/>
  <c r="AE79" i="10"/>
  <c r="C80" i="10"/>
  <c r="D80" i="10"/>
  <c r="E80" i="10"/>
  <c r="F80" i="10"/>
  <c r="G80" i="10"/>
  <c r="AK80" i="10" s="1"/>
  <c r="H80" i="10"/>
  <c r="I80" i="10"/>
  <c r="J80" i="10"/>
  <c r="K80" i="10"/>
  <c r="L80" i="10"/>
  <c r="AD80" i="10" s="1"/>
  <c r="AJ80" i="10" s="1"/>
  <c r="M80" i="10"/>
  <c r="O80" i="10"/>
  <c r="P80" i="10"/>
  <c r="Q80" i="10"/>
  <c r="R80" i="10"/>
  <c r="S80" i="10"/>
  <c r="T80" i="10"/>
  <c r="U80" i="10"/>
  <c r="V80" i="10"/>
  <c r="W80" i="10"/>
  <c r="X80" i="10"/>
  <c r="Y80" i="10"/>
  <c r="Z80" i="10"/>
  <c r="AA80" i="10"/>
  <c r="AB80" i="10"/>
  <c r="AC80" i="10"/>
  <c r="AE80" i="10"/>
  <c r="AH80" i="10"/>
  <c r="AI80" i="10"/>
  <c r="H81" i="10"/>
  <c r="P81" i="10"/>
  <c r="X81" i="10"/>
  <c r="C82" i="10"/>
  <c r="C81" i="10" s="1"/>
  <c r="D82" i="10"/>
  <c r="E82" i="10"/>
  <c r="E81" i="10" s="1"/>
  <c r="F82" i="10"/>
  <c r="G82" i="10"/>
  <c r="G81" i="10" s="1"/>
  <c r="H82" i="10"/>
  <c r="I82" i="10"/>
  <c r="J82" i="10"/>
  <c r="J81" i="10" s="1"/>
  <c r="K82" i="10"/>
  <c r="L82" i="10"/>
  <c r="M82" i="10"/>
  <c r="M81" i="10" s="1"/>
  <c r="N82" i="10"/>
  <c r="AF82" i="10" s="1"/>
  <c r="AL82" i="10" s="1"/>
  <c r="O82" i="10"/>
  <c r="P82" i="10"/>
  <c r="Q82" i="10"/>
  <c r="R82" i="10"/>
  <c r="R81" i="10" s="1"/>
  <c r="S82" i="10"/>
  <c r="T82" i="10"/>
  <c r="U82" i="10"/>
  <c r="U81" i="10" s="1"/>
  <c r="V82" i="10"/>
  <c r="W82" i="10"/>
  <c r="W81" i="10" s="1"/>
  <c r="X82" i="10"/>
  <c r="Y82" i="10"/>
  <c r="Z82" i="10"/>
  <c r="Z81" i="10" s="1"/>
  <c r="AA82" i="10"/>
  <c r="AA81" i="10" s="1"/>
  <c r="AD82" i="10"/>
  <c r="C83" i="10"/>
  <c r="D83" i="10"/>
  <c r="E83" i="10"/>
  <c r="F83" i="10"/>
  <c r="AJ83" i="10" s="1"/>
  <c r="G83" i="10"/>
  <c r="H83" i="10"/>
  <c r="I83" i="10"/>
  <c r="AM83" i="10" s="1"/>
  <c r="J83" i="10"/>
  <c r="K83" i="10"/>
  <c r="L83" i="10"/>
  <c r="M83" i="10"/>
  <c r="N83" i="10"/>
  <c r="AF83" i="10" s="1"/>
  <c r="O83" i="10"/>
  <c r="P83" i="10"/>
  <c r="Q83" i="10"/>
  <c r="AC83" i="10" s="1"/>
  <c r="AI83" i="10" s="1"/>
  <c r="R83" i="10"/>
  <c r="S83" i="10"/>
  <c r="T83" i="10"/>
  <c r="U83" i="10"/>
  <c r="V83" i="10"/>
  <c r="W83" i="10"/>
  <c r="X83" i="10"/>
  <c r="Y83" i="10"/>
  <c r="AE83" i="10" s="1"/>
  <c r="AK83" i="10" s="1"/>
  <c r="Z83" i="10"/>
  <c r="AA83" i="10"/>
  <c r="AD83" i="10"/>
  <c r="AG83" i="10"/>
  <c r="AL83" i="10"/>
  <c r="C84" i="10"/>
  <c r="D84" i="10"/>
  <c r="AH84" i="10" s="1"/>
  <c r="E84" i="10"/>
  <c r="F84" i="10"/>
  <c r="G84" i="10"/>
  <c r="H84" i="10"/>
  <c r="I84" i="10"/>
  <c r="J84" i="10"/>
  <c r="K84" i="10"/>
  <c r="L84" i="10"/>
  <c r="AD84" i="10" s="1"/>
  <c r="AJ84" i="10" s="1"/>
  <c r="M84" i="10"/>
  <c r="N84" i="10"/>
  <c r="O84" i="10"/>
  <c r="P84" i="10"/>
  <c r="Q84" i="10"/>
  <c r="AC84" i="10" s="1"/>
  <c r="AI84" i="10" s="1"/>
  <c r="R84" i="10"/>
  <c r="S84" i="10"/>
  <c r="T84" i="10"/>
  <c r="AF84" i="10" s="1"/>
  <c r="AL84" i="10" s="1"/>
  <c r="U84" i="10"/>
  <c r="V84" i="10"/>
  <c r="W84" i="10"/>
  <c r="X84" i="10"/>
  <c r="Y84" i="10"/>
  <c r="Z84" i="10"/>
  <c r="AA84" i="10"/>
  <c r="AB84" i="10"/>
  <c r="AG84" i="10"/>
  <c r="C85" i="10"/>
  <c r="D85" i="10"/>
  <c r="E85" i="10"/>
  <c r="F85" i="10"/>
  <c r="G85" i="10"/>
  <c r="AK85" i="10" s="1"/>
  <c r="H85" i="10"/>
  <c r="I85" i="10"/>
  <c r="J85" i="10"/>
  <c r="K85" i="10"/>
  <c r="L85" i="10"/>
  <c r="AD85" i="10" s="1"/>
  <c r="M85" i="10"/>
  <c r="N85" i="10"/>
  <c r="O85" i="10"/>
  <c r="AG85" i="10" s="1"/>
  <c r="AM85" i="10" s="1"/>
  <c r="P85" i="10"/>
  <c r="Q85" i="10"/>
  <c r="R85" i="10"/>
  <c r="S85" i="10"/>
  <c r="T85" i="10"/>
  <c r="AF85" i="10" s="1"/>
  <c r="AL85" i="10" s="1"/>
  <c r="U85" i="10"/>
  <c r="V85" i="10"/>
  <c r="W85" i="10"/>
  <c r="AC85" i="10" s="1"/>
  <c r="AI85" i="10" s="1"/>
  <c r="X85" i="10"/>
  <c r="Y85" i="10"/>
  <c r="Z85" i="10"/>
  <c r="AA85" i="10"/>
  <c r="AB85" i="10"/>
  <c r="AE85" i="10"/>
  <c r="AJ85" i="10"/>
  <c r="AB86" i="10"/>
  <c r="AC86" i="10"/>
  <c r="AD86" i="10"/>
  <c r="AE86" i="10"/>
  <c r="AF86" i="10"/>
  <c r="AL86" i="10" s="1"/>
  <c r="AG86" i="10"/>
  <c r="AM86" i="10" s="1"/>
  <c r="AH86" i="10"/>
  <c r="AI86" i="10"/>
  <c r="AJ86" i="10"/>
  <c r="AK86" i="10"/>
  <c r="C87" i="10"/>
  <c r="D87" i="10"/>
  <c r="E87" i="10"/>
  <c r="F87" i="10"/>
  <c r="J87" i="10"/>
  <c r="K87" i="10"/>
  <c r="N87" i="10"/>
  <c r="P87" i="10"/>
  <c r="S87" i="10"/>
  <c r="X87" i="10"/>
  <c r="B90" i="10"/>
  <c r="C90" i="10"/>
  <c r="D90" i="10"/>
  <c r="E90" i="10"/>
  <c r="F90" i="10"/>
  <c r="G90" i="10"/>
  <c r="H90" i="10"/>
  <c r="I90" i="10"/>
  <c r="J90" i="10"/>
  <c r="K90" i="10"/>
  <c r="L90" i="10"/>
  <c r="M90" i="10"/>
  <c r="N90" i="10"/>
  <c r="O90" i="10"/>
  <c r="P90" i="10"/>
  <c r="Q90" i="10"/>
  <c r="R90" i="10"/>
  <c r="S90" i="10"/>
  <c r="T90" i="10"/>
  <c r="U90" i="10"/>
  <c r="V90" i="10"/>
  <c r="W90" i="10"/>
  <c r="X90" i="10"/>
  <c r="Y90" i="10"/>
  <c r="C91" i="10"/>
  <c r="D91" i="10"/>
  <c r="E91" i="10"/>
  <c r="F91" i="10"/>
  <c r="G91" i="10"/>
  <c r="H91" i="10"/>
  <c r="J91" i="10"/>
  <c r="K91" i="10"/>
  <c r="L91" i="10"/>
  <c r="M91" i="10"/>
  <c r="N91" i="10"/>
  <c r="O91" i="10"/>
  <c r="P91" i="10"/>
  <c r="Q91" i="10"/>
  <c r="R91" i="10"/>
  <c r="S91" i="10"/>
  <c r="T91" i="10"/>
  <c r="U91" i="10"/>
  <c r="V91" i="10"/>
  <c r="W91" i="10"/>
  <c r="X91" i="10"/>
  <c r="Y91" i="10"/>
  <c r="Z91" i="10"/>
  <c r="AA91" i="10"/>
  <c r="AB91" i="10"/>
  <c r="AC91" i="10"/>
  <c r="AD91" i="10"/>
  <c r="AE91" i="10"/>
  <c r="AF91" i="10"/>
  <c r="W92" i="10"/>
  <c r="X92" i="10"/>
  <c r="Y92" i="10"/>
  <c r="P94" i="10"/>
  <c r="J95" i="10"/>
  <c r="V95" i="10"/>
  <c r="V96" i="10"/>
  <c r="AA96" i="10"/>
  <c r="V97" i="10"/>
  <c r="W97" i="10"/>
  <c r="X97" i="10"/>
  <c r="Y97" i="10"/>
  <c r="Z97" i="10"/>
  <c r="AA97" i="10"/>
  <c r="W98" i="10"/>
  <c r="X98" i="10"/>
  <c r="Y98" i="10"/>
  <c r="Z98" i="10"/>
  <c r="AA98" i="10"/>
  <c r="AC99" i="10"/>
  <c r="AD99" i="10"/>
  <c r="AJ99" i="10" s="1"/>
  <c r="AG99" i="10"/>
  <c r="AM99" i="10" s="1"/>
  <c r="AH99" i="10"/>
  <c r="AI99" i="10"/>
  <c r="AC100" i="10"/>
  <c r="AD100" i="10"/>
  <c r="AJ100" i="10" s="1"/>
  <c r="AH100" i="10"/>
  <c r="AI100" i="10"/>
  <c r="C101" i="10"/>
  <c r="G101" i="10"/>
  <c r="I101" i="10"/>
  <c r="P101" i="10"/>
  <c r="Q101" i="10"/>
  <c r="R101" i="10"/>
  <c r="S101" i="10"/>
  <c r="T101" i="10"/>
  <c r="U101" i="10"/>
  <c r="V101" i="10"/>
  <c r="W101" i="10"/>
  <c r="X101" i="10"/>
  <c r="Y101" i="10"/>
  <c r="Z101" i="10"/>
  <c r="AA101" i="10"/>
  <c r="C102" i="10"/>
  <c r="D102" i="10"/>
  <c r="E102" i="10"/>
  <c r="F102" i="10"/>
  <c r="I102" i="10"/>
  <c r="J102" i="10"/>
  <c r="K102" i="10"/>
  <c r="L102" i="10"/>
  <c r="M102" i="10"/>
  <c r="AE102" i="10" s="1"/>
  <c r="N102" i="10"/>
  <c r="O102" i="10"/>
  <c r="P102" i="10"/>
  <c r="AB102" i="10" s="1"/>
  <c r="Q102" i="10"/>
  <c r="R102" i="10"/>
  <c r="S102" i="10"/>
  <c r="T102" i="10"/>
  <c r="U102" i="10"/>
  <c r="V102" i="10"/>
  <c r="W102" i="10"/>
  <c r="X102" i="10"/>
  <c r="AD102" i="10" s="1"/>
  <c r="AJ102" i="10" s="1"/>
  <c r="Y102" i="10"/>
  <c r="Z102" i="10"/>
  <c r="AA102" i="10"/>
  <c r="AH102" i="10"/>
  <c r="AC102" i="10"/>
  <c r="AI102" i="10" s="1"/>
  <c r="AF102" i="10"/>
  <c r="C103" i="10"/>
  <c r="D103" i="10"/>
  <c r="AH103" i="10" s="1"/>
  <c r="E103" i="10"/>
  <c r="F103" i="10"/>
  <c r="G103" i="10"/>
  <c r="H103" i="10"/>
  <c r="J103" i="10"/>
  <c r="K103" i="10"/>
  <c r="AC103" i="10" s="1"/>
  <c r="L103" i="10"/>
  <c r="M103" i="10"/>
  <c r="N103" i="10"/>
  <c r="AF103" i="10" s="1"/>
  <c r="AL103" i="10" s="1"/>
  <c r="O103" i="10"/>
  <c r="P103" i="10"/>
  <c r="Q103" i="10"/>
  <c r="R103" i="10"/>
  <c r="S103" i="10"/>
  <c r="AE103" i="10" s="1"/>
  <c r="AK103" i="10" s="1"/>
  <c r="T103" i="10"/>
  <c r="U103" i="10"/>
  <c r="V103" i="10"/>
  <c r="AB103" i="10" s="1"/>
  <c r="W103" i="10"/>
  <c r="X103" i="10"/>
  <c r="Y103" i="10"/>
  <c r="Z103" i="10"/>
  <c r="AA103" i="10"/>
  <c r="AG103" i="10" s="1"/>
  <c r="AD103" i="10"/>
  <c r="AJ103" i="10"/>
  <c r="C104" i="10"/>
  <c r="E104" i="10"/>
  <c r="F104" i="10"/>
  <c r="G104" i="10"/>
  <c r="AK104" i="10"/>
  <c r="H104" i="10"/>
  <c r="I104" i="10"/>
  <c r="J104" i="10"/>
  <c r="AB104" i="10" s="1"/>
  <c r="K104" i="10"/>
  <c r="L104" i="10"/>
  <c r="M104" i="10"/>
  <c r="N104" i="10"/>
  <c r="O104" i="10"/>
  <c r="P104" i="10"/>
  <c r="Q104" i="10"/>
  <c r="R104" i="10"/>
  <c r="AD104" i="10" s="1"/>
  <c r="S104" i="10"/>
  <c r="T104" i="10"/>
  <c r="U104" i="10"/>
  <c r="V104" i="10"/>
  <c r="W104" i="10"/>
  <c r="AC104" i="10" s="1"/>
  <c r="AI104" i="10" s="1"/>
  <c r="X104" i="10"/>
  <c r="Y104" i="10"/>
  <c r="Z104" i="10"/>
  <c r="AF104" i="10" s="1"/>
  <c r="AL104" i="10" s="1"/>
  <c r="AA104" i="10"/>
  <c r="AE104" i="10"/>
  <c r="P105" i="10"/>
  <c r="U105" i="10"/>
  <c r="W105" i="10"/>
  <c r="X105" i="10"/>
  <c r="Y105" i="10" s="1"/>
  <c r="Z105" i="10" s="1"/>
  <c r="AA105" i="10" s="1"/>
  <c r="C106" i="10"/>
  <c r="D106" i="10"/>
  <c r="E106" i="10"/>
  <c r="F106" i="10"/>
  <c r="G106" i="10"/>
  <c r="I106" i="10"/>
  <c r="J106" i="10"/>
  <c r="K106" i="10"/>
  <c r="AC106" i="10" s="1"/>
  <c r="AI106" i="10" s="1"/>
  <c r="L106" i="10"/>
  <c r="M106" i="10"/>
  <c r="N106" i="10"/>
  <c r="O106" i="10"/>
  <c r="P106" i="10"/>
  <c r="Q106" i="10"/>
  <c r="R106" i="10"/>
  <c r="S106" i="10"/>
  <c r="T106" i="10"/>
  <c r="U106" i="10"/>
  <c r="V106" i="10"/>
  <c r="W106" i="10"/>
  <c r="X106" i="10"/>
  <c r="Y106" i="10"/>
  <c r="Z106" i="10"/>
  <c r="AA106" i="10"/>
  <c r="C107" i="10"/>
  <c r="J107" i="10"/>
  <c r="K107" i="10"/>
  <c r="L107" i="10"/>
  <c r="M107" i="10"/>
  <c r="N107" i="10"/>
  <c r="O107" i="10"/>
  <c r="V107" i="10"/>
  <c r="W107" i="10"/>
  <c r="X107" i="10"/>
  <c r="Y107" i="10"/>
  <c r="Z107" i="10"/>
  <c r="AA107" i="10"/>
  <c r="C108" i="10"/>
  <c r="D108" i="10"/>
  <c r="E108" i="10"/>
  <c r="J108" i="10"/>
  <c r="K108" i="10"/>
  <c r="L108" i="10"/>
  <c r="M108" i="10"/>
  <c r="AE108" i="10" s="1"/>
  <c r="N108" i="10"/>
  <c r="O108" i="10"/>
  <c r="P108" i="10"/>
  <c r="AB108" i="10" s="1"/>
  <c r="AH108" i="10" s="1"/>
  <c r="Q108" i="10"/>
  <c r="R108" i="10"/>
  <c r="S108" i="10"/>
  <c r="T108" i="10"/>
  <c r="U108" i="10"/>
  <c r="V108" i="10"/>
  <c r="W108" i="10"/>
  <c r="X108" i="10"/>
  <c r="AD108" i="10" s="1"/>
  <c r="Y108" i="10"/>
  <c r="Z108" i="10"/>
  <c r="AA108" i="10"/>
  <c r="AC108" i="10"/>
  <c r="AI108" i="10" s="1"/>
  <c r="AF108" i="10"/>
  <c r="C109" i="10"/>
  <c r="J109" i="10"/>
  <c r="AB109" i="10" s="1"/>
  <c r="K109" i="10"/>
  <c r="L109" i="10"/>
  <c r="M109" i="10"/>
  <c r="AE109" i="10" s="1"/>
  <c r="N109" i="10"/>
  <c r="O109" i="10"/>
  <c r="P109" i="10"/>
  <c r="Q109" i="10"/>
  <c r="R109" i="10"/>
  <c r="AD109" i="10" s="1"/>
  <c r="S109" i="10"/>
  <c r="T109" i="10"/>
  <c r="U109" i="10"/>
  <c r="AG109" i="10" s="1"/>
  <c r="V109" i="10"/>
  <c r="W109" i="10"/>
  <c r="X109" i="10"/>
  <c r="Y109" i="10"/>
  <c r="Z109" i="10"/>
  <c r="AF109" i="10" s="1"/>
  <c r="AA109" i="10"/>
  <c r="AC109" i="10"/>
  <c r="V110" i="10"/>
  <c r="W110" i="10"/>
  <c r="X110" i="10"/>
  <c r="Y110" i="10"/>
  <c r="Z110" i="10"/>
  <c r="AA110" i="10"/>
  <c r="V112" i="10"/>
  <c r="W112" i="10"/>
  <c r="W111" i="10" s="1"/>
  <c r="X112" i="10"/>
  <c r="X111" i="10" s="1"/>
  <c r="Y112" i="10"/>
  <c r="Y111" i="10" s="1"/>
  <c r="Z112" i="10"/>
  <c r="AA112" i="10"/>
  <c r="C113" i="10"/>
  <c r="J113" i="10"/>
  <c r="K113" i="10"/>
  <c r="L113" i="10"/>
  <c r="M113" i="10"/>
  <c r="N113" i="10"/>
  <c r="O113" i="10"/>
  <c r="P113" i="10"/>
  <c r="Q113" i="10"/>
  <c r="AC113" i="10" s="1"/>
  <c r="R113" i="10"/>
  <c r="V113" i="10"/>
  <c r="AB113" i="10" s="1"/>
  <c r="W113" i="10"/>
  <c r="X113" i="10"/>
  <c r="Y113" i="10"/>
  <c r="Z113" i="10"/>
  <c r="AA113" i="10"/>
  <c r="AD113" i="10"/>
  <c r="V114" i="10"/>
  <c r="V111" i="10" s="1"/>
  <c r="W114" i="10"/>
  <c r="X114" i="10"/>
  <c r="Y114" i="10"/>
  <c r="Z114" i="10"/>
  <c r="AA114" i="10"/>
  <c r="C115" i="10"/>
  <c r="D115" i="10"/>
  <c r="E115" i="10"/>
  <c r="J115" i="10"/>
  <c r="K115" i="10"/>
  <c r="L115" i="10"/>
  <c r="M115" i="10"/>
  <c r="AE115" i="10" s="1"/>
  <c r="N115" i="10"/>
  <c r="O115" i="10"/>
  <c r="P115" i="10"/>
  <c r="Q115" i="10"/>
  <c r="R115" i="10"/>
  <c r="S115" i="10"/>
  <c r="T115" i="10"/>
  <c r="U115" i="10"/>
  <c r="V115" i="10"/>
  <c r="W115" i="10"/>
  <c r="X115" i="10"/>
  <c r="AD115" i="10" s="1"/>
  <c r="Y115" i="10"/>
  <c r="Z115" i="10"/>
  <c r="AA115" i="10"/>
  <c r="AB115" i="10"/>
  <c r="AH115" i="10" s="1"/>
  <c r="AC115" i="10"/>
  <c r="AF115" i="10"/>
  <c r="J116" i="10"/>
  <c r="K116" i="10"/>
  <c r="O116" i="10"/>
  <c r="V116" i="10"/>
  <c r="W116" i="10"/>
  <c r="X116" i="10"/>
  <c r="Y116" i="10"/>
  <c r="Z116" i="10"/>
  <c r="AA116" i="10"/>
  <c r="C117" i="10"/>
  <c r="D117" i="10"/>
  <c r="E117" i="10"/>
  <c r="F117" i="10"/>
  <c r="I117" i="10"/>
  <c r="J117" i="10"/>
  <c r="K117" i="10"/>
  <c r="L117" i="10"/>
  <c r="AD117" i="10" s="1"/>
  <c r="M117" i="10"/>
  <c r="N117" i="10"/>
  <c r="O117" i="10"/>
  <c r="P117" i="10"/>
  <c r="Q117" i="10"/>
  <c r="R117" i="10"/>
  <c r="S117" i="10"/>
  <c r="T117" i="10"/>
  <c r="AF117" i="10" s="1"/>
  <c r="U117" i="10"/>
  <c r="V117" i="10"/>
  <c r="W117" i="10"/>
  <c r="AC117" i="10" s="1"/>
  <c r="AI117" i="10" s="1"/>
  <c r="X117" i="10"/>
  <c r="Y117" i="10"/>
  <c r="Z117" i="10"/>
  <c r="AA117" i="10"/>
  <c r="AB117" i="10"/>
  <c r="AE117" i="10"/>
  <c r="AJ117" i="10"/>
  <c r="C118" i="10"/>
  <c r="D118" i="10"/>
  <c r="E118" i="10"/>
  <c r="J118" i="10"/>
  <c r="AB118" i="10" s="1"/>
  <c r="AH118" i="10" s="1"/>
  <c r="K118" i="10"/>
  <c r="L118" i="10"/>
  <c r="M118" i="10"/>
  <c r="N118" i="10"/>
  <c r="O118" i="10"/>
  <c r="P118" i="10"/>
  <c r="Q118" i="10"/>
  <c r="R118" i="10"/>
  <c r="S118" i="10"/>
  <c r="T118" i="10"/>
  <c r="U118" i="10"/>
  <c r="V118" i="10"/>
  <c r="W118" i="10"/>
  <c r="AC118" i="10" s="1"/>
  <c r="AI118" i="10" s="1"/>
  <c r="X118" i="10"/>
  <c r="Y118" i="10"/>
  <c r="Z118" i="10"/>
  <c r="AA118" i="10"/>
  <c r="AD118" i="10"/>
  <c r="AE118" i="10"/>
  <c r="AF118" i="10"/>
  <c r="C119" i="10"/>
  <c r="D119" i="10"/>
  <c r="E119" i="10"/>
  <c r="J119" i="10"/>
  <c r="AB119" i="10" s="1"/>
  <c r="AH119" i="10" s="1"/>
  <c r="K119" i="10"/>
  <c r="L119" i="10"/>
  <c r="M119" i="10"/>
  <c r="AE119" i="10" s="1"/>
  <c r="N119" i="10"/>
  <c r="O119" i="10"/>
  <c r="P119" i="10"/>
  <c r="Q119" i="10"/>
  <c r="R119" i="10"/>
  <c r="AD119" i="10" s="1"/>
  <c r="S119" i="10"/>
  <c r="T119" i="10"/>
  <c r="U119" i="10"/>
  <c r="V119" i="10"/>
  <c r="W119" i="10"/>
  <c r="X119" i="10"/>
  <c r="Y119" i="10"/>
  <c r="Z119" i="10"/>
  <c r="AF119" i="10" s="1"/>
  <c r="AA119" i="10"/>
  <c r="AG119" i="10" s="1"/>
  <c r="AC119" i="10"/>
  <c r="AI119" i="10"/>
  <c r="C120" i="10"/>
  <c r="I120" i="10"/>
  <c r="J120" i="10"/>
  <c r="K120" i="10"/>
  <c r="L120" i="10"/>
  <c r="M120" i="10"/>
  <c r="N120" i="10"/>
  <c r="O120" i="10"/>
  <c r="U120" i="10"/>
  <c r="V120" i="10"/>
  <c r="W120" i="10"/>
  <c r="X120" i="10"/>
  <c r="Y120" i="10"/>
  <c r="Z120" i="10"/>
  <c r="AA120" i="10"/>
  <c r="C121" i="10"/>
  <c r="D121" i="10"/>
  <c r="E121" i="10"/>
  <c r="F121" i="10"/>
  <c r="J121" i="10"/>
  <c r="K121" i="10"/>
  <c r="AC121" i="10" s="1"/>
  <c r="AI121" i="10" s="1"/>
  <c r="L121" i="10"/>
  <c r="M121" i="10"/>
  <c r="N121" i="10"/>
  <c r="O121" i="10"/>
  <c r="P121" i="10"/>
  <c r="AB121" i="10" s="1"/>
  <c r="Q121" i="10"/>
  <c r="R121" i="10"/>
  <c r="S121" i="10"/>
  <c r="T121" i="10"/>
  <c r="U121" i="10"/>
  <c r="V121" i="10"/>
  <c r="W121" i="10"/>
  <c r="X121" i="10"/>
  <c r="Y121" i="10"/>
  <c r="Z121" i="10"/>
  <c r="AA121" i="10"/>
  <c r="AG121" i="10" s="1"/>
  <c r="AE121" i="10"/>
  <c r="AF121" i="10"/>
  <c r="C122" i="10"/>
  <c r="J122" i="10"/>
  <c r="K122" i="10"/>
  <c r="L122" i="10"/>
  <c r="M122" i="10"/>
  <c r="N122" i="10"/>
  <c r="O122" i="10"/>
  <c r="V122" i="10"/>
  <c r="W122" i="10"/>
  <c r="X122" i="10"/>
  <c r="Y122" i="10"/>
  <c r="Z122" i="10"/>
  <c r="AA122" i="10"/>
  <c r="C123" i="10"/>
  <c r="D123" i="10"/>
  <c r="J123" i="10"/>
  <c r="K123" i="10"/>
  <c r="L123" i="10"/>
  <c r="M123" i="10"/>
  <c r="N123" i="10"/>
  <c r="O123" i="10"/>
  <c r="P123" i="10"/>
  <c r="V123" i="10"/>
  <c r="W123" i="10"/>
  <c r="X123" i="10"/>
  <c r="Y123" i="10"/>
  <c r="Z123" i="10"/>
  <c r="AA123" i="10"/>
  <c r="J124" i="10"/>
  <c r="K124" i="10"/>
  <c r="O124" i="10"/>
  <c r="V124" i="10"/>
  <c r="W124" i="10"/>
  <c r="X124" i="10"/>
  <c r="Y124" i="10"/>
  <c r="Z124" i="10"/>
  <c r="AA124" i="10"/>
  <c r="I126" i="10"/>
  <c r="O126" i="10"/>
  <c r="P126" i="10"/>
  <c r="Q126" i="10"/>
  <c r="Q125" i="10" s="1"/>
  <c r="R126" i="10"/>
  <c r="S126" i="10"/>
  <c r="T126" i="10"/>
  <c r="U126" i="10"/>
  <c r="V126" i="10"/>
  <c r="W126" i="10"/>
  <c r="W125" i="10" s="1"/>
  <c r="X126" i="10"/>
  <c r="Y126" i="10"/>
  <c r="Y125" i="10" s="1"/>
  <c r="Z126" i="10"/>
  <c r="Z125" i="10" s="1"/>
  <c r="AA126" i="10"/>
  <c r="J127" i="10"/>
  <c r="O127" i="10"/>
  <c r="P127" i="10"/>
  <c r="P125" i="10" s="1"/>
  <c r="Q127" i="10"/>
  <c r="V127" i="10"/>
  <c r="W127" i="10"/>
  <c r="X127" i="10"/>
  <c r="X125" i="10" s="1"/>
  <c r="Y127" i="10"/>
  <c r="Z127" i="10"/>
  <c r="AA127" i="10"/>
  <c r="L129" i="10"/>
  <c r="C130" i="10"/>
  <c r="D130" i="10"/>
  <c r="J130" i="10"/>
  <c r="K130" i="10"/>
  <c r="L130" i="10"/>
  <c r="M130" i="10"/>
  <c r="AE130" i="10" s="1"/>
  <c r="N130" i="10"/>
  <c r="O130" i="10"/>
  <c r="O129" i="10" s="1"/>
  <c r="P130" i="10"/>
  <c r="P129" i="10" s="1"/>
  <c r="Q130" i="10"/>
  <c r="Q129" i="10" s="1"/>
  <c r="R130" i="10"/>
  <c r="S130" i="10"/>
  <c r="S129" i="10" s="1"/>
  <c r="T130" i="10"/>
  <c r="U130" i="10"/>
  <c r="V130" i="10"/>
  <c r="V129" i="10" s="1"/>
  <c r="W130" i="10"/>
  <c r="W129" i="10" s="1"/>
  <c r="X130" i="10"/>
  <c r="X129" i="10" s="1"/>
  <c r="Y130" i="10"/>
  <c r="Y129" i="10" s="1"/>
  <c r="Z130" i="10"/>
  <c r="Z129" i="10" s="1"/>
  <c r="AA130" i="10"/>
  <c r="AC130" i="10"/>
  <c r="D131" i="10"/>
  <c r="AH131" i="10" s="1"/>
  <c r="F131" i="10"/>
  <c r="G131" i="10"/>
  <c r="AK131" i="10" s="1"/>
  <c r="J131" i="10"/>
  <c r="K131" i="10"/>
  <c r="AC131" i="10" s="1"/>
  <c r="L131" i="10"/>
  <c r="AD131" i="10" s="1"/>
  <c r="AJ131" i="10" s="1"/>
  <c r="M131" i="10"/>
  <c r="N131" i="10"/>
  <c r="O131" i="10"/>
  <c r="P131" i="10"/>
  <c r="Q131" i="10"/>
  <c r="R131" i="10"/>
  <c r="S131" i="10"/>
  <c r="T131" i="10"/>
  <c r="AF131" i="10" s="1"/>
  <c r="AL131" i="10" s="1"/>
  <c r="U131" i="10"/>
  <c r="V131" i="10"/>
  <c r="W131" i="10"/>
  <c r="X131" i="10"/>
  <c r="Y131" i="10"/>
  <c r="Z131" i="10"/>
  <c r="AA131" i="10"/>
  <c r="AB131" i="10"/>
  <c r="AE131" i="10"/>
  <c r="J132" i="10"/>
  <c r="L132" i="10"/>
  <c r="M132" i="10"/>
  <c r="AE132" i="10" s="1"/>
  <c r="N132" i="10"/>
  <c r="O132" i="10"/>
  <c r="P132" i="10"/>
  <c r="Q132" i="10"/>
  <c r="R132" i="10"/>
  <c r="S132" i="10"/>
  <c r="T132" i="10"/>
  <c r="AF132" i="10" s="1"/>
  <c r="U132" i="10"/>
  <c r="V132" i="10"/>
  <c r="W132" i="10"/>
  <c r="X132" i="10"/>
  <c r="Y132" i="10"/>
  <c r="Z132" i="10"/>
  <c r="AA132" i="10"/>
  <c r="AB132" i="10"/>
  <c r="AD132" i="10"/>
  <c r="Y133" i="10"/>
  <c r="C134" i="10"/>
  <c r="J134" i="10"/>
  <c r="J133" i="10" s="1"/>
  <c r="K134" i="10"/>
  <c r="L134" i="10"/>
  <c r="O134" i="10"/>
  <c r="P134" i="10"/>
  <c r="AB134" i="10" s="1"/>
  <c r="AB133" i="10" s="1"/>
  <c r="V134" i="10"/>
  <c r="V133" i="10" s="1"/>
  <c r="W134" i="10"/>
  <c r="X134" i="10"/>
  <c r="X133" i="10" s="1"/>
  <c r="Y134" i="10"/>
  <c r="Z134" i="10"/>
  <c r="Z133" i="10" s="1"/>
  <c r="AA134" i="10"/>
  <c r="I135" i="10"/>
  <c r="J135" i="10"/>
  <c r="K135" i="10"/>
  <c r="L135" i="10"/>
  <c r="AD135" i="10" s="1"/>
  <c r="M135" i="10"/>
  <c r="N135" i="10"/>
  <c r="O135" i="10"/>
  <c r="P135" i="10"/>
  <c r="Q135" i="10"/>
  <c r="R135" i="10"/>
  <c r="S135" i="10"/>
  <c r="T135" i="10"/>
  <c r="AF135" i="10" s="1"/>
  <c r="U135" i="10"/>
  <c r="V135" i="10"/>
  <c r="W135" i="10"/>
  <c r="X135" i="10"/>
  <c r="Y135" i="10"/>
  <c r="Z135" i="10"/>
  <c r="AA135" i="10"/>
  <c r="AG135" i="10" s="1"/>
  <c r="AB135" i="10"/>
  <c r="AC135" i="10"/>
  <c r="AE135" i="10"/>
  <c r="C136" i="10"/>
  <c r="H136" i="10"/>
  <c r="AL136" i="10"/>
  <c r="I136" i="10"/>
  <c r="J136" i="10"/>
  <c r="K136" i="10"/>
  <c r="L136" i="10"/>
  <c r="M136" i="10"/>
  <c r="N136" i="10"/>
  <c r="O136" i="10"/>
  <c r="P136" i="10"/>
  <c r="Q136" i="10"/>
  <c r="R136" i="10"/>
  <c r="S136" i="10"/>
  <c r="T136" i="10"/>
  <c r="U136" i="10"/>
  <c r="V136" i="10"/>
  <c r="AB136" i="10" s="1"/>
  <c r="W136" i="10"/>
  <c r="AC136" i="10" s="1"/>
  <c r="X136" i="10"/>
  <c r="Y136" i="10"/>
  <c r="Z136" i="10"/>
  <c r="AA136" i="10"/>
  <c r="AD136" i="10"/>
  <c r="AE136" i="10"/>
  <c r="AF136" i="10"/>
  <c r="C137" i="10"/>
  <c r="J137" i="10"/>
  <c r="P137" i="10"/>
  <c r="Q137" i="10"/>
  <c r="R137" i="10"/>
  <c r="S137" i="10"/>
  <c r="T137" i="10"/>
  <c r="U137" i="10"/>
  <c r="V137" i="10"/>
  <c r="W137" i="10"/>
  <c r="X137" i="10"/>
  <c r="Y137" i="10"/>
  <c r="Z137" i="10"/>
  <c r="AA137" i="10"/>
  <c r="AB137" i="10"/>
  <c r="X138" i="10"/>
  <c r="C139" i="10"/>
  <c r="D139" i="10"/>
  <c r="E139" i="10"/>
  <c r="H139" i="10"/>
  <c r="J139" i="10"/>
  <c r="K139" i="10"/>
  <c r="L139" i="10"/>
  <c r="M139" i="10"/>
  <c r="N139" i="10"/>
  <c r="O139" i="10"/>
  <c r="P139" i="10"/>
  <c r="P138" i="10" s="1"/>
  <c r="Q139" i="10"/>
  <c r="R139" i="10"/>
  <c r="R138" i="10" s="1"/>
  <c r="S139" i="10"/>
  <c r="T139" i="10"/>
  <c r="U139" i="10"/>
  <c r="V139" i="10"/>
  <c r="V138" i="10" s="1"/>
  <c r="W139" i="10"/>
  <c r="W138" i="10" s="1"/>
  <c r="X139" i="10"/>
  <c r="AD139" i="10" s="1"/>
  <c r="Y139" i="10"/>
  <c r="Z139" i="10"/>
  <c r="Z138" i="10" s="1"/>
  <c r="AA139" i="10"/>
  <c r="AG139" i="10" s="1"/>
  <c r="AM139" i="10" s="1"/>
  <c r="AB139" i="10"/>
  <c r="AH139" i="10" s="1"/>
  <c r="AF139" i="10"/>
  <c r="C140" i="10"/>
  <c r="P140" i="10"/>
  <c r="Q140" i="10"/>
  <c r="R140" i="10"/>
  <c r="S140" i="10"/>
  <c r="T140" i="10"/>
  <c r="U140" i="10"/>
  <c r="V140" i="10"/>
  <c r="W140" i="10"/>
  <c r="X140" i="10"/>
  <c r="Y140" i="10"/>
  <c r="Z140" i="10"/>
  <c r="AA140" i="10"/>
  <c r="P141" i="10"/>
  <c r="Q141" i="10"/>
  <c r="R141" i="10"/>
  <c r="U141" i="10"/>
  <c r="V141" i="10"/>
  <c r="W141" i="10"/>
  <c r="X141" i="10"/>
  <c r="Y141" i="10"/>
  <c r="Z141" i="10"/>
  <c r="AA141" i="10"/>
  <c r="C142" i="10"/>
  <c r="D142" i="10"/>
  <c r="AH142" i="10" s="1"/>
  <c r="E142" i="10"/>
  <c r="J142" i="10"/>
  <c r="K142" i="10"/>
  <c r="L142" i="10"/>
  <c r="M142" i="10"/>
  <c r="AE142" i="10" s="1"/>
  <c r="N142" i="10"/>
  <c r="O142" i="10"/>
  <c r="P142" i="10"/>
  <c r="Q142" i="10"/>
  <c r="R142" i="10"/>
  <c r="S142" i="10"/>
  <c r="T142" i="10"/>
  <c r="U142" i="10"/>
  <c r="V142" i="10"/>
  <c r="W142" i="10"/>
  <c r="X142" i="10"/>
  <c r="AD142" i="10" s="1"/>
  <c r="AJ142" i="10" s="1"/>
  <c r="Y142" i="10"/>
  <c r="Z142" i="10"/>
  <c r="AA142" i="10"/>
  <c r="AB142" i="10"/>
  <c r="AC142" i="10"/>
  <c r="AI142" i="10" s="1"/>
  <c r="AF142" i="10"/>
  <c r="E143" i="10"/>
  <c r="M143" i="10"/>
  <c r="U143" i="10"/>
  <c r="C144" i="10"/>
  <c r="D144" i="10"/>
  <c r="D143" i="10" s="1"/>
  <c r="E144" i="10"/>
  <c r="F144" i="10"/>
  <c r="G144" i="10"/>
  <c r="G143" i="10" s="1"/>
  <c r="H144" i="10"/>
  <c r="I144" i="10"/>
  <c r="J144" i="10"/>
  <c r="J143" i="10" s="1"/>
  <c r="K144" i="10"/>
  <c r="L144" i="10"/>
  <c r="L143" i="10" s="1"/>
  <c r="M144" i="10"/>
  <c r="N144" i="10"/>
  <c r="O144" i="10"/>
  <c r="O143" i="10" s="1"/>
  <c r="P144" i="10"/>
  <c r="AF144" i="10" s="1"/>
  <c r="Q144" i="10"/>
  <c r="R144" i="10"/>
  <c r="R143" i="10" s="1"/>
  <c r="S144" i="10"/>
  <c r="T144" i="10"/>
  <c r="T143" i="10" s="1"/>
  <c r="U144" i="10"/>
  <c r="V144" i="10"/>
  <c r="W144" i="10"/>
  <c r="W143" i="10" s="1"/>
  <c r="X144" i="10"/>
  <c r="X143" i="10" s="1"/>
  <c r="Y144" i="10"/>
  <c r="Z144" i="10"/>
  <c r="Z143" i="10" s="1"/>
  <c r="AA144" i="10"/>
  <c r="C145" i="10"/>
  <c r="D145" i="10"/>
  <c r="E145" i="10"/>
  <c r="F145" i="10"/>
  <c r="G145" i="10"/>
  <c r="H145" i="10"/>
  <c r="I145" i="10"/>
  <c r="J145" i="10"/>
  <c r="K145" i="10"/>
  <c r="L145" i="10"/>
  <c r="M145" i="10"/>
  <c r="N145" i="10"/>
  <c r="O145" i="10"/>
  <c r="P145" i="10"/>
  <c r="Q145" i="10"/>
  <c r="R145" i="10"/>
  <c r="S145" i="10"/>
  <c r="T145" i="10"/>
  <c r="U145" i="10"/>
  <c r="V145" i="10"/>
  <c r="W145" i="10"/>
  <c r="X145" i="10"/>
  <c r="Y145" i="10"/>
  <c r="Z145" i="10"/>
  <c r="AA145" i="10"/>
  <c r="AB145" i="10"/>
  <c r="AH145" i="10"/>
  <c r="C146" i="10"/>
  <c r="D146" i="10"/>
  <c r="E146" i="10"/>
  <c r="F146" i="10"/>
  <c r="G146" i="10"/>
  <c r="H146" i="10"/>
  <c r="I146" i="10"/>
  <c r="J146" i="10"/>
  <c r="K146" i="10"/>
  <c r="L146" i="10"/>
  <c r="M146" i="10"/>
  <c r="N146" i="10"/>
  <c r="O146" i="10"/>
  <c r="P146" i="10"/>
  <c r="Q146" i="10"/>
  <c r="R146" i="10"/>
  <c r="S146" i="10"/>
  <c r="T146" i="10"/>
  <c r="U146" i="10"/>
  <c r="V146" i="10"/>
  <c r="W146" i="10"/>
  <c r="X146" i="10"/>
  <c r="Y146" i="10"/>
  <c r="Z146" i="10"/>
  <c r="AA146" i="10"/>
  <c r="C147" i="10"/>
  <c r="D147" i="10"/>
  <c r="E147" i="10"/>
  <c r="F147" i="10"/>
  <c r="G147" i="10"/>
  <c r="H147" i="10"/>
  <c r="I147" i="10"/>
  <c r="J147" i="10"/>
  <c r="K147" i="10"/>
  <c r="L147" i="10"/>
  <c r="M147" i="10"/>
  <c r="N147" i="10"/>
  <c r="O147" i="10"/>
  <c r="P147" i="10"/>
  <c r="AB147" i="10" s="1"/>
  <c r="AH147" i="10" s="1"/>
  <c r="Q147" i="10"/>
  <c r="R147" i="10"/>
  <c r="S147" i="10"/>
  <c r="T147" i="10"/>
  <c r="U147" i="10"/>
  <c r="V147" i="10"/>
  <c r="W147" i="10"/>
  <c r="X147" i="10"/>
  <c r="Y147" i="10"/>
  <c r="AG147" i="10" s="1"/>
  <c r="Z147" i="10"/>
  <c r="AA147" i="10"/>
  <c r="AH148" i="10"/>
  <c r="AI148" i="10"/>
  <c r="AJ148" i="10"/>
  <c r="AK148" i="10"/>
  <c r="AL148" i="10"/>
  <c r="AM148" i="10"/>
  <c r="AH149" i="10"/>
  <c r="AI149" i="10"/>
  <c r="AJ149" i="10"/>
  <c r="AK149" i="10"/>
  <c r="AL149" i="10"/>
  <c r="AM149" i="10"/>
  <c r="B3" i="9"/>
  <c r="C3" i="9"/>
  <c r="D3" i="9"/>
  <c r="F3" i="9"/>
  <c r="G3" i="9"/>
  <c r="H3" i="9"/>
  <c r="I3" i="9"/>
  <c r="J3" i="9"/>
  <c r="K3" i="9"/>
  <c r="L3" i="9"/>
  <c r="M3" i="9"/>
  <c r="N3" i="9"/>
  <c r="O3" i="9"/>
  <c r="P3" i="9"/>
  <c r="Q3" i="9"/>
  <c r="R3" i="9"/>
  <c r="S3" i="9"/>
  <c r="T3" i="9"/>
  <c r="U3" i="9"/>
  <c r="V3" i="9"/>
  <c r="X3" i="9"/>
  <c r="Y3" i="9"/>
  <c r="D4" i="9"/>
  <c r="L4" i="9"/>
  <c r="O4" i="9"/>
  <c r="X4" i="9"/>
  <c r="Y4" i="9"/>
  <c r="C7" i="9"/>
  <c r="D7" i="9"/>
  <c r="E7" i="9"/>
  <c r="N7" i="9"/>
  <c r="O7" i="9"/>
  <c r="D115" i="7" s="1"/>
  <c r="AC115" i="7" s="1"/>
  <c r="P7" i="9"/>
  <c r="D113" i="10" s="1"/>
  <c r="AH113" i="10" s="1"/>
  <c r="Q7" i="9"/>
  <c r="E113" i="10" s="1"/>
  <c r="AI113" i="10" s="1"/>
  <c r="D8" i="9"/>
  <c r="Q9" i="9"/>
  <c r="R9" i="9"/>
  <c r="S9" i="9" s="1"/>
  <c r="T9" i="9"/>
  <c r="C10" i="9"/>
  <c r="D10" i="9"/>
  <c r="Y11" i="9"/>
  <c r="Q12" i="9"/>
  <c r="R12" i="9"/>
  <c r="S12" i="9"/>
  <c r="Y12" i="9" s="1"/>
  <c r="U12" i="9"/>
  <c r="X12" i="9"/>
  <c r="M13" i="9"/>
  <c r="N13" i="9"/>
  <c r="O13" i="9"/>
  <c r="P13" i="9"/>
  <c r="D127" i="10" s="1"/>
  <c r="Q13" i="9"/>
  <c r="X13" i="9"/>
  <c r="M14" i="9"/>
  <c r="N14" i="9"/>
  <c r="O14" i="9"/>
  <c r="P14" i="9"/>
  <c r="X14" i="9"/>
  <c r="M15" i="9"/>
  <c r="N15" i="9"/>
  <c r="O15" i="9"/>
  <c r="P15" i="9"/>
  <c r="Q15" i="9"/>
  <c r="X15" i="9"/>
  <c r="P16" i="9"/>
  <c r="Q16" i="9"/>
  <c r="X16" i="9"/>
  <c r="M17" i="9"/>
  <c r="N17" i="9"/>
  <c r="P17" i="9"/>
  <c r="V17" i="9" s="1"/>
  <c r="Q17" i="9"/>
  <c r="X17" i="9"/>
  <c r="Q19" i="9"/>
  <c r="R19" i="9"/>
  <c r="S19" i="9" s="1"/>
  <c r="C20" i="9"/>
  <c r="C19" i="9" s="1"/>
  <c r="C31" i="9" s="1"/>
  <c r="E20" i="9"/>
  <c r="E19" i="9" s="1"/>
  <c r="Q20" i="9"/>
  <c r="R20" i="9"/>
  <c r="S20" i="9" s="1"/>
  <c r="C21" i="9"/>
  <c r="E21" i="9"/>
  <c r="F21" i="9"/>
  <c r="J21" i="9"/>
  <c r="F22" i="9"/>
  <c r="G22" i="9" s="1"/>
  <c r="N22" i="9"/>
  <c r="P22" i="9"/>
  <c r="F23" i="9"/>
  <c r="G23" i="9"/>
  <c r="H23" i="9" s="1"/>
  <c r="Q23" i="9"/>
  <c r="R23" i="9" s="1"/>
  <c r="S23" i="9" s="1"/>
  <c r="F24" i="9"/>
  <c r="G24" i="9"/>
  <c r="Q24" i="9"/>
  <c r="R24" i="9"/>
  <c r="S24" i="9" s="1"/>
  <c r="Y24" i="9" s="1"/>
  <c r="T24" i="9"/>
  <c r="U24" i="9" s="1"/>
  <c r="Q25" i="9"/>
  <c r="R25" i="9" s="1"/>
  <c r="S25" i="9" s="1"/>
  <c r="F26" i="9"/>
  <c r="G26" i="9" s="1"/>
  <c r="Q26" i="9"/>
  <c r="F27" i="9"/>
  <c r="G27" i="9" s="1"/>
  <c r="Y27" i="9"/>
  <c r="F28" i="9"/>
  <c r="G28" i="9" s="1"/>
  <c r="Y28" i="9"/>
  <c r="C29" i="9"/>
  <c r="C25" i="9" s="1"/>
  <c r="J29" i="9"/>
  <c r="Y29" i="9"/>
  <c r="F30" i="9"/>
  <c r="G30" i="9"/>
  <c r="X30" i="9" s="1"/>
  <c r="Y30" i="9"/>
  <c r="D31" i="9"/>
  <c r="O31" i="9"/>
  <c r="F43" i="9"/>
  <c r="F44" i="9"/>
  <c r="F45" i="9"/>
  <c r="C4" i="8"/>
  <c r="C4" i="9" s="1"/>
  <c r="D4" i="8"/>
  <c r="E4" i="8"/>
  <c r="E4" i="9" s="1"/>
  <c r="F4" i="8"/>
  <c r="G4" i="8"/>
  <c r="G4" i="9" s="1"/>
  <c r="H4" i="8"/>
  <c r="H4" i="9" s="1"/>
  <c r="I4" i="8"/>
  <c r="I4" i="9" s="1"/>
  <c r="J4" i="8"/>
  <c r="J4" i="9" s="1"/>
  <c r="K4" i="8"/>
  <c r="K4" i="9" s="1"/>
  <c r="N4" i="8"/>
  <c r="N4" i="9" s="1"/>
  <c r="O4" i="8"/>
  <c r="P4" i="8"/>
  <c r="P4" i="9" s="1"/>
  <c r="T4" i="8"/>
  <c r="T4" i="9" s="1"/>
  <c r="C6" i="8"/>
  <c r="D6" i="8"/>
  <c r="C8" i="8"/>
  <c r="C21" i="10" s="1"/>
  <c r="D8" i="8"/>
  <c r="C11" i="8"/>
  <c r="D11" i="8"/>
  <c r="E11" i="8"/>
  <c r="J11" i="8"/>
  <c r="Y11" i="8"/>
  <c r="M12" i="8"/>
  <c r="N12" i="8"/>
  <c r="O12" i="8"/>
  <c r="P12" i="8"/>
  <c r="D126" i="10"/>
  <c r="Q12" i="8"/>
  <c r="E126" i="10" s="1"/>
  <c r="U12" i="8"/>
  <c r="L13" i="8"/>
  <c r="M13" i="8"/>
  <c r="N13" i="8"/>
  <c r="C128" i="7" s="1"/>
  <c r="O13" i="8"/>
  <c r="P13" i="8"/>
  <c r="Q13" i="8"/>
  <c r="U13" i="8"/>
  <c r="X13" i="8"/>
  <c r="L14" i="8"/>
  <c r="M14" i="8"/>
  <c r="N14" i="8"/>
  <c r="O14" i="8"/>
  <c r="P14" i="8"/>
  <c r="Q14" i="8"/>
  <c r="U14" i="8"/>
  <c r="X14" i="8"/>
  <c r="L15" i="8"/>
  <c r="V15" i="8"/>
  <c r="X15" i="8"/>
  <c r="Y15" i="8"/>
  <c r="L16" i="8"/>
  <c r="V16" i="8"/>
  <c r="X16" i="8"/>
  <c r="Y16" i="8"/>
  <c r="L17" i="8"/>
  <c r="V17" i="8"/>
  <c r="X17" i="8"/>
  <c r="Y17" i="8"/>
  <c r="Q19" i="8"/>
  <c r="R19" i="8" s="1"/>
  <c r="S19" i="8" s="1"/>
  <c r="E20" i="8"/>
  <c r="Q20" i="8"/>
  <c r="R20" i="8" s="1"/>
  <c r="S20" i="8" s="1"/>
  <c r="E21" i="8"/>
  <c r="F21" i="8"/>
  <c r="J21" i="8"/>
  <c r="Q21" i="8"/>
  <c r="R21" i="8" s="1"/>
  <c r="S21" i="8" s="1"/>
  <c r="C22" i="8"/>
  <c r="D22" i="8"/>
  <c r="E22" i="8"/>
  <c r="F22" i="8"/>
  <c r="J22" i="8"/>
  <c r="Y22" i="8"/>
  <c r="C23" i="8"/>
  <c r="E23" i="8"/>
  <c r="F23" i="8"/>
  <c r="G23" i="8"/>
  <c r="H23" i="8"/>
  <c r="I23" i="8"/>
  <c r="J23" i="8"/>
  <c r="Q23" i="8"/>
  <c r="R23" i="8" s="1"/>
  <c r="S23" i="8" s="1"/>
  <c r="Y23" i="8" s="1"/>
  <c r="X23" i="8"/>
  <c r="C24" i="8"/>
  <c r="F24" i="8"/>
  <c r="G24" i="8"/>
  <c r="J24" i="8"/>
  <c r="Q24" i="8"/>
  <c r="R24" i="8" s="1"/>
  <c r="S24" i="8" s="1"/>
  <c r="X24" i="8"/>
  <c r="C25" i="8"/>
  <c r="E25" i="8"/>
  <c r="F26" i="8"/>
  <c r="N26" i="8"/>
  <c r="P26" i="8"/>
  <c r="Q26" i="8"/>
  <c r="U26" i="8"/>
  <c r="U143" i="7"/>
  <c r="G27" i="8"/>
  <c r="Q27" i="8"/>
  <c r="R27" i="8"/>
  <c r="S27" i="8" s="1"/>
  <c r="Y27" i="8" s="1"/>
  <c r="G28" i="8"/>
  <c r="H28" i="8" s="1"/>
  <c r="I28" i="8" s="1"/>
  <c r="J28" i="8" s="1"/>
  <c r="L28" i="8"/>
  <c r="Q28" i="8"/>
  <c r="R28" i="8" s="1"/>
  <c r="S28" i="8" s="1"/>
  <c r="X28" i="8"/>
  <c r="F29" i="8"/>
  <c r="G29" i="8" s="1"/>
  <c r="N29" i="8"/>
  <c r="O29" i="8"/>
  <c r="P29" i="8"/>
  <c r="D30" i="8"/>
  <c r="O30" i="8"/>
  <c r="C7" i="7"/>
  <c r="C9" i="56" s="1"/>
  <c r="C8" i="7"/>
  <c r="P8" i="7" s="1"/>
  <c r="D8" i="7"/>
  <c r="E8" i="7"/>
  <c r="E8" i="51" s="1"/>
  <c r="F8" i="7"/>
  <c r="F7" i="7" s="1"/>
  <c r="G8" i="7"/>
  <c r="M8" i="7" s="1"/>
  <c r="J8" i="7"/>
  <c r="J7" i="7" s="1"/>
  <c r="L8" i="7"/>
  <c r="AC8" i="7"/>
  <c r="C9" i="7"/>
  <c r="D9" i="7"/>
  <c r="E9" i="7"/>
  <c r="F9" i="7"/>
  <c r="J9" i="7"/>
  <c r="AC9" i="7"/>
  <c r="C10" i="7"/>
  <c r="D10" i="7"/>
  <c r="E10" i="7"/>
  <c r="E10" i="51" s="1"/>
  <c r="F10" i="7"/>
  <c r="G10" i="7"/>
  <c r="J10" i="7"/>
  <c r="L10" i="7"/>
  <c r="M10" i="7"/>
  <c r="AC10" i="7"/>
  <c r="C11" i="7"/>
  <c r="P11" i="7" s="1"/>
  <c r="D11" i="7"/>
  <c r="AC11" i="7" s="1"/>
  <c r="E11" i="7"/>
  <c r="E11" i="51" s="1"/>
  <c r="F11" i="7"/>
  <c r="G11" i="7"/>
  <c r="N11" i="7" s="1"/>
  <c r="H11" i="7"/>
  <c r="J11" i="7"/>
  <c r="K11" i="7"/>
  <c r="L11" i="7"/>
  <c r="M11" i="7"/>
  <c r="C12" i="7"/>
  <c r="D12" i="7"/>
  <c r="E12" i="7"/>
  <c r="F12" i="7"/>
  <c r="J12" i="7"/>
  <c r="AC12" i="7"/>
  <c r="C13" i="7"/>
  <c r="D13" i="7"/>
  <c r="AC13" i="7" s="1"/>
  <c r="E13" i="7"/>
  <c r="E13" i="51" s="1"/>
  <c r="N13" i="51" s="1"/>
  <c r="F13" i="7"/>
  <c r="G13" i="7"/>
  <c r="J13" i="7"/>
  <c r="L13" i="7"/>
  <c r="M13" i="7"/>
  <c r="C15" i="7"/>
  <c r="D15" i="7"/>
  <c r="AC15" i="7" s="1"/>
  <c r="E15" i="7"/>
  <c r="E15" i="51" s="1"/>
  <c r="F15" i="7"/>
  <c r="J15" i="7"/>
  <c r="L15" i="7"/>
  <c r="C16" i="7"/>
  <c r="D16" i="7"/>
  <c r="AC16" i="7" s="1"/>
  <c r="E16" i="7"/>
  <c r="E16" i="51" s="1"/>
  <c r="N16" i="51" s="1"/>
  <c r="F16" i="7"/>
  <c r="G16" i="7"/>
  <c r="J16" i="7"/>
  <c r="L16" i="7"/>
  <c r="C17" i="7"/>
  <c r="D17" i="7"/>
  <c r="E17" i="7"/>
  <c r="F17" i="7"/>
  <c r="G17" i="7"/>
  <c r="M17" i="7" s="1"/>
  <c r="H17" i="7"/>
  <c r="I17" i="7"/>
  <c r="J17" i="7"/>
  <c r="N17" i="7"/>
  <c r="O17" i="7"/>
  <c r="AC17" i="7"/>
  <c r="C18" i="7"/>
  <c r="D18" i="7"/>
  <c r="E18" i="7"/>
  <c r="E18" i="51" s="1"/>
  <c r="N18" i="51" s="1"/>
  <c r="F18" i="7"/>
  <c r="G18" i="7"/>
  <c r="M18" i="7" s="1"/>
  <c r="H18" i="7"/>
  <c r="I18" i="7"/>
  <c r="O18" i="7" s="1"/>
  <c r="J18" i="7"/>
  <c r="L18" i="7"/>
  <c r="P18" i="7"/>
  <c r="AC18" i="7"/>
  <c r="C20" i="7"/>
  <c r="D20" i="7"/>
  <c r="AC20" i="7"/>
  <c r="C23" i="7"/>
  <c r="D23" i="7"/>
  <c r="E23" i="7"/>
  <c r="E23" i="51" s="1"/>
  <c r="N23" i="51" s="1"/>
  <c r="AC23" i="7"/>
  <c r="C24" i="7"/>
  <c r="D24" i="7"/>
  <c r="AC24" i="7" s="1"/>
  <c r="E24" i="7"/>
  <c r="J24" i="7"/>
  <c r="D25" i="7"/>
  <c r="AC25" i="7" s="1"/>
  <c r="E25" i="7"/>
  <c r="E25" i="51" s="1"/>
  <c r="N25" i="51" s="1"/>
  <c r="F25" i="7"/>
  <c r="L25" i="7" s="1"/>
  <c r="C27" i="7"/>
  <c r="E27" i="7"/>
  <c r="AC27" i="7"/>
  <c r="C30" i="7"/>
  <c r="C14" i="56" s="1"/>
  <c r="J30" i="7"/>
  <c r="J31" i="7"/>
  <c r="C32" i="7"/>
  <c r="C17" i="56"/>
  <c r="D32" i="7"/>
  <c r="AC32" i="7" s="1"/>
  <c r="E32" i="7"/>
  <c r="E17" i="56" s="1"/>
  <c r="D33" i="7"/>
  <c r="D18" i="56" s="1"/>
  <c r="E33" i="7"/>
  <c r="J33" i="7"/>
  <c r="AC33" i="7"/>
  <c r="C36" i="7"/>
  <c r="D36" i="7"/>
  <c r="AC36" i="7" s="1"/>
  <c r="E36" i="7"/>
  <c r="E36" i="51" s="1"/>
  <c r="F36" i="7"/>
  <c r="P36" i="7"/>
  <c r="C40" i="7"/>
  <c r="D40" i="7"/>
  <c r="E40" i="7"/>
  <c r="E40" i="51" s="1"/>
  <c r="P40" i="7"/>
  <c r="AC40" i="7"/>
  <c r="D41" i="7"/>
  <c r="AC41" i="7"/>
  <c r="C42" i="7"/>
  <c r="D42" i="7"/>
  <c r="AC42" i="7"/>
  <c r="J42" i="7"/>
  <c r="J44" i="7"/>
  <c r="C45" i="7"/>
  <c r="D45" i="7"/>
  <c r="AC45" i="7" s="1"/>
  <c r="C48" i="7"/>
  <c r="D48" i="7"/>
  <c r="D47" i="7" s="1"/>
  <c r="E48" i="7"/>
  <c r="E48" i="51" s="1"/>
  <c r="F48" i="7"/>
  <c r="L48" i="7"/>
  <c r="AC48" i="7"/>
  <c r="C49" i="7"/>
  <c r="D49" i="7"/>
  <c r="AC49" i="7"/>
  <c r="D50" i="7"/>
  <c r="E50" i="7"/>
  <c r="J50" i="7"/>
  <c r="AC50" i="7"/>
  <c r="C51" i="7"/>
  <c r="D51" i="7"/>
  <c r="AC51" i="7" s="1"/>
  <c r="E51" i="7"/>
  <c r="E51" i="51" s="1"/>
  <c r="N51" i="51" s="1"/>
  <c r="F51" i="7"/>
  <c r="J51" i="7"/>
  <c r="L51" i="7"/>
  <c r="C52" i="7"/>
  <c r="D52" i="7"/>
  <c r="E52" i="7"/>
  <c r="E52" i="51" s="1"/>
  <c r="N52" i="51" s="1"/>
  <c r="F52" i="7"/>
  <c r="G52" i="7"/>
  <c r="M52" i="7" s="1"/>
  <c r="L52" i="7"/>
  <c r="AC52" i="7"/>
  <c r="C54" i="7"/>
  <c r="D54" i="7"/>
  <c r="E54" i="7"/>
  <c r="F54" i="7"/>
  <c r="L54" i="7" s="1"/>
  <c r="AC54" i="7"/>
  <c r="C57" i="7"/>
  <c r="D57" i="7"/>
  <c r="E57" i="7"/>
  <c r="E57" i="51" s="1"/>
  <c r="J57" i="7"/>
  <c r="P57" i="7"/>
  <c r="AC57" i="7"/>
  <c r="C59" i="7"/>
  <c r="D59" i="7"/>
  <c r="E59" i="7"/>
  <c r="F59" i="7"/>
  <c r="AC59" i="7"/>
  <c r="C62" i="7"/>
  <c r="D62" i="7"/>
  <c r="AC62" i="7"/>
  <c r="C65" i="7"/>
  <c r="C64" i="7" s="1"/>
  <c r="D65" i="7"/>
  <c r="D64" i="7" s="1"/>
  <c r="E65" i="7"/>
  <c r="E65" i="51" s="1"/>
  <c r="J65" i="7"/>
  <c r="J64" i="7" s="1"/>
  <c r="AC65" i="7"/>
  <c r="C66" i="7"/>
  <c r="D66" i="7"/>
  <c r="E66" i="7"/>
  <c r="F66" i="7"/>
  <c r="J66" i="7"/>
  <c r="AC66" i="7"/>
  <c r="C67" i="7"/>
  <c r="D67" i="7"/>
  <c r="AC67" i="7" s="1"/>
  <c r="E67" i="7"/>
  <c r="E67" i="51" s="1"/>
  <c r="N67" i="51" s="1"/>
  <c r="J67" i="7"/>
  <c r="P67" i="7"/>
  <c r="C69" i="7"/>
  <c r="D69" i="7"/>
  <c r="D68" i="7" s="1"/>
  <c r="AC68" i="7" s="1"/>
  <c r="E69" i="7"/>
  <c r="J69" i="7"/>
  <c r="J68" i="7" s="1"/>
  <c r="P69" i="7"/>
  <c r="D70" i="7"/>
  <c r="E70" i="7"/>
  <c r="E70" i="51" s="1"/>
  <c r="N70" i="51" s="1"/>
  <c r="F70" i="7"/>
  <c r="J70" i="7"/>
  <c r="L70" i="7"/>
  <c r="AC70" i="7"/>
  <c r="C71" i="7"/>
  <c r="P71" i="7" s="1"/>
  <c r="D71" i="7"/>
  <c r="E71" i="7"/>
  <c r="E71" i="51" s="1"/>
  <c r="N71" i="51" s="1"/>
  <c r="J71" i="7"/>
  <c r="AC71" i="7"/>
  <c r="C72" i="7"/>
  <c r="D72" i="7"/>
  <c r="E72" i="7"/>
  <c r="F72" i="7"/>
  <c r="J72" i="7"/>
  <c r="AC72" i="7"/>
  <c r="E74" i="7"/>
  <c r="E74" i="51" s="1"/>
  <c r="J74" i="7"/>
  <c r="J73" i="7" s="1"/>
  <c r="AC74" i="7"/>
  <c r="C75" i="7"/>
  <c r="D75" i="7"/>
  <c r="D73" i="7" s="1"/>
  <c r="E75" i="7"/>
  <c r="E75" i="51" s="1"/>
  <c r="N75" i="51" s="1"/>
  <c r="F75" i="7"/>
  <c r="L75" i="7" s="1"/>
  <c r="J75" i="7"/>
  <c r="AC75" i="7"/>
  <c r="C77" i="7"/>
  <c r="D77" i="7"/>
  <c r="E77" i="7"/>
  <c r="E77" i="51" s="1"/>
  <c r="F77" i="7"/>
  <c r="P77" i="7"/>
  <c r="U77" i="7"/>
  <c r="AC77" i="7"/>
  <c r="C78" i="7"/>
  <c r="C76" i="7" s="1"/>
  <c r="D78" i="7"/>
  <c r="D76" i="7" s="1"/>
  <c r="AC76" i="7" s="1"/>
  <c r="E78" i="7"/>
  <c r="E78" i="51" s="1"/>
  <c r="N78" i="51" s="1"/>
  <c r="F78" i="7"/>
  <c r="J78" i="7"/>
  <c r="L78" i="7"/>
  <c r="AC78" i="7"/>
  <c r="C79" i="7"/>
  <c r="D79" i="7"/>
  <c r="E79" i="7"/>
  <c r="E79" i="51" s="1"/>
  <c r="F79" i="7"/>
  <c r="M79" i="7" s="1"/>
  <c r="G79" i="7"/>
  <c r="H79" i="7"/>
  <c r="I79" i="7"/>
  <c r="O79" i="7" s="1"/>
  <c r="J79" i="7"/>
  <c r="K79" i="7"/>
  <c r="T79" i="7"/>
  <c r="U79" i="7"/>
  <c r="AC79" i="7"/>
  <c r="D80" i="7"/>
  <c r="H80" i="7"/>
  <c r="N80" i="7" s="1"/>
  <c r="AC80" i="7"/>
  <c r="C81" i="7"/>
  <c r="C81" i="51" s="1"/>
  <c r="E81" i="7"/>
  <c r="E81" i="51" s="1"/>
  <c r="F81" i="7"/>
  <c r="F80" i="7" s="1"/>
  <c r="G81" i="7"/>
  <c r="G80" i="7" s="1"/>
  <c r="H81" i="7"/>
  <c r="I81" i="7"/>
  <c r="I80" i="7" s="1"/>
  <c r="O80" i="7" s="1"/>
  <c r="J81" i="7"/>
  <c r="L81" i="7"/>
  <c r="N81" i="7"/>
  <c r="O81" i="7"/>
  <c r="P81" i="7"/>
  <c r="AC81" i="7"/>
  <c r="C82" i="7"/>
  <c r="C82" i="51" s="1"/>
  <c r="E82" i="7"/>
  <c r="E82" i="51" s="1"/>
  <c r="N82" i="51" s="1"/>
  <c r="F82" i="7"/>
  <c r="L82" i="7" s="1"/>
  <c r="G82" i="7"/>
  <c r="M82" i="7" s="1"/>
  <c r="H82" i="7"/>
  <c r="N82" i="7" s="1"/>
  <c r="I82" i="7"/>
  <c r="J82" i="7"/>
  <c r="J80" i="7" s="1"/>
  <c r="O82" i="7"/>
  <c r="P82" i="7"/>
  <c r="AC82" i="7"/>
  <c r="C83" i="7"/>
  <c r="C83" i="51" s="1"/>
  <c r="M83" i="51" s="1"/>
  <c r="E83" i="7"/>
  <c r="E83" i="51" s="1"/>
  <c r="N83" i="51" s="1"/>
  <c r="F83" i="7"/>
  <c r="G83" i="7"/>
  <c r="H83" i="7"/>
  <c r="I83" i="7"/>
  <c r="O83" i="7" s="1"/>
  <c r="J83" i="7"/>
  <c r="L83" i="7"/>
  <c r="M83" i="7"/>
  <c r="N83" i="7"/>
  <c r="AC83" i="7"/>
  <c r="C84" i="7"/>
  <c r="E84" i="7"/>
  <c r="E84" i="51" s="1"/>
  <c r="N84" i="51" s="1"/>
  <c r="F84" i="7"/>
  <c r="L84" i="7" s="1"/>
  <c r="G84" i="7"/>
  <c r="H84" i="7"/>
  <c r="N84" i="7" s="1"/>
  <c r="I84" i="7"/>
  <c r="J84" i="7"/>
  <c r="M84" i="7"/>
  <c r="O84" i="7"/>
  <c r="AC84" i="7"/>
  <c r="L85" i="7"/>
  <c r="M85" i="7"/>
  <c r="P85" i="7"/>
  <c r="AC85" i="7"/>
  <c r="C86" i="7"/>
  <c r="E86" i="7"/>
  <c r="E86" i="51" s="1"/>
  <c r="F86" i="7"/>
  <c r="G86" i="7"/>
  <c r="M86" i="7" s="1"/>
  <c r="L86" i="7"/>
  <c r="AC86" i="7"/>
  <c r="X87" i="7"/>
  <c r="X88" i="7"/>
  <c r="K89" i="7"/>
  <c r="P89" i="7"/>
  <c r="AC89" i="7"/>
  <c r="K90" i="7"/>
  <c r="P90" i="7"/>
  <c r="AC90" i="7"/>
  <c r="AC91" i="7"/>
  <c r="B92" i="7"/>
  <c r="C92" i="7"/>
  <c r="D92" i="7"/>
  <c r="E92" i="7"/>
  <c r="F92" i="7"/>
  <c r="G92" i="7"/>
  <c r="H92" i="7"/>
  <c r="K92" i="7"/>
  <c r="L92" i="7"/>
  <c r="M92" i="7"/>
  <c r="N92" i="7"/>
  <c r="C93" i="7"/>
  <c r="D93" i="7"/>
  <c r="E93" i="7"/>
  <c r="F93" i="7"/>
  <c r="G93" i="7"/>
  <c r="H93" i="7"/>
  <c r="I93" i="7"/>
  <c r="J93" i="7"/>
  <c r="K93" i="7"/>
  <c r="L93" i="7"/>
  <c r="M93" i="7"/>
  <c r="N93" i="7"/>
  <c r="F94" i="7"/>
  <c r="G94" i="7"/>
  <c r="H94" i="7"/>
  <c r="I94" i="7"/>
  <c r="J94" i="7"/>
  <c r="K94" i="7"/>
  <c r="AC94" i="7"/>
  <c r="D101" i="7"/>
  <c r="AC101" i="7" s="1"/>
  <c r="J101" i="7"/>
  <c r="L101" i="7"/>
  <c r="M101" i="7"/>
  <c r="P101" i="7"/>
  <c r="D102" i="7"/>
  <c r="AC102" i="7" s="1"/>
  <c r="L102" i="7"/>
  <c r="M102" i="7"/>
  <c r="P102" i="7"/>
  <c r="C103" i="7"/>
  <c r="H103" i="7"/>
  <c r="J103" i="7"/>
  <c r="C104" i="7"/>
  <c r="P104" i="7" s="1"/>
  <c r="D104" i="7"/>
  <c r="AC104" i="7" s="1"/>
  <c r="E104" i="7"/>
  <c r="E104" i="51"/>
  <c r="N104" i="51"/>
  <c r="F104" i="7"/>
  <c r="G104" i="7"/>
  <c r="M104" i="7" s="1"/>
  <c r="J104" i="7"/>
  <c r="L104" i="7"/>
  <c r="D105" i="7"/>
  <c r="E105" i="7"/>
  <c r="F105" i="7"/>
  <c r="G105" i="7"/>
  <c r="H105" i="7"/>
  <c r="N105" i="7" s="1"/>
  <c r="I105" i="7"/>
  <c r="O105" i="7" s="1"/>
  <c r="AC105" i="7"/>
  <c r="C106" i="7"/>
  <c r="F106" i="7"/>
  <c r="M106" i="7" s="1"/>
  <c r="G106" i="7"/>
  <c r="H106" i="7"/>
  <c r="N106" i="7" s="1"/>
  <c r="I106" i="7"/>
  <c r="O106" i="7" s="1"/>
  <c r="J106" i="7"/>
  <c r="C108" i="7"/>
  <c r="D108" i="7"/>
  <c r="AC108" i="7" s="1"/>
  <c r="E108" i="7"/>
  <c r="E108" i="51"/>
  <c r="N108" i="51"/>
  <c r="H108" i="7"/>
  <c r="J108" i="7"/>
  <c r="C109" i="7"/>
  <c r="D109" i="7"/>
  <c r="AC109" i="7" s="1"/>
  <c r="C110" i="7"/>
  <c r="D110" i="7"/>
  <c r="E110" i="7"/>
  <c r="F110" i="7"/>
  <c r="L110" i="7" s="1"/>
  <c r="AC110" i="7"/>
  <c r="C111" i="7"/>
  <c r="D111" i="7"/>
  <c r="AC111" i="7" s="1"/>
  <c r="D112" i="7"/>
  <c r="AC112" i="7" s="1"/>
  <c r="C115" i="7"/>
  <c r="E115" i="7"/>
  <c r="E115" i="51" s="1"/>
  <c r="N115" i="51" s="1"/>
  <c r="F115" i="7"/>
  <c r="L115" i="7" s="1"/>
  <c r="C117" i="7"/>
  <c r="D117" i="7"/>
  <c r="E117" i="7"/>
  <c r="E117" i="51" s="1"/>
  <c r="N117" i="51" s="1"/>
  <c r="F117" i="7"/>
  <c r="G117" i="7"/>
  <c r="M117" i="7" s="1"/>
  <c r="H117" i="7"/>
  <c r="L117" i="7"/>
  <c r="P117" i="7"/>
  <c r="AC117" i="7"/>
  <c r="C119" i="7"/>
  <c r="D119" i="7"/>
  <c r="E119" i="7"/>
  <c r="E119" i="51" s="1"/>
  <c r="N119" i="51" s="1"/>
  <c r="F119" i="7"/>
  <c r="G119" i="7"/>
  <c r="J119" i="7"/>
  <c r="L119" i="7"/>
  <c r="M119" i="7"/>
  <c r="P119" i="7"/>
  <c r="AC119" i="7"/>
  <c r="C120" i="7"/>
  <c r="D120" i="7"/>
  <c r="E120" i="7"/>
  <c r="E120" i="51" s="1"/>
  <c r="N120" i="51" s="1"/>
  <c r="F120" i="7"/>
  <c r="L120" i="7" s="1"/>
  <c r="AC120" i="7"/>
  <c r="C121" i="7"/>
  <c r="D121" i="7"/>
  <c r="E121" i="7"/>
  <c r="E121" i="51" s="1"/>
  <c r="N121" i="51" s="1"/>
  <c r="F121" i="7"/>
  <c r="L121" i="7"/>
  <c r="P121" i="7"/>
  <c r="AC121" i="7"/>
  <c r="C122" i="7"/>
  <c r="D122" i="7"/>
  <c r="AC122" i="7" s="1"/>
  <c r="J122" i="7"/>
  <c r="C123" i="7"/>
  <c r="D123" i="7"/>
  <c r="AC123" i="7" s="1"/>
  <c r="E123" i="7"/>
  <c r="E123" i="51" s="1"/>
  <c r="N123" i="51" s="1"/>
  <c r="F123" i="7"/>
  <c r="L123" i="7" s="1"/>
  <c r="G123" i="7"/>
  <c r="P123" i="7"/>
  <c r="C124" i="7"/>
  <c r="D124" i="7"/>
  <c r="AC124" i="7"/>
  <c r="C125" i="7"/>
  <c r="P125" i="7" s="1"/>
  <c r="D125" i="7"/>
  <c r="E125" i="7"/>
  <c r="E125" i="51" s="1"/>
  <c r="N125" i="51" s="1"/>
  <c r="AC125" i="7"/>
  <c r="D128" i="7"/>
  <c r="D127" i="7" s="1"/>
  <c r="E128" i="7"/>
  <c r="E128" i="51" s="1"/>
  <c r="F128" i="7"/>
  <c r="L128" i="7"/>
  <c r="J128" i="7"/>
  <c r="AC128" i="7"/>
  <c r="C129" i="7"/>
  <c r="D129" i="7"/>
  <c r="AC129" i="7" s="1"/>
  <c r="E129" i="7"/>
  <c r="E129" i="51"/>
  <c r="N129" i="51" s="1"/>
  <c r="D131" i="7"/>
  <c r="AC131" i="7" s="1"/>
  <c r="C132" i="7"/>
  <c r="E132" i="7"/>
  <c r="AC132" i="7"/>
  <c r="G133" i="7"/>
  <c r="H133" i="7"/>
  <c r="N133" i="7" s="1"/>
  <c r="AC133" i="7"/>
  <c r="C134" i="7"/>
  <c r="AC134" i="7"/>
  <c r="C136" i="7"/>
  <c r="J137" i="7"/>
  <c r="AC137" i="7"/>
  <c r="C138" i="7"/>
  <c r="I138" i="7"/>
  <c r="J138" i="7"/>
  <c r="AC138" i="7"/>
  <c r="G139" i="7"/>
  <c r="AC139" i="7"/>
  <c r="C141" i="7"/>
  <c r="D141" i="7"/>
  <c r="E141" i="7"/>
  <c r="E141" i="51" s="1"/>
  <c r="F141" i="7"/>
  <c r="L141" i="7" s="1"/>
  <c r="I141" i="7"/>
  <c r="C142" i="7"/>
  <c r="D142" i="7"/>
  <c r="AC142" i="7"/>
  <c r="C144" i="7"/>
  <c r="D144" i="7"/>
  <c r="AC144" i="7" s="1"/>
  <c r="E144" i="7"/>
  <c r="P144" i="7" s="1"/>
  <c r="F144" i="7"/>
  <c r="L144" i="7" s="1"/>
  <c r="G144" i="7"/>
  <c r="AC145" i="7"/>
  <c r="C146" i="7"/>
  <c r="C146" i="51" s="1"/>
  <c r="E146" i="7"/>
  <c r="E146" i="51" s="1"/>
  <c r="F146" i="7"/>
  <c r="F145" i="7" s="1"/>
  <c r="G146" i="7"/>
  <c r="G145" i="7" s="1"/>
  <c r="M145" i="7" s="1"/>
  <c r="H146" i="7"/>
  <c r="H145" i="7" s="1"/>
  <c r="N145" i="7" s="1"/>
  <c r="I146" i="7"/>
  <c r="O146" i="7" s="1"/>
  <c r="J146" i="7"/>
  <c r="J145" i="7" s="1"/>
  <c r="L146" i="7"/>
  <c r="M146" i="7"/>
  <c r="N146" i="7"/>
  <c r="AC146" i="7"/>
  <c r="C147" i="7"/>
  <c r="C147" i="51" s="1"/>
  <c r="M147" i="51" s="1"/>
  <c r="E147" i="7"/>
  <c r="E147" i="51" s="1"/>
  <c r="N147" i="51" s="1"/>
  <c r="F147" i="7"/>
  <c r="L147" i="7" s="1"/>
  <c r="G147" i="7"/>
  <c r="M147" i="7" s="1"/>
  <c r="H147" i="7"/>
  <c r="O147" i="7" s="1"/>
  <c r="I147" i="7"/>
  <c r="J147" i="7"/>
  <c r="P147" i="7"/>
  <c r="AC147" i="7"/>
  <c r="C148" i="7"/>
  <c r="C148" i="51" s="1"/>
  <c r="E148" i="7"/>
  <c r="E148" i="51" s="1"/>
  <c r="N148" i="51" s="1"/>
  <c r="F148" i="7"/>
  <c r="G148" i="7"/>
  <c r="M148" i="7" s="1"/>
  <c r="H148" i="7"/>
  <c r="N148" i="7" s="1"/>
  <c r="I148" i="7"/>
  <c r="O148" i="7" s="1"/>
  <c r="J148" i="7"/>
  <c r="L148" i="7"/>
  <c r="P148" i="7"/>
  <c r="AC148" i="7"/>
  <c r="C149" i="7"/>
  <c r="C149" i="51" s="1"/>
  <c r="E149" i="7"/>
  <c r="E149" i="51" s="1"/>
  <c r="N149" i="51" s="1"/>
  <c r="F149" i="7"/>
  <c r="G149" i="7"/>
  <c r="H149" i="7"/>
  <c r="I149" i="7"/>
  <c r="J149" i="7"/>
  <c r="L149" i="7"/>
  <c r="M149" i="7"/>
  <c r="N149" i="7"/>
  <c r="O149" i="7"/>
  <c r="AC149" i="7"/>
  <c r="L150" i="7"/>
  <c r="M150" i="7"/>
  <c r="N150" i="7"/>
  <c r="O150" i="7"/>
  <c r="P150" i="7"/>
  <c r="AC150" i="7"/>
  <c r="L151" i="7"/>
  <c r="M151" i="7"/>
  <c r="N151" i="7"/>
  <c r="O151" i="7"/>
  <c r="P151" i="7"/>
  <c r="AC151" i="7"/>
  <c r="X152" i="7"/>
  <c r="X153" i="7" s="1"/>
  <c r="B155" i="7"/>
  <c r="C155" i="7"/>
  <c r="D155" i="7"/>
  <c r="E155" i="7"/>
  <c r="F155" i="7"/>
  <c r="G155" i="7"/>
  <c r="H155" i="7"/>
  <c r="I155" i="7"/>
  <c r="J155" i="7"/>
  <c r="K155" i="7"/>
  <c r="L155" i="7"/>
  <c r="M155" i="7"/>
  <c r="N155" i="7"/>
  <c r="K159" i="7"/>
  <c r="M159" i="7"/>
  <c r="N159" i="7"/>
  <c r="O159" i="7"/>
  <c r="P159" i="7"/>
  <c r="AC159" i="7"/>
  <c r="Q162" i="7"/>
  <c r="R162" i="7"/>
  <c r="D8" i="6"/>
  <c r="H8" i="6"/>
  <c r="D9" i="6"/>
  <c r="D116" i="6"/>
  <c r="D143" i="6" s="1"/>
  <c r="D122" i="6"/>
  <c r="J6" i="5" s="1"/>
  <c r="H122" i="6"/>
  <c r="D124" i="6"/>
  <c r="J10" i="5" s="1"/>
  <c r="H124" i="6"/>
  <c r="AJ219" i="13" s="1"/>
  <c r="AJ220" i="13" s="1"/>
  <c r="H7" i="67"/>
  <c r="H8" i="67"/>
  <c r="H9" i="67"/>
  <c r="J9" i="67" s="1"/>
  <c r="H10" i="67"/>
  <c r="N10" i="67"/>
  <c r="P10" i="67"/>
  <c r="H11" i="67"/>
  <c r="H12" i="67"/>
  <c r="H14" i="67"/>
  <c r="H15" i="67"/>
  <c r="H16" i="67"/>
  <c r="H17" i="67"/>
  <c r="H18" i="67"/>
  <c r="H19" i="67"/>
  <c r="H20" i="67"/>
  <c r="D21" i="67"/>
  <c r="D40" i="67"/>
  <c r="H40" i="67"/>
  <c r="D42" i="67"/>
  <c r="H42" i="67"/>
  <c r="J47" i="67"/>
  <c r="A44" i="67"/>
  <c r="B44" i="67"/>
  <c r="D44" i="67"/>
  <c r="D47" i="67"/>
  <c r="H47" i="67"/>
  <c r="I47" i="67"/>
  <c r="D48" i="67"/>
  <c r="D58" i="67"/>
  <c r="D59" i="67"/>
  <c r="D60" i="67"/>
  <c r="D62" i="67"/>
  <c r="D65" i="67"/>
  <c r="D67" i="67"/>
  <c r="D68" i="67"/>
  <c r="D160" i="67" s="1"/>
  <c r="J71" i="67"/>
  <c r="D80" i="67"/>
  <c r="H80" i="67"/>
  <c r="D81" i="67"/>
  <c r="D85" i="67"/>
  <c r="D86" i="67"/>
  <c r="D88" i="67"/>
  <c r="D95" i="67"/>
  <c r="H95" i="67"/>
  <c r="D97" i="67"/>
  <c r="D98" i="67"/>
  <c r="D105" i="67"/>
  <c r="H105" i="67"/>
  <c r="D106" i="67"/>
  <c r="D108" i="67"/>
  <c r="H108" i="67"/>
  <c r="D111" i="67"/>
  <c r="H111" i="67"/>
  <c r="D112" i="67"/>
  <c r="D113" i="67"/>
  <c r="H113" i="67"/>
  <c r="D114" i="67"/>
  <c r="D115" i="67"/>
  <c r="D116" i="67"/>
  <c r="D117" i="67"/>
  <c r="H117" i="67"/>
  <c r="D118" i="67"/>
  <c r="H118" i="67"/>
  <c r="D119" i="67"/>
  <c r="D120" i="67"/>
  <c r="H120" i="67"/>
  <c r="D121" i="67"/>
  <c r="D122" i="67"/>
  <c r="H122" i="67"/>
  <c r="D123" i="67"/>
  <c r="D124" i="67"/>
  <c r="H124" i="67"/>
  <c r="H125" i="67"/>
  <c r="H126" i="67"/>
  <c r="H127" i="67"/>
  <c r="D128" i="67"/>
  <c r="H128" i="67"/>
  <c r="H129" i="67"/>
  <c r="D130" i="67"/>
  <c r="H130" i="67"/>
  <c r="D20" i="5"/>
  <c r="H20" i="5"/>
  <c r="H21" i="5" s="1"/>
  <c r="E3" i="2"/>
  <c r="E4" i="2"/>
  <c r="D5" i="2"/>
  <c r="E5" i="2"/>
  <c r="F5" i="2" s="1"/>
  <c r="D6" i="2"/>
  <c r="E6" i="2"/>
  <c r="C7" i="2"/>
  <c r="D7" i="2" s="1"/>
  <c r="E8" i="2"/>
  <c r="D9" i="2"/>
  <c r="E9" i="2"/>
  <c r="F9" i="2" s="1"/>
  <c r="D10" i="2"/>
  <c r="E10" i="2" s="1"/>
  <c r="F10" i="2" s="1"/>
  <c r="E14" i="2"/>
  <c r="E15" i="2"/>
  <c r="D16" i="2"/>
  <c r="E16" i="2" s="1"/>
  <c r="F16" i="2" s="1"/>
  <c r="D17" i="2"/>
  <c r="E17" i="2" s="1"/>
  <c r="F17" i="2" s="1"/>
  <c r="D18" i="2"/>
  <c r="E18" i="2" s="1"/>
  <c r="F18" i="2" s="1"/>
  <c r="D19" i="2"/>
  <c r="E19" i="2" s="1"/>
  <c r="F19" i="2" s="1"/>
  <c r="E20" i="2"/>
  <c r="C21" i="2"/>
  <c r="D21" i="2"/>
  <c r="F22" i="2"/>
  <c r="D23" i="2"/>
  <c r="E23" i="2" s="1"/>
  <c r="F23" i="2" s="1"/>
  <c r="D27" i="2"/>
  <c r="E27" i="2"/>
  <c r="D28" i="2"/>
  <c r="E28" i="2" s="1"/>
  <c r="E48" i="2" s="1"/>
  <c r="E29" i="2"/>
  <c r="D30" i="2"/>
  <c r="E30" i="2" s="1"/>
  <c r="D31" i="2"/>
  <c r="E31" i="2" s="1"/>
  <c r="F47" i="2"/>
  <c r="C48" i="2"/>
  <c r="C75" i="2"/>
  <c r="C77" i="2" s="1"/>
  <c r="X277" i="13" s="1"/>
  <c r="Y277" i="13" s="1"/>
  <c r="C76" i="2"/>
  <c r="X278" i="13" s="1"/>
  <c r="Y278" i="13" s="1"/>
  <c r="V55" i="40"/>
  <c r="O55" i="40"/>
  <c r="U55" i="40" s="1"/>
  <c r="Q55" i="40"/>
  <c r="T55" i="40"/>
  <c r="AB93" i="12"/>
  <c r="M56" i="40"/>
  <c r="S55" i="40"/>
  <c r="M59" i="40"/>
  <c r="R58" i="40"/>
  <c r="R57" i="40"/>
  <c r="S56" i="40"/>
  <c r="N56" i="40"/>
  <c r="S59" i="40"/>
  <c r="N59" i="40"/>
  <c r="Q59" i="40" s="1"/>
  <c r="T59" i="40"/>
  <c r="O59" i="40"/>
  <c r="U59" i="40" s="1"/>
  <c r="Q56" i="40"/>
  <c r="T56" i="40"/>
  <c r="V56" i="40"/>
  <c r="O56" i="40"/>
  <c r="U56" i="40" s="1"/>
  <c r="O93" i="12"/>
  <c r="P61" i="40"/>
  <c r="Z61" i="40" s="1"/>
  <c r="V59" i="40"/>
  <c r="N58" i="40"/>
  <c r="S58" i="40"/>
  <c r="N57" i="40"/>
  <c r="O57" i="40" s="1"/>
  <c r="U57" i="40" s="1"/>
  <c r="S57" i="40"/>
  <c r="J63" i="40"/>
  <c r="D93" i="11" s="1"/>
  <c r="J78" i="40"/>
  <c r="P27" i="40"/>
  <c r="P52" i="40"/>
  <c r="P62" i="40"/>
  <c r="Z62" i="40" s="1"/>
  <c r="T58" i="40"/>
  <c r="V58" i="40"/>
  <c r="O58" i="40"/>
  <c r="U58" i="40" s="1"/>
  <c r="Q58" i="40"/>
  <c r="Z52" i="40"/>
  <c r="N12" i="20"/>
  <c r="N7" i="20"/>
  <c r="I117" i="20"/>
  <c r="R12" i="20"/>
  <c r="P132" i="42"/>
  <c r="P60" i="41"/>
  <c r="P109" i="42"/>
  <c r="P54" i="41"/>
  <c r="P98" i="42"/>
  <c r="P39" i="41"/>
  <c r="P37" i="42"/>
  <c r="P31" i="41"/>
  <c r="P23" i="41"/>
  <c r="P24" i="42"/>
  <c r="P13" i="41"/>
  <c r="R70" i="41"/>
  <c r="K71" i="41"/>
  <c r="R14" i="41"/>
  <c r="L20" i="41"/>
  <c r="I93" i="46"/>
  <c r="E90" i="46"/>
  <c r="E3" i="47"/>
  <c r="Q93" i="46"/>
  <c r="Q5" i="47"/>
  <c r="H3" i="47"/>
  <c r="H90" i="46"/>
  <c r="C90" i="46"/>
  <c r="C3" i="47"/>
  <c r="K42" i="41"/>
  <c r="R41" i="41"/>
  <c r="P20" i="41"/>
  <c r="A5" i="47"/>
  <c r="A93" i="46"/>
  <c r="O93" i="46"/>
  <c r="P61" i="41"/>
  <c r="J31" i="41"/>
  <c r="J35" i="41" s="1"/>
  <c r="P5" i="47"/>
  <c r="R44" i="41"/>
  <c r="S44" i="41"/>
  <c r="P34" i="41"/>
  <c r="N5" i="47"/>
  <c r="S37" i="41"/>
  <c r="M93" i="46"/>
  <c r="M5" i="47"/>
  <c r="S75" i="41"/>
  <c r="K35" i="41"/>
  <c r="S14" i="41"/>
  <c r="R57" i="41"/>
  <c r="R8" i="41"/>
  <c r="P42" i="41"/>
  <c r="T7" i="20"/>
  <c r="O12" i="20"/>
  <c r="U12" i="20"/>
  <c r="L24" i="41"/>
  <c r="P24" i="41"/>
  <c r="R42" i="41"/>
  <c r="P35" i="41"/>
  <c r="J117" i="20"/>
  <c r="E42" i="18"/>
  <c r="M11" i="20"/>
  <c r="R11" i="20"/>
  <c r="V7" i="20"/>
  <c r="O7" i="20"/>
  <c r="Q7" i="20"/>
  <c r="Q12" i="20"/>
  <c r="T12" i="20"/>
  <c r="V12" i="20"/>
  <c r="M10" i="20"/>
  <c r="R10" i="20"/>
  <c r="S7" i="20"/>
  <c r="R9" i="20"/>
  <c r="L13" i="20"/>
  <c r="M9" i="20"/>
  <c r="D42" i="17"/>
  <c r="R7" i="20"/>
  <c r="N10" i="20"/>
  <c r="S10" i="20"/>
  <c r="S11" i="20"/>
  <c r="N11" i="20"/>
  <c r="O11" i="20" s="1"/>
  <c r="U11" i="20" s="1"/>
  <c r="E42" i="17"/>
  <c r="AU42" i="17" s="1"/>
  <c r="N9" i="20"/>
  <c r="S9" i="20"/>
  <c r="L46" i="20"/>
  <c r="U7" i="20"/>
  <c r="Q11" i="20"/>
  <c r="T11" i="20"/>
  <c r="V9" i="20"/>
  <c r="Q9" i="20"/>
  <c r="T9" i="20"/>
  <c r="O9" i="20"/>
  <c r="U9" i="20" s="1"/>
  <c r="V10" i="20"/>
  <c r="O10" i="20"/>
  <c r="U10" i="20"/>
  <c r="T10" i="20"/>
  <c r="Q10" i="20"/>
  <c r="P24" i="44"/>
  <c r="AF80" i="10"/>
  <c r="AF79" i="12"/>
  <c r="AL79" i="12" s="1"/>
  <c r="U320" i="13"/>
  <c r="N79" i="7"/>
  <c r="T320" i="13"/>
  <c r="I130" i="10"/>
  <c r="U22" i="9"/>
  <c r="C131" i="7"/>
  <c r="J141" i="7"/>
  <c r="C135" i="10"/>
  <c r="Q143" i="11"/>
  <c r="C141" i="11"/>
  <c r="E137" i="11"/>
  <c r="E139" i="7" s="1"/>
  <c r="F136" i="11"/>
  <c r="E135" i="11"/>
  <c r="AG142" i="12"/>
  <c r="AM142" i="12" s="1"/>
  <c r="E140" i="12"/>
  <c r="I130" i="12"/>
  <c r="AM130" i="12" s="1"/>
  <c r="R26" i="48"/>
  <c r="I142" i="10"/>
  <c r="C131" i="10"/>
  <c r="E133" i="7"/>
  <c r="E133" i="51"/>
  <c r="N133" i="51" s="1"/>
  <c r="U21" i="9"/>
  <c r="H142" i="10"/>
  <c r="AL142" i="10"/>
  <c r="J141" i="10"/>
  <c r="AB141" i="10"/>
  <c r="J143" i="7"/>
  <c r="Q29" i="8"/>
  <c r="N21" i="9"/>
  <c r="N31" i="9"/>
  <c r="I141" i="10"/>
  <c r="J140" i="10"/>
  <c r="D136" i="10"/>
  <c r="AH136" i="10" s="1"/>
  <c r="C129" i="10"/>
  <c r="C142" i="11"/>
  <c r="Q142" i="11" s="1"/>
  <c r="C141" i="12"/>
  <c r="E143" i="7"/>
  <c r="E143" i="51" s="1"/>
  <c r="I132" i="10"/>
  <c r="AB140" i="12"/>
  <c r="AH140" i="12" s="1"/>
  <c r="M144" i="7"/>
  <c r="H136" i="11"/>
  <c r="N135" i="11"/>
  <c r="K140" i="12"/>
  <c r="U29" i="48"/>
  <c r="J134" i="11"/>
  <c r="J136" i="7" s="1"/>
  <c r="I134" i="12"/>
  <c r="J129" i="11"/>
  <c r="G141" i="7"/>
  <c r="M141" i="7"/>
  <c r="P133" i="7"/>
  <c r="U29" i="8"/>
  <c r="U142" i="7" s="1"/>
  <c r="F139" i="10"/>
  <c r="AJ139" i="10"/>
  <c r="F135" i="11"/>
  <c r="E135" i="10" s="1"/>
  <c r="D143" i="7"/>
  <c r="AC143" i="7" s="1"/>
  <c r="J133" i="7"/>
  <c r="J132" i="7"/>
  <c r="E140" i="10"/>
  <c r="I131" i="10"/>
  <c r="D136" i="7"/>
  <c r="I133" i="7"/>
  <c r="O133" i="7"/>
  <c r="D140" i="10"/>
  <c r="AH140" i="10" s="1"/>
  <c r="N136" i="11"/>
  <c r="F131" i="11"/>
  <c r="F133" i="7" s="1"/>
  <c r="E131" i="12"/>
  <c r="AI131" i="12"/>
  <c r="E142" i="7"/>
  <c r="G142" i="10"/>
  <c r="AK142" i="10"/>
  <c r="G135" i="10"/>
  <c r="AK135" i="10"/>
  <c r="I140" i="12"/>
  <c r="O140" i="12"/>
  <c r="E135" i="12"/>
  <c r="AI135" i="12" s="1"/>
  <c r="P151" i="12"/>
  <c r="O144" i="7"/>
  <c r="H137" i="7"/>
  <c r="N137" i="7"/>
  <c r="F135" i="10"/>
  <c r="AJ135" i="10"/>
  <c r="M136" i="11"/>
  <c r="G138" i="7"/>
  <c r="J140" i="11"/>
  <c r="T29" i="48"/>
  <c r="S26" i="48"/>
  <c r="S12" i="48"/>
  <c r="AH142" i="12"/>
  <c r="C135" i="7"/>
  <c r="S30" i="48"/>
  <c r="S29" i="48"/>
  <c r="M143" i="11"/>
  <c r="C133" i="12"/>
  <c r="I33" i="48"/>
  <c r="N25" i="8"/>
  <c r="N30" i="8"/>
  <c r="L15" i="48"/>
  <c r="F132" i="11" s="1"/>
  <c r="AB140" i="10"/>
  <c r="L32" i="48"/>
  <c r="R32" i="48" s="1"/>
  <c r="L140" i="11"/>
  <c r="P16" i="48"/>
  <c r="P141" i="7"/>
  <c r="C129" i="12"/>
  <c r="O136" i="11"/>
  <c r="T12" i="48"/>
  <c r="R31" i="48"/>
  <c r="M14" i="48"/>
  <c r="S14" i="48" s="1"/>
  <c r="AH141" i="10"/>
  <c r="N143" i="11"/>
  <c r="D133" i="11"/>
  <c r="Z133" i="11" s="1"/>
  <c r="R15" i="48"/>
  <c r="E132" i="12"/>
  <c r="E138" i="51"/>
  <c r="N138" i="51"/>
  <c r="P138" i="7"/>
  <c r="L142" i="7"/>
  <c r="E132" i="51"/>
  <c r="P132" i="7"/>
  <c r="E142" i="51"/>
  <c r="P142" i="7"/>
  <c r="D140" i="7"/>
  <c r="AC140" i="7"/>
  <c r="AC141" i="7"/>
  <c r="D134" i="10"/>
  <c r="Q134" i="11"/>
  <c r="E133" i="11"/>
  <c r="E136" i="7"/>
  <c r="AC37" i="48"/>
  <c r="J44" i="48"/>
  <c r="D141" i="11"/>
  <c r="J38" i="48"/>
  <c r="AC38" i="48"/>
  <c r="O139" i="11"/>
  <c r="N139" i="11"/>
  <c r="H141" i="7"/>
  <c r="G139" i="10"/>
  <c r="N144" i="7"/>
  <c r="H135" i="12"/>
  <c r="AL135" i="12"/>
  <c r="I135" i="11"/>
  <c r="U26" i="48"/>
  <c r="C133" i="11"/>
  <c r="S31" i="48"/>
  <c r="N31" i="48"/>
  <c r="N32" i="48" s="1"/>
  <c r="F134" i="11"/>
  <c r="R23" i="48"/>
  <c r="E134" i="12"/>
  <c r="AL139" i="10"/>
  <c r="C133" i="10"/>
  <c r="L139" i="11"/>
  <c r="Q139" i="11"/>
  <c r="K142" i="12"/>
  <c r="M39" i="48"/>
  <c r="N39" i="48" s="1"/>
  <c r="V39" i="48" s="1"/>
  <c r="F142" i="11"/>
  <c r="E142" i="12"/>
  <c r="R39" i="48"/>
  <c r="E132" i="11"/>
  <c r="K16" i="48"/>
  <c r="U12" i="48"/>
  <c r="H131" i="12"/>
  <c r="AL131" i="12"/>
  <c r="E131" i="10"/>
  <c r="AI131" i="10" s="1"/>
  <c r="C138" i="12"/>
  <c r="AC134" i="12"/>
  <c r="Q133" i="12"/>
  <c r="Q151" i="12"/>
  <c r="Q134" i="10"/>
  <c r="I44" i="48"/>
  <c r="F137" i="12"/>
  <c r="T30" i="48"/>
  <c r="O30" i="48"/>
  <c r="J49" i="48"/>
  <c r="X140" i="11"/>
  <c r="C138" i="11"/>
  <c r="Z130" i="11"/>
  <c r="D129" i="11"/>
  <c r="D136" i="12"/>
  <c r="AH136" i="12" s="1"/>
  <c r="K33" i="48"/>
  <c r="R29" i="48"/>
  <c r="I41" i="48"/>
  <c r="I43" i="48" s="1"/>
  <c r="I47" i="48" s="1"/>
  <c r="N14" i="48"/>
  <c r="V14" i="48" s="1"/>
  <c r="E140" i="7"/>
  <c r="P133" i="10"/>
  <c r="O143" i="11"/>
  <c r="C129" i="11"/>
  <c r="D129" i="12"/>
  <c r="L136" i="11"/>
  <c r="Q136" i="11"/>
  <c r="I134" i="10"/>
  <c r="O131" i="11"/>
  <c r="N13" i="48"/>
  <c r="V13" i="48" s="1"/>
  <c r="S13" i="48"/>
  <c r="M35" i="48"/>
  <c r="N35" i="48" s="1"/>
  <c r="V35" i="48" s="1"/>
  <c r="R30" i="48"/>
  <c r="M7" i="48"/>
  <c r="N131" i="11"/>
  <c r="T26" i="48"/>
  <c r="M20" i="48"/>
  <c r="N20" i="48" s="1"/>
  <c r="V20" i="48" s="1"/>
  <c r="E10" i="52"/>
  <c r="R13" i="48"/>
  <c r="L9" i="48"/>
  <c r="P128" i="7"/>
  <c r="C127" i="7"/>
  <c r="C37" i="56"/>
  <c r="R73" i="45"/>
  <c r="M73" i="45"/>
  <c r="Z103" i="11"/>
  <c r="D106" i="7"/>
  <c r="AC106" i="7" s="1"/>
  <c r="E125" i="11"/>
  <c r="Q125" i="11"/>
  <c r="K126" i="10"/>
  <c r="N7" i="45"/>
  <c r="S7" i="45"/>
  <c r="M105" i="7"/>
  <c r="C127" i="10"/>
  <c r="L109" i="11"/>
  <c r="E109" i="10"/>
  <c r="AI109" i="10"/>
  <c r="F111" i="7"/>
  <c r="J125" i="12"/>
  <c r="J126" i="10"/>
  <c r="AB126" i="12"/>
  <c r="M29" i="45"/>
  <c r="R29" i="45"/>
  <c r="K104" i="12"/>
  <c r="AC104" i="12" s="1"/>
  <c r="AI104" i="12" s="1"/>
  <c r="N101" i="11"/>
  <c r="H104" i="7"/>
  <c r="N104" i="7" s="1"/>
  <c r="G102" i="10"/>
  <c r="AK102" i="10"/>
  <c r="E110" i="51"/>
  <c r="N110" i="51"/>
  <c r="P110" i="7"/>
  <c r="L105" i="7"/>
  <c r="C126" i="10"/>
  <c r="C125" i="10" s="1"/>
  <c r="Q109" i="11"/>
  <c r="D109" i="10"/>
  <c r="AH109" i="10" s="1"/>
  <c r="E111" i="7"/>
  <c r="Q102" i="11"/>
  <c r="C105" i="7"/>
  <c r="P105" i="7"/>
  <c r="AH127" i="12"/>
  <c r="M84" i="45"/>
  <c r="R84" i="45"/>
  <c r="D125" i="10"/>
  <c r="E105" i="51"/>
  <c r="N105" i="51" s="1"/>
  <c r="G108" i="7"/>
  <c r="M106" i="11"/>
  <c r="N106" i="11"/>
  <c r="J105" i="7"/>
  <c r="I103" i="10"/>
  <c r="AM103" i="10" s="1"/>
  <c r="AI126" i="12"/>
  <c r="P129" i="7"/>
  <c r="E127" i="7"/>
  <c r="F108" i="7"/>
  <c r="L108" i="7" s="1"/>
  <c r="L106" i="11"/>
  <c r="L103" i="11"/>
  <c r="D125" i="11"/>
  <c r="Z125" i="11" s="1"/>
  <c r="Q103" i="11"/>
  <c r="D104" i="10"/>
  <c r="AH104" i="10" s="1"/>
  <c r="E106" i="7"/>
  <c r="V58" i="45"/>
  <c r="Q58" i="45"/>
  <c r="T58" i="45"/>
  <c r="O58" i="45"/>
  <c r="M44" i="45"/>
  <c r="R44" i="45"/>
  <c r="L46" i="45"/>
  <c r="Q101" i="11"/>
  <c r="I125" i="12"/>
  <c r="L94" i="45"/>
  <c r="L99" i="45" s="1"/>
  <c r="K99" i="45"/>
  <c r="K101" i="45" s="1"/>
  <c r="M90" i="45"/>
  <c r="N90" i="45" s="1"/>
  <c r="R90" i="45"/>
  <c r="M88" i="45"/>
  <c r="M64" i="45"/>
  <c r="R64" i="45"/>
  <c r="V53" i="45"/>
  <c r="Q53" i="45"/>
  <c r="T53" i="45"/>
  <c r="O53" i="45"/>
  <c r="M31" i="45"/>
  <c r="R31" i="45"/>
  <c r="I35" i="45"/>
  <c r="I38" i="45" s="1"/>
  <c r="I103" i="45"/>
  <c r="I109" i="45"/>
  <c r="AM126" i="12"/>
  <c r="L68" i="45"/>
  <c r="J110" i="12"/>
  <c r="K85" i="45"/>
  <c r="R61" i="45"/>
  <c r="M61" i="45"/>
  <c r="N61" i="45" s="1"/>
  <c r="R41" i="45"/>
  <c r="M41" i="45"/>
  <c r="U21" i="45"/>
  <c r="H103" i="12"/>
  <c r="AL103" i="12"/>
  <c r="P108" i="7"/>
  <c r="N77" i="45"/>
  <c r="S77" i="45"/>
  <c r="S63" i="45"/>
  <c r="N63" i="45"/>
  <c r="M36" i="45"/>
  <c r="R36" i="45"/>
  <c r="U110" i="12"/>
  <c r="U110" i="10" s="1"/>
  <c r="AG110" i="10" s="1"/>
  <c r="S58" i="45"/>
  <c r="N102" i="11"/>
  <c r="M96" i="45"/>
  <c r="N96" i="45" s="1"/>
  <c r="S91" i="45"/>
  <c r="M86" i="45"/>
  <c r="R86" i="45"/>
  <c r="R82" i="45"/>
  <c r="M82" i="45"/>
  <c r="U52" i="45"/>
  <c r="D125" i="12"/>
  <c r="V91" i="45"/>
  <c r="T91" i="45"/>
  <c r="O91" i="45"/>
  <c r="Q91" i="45"/>
  <c r="L40" i="45"/>
  <c r="L103" i="45" s="1"/>
  <c r="K43" i="45"/>
  <c r="P103" i="45"/>
  <c r="O104" i="12"/>
  <c r="AG104" i="12"/>
  <c r="M34" i="45"/>
  <c r="R34" i="45"/>
  <c r="P99" i="45"/>
  <c r="I99" i="45"/>
  <c r="I101" i="45" s="1"/>
  <c r="M98" i="45"/>
  <c r="M93" i="45"/>
  <c r="N93" i="45" s="1"/>
  <c r="O93" i="45" s="1"/>
  <c r="R91" i="45"/>
  <c r="M89" i="45"/>
  <c r="N89" i="45" s="1"/>
  <c r="R80" i="45"/>
  <c r="M74" i="45"/>
  <c r="R74" i="45"/>
  <c r="M70" i="45"/>
  <c r="L85" i="45"/>
  <c r="M69" i="45"/>
  <c r="L54" i="45"/>
  <c r="V47" i="45"/>
  <c r="O47" i="45"/>
  <c r="U47" i="45"/>
  <c r="P49" i="45"/>
  <c r="V42" i="45"/>
  <c r="O42" i="45"/>
  <c r="U42" i="45" s="1"/>
  <c r="V21" i="45"/>
  <c r="T21" i="45"/>
  <c r="M12" i="45"/>
  <c r="L8" i="45"/>
  <c r="L65" i="45"/>
  <c r="K57" i="45"/>
  <c r="K87" i="45" s="1"/>
  <c r="R32" i="45"/>
  <c r="M32" i="45"/>
  <c r="K8" i="45"/>
  <c r="I85" i="45"/>
  <c r="S83" i="45"/>
  <c r="P85" i="45"/>
  <c r="R62" i="45"/>
  <c r="M59" i="45"/>
  <c r="M65" i="45" s="1"/>
  <c r="R59" i="45"/>
  <c r="R30" i="45"/>
  <c r="R10" i="45"/>
  <c r="N9" i="45"/>
  <c r="K103" i="45"/>
  <c r="R83" i="45"/>
  <c r="R77" i="45"/>
  <c r="R63" i="45"/>
  <c r="K65" i="45"/>
  <c r="P110" i="12" s="1"/>
  <c r="S52" i="45"/>
  <c r="V48" i="45"/>
  <c r="O48" i="45"/>
  <c r="U48" i="45" s="1"/>
  <c r="S45" i="45"/>
  <c r="T20" i="45"/>
  <c r="S14" i="45"/>
  <c r="J109" i="45"/>
  <c r="R60" i="45"/>
  <c r="M60" i="45"/>
  <c r="I65" i="45"/>
  <c r="R52" i="45"/>
  <c r="R45" i="45"/>
  <c r="V39" i="45"/>
  <c r="O39" i="45"/>
  <c r="R14" i="45"/>
  <c r="V83" i="45"/>
  <c r="T83" i="45"/>
  <c r="O83" i="45"/>
  <c r="U83" i="45" s="1"/>
  <c r="S62" i="45"/>
  <c r="N62" i="45"/>
  <c r="R58" i="45"/>
  <c r="M56" i="45"/>
  <c r="K46" i="45"/>
  <c r="K49" i="45" s="1"/>
  <c r="N30" i="45"/>
  <c r="V14" i="45"/>
  <c r="O14" i="45"/>
  <c r="M11" i="45"/>
  <c r="N11" i="45" s="1"/>
  <c r="S10" i="45"/>
  <c r="S53" i="45"/>
  <c r="V52" i="45"/>
  <c r="T52" i="45"/>
  <c r="V45" i="45"/>
  <c r="T45" i="45"/>
  <c r="K35" i="45"/>
  <c r="K38" i="45" s="1"/>
  <c r="M25" i="45"/>
  <c r="R25" i="45"/>
  <c r="L35" i="45"/>
  <c r="M81" i="45"/>
  <c r="M72" i="45"/>
  <c r="P45" i="44"/>
  <c r="AA26" i="43"/>
  <c r="P85" i="43"/>
  <c r="U95" i="12" s="1"/>
  <c r="AA55" i="43"/>
  <c r="P48" i="43"/>
  <c r="L93" i="46"/>
  <c r="L5" i="47"/>
  <c r="J3" i="47"/>
  <c r="J90" i="46"/>
  <c r="D3" i="47"/>
  <c r="D90" i="46"/>
  <c r="F3" i="47"/>
  <c r="F90" i="46"/>
  <c r="O39" i="43"/>
  <c r="Q39" i="43"/>
  <c r="T39" i="43"/>
  <c r="N31" i="43"/>
  <c r="Z31" i="43" s="1"/>
  <c r="S31" i="43"/>
  <c r="N14" i="43"/>
  <c r="Z14" i="43" s="1"/>
  <c r="S14" i="43"/>
  <c r="M8" i="43"/>
  <c r="R8" i="43"/>
  <c r="K5" i="47"/>
  <c r="K93" i="46"/>
  <c r="B93" i="46"/>
  <c r="O42" i="43"/>
  <c r="U42" i="43" s="1"/>
  <c r="Q42" i="43"/>
  <c r="T42" i="43"/>
  <c r="N81" i="43"/>
  <c r="Z81" i="43" s="1"/>
  <c r="M75" i="43"/>
  <c r="R75" i="43"/>
  <c r="O53" i="43"/>
  <c r="U53" i="43"/>
  <c r="Q53" i="43"/>
  <c r="T53" i="43"/>
  <c r="N29" i="43"/>
  <c r="S29" i="43"/>
  <c r="O23" i="43"/>
  <c r="U23" i="43" s="1"/>
  <c r="Q23" i="43"/>
  <c r="T23" i="43"/>
  <c r="N71" i="43"/>
  <c r="O71" i="43" s="1"/>
  <c r="U71" i="43" s="1"/>
  <c r="M51" i="43"/>
  <c r="R51" i="43"/>
  <c r="N11" i="43"/>
  <c r="Z11" i="43" s="1"/>
  <c r="S11" i="43"/>
  <c r="G90" i="46"/>
  <c r="G3" i="47"/>
  <c r="M82" i="43"/>
  <c r="R82" i="43"/>
  <c r="N79" i="43"/>
  <c r="Z79" i="43" s="1"/>
  <c r="S79" i="43"/>
  <c r="N36" i="43"/>
  <c r="S36" i="43"/>
  <c r="M77" i="43"/>
  <c r="R77" i="43"/>
  <c r="O74" i="43"/>
  <c r="U74" i="43" s="1"/>
  <c r="Q74" i="43"/>
  <c r="T74" i="43"/>
  <c r="N49" i="43"/>
  <c r="Z49" i="43" s="1"/>
  <c r="S49" i="43"/>
  <c r="O46" i="43"/>
  <c r="U46" i="43"/>
  <c r="Q46" i="43"/>
  <c r="T46" i="43"/>
  <c r="K88" i="43"/>
  <c r="K87" i="43"/>
  <c r="R71" i="43"/>
  <c r="K37" i="43"/>
  <c r="V37" i="43"/>
  <c r="R36" i="43"/>
  <c r="S53" i="43"/>
  <c r="R49" i="43"/>
  <c r="S46" i="43"/>
  <c r="S42" i="43"/>
  <c r="S39" i="43"/>
  <c r="R31" i="43"/>
  <c r="S23" i="43"/>
  <c r="R14" i="43"/>
  <c r="R11" i="43"/>
  <c r="I88" i="43"/>
  <c r="L63" i="43"/>
  <c r="R29" i="43"/>
  <c r="P88" i="43"/>
  <c r="P87" i="43"/>
  <c r="K63" i="43"/>
  <c r="T60" i="43"/>
  <c r="V51" i="43"/>
  <c r="W51" i="43"/>
  <c r="V8" i="43"/>
  <c r="W8" i="43" s="1"/>
  <c r="P55" i="41"/>
  <c r="AL80" i="10"/>
  <c r="M15" i="48"/>
  <c r="G132" i="11" s="1"/>
  <c r="L131" i="11"/>
  <c r="J138" i="10"/>
  <c r="I129" i="12"/>
  <c r="AC140" i="12"/>
  <c r="AI140" i="12" s="1"/>
  <c r="K140" i="10"/>
  <c r="AC140" i="10"/>
  <c r="AB138" i="10"/>
  <c r="E137" i="7"/>
  <c r="D135" i="10"/>
  <c r="AH135" i="10" s="1"/>
  <c r="I49" i="48"/>
  <c r="L135" i="11"/>
  <c r="Q135" i="11"/>
  <c r="H138" i="7"/>
  <c r="G136" i="10"/>
  <c r="AK136" i="10" s="1"/>
  <c r="F138" i="7"/>
  <c r="E136" i="10"/>
  <c r="AI136" i="10" s="1"/>
  <c r="C143" i="7"/>
  <c r="C141" i="10"/>
  <c r="C138" i="10" s="1"/>
  <c r="Q137" i="11"/>
  <c r="D137" i="10"/>
  <c r="AH137" i="10" s="1"/>
  <c r="J131" i="7"/>
  <c r="M131" i="11"/>
  <c r="I129" i="10"/>
  <c r="F137" i="7"/>
  <c r="L137" i="7" s="1"/>
  <c r="J142" i="7"/>
  <c r="J140" i="7" s="1"/>
  <c r="K140" i="7" s="1"/>
  <c r="I140" i="10"/>
  <c r="U133" i="12"/>
  <c r="U134" i="10"/>
  <c r="AG134" i="10" s="1"/>
  <c r="AG134" i="12"/>
  <c r="AM134" i="12" s="1"/>
  <c r="M135" i="11"/>
  <c r="Q133" i="11"/>
  <c r="C151" i="12"/>
  <c r="D138" i="10"/>
  <c r="AH138" i="10"/>
  <c r="D135" i="7"/>
  <c r="AC135" i="7" s="1"/>
  <c r="AC136" i="7"/>
  <c r="F137" i="11"/>
  <c r="F133" i="11"/>
  <c r="L133" i="11"/>
  <c r="E137" i="12"/>
  <c r="K137" i="12"/>
  <c r="S32" i="48"/>
  <c r="L33" i="48"/>
  <c r="D133" i="12"/>
  <c r="AH134" i="10"/>
  <c r="U30" i="48"/>
  <c r="E134" i="10"/>
  <c r="L134" i="11"/>
  <c r="F136" i="7"/>
  <c r="N132" i="51"/>
  <c r="K132" i="12"/>
  <c r="I10" i="52"/>
  <c r="O14" i="48"/>
  <c r="U14" i="48" s="1"/>
  <c r="T14" i="48"/>
  <c r="Q132" i="11"/>
  <c r="D132" i="10"/>
  <c r="P21" i="9"/>
  <c r="P31" i="9" s="1"/>
  <c r="E134" i="7"/>
  <c r="E129" i="11"/>
  <c r="T31" i="48"/>
  <c r="O31" i="48"/>
  <c r="H142" i="51"/>
  <c r="N142" i="51"/>
  <c r="M137" i="7"/>
  <c r="L16" i="48"/>
  <c r="R9" i="48"/>
  <c r="F130" i="11"/>
  <c r="E130" i="12"/>
  <c r="S7" i="48"/>
  <c r="M9" i="48"/>
  <c r="N7" i="48"/>
  <c r="V7" i="48" s="1"/>
  <c r="Z129" i="11"/>
  <c r="AI140" i="10"/>
  <c r="N141" i="7"/>
  <c r="O141" i="7"/>
  <c r="E136" i="51"/>
  <c r="P136" i="7"/>
  <c r="L140" i="12"/>
  <c r="F140" i="12"/>
  <c r="S35" i="48"/>
  <c r="G140" i="11"/>
  <c r="R29" i="8"/>
  <c r="X35" i="48"/>
  <c r="L142" i="11"/>
  <c r="F143" i="7"/>
  <c r="E141" i="10"/>
  <c r="AH129" i="12"/>
  <c r="P26" i="54"/>
  <c r="Q26" i="54"/>
  <c r="L142" i="12"/>
  <c r="G142" i="11"/>
  <c r="F142" i="12"/>
  <c r="R26" i="8"/>
  <c r="S39" i="48"/>
  <c r="AI134" i="12"/>
  <c r="P25" i="8"/>
  <c r="P30" i="8" s="1"/>
  <c r="AC142" i="12"/>
  <c r="K141" i="10"/>
  <c r="H135" i="10"/>
  <c r="AL135" i="10"/>
  <c r="O135" i="11"/>
  <c r="I137" i="7"/>
  <c r="O137" i="7"/>
  <c r="M23" i="48"/>
  <c r="S20" i="48"/>
  <c r="O13" i="48"/>
  <c r="N15" i="48"/>
  <c r="V15" i="48" s="1"/>
  <c r="T13" i="48"/>
  <c r="C151" i="11"/>
  <c r="J41" i="48"/>
  <c r="Q133" i="10"/>
  <c r="AC134" i="10"/>
  <c r="Z141" i="11"/>
  <c r="D138" i="11"/>
  <c r="Z138" i="11" s="1"/>
  <c r="U107" i="12"/>
  <c r="I107" i="12"/>
  <c r="J107" i="11"/>
  <c r="N72" i="45"/>
  <c r="S72" i="45"/>
  <c r="U14" i="45"/>
  <c r="H101" i="12"/>
  <c r="AL101" i="12" s="1"/>
  <c r="I101" i="11"/>
  <c r="K109" i="45"/>
  <c r="K13" i="45"/>
  <c r="N34" i="45"/>
  <c r="S34" i="45"/>
  <c r="N82" i="45"/>
  <c r="S82" i="45"/>
  <c r="S36" i="45"/>
  <c r="N36" i="45"/>
  <c r="M68" i="45"/>
  <c r="R68" i="45"/>
  <c r="K110" i="12"/>
  <c r="U53" i="45"/>
  <c r="S84" i="45"/>
  <c r="N84" i="45"/>
  <c r="N31" i="45"/>
  <c r="S31" i="45"/>
  <c r="V62" i="45"/>
  <c r="O62" i="45"/>
  <c r="U62" i="45"/>
  <c r="Q62" i="45"/>
  <c r="T62" i="45"/>
  <c r="N81" i="45"/>
  <c r="S81" i="45"/>
  <c r="N32" i="45"/>
  <c r="S32" i="45"/>
  <c r="S74" i="45"/>
  <c r="N74" i="45"/>
  <c r="U91" i="45"/>
  <c r="T12" i="9"/>
  <c r="V63" i="45"/>
  <c r="O63" i="45"/>
  <c r="U63" i="45"/>
  <c r="T63" i="45"/>
  <c r="R46" i="45"/>
  <c r="L111" i="7"/>
  <c r="N73" i="45"/>
  <c r="S73" i="45"/>
  <c r="P101" i="45"/>
  <c r="S64" i="45"/>
  <c r="N64" i="45"/>
  <c r="J110" i="10"/>
  <c r="V30" i="45"/>
  <c r="T30" i="45"/>
  <c r="O30" i="45"/>
  <c r="U30" i="45"/>
  <c r="N60" i="45"/>
  <c r="S60" i="45"/>
  <c r="M54" i="45"/>
  <c r="L55" i="45"/>
  <c r="R54" i="45"/>
  <c r="Q110" i="12"/>
  <c r="Q110" i="10" s="1"/>
  <c r="S93" i="45"/>
  <c r="R13" i="9"/>
  <c r="N41" i="45"/>
  <c r="S41" i="45"/>
  <c r="S90" i="45"/>
  <c r="R14" i="8"/>
  <c r="V7" i="45"/>
  <c r="T7" i="45"/>
  <c r="O7" i="45"/>
  <c r="S70" i="45"/>
  <c r="N70" i="45"/>
  <c r="S89" i="45"/>
  <c r="R13" i="8"/>
  <c r="R35" i="45"/>
  <c r="L38" i="45"/>
  <c r="V9" i="45"/>
  <c r="O9" i="45"/>
  <c r="U9" i="45" s="1"/>
  <c r="T9" i="45"/>
  <c r="N59" i="45"/>
  <c r="S59" i="45"/>
  <c r="L13" i="45"/>
  <c r="R8" i="45"/>
  <c r="L109" i="45"/>
  <c r="S86" i="45"/>
  <c r="N86" i="45"/>
  <c r="N44" i="45"/>
  <c r="S44" i="45"/>
  <c r="M46" i="45"/>
  <c r="S46" i="45" s="1"/>
  <c r="N29" i="45"/>
  <c r="S29" i="45"/>
  <c r="E37" i="56"/>
  <c r="P25" i="54"/>
  <c r="Q25" i="54"/>
  <c r="P127" i="7"/>
  <c r="AC126" i="10"/>
  <c r="S11" i="45"/>
  <c r="M40" i="45"/>
  <c r="L43" i="45"/>
  <c r="R40" i="45"/>
  <c r="S88" i="45"/>
  <c r="N88" i="45"/>
  <c r="L126" i="12"/>
  <c r="R12" i="8"/>
  <c r="F126" i="12"/>
  <c r="G126" i="11"/>
  <c r="N25" i="45"/>
  <c r="S25" i="45"/>
  <c r="M8" i="45"/>
  <c r="S12" i="45"/>
  <c r="N12" i="45"/>
  <c r="S69" i="45"/>
  <c r="N69" i="45"/>
  <c r="S98" i="45"/>
  <c r="N98" i="45"/>
  <c r="R17" i="9"/>
  <c r="V77" i="45"/>
  <c r="O77" i="45"/>
  <c r="U77" i="45"/>
  <c r="Q77" i="45"/>
  <c r="T77" i="45"/>
  <c r="S61" i="45"/>
  <c r="M94" i="45"/>
  <c r="N94" i="45" s="1"/>
  <c r="R94" i="45"/>
  <c r="F127" i="11"/>
  <c r="K127" i="12"/>
  <c r="E127" i="12"/>
  <c r="Q14" i="9"/>
  <c r="E106" i="51"/>
  <c r="N106" i="51" s="1"/>
  <c r="L106" i="7"/>
  <c r="P106" i="7"/>
  <c r="E111" i="51"/>
  <c r="N111" i="51" s="1"/>
  <c r="P111" i="7"/>
  <c r="AH126" i="12"/>
  <c r="AB125" i="12"/>
  <c r="AH125" i="12" s="1"/>
  <c r="M108" i="7"/>
  <c r="N108" i="7"/>
  <c r="V10" i="45"/>
  <c r="O10" i="45"/>
  <c r="U10" i="45"/>
  <c r="T10" i="45"/>
  <c r="S56" i="45"/>
  <c r="N56" i="45"/>
  <c r="U39" i="45"/>
  <c r="H106" i="12"/>
  <c r="AL106" i="12" s="1"/>
  <c r="I106" i="11"/>
  <c r="R85" i="45"/>
  <c r="S96" i="45"/>
  <c r="R15" i="9"/>
  <c r="U58" i="45"/>
  <c r="AB126" i="10"/>
  <c r="J125" i="10"/>
  <c r="P26" i="44"/>
  <c r="O29" i="43"/>
  <c r="U29" i="43" s="1"/>
  <c r="T29" i="43"/>
  <c r="R63" i="43"/>
  <c r="O36" i="43"/>
  <c r="T36" i="43"/>
  <c r="N82" i="43"/>
  <c r="Z82" i="43" s="1"/>
  <c r="S82" i="43"/>
  <c r="O81" i="43"/>
  <c r="U81" i="43"/>
  <c r="Q81" i="43"/>
  <c r="T81" i="43"/>
  <c r="O14" i="43"/>
  <c r="U14" i="43"/>
  <c r="Q14" i="43"/>
  <c r="T14" i="43"/>
  <c r="N51" i="43"/>
  <c r="Z51" i="43" s="1"/>
  <c r="S51" i="43"/>
  <c r="O49" i="43"/>
  <c r="Q49" i="43"/>
  <c r="T49" i="43"/>
  <c r="O11" i="43"/>
  <c r="U11" i="43"/>
  <c r="Q11" i="43"/>
  <c r="T11" i="43"/>
  <c r="N8" i="43"/>
  <c r="Z8" i="43" s="1"/>
  <c r="S8" i="43"/>
  <c r="U39" i="43"/>
  <c r="O31" i="43"/>
  <c r="U31" i="43" s="1"/>
  <c r="Q31" i="43"/>
  <c r="T31" i="43"/>
  <c r="O79" i="43"/>
  <c r="U79" i="43" s="1"/>
  <c r="Q79" i="43"/>
  <c r="T79" i="43"/>
  <c r="N77" i="43"/>
  <c r="Z77" i="43" s="1"/>
  <c r="S77" i="43"/>
  <c r="N75" i="43"/>
  <c r="Z75" i="43" s="1"/>
  <c r="S75" i="43"/>
  <c r="Q25" i="8"/>
  <c r="Q30" i="8" s="1"/>
  <c r="D133" i="10"/>
  <c r="AH133" i="10"/>
  <c r="O138" i="7"/>
  <c r="N138" i="7"/>
  <c r="L138" i="7"/>
  <c r="M138" i="7"/>
  <c r="E137" i="51"/>
  <c r="N137" i="51"/>
  <c r="P137" i="7"/>
  <c r="F132" i="12"/>
  <c r="AJ132" i="12"/>
  <c r="S15" i="48"/>
  <c r="C140" i="7"/>
  <c r="P143" i="7"/>
  <c r="I138" i="10"/>
  <c r="R33" i="48"/>
  <c r="U133" i="10"/>
  <c r="E133" i="12"/>
  <c r="D152" i="7"/>
  <c r="K133" i="12"/>
  <c r="K137" i="10"/>
  <c r="AC137" i="12"/>
  <c r="L137" i="12"/>
  <c r="L137" i="11"/>
  <c r="E137" i="10"/>
  <c r="F139" i="7"/>
  <c r="M137" i="11"/>
  <c r="G134" i="11"/>
  <c r="M33" i="48"/>
  <c r="R134" i="12"/>
  <c r="S23" i="48"/>
  <c r="F134" i="12"/>
  <c r="T39" i="48"/>
  <c r="M142" i="12"/>
  <c r="S142" i="12" s="1"/>
  <c r="O39" i="48"/>
  <c r="Q39" i="48"/>
  <c r="G142" i="12"/>
  <c r="S26" i="8"/>
  <c r="H142" i="11"/>
  <c r="L130" i="11"/>
  <c r="E130" i="10"/>
  <c r="Q22" i="9"/>
  <c r="F132" i="7"/>
  <c r="AD142" i="12"/>
  <c r="L141" i="10"/>
  <c r="AD141" i="10" s="1"/>
  <c r="L143" i="7"/>
  <c r="F140" i="7"/>
  <c r="L140" i="7" s="1"/>
  <c r="AD140" i="12"/>
  <c r="AJ140" i="12" s="1"/>
  <c r="L140" i="10"/>
  <c r="R16" i="48"/>
  <c r="AH132" i="10"/>
  <c r="D129" i="10"/>
  <c r="AI134" i="10"/>
  <c r="J43" i="48"/>
  <c r="AC41" i="48"/>
  <c r="E138" i="10"/>
  <c r="T15" i="48"/>
  <c r="G132" i="12"/>
  <c r="AK132" i="12"/>
  <c r="H132" i="11"/>
  <c r="O15" i="48"/>
  <c r="U13" i="48"/>
  <c r="O35" i="48"/>
  <c r="M140" i="12"/>
  <c r="G140" i="12"/>
  <c r="T35" i="48"/>
  <c r="H140" i="11"/>
  <c r="S29" i="8"/>
  <c r="Q35" i="48"/>
  <c r="T7" i="48"/>
  <c r="N9" i="48"/>
  <c r="V9" i="48" s="1"/>
  <c r="O7" i="48"/>
  <c r="AC141" i="10"/>
  <c r="K138" i="10"/>
  <c r="F130" i="12"/>
  <c r="M16" i="48"/>
  <c r="S9" i="48"/>
  <c r="G130" i="11"/>
  <c r="U31" i="48"/>
  <c r="P31" i="48"/>
  <c r="P32" i="48"/>
  <c r="K129" i="12"/>
  <c r="K132" i="10"/>
  <c r="AC132" i="12"/>
  <c r="O32" i="48"/>
  <c r="N23" i="48"/>
  <c r="M134" i="12" s="1"/>
  <c r="M134" i="10" s="1"/>
  <c r="T20" i="48"/>
  <c r="O20" i="48"/>
  <c r="Q20" i="48"/>
  <c r="AJ142" i="12"/>
  <c r="M140" i="11"/>
  <c r="G142" i="7"/>
  <c r="F140" i="10"/>
  <c r="AI142" i="12"/>
  <c r="M142" i="11"/>
  <c r="G143" i="7"/>
  <c r="M143" i="7"/>
  <c r="F141" i="10"/>
  <c r="N136" i="51"/>
  <c r="AI130" i="12"/>
  <c r="E129" i="12"/>
  <c r="Q129" i="11"/>
  <c r="D151" i="11"/>
  <c r="Z151" i="11"/>
  <c r="E134" i="51"/>
  <c r="P134" i="7"/>
  <c r="E131" i="7"/>
  <c r="L136" i="7"/>
  <c r="L127" i="11"/>
  <c r="F125" i="11"/>
  <c r="L125" i="11"/>
  <c r="AI126" i="10"/>
  <c r="V59" i="45"/>
  <c r="O59" i="45"/>
  <c r="Q59" i="45"/>
  <c r="T59" i="45"/>
  <c r="N65" i="45"/>
  <c r="V89" i="45"/>
  <c r="O89" i="45"/>
  <c r="T89" i="45"/>
  <c r="S13" i="8"/>
  <c r="Q89" i="45"/>
  <c r="V93" i="45"/>
  <c r="V81" i="45"/>
  <c r="T81" i="45"/>
  <c r="O81" i="45"/>
  <c r="U81" i="45"/>
  <c r="Q81" i="45"/>
  <c r="V36" i="45"/>
  <c r="O36" i="45"/>
  <c r="U36" i="45" s="1"/>
  <c r="T36" i="45"/>
  <c r="O101" i="11"/>
  <c r="I104" i="7"/>
  <c r="O104" i="7"/>
  <c r="H102" i="10"/>
  <c r="AL102" i="10"/>
  <c r="AG107" i="12"/>
  <c r="U107" i="10"/>
  <c r="AG107" i="10" s="1"/>
  <c r="L49" i="45"/>
  <c r="R43" i="45"/>
  <c r="V56" i="45"/>
  <c r="O56" i="45"/>
  <c r="U56" i="45"/>
  <c r="T56" i="45"/>
  <c r="Q56" i="45"/>
  <c r="S94" i="45"/>
  <c r="R14" i="9"/>
  <c r="M126" i="11"/>
  <c r="S40" i="45"/>
  <c r="N40" i="45"/>
  <c r="M43" i="45"/>
  <c r="V29" i="45"/>
  <c r="O29" i="45"/>
  <c r="Q29" i="45"/>
  <c r="T29" i="45"/>
  <c r="V70" i="45"/>
  <c r="O70" i="45"/>
  <c r="U70" i="45" s="1"/>
  <c r="T70" i="45"/>
  <c r="Q70" i="45"/>
  <c r="V74" i="45"/>
  <c r="O74" i="45"/>
  <c r="U74" i="45"/>
  <c r="Q74" i="45"/>
  <c r="T74" i="45"/>
  <c r="S8" i="45"/>
  <c r="M13" i="45"/>
  <c r="I37" i="56"/>
  <c r="J37" i="56"/>
  <c r="V90" i="45"/>
  <c r="T90" i="45"/>
  <c r="O90" i="45"/>
  <c r="Q90" i="45"/>
  <c r="S14" i="8"/>
  <c r="Y14" i="8"/>
  <c r="V82" i="45"/>
  <c r="Q82" i="45"/>
  <c r="O82" i="45"/>
  <c r="U82" i="45" s="1"/>
  <c r="T82" i="45"/>
  <c r="S54" i="45"/>
  <c r="N54" i="45"/>
  <c r="M55" i="45"/>
  <c r="N68" i="45"/>
  <c r="S68" i="45"/>
  <c r="V12" i="45"/>
  <c r="O12" i="45"/>
  <c r="U12" i="45" s="1"/>
  <c r="T12" i="45"/>
  <c r="Q12" i="45"/>
  <c r="X12" i="45"/>
  <c r="N8" i="45"/>
  <c r="V8" i="45" s="1"/>
  <c r="AH126" i="10"/>
  <c r="V98" i="45"/>
  <c r="O98" i="45"/>
  <c r="Q98" i="45"/>
  <c r="T98" i="45"/>
  <c r="S17" i="9"/>
  <c r="Y17" i="9" s="1"/>
  <c r="F126" i="10"/>
  <c r="G128" i="7"/>
  <c r="V72" i="45"/>
  <c r="T72" i="45"/>
  <c r="O72" i="45"/>
  <c r="U72" i="45"/>
  <c r="Q72" i="45"/>
  <c r="K127" i="10"/>
  <c r="AC127" i="12"/>
  <c r="AC125" i="12"/>
  <c r="K125" i="12"/>
  <c r="V69" i="45"/>
  <c r="Q69" i="45"/>
  <c r="T69" i="45"/>
  <c r="O69" i="45"/>
  <c r="V60" i="45"/>
  <c r="T60" i="45"/>
  <c r="O60" i="45"/>
  <c r="U60" i="45" s="1"/>
  <c r="Q60" i="45"/>
  <c r="AM107" i="12"/>
  <c r="O25" i="45"/>
  <c r="T25" i="45"/>
  <c r="F129" i="7"/>
  <c r="E127" i="10"/>
  <c r="L126" i="10"/>
  <c r="AD126" i="12"/>
  <c r="V44" i="45"/>
  <c r="O44" i="45"/>
  <c r="Q44" i="45"/>
  <c r="N46" i="45"/>
  <c r="T44" i="45"/>
  <c r="E104" i="12"/>
  <c r="F104" i="11"/>
  <c r="U7" i="45"/>
  <c r="V41" i="45"/>
  <c r="O41" i="45"/>
  <c r="U41" i="45" s="1"/>
  <c r="T41" i="45"/>
  <c r="V64" i="45"/>
  <c r="O64" i="45"/>
  <c r="U64" i="45"/>
  <c r="Q64" i="45"/>
  <c r="T64" i="45"/>
  <c r="V73" i="45"/>
  <c r="Q73" i="45"/>
  <c r="O73" i="45"/>
  <c r="U73" i="45" s="1"/>
  <c r="T73" i="45"/>
  <c r="V32" i="45"/>
  <c r="T32" i="45"/>
  <c r="O32" i="45"/>
  <c r="Q32" i="45"/>
  <c r="AC110" i="12"/>
  <c r="K110" i="10"/>
  <c r="V34" i="45"/>
  <c r="O34" i="45"/>
  <c r="U34" i="45" s="1"/>
  <c r="Q34" i="45"/>
  <c r="T34" i="45"/>
  <c r="J109" i="7"/>
  <c r="I107" i="10"/>
  <c r="H106" i="10"/>
  <c r="I108" i="7"/>
  <c r="O108" i="7"/>
  <c r="O106" i="11"/>
  <c r="V84" i="45"/>
  <c r="Q84" i="45"/>
  <c r="T84" i="45"/>
  <c r="O84" i="45"/>
  <c r="U84" i="45" s="1"/>
  <c r="V96" i="45"/>
  <c r="O96" i="45"/>
  <c r="T15" i="9"/>
  <c r="Q96" i="45"/>
  <c r="T96" i="45"/>
  <c r="I85" i="67"/>
  <c r="J85" i="67" s="1"/>
  <c r="S15" i="9"/>
  <c r="AI127" i="12"/>
  <c r="E125" i="12"/>
  <c r="AI125" i="12" s="1"/>
  <c r="V61" i="45"/>
  <c r="Q61" i="45"/>
  <c r="O61" i="45"/>
  <c r="U61" i="45"/>
  <c r="T61" i="45"/>
  <c r="V88" i="45"/>
  <c r="T88" i="45"/>
  <c r="I80" i="67"/>
  <c r="J80" i="67" s="1"/>
  <c r="O88" i="45"/>
  <c r="H126" i="12" s="1"/>
  <c r="Q88" i="45"/>
  <c r="M126" i="12"/>
  <c r="S12" i="8"/>
  <c r="H128" i="7" s="1"/>
  <c r="G126" i="12"/>
  <c r="H126" i="11"/>
  <c r="V11" i="45"/>
  <c r="T11" i="45"/>
  <c r="O11" i="45"/>
  <c r="V86" i="45"/>
  <c r="O86" i="45"/>
  <c r="U86" i="45"/>
  <c r="Q86" i="45"/>
  <c r="T86" i="45"/>
  <c r="E100" i="12"/>
  <c r="R13" i="45"/>
  <c r="K100" i="12"/>
  <c r="F100" i="11"/>
  <c r="L57" i="45"/>
  <c r="R55" i="45"/>
  <c r="V31" i="45"/>
  <c r="O31" i="45"/>
  <c r="U31" i="45" s="1"/>
  <c r="Q31" i="45"/>
  <c r="T31" i="45"/>
  <c r="D100" i="12"/>
  <c r="J100" i="12"/>
  <c r="E100" i="11"/>
  <c r="P32" i="44"/>
  <c r="P27" i="44"/>
  <c r="O8" i="43"/>
  <c r="Q8" i="43"/>
  <c r="T8" i="43"/>
  <c r="O82" i="43"/>
  <c r="U82" i="43" s="1"/>
  <c r="Q82" i="43"/>
  <c r="T82" i="43"/>
  <c r="O77" i="43"/>
  <c r="U77" i="43"/>
  <c r="Q77" i="43"/>
  <c r="T77" i="43"/>
  <c r="U49" i="43"/>
  <c r="O75" i="43"/>
  <c r="U75" i="43" s="1"/>
  <c r="Q75" i="43"/>
  <c r="T75" i="43"/>
  <c r="O51" i="43"/>
  <c r="U51" i="43"/>
  <c r="Q51" i="43"/>
  <c r="T51" i="43"/>
  <c r="U36" i="43"/>
  <c r="P36" i="43"/>
  <c r="P140" i="7"/>
  <c r="AC152" i="7"/>
  <c r="D39" i="56"/>
  <c r="M139" i="7"/>
  <c r="L133" i="12"/>
  <c r="AD137" i="12"/>
  <c r="AJ137" i="12"/>
  <c r="L137" i="10"/>
  <c r="M137" i="12"/>
  <c r="AI141" i="10"/>
  <c r="AI137" i="12"/>
  <c r="AC133" i="12"/>
  <c r="AI133" i="12"/>
  <c r="F135" i="7"/>
  <c r="K133" i="10"/>
  <c r="AC137" i="10"/>
  <c r="H130" i="11"/>
  <c r="G130" i="12"/>
  <c r="N16" i="48"/>
  <c r="V16" i="48" s="1"/>
  <c r="T9" i="48"/>
  <c r="O23" i="48"/>
  <c r="N134" i="12" s="1"/>
  <c r="N134" i="10" s="1"/>
  <c r="U20" i="48"/>
  <c r="I137" i="12"/>
  <c r="J137" i="11"/>
  <c r="P33" i="48"/>
  <c r="H137" i="12"/>
  <c r="I137" i="11"/>
  <c r="AD140" i="10"/>
  <c r="L138" i="10"/>
  <c r="N140" i="11"/>
  <c r="H142" i="7"/>
  <c r="G140" i="10"/>
  <c r="K140" i="11"/>
  <c r="F138" i="10"/>
  <c r="AJ140" i="10"/>
  <c r="N142" i="11"/>
  <c r="H143" i="7"/>
  <c r="K142" i="11"/>
  <c r="G141" i="10"/>
  <c r="G140" i="7"/>
  <c r="M140" i="7"/>
  <c r="M142" i="7"/>
  <c r="N140" i="12"/>
  <c r="U35" i="48"/>
  <c r="I140" i="11"/>
  <c r="T29" i="8"/>
  <c r="T142" i="7" s="1"/>
  <c r="H140" i="12"/>
  <c r="M141" i="10"/>
  <c r="G134" i="12"/>
  <c r="H134" i="11"/>
  <c r="Q23" i="48"/>
  <c r="T23" i="48"/>
  <c r="U7" i="48"/>
  <c r="O9" i="48"/>
  <c r="M140" i="10"/>
  <c r="AE140" i="12"/>
  <c r="AK140" i="12" s="1"/>
  <c r="L132" i="7"/>
  <c r="Y26" i="8"/>
  <c r="S143" i="7"/>
  <c r="V26" i="8"/>
  <c r="F133" i="12"/>
  <c r="D150" i="10"/>
  <c r="N134" i="51"/>
  <c r="E131" i="51"/>
  <c r="K129" i="10"/>
  <c r="AC132" i="10"/>
  <c r="S16" i="48"/>
  <c r="U15" i="48"/>
  <c r="H132" i="12"/>
  <c r="AL132" i="12"/>
  <c r="I132" i="11"/>
  <c r="J47" i="48"/>
  <c r="AC43" i="48"/>
  <c r="S33" i="48"/>
  <c r="R25" i="8"/>
  <c r="R30" i="8" s="1"/>
  <c r="P131" i="7"/>
  <c r="F130" i="10"/>
  <c r="G132" i="7"/>
  <c r="R22" i="9"/>
  <c r="M130" i="11"/>
  <c r="AC129" i="12"/>
  <c r="AI132" i="12"/>
  <c r="AI130" i="10"/>
  <c r="AD134" i="12"/>
  <c r="AD133" i="12" s="1"/>
  <c r="R133" i="12"/>
  <c r="R151" i="12"/>
  <c r="R134" i="10"/>
  <c r="F129" i="12"/>
  <c r="AJ130" i="12"/>
  <c r="Y29" i="8"/>
  <c r="S142" i="7"/>
  <c r="V29" i="8"/>
  <c r="G132" i="10"/>
  <c r="AK132" i="10" s="1"/>
  <c r="S21" i="9"/>
  <c r="H134" i="7"/>
  <c r="U39" i="48"/>
  <c r="I142" i="11"/>
  <c r="H142" i="12"/>
  <c r="N142" i="12"/>
  <c r="T142" i="12" s="1"/>
  <c r="T26" i="8"/>
  <c r="T143" i="7" s="1"/>
  <c r="G133" i="11"/>
  <c r="M133" i="11"/>
  <c r="F134" i="10"/>
  <c r="M134" i="11"/>
  <c r="G136" i="7"/>
  <c r="R57" i="45"/>
  <c r="L87" i="45"/>
  <c r="AD126" i="10"/>
  <c r="L100" i="11"/>
  <c r="F103" i="7"/>
  <c r="L103" i="7" s="1"/>
  <c r="E101" i="10"/>
  <c r="V54" i="45"/>
  <c r="O54" i="45"/>
  <c r="Q54" i="45"/>
  <c r="T54" i="45"/>
  <c r="N55" i="45"/>
  <c r="N13" i="45"/>
  <c r="T13" i="8"/>
  <c r="P25" i="45"/>
  <c r="U25" i="45"/>
  <c r="S55" i="45"/>
  <c r="M57" i="45"/>
  <c r="AC100" i="12"/>
  <c r="AI100" i="12"/>
  <c r="K97" i="12"/>
  <c r="K101" i="10"/>
  <c r="AC101" i="10" s="1"/>
  <c r="AI101" i="10" s="1"/>
  <c r="V46" i="45"/>
  <c r="T46" i="45"/>
  <c r="Q46" i="45"/>
  <c r="E125" i="10"/>
  <c r="Q107" i="12"/>
  <c r="E107" i="12"/>
  <c r="F107" i="11"/>
  <c r="U69" i="45"/>
  <c r="V68" i="45"/>
  <c r="O68" i="45"/>
  <c r="Q68" i="45"/>
  <c r="T68" i="45"/>
  <c r="U29" i="45"/>
  <c r="E103" i="7"/>
  <c r="D101" i="10"/>
  <c r="Q100" i="11"/>
  <c r="U96" i="45"/>
  <c r="O46" i="45"/>
  <c r="U46" i="45"/>
  <c r="U44" i="45"/>
  <c r="M128" i="7"/>
  <c r="AJ126" i="12"/>
  <c r="V94" i="45"/>
  <c r="O94" i="45"/>
  <c r="Q94" i="45"/>
  <c r="S14" i="9"/>
  <c r="T94" i="45"/>
  <c r="U59" i="45"/>
  <c r="O65" i="45"/>
  <c r="U65" i="45" s="1"/>
  <c r="U98" i="45"/>
  <c r="T17" i="9"/>
  <c r="AB100" i="12"/>
  <c r="AH100" i="12" s="1"/>
  <c r="J97" i="12"/>
  <c r="J101" i="10"/>
  <c r="AB101" i="10" s="1"/>
  <c r="AH101" i="10" s="1"/>
  <c r="S43" i="45"/>
  <c r="M49" i="45"/>
  <c r="Y12" i="8"/>
  <c r="V12" i="8"/>
  <c r="L129" i="7"/>
  <c r="F127" i="7"/>
  <c r="L127" i="7"/>
  <c r="U11" i="45"/>
  <c r="U88" i="45"/>
  <c r="T12" i="8"/>
  <c r="H126" i="10" s="1"/>
  <c r="AC127" i="10"/>
  <c r="AC125" i="10"/>
  <c r="K125" i="10"/>
  <c r="L100" i="12"/>
  <c r="F100" i="12"/>
  <c r="G100" i="11"/>
  <c r="S13" i="45"/>
  <c r="V40" i="45"/>
  <c r="O40" i="45"/>
  <c r="Q40" i="45"/>
  <c r="T40" i="45"/>
  <c r="N43" i="45"/>
  <c r="P29" i="44"/>
  <c r="P37" i="43"/>
  <c r="Q36" i="43"/>
  <c r="U8" i="43"/>
  <c r="AI129" i="12"/>
  <c r="AI137" i="10"/>
  <c r="AC133" i="10"/>
  <c r="M133" i="12"/>
  <c r="AE137" i="12"/>
  <c r="N137" i="12"/>
  <c r="M137" i="10"/>
  <c r="AD137" i="10"/>
  <c r="AJ137" i="10" s="1"/>
  <c r="L133" i="10"/>
  <c r="L150" i="10"/>
  <c r="N131" i="51"/>
  <c r="N134" i="11"/>
  <c r="G134" i="10"/>
  <c r="H136" i="7"/>
  <c r="K134" i="11"/>
  <c r="AF140" i="12"/>
  <c r="AL140" i="12" s="1"/>
  <c r="N140" i="10"/>
  <c r="AC129" i="10"/>
  <c r="G129" i="12"/>
  <c r="AK130" i="12"/>
  <c r="U25" i="8"/>
  <c r="AJ129" i="12"/>
  <c r="H137" i="10"/>
  <c r="I139" i="7"/>
  <c r="J139" i="7"/>
  <c r="I137" i="10"/>
  <c r="J133" i="11"/>
  <c r="M138" i="10"/>
  <c r="AE140" i="10"/>
  <c r="U23" i="48"/>
  <c r="H134" i="12"/>
  <c r="I134" i="11"/>
  <c r="O33" i="48"/>
  <c r="U9" i="48"/>
  <c r="I130" i="11"/>
  <c r="H130" i="12"/>
  <c r="O16" i="48"/>
  <c r="F133" i="10"/>
  <c r="R133" i="10"/>
  <c r="AD134" i="10"/>
  <c r="AD133" i="10"/>
  <c r="O132" i="11"/>
  <c r="H132" i="10"/>
  <c r="AL132" i="10" s="1"/>
  <c r="T21" i="9"/>
  <c r="I134" i="7"/>
  <c r="O134" i="7" s="1"/>
  <c r="S133" i="12"/>
  <c r="S134" i="10"/>
  <c r="AE134" i="12"/>
  <c r="AE133" i="12" s="1"/>
  <c r="I133" i="12"/>
  <c r="N141" i="10"/>
  <c r="V143" i="7"/>
  <c r="N143" i="7"/>
  <c r="K143" i="7"/>
  <c r="O142" i="11"/>
  <c r="H141" i="10"/>
  <c r="I143" i="7"/>
  <c r="O143" i="7" s="1"/>
  <c r="M132" i="7"/>
  <c r="V142" i="7"/>
  <c r="N142" i="7"/>
  <c r="H140" i="7"/>
  <c r="T16" i="48"/>
  <c r="AJ134" i="12"/>
  <c r="I142" i="7"/>
  <c r="O140" i="11"/>
  <c r="H140" i="10"/>
  <c r="AK140" i="10"/>
  <c r="G138" i="10"/>
  <c r="G135" i="7"/>
  <c r="M135" i="7" s="1"/>
  <c r="M136" i="7"/>
  <c r="H129" i="11"/>
  <c r="N130" i="11"/>
  <c r="H132" i="7"/>
  <c r="S22" i="9"/>
  <c r="Y22" i="9"/>
  <c r="G130" i="10"/>
  <c r="AI125" i="10"/>
  <c r="S57" i="45"/>
  <c r="U68" i="45"/>
  <c r="AI127" i="10"/>
  <c r="V43" i="45"/>
  <c r="T43" i="45"/>
  <c r="N49" i="45"/>
  <c r="Q43" i="45"/>
  <c r="F109" i="7"/>
  <c r="E107" i="10"/>
  <c r="E110" i="12"/>
  <c r="AI110" i="12" s="1"/>
  <c r="F110" i="11"/>
  <c r="L104" i="45"/>
  <c r="M100" i="11"/>
  <c r="G103" i="7"/>
  <c r="N100" i="11"/>
  <c r="F101" i="10"/>
  <c r="T55" i="45"/>
  <c r="N57" i="45"/>
  <c r="AD100" i="12"/>
  <c r="AJ100" i="12"/>
  <c r="L101" i="10"/>
  <c r="AD101" i="10" s="1"/>
  <c r="AJ101" i="10" s="1"/>
  <c r="AJ126" i="10"/>
  <c r="E103" i="51"/>
  <c r="P103" i="7"/>
  <c r="U54" i="45"/>
  <c r="O55" i="45"/>
  <c r="U55" i="45"/>
  <c r="U40" i="45"/>
  <c r="O43" i="45"/>
  <c r="S49" i="45"/>
  <c r="R107" i="12"/>
  <c r="F107" i="12"/>
  <c r="G107" i="11"/>
  <c r="M107" i="11" s="1"/>
  <c r="V14" i="9"/>
  <c r="Y14" i="9"/>
  <c r="AC107" i="12"/>
  <c r="AI107" i="12" s="1"/>
  <c r="Q107" i="10"/>
  <c r="AC107" i="10"/>
  <c r="AI107" i="10" s="1"/>
  <c r="Q97" i="12"/>
  <c r="V25" i="45"/>
  <c r="P31" i="44"/>
  <c r="P33" i="44"/>
  <c r="P30" i="44"/>
  <c r="I96" i="12" s="1"/>
  <c r="M133" i="10"/>
  <c r="AE137" i="10"/>
  <c r="N137" i="10"/>
  <c r="O137" i="12"/>
  <c r="N133" i="12"/>
  <c r="AF137" i="12"/>
  <c r="AL137" i="12" s="1"/>
  <c r="AK134" i="12"/>
  <c r="U26" i="9"/>
  <c r="I133" i="10"/>
  <c r="O142" i="7"/>
  <c r="AJ133" i="10"/>
  <c r="T26" i="9"/>
  <c r="AK129" i="12"/>
  <c r="N140" i="7"/>
  <c r="H130" i="10"/>
  <c r="I129" i="11"/>
  <c r="O130" i="11"/>
  <c r="I132" i="7"/>
  <c r="T22" i="9"/>
  <c r="AF140" i="10"/>
  <c r="N138" i="10"/>
  <c r="G129" i="10"/>
  <c r="AK130" i="10"/>
  <c r="S133" i="10"/>
  <c r="AE134" i="10"/>
  <c r="AE133" i="10" s="1"/>
  <c r="AJ134" i="10"/>
  <c r="T25" i="8"/>
  <c r="H133" i="12"/>
  <c r="H131" i="7"/>
  <c r="N132" i="7"/>
  <c r="T133" i="12"/>
  <c r="T134" i="10"/>
  <c r="AF134" i="12"/>
  <c r="AF133" i="12" s="1"/>
  <c r="N136" i="7"/>
  <c r="H138" i="10"/>
  <c r="U16" i="48"/>
  <c r="O134" i="11"/>
  <c r="I133" i="11"/>
  <c r="I136" i="7"/>
  <c r="H134" i="10"/>
  <c r="H133" i="10" s="1"/>
  <c r="X133" i="11"/>
  <c r="H129" i="12"/>
  <c r="AL129" i="12" s="1"/>
  <c r="AL130" i="12"/>
  <c r="U43" i="45"/>
  <c r="O49" i="45"/>
  <c r="O57" i="45"/>
  <c r="U57" i="45"/>
  <c r="E110" i="10"/>
  <c r="F112" i="7"/>
  <c r="G109" i="7"/>
  <c r="M109" i="7" s="1"/>
  <c r="F107" i="10"/>
  <c r="V49" i="45"/>
  <c r="T49" i="45"/>
  <c r="G107" i="12"/>
  <c r="AK107" i="12" s="1"/>
  <c r="S107" i="12"/>
  <c r="H107" i="11"/>
  <c r="H109" i="7" s="1"/>
  <c r="Q49" i="45"/>
  <c r="H103" i="51"/>
  <c r="N103" i="51"/>
  <c r="M103" i="7"/>
  <c r="AD107" i="12"/>
  <c r="AJ107" i="12" s="1"/>
  <c r="R107" i="10"/>
  <c r="AD107" i="10" s="1"/>
  <c r="AJ107" i="10" s="1"/>
  <c r="T57" i="45"/>
  <c r="E97" i="12"/>
  <c r="L105" i="45"/>
  <c r="F97" i="11"/>
  <c r="J96" i="11"/>
  <c r="P87" i="40"/>
  <c r="O133" i="12"/>
  <c r="O137" i="10"/>
  <c r="AG137" i="10" s="1"/>
  <c r="AG137" i="12"/>
  <c r="AG133" i="12" s="1"/>
  <c r="AF137" i="10"/>
  <c r="AL137" i="10"/>
  <c r="AK134" i="10"/>
  <c r="AL134" i="12"/>
  <c r="AL140" i="10"/>
  <c r="O129" i="11"/>
  <c r="H129" i="10"/>
  <c r="I135" i="7"/>
  <c r="O136" i="7"/>
  <c r="I131" i="7"/>
  <c r="O132" i="7"/>
  <c r="T133" i="10"/>
  <c r="N107" i="11"/>
  <c r="K107" i="11"/>
  <c r="AE107" i="12"/>
  <c r="S107" i="10"/>
  <c r="AE107" i="10" s="1"/>
  <c r="H107" i="12"/>
  <c r="U49" i="45"/>
  <c r="T107" i="12"/>
  <c r="AF107" i="12" s="1"/>
  <c r="AL107" i="12" s="1"/>
  <c r="I107" i="11"/>
  <c r="O131" i="7"/>
  <c r="I109" i="7"/>
  <c r="O107" i="11"/>
  <c r="H107" i="10"/>
  <c r="N126" i="11"/>
  <c r="K126" i="11"/>
  <c r="AH36" i="66"/>
  <c r="V14" i="8"/>
  <c r="G126" i="10"/>
  <c r="T14" i="8"/>
  <c r="U90" i="45"/>
  <c r="AE126" i="12"/>
  <c r="AK126" i="12" s="1"/>
  <c r="I58" i="67"/>
  <c r="J58" i="67" s="1"/>
  <c r="AE36" i="12"/>
  <c r="AK36" i="12"/>
  <c r="AF74" i="13"/>
  <c r="J29" i="7"/>
  <c r="I30" i="10"/>
  <c r="I29" i="12"/>
  <c r="AK11" i="12"/>
  <c r="AM12" i="12"/>
  <c r="AG13" i="10"/>
  <c r="AM13" i="10" s="1"/>
  <c r="Q52" i="37"/>
  <c r="Q52" i="38"/>
  <c r="Q52" i="66"/>
  <c r="Q32" i="66"/>
  <c r="Q37" i="66" s="1"/>
  <c r="Q60" i="66" s="1"/>
  <c r="Q32" i="37"/>
  <c r="Q37" i="37" s="1"/>
  <c r="Q60" i="37" s="1"/>
  <c r="Q32" i="38"/>
  <c r="Q37" i="38"/>
  <c r="Q60" i="38" s="1"/>
  <c r="O51" i="10"/>
  <c r="W47" i="32"/>
  <c r="W47" i="29"/>
  <c r="W52" i="29"/>
  <c r="W52" i="35"/>
  <c r="W52" i="36"/>
  <c r="W52" i="32"/>
  <c r="W52" i="34"/>
  <c r="W52" i="30"/>
  <c r="W52" i="28"/>
  <c r="X35" i="17"/>
  <c r="Y35" i="31"/>
  <c r="X37" i="31"/>
  <c r="W37" i="28"/>
  <c r="W60" i="28"/>
  <c r="W33" i="32"/>
  <c r="W32" i="30"/>
  <c r="W37" i="30"/>
  <c r="W60" i="30" s="1"/>
  <c r="W32" i="29"/>
  <c r="W37" i="29" s="1"/>
  <c r="W60" i="29" s="1"/>
  <c r="W8" i="26"/>
  <c r="W32" i="26"/>
  <c r="W37" i="26" s="1"/>
  <c r="W20" i="31"/>
  <c r="W8" i="24"/>
  <c r="W8" i="27"/>
  <c r="W32" i="27" s="1"/>
  <c r="W37" i="27" s="1"/>
  <c r="W60" i="27" s="1"/>
  <c r="W52" i="23"/>
  <c r="W32" i="23"/>
  <c r="W37" i="23" s="1"/>
  <c r="W60" i="23" s="1"/>
  <c r="W15" i="17"/>
  <c r="O43" i="10" s="1"/>
  <c r="AM134" i="10"/>
  <c r="O133" i="10"/>
  <c r="T14" i="9"/>
  <c r="U94" i="45"/>
  <c r="AG51" i="10"/>
  <c r="Y33" i="31"/>
  <c r="Z35" i="31"/>
  <c r="X60" i="31"/>
  <c r="AM51" i="10"/>
  <c r="AA35" i="31"/>
  <c r="AB35" i="31"/>
  <c r="AB33" i="31" s="1"/>
  <c r="Z33" i="31"/>
  <c r="AA33" i="31"/>
  <c r="AC35" i="31"/>
  <c r="AC33" i="31"/>
  <c r="AH10" i="66"/>
  <c r="P47" i="37"/>
  <c r="AH44" i="35"/>
  <c r="V13" i="33"/>
  <c r="V41" i="32"/>
  <c r="AH11" i="32"/>
  <c r="AH48" i="31"/>
  <c r="AH10" i="30"/>
  <c r="H116" i="6"/>
  <c r="H143" i="6" s="1"/>
  <c r="AH44" i="27"/>
  <c r="AI10" i="27"/>
  <c r="AF18" i="24"/>
  <c r="AE18" i="17"/>
  <c r="J18" i="24"/>
  <c r="AG18" i="24"/>
  <c r="AH18" i="24"/>
  <c r="I116" i="6"/>
  <c r="O4" i="15"/>
  <c r="I126" i="11"/>
  <c r="U89" i="45"/>
  <c r="M126" i="10"/>
  <c r="Y13" i="8"/>
  <c r="V13" i="8"/>
  <c r="I128" i="7"/>
  <c r="O128" i="7" s="1"/>
  <c r="N126" i="12"/>
  <c r="AH43" i="23"/>
  <c r="AH10" i="23"/>
  <c r="AE126" i="10"/>
  <c r="O126" i="11"/>
  <c r="AF126" i="12"/>
  <c r="N126" i="10"/>
  <c r="AF126" i="10"/>
  <c r="AK126" i="10"/>
  <c r="AG106" i="10"/>
  <c r="AM106" i="10" s="1"/>
  <c r="AE106" i="10"/>
  <c r="AK106" i="10" s="1"/>
  <c r="AF106" i="10"/>
  <c r="AL106" i="10" s="1"/>
  <c r="AD106" i="10"/>
  <c r="AJ106" i="10"/>
  <c r="AB106" i="10"/>
  <c r="AH106" i="10"/>
  <c r="V98" i="10"/>
  <c r="AC97" i="12"/>
  <c r="Z128" i="12"/>
  <c r="Z89" i="12"/>
  <c r="V43" i="33"/>
  <c r="W41" i="33"/>
  <c r="W52" i="33" s="1"/>
  <c r="P36" i="17"/>
  <c r="T141" i="12" s="1"/>
  <c r="T138" i="12" s="1"/>
  <c r="T151" i="12" s="1"/>
  <c r="O36" i="17"/>
  <c r="S141" i="12" s="1"/>
  <c r="S138" i="12" s="1"/>
  <c r="S151" i="12" s="1"/>
  <c r="P41" i="34"/>
  <c r="Q60" i="34"/>
  <c r="W8" i="34"/>
  <c r="AI97" i="12"/>
  <c r="U93" i="45"/>
  <c r="T13" i="9"/>
  <c r="S13" i="9"/>
  <c r="T93" i="45"/>
  <c r="Q93" i="45"/>
  <c r="Q8" i="45"/>
  <c r="O8" i="45"/>
  <c r="T8" i="45"/>
  <c r="N103" i="7"/>
  <c r="T13" i="45"/>
  <c r="Q13" i="45"/>
  <c r="V13" i="45"/>
  <c r="AE100" i="12"/>
  <c r="AK100" i="12" s="1"/>
  <c r="M101" i="10"/>
  <c r="AE101" i="10" s="1"/>
  <c r="AK101" i="10" s="1"/>
  <c r="U8" i="45"/>
  <c r="O13" i="45"/>
  <c r="O101" i="10"/>
  <c r="AG101" i="10"/>
  <c r="AM101" i="10" s="1"/>
  <c r="AG100" i="12"/>
  <c r="AM100" i="12" s="1"/>
  <c r="I100" i="11"/>
  <c r="U13" i="45"/>
  <c r="N101" i="10"/>
  <c r="AF101" i="10"/>
  <c r="AL101" i="10" s="1"/>
  <c r="AL100" i="12"/>
  <c r="O100" i="11"/>
  <c r="I103" i="7"/>
  <c r="O103" i="7" s="1"/>
  <c r="P133" i="42"/>
  <c r="P77" i="41"/>
  <c r="O140" i="10"/>
  <c r="AG140" i="12"/>
  <c r="AM140" i="12" s="1"/>
  <c r="K142" i="7"/>
  <c r="P211" i="13"/>
  <c r="I46" i="12" s="1"/>
  <c r="J46" i="11"/>
  <c r="AF189" i="13"/>
  <c r="AG140" i="10"/>
  <c r="AM140" i="10" s="1"/>
  <c r="O138" i="10"/>
  <c r="O150" i="10" s="1"/>
  <c r="V13" i="9"/>
  <c r="Y13" i="9"/>
  <c r="I17" i="56"/>
  <c r="F17" i="56"/>
  <c r="G17" i="56" s="1"/>
  <c r="H17" i="56" s="1"/>
  <c r="N75" i="13"/>
  <c r="S75" i="13"/>
  <c r="G32" i="11"/>
  <c r="F32" i="12"/>
  <c r="AB32" i="12"/>
  <c r="AH32" i="12"/>
  <c r="J33" i="10"/>
  <c r="AB33" i="10" s="1"/>
  <c r="AH33" i="10" s="1"/>
  <c r="O33" i="10"/>
  <c r="AG33" i="10" s="1"/>
  <c r="AM33" i="10" s="1"/>
  <c r="E32" i="12"/>
  <c r="E32" i="51"/>
  <c r="N32" i="51" s="1"/>
  <c r="J32" i="7"/>
  <c r="F32" i="11"/>
  <c r="R75" i="13"/>
  <c r="D17" i="56"/>
  <c r="R71" i="13"/>
  <c r="L74" i="13"/>
  <c r="M71" i="13"/>
  <c r="C29" i="11"/>
  <c r="C32" i="10"/>
  <c r="C31" i="7"/>
  <c r="AG73" i="13"/>
  <c r="O73" i="13"/>
  <c r="U73" i="13" s="1"/>
  <c r="Q73" i="13"/>
  <c r="T73" i="13"/>
  <c r="Q31" i="11"/>
  <c r="C31" i="12"/>
  <c r="C29" i="12"/>
  <c r="S73" i="13"/>
  <c r="K32" i="12"/>
  <c r="AG75" i="13"/>
  <c r="G32" i="12"/>
  <c r="O75" i="13"/>
  <c r="T75" i="13"/>
  <c r="H32" i="11"/>
  <c r="L32" i="11"/>
  <c r="F32" i="7"/>
  <c r="L32" i="7" s="1"/>
  <c r="E33" i="10"/>
  <c r="L32" i="12"/>
  <c r="G32" i="7"/>
  <c r="M32" i="7" s="1"/>
  <c r="M32" i="11"/>
  <c r="F33" i="10"/>
  <c r="C16" i="56"/>
  <c r="C30" i="10"/>
  <c r="C29" i="7"/>
  <c r="N71" i="13"/>
  <c r="S71" i="13"/>
  <c r="E31" i="12"/>
  <c r="R74" i="13"/>
  <c r="F31" i="11"/>
  <c r="H32" i="7"/>
  <c r="N32" i="7" s="1"/>
  <c r="N32" i="11"/>
  <c r="G33" i="10"/>
  <c r="AC32" i="12"/>
  <c r="AI32" i="12" s="1"/>
  <c r="K33" i="10"/>
  <c r="AC33" i="10"/>
  <c r="AD32" i="12"/>
  <c r="AJ32" i="12" s="1"/>
  <c r="L33" i="10"/>
  <c r="AD33" i="10" s="1"/>
  <c r="AJ33" i="10" s="1"/>
  <c r="M32" i="12"/>
  <c r="H32" i="12"/>
  <c r="U75" i="13"/>
  <c r="I32" i="11"/>
  <c r="AI33" i="10"/>
  <c r="C13" i="56"/>
  <c r="O71" i="13"/>
  <c r="Q71" i="13"/>
  <c r="T71" i="13"/>
  <c r="AG71" i="13"/>
  <c r="E32" i="10"/>
  <c r="F31" i="7"/>
  <c r="L31" i="11"/>
  <c r="AE32" i="12"/>
  <c r="AK32" i="12"/>
  <c r="M33" i="10"/>
  <c r="AE33" i="10" s="1"/>
  <c r="AK33" i="10" s="1"/>
  <c r="N32" i="12"/>
  <c r="H33" i="10"/>
  <c r="I32" i="7"/>
  <c r="O32" i="7" s="1"/>
  <c r="O32" i="11"/>
  <c r="U71" i="13"/>
  <c r="AF32" i="12"/>
  <c r="AL32" i="12" s="1"/>
  <c r="N33" i="10"/>
  <c r="AF33" i="10" s="1"/>
  <c r="AL33" i="10" s="1"/>
  <c r="P135" i="42"/>
  <c r="Y71" i="42"/>
  <c r="R53" i="47"/>
  <c r="S53" i="47"/>
  <c r="N52" i="47"/>
  <c r="S52" i="47"/>
  <c r="N55" i="47"/>
  <c r="S55" i="47"/>
  <c r="R55" i="47"/>
  <c r="R52" i="47"/>
  <c r="O53" i="47"/>
  <c r="U53" i="47"/>
  <c r="W53" i="47"/>
  <c r="T53" i="47"/>
  <c r="W52" i="47"/>
  <c r="O52" i="47"/>
  <c r="Q52" i="47"/>
  <c r="T52" i="47"/>
  <c r="O55" i="47"/>
  <c r="U55" i="47"/>
  <c r="Q55" i="47"/>
  <c r="W55" i="47"/>
  <c r="T55" i="47"/>
  <c r="U52" i="47"/>
  <c r="Q55" i="45"/>
  <c r="V55" i="45"/>
  <c r="P57" i="45"/>
  <c r="V57" i="45"/>
  <c r="P87" i="45"/>
  <c r="J110" i="11" s="1"/>
  <c r="Q57" i="45"/>
  <c r="Y15" i="9"/>
  <c r="V15" i="9"/>
  <c r="V44" i="44"/>
  <c r="O44" i="44"/>
  <c r="Q44" i="44"/>
  <c r="T44" i="44"/>
  <c r="O42" i="44"/>
  <c r="Q42" i="44"/>
  <c r="V42" i="44"/>
  <c r="T42" i="44"/>
  <c r="Q40" i="44"/>
  <c r="V40" i="44"/>
  <c r="O40" i="44"/>
  <c r="T40" i="44"/>
  <c r="Q38" i="44"/>
  <c r="V38" i="44"/>
  <c r="O38" i="44"/>
  <c r="T38" i="44"/>
  <c r="O96" i="12"/>
  <c r="J31" i="44"/>
  <c r="J30" i="44"/>
  <c r="L27" i="44"/>
  <c r="Q43" i="44"/>
  <c r="O43" i="44"/>
  <c r="V43" i="44"/>
  <c r="T43" i="44"/>
  <c r="O41" i="44"/>
  <c r="Q41" i="44"/>
  <c r="T41" i="44"/>
  <c r="V41" i="44"/>
  <c r="O39" i="44"/>
  <c r="Q39" i="44"/>
  <c r="V39" i="44"/>
  <c r="T39" i="44"/>
  <c r="V37" i="44"/>
  <c r="O37" i="44"/>
  <c r="N45" i="44"/>
  <c r="Q37" i="44"/>
  <c r="T37" i="44"/>
  <c r="P34" i="44"/>
  <c r="J32" i="44"/>
  <c r="M45" i="44"/>
  <c r="M26" i="44" s="1"/>
  <c r="I32" i="44"/>
  <c r="J93" i="43"/>
  <c r="J89" i="43"/>
  <c r="J92" i="43"/>
  <c r="M69" i="43"/>
  <c r="Q71" i="43"/>
  <c r="Z71" i="43"/>
  <c r="T71" i="43"/>
  <c r="S71" i="43"/>
  <c r="I58" i="23"/>
  <c r="J58" i="23"/>
  <c r="K58" i="23" s="1"/>
  <c r="S315" i="13"/>
  <c r="N315" i="13"/>
  <c r="C61" i="7"/>
  <c r="C62" i="10"/>
  <c r="C11" i="9"/>
  <c r="N309" i="13"/>
  <c r="S309" i="13"/>
  <c r="C61" i="12"/>
  <c r="C58" i="12" s="1"/>
  <c r="R309" i="13"/>
  <c r="Z318" i="13"/>
  <c r="I318" i="13"/>
  <c r="L311" i="13"/>
  <c r="R311" i="13" s="1"/>
  <c r="AE317" i="13"/>
  <c r="D61" i="11"/>
  <c r="O303" i="13"/>
  <c r="U303" i="13" s="1"/>
  <c r="AG303" i="13"/>
  <c r="T303" i="13"/>
  <c r="N301" i="13"/>
  <c r="S301" i="13"/>
  <c r="L304" i="13"/>
  <c r="S303" i="13"/>
  <c r="P317" i="13"/>
  <c r="P318" i="13" s="1"/>
  <c r="C60" i="11"/>
  <c r="C60" i="7" s="1"/>
  <c r="M295" i="13"/>
  <c r="R295" i="13"/>
  <c r="M291" i="13"/>
  <c r="R291" i="13"/>
  <c r="C58" i="11"/>
  <c r="C9" i="9" s="1"/>
  <c r="C61" i="10"/>
  <c r="C59" i="10" s="1"/>
  <c r="P60" i="12"/>
  <c r="E60" i="7"/>
  <c r="D61" i="10"/>
  <c r="J60" i="11"/>
  <c r="AF299" i="13"/>
  <c r="D60" i="12"/>
  <c r="L292" i="13"/>
  <c r="J271" i="13"/>
  <c r="D26" i="11" s="1"/>
  <c r="O21" i="12"/>
  <c r="AG26" i="12"/>
  <c r="P24" i="7"/>
  <c r="E24" i="51"/>
  <c r="N24" i="51" s="1"/>
  <c r="S255" i="13"/>
  <c r="N255" i="13"/>
  <c r="F24" i="12"/>
  <c r="AJ24" i="12" s="1"/>
  <c r="G24" i="11"/>
  <c r="AE271" i="13"/>
  <c r="C26" i="10"/>
  <c r="I26" i="10"/>
  <c r="F24" i="11"/>
  <c r="C25" i="7"/>
  <c r="P25" i="7" s="1"/>
  <c r="P271" i="13"/>
  <c r="C26" i="11"/>
  <c r="R255" i="13"/>
  <c r="E24" i="12"/>
  <c r="AI24" i="12" s="1"/>
  <c r="I254" i="13"/>
  <c r="I272" i="13" s="1"/>
  <c r="J254" i="13"/>
  <c r="AE254" i="13" s="1"/>
  <c r="S248" i="13"/>
  <c r="L22" i="12"/>
  <c r="N248" i="13"/>
  <c r="AG246" i="13"/>
  <c r="O246" i="13"/>
  <c r="R248" i="13"/>
  <c r="L249" i="13"/>
  <c r="K22" i="12"/>
  <c r="T246" i="13"/>
  <c r="P254" i="13"/>
  <c r="J22" i="11" s="1"/>
  <c r="AG23" i="10"/>
  <c r="M249" i="13"/>
  <c r="C57" i="10"/>
  <c r="J56" i="11"/>
  <c r="U56" i="12" s="1"/>
  <c r="T238" i="13"/>
  <c r="O238" i="13"/>
  <c r="U238" i="13" s="1"/>
  <c r="Z243" i="13"/>
  <c r="S238" i="13"/>
  <c r="U229" i="13"/>
  <c r="N56" i="12"/>
  <c r="J56" i="7"/>
  <c r="K53" i="12"/>
  <c r="L242" i="13"/>
  <c r="I57" i="10"/>
  <c r="J53" i="12"/>
  <c r="D56" i="12"/>
  <c r="D53" i="12"/>
  <c r="K243" i="13"/>
  <c r="E56" i="11"/>
  <c r="M234" i="13"/>
  <c r="AG237" i="13"/>
  <c r="O237" i="13"/>
  <c r="U237" i="13" s="1"/>
  <c r="N230" i="13"/>
  <c r="S230" i="13"/>
  <c r="AE242" i="13"/>
  <c r="D56" i="11"/>
  <c r="M56" i="12"/>
  <c r="AG229" i="13"/>
  <c r="T229" i="13"/>
  <c r="AG233" i="13"/>
  <c r="T233" i="13"/>
  <c r="AG238" i="13"/>
  <c r="S229" i="13"/>
  <c r="L56" i="12"/>
  <c r="N227" i="13"/>
  <c r="S227" i="13"/>
  <c r="R227" i="13"/>
  <c r="P243" i="13"/>
  <c r="AF243" i="13" s="1"/>
  <c r="U55" i="12"/>
  <c r="J55" i="11"/>
  <c r="I55" i="12"/>
  <c r="AE228" i="13"/>
  <c r="J243" i="13"/>
  <c r="AE243" i="13" s="1"/>
  <c r="I243" i="13"/>
  <c r="C55" i="12"/>
  <c r="C53" i="12" s="1"/>
  <c r="C55" i="11"/>
  <c r="C55" i="7"/>
  <c r="C53" i="7" s="1"/>
  <c r="C22" i="56" s="1"/>
  <c r="N223" i="13"/>
  <c r="S223" i="13"/>
  <c r="L224" i="13"/>
  <c r="R223" i="13"/>
  <c r="N220" i="13"/>
  <c r="S220" i="13"/>
  <c r="AB55" i="12"/>
  <c r="E55" i="11"/>
  <c r="D55" i="11"/>
  <c r="N215" i="13"/>
  <c r="S215" i="13"/>
  <c r="L217" i="13"/>
  <c r="R217" i="13" s="1"/>
  <c r="AG214" i="13"/>
  <c r="R215" i="13"/>
  <c r="T214" i="13"/>
  <c r="M213" i="13"/>
  <c r="M44" i="11"/>
  <c r="M203" i="13"/>
  <c r="N203" i="13" s="1"/>
  <c r="R203" i="13"/>
  <c r="L44" i="11"/>
  <c r="L207" i="13"/>
  <c r="E44" i="7"/>
  <c r="P44" i="7" s="1"/>
  <c r="R200" i="13"/>
  <c r="N199" i="13"/>
  <c r="D44" i="7"/>
  <c r="AC44" i="7" s="1"/>
  <c r="F44" i="12"/>
  <c r="AJ44" i="12"/>
  <c r="S199" i="13"/>
  <c r="D45" i="10"/>
  <c r="AH45" i="10" s="1"/>
  <c r="E44" i="12"/>
  <c r="AI44" i="12"/>
  <c r="J43" i="7"/>
  <c r="U43" i="12"/>
  <c r="AF198" i="13"/>
  <c r="I43" i="12"/>
  <c r="N191" i="13"/>
  <c r="S191" i="13"/>
  <c r="M192" i="13"/>
  <c r="R192" i="13"/>
  <c r="L189" i="13"/>
  <c r="R189" i="13"/>
  <c r="M188" i="13"/>
  <c r="E41" i="7"/>
  <c r="J41" i="11"/>
  <c r="R178" i="13"/>
  <c r="L173" i="13"/>
  <c r="R162" i="13"/>
  <c r="P175" i="13"/>
  <c r="Z181" i="13"/>
  <c r="Z186" i="13" s="1"/>
  <c r="T152" i="13"/>
  <c r="AG152" i="13"/>
  <c r="AG142" i="13"/>
  <c r="O142" i="13"/>
  <c r="U142" i="13" s="1"/>
  <c r="Q140" i="13"/>
  <c r="AG140" i="13"/>
  <c r="O140" i="13"/>
  <c r="U140" i="13" s="1"/>
  <c r="N155" i="13"/>
  <c r="S155" i="13"/>
  <c r="M138" i="13"/>
  <c r="R138" i="13"/>
  <c r="M158" i="13"/>
  <c r="R158" i="13"/>
  <c r="S152" i="13"/>
  <c r="M134" i="13"/>
  <c r="R134" i="13"/>
  <c r="M132" i="13"/>
  <c r="R132" i="13"/>
  <c r="M151" i="13"/>
  <c r="T142" i="13"/>
  <c r="T140" i="13"/>
  <c r="O152" i="13"/>
  <c r="U152" i="13" s="1"/>
  <c r="S142" i="13"/>
  <c r="N141" i="13"/>
  <c r="S140" i="13"/>
  <c r="N147" i="13"/>
  <c r="N139" i="13"/>
  <c r="S122" i="13"/>
  <c r="N122" i="13"/>
  <c r="C38" i="11"/>
  <c r="Q38" i="11"/>
  <c r="C38" i="12"/>
  <c r="R129" i="13"/>
  <c r="L130" i="13"/>
  <c r="AG125" i="13"/>
  <c r="T125" i="13"/>
  <c r="Q125" i="13"/>
  <c r="O125" i="13"/>
  <c r="U125" i="13" s="1"/>
  <c r="D38" i="7"/>
  <c r="AC38" i="7" s="1"/>
  <c r="Z38" i="11"/>
  <c r="AG123" i="13"/>
  <c r="S125" i="13"/>
  <c r="N121" i="13"/>
  <c r="E38" i="7"/>
  <c r="R126" i="13"/>
  <c r="T123" i="13"/>
  <c r="O120" i="13"/>
  <c r="U120" i="13" s="1"/>
  <c r="AE130" i="13"/>
  <c r="N117" i="13"/>
  <c r="S117" i="13"/>
  <c r="I37" i="12"/>
  <c r="R117" i="13"/>
  <c r="S110" i="13"/>
  <c r="N110" i="13"/>
  <c r="N106" i="13"/>
  <c r="M115" i="13"/>
  <c r="R115" i="13"/>
  <c r="AE119" i="13"/>
  <c r="D37" i="11"/>
  <c r="C37" i="12"/>
  <c r="C37" i="11"/>
  <c r="R110" i="13"/>
  <c r="N109" i="13"/>
  <c r="AG108" i="13"/>
  <c r="O108" i="13"/>
  <c r="U108" i="13" s="1"/>
  <c r="R106" i="13"/>
  <c r="J38" i="10"/>
  <c r="T108" i="13"/>
  <c r="S106" i="13"/>
  <c r="N116" i="13"/>
  <c r="AF119" i="13"/>
  <c r="S95" i="13"/>
  <c r="N95" i="13"/>
  <c r="N96" i="13"/>
  <c r="S96" i="13"/>
  <c r="S92" i="13"/>
  <c r="N92" i="13"/>
  <c r="K100" i="13"/>
  <c r="R95" i="13"/>
  <c r="Q89" i="13"/>
  <c r="O89" i="13"/>
  <c r="U89" i="13" s="1"/>
  <c r="AG89" i="13"/>
  <c r="T89" i="13"/>
  <c r="S88" i="13"/>
  <c r="N88" i="13"/>
  <c r="M90" i="13"/>
  <c r="P100" i="13"/>
  <c r="L90" i="13"/>
  <c r="R90" i="13" s="1"/>
  <c r="S89" i="13"/>
  <c r="I100" i="13"/>
  <c r="C34" i="11" s="1"/>
  <c r="Z100" i="13"/>
  <c r="Z101" i="13" s="1"/>
  <c r="N86" i="13"/>
  <c r="S86" i="13"/>
  <c r="O85" i="13"/>
  <c r="Q85" i="13"/>
  <c r="T85" i="13"/>
  <c r="AG85" i="13"/>
  <c r="C34" i="12"/>
  <c r="L87" i="13"/>
  <c r="R87" i="13"/>
  <c r="R86" i="13"/>
  <c r="S85" i="13"/>
  <c r="M87" i="13"/>
  <c r="O79" i="13"/>
  <c r="AG79" i="13"/>
  <c r="T79" i="13"/>
  <c r="M83" i="13"/>
  <c r="S81" i="13"/>
  <c r="N81" i="13"/>
  <c r="L83" i="13"/>
  <c r="R81" i="13"/>
  <c r="D34" i="12"/>
  <c r="AE83" i="13"/>
  <c r="J100" i="13"/>
  <c r="S82" i="13"/>
  <c r="N82" i="13"/>
  <c r="T80" i="13"/>
  <c r="AG5" i="66"/>
  <c r="AG40" i="66" s="1"/>
  <c r="AG5" i="24"/>
  <c r="AG40" i="24" s="1"/>
  <c r="AG5" i="33"/>
  <c r="AG40" i="33" s="1"/>
  <c r="AG5" i="34"/>
  <c r="AG40" i="34" s="1"/>
  <c r="AG5" i="25"/>
  <c r="AG40" i="25" s="1"/>
  <c r="AG5" i="26"/>
  <c r="AG40" i="26" s="1"/>
  <c r="AG5" i="28"/>
  <c r="AG40" i="28" s="1"/>
  <c r="AG5" i="29"/>
  <c r="AG40" i="29" s="1"/>
  <c r="AG5" i="30"/>
  <c r="AG40" i="30" s="1"/>
  <c r="AG5" i="35"/>
  <c r="AG40" i="35" s="1"/>
  <c r="AG5" i="36"/>
  <c r="AG40" i="36" s="1"/>
  <c r="AG5" i="38"/>
  <c r="AG40" i="38" s="1"/>
  <c r="AG5" i="31"/>
  <c r="AG40" i="31" s="1"/>
  <c r="AG5" i="37"/>
  <c r="AG40" i="37" s="1"/>
  <c r="AG40" i="17"/>
  <c r="N26" i="44"/>
  <c r="T45" i="44"/>
  <c r="V45" i="44"/>
  <c r="Q45" i="44"/>
  <c r="AG96" i="12"/>
  <c r="AM96" i="12" s="1"/>
  <c r="D96" i="11"/>
  <c r="J34" i="44"/>
  <c r="J33" i="44"/>
  <c r="O45" i="44"/>
  <c r="O26" i="44" s="1"/>
  <c r="L29" i="44"/>
  <c r="S69" i="43"/>
  <c r="N69" i="43"/>
  <c r="T315" i="13"/>
  <c r="O315" i="13"/>
  <c r="U315" i="13" s="1"/>
  <c r="AG315" i="13"/>
  <c r="AG309" i="13"/>
  <c r="T309" i="13"/>
  <c r="O309" i="13"/>
  <c r="U309" i="13"/>
  <c r="J61" i="11"/>
  <c r="U61" i="12" s="1"/>
  <c r="I61" i="12"/>
  <c r="D61" i="7"/>
  <c r="AC61" i="7"/>
  <c r="Z61" i="11"/>
  <c r="D11" i="9"/>
  <c r="R304" i="13"/>
  <c r="T301" i="13"/>
  <c r="O301" i="13"/>
  <c r="AG301" i="13"/>
  <c r="Q60" i="11"/>
  <c r="E60" i="51"/>
  <c r="U60" i="12"/>
  <c r="J60" i="7"/>
  <c r="I61" i="10"/>
  <c r="N291" i="13"/>
  <c r="S291" i="13"/>
  <c r="P61" i="10"/>
  <c r="AB60" i="12"/>
  <c r="N295" i="13"/>
  <c r="S295" i="13"/>
  <c r="R292" i="13"/>
  <c r="C27" i="10"/>
  <c r="C26" i="7"/>
  <c r="F24" i="7"/>
  <c r="L24" i="7"/>
  <c r="E25" i="10"/>
  <c r="AI25" i="10"/>
  <c r="L24" i="11"/>
  <c r="G24" i="7"/>
  <c r="M24" i="7"/>
  <c r="M24" i="11"/>
  <c r="F25" i="10"/>
  <c r="AJ25" i="10" s="1"/>
  <c r="AG255" i="13"/>
  <c r="T255" i="13"/>
  <c r="H24" i="11"/>
  <c r="O255" i="13"/>
  <c r="G24" i="12"/>
  <c r="AK24" i="12"/>
  <c r="I26" i="12"/>
  <c r="AM26" i="12"/>
  <c r="J26" i="11"/>
  <c r="J272" i="13"/>
  <c r="AE272" i="13" s="1"/>
  <c r="K23" i="10"/>
  <c r="U246" i="13"/>
  <c r="S249" i="13"/>
  <c r="O248" i="13"/>
  <c r="N22" i="12" s="1"/>
  <c r="T248" i="13"/>
  <c r="AG248" i="13"/>
  <c r="L23" i="10"/>
  <c r="R249" i="13"/>
  <c r="M22" i="12"/>
  <c r="M53" i="12"/>
  <c r="E56" i="12"/>
  <c r="F56" i="11"/>
  <c r="R242" i="13"/>
  <c r="N234" i="13"/>
  <c r="S234" i="13"/>
  <c r="D56" i="7"/>
  <c r="AC56" i="7"/>
  <c r="Z56" i="11"/>
  <c r="P56" i="12"/>
  <c r="Q56" i="11"/>
  <c r="L53" i="12"/>
  <c r="O230" i="13"/>
  <c r="T230" i="13"/>
  <c r="AG230" i="13"/>
  <c r="N53" i="12"/>
  <c r="C56" i="10"/>
  <c r="C54" i="10"/>
  <c r="C53" i="11"/>
  <c r="C10" i="8"/>
  <c r="AH55" i="12"/>
  <c r="AG227" i="13"/>
  <c r="T227" i="13"/>
  <c r="O227" i="13"/>
  <c r="U227" i="13" s="1"/>
  <c r="I56" i="10"/>
  <c r="J55" i="7"/>
  <c r="R224" i="13"/>
  <c r="L228" i="13"/>
  <c r="AG223" i="13"/>
  <c r="O223" i="13"/>
  <c r="U223" i="13"/>
  <c r="T223" i="13"/>
  <c r="U56" i="10"/>
  <c r="AG55" i="12"/>
  <c r="Q55" i="11"/>
  <c r="E55" i="7"/>
  <c r="E53" i="11"/>
  <c r="D56" i="10"/>
  <c r="D55" i="7"/>
  <c r="D53" i="11"/>
  <c r="Z55" i="11"/>
  <c r="O220" i="13"/>
  <c r="T220" i="13"/>
  <c r="AG220" i="13"/>
  <c r="S213" i="13"/>
  <c r="N213" i="13"/>
  <c r="AG215" i="13"/>
  <c r="O215" i="13"/>
  <c r="U215" i="13"/>
  <c r="T215" i="13"/>
  <c r="E44" i="51"/>
  <c r="N44" i="51" s="1"/>
  <c r="Q199" i="13"/>
  <c r="O199" i="13"/>
  <c r="H44" i="11"/>
  <c r="T199" i="13"/>
  <c r="G44" i="12"/>
  <c r="AG199" i="13"/>
  <c r="N192" i="13"/>
  <c r="S192" i="13"/>
  <c r="T191" i="13"/>
  <c r="AG191" i="13"/>
  <c r="O191" i="13"/>
  <c r="Q191" i="13"/>
  <c r="AG43" i="12"/>
  <c r="AM43" i="12" s="1"/>
  <c r="E41" i="51"/>
  <c r="S188" i="13"/>
  <c r="N188" i="13"/>
  <c r="N158" i="13"/>
  <c r="S158" i="13"/>
  <c r="N151" i="13"/>
  <c r="S151" i="13"/>
  <c r="N132" i="13"/>
  <c r="S132" i="13"/>
  <c r="N138" i="13"/>
  <c r="S138" i="13"/>
  <c r="Q139" i="13"/>
  <c r="T139" i="13"/>
  <c r="AG139" i="13"/>
  <c r="O139" i="13"/>
  <c r="U139" i="13" s="1"/>
  <c r="Q147" i="13"/>
  <c r="T147" i="13"/>
  <c r="O147" i="13"/>
  <c r="U147" i="13"/>
  <c r="AG147" i="13"/>
  <c r="Q155" i="13"/>
  <c r="T155" i="13"/>
  <c r="AG155" i="13"/>
  <c r="O155" i="13"/>
  <c r="U155" i="13" s="1"/>
  <c r="N134" i="13"/>
  <c r="S134" i="13"/>
  <c r="T141" i="13"/>
  <c r="O141" i="13"/>
  <c r="U141" i="13" s="1"/>
  <c r="AG141" i="13"/>
  <c r="E38" i="51"/>
  <c r="O121" i="13"/>
  <c r="U121" i="13" s="1"/>
  <c r="Q121" i="13"/>
  <c r="AG121" i="13"/>
  <c r="T121" i="13"/>
  <c r="F38" i="11"/>
  <c r="E38" i="12"/>
  <c r="R130" i="13"/>
  <c r="K38" i="12"/>
  <c r="T122" i="13"/>
  <c r="O122" i="13"/>
  <c r="U122" i="13" s="1"/>
  <c r="AG122" i="13"/>
  <c r="C39" i="10"/>
  <c r="C38" i="7"/>
  <c r="P38" i="7" s="1"/>
  <c r="AG117" i="13"/>
  <c r="T117" i="13"/>
  <c r="O117" i="13"/>
  <c r="U117" i="13" s="1"/>
  <c r="N115" i="13"/>
  <c r="S115" i="13"/>
  <c r="Q110" i="13"/>
  <c r="AG110" i="13"/>
  <c r="O110" i="13"/>
  <c r="T110" i="13"/>
  <c r="T116" i="13"/>
  <c r="AG116" i="13"/>
  <c r="O116" i="13"/>
  <c r="U116" i="13" s="1"/>
  <c r="Q116" i="13"/>
  <c r="O106" i="13"/>
  <c r="Q106" i="13"/>
  <c r="AG106" i="13"/>
  <c r="T106" i="13"/>
  <c r="Q109" i="13"/>
  <c r="T109" i="13"/>
  <c r="AG109" i="13"/>
  <c r="O109" i="13"/>
  <c r="U109" i="13" s="1"/>
  <c r="Z37" i="11"/>
  <c r="T96" i="13"/>
  <c r="AG96" i="13"/>
  <c r="O96" i="13"/>
  <c r="U96" i="13" s="1"/>
  <c r="E34" i="11"/>
  <c r="E34" i="7" s="1"/>
  <c r="AG92" i="13"/>
  <c r="Q92" i="13"/>
  <c r="T92" i="13"/>
  <c r="O92" i="13"/>
  <c r="U92" i="13"/>
  <c r="AG95" i="13"/>
  <c r="T95" i="13"/>
  <c r="O95" i="13"/>
  <c r="U95" i="13"/>
  <c r="I101" i="13"/>
  <c r="P101" i="13"/>
  <c r="J34" i="11"/>
  <c r="I34" i="12"/>
  <c r="S90" i="13"/>
  <c r="N90" i="13"/>
  <c r="T88" i="13"/>
  <c r="Q88" i="13"/>
  <c r="AG88" i="13"/>
  <c r="O88" i="13"/>
  <c r="S87" i="13"/>
  <c r="AG86" i="13"/>
  <c r="O86" i="13"/>
  <c r="U86" i="13"/>
  <c r="T86" i="13"/>
  <c r="N87" i="13"/>
  <c r="U87" i="13" s="1"/>
  <c r="O87" i="13"/>
  <c r="U85" i="13"/>
  <c r="U79" i="13"/>
  <c r="T82" i="13"/>
  <c r="AG82" i="13"/>
  <c r="O82" i="13"/>
  <c r="U82" i="13"/>
  <c r="T81" i="13"/>
  <c r="AG81" i="13"/>
  <c r="Q81" i="13"/>
  <c r="N83" i="13"/>
  <c r="O81" i="13"/>
  <c r="O34" i="12"/>
  <c r="I28" i="12"/>
  <c r="AE100" i="13"/>
  <c r="J101" i="13"/>
  <c r="D34" i="11"/>
  <c r="S83" i="13"/>
  <c r="J34" i="12"/>
  <c r="O9" i="8"/>
  <c r="D99" i="7" s="1"/>
  <c r="AC99" i="7" s="1"/>
  <c r="Z96" i="11"/>
  <c r="V26" i="44"/>
  <c r="Q26" i="44"/>
  <c r="N27" i="44"/>
  <c r="Q69" i="43"/>
  <c r="Z69" i="43"/>
  <c r="T69" i="43"/>
  <c r="O69" i="43"/>
  <c r="U301" i="13"/>
  <c r="J11" i="9"/>
  <c r="AB61" i="10"/>
  <c r="AH60" i="12"/>
  <c r="H60" i="51"/>
  <c r="N60" i="51"/>
  <c r="AG291" i="13"/>
  <c r="O291" i="13"/>
  <c r="T291" i="13"/>
  <c r="O295" i="13"/>
  <c r="AG295" i="13"/>
  <c r="Q295" i="13"/>
  <c r="T295" i="13"/>
  <c r="U61" i="10"/>
  <c r="AG60" i="12"/>
  <c r="H24" i="12"/>
  <c r="AL24" i="12"/>
  <c r="U255" i="13"/>
  <c r="I24" i="11"/>
  <c r="H24" i="7"/>
  <c r="N24" i="7" s="1"/>
  <c r="N24" i="11"/>
  <c r="G25" i="10"/>
  <c r="AK25" i="10"/>
  <c r="M23" i="10"/>
  <c r="U230" i="13"/>
  <c r="AB56" i="12"/>
  <c r="P53" i="12"/>
  <c r="L56" i="11"/>
  <c r="Q56" i="12"/>
  <c r="O234" i="13"/>
  <c r="U234" i="13" s="1"/>
  <c r="T234" i="13"/>
  <c r="AG234" i="13"/>
  <c r="AG56" i="10"/>
  <c r="AM56" i="10" s="1"/>
  <c r="E55" i="12"/>
  <c r="F55" i="11"/>
  <c r="L243" i="13"/>
  <c r="R243" i="13" s="1"/>
  <c r="R228" i="13"/>
  <c r="Q55" i="12"/>
  <c r="AM55" i="12"/>
  <c r="U220" i="13"/>
  <c r="Z53" i="11"/>
  <c r="D10" i="8"/>
  <c r="P55" i="7"/>
  <c r="E55" i="51"/>
  <c r="AH56" i="10"/>
  <c r="Q53" i="11"/>
  <c r="D53" i="7"/>
  <c r="AC55" i="7"/>
  <c r="T213" i="13"/>
  <c r="O213" i="13"/>
  <c r="U213" i="13" s="1"/>
  <c r="AG213" i="13"/>
  <c r="Q213" i="13"/>
  <c r="N44" i="11"/>
  <c r="K44" i="11"/>
  <c r="I44" i="11"/>
  <c r="H44" i="12"/>
  <c r="U199" i="13"/>
  <c r="U191" i="13"/>
  <c r="O192" i="13"/>
  <c r="Q192" i="13"/>
  <c r="AG192" i="13"/>
  <c r="T192" i="13"/>
  <c r="H41" i="51"/>
  <c r="N41" i="51"/>
  <c r="Q188" i="13"/>
  <c r="T188" i="13"/>
  <c r="AG188" i="13"/>
  <c r="O188" i="13"/>
  <c r="O132" i="13"/>
  <c r="AG132" i="13"/>
  <c r="T132" i="13"/>
  <c r="AG138" i="13"/>
  <c r="O138" i="13"/>
  <c r="U138" i="13"/>
  <c r="T138" i="13"/>
  <c r="O151" i="13"/>
  <c r="U151" i="13" s="1"/>
  <c r="T151" i="13"/>
  <c r="AG151" i="13"/>
  <c r="O134" i="13"/>
  <c r="U134" i="13" s="1"/>
  <c r="AG134" i="13"/>
  <c r="T134" i="13"/>
  <c r="AG158" i="13"/>
  <c r="O158" i="13"/>
  <c r="U158" i="13"/>
  <c r="T158" i="13"/>
  <c r="N38" i="51"/>
  <c r="H38" i="51"/>
  <c r="AC38" i="12"/>
  <c r="AI38" i="12" s="1"/>
  <c r="L38" i="11"/>
  <c r="AG115" i="13"/>
  <c r="T115" i="13"/>
  <c r="U115" i="13"/>
  <c r="U106" i="13"/>
  <c r="U110" i="13"/>
  <c r="D35" i="10"/>
  <c r="T90" i="13"/>
  <c r="Q90" i="13"/>
  <c r="AG90" i="13"/>
  <c r="J34" i="7"/>
  <c r="J28" i="7"/>
  <c r="J28" i="11"/>
  <c r="I35" i="10"/>
  <c r="I29" i="10" s="1"/>
  <c r="O90" i="13"/>
  <c r="U90" i="13"/>
  <c r="U88" i="13"/>
  <c r="AF101" i="13"/>
  <c r="T87" i="13"/>
  <c r="Q87" i="13"/>
  <c r="AG87" i="13"/>
  <c r="AG34" i="12"/>
  <c r="AM34" i="12" s="1"/>
  <c r="O35" i="10"/>
  <c r="D34" i="7"/>
  <c r="Z34" i="11"/>
  <c r="U81" i="13"/>
  <c r="J35" i="10"/>
  <c r="AB34" i="12"/>
  <c r="AE101" i="13"/>
  <c r="Q83" i="13"/>
  <c r="AG83" i="13"/>
  <c r="T83" i="13"/>
  <c r="Q27" i="44"/>
  <c r="N29" i="44"/>
  <c r="V27" i="44"/>
  <c r="U69" i="43"/>
  <c r="U291" i="13"/>
  <c r="AG61" i="10"/>
  <c r="AM60" i="12"/>
  <c r="AH61" i="10"/>
  <c r="U295" i="13"/>
  <c r="I24" i="7"/>
  <c r="O24" i="7"/>
  <c r="O24" i="11"/>
  <c r="H25" i="10"/>
  <c r="AL25" i="10" s="1"/>
  <c r="AC56" i="12"/>
  <c r="AI56" i="12"/>
  <c r="AB53" i="12"/>
  <c r="AH53" i="12"/>
  <c r="AH56" i="12"/>
  <c r="E53" i="12"/>
  <c r="E56" i="10"/>
  <c r="F55" i="7"/>
  <c r="F53" i="11"/>
  <c r="L55" i="11"/>
  <c r="Q53" i="12"/>
  <c r="AC55" i="12"/>
  <c r="AC53" i="12"/>
  <c r="Q56" i="10"/>
  <c r="AC53" i="7"/>
  <c r="D22" i="56"/>
  <c r="H55" i="51"/>
  <c r="N55" i="51"/>
  <c r="O44" i="11"/>
  <c r="U192" i="13"/>
  <c r="U188" i="13"/>
  <c r="U132" i="13"/>
  <c r="J9" i="8"/>
  <c r="AH34" i="12"/>
  <c r="AG35" i="10"/>
  <c r="AC34" i="7"/>
  <c r="D19" i="56"/>
  <c r="AB35" i="10"/>
  <c r="V29" i="44"/>
  <c r="Q29" i="44"/>
  <c r="AM61" i="10"/>
  <c r="L53" i="11"/>
  <c r="L55" i="7"/>
  <c r="AC56" i="10"/>
  <c r="AI53" i="12"/>
  <c r="AI55" i="12"/>
  <c r="AH35" i="10"/>
  <c r="AM35" i="10"/>
  <c r="AI56" i="10"/>
  <c r="N210" i="13"/>
  <c r="S210" i="13"/>
  <c r="AB46" i="12"/>
  <c r="E46" i="11"/>
  <c r="R210" i="13"/>
  <c r="U35" i="12"/>
  <c r="N208" i="13"/>
  <c r="D46" i="12"/>
  <c r="AH46" i="12" s="1"/>
  <c r="J46" i="10"/>
  <c r="AB46" i="10"/>
  <c r="L211" i="13"/>
  <c r="F46" i="11" s="1"/>
  <c r="AF211" i="13"/>
  <c r="D46" i="11"/>
  <c r="AE211" i="13"/>
  <c r="J46" i="7"/>
  <c r="I47" i="10"/>
  <c r="N44" i="12"/>
  <c r="AE44" i="12"/>
  <c r="AK44" i="12" s="1"/>
  <c r="N200" i="13"/>
  <c r="S200" i="13"/>
  <c r="O209" i="13"/>
  <c r="U209" i="13"/>
  <c r="T209" i="13"/>
  <c r="AG209" i="13"/>
  <c r="R201" i="13"/>
  <c r="Q46" i="12"/>
  <c r="R207" i="13"/>
  <c r="E45" i="7"/>
  <c r="Q45" i="11"/>
  <c r="D46" i="10"/>
  <c r="AH46" i="10"/>
  <c r="T210" i="13"/>
  <c r="M205" i="13"/>
  <c r="S209" i="13"/>
  <c r="O46" i="12"/>
  <c r="M204" i="13"/>
  <c r="S203" i="13"/>
  <c r="T185" i="13"/>
  <c r="L42" i="12"/>
  <c r="S190" i="13"/>
  <c r="F42" i="12"/>
  <c r="N190" i="13"/>
  <c r="AG41" i="12"/>
  <c r="AM41" i="12" s="1"/>
  <c r="J41" i="12"/>
  <c r="E41" i="12"/>
  <c r="M179" i="13"/>
  <c r="N179" i="13" s="1"/>
  <c r="R180" i="13"/>
  <c r="L180" i="13"/>
  <c r="N178" i="13"/>
  <c r="S178" i="13"/>
  <c r="S179" i="13"/>
  <c r="AG208" i="13"/>
  <c r="T208" i="13"/>
  <c r="D47" i="10"/>
  <c r="E46" i="7"/>
  <c r="O208" i="13"/>
  <c r="U208" i="13" s="1"/>
  <c r="R211" i="13"/>
  <c r="E46" i="12"/>
  <c r="K46" i="12"/>
  <c r="AG210" i="13"/>
  <c r="O210" i="13"/>
  <c r="U210" i="13" s="1"/>
  <c r="S205" i="13"/>
  <c r="N205" i="13"/>
  <c r="Q47" i="10"/>
  <c r="AF44" i="12"/>
  <c r="AL44" i="12" s="1"/>
  <c r="O44" i="12"/>
  <c r="S204" i="13"/>
  <c r="N204" i="13"/>
  <c r="AG46" i="12"/>
  <c r="AM46" i="12" s="1"/>
  <c r="O47" i="10"/>
  <c r="R46" i="12"/>
  <c r="T200" i="13"/>
  <c r="AG200" i="13"/>
  <c r="O200" i="13"/>
  <c r="Z46" i="11"/>
  <c r="D46" i="7"/>
  <c r="AC46" i="7" s="1"/>
  <c r="E45" i="51"/>
  <c r="P45" i="7"/>
  <c r="T190" i="13"/>
  <c r="G42" i="12"/>
  <c r="Q190" i="13"/>
  <c r="O190" i="13"/>
  <c r="M42" i="12"/>
  <c r="AG190" i="13"/>
  <c r="AB41" i="12"/>
  <c r="AH41" i="12" s="1"/>
  <c r="F41" i="11"/>
  <c r="K41" i="12"/>
  <c r="AD42" i="12"/>
  <c r="AJ42" i="12" s="1"/>
  <c r="G42" i="11"/>
  <c r="M180" i="13"/>
  <c r="S180" i="13"/>
  <c r="AG178" i="13"/>
  <c r="O178" i="13"/>
  <c r="U178" i="13"/>
  <c r="T178" i="13"/>
  <c r="AC46" i="12"/>
  <c r="AI46" i="12"/>
  <c r="E46" i="51"/>
  <c r="T204" i="13"/>
  <c r="AG204" i="13"/>
  <c r="O204" i="13"/>
  <c r="H45" i="51"/>
  <c r="N45" i="51"/>
  <c r="U200" i="13"/>
  <c r="AG44" i="12"/>
  <c r="AM44" i="12" s="1"/>
  <c r="T205" i="13"/>
  <c r="O205" i="13"/>
  <c r="U205" i="13"/>
  <c r="AG205" i="13"/>
  <c r="M42" i="11"/>
  <c r="AE42" i="12"/>
  <c r="AK42" i="12"/>
  <c r="H42" i="12"/>
  <c r="N42" i="12"/>
  <c r="U190" i="13"/>
  <c r="AC41" i="12"/>
  <c r="AI41" i="12"/>
  <c r="L41" i="11"/>
  <c r="H42" i="11"/>
  <c r="H46" i="51"/>
  <c r="N46" i="51"/>
  <c r="U204" i="13"/>
  <c r="N42" i="11"/>
  <c r="K42" i="11"/>
  <c r="AF42" i="12"/>
  <c r="AL42" i="12" s="1"/>
  <c r="I42" i="11"/>
  <c r="O42" i="11" s="1"/>
  <c r="E155" i="11"/>
  <c r="AE54" i="37"/>
  <c r="L39" i="18"/>
  <c r="K3" i="40"/>
  <c r="K3" i="41"/>
  <c r="K3" i="43" s="1"/>
  <c r="K3" i="44" s="1"/>
  <c r="K3" i="45" s="1"/>
  <c r="K3" i="46" s="1"/>
  <c r="K121" i="20"/>
  <c r="K3" i="21"/>
  <c r="K5" i="27"/>
  <c r="K40" i="27"/>
  <c r="K5" i="24"/>
  <c r="K40" i="24" s="1"/>
  <c r="K5" i="33"/>
  <c r="K40" i="33" s="1"/>
  <c r="K5" i="36"/>
  <c r="K40" i="36"/>
  <c r="K5" i="25"/>
  <c r="K40" i="25"/>
  <c r="K5" i="30"/>
  <c r="K40" i="30" s="1"/>
  <c r="K5" i="38"/>
  <c r="K40" i="38" s="1"/>
  <c r="K5" i="32"/>
  <c r="K40" i="32"/>
  <c r="V4" i="8"/>
  <c r="V4" i="9"/>
  <c r="L4" i="30"/>
  <c r="L39" i="30" s="1"/>
  <c r="L4" i="37"/>
  <c r="L39" i="37" s="1"/>
  <c r="L4" i="34"/>
  <c r="L39" i="34"/>
  <c r="L4" i="32"/>
  <c r="L39" i="32"/>
  <c r="L4" i="38"/>
  <c r="L39" i="38" s="1"/>
  <c r="L4" i="66"/>
  <c r="L39" i="66" s="1"/>
  <c r="L4" i="31"/>
  <c r="L39" i="31"/>
  <c r="L4" i="29"/>
  <c r="L39" i="29"/>
  <c r="L4" i="24"/>
  <c r="L39" i="24" s="1"/>
  <c r="L39" i="23"/>
  <c r="L4" i="36"/>
  <c r="L39" i="36"/>
  <c r="L4" i="33"/>
  <c r="L39" i="33" s="1"/>
  <c r="L4" i="26"/>
  <c r="L39" i="26" s="1"/>
  <c r="L4" i="28"/>
  <c r="L39" i="28"/>
  <c r="L4" i="27"/>
  <c r="L39" i="27"/>
  <c r="L4" i="35"/>
  <c r="L39" i="35" s="1"/>
  <c r="L4" i="25"/>
  <c r="L39" i="25" s="1"/>
  <c r="Q3" i="40"/>
  <c r="Q3" i="41"/>
  <c r="Q3" i="43" s="1"/>
  <c r="Q3" i="44" s="1"/>
  <c r="Q3" i="45" s="1"/>
  <c r="Q3" i="46" s="1"/>
  <c r="Q3" i="21"/>
  <c r="Q121" i="20"/>
  <c r="P3" i="40"/>
  <c r="P3" i="41"/>
  <c r="P3" i="43" s="1"/>
  <c r="P3" i="44" s="1"/>
  <c r="P3" i="45" s="1"/>
  <c r="P3" i="46" s="1"/>
  <c r="P121" i="20"/>
  <c r="P3" i="21"/>
  <c r="N121" i="20"/>
  <c r="N3" i="40"/>
  <c r="N3" i="41" s="1"/>
  <c r="N3" i="43" s="1"/>
  <c r="N3" i="44" s="1"/>
  <c r="N3" i="45" s="1"/>
  <c r="N3" i="46" s="1"/>
  <c r="N3" i="21"/>
  <c r="U4" i="8"/>
  <c r="U4" i="9" s="1"/>
  <c r="K5" i="31"/>
  <c r="K40" i="31"/>
  <c r="P1" i="19"/>
  <c r="K5" i="29"/>
  <c r="K40" i="29" s="1"/>
  <c r="K5" i="35"/>
  <c r="K40" i="35"/>
  <c r="K5" i="66"/>
  <c r="K40" i="66"/>
  <c r="K5" i="28"/>
  <c r="K40" i="28" s="1"/>
  <c r="K5" i="34"/>
  <c r="K40" i="34" s="1"/>
  <c r="K5" i="37"/>
  <c r="K40" i="37"/>
  <c r="I54" i="29"/>
  <c r="AF54" i="29"/>
  <c r="I54" i="30"/>
  <c r="AF54" i="30"/>
  <c r="J54" i="33"/>
  <c r="AH54" i="33" s="1"/>
  <c r="AG54" i="33"/>
  <c r="AI54" i="33"/>
  <c r="I54" i="34"/>
  <c r="AF54" i="34"/>
  <c r="I54" i="37"/>
  <c r="AF54" i="37"/>
  <c r="I54" i="24"/>
  <c r="AF54" i="24"/>
  <c r="I54" i="25"/>
  <c r="AF54" i="25"/>
  <c r="I54" i="26"/>
  <c r="AF54" i="26"/>
  <c r="J54" i="31"/>
  <c r="AH54" i="31" s="1"/>
  <c r="AG54" i="31"/>
  <c r="AI54" i="31"/>
  <c r="R54" i="17"/>
  <c r="AB154" i="12" s="1"/>
  <c r="AH154" i="12" s="1"/>
  <c r="H54" i="27"/>
  <c r="H54" i="32"/>
  <c r="I54" i="35"/>
  <c r="AE54" i="66"/>
  <c r="AE54" i="29"/>
  <c r="AF54" i="31"/>
  <c r="AF54" i="33"/>
  <c r="G54" i="17"/>
  <c r="F154" i="11" s="1"/>
  <c r="Y55" i="17"/>
  <c r="I54" i="66"/>
  <c r="AF54" i="66"/>
  <c r="AK54" i="17"/>
  <c r="N54" i="66"/>
  <c r="O54" i="66"/>
  <c r="P54" i="66" s="1"/>
  <c r="Y54" i="17"/>
  <c r="Y56" i="17"/>
  <c r="O55" i="18"/>
  <c r="O55" i="17" s="1"/>
  <c r="N55" i="17"/>
  <c r="U56" i="18"/>
  <c r="U56" i="17" s="1"/>
  <c r="T56" i="17"/>
  <c r="O56" i="18"/>
  <c r="O56" i="17"/>
  <c r="N56" i="17"/>
  <c r="Z55" i="17"/>
  <c r="AA55" i="18"/>
  <c r="AB55" i="18"/>
  <c r="G55" i="17"/>
  <c r="I54" i="23"/>
  <c r="AF54" i="23"/>
  <c r="D160" i="7"/>
  <c r="AC160" i="7" s="1"/>
  <c r="AJ54" i="17"/>
  <c r="Z56" i="17"/>
  <c r="AB55" i="17"/>
  <c r="T54" i="18"/>
  <c r="S54" i="17"/>
  <c r="AC154" i="12" s="1"/>
  <c r="O54" i="18"/>
  <c r="N54" i="17"/>
  <c r="AL54" i="17"/>
  <c r="AQ54" i="17" s="1"/>
  <c r="U55" i="18"/>
  <c r="T55" i="17"/>
  <c r="C160" i="7"/>
  <c r="P160" i="7" s="1"/>
  <c r="AF55" i="18"/>
  <c r="I55" i="18"/>
  <c r="H55" i="17"/>
  <c r="AB54" i="18"/>
  <c r="AA54" i="17"/>
  <c r="V56" i="18"/>
  <c r="V56" i="17" s="1"/>
  <c r="Z54" i="17"/>
  <c r="AA55" i="17"/>
  <c r="AA56" i="18"/>
  <c r="P55" i="18"/>
  <c r="P55" i="17" s="1"/>
  <c r="H54" i="18"/>
  <c r="AH155" i="12"/>
  <c r="AI55" i="17"/>
  <c r="AE54" i="18"/>
  <c r="Q39" i="23"/>
  <c r="U39" i="23"/>
  <c r="U4" i="25"/>
  <c r="U39" i="25" s="1"/>
  <c r="O39" i="23"/>
  <c r="Q4" i="33"/>
  <c r="Q39" i="33" s="1"/>
  <c r="S4" i="35"/>
  <c r="S39" i="35" s="1"/>
  <c r="P4" i="27"/>
  <c r="P39" i="27" s="1"/>
  <c r="W39" i="18"/>
  <c r="U4" i="26"/>
  <c r="U39" i="26"/>
  <c r="S4" i="66"/>
  <c r="S39" i="66" s="1"/>
  <c r="Q4" i="31"/>
  <c r="Q39" i="31"/>
  <c r="O4" i="32"/>
  <c r="O39" i="32" s="1"/>
  <c r="Q4" i="24"/>
  <c r="Q39" i="24"/>
  <c r="S4" i="25"/>
  <c r="S39" i="25" s="1"/>
  <c r="S4" i="26"/>
  <c r="S39" i="26"/>
  <c r="O4" i="27"/>
  <c r="O39" i="27" s="1"/>
  <c r="V4" i="28"/>
  <c r="V39" i="28"/>
  <c r="K4" i="28"/>
  <c r="K39" i="28" s="1"/>
  <c r="V4" i="29"/>
  <c r="V39" i="29"/>
  <c r="K4" i="29"/>
  <c r="K39" i="29" s="1"/>
  <c r="V4" i="30"/>
  <c r="V39" i="30"/>
  <c r="K4" i="30"/>
  <c r="K39" i="30" s="1"/>
  <c r="P4" i="31"/>
  <c r="P39" i="31"/>
  <c r="W4" i="32"/>
  <c r="W39" i="32" s="1"/>
  <c r="M4" i="32"/>
  <c r="M39" i="32"/>
  <c r="P4" i="33"/>
  <c r="P39" i="33" s="1"/>
  <c r="Q4" i="34"/>
  <c r="Q39" i="34"/>
  <c r="Q4" i="36"/>
  <c r="Q39" i="36" s="1"/>
  <c r="V4" i="37"/>
  <c r="V39" i="37"/>
  <c r="V4" i="38"/>
  <c r="V39" i="38" s="1"/>
  <c r="K4" i="38"/>
  <c r="K39" i="38"/>
  <c r="J4" i="23"/>
  <c r="P4" i="24"/>
  <c r="P39" i="24" s="1"/>
  <c r="W4" i="27"/>
  <c r="W39" i="27" s="1"/>
  <c r="M4" i="27"/>
  <c r="M39" i="27" s="1"/>
  <c r="U4" i="28"/>
  <c r="U39" i="28" s="1"/>
  <c r="U4" i="29"/>
  <c r="U39" i="29" s="1"/>
  <c r="U4" i="30"/>
  <c r="U39" i="30" s="1"/>
  <c r="O4" i="31"/>
  <c r="O39" i="31" s="1"/>
  <c r="V4" i="32"/>
  <c r="V39" i="32" s="1"/>
  <c r="K4" i="32"/>
  <c r="K39" i="32" s="1"/>
  <c r="O4" i="33"/>
  <c r="O39" i="33" s="1"/>
  <c r="P4" i="34"/>
  <c r="P39" i="34" s="1"/>
  <c r="Q4" i="35"/>
  <c r="Q39" i="35" s="1"/>
  <c r="P4" i="36"/>
  <c r="P39" i="36" s="1"/>
  <c r="S4" i="37"/>
  <c r="S39" i="37" s="1"/>
  <c r="U4" i="38"/>
  <c r="U39" i="38" s="1"/>
  <c r="Q4" i="66"/>
  <c r="Q39" i="66" s="1"/>
  <c r="W4" i="38"/>
  <c r="W39" i="38" s="1"/>
  <c r="O4" i="24"/>
  <c r="O39" i="24" s="1"/>
  <c r="Q4" i="25"/>
  <c r="Q39" i="25" s="1"/>
  <c r="Q4" i="26"/>
  <c r="Q39" i="26" s="1"/>
  <c r="V4" i="27"/>
  <c r="V39" i="27" s="1"/>
  <c r="K4" i="27"/>
  <c r="K39" i="27" s="1"/>
  <c r="S4" i="28"/>
  <c r="S39" i="28" s="1"/>
  <c r="S4" i="29"/>
  <c r="S39" i="29" s="1"/>
  <c r="S4" i="30"/>
  <c r="S39" i="30" s="1"/>
  <c r="W4" i="31"/>
  <c r="W39" i="31" s="1"/>
  <c r="M4" i="31"/>
  <c r="M39" i="31" s="1"/>
  <c r="U4" i="32"/>
  <c r="U39" i="32" s="1"/>
  <c r="W4" i="33"/>
  <c r="W39" i="33" s="1"/>
  <c r="M4" i="33"/>
  <c r="M39" i="33" s="1"/>
  <c r="O4" i="34"/>
  <c r="O39" i="34" s="1"/>
  <c r="P4" i="35"/>
  <c r="P39" i="35" s="1"/>
  <c r="O4" i="36"/>
  <c r="O39" i="36" s="1"/>
  <c r="S4" i="38"/>
  <c r="S39" i="38" s="1"/>
  <c r="P4" i="66"/>
  <c r="P39" i="66" s="1"/>
  <c r="W4" i="28"/>
  <c r="W39" i="28" s="1"/>
  <c r="W39" i="23"/>
  <c r="R4" i="23"/>
  <c r="W4" i="24"/>
  <c r="W39" i="24" s="1"/>
  <c r="M4" i="24"/>
  <c r="M39" i="24" s="1"/>
  <c r="P4" i="25"/>
  <c r="P39" i="25" s="1"/>
  <c r="P4" i="26"/>
  <c r="P39" i="26" s="1"/>
  <c r="U4" i="27"/>
  <c r="U39" i="27" s="1"/>
  <c r="V4" i="31"/>
  <c r="V39" i="31" s="1"/>
  <c r="K4" i="31"/>
  <c r="K39" i="31" s="1"/>
  <c r="S4" i="32"/>
  <c r="S39" i="32" s="1"/>
  <c r="V4" i="33"/>
  <c r="V39" i="33" s="1"/>
  <c r="K4" i="33"/>
  <c r="K39" i="33" s="1"/>
  <c r="W4" i="34"/>
  <c r="W39" i="34" s="1"/>
  <c r="M4" i="34"/>
  <c r="M39" i="34" s="1"/>
  <c r="O4" i="35"/>
  <c r="O39" i="35" s="1"/>
  <c r="W4" i="36"/>
  <c r="W39" i="36" s="1"/>
  <c r="M4" i="36"/>
  <c r="M39" i="36" s="1"/>
  <c r="P4" i="37"/>
  <c r="P39" i="37" s="1"/>
  <c r="O4" i="66"/>
  <c r="O39" i="66" s="1"/>
  <c r="W4" i="29"/>
  <c r="W39" i="29" s="1"/>
  <c r="M4" i="30"/>
  <c r="M39" i="30" s="1"/>
  <c r="V4" i="24"/>
  <c r="V39" i="24" s="1"/>
  <c r="K4" i="24"/>
  <c r="K39" i="24" s="1"/>
  <c r="O4" i="25"/>
  <c r="O39" i="25" s="1"/>
  <c r="O4" i="26"/>
  <c r="O39" i="26" s="1"/>
  <c r="S4" i="27"/>
  <c r="S39" i="27" s="1"/>
  <c r="Q4" i="28"/>
  <c r="Q39" i="28" s="1"/>
  <c r="Q4" i="29"/>
  <c r="Q39" i="29" s="1"/>
  <c r="Q4" i="30"/>
  <c r="Q39" i="30" s="1"/>
  <c r="U4" i="31"/>
  <c r="U39" i="31" s="1"/>
  <c r="U4" i="33"/>
  <c r="U39" i="33" s="1"/>
  <c r="V4" i="34"/>
  <c r="V39" i="34" s="1"/>
  <c r="K4" i="34"/>
  <c r="K39" i="34" s="1"/>
  <c r="W4" i="35"/>
  <c r="W39" i="35" s="1"/>
  <c r="M4" i="35"/>
  <c r="M39" i="35" s="1"/>
  <c r="V4" i="36"/>
  <c r="V39" i="36" s="1"/>
  <c r="K4" i="36"/>
  <c r="K39" i="36" s="1"/>
  <c r="M4" i="37"/>
  <c r="M39" i="37" s="1"/>
  <c r="Q4" i="38"/>
  <c r="Q39" i="38" s="1"/>
  <c r="W4" i="66"/>
  <c r="W39" i="66" s="1"/>
  <c r="M4" i="66"/>
  <c r="M39" i="66" s="1"/>
  <c r="M39" i="23"/>
  <c r="U4" i="24"/>
  <c r="U39" i="24"/>
  <c r="W4" i="25"/>
  <c r="W39" i="25"/>
  <c r="M4" i="25"/>
  <c r="M39" i="25"/>
  <c r="W4" i="26"/>
  <c r="W39" i="26"/>
  <c r="M4" i="26"/>
  <c r="M39" i="26"/>
  <c r="P4" i="28"/>
  <c r="P39" i="28"/>
  <c r="P4" i="29"/>
  <c r="P39" i="29"/>
  <c r="P4" i="30"/>
  <c r="P39" i="30"/>
  <c r="S4" i="31"/>
  <c r="S39" i="31"/>
  <c r="Q4" i="32"/>
  <c r="Q39" i="32"/>
  <c r="S4" i="33"/>
  <c r="S39" i="33"/>
  <c r="U4" i="34"/>
  <c r="U39" i="34"/>
  <c r="V4" i="35"/>
  <c r="V39" i="35"/>
  <c r="K4" i="35"/>
  <c r="K39" i="35"/>
  <c r="U4" i="36"/>
  <c r="U39" i="36"/>
  <c r="P4" i="38"/>
  <c r="P39" i="38"/>
  <c r="V4" i="66"/>
  <c r="V39" i="66"/>
  <c r="K4" i="66"/>
  <c r="K39" i="66"/>
  <c r="M4" i="28"/>
  <c r="M39" i="28"/>
  <c r="M4" i="29"/>
  <c r="M39" i="29"/>
  <c r="S4" i="24"/>
  <c r="S39" i="24"/>
  <c r="V4" i="25"/>
  <c r="V39" i="25"/>
  <c r="K4" i="25"/>
  <c r="K39" i="25"/>
  <c r="O4" i="28"/>
  <c r="O39" i="28"/>
  <c r="O4" i="29"/>
  <c r="O39" i="29"/>
  <c r="O4" i="30"/>
  <c r="O39" i="30"/>
  <c r="S4" i="34"/>
  <c r="S39" i="34"/>
  <c r="U4" i="35"/>
  <c r="U39" i="35"/>
  <c r="AG54" i="25"/>
  <c r="J54" i="25"/>
  <c r="AH54" i="25"/>
  <c r="AI54" i="25"/>
  <c r="AG54" i="37"/>
  <c r="AI54" i="37"/>
  <c r="J54" i="37"/>
  <c r="AH54" i="37" s="1"/>
  <c r="AG54" i="35"/>
  <c r="J54" i="35"/>
  <c r="AH54" i="35"/>
  <c r="AI54" i="35"/>
  <c r="AG54" i="29"/>
  <c r="J54" i="29"/>
  <c r="AH54" i="29"/>
  <c r="AI54" i="29"/>
  <c r="AF54" i="32"/>
  <c r="I54" i="32"/>
  <c r="AI54" i="24"/>
  <c r="J54" i="24"/>
  <c r="AH54" i="24" s="1"/>
  <c r="AG54" i="24"/>
  <c r="AI54" i="34"/>
  <c r="J54" i="34"/>
  <c r="AH54" i="34" s="1"/>
  <c r="AG54" i="34"/>
  <c r="AF54" i="27"/>
  <c r="I54" i="27"/>
  <c r="AG54" i="26"/>
  <c r="AI54" i="26"/>
  <c r="J54" i="26"/>
  <c r="AH54" i="26"/>
  <c r="AG54" i="30"/>
  <c r="AI54" i="30"/>
  <c r="J54" i="30"/>
  <c r="AH54" i="30"/>
  <c r="AI54" i="66"/>
  <c r="J54" i="66"/>
  <c r="AH54" i="66" s="1"/>
  <c r="AG54" i="66"/>
  <c r="P56" i="18"/>
  <c r="P56" i="17"/>
  <c r="AE55" i="17"/>
  <c r="F155" i="11"/>
  <c r="AC155" i="12"/>
  <c r="AI155" i="12" s="1"/>
  <c r="AI54" i="23"/>
  <c r="AG54" i="23"/>
  <c r="J54" i="23"/>
  <c r="AH54" i="23" s="1"/>
  <c r="AF55" i="17"/>
  <c r="AD155" i="12"/>
  <c r="AJ155" i="12" s="1"/>
  <c r="AM55" i="17"/>
  <c r="G155" i="11"/>
  <c r="M155" i="11" s="1"/>
  <c r="AG55" i="18"/>
  <c r="J55" i="18"/>
  <c r="I55" i="17"/>
  <c r="AG55" i="17" s="1"/>
  <c r="O54" i="17"/>
  <c r="P54" i="18"/>
  <c r="AA56" i="17"/>
  <c r="AB56" i="18"/>
  <c r="AB56" i="17"/>
  <c r="AF54" i="18"/>
  <c r="I54" i="18"/>
  <c r="V55" i="18"/>
  <c r="V55" i="17" s="1"/>
  <c r="U55" i="17"/>
  <c r="AC54" i="18"/>
  <c r="AC54" i="17"/>
  <c r="AB54" i="17"/>
  <c r="T54" i="17"/>
  <c r="U54" i="18"/>
  <c r="R4" i="33"/>
  <c r="R39" i="33" s="1"/>
  <c r="R4" i="31"/>
  <c r="R39" i="31" s="1"/>
  <c r="R4" i="24"/>
  <c r="R39" i="24" s="1"/>
  <c r="R4" i="27"/>
  <c r="R39" i="27" s="1"/>
  <c r="R4" i="36"/>
  <c r="R39" i="36" s="1"/>
  <c r="R4" i="32"/>
  <c r="R39" i="32" s="1"/>
  <c r="R4" i="38"/>
  <c r="R39" i="38" s="1"/>
  <c r="R4" i="30"/>
  <c r="R39" i="30" s="1"/>
  <c r="R4" i="29"/>
  <c r="R39" i="29" s="1"/>
  <c r="R4" i="28"/>
  <c r="R39" i="28" s="1"/>
  <c r="R4" i="37"/>
  <c r="R39" i="37" s="1"/>
  <c r="R4" i="34"/>
  <c r="R39" i="34" s="1"/>
  <c r="R4" i="26"/>
  <c r="R39" i="26" s="1"/>
  <c r="R4" i="25"/>
  <c r="R39" i="25" s="1"/>
  <c r="R4" i="66"/>
  <c r="R39" i="66" s="1"/>
  <c r="R4" i="35"/>
  <c r="R39" i="35" s="1"/>
  <c r="R39" i="23"/>
  <c r="J4" i="66"/>
  <c r="J39" i="66"/>
  <c r="J4" i="35"/>
  <c r="J39" i="35"/>
  <c r="J4" i="37"/>
  <c r="J39" i="37"/>
  <c r="J4" i="36"/>
  <c r="J39" i="36"/>
  <c r="J4" i="34"/>
  <c r="J39" i="34"/>
  <c r="J4" i="24"/>
  <c r="J39" i="24"/>
  <c r="J4" i="25"/>
  <c r="J39" i="25"/>
  <c r="J4" i="33"/>
  <c r="J39" i="33"/>
  <c r="J4" i="31"/>
  <c r="J39" i="31"/>
  <c r="J4" i="26"/>
  <c r="J39" i="26"/>
  <c r="J4" i="27"/>
  <c r="J39" i="27"/>
  <c r="J4" i="32"/>
  <c r="J39" i="32"/>
  <c r="J4" i="38"/>
  <c r="J39" i="38"/>
  <c r="J4" i="30"/>
  <c r="J39" i="30"/>
  <c r="J4" i="29"/>
  <c r="J39" i="29"/>
  <c r="J4" i="28"/>
  <c r="J39" i="28"/>
  <c r="J39" i="23"/>
  <c r="J54" i="27"/>
  <c r="AH54" i="27" s="1"/>
  <c r="AG54" i="27"/>
  <c r="AI54" i="27"/>
  <c r="J54" i="32"/>
  <c r="AH54" i="32" s="1"/>
  <c r="AG54" i="32"/>
  <c r="AI54" i="32"/>
  <c r="L155" i="11"/>
  <c r="AD154" i="12"/>
  <c r="N62" i="17"/>
  <c r="V54" i="18"/>
  <c r="U54" i="17"/>
  <c r="Q54" i="18"/>
  <c r="J54" i="18"/>
  <c r="AG54" i="18"/>
  <c r="AJ54" i="18"/>
  <c r="H155" i="11"/>
  <c r="AE155" i="12"/>
  <c r="AH55" i="18"/>
  <c r="J55" i="17"/>
  <c r="AF155" i="12" s="1"/>
  <c r="AL155" i="12" s="1"/>
  <c r="AH54" i="18"/>
  <c r="AH55" i="17"/>
  <c r="I155" i="11"/>
  <c r="O155" i="11" s="1"/>
  <c r="W54" i="18"/>
  <c r="W54" i="17" s="1"/>
  <c r="V54" i="17"/>
  <c r="N168" i="13"/>
  <c r="O168" i="13" s="1"/>
  <c r="U168" i="13" s="1"/>
  <c r="S168" i="13"/>
  <c r="R171" i="13"/>
  <c r="J175" i="13"/>
  <c r="J181" i="13" s="1"/>
  <c r="R173" i="13"/>
  <c r="N172" i="13"/>
  <c r="S172" i="13"/>
  <c r="S169" i="13"/>
  <c r="N169" i="13"/>
  <c r="R172" i="13"/>
  <c r="M166" i="13"/>
  <c r="N166" i="13" s="1"/>
  <c r="T168" i="13"/>
  <c r="N171" i="13"/>
  <c r="AE175" i="13"/>
  <c r="AG168" i="13"/>
  <c r="S166" i="13"/>
  <c r="O169" i="13"/>
  <c r="U169" i="13" s="1"/>
  <c r="AG169" i="13"/>
  <c r="T169" i="13"/>
  <c r="AG172" i="13"/>
  <c r="Q172" i="13"/>
  <c r="T172" i="13"/>
  <c r="O172" i="13"/>
  <c r="U172" i="13"/>
  <c r="Q171" i="13"/>
  <c r="T171" i="13"/>
  <c r="O171" i="13"/>
  <c r="U171" i="13"/>
  <c r="AG171" i="13"/>
  <c r="O111" i="12"/>
  <c r="V65" i="45"/>
  <c r="U97" i="12"/>
  <c r="AG110" i="12"/>
  <c r="P48" i="41"/>
  <c r="P78" i="42"/>
  <c r="I110" i="12"/>
  <c r="AM110" i="12" s="1"/>
  <c r="J112" i="7"/>
  <c r="I110" i="10"/>
  <c r="AM110" i="10"/>
  <c r="U98" i="10"/>
  <c r="P99" i="42"/>
  <c r="P50" i="41"/>
  <c r="P56" i="41" s="1"/>
  <c r="P134" i="42"/>
  <c r="P85" i="40"/>
  <c r="F66" i="36" l="1"/>
  <c r="Q37" i="25"/>
  <c r="Q60" i="25" s="1"/>
  <c r="F46" i="9"/>
  <c r="U58" i="12"/>
  <c r="AG61" i="12"/>
  <c r="AM61" i="12" s="1"/>
  <c r="U62" i="10"/>
  <c r="U59" i="10" s="1"/>
  <c r="AD22" i="12"/>
  <c r="R23" i="10"/>
  <c r="AD23" i="10" s="1"/>
  <c r="D22" i="11"/>
  <c r="Q22" i="12"/>
  <c r="C22" i="11"/>
  <c r="Q22" i="11" s="1"/>
  <c r="C22" i="12"/>
  <c r="C21" i="12" s="1"/>
  <c r="AG22" i="12"/>
  <c r="AG21" i="12" s="1"/>
  <c r="J22" i="7"/>
  <c r="I23" i="10"/>
  <c r="AM23" i="10" s="1"/>
  <c r="D23" i="10"/>
  <c r="E22" i="7"/>
  <c r="E22" i="51" s="1"/>
  <c r="N22" i="51" s="1"/>
  <c r="I22" i="12"/>
  <c r="P272" i="13"/>
  <c r="AF272" i="13" s="1"/>
  <c r="AB23" i="10"/>
  <c r="AB22" i="12"/>
  <c r="D22" i="12"/>
  <c r="L253" i="13"/>
  <c r="U21" i="12"/>
  <c r="AG142" i="10"/>
  <c r="AM142" i="10"/>
  <c r="AM136" i="12"/>
  <c r="AG136" i="10"/>
  <c r="AM136" i="10" s="1"/>
  <c r="AM135" i="12"/>
  <c r="AG132" i="10"/>
  <c r="AM132" i="10" s="1"/>
  <c r="AM132" i="12"/>
  <c r="AG131" i="10"/>
  <c r="AM131" i="10" s="1"/>
  <c r="AG129" i="12"/>
  <c r="AA129" i="10"/>
  <c r="AM131" i="12"/>
  <c r="AG130" i="10"/>
  <c r="AM130" i="10" s="1"/>
  <c r="AA125" i="10"/>
  <c r="AG126" i="10"/>
  <c r="AM126" i="10" s="1"/>
  <c r="AG120" i="10"/>
  <c r="AM120" i="10" s="1"/>
  <c r="AG118" i="10"/>
  <c r="AG117" i="10"/>
  <c r="AM117" i="10" s="1"/>
  <c r="AG115" i="10"/>
  <c r="AA111" i="10"/>
  <c r="AA128" i="12"/>
  <c r="AG108" i="10"/>
  <c r="AG104" i="10"/>
  <c r="AM104" i="10" s="1"/>
  <c r="AM103" i="12"/>
  <c r="AM101" i="12"/>
  <c r="AG102" i="10"/>
  <c r="AG71" i="10"/>
  <c r="AG79" i="10"/>
  <c r="AM79" i="10" s="1"/>
  <c r="AG80" i="10"/>
  <c r="AA77" i="10"/>
  <c r="AM75" i="12"/>
  <c r="AA74" i="10"/>
  <c r="AG73" i="10"/>
  <c r="AM73" i="10" s="1"/>
  <c r="AA87" i="12"/>
  <c r="AG67" i="10"/>
  <c r="AM67" i="10" s="1"/>
  <c r="U65" i="10"/>
  <c r="AG68" i="10"/>
  <c r="AM68" i="10" s="1"/>
  <c r="AA65" i="10"/>
  <c r="O65" i="10"/>
  <c r="AG66" i="10"/>
  <c r="AM65" i="12"/>
  <c r="AG58" i="12"/>
  <c r="AG58" i="10"/>
  <c r="AM58" i="10" s="1"/>
  <c r="AM52" i="10"/>
  <c r="AA48" i="10"/>
  <c r="AA36" i="10"/>
  <c r="AG34" i="10"/>
  <c r="AG31" i="10"/>
  <c r="AM31" i="10" s="1"/>
  <c r="AG26" i="10"/>
  <c r="AM26" i="10" s="1"/>
  <c r="AM25" i="12"/>
  <c r="AA22" i="10"/>
  <c r="AG24" i="10"/>
  <c r="AM20" i="12"/>
  <c r="AG19" i="10"/>
  <c r="AM19" i="10" s="1"/>
  <c r="AG14" i="10"/>
  <c r="AM14" i="10" s="1"/>
  <c r="AM11" i="12"/>
  <c r="I27" i="70"/>
  <c r="J36" i="68"/>
  <c r="D62" i="68"/>
  <c r="J62" i="68" s="1"/>
  <c r="K36" i="68"/>
  <c r="F62" i="68"/>
  <c r="K62" i="68" s="1"/>
  <c r="N19" i="68"/>
  <c r="C54" i="68"/>
  <c r="B19" i="68"/>
  <c r="I19" i="68"/>
  <c r="O19" i="68" s="1"/>
  <c r="J28" i="68"/>
  <c r="O28" i="68"/>
  <c r="L23" i="68"/>
  <c r="M23" i="68" s="1"/>
  <c r="M25" i="68"/>
  <c r="L24" i="68"/>
  <c r="M24" i="68" s="1"/>
  <c r="K29" i="69"/>
  <c r="AC29" i="70"/>
  <c r="AC27" i="70"/>
  <c r="AE29" i="70"/>
  <c r="AE27" i="70"/>
  <c r="M29" i="70"/>
  <c r="AG29" i="70"/>
  <c r="U29" i="70"/>
  <c r="G27" i="70"/>
  <c r="G29" i="70" s="1"/>
  <c r="I29" i="70"/>
  <c r="Q29" i="70"/>
  <c r="K29" i="70"/>
  <c r="S29" i="70"/>
  <c r="AI29" i="70"/>
  <c r="AR29" i="70"/>
  <c r="AQ29" i="70"/>
  <c r="AD29" i="70"/>
  <c r="P29" i="70"/>
  <c r="X29" i="70"/>
  <c r="F27" i="70"/>
  <c r="E8" i="70"/>
  <c r="AS8" i="70" s="1"/>
  <c r="C14" i="70"/>
  <c r="C27" i="70" s="1"/>
  <c r="C29" i="70" s="1"/>
  <c r="E25" i="70"/>
  <c r="AS25" i="70" s="1"/>
  <c r="G17" i="71"/>
  <c r="M7" i="71" s="1"/>
  <c r="E12" i="71"/>
  <c r="K90" i="46"/>
  <c r="K3" i="47"/>
  <c r="T203" i="13"/>
  <c r="S46" i="12"/>
  <c r="AG203" i="13"/>
  <c r="O203" i="13"/>
  <c r="AI154" i="12"/>
  <c r="F160" i="7"/>
  <c r="L160" i="7" s="1"/>
  <c r="L154" i="11"/>
  <c r="P3" i="47"/>
  <c r="P90" i="46"/>
  <c r="L46" i="11"/>
  <c r="Q166" i="13"/>
  <c r="T166" i="13"/>
  <c r="O166" i="13"/>
  <c r="U166" i="13" s="1"/>
  <c r="AG166" i="13"/>
  <c r="AK155" i="12"/>
  <c r="O27" i="44"/>
  <c r="U26" i="44"/>
  <c r="P60" i="7"/>
  <c r="C58" i="7"/>
  <c r="C23" i="56" s="1"/>
  <c r="K58" i="17"/>
  <c r="Q54" i="66"/>
  <c r="Q54" i="17" s="1"/>
  <c r="P54" i="17"/>
  <c r="AF318" i="13"/>
  <c r="D26" i="7"/>
  <c r="D21" i="11"/>
  <c r="Z26" i="11"/>
  <c r="AE181" i="13"/>
  <c r="J186" i="13"/>
  <c r="N3" i="47"/>
  <c r="N90" i="46"/>
  <c r="Q3" i="47"/>
  <c r="Q90" i="46"/>
  <c r="AG179" i="13"/>
  <c r="O179" i="13"/>
  <c r="N180" i="13"/>
  <c r="AG180" i="13" s="1"/>
  <c r="T179" i="13"/>
  <c r="T180" i="13" s="1"/>
  <c r="E19" i="56"/>
  <c r="E34" i="51"/>
  <c r="F23" i="50"/>
  <c r="U57" i="10"/>
  <c r="U54" i="10" s="1"/>
  <c r="U53" i="12"/>
  <c r="AG56" i="12"/>
  <c r="M27" i="44"/>
  <c r="S26" i="44"/>
  <c r="T26" i="44"/>
  <c r="N23" i="10"/>
  <c r="C35" i="10"/>
  <c r="C34" i="7"/>
  <c r="C19" i="56" s="1"/>
  <c r="Q34" i="11"/>
  <c r="P138" i="42"/>
  <c r="AM137" i="10"/>
  <c r="P110" i="10"/>
  <c r="AB110" i="12"/>
  <c r="V32" i="48"/>
  <c r="T32" i="48"/>
  <c r="H137" i="11"/>
  <c r="G137" i="12"/>
  <c r="AK137" i="12" s="1"/>
  <c r="N33" i="48"/>
  <c r="U32" i="48"/>
  <c r="Q21" i="9"/>
  <c r="Q31" i="9" s="1"/>
  <c r="F134" i="7"/>
  <c r="L134" i="7" s="1"/>
  <c r="F129" i="11"/>
  <c r="L132" i="11"/>
  <c r="E132" i="10"/>
  <c r="Z93" i="11"/>
  <c r="O6" i="8"/>
  <c r="Y20" i="8"/>
  <c r="T20" i="8"/>
  <c r="U20" i="8" s="1"/>
  <c r="P84" i="41"/>
  <c r="AM107" i="10"/>
  <c r="AJ141" i="10"/>
  <c r="AD138" i="10"/>
  <c r="AJ138" i="10" s="1"/>
  <c r="P107" i="12"/>
  <c r="D107" i="12"/>
  <c r="E107" i="11"/>
  <c r="R49" i="45"/>
  <c r="T65" i="45"/>
  <c r="S65" i="45"/>
  <c r="R87" i="45"/>
  <c r="D110" i="12"/>
  <c r="AH110" i="12" s="1"/>
  <c r="E110" i="11"/>
  <c r="L101" i="45"/>
  <c r="R99" i="45"/>
  <c r="P150" i="10"/>
  <c r="M133" i="7"/>
  <c r="L133" i="7"/>
  <c r="E135" i="7"/>
  <c r="E139" i="51"/>
  <c r="L139" i="7"/>
  <c r="P139" i="7"/>
  <c r="D11" i="2"/>
  <c r="AF134" i="10"/>
  <c r="N133" i="10"/>
  <c r="AB110" i="10"/>
  <c r="E21" i="2"/>
  <c r="Y19" i="8"/>
  <c r="T19" i="8"/>
  <c r="U248" i="13"/>
  <c r="AJ133" i="12"/>
  <c r="N155" i="11"/>
  <c r="AE54" i="17"/>
  <c r="AF142" i="12"/>
  <c r="AL142" i="12" s="1"/>
  <c r="T141" i="10"/>
  <c r="T138" i="10" s="1"/>
  <c r="K128" i="7"/>
  <c r="N128" i="7"/>
  <c r="S141" i="10"/>
  <c r="AE142" i="12"/>
  <c r="AK142" i="12" s="1"/>
  <c r="C104" i="12"/>
  <c r="C104" i="11"/>
  <c r="H144" i="6"/>
  <c r="E127" i="51"/>
  <c r="N128" i="51"/>
  <c r="AL133" i="12"/>
  <c r="AL126" i="10"/>
  <c r="R21" i="9"/>
  <c r="G134" i="7"/>
  <c r="N134" i="7" s="1"/>
  <c r="N132" i="11"/>
  <c r="M132" i="11"/>
  <c r="F132" i="10"/>
  <c r="G129" i="11"/>
  <c r="AI135" i="10"/>
  <c r="E133" i="10"/>
  <c r="AI133" i="10" s="1"/>
  <c r="D37" i="56"/>
  <c r="AC127" i="7"/>
  <c r="K109" i="7"/>
  <c r="O109" i="7"/>
  <c r="N109" i="7"/>
  <c r="H150" i="10"/>
  <c r="F49" i="8"/>
  <c r="K104" i="45"/>
  <c r="D104" i="12"/>
  <c r="AH104" i="12" s="1"/>
  <c r="E104" i="11"/>
  <c r="R38" i="45"/>
  <c r="K102" i="45"/>
  <c r="AM133" i="12"/>
  <c r="AL126" i="12"/>
  <c r="AC110" i="10"/>
  <c r="AI110" i="10" s="1"/>
  <c r="K136" i="7"/>
  <c r="J135" i="7"/>
  <c r="H143" i="51"/>
  <c r="N143" i="51"/>
  <c r="N141" i="51"/>
  <c r="T107" i="10"/>
  <c r="AF107" i="10" s="1"/>
  <c r="AL107" i="10" s="1"/>
  <c r="G107" i="10"/>
  <c r="AK107" i="10" s="1"/>
  <c r="I140" i="7"/>
  <c r="V57" i="40"/>
  <c r="O94" i="12"/>
  <c r="C145" i="51"/>
  <c r="M146" i="51"/>
  <c r="I145" i="7"/>
  <c r="O145" i="7" s="1"/>
  <c r="E72" i="51"/>
  <c r="N72" i="51" s="1"/>
  <c r="L72" i="7"/>
  <c r="P72" i="7"/>
  <c r="E66" i="51"/>
  <c r="N66" i="51" s="1"/>
  <c r="L66" i="7"/>
  <c r="P66" i="7"/>
  <c r="X29" i="8"/>
  <c r="H29" i="8"/>
  <c r="H27" i="8"/>
  <c r="X27" i="8"/>
  <c r="L23" i="8"/>
  <c r="S79" i="7"/>
  <c r="V79" i="7" s="1"/>
  <c r="T20" i="9"/>
  <c r="U20" i="9" s="1"/>
  <c r="Y20" i="9"/>
  <c r="V143" i="10"/>
  <c r="N143" i="10"/>
  <c r="F143" i="10"/>
  <c r="AA133" i="10"/>
  <c r="U129" i="10"/>
  <c r="U150" i="10" s="1"/>
  <c r="AE129" i="10"/>
  <c r="V125" i="10"/>
  <c r="AH85" i="10"/>
  <c r="V81" i="10"/>
  <c r="AB81" i="10" s="1"/>
  <c r="F81" i="10"/>
  <c r="Z77" i="10"/>
  <c r="R77" i="10"/>
  <c r="V22" i="10"/>
  <c r="E31" i="7"/>
  <c r="D32" i="10"/>
  <c r="R40" i="13"/>
  <c r="M40" i="13"/>
  <c r="F20" i="11"/>
  <c r="L42" i="13"/>
  <c r="E20" i="12"/>
  <c r="AI20" i="12" s="1"/>
  <c r="AM137" i="12"/>
  <c r="H99" i="11"/>
  <c r="M99" i="12"/>
  <c r="AE99" i="12" s="1"/>
  <c r="G99" i="12"/>
  <c r="Q57" i="40"/>
  <c r="C11" i="2"/>
  <c r="P120" i="7"/>
  <c r="L12" i="7"/>
  <c r="H27" i="9"/>
  <c r="X27" i="9"/>
  <c r="AE145" i="10"/>
  <c r="AK145" i="10" s="1"/>
  <c r="AF145" i="10"/>
  <c r="AL145" i="10" s="1"/>
  <c r="AG145" i="10"/>
  <c r="AM145" i="10" s="1"/>
  <c r="AC145" i="10"/>
  <c r="AI145" i="10" s="1"/>
  <c r="U138" i="10"/>
  <c r="AB83" i="10"/>
  <c r="AH83" i="10" s="1"/>
  <c r="AE81" i="10"/>
  <c r="AK81" i="10" s="1"/>
  <c r="E29" i="9"/>
  <c r="E25" i="9" s="1"/>
  <c r="AH72" i="10"/>
  <c r="AB69" i="10"/>
  <c r="D69" i="10"/>
  <c r="AD65" i="10"/>
  <c r="T65" i="10"/>
  <c r="L65" i="10"/>
  <c r="Y48" i="10"/>
  <c r="Q48" i="10"/>
  <c r="AC17" i="10"/>
  <c r="AI17" i="10" s="1"/>
  <c r="M253" i="13"/>
  <c r="S250" i="13"/>
  <c r="N250" i="13"/>
  <c r="M15" i="19"/>
  <c r="R15" i="19"/>
  <c r="V23" i="48"/>
  <c r="M98" i="12"/>
  <c r="G98" i="12"/>
  <c r="H98" i="11"/>
  <c r="V31" i="48"/>
  <c r="C78" i="2"/>
  <c r="E7" i="2"/>
  <c r="E11" i="2" s="1"/>
  <c r="N147" i="7"/>
  <c r="E144" i="51"/>
  <c r="N144" i="51" s="1"/>
  <c r="M123" i="7"/>
  <c r="F76" i="7"/>
  <c r="L77" i="7"/>
  <c r="E69" i="51"/>
  <c r="E68" i="7"/>
  <c r="E59" i="51"/>
  <c r="L59" i="7"/>
  <c r="P59" i="7"/>
  <c r="E12" i="51"/>
  <c r="P12" i="7"/>
  <c r="T28" i="8"/>
  <c r="U28" i="8" s="1"/>
  <c r="Y28" i="8"/>
  <c r="H22" i="9"/>
  <c r="X22" i="9"/>
  <c r="E31" i="9"/>
  <c r="H115" i="10"/>
  <c r="AL115" i="10" s="1"/>
  <c r="U9" i="9"/>
  <c r="I117" i="7"/>
  <c r="O117" i="7" s="1"/>
  <c r="AG146" i="10"/>
  <c r="AM146" i="10" s="1"/>
  <c r="AB146" i="10"/>
  <c r="AH146" i="10" s="1"/>
  <c r="AC146" i="10"/>
  <c r="AI146" i="10" s="1"/>
  <c r="AF146" i="10"/>
  <c r="AL146" i="10" s="1"/>
  <c r="AD145" i="10"/>
  <c r="AJ145" i="10" s="1"/>
  <c r="AB127" i="10"/>
  <c r="AB125" i="10" s="1"/>
  <c r="AH125" i="10" s="1"/>
  <c r="AB123" i="10"/>
  <c r="AH123" i="10" s="1"/>
  <c r="AJ104" i="10"/>
  <c r="AE84" i="10"/>
  <c r="AK84" i="10" s="1"/>
  <c r="T81" i="10"/>
  <c r="L81" i="10"/>
  <c r="AD81" i="10" s="1"/>
  <c r="D81" i="10"/>
  <c r="AB78" i="10"/>
  <c r="P77" i="10"/>
  <c r="D74" i="10"/>
  <c r="AA69" i="10"/>
  <c r="AC13" i="10"/>
  <c r="AI13" i="10" s="1"/>
  <c r="W8" i="10"/>
  <c r="M9" i="11"/>
  <c r="F10" i="10"/>
  <c r="AJ10" i="10" s="1"/>
  <c r="G9" i="7"/>
  <c r="M9" i="7" s="1"/>
  <c r="F115" i="12"/>
  <c r="F115" i="11"/>
  <c r="L115" i="11" s="1"/>
  <c r="AI115" i="12"/>
  <c r="AJ40" i="12"/>
  <c r="G40" i="11"/>
  <c r="G40" i="12"/>
  <c r="N148" i="13"/>
  <c r="S148" i="13"/>
  <c r="AJ26" i="17"/>
  <c r="AK26" i="17"/>
  <c r="E8" i="8"/>
  <c r="H99" i="12"/>
  <c r="AL99" i="12" s="1"/>
  <c r="N99" i="12"/>
  <c r="AF99" i="12" s="1"/>
  <c r="Z36" i="43"/>
  <c r="R65" i="45"/>
  <c r="T57" i="40"/>
  <c r="Q4" i="8"/>
  <c r="Q4" i="9" s="1"/>
  <c r="F4" i="9"/>
  <c r="H24" i="9"/>
  <c r="X24" i="9"/>
  <c r="G115" i="10"/>
  <c r="AK115" i="10" s="1"/>
  <c r="Y9" i="9"/>
  <c r="AE146" i="10"/>
  <c r="AK146" i="10" s="1"/>
  <c r="AA143" i="10"/>
  <c r="S143" i="10"/>
  <c r="K143" i="10"/>
  <c r="K150" i="10" s="1"/>
  <c r="C143" i="10"/>
  <c r="C150" i="10" s="1"/>
  <c r="AA138" i="10"/>
  <c r="Z150" i="10"/>
  <c r="AD130" i="10"/>
  <c r="R129" i="10"/>
  <c r="R150" i="10" s="1"/>
  <c r="J129" i="10"/>
  <c r="J150" i="10" s="1"/>
  <c r="AB130" i="10"/>
  <c r="Z111" i="10"/>
  <c r="S81" i="10"/>
  <c r="AE82" i="10"/>
  <c r="AK82" i="10" s="1"/>
  <c r="K81" i="10"/>
  <c r="AC82" i="10"/>
  <c r="AI82" i="10" s="1"/>
  <c r="AC77" i="10"/>
  <c r="Z69" i="10"/>
  <c r="P69" i="10"/>
  <c r="AB55" i="10"/>
  <c r="V54" i="10"/>
  <c r="AC49" i="10"/>
  <c r="AF18" i="10"/>
  <c r="AL18" i="10" s="1"/>
  <c r="AD18" i="10"/>
  <c r="AJ18" i="10" s="1"/>
  <c r="AH16" i="10"/>
  <c r="AC14" i="10"/>
  <c r="AB74" i="12"/>
  <c r="J73" i="12"/>
  <c r="J75" i="10"/>
  <c r="L258" i="13"/>
  <c r="K264" i="13"/>
  <c r="AM129" i="12"/>
  <c r="E145" i="7"/>
  <c r="M80" i="7"/>
  <c r="D25" i="56"/>
  <c r="AC73" i="7"/>
  <c r="L17" i="7"/>
  <c r="L9" i="7"/>
  <c r="T23" i="8"/>
  <c r="U23" i="8" s="1"/>
  <c r="H26" i="9"/>
  <c r="X26" i="9"/>
  <c r="T19" i="9"/>
  <c r="Y19" i="9"/>
  <c r="AC147" i="10"/>
  <c r="AI147" i="10" s="1"/>
  <c r="AD147" i="10"/>
  <c r="AJ147" i="10" s="1"/>
  <c r="AE147" i="10"/>
  <c r="AK147" i="10" s="1"/>
  <c r="AF147" i="10"/>
  <c r="AL147" i="10" s="1"/>
  <c r="AM147" i="10"/>
  <c r="AD146" i="10"/>
  <c r="AJ146" i="10" s="1"/>
  <c r="W133" i="10"/>
  <c r="Y150" i="10"/>
  <c r="AH117" i="10"/>
  <c r="AI103" i="10"/>
  <c r="AM102" i="10"/>
  <c r="AM71" i="10"/>
  <c r="Y65" i="10"/>
  <c r="Q65" i="10"/>
  <c r="I65" i="10"/>
  <c r="J59" i="10"/>
  <c r="V48" i="10"/>
  <c r="X36" i="10"/>
  <c r="Z22" i="10"/>
  <c r="AI14" i="10"/>
  <c r="O77" i="12"/>
  <c r="J76" i="11"/>
  <c r="X77" i="11"/>
  <c r="I78" i="10"/>
  <c r="J77" i="7"/>
  <c r="AC7" i="12"/>
  <c r="N194" i="13"/>
  <c r="S194" i="13"/>
  <c r="H98" i="12"/>
  <c r="N98" i="12"/>
  <c r="Q29" i="43"/>
  <c r="Z29" i="43"/>
  <c r="V11" i="20"/>
  <c r="D48" i="2"/>
  <c r="F6" i="2"/>
  <c r="P146" i="7"/>
  <c r="C145" i="7"/>
  <c r="C152" i="7" s="1"/>
  <c r="C39" i="56" s="1"/>
  <c r="E17" i="51"/>
  <c r="N17" i="51" s="1"/>
  <c r="P17" i="7"/>
  <c r="E9" i="51"/>
  <c r="P9" i="7"/>
  <c r="E7" i="7"/>
  <c r="L7" i="7" s="1"/>
  <c r="T27" i="8"/>
  <c r="U27" i="8" s="1"/>
  <c r="T24" i="8"/>
  <c r="U24" i="8" s="1"/>
  <c r="Y24" i="8"/>
  <c r="T21" i="8"/>
  <c r="U21" i="8" s="1"/>
  <c r="Y21" i="8"/>
  <c r="T23" i="9"/>
  <c r="U23" i="9" s="1"/>
  <c r="Y23" i="9"/>
  <c r="Y143" i="10"/>
  <c r="Q143" i="10"/>
  <c r="I143" i="10"/>
  <c r="AE139" i="10"/>
  <c r="Y138" i="10"/>
  <c r="Q138" i="10"/>
  <c r="Q150" i="10" s="1"/>
  <c r="AC139" i="10"/>
  <c r="X150" i="10"/>
  <c r="AH121" i="10"/>
  <c r="AI115" i="10"/>
  <c r="Y81" i="10"/>
  <c r="Q81" i="10"/>
  <c r="I81" i="10"/>
  <c r="E77" i="10"/>
  <c r="AI77" i="10" s="1"/>
  <c r="AI78" i="10"/>
  <c r="AG72" i="10"/>
  <c r="AM72" i="10" s="1"/>
  <c r="AH68" i="10"/>
  <c r="X88" i="10"/>
  <c r="P88" i="10"/>
  <c r="O313" i="13"/>
  <c r="U313" i="13" s="1"/>
  <c r="T313" i="13"/>
  <c r="AG313" i="13"/>
  <c r="M284" i="13"/>
  <c r="R284" i="13"/>
  <c r="O282" i="13"/>
  <c r="T282" i="13"/>
  <c r="AG282" i="13"/>
  <c r="AG260" i="13"/>
  <c r="O260" i="13"/>
  <c r="R222" i="13"/>
  <c r="M222" i="13"/>
  <c r="E45" i="12"/>
  <c r="F45" i="11"/>
  <c r="K45" i="12"/>
  <c r="M201" i="13"/>
  <c r="P149" i="7"/>
  <c r="C84" i="51"/>
  <c r="M84" i="51" s="1"/>
  <c r="P84" i="7"/>
  <c r="D21" i="56"/>
  <c r="AC47" i="7"/>
  <c r="E27" i="51"/>
  <c r="N27" i="51" s="1"/>
  <c r="P27" i="7"/>
  <c r="H28" i="9"/>
  <c r="X28" i="9"/>
  <c r="T25" i="9"/>
  <c r="U25" i="9" s="1"/>
  <c r="Y25" i="9"/>
  <c r="I23" i="9"/>
  <c r="J23" i="9" s="1"/>
  <c r="L23" i="9"/>
  <c r="P143" i="10"/>
  <c r="AB143" i="10" s="1"/>
  <c r="AH143" i="10" s="1"/>
  <c r="AB144" i="10"/>
  <c r="AH144" i="10" s="1"/>
  <c r="AC144" i="10"/>
  <c r="AD144" i="10"/>
  <c r="AE144" i="10"/>
  <c r="AG144" i="10"/>
  <c r="H143" i="10"/>
  <c r="AL144" i="10"/>
  <c r="W150" i="10"/>
  <c r="AM84" i="10"/>
  <c r="AM80" i="10"/>
  <c r="D65" i="10"/>
  <c r="AD60" i="10"/>
  <c r="X59" i="10"/>
  <c r="AA54" i="10"/>
  <c r="AH51" i="10"/>
  <c r="V36" i="10"/>
  <c r="AM34" i="10"/>
  <c r="AF24" i="10"/>
  <c r="AD24" i="10"/>
  <c r="AJ19" i="10"/>
  <c r="AD16" i="10"/>
  <c r="AB12" i="10"/>
  <c r="AH12" i="10" s="1"/>
  <c r="S316" i="13"/>
  <c r="N316" i="13"/>
  <c r="M269" i="13"/>
  <c r="R269" i="13"/>
  <c r="O69" i="13"/>
  <c r="U69" i="13" s="1"/>
  <c r="T69" i="13"/>
  <c r="AG69" i="13"/>
  <c r="E145" i="51"/>
  <c r="N145" i="51" s="1"/>
  <c r="N146" i="51"/>
  <c r="N117" i="7"/>
  <c r="AC64" i="7"/>
  <c r="D87" i="7"/>
  <c r="E54" i="51"/>
  <c r="P54" i="7"/>
  <c r="N18" i="7"/>
  <c r="F25" i="8"/>
  <c r="AG141" i="10"/>
  <c r="AG138" i="10" s="1"/>
  <c r="AM138" i="10" s="1"/>
  <c r="AM135" i="10"/>
  <c r="V150" i="10"/>
  <c r="AF130" i="10"/>
  <c r="T129" i="10"/>
  <c r="AD121" i="10"/>
  <c r="AJ121" i="10" s="1"/>
  <c r="AG82" i="10"/>
  <c r="AM82" i="10" s="1"/>
  <c r="V65" i="10"/>
  <c r="AB66" i="10"/>
  <c r="N65" i="10"/>
  <c r="AF66" i="10"/>
  <c r="AF65" i="10" s="1"/>
  <c r="AI19" i="10"/>
  <c r="AD12" i="10"/>
  <c r="AJ12" i="10" s="1"/>
  <c r="AM12" i="10"/>
  <c r="C71" i="10"/>
  <c r="C69" i="10" s="1"/>
  <c r="C70" i="7"/>
  <c r="E80" i="51"/>
  <c r="N80" i="51" s="1"/>
  <c r="N81" i="51"/>
  <c r="N65" i="51"/>
  <c r="E50" i="51"/>
  <c r="F22" i="50"/>
  <c r="N48" i="51"/>
  <c r="N129" i="10"/>
  <c r="N150" i="10" s="1"/>
  <c r="O125" i="10"/>
  <c r="AH70" i="10"/>
  <c r="AA59" i="10"/>
  <c r="Y54" i="10"/>
  <c r="Y8" i="10"/>
  <c r="Q8" i="10"/>
  <c r="AC9" i="10"/>
  <c r="D8" i="10"/>
  <c r="M80" i="11"/>
  <c r="N80" i="11"/>
  <c r="Q70" i="11"/>
  <c r="Z68" i="11"/>
  <c r="L12" i="11"/>
  <c r="AH134" i="12"/>
  <c r="AJ118" i="12"/>
  <c r="G118" i="11"/>
  <c r="G118" i="12"/>
  <c r="AJ109" i="12"/>
  <c r="G109" i="11"/>
  <c r="V152" i="12"/>
  <c r="AC69" i="12"/>
  <c r="R69" i="12"/>
  <c r="Q68" i="12"/>
  <c r="Q87" i="12" s="1"/>
  <c r="C87" i="12"/>
  <c r="G54" i="11"/>
  <c r="G54" i="12"/>
  <c r="AJ54" i="12"/>
  <c r="F23" i="12"/>
  <c r="AI23" i="12"/>
  <c r="F23" i="11"/>
  <c r="AD15" i="12"/>
  <c r="AH10" i="12"/>
  <c r="I7" i="12"/>
  <c r="M310" i="13"/>
  <c r="R310" i="13"/>
  <c r="N307" i="13"/>
  <c r="S307" i="13"/>
  <c r="N267" i="13"/>
  <c r="S267" i="13"/>
  <c r="N252" i="13"/>
  <c r="S252" i="13"/>
  <c r="S221" i="13"/>
  <c r="N221" i="13"/>
  <c r="Z197" i="13"/>
  <c r="Z198" i="13" s="1"/>
  <c r="Z218" i="13" s="1"/>
  <c r="L165" i="13"/>
  <c r="M159" i="13"/>
  <c r="R159" i="13"/>
  <c r="M144" i="13"/>
  <c r="R144" i="13"/>
  <c r="M137" i="13"/>
  <c r="R137" i="13"/>
  <c r="S133" i="13"/>
  <c r="N133" i="13"/>
  <c r="R131" i="13"/>
  <c r="M131" i="13"/>
  <c r="L160" i="13"/>
  <c r="M98" i="13"/>
  <c r="R98" i="13"/>
  <c r="S94" i="13"/>
  <c r="N94" i="13"/>
  <c r="M46" i="13"/>
  <c r="R46" i="13"/>
  <c r="J58" i="13"/>
  <c r="AE50" i="13"/>
  <c r="S22" i="20"/>
  <c r="N22" i="20"/>
  <c r="M81" i="7"/>
  <c r="C80" i="51"/>
  <c r="M80" i="51" s="1"/>
  <c r="AC69" i="7"/>
  <c r="L36" i="7"/>
  <c r="M16" i="7"/>
  <c r="D7" i="7"/>
  <c r="M129" i="10"/>
  <c r="M150" i="10" s="1"/>
  <c r="F115" i="10"/>
  <c r="AJ115" i="10" s="1"/>
  <c r="AJ82" i="10"/>
  <c r="AB82" i="10"/>
  <c r="AH82" i="10" s="1"/>
  <c r="W77" i="10"/>
  <c r="AM66" i="10"/>
  <c r="AE66" i="10"/>
  <c r="AE65" i="10" s="1"/>
  <c r="AB49" i="10"/>
  <c r="AI18" i="10"/>
  <c r="AC16" i="10"/>
  <c r="AC10" i="10"/>
  <c r="AI10" i="10" s="1"/>
  <c r="X8" i="10"/>
  <c r="P8" i="10"/>
  <c r="C8" i="10"/>
  <c r="M102" i="11"/>
  <c r="L102" i="11"/>
  <c r="AJ144" i="12"/>
  <c r="AH102" i="12"/>
  <c r="T73" i="12"/>
  <c r="U74" i="12"/>
  <c r="J62" i="11"/>
  <c r="AM62" i="12"/>
  <c r="G59" i="11"/>
  <c r="G59" i="12"/>
  <c r="H52" i="12"/>
  <c r="H52" i="11"/>
  <c r="Q31" i="12"/>
  <c r="P29" i="12"/>
  <c r="M300" i="13"/>
  <c r="R300" i="13"/>
  <c r="J299" i="13"/>
  <c r="AE296" i="13"/>
  <c r="T265" i="13"/>
  <c r="AG265" i="13"/>
  <c r="O265" i="13"/>
  <c r="AG263" i="13"/>
  <c r="O263" i="13"/>
  <c r="S232" i="13"/>
  <c r="N232" i="13"/>
  <c r="C46" i="12"/>
  <c r="C46" i="11"/>
  <c r="I45" i="12"/>
  <c r="J45" i="11"/>
  <c r="O45" i="12"/>
  <c r="M156" i="13"/>
  <c r="R156" i="13"/>
  <c r="L112" i="13"/>
  <c r="P37" i="12"/>
  <c r="V112" i="13"/>
  <c r="W112" i="13" s="1"/>
  <c r="K119" i="13"/>
  <c r="C33" i="11"/>
  <c r="C33" i="12"/>
  <c r="C28" i="12" s="1"/>
  <c r="M66" i="13"/>
  <c r="R66" i="13"/>
  <c r="P43" i="18"/>
  <c r="P78" i="7"/>
  <c r="N77" i="51"/>
  <c r="E76" i="51"/>
  <c r="H40" i="51"/>
  <c r="N40" i="51"/>
  <c r="E18" i="56"/>
  <c r="E33" i="51"/>
  <c r="P23" i="7"/>
  <c r="P10" i="7"/>
  <c r="H30" i="9"/>
  <c r="O81" i="10"/>
  <c r="AG81" i="10" s="1"/>
  <c r="AC66" i="10"/>
  <c r="AC65" i="10" s="1"/>
  <c r="V8" i="10"/>
  <c r="D42" i="10"/>
  <c r="Q41" i="11"/>
  <c r="M8" i="11"/>
  <c r="E9" i="10"/>
  <c r="F7" i="11"/>
  <c r="AM120" i="12"/>
  <c r="AH13" i="12"/>
  <c r="AB7" i="12"/>
  <c r="AI7" i="12"/>
  <c r="M306" i="13"/>
  <c r="R306" i="13"/>
  <c r="S282" i="13"/>
  <c r="M285" i="13"/>
  <c r="M274" i="13"/>
  <c r="R274" i="13"/>
  <c r="V274" i="13" s="1"/>
  <c r="W274" i="13" s="1"/>
  <c r="L276" i="13"/>
  <c r="M266" i="13"/>
  <c r="R266" i="13"/>
  <c r="G25" i="11"/>
  <c r="S256" i="13"/>
  <c r="N256" i="13"/>
  <c r="F25" i="12"/>
  <c r="AJ25" i="12" s="1"/>
  <c r="M231" i="13"/>
  <c r="R231" i="13"/>
  <c r="R174" i="13"/>
  <c r="M174" i="13"/>
  <c r="R163" i="13"/>
  <c r="M163" i="13"/>
  <c r="N154" i="13"/>
  <c r="S154" i="13"/>
  <c r="M150" i="13"/>
  <c r="S114" i="13"/>
  <c r="N114" i="13"/>
  <c r="S80" i="13"/>
  <c r="R59" i="20"/>
  <c r="M59" i="20"/>
  <c r="S53" i="20"/>
  <c r="N53" i="20"/>
  <c r="U110" i="22"/>
  <c r="O76" i="21"/>
  <c r="U76" i="21" s="1"/>
  <c r="P83" i="7"/>
  <c r="P79" i="7"/>
  <c r="P75" i="7"/>
  <c r="E73" i="7"/>
  <c r="H57" i="51"/>
  <c r="N57" i="51"/>
  <c r="P51" i="7"/>
  <c r="P15" i="7"/>
  <c r="P13" i="7"/>
  <c r="E45" i="8"/>
  <c r="N81" i="10"/>
  <c r="AF81" i="10" s="1"/>
  <c r="AL81" i="10" s="1"/>
  <c r="U8" i="10"/>
  <c r="K8" i="10"/>
  <c r="L86" i="11"/>
  <c r="M86" i="11"/>
  <c r="E76" i="11"/>
  <c r="Q76" i="11" s="1"/>
  <c r="J68" i="11"/>
  <c r="X69" i="11"/>
  <c r="Q64" i="11"/>
  <c r="AJ79" i="12"/>
  <c r="I73" i="12"/>
  <c r="AH33" i="12"/>
  <c r="AI12" i="12"/>
  <c r="AM8" i="12"/>
  <c r="AH8" i="12"/>
  <c r="C50" i="11"/>
  <c r="I287" i="13"/>
  <c r="I328" i="13" s="1"/>
  <c r="C50" i="12"/>
  <c r="C47" i="12" s="1"/>
  <c r="N277" i="13"/>
  <c r="Q277" i="13" s="1"/>
  <c r="S277" i="13"/>
  <c r="E8" i="54"/>
  <c r="L262" i="13"/>
  <c r="M262" i="13" s="1"/>
  <c r="N262" i="13" s="1"/>
  <c r="S247" i="13"/>
  <c r="N247" i="13"/>
  <c r="C43" i="11"/>
  <c r="C43" i="12"/>
  <c r="S161" i="13"/>
  <c r="N161" i="13"/>
  <c r="R145" i="13"/>
  <c r="M145" i="13"/>
  <c r="R143" i="13"/>
  <c r="M143" i="13"/>
  <c r="I160" i="13"/>
  <c r="I181" i="13" s="1"/>
  <c r="I186" i="13" s="1"/>
  <c r="P160" i="13"/>
  <c r="N124" i="13"/>
  <c r="R107" i="13"/>
  <c r="M107" i="13"/>
  <c r="K37" i="12"/>
  <c r="S84" i="13"/>
  <c r="N84" i="13"/>
  <c r="AG80" i="13"/>
  <c r="Q80" i="13"/>
  <c r="O80" i="13"/>
  <c r="O65" i="13"/>
  <c r="AG65" i="13"/>
  <c r="P115" i="7"/>
  <c r="E80" i="7"/>
  <c r="L80" i="7" s="1"/>
  <c r="E76" i="7"/>
  <c r="P76" i="7" s="1"/>
  <c r="H10" i="51"/>
  <c r="N10" i="51"/>
  <c r="G26" i="8"/>
  <c r="S4" i="8"/>
  <c r="S4" i="9" s="1"/>
  <c r="X23" i="9"/>
  <c r="AB8" i="10"/>
  <c r="T8" i="10"/>
  <c r="J8" i="10"/>
  <c r="E68" i="11"/>
  <c r="AB144" i="12"/>
  <c r="AH144" i="12" s="1"/>
  <c r="S30" i="12"/>
  <c r="AH15" i="12"/>
  <c r="AM10" i="12"/>
  <c r="R257" i="13"/>
  <c r="M257" i="13"/>
  <c r="O251" i="13"/>
  <c r="AG251" i="13"/>
  <c r="M170" i="13"/>
  <c r="R170" i="13"/>
  <c r="R157" i="13"/>
  <c r="M157" i="13"/>
  <c r="M105" i="13"/>
  <c r="R105" i="13"/>
  <c r="L97" i="13"/>
  <c r="R93" i="13"/>
  <c r="M93" i="13"/>
  <c r="N76" i="13"/>
  <c r="M78" i="13"/>
  <c r="L33" i="12"/>
  <c r="P86" i="7"/>
  <c r="L79" i="7"/>
  <c r="E73" i="51"/>
  <c r="H74" i="51"/>
  <c r="N74" i="51"/>
  <c r="P65" i="7"/>
  <c r="E64" i="7"/>
  <c r="P52" i="7"/>
  <c r="P48" i="7"/>
  <c r="P32" i="7"/>
  <c r="P16" i="7"/>
  <c r="E7" i="51"/>
  <c r="H8" i="51"/>
  <c r="N8" i="51"/>
  <c r="R4" i="8"/>
  <c r="R4" i="9" s="1"/>
  <c r="AA8" i="10"/>
  <c r="S8" i="10"/>
  <c r="I8" i="10"/>
  <c r="AM9" i="10"/>
  <c r="L76" i="11"/>
  <c r="Q78" i="11"/>
  <c r="L78" i="11"/>
  <c r="Q50" i="11"/>
  <c r="AH25" i="10"/>
  <c r="G121" i="12"/>
  <c r="AJ121" i="12"/>
  <c r="AH105" i="12"/>
  <c r="AB68" i="12"/>
  <c r="J68" i="12"/>
  <c r="J87" i="12" s="1"/>
  <c r="AB37" i="12"/>
  <c r="Q27" i="12"/>
  <c r="AB27" i="12"/>
  <c r="AH27" i="12" s="1"/>
  <c r="C14" i="12"/>
  <c r="O10" i="10"/>
  <c r="AG9" i="12"/>
  <c r="AM9" i="12" s="1"/>
  <c r="K7" i="12"/>
  <c r="L275" i="13"/>
  <c r="K276" i="13"/>
  <c r="K281" i="13" s="1"/>
  <c r="M239" i="13"/>
  <c r="E57" i="12"/>
  <c r="R239" i="13"/>
  <c r="AE198" i="13"/>
  <c r="D43" i="11"/>
  <c r="S195" i="13"/>
  <c r="N195" i="13"/>
  <c r="L193" i="13"/>
  <c r="K197" i="13"/>
  <c r="K198" i="13" s="1"/>
  <c r="M164" i="13"/>
  <c r="R164" i="13"/>
  <c r="R146" i="13"/>
  <c r="M136" i="13"/>
  <c r="R136" i="13"/>
  <c r="AG133" i="13"/>
  <c r="P130" i="13"/>
  <c r="M113" i="13"/>
  <c r="R113" i="13"/>
  <c r="AE74" i="13"/>
  <c r="D31" i="11"/>
  <c r="M72" i="13"/>
  <c r="R72" i="13"/>
  <c r="AE70" i="13"/>
  <c r="D30" i="11"/>
  <c r="L64" i="13"/>
  <c r="K70" i="13"/>
  <c r="C80" i="7"/>
  <c r="N79" i="51"/>
  <c r="H79" i="51"/>
  <c r="H36" i="51"/>
  <c r="N36" i="51"/>
  <c r="H15" i="51"/>
  <c r="N15" i="51"/>
  <c r="H11" i="51"/>
  <c r="N11" i="51"/>
  <c r="Z8" i="10"/>
  <c r="R8" i="10"/>
  <c r="C68" i="11"/>
  <c r="C87" i="11" s="1"/>
  <c r="J7" i="11"/>
  <c r="AJ119" i="12"/>
  <c r="G119" i="11"/>
  <c r="G119" i="12"/>
  <c r="H109" i="12"/>
  <c r="AK109" i="12"/>
  <c r="H109" i="11"/>
  <c r="AH80" i="12"/>
  <c r="K76" i="12"/>
  <c r="AC79" i="12"/>
  <c r="AI79" i="12" s="1"/>
  <c r="AM78" i="12"/>
  <c r="AH68" i="12"/>
  <c r="AK52" i="12"/>
  <c r="F27" i="12"/>
  <c r="F27" i="11"/>
  <c r="J7" i="12"/>
  <c r="AF322" i="13"/>
  <c r="D30" i="49"/>
  <c r="F30" i="49" s="1"/>
  <c r="L314" i="13"/>
  <c r="K317" i="13"/>
  <c r="P62" i="12"/>
  <c r="D62" i="12"/>
  <c r="R305" i="13"/>
  <c r="M305" i="13"/>
  <c r="M283" i="13"/>
  <c r="R283" i="13"/>
  <c r="L285" i="13"/>
  <c r="P281" i="13"/>
  <c r="O273" i="13"/>
  <c r="T273" i="13"/>
  <c r="AG273" i="13"/>
  <c r="G48" i="12"/>
  <c r="AG261" i="13"/>
  <c r="O261" i="13"/>
  <c r="M259" i="13"/>
  <c r="R259" i="13"/>
  <c r="M235" i="13"/>
  <c r="R235" i="13"/>
  <c r="Q221" i="13"/>
  <c r="N216" i="13"/>
  <c r="S216" i="13"/>
  <c r="R212" i="13"/>
  <c r="M212" i="13"/>
  <c r="R153" i="13"/>
  <c r="M153" i="13"/>
  <c r="L149" i="13"/>
  <c r="K160" i="13"/>
  <c r="K181" i="13" s="1"/>
  <c r="K186" i="13" s="1"/>
  <c r="S146" i="13"/>
  <c r="N146" i="13"/>
  <c r="S127" i="13"/>
  <c r="N127" i="13"/>
  <c r="N111" i="13"/>
  <c r="S111" i="13"/>
  <c r="L57" i="13"/>
  <c r="J19" i="12"/>
  <c r="J14" i="12" s="1"/>
  <c r="Q48" i="11"/>
  <c r="E26" i="10"/>
  <c r="AI26" i="10" s="1"/>
  <c r="Q10" i="11"/>
  <c r="AM15" i="12"/>
  <c r="AI8" i="12"/>
  <c r="D7" i="12"/>
  <c r="M308" i="13"/>
  <c r="M290" i="13"/>
  <c r="N289" i="13"/>
  <c r="G55" i="49"/>
  <c r="G8" i="54"/>
  <c r="M225" i="13"/>
  <c r="Q120" i="13"/>
  <c r="AG120" i="13"/>
  <c r="O104" i="13"/>
  <c r="AG99" i="13"/>
  <c r="R80" i="13"/>
  <c r="R83" i="13" s="1"/>
  <c r="R76" i="13"/>
  <c r="N63" i="13"/>
  <c r="U63" i="13" s="1"/>
  <c r="AG56" i="13"/>
  <c r="U51" i="18"/>
  <c r="T51" i="17"/>
  <c r="V45" i="18"/>
  <c r="M33" i="18"/>
  <c r="M34" i="17"/>
  <c r="Q75" i="10" s="1"/>
  <c r="Q74" i="10" s="1"/>
  <c r="N34" i="18"/>
  <c r="L113" i="20"/>
  <c r="R88" i="20"/>
  <c r="M88" i="20"/>
  <c r="P65" i="22"/>
  <c r="P126" i="22"/>
  <c r="F108" i="12"/>
  <c r="AB79" i="12"/>
  <c r="AH79" i="12" s="1"/>
  <c r="P68" i="12"/>
  <c r="P87" i="12" s="1"/>
  <c r="AI54" i="12"/>
  <c r="AM32" i="12"/>
  <c r="O7" i="12"/>
  <c r="N312" i="13"/>
  <c r="AE304" i="13"/>
  <c r="L294" i="13"/>
  <c r="M293" i="13"/>
  <c r="M286" i="13"/>
  <c r="M278" i="13"/>
  <c r="L268" i="13"/>
  <c r="R252" i="13"/>
  <c r="S237" i="13"/>
  <c r="M167" i="13"/>
  <c r="M135" i="13"/>
  <c r="M128" i="13"/>
  <c r="K49" i="13"/>
  <c r="K50" i="13" s="1"/>
  <c r="K58" i="13" s="1"/>
  <c r="L48" i="13"/>
  <c r="N43" i="13"/>
  <c r="S43" i="13"/>
  <c r="AG41" i="13"/>
  <c r="P42" i="13"/>
  <c r="S35" i="13"/>
  <c r="M38" i="13"/>
  <c r="N35" i="13"/>
  <c r="N19" i="13"/>
  <c r="S19" i="13"/>
  <c r="M20" i="13"/>
  <c r="S17" i="13"/>
  <c r="N17" i="13"/>
  <c r="N20" i="14"/>
  <c r="S20" i="14"/>
  <c r="I49" i="18"/>
  <c r="AF49" i="18"/>
  <c r="AB24" i="18"/>
  <c r="O11" i="18"/>
  <c r="N11" i="17"/>
  <c r="R39" i="10" s="1"/>
  <c r="O107" i="20"/>
  <c r="Q107" i="20"/>
  <c r="T107" i="20"/>
  <c r="V107" i="20"/>
  <c r="N68" i="20"/>
  <c r="S68" i="20"/>
  <c r="R87" i="22"/>
  <c r="M87" i="22"/>
  <c r="AD9" i="10"/>
  <c r="L99" i="11"/>
  <c r="Q69" i="11"/>
  <c r="E7" i="11"/>
  <c r="AB134" i="12"/>
  <c r="AB133" i="12" s="1"/>
  <c r="AG127" i="12"/>
  <c r="AG125" i="12" s="1"/>
  <c r="AM125" i="12" s="1"/>
  <c r="V31" i="12"/>
  <c r="R315" i="13"/>
  <c r="S246" i="13"/>
  <c r="M241" i="13"/>
  <c r="N226" i="13"/>
  <c r="M196" i="13"/>
  <c r="R168" i="13"/>
  <c r="R154" i="13"/>
  <c r="S108" i="13"/>
  <c r="AG104" i="13"/>
  <c r="S62" i="13"/>
  <c r="S56" i="13"/>
  <c r="R53" i="13"/>
  <c r="M53" i="13"/>
  <c r="N52" i="13"/>
  <c r="S52" i="13"/>
  <c r="V50" i="18"/>
  <c r="AB49" i="18"/>
  <c r="N186" i="20"/>
  <c r="S186" i="20"/>
  <c r="N165" i="20"/>
  <c r="S165" i="20"/>
  <c r="K155" i="20"/>
  <c r="K25" i="19" s="1"/>
  <c r="Q25" i="19" s="1"/>
  <c r="X42" i="18"/>
  <c r="Q99" i="20"/>
  <c r="T99" i="20"/>
  <c r="V99" i="20"/>
  <c r="O99" i="20"/>
  <c r="U99" i="20" s="1"/>
  <c r="R40" i="21"/>
  <c r="S40" i="21"/>
  <c r="Z49" i="25"/>
  <c r="Y47" i="25"/>
  <c r="Y49" i="17"/>
  <c r="E73" i="11"/>
  <c r="Q73" i="11" s="1"/>
  <c r="AG70" i="12"/>
  <c r="AM70" i="12" s="1"/>
  <c r="Q320" i="13"/>
  <c r="M302" i="13"/>
  <c r="L279" i="13"/>
  <c r="R279" i="13" s="1"/>
  <c r="M240" i="13"/>
  <c r="M206" i="13"/>
  <c r="M202" i="13"/>
  <c r="M187" i="13"/>
  <c r="R169" i="13"/>
  <c r="M126" i="13"/>
  <c r="S99" i="13"/>
  <c r="M91" i="13"/>
  <c r="T77" i="13"/>
  <c r="K63" i="13"/>
  <c r="M55" i="13"/>
  <c r="R51" i="13"/>
  <c r="M51" i="13"/>
  <c r="O10" i="13"/>
  <c r="T10" i="13"/>
  <c r="R39" i="14"/>
  <c r="M39" i="14"/>
  <c r="O12" i="18"/>
  <c r="N12" i="17"/>
  <c r="N178" i="20"/>
  <c r="M181" i="20"/>
  <c r="S178" i="20"/>
  <c r="M132" i="22"/>
  <c r="R132" i="22"/>
  <c r="M50" i="22"/>
  <c r="R50" i="22"/>
  <c r="N30" i="24"/>
  <c r="O30" i="24" s="1"/>
  <c r="M30" i="17"/>
  <c r="U22" i="24"/>
  <c r="T22" i="17"/>
  <c r="M52" i="11"/>
  <c r="L48" i="11"/>
  <c r="M11" i="11"/>
  <c r="G86" i="12"/>
  <c r="AB76" i="12"/>
  <c r="AH76" i="12" s="1"/>
  <c r="AF321" i="13"/>
  <c r="AG280" i="13"/>
  <c r="J8" i="54"/>
  <c r="O8" i="54" s="1"/>
  <c r="J16" i="52"/>
  <c r="K8" i="54"/>
  <c r="N8" i="54"/>
  <c r="M162" i="13"/>
  <c r="O37" i="12"/>
  <c r="L78" i="13"/>
  <c r="N54" i="13"/>
  <c r="S54" i="13"/>
  <c r="R47" i="13"/>
  <c r="M47" i="13"/>
  <c r="M11" i="13"/>
  <c r="N7" i="14"/>
  <c r="S7" i="14"/>
  <c r="AB46" i="17"/>
  <c r="AC46" i="18"/>
  <c r="AC46" i="17" s="1"/>
  <c r="W22" i="18"/>
  <c r="W22" i="17" s="1"/>
  <c r="T16" i="18"/>
  <c r="N3" i="19"/>
  <c r="S3" i="19"/>
  <c r="M4" i="19"/>
  <c r="U138" i="20"/>
  <c r="Q63" i="20"/>
  <c r="T63" i="20"/>
  <c r="V63" i="20"/>
  <c r="O63" i="20"/>
  <c r="U63" i="20" s="1"/>
  <c r="T42" i="20"/>
  <c r="V42" i="20"/>
  <c r="O42" i="20"/>
  <c r="U42" i="20" s="1"/>
  <c r="S36" i="20"/>
  <c r="M38" i="20"/>
  <c r="N36" i="20"/>
  <c r="R46" i="21"/>
  <c r="S46" i="22"/>
  <c r="N46" i="22"/>
  <c r="O18" i="11"/>
  <c r="M17" i="11"/>
  <c r="C14" i="11"/>
  <c r="AG143" i="12"/>
  <c r="AM143" i="12" s="1"/>
  <c r="Q56" i="13"/>
  <c r="T56" i="13"/>
  <c r="I3" i="40"/>
  <c r="I3" i="41" s="1"/>
  <c r="I3" i="43" s="1"/>
  <c r="I3" i="44" s="1"/>
  <c r="I3" i="45" s="1"/>
  <c r="I3" i="46" s="1"/>
  <c r="I121" i="20"/>
  <c r="I3" i="21"/>
  <c r="AB30" i="14"/>
  <c r="O30" i="14"/>
  <c r="T30" i="14"/>
  <c r="T48" i="18"/>
  <c r="S47" i="18"/>
  <c r="AG9" i="18"/>
  <c r="J9" i="18"/>
  <c r="G14" i="18"/>
  <c r="R7" i="19"/>
  <c r="M7" i="19"/>
  <c r="U102" i="20"/>
  <c r="P102" i="20"/>
  <c r="Q27" i="20"/>
  <c r="T27" i="20"/>
  <c r="V27" i="20"/>
  <c r="O27" i="20"/>
  <c r="U27" i="20" s="1"/>
  <c r="T94" i="22"/>
  <c r="V94" i="22"/>
  <c r="O94" i="22"/>
  <c r="N63" i="21"/>
  <c r="T56" i="22"/>
  <c r="V56" i="22"/>
  <c r="O56" i="22"/>
  <c r="N43" i="21"/>
  <c r="T43" i="21" s="1"/>
  <c r="J73" i="11"/>
  <c r="Q65" i="11"/>
  <c r="U151" i="12"/>
  <c r="S120" i="13"/>
  <c r="O3" i="40"/>
  <c r="O3" i="41" s="1"/>
  <c r="O3" i="43" s="1"/>
  <c r="O3" i="44" s="1"/>
  <c r="O3" i="45" s="1"/>
  <c r="O3" i="46" s="1"/>
  <c r="O3" i="21"/>
  <c r="O121" i="20"/>
  <c r="T21" i="16"/>
  <c r="H13" i="67" s="1"/>
  <c r="J13" i="67" s="1"/>
  <c r="W9" i="16"/>
  <c r="O9" i="15" s="1"/>
  <c r="P48" i="18"/>
  <c r="Z31" i="17"/>
  <c r="AA31" i="18"/>
  <c r="D23" i="18"/>
  <c r="D23" i="17" s="1"/>
  <c r="D25" i="17"/>
  <c r="Z13" i="17"/>
  <c r="AA13" i="18"/>
  <c r="AC9" i="18"/>
  <c r="N162" i="20"/>
  <c r="S162" i="20"/>
  <c r="Y43" i="18"/>
  <c r="Y43" i="17" s="1"/>
  <c r="W95" i="10" s="1"/>
  <c r="R144" i="20"/>
  <c r="T126" i="20"/>
  <c r="V126" i="20"/>
  <c r="O126" i="20"/>
  <c r="N47" i="20"/>
  <c r="S47" i="20"/>
  <c r="R3" i="40"/>
  <c r="R3" i="41" s="1"/>
  <c r="R3" i="43" s="1"/>
  <c r="R3" i="44" s="1"/>
  <c r="R3" i="45" s="1"/>
  <c r="R3" i="46" s="1"/>
  <c r="R3" i="21"/>
  <c r="R121" i="20"/>
  <c r="P24" i="21"/>
  <c r="P84" i="22"/>
  <c r="P54" i="21"/>
  <c r="P55" i="21" s="1"/>
  <c r="T43" i="24"/>
  <c r="U43" i="24" s="1"/>
  <c r="V43" i="24" s="1"/>
  <c r="S43" i="17"/>
  <c r="R45" i="13"/>
  <c r="L49" i="13"/>
  <c r="R49" i="13" s="1"/>
  <c r="M39" i="13"/>
  <c r="M42" i="14"/>
  <c r="M26" i="14"/>
  <c r="S24" i="14"/>
  <c r="K33" i="14"/>
  <c r="E24" i="8" s="1"/>
  <c r="E19" i="8" s="1"/>
  <c r="E30" i="8" s="1"/>
  <c r="M18" i="14"/>
  <c r="T14" i="14"/>
  <c r="O14" i="14"/>
  <c r="U14" i="14" s="1"/>
  <c r="N10" i="14"/>
  <c r="M12" i="14"/>
  <c r="S10" i="14"/>
  <c r="M8" i="14"/>
  <c r="O20" i="15"/>
  <c r="AQ31" i="17"/>
  <c r="AQ24" i="17"/>
  <c r="AG5" i="27"/>
  <c r="AG40" i="27" s="1"/>
  <c r="AG5" i="32"/>
  <c r="AG40" i="32" s="1"/>
  <c r="AG5" i="18"/>
  <c r="AG40" i="18" s="1"/>
  <c r="N49" i="18"/>
  <c r="M49" i="17"/>
  <c r="AA45" i="17"/>
  <c r="AB45" i="18"/>
  <c r="H45" i="18"/>
  <c r="AE45" i="18"/>
  <c r="G45" i="17"/>
  <c r="U43" i="18"/>
  <c r="P42" i="18"/>
  <c r="O41" i="18"/>
  <c r="O35" i="18"/>
  <c r="T34" i="18"/>
  <c r="AI34" i="18"/>
  <c r="D34" i="17"/>
  <c r="AH31" i="18"/>
  <c r="AE28" i="18"/>
  <c r="G28" i="17"/>
  <c r="AA26" i="17"/>
  <c r="AB26" i="18"/>
  <c r="I26" i="18"/>
  <c r="L20" i="18"/>
  <c r="L22" i="17"/>
  <c r="AA21" i="18"/>
  <c r="H21" i="18"/>
  <c r="G20" i="18"/>
  <c r="AE21" i="18"/>
  <c r="V18" i="17"/>
  <c r="W18" i="18"/>
  <c r="W18" i="17" s="1"/>
  <c r="W14" i="18"/>
  <c r="W14" i="17" s="1"/>
  <c r="O42" i="10" s="1"/>
  <c r="K14" i="17"/>
  <c r="O9" i="18"/>
  <c r="T16" i="19"/>
  <c r="Y16" i="19"/>
  <c r="O16" i="19"/>
  <c r="U16" i="19" s="1"/>
  <c r="M10" i="19"/>
  <c r="R10" i="19"/>
  <c r="Y5" i="19"/>
  <c r="I15" i="18"/>
  <c r="O5" i="19"/>
  <c r="M166" i="20"/>
  <c r="M131" i="20"/>
  <c r="R131" i="20"/>
  <c r="M108" i="20"/>
  <c r="N108" i="20" s="1"/>
  <c r="M72" i="20"/>
  <c r="R72" i="20"/>
  <c r="R60" i="20"/>
  <c r="L73" i="20"/>
  <c r="R73" i="20" s="1"/>
  <c r="M55" i="20"/>
  <c r="Q50" i="20"/>
  <c r="T50" i="20"/>
  <c r="V50" i="20"/>
  <c r="M34" i="20"/>
  <c r="R34" i="20"/>
  <c r="V29" i="20"/>
  <c r="O29" i="20"/>
  <c r="U29" i="20" s="1"/>
  <c r="M24" i="20"/>
  <c r="Q19" i="20"/>
  <c r="T19" i="20"/>
  <c r="V19" i="20"/>
  <c r="S14" i="20"/>
  <c r="N14" i="20"/>
  <c r="J87" i="21"/>
  <c r="J88" i="21" s="1"/>
  <c r="L64" i="21"/>
  <c r="R63" i="21"/>
  <c r="P59" i="21"/>
  <c r="R44" i="21"/>
  <c r="S44" i="21"/>
  <c r="T44" i="21" s="1"/>
  <c r="U44" i="21" s="1"/>
  <c r="S33" i="21"/>
  <c r="T33" i="21"/>
  <c r="J31" i="21"/>
  <c r="J35" i="21" s="1"/>
  <c r="O84" i="21"/>
  <c r="U84" i="21" s="1"/>
  <c r="U118" i="22"/>
  <c r="U112" i="22"/>
  <c r="L108" i="22"/>
  <c r="K74" i="21"/>
  <c r="L55" i="22"/>
  <c r="R55" i="22" s="1"/>
  <c r="R54" i="22"/>
  <c r="M54" i="22"/>
  <c r="L41" i="21"/>
  <c r="L39" i="22"/>
  <c r="M37" i="22"/>
  <c r="R37" i="22"/>
  <c r="V24" i="23"/>
  <c r="N34" i="13"/>
  <c r="S34" i="13"/>
  <c r="R27" i="13"/>
  <c r="N16" i="13"/>
  <c r="S16" i="13"/>
  <c r="S34" i="14"/>
  <c r="N34" i="14"/>
  <c r="M27" i="14"/>
  <c r="L29" i="14"/>
  <c r="R27" i="14"/>
  <c r="J33" i="14"/>
  <c r="J45" i="14"/>
  <c r="J47" i="14" s="1"/>
  <c r="J51" i="14" s="1"/>
  <c r="O19" i="15"/>
  <c r="AJ31" i="17"/>
  <c r="AK31" i="17"/>
  <c r="AL26" i="17"/>
  <c r="AQ26" i="17" s="1"/>
  <c r="AE26" i="17"/>
  <c r="AJ24" i="17"/>
  <c r="AK24" i="17"/>
  <c r="AF5" i="66"/>
  <c r="AF40" i="66" s="1"/>
  <c r="AF5" i="37"/>
  <c r="AF40" i="37" s="1"/>
  <c r="AF5" i="38"/>
  <c r="AF40" i="38" s="1"/>
  <c r="AF5" i="35"/>
  <c r="AF40" i="35" s="1"/>
  <c r="AF5" i="36"/>
  <c r="AF40" i="36" s="1"/>
  <c r="AF5" i="33"/>
  <c r="AF40" i="33" s="1"/>
  <c r="AF5" i="30"/>
  <c r="AF40" i="30" s="1"/>
  <c r="AF5" i="34"/>
  <c r="AF40" i="34" s="1"/>
  <c r="AF5" i="31"/>
  <c r="AF40" i="31" s="1"/>
  <c r="AF5" i="32"/>
  <c r="AF40" i="32" s="1"/>
  <c r="AF5" i="29"/>
  <c r="AF40" i="29" s="1"/>
  <c r="AF5" i="28"/>
  <c r="AF40" i="28" s="1"/>
  <c r="AF5" i="26"/>
  <c r="AF40" i="26" s="1"/>
  <c r="AF5" i="25"/>
  <c r="AF40" i="25" s="1"/>
  <c r="AF5" i="27"/>
  <c r="AF40" i="27" s="1"/>
  <c r="AF5" i="23"/>
  <c r="AF40" i="23" s="1"/>
  <c r="AF40" i="17"/>
  <c r="AF5" i="18"/>
  <c r="AF40" i="18" s="1"/>
  <c r="Z51" i="17"/>
  <c r="AA51" i="18"/>
  <c r="Q50" i="18"/>
  <c r="Q50" i="17" s="1"/>
  <c r="AG31" i="18"/>
  <c r="AJ31" i="18"/>
  <c r="K30" i="18"/>
  <c r="K30" i="17" s="1"/>
  <c r="U28" i="17"/>
  <c r="V28" i="18"/>
  <c r="V28" i="17" s="1"/>
  <c r="AC17" i="18"/>
  <c r="AC17" i="17" s="1"/>
  <c r="AB17" i="17"/>
  <c r="P16" i="18"/>
  <c r="R14" i="17"/>
  <c r="J42" i="10" s="1"/>
  <c r="AB42" i="10" s="1"/>
  <c r="S14" i="18"/>
  <c r="T12" i="18"/>
  <c r="S12" i="17"/>
  <c r="U17" i="19"/>
  <c r="J22" i="18"/>
  <c r="U175" i="20"/>
  <c r="T111" i="20"/>
  <c r="V111" i="20"/>
  <c r="O111" i="20"/>
  <c r="U111" i="20" s="1"/>
  <c r="V96" i="20"/>
  <c r="O96" i="20"/>
  <c r="Q96" i="20"/>
  <c r="M94" i="20"/>
  <c r="R94" i="20"/>
  <c r="T91" i="20"/>
  <c r="V91" i="20"/>
  <c r="O91" i="20"/>
  <c r="U91" i="20" s="1"/>
  <c r="Q91" i="20"/>
  <c r="Q83" i="20"/>
  <c r="T83" i="20"/>
  <c r="V83" i="20"/>
  <c r="S78" i="20"/>
  <c r="N78" i="20"/>
  <c r="S70" i="20"/>
  <c r="N70" i="20"/>
  <c r="T77" i="21"/>
  <c r="U77" i="21"/>
  <c r="I56" i="21"/>
  <c r="T130" i="22"/>
  <c r="V130" i="22"/>
  <c r="N101" i="22"/>
  <c r="S101" i="22"/>
  <c r="K41" i="22"/>
  <c r="K32" i="21"/>
  <c r="K34" i="21" s="1"/>
  <c r="S14" i="22"/>
  <c r="N14" i="22"/>
  <c r="M14" i="21"/>
  <c r="I50" i="23"/>
  <c r="AF50" i="23"/>
  <c r="I48" i="23"/>
  <c r="AF48" i="23"/>
  <c r="H47" i="23"/>
  <c r="J45" i="23"/>
  <c r="AH45" i="23" s="1"/>
  <c r="AG45" i="23"/>
  <c r="AE8" i="23"/>
  <c r="J14" i="24"/>
  <c r="AH14" i="24" s="1"/>
  <c r="AG14" i="24"/>
  <c r="AJ36" i="25"/>
  <c r="D33" i="25"/>
  <c r="AJ33" i="25" s="1"/>
  <c r="N13" i="13"/>
  <c r="R12" i="13"/>
  <c r="R10" i="13"/>
  <c r="B3" i="40"/>
  <c r="B3" i="41" s="1"/>
  <c r="B3" i="43" s="1"/>
  <c r="B3" i="44" s="1"/>
  <c r="B3" i="45" s="1"/>
  <c r="B3" i="46" s="1"/>
  <c r="B3" i="21"/>
  <c r="B121" i="20"/>
  <c r="N46" i="14"/>
  <c r="M41" i="14"/>
  <c r="M35" i="14"/>
  <c r="R32" i="14"/>
  <c r="K72" i="12" s="1"/>
  <c r="N25" i="14"/>
  <c r="M17" i="14"/>
  <c r="AE49" i="17"/>
  <c r="AL22" i="17"/>
  <c r="AQ22" i="17" s="1"/>
  <c r="AE22" i="17"/>
  <c r="AL16" i="17"/>
  <c r="AQ16" i="17" s="1"/>
  <c r="AE16" i="17"/>
  <c r="W35" i="18"/>
  <c r="W35" i="17" s="1"/>
  <c r="O76" i="10" s="1"/>
  <c r="S31" i="18"/>
  <c r="Z30" i="18"/>
  <c r="Y30" i="17"/>
  <c r="N20" i="18"/>
  <c r="Z20" i="18"/>
  <c r="O19" i="18"/>
  <c r="N19" i="17"/>
  <c r="R47" i="10" s="1"/>
  <c r="P18" i="17"/>
  <c r="T46" i="10" s="1"/>
  <c r="Q18" i="18"/>
  <c r="Q18" i="17" s="1"/>
  <c r="U46" i="10" s="1"/>
  <c r="AA14" i="17"/>
  <c r="AB14" i="18"/>
  <c r="AI14" i="18"/>
  <c r="D14" i="17"/>
  <c r="C42" i="10" s="1"/>
  <c r="N10" i="18"/>
  <c r="Q6" i="66"/>
  <c r="Q6" i="38"/>
  <c r="Q6" i="37"/>
  <c r="Q6" i="36"/>
  <c r="Q6" i="35"/>
  <c r="Q6" i="34"/>
  <c r="Q6" i="33"/>
  <c r="Q6" i="31"/>
  <c r="Q6" i="32"/>
  <c r="Q6" i="30"/>
  <c r="Q6" i="28"/>
  <c r="Q6" i="29"/>
  <c r="Q6" i="27"/>
  <c r="Q6" i="26"/>
  <c r="Q6" i="25"/>
  <c r="Q6" i="24"/>
  <c r="Q6" i="23"/>
  <c r="I6" i="66"/>
  <c r="I6" i="38"/>
  <c r="I6" i="37"/>
  <c r="I6" i="35"/>
  <c r="I6" i="36"/>
  <c r="I6" i="34"/>
  <c r="I6" i="33"/>
  <c r="I6" i="31"/>
  <c r="I6" i="32"/>
  <c r="I6" i="30"/>
  <c r="I6" i="28"/>
  <c r="I6" i="29"/>
  <c r="I6" i="27"/>
  <c r="I6" i="26"/>
  <c r="I6" i="25"/>
  <c r="I6" i="23"/>
  <c r="I6" i="24"/>
  <c r="N19" i="19"/>
  <c r="S185" i="20"/>
  <c r="J192" i="20"/>
  <c r="T148" i="20"/>
  <c r="V148" i="20"/>
  <c r="V128" i="20"/>
  <c r="O128" i="20"/>
  <c r="Q110" i="20"/>
  <c r="V110" i="20"/>
  <c r="S86" i="20"/>
  <c r="N86" i="20"/>
  <c r="O71" i="20"/>
  <c r="M51" i="20"/>
  <c r="M58" i="20" s="1"/>
  <c r="M20" i="20"/>
  <c r="Q15" i="20"/>
  <c r="T15" i="20"/>
  <c r="V15" i="20"/>
  <c r="P31" i="21"/>
  <c r="S7" i="21"/>
  <c r="L120" i="22"/>
  <c r="K122" i="22"/>
  <c r="K86" i="21" s="1"/>
  <c r="S94" i="22"/>
  <c r="M63" i="21"/>
  <c r="I61" i="21"/>
  <c r="I84" i="22"/>
  <c r="I54" i="21"/>
  <c r="I55" i="21" s="1"/>
  <c r="S64" i="22"/>
  <c r="N64" i="22"/>
  <c r="Q64" i="22" s="1"/>
  <c r="S58" i="22"/>
  <c r="N58" i="22"/>
  <c r="M45" i="21"/>
  <c r="L9" i="22"/>
  <c r="K13" i="22"/>
  <c r="K126" i="22"/>
  <c r="P42" i="23"/>
  <c r="AG5" i="23"/>
  <c r="AG40" i="23" s="1"/>
  <c r="V21" i="24"/>
  <c r="U20" i="24"/>
  <c r="N36" i="13"/>
  <c r="S36" i="13"/>
  <c r="K18" i="13"/>
  <c r="Q10" i="13"/>
  <c r="M38" i="14"/>
  <c r="R38" i="14"/>
  <c r="M32" i="14"/>
  <c r="S30" i="14"/>
  <c r="N22" i="14"/>
  <c r="S22" i="14"/>
  <c r="N13" i="14"/>
  <c r="M15" i="14"/>
  <c r="N11" i="14"/>
  <c r="S11" i="14"/>
  <c r="L9" i="14"/>
  <c r="R7" i="14"/>
  <c r="AP25" i="17"/>
  <c r="G58" i="17"/>
  <c r="H58" i="18"/>
  <c r="P51" i="18"/>
  <c r="O51" i="17"/>
  <c r="W49" i="18"/>
  <c r="W49" i="17" s="1"/>
  <c r="O114" i="10" s="1"/>
  <c r="V49" i="17"/>
  <c r="N47" i="18"/>
  <c r="Q45" i="18"/>
  <c r="Q45" i="17" s="1"/>
  <c r="P45" i="17"/>
  <c r="P12" i="55"/>
  <c r="G29" i="18"/>
  <c r="R29" i="18"/>
  <c r="F29" i="17"/>
  <c r="AF27" i="18"/>
  <c r="I27" i="18"/>
  <c r="Q21" i="18"/>
  <c r="T13" i="18"/>
  <c r="AB10" i="18"/>
  <c r="Z8" i="18"/>
  <c r="P6" i="66"/>
  <c r="P6" i="37"/>
  <c r="P6" i="36"/>
  <c r="P6" i="34"/>
  <c r="P6" i="35"/>
  <c r="P6" i="38"/>
  <c r="P6" i="33"/>
  <c r="P6" i="32"/>
  <c r="P6" i="30"/>
  <c r="P6" i="28"/>
  <c r="P6" i="31"/>
  <c r="P6" i="29"/>
  <c r="P6" i="27"/>
  <c r="P6" i="26"/>
  <c r="P6" i="25"/>
  <c r="P6" i="24"/>
  <c r="P6" i="23"/>
  <c r="H6" i="66"/>
  <c r="H6" i="37"/>
  <c r="H6" i="38"/>
  <c r="H6" i="34"/>
  <c r="H6" i="35"/>
  <c r="H6" i="36"/>
  <c r="H6" i="33"/>
  <c r="H6" i="32"/>
  <c r="H6" i="30"/>
  <c r="H6" i="28"/>
  <c r="H6" i="29"/>
  <c r="H6" i="27"/>
  <c r="H6" i="26"/>
  <c r="H6" i="25"/>
  <c r="H6" i="31"/>
  <c r="H6" i="24"/>
  <c r="H6" i="23"/>
  <c r="D4" i="66"/>
  <c r="D39" i="66" s="1"/>
  <c r="D4" i="38"/>
  <c r="D39" i="38" s="1"/>
  <c r="D4" i="37"/>
  <c r="D39" i="37" s="1"/>
  <c r="D4" i="36"/>
  <c r="D39" i="36" s="1"/>
  <c r="D4" i="34"/>
  <c r="D39" i="34" s="1"/>
  <c r="D4" i="35"/>
  <c r="D39" i="35" s="1"/>
  <c r="D4" i="33"/>
  <c r="D39" i="33" s="1"/>
  <c r="D4" i="31"/>
  <c r="D39" i="31" s="1"/>
  <c r="D4" i="32"/>
  <c r="D39" i="32" s="1"/>
  <c r="D4" i="30"/>
  <c r="D39" i="30" s="1"/>
  <c r="D4" i="28"/>
  <c r="D39" i="28" s="1"/>
  <c r="D4" i="29"/>
  <c r="D39" i="29" s="1"/>
  <c r="D4" i="27"/>
  <c r="D39" i="27" s="1"/>
  <c r="D4" i="26"/>
  <c r="D39" i="26" s="1"/>
  <c r="D4" i="25"/>
  <c r="D39" i="25" s="1"/>
  <c r="D4" i="24"/>
  <c r="D39" i="24" s="1"/>
  <c r="D39" i="23"/>
  <c r="F25" i="18"/>
  <c r="Q15" i="19"/>
  <c r="R3" i="19"/>
  <c r="L4" i="19"/>
  <c r="N179" i="20"/>
  <c r="S179" i="20"/>
  <c r="N169" i="20"/>
  <c r="S169" i="20"/>
  <c r="N163" i="20"/>
  <c r="M190" i="20"/>
  <c r="S163" i="20"/>
  <c r="D43" i="18"/>
  <c r="L155" i="20"/>
  <c r="Y42" i="18"/>
  <c r="R134" i="20"/>
  <c r="P18" i="55"/>
  <c r="F43" i="17"/>
  <c r="S105" i="20"/>
  <c r="N105" i="20"/>
  <c r="N93" i="20"/>
  <c r="M84" i="20"/>
  <c r="Q79" i="20"/>
  <c r="T79" i="20"/>
  <c r="V79" i="20"/>
  <c r="M77" i="20"/>
  <c r="R77" i="20"/>
  <c r="S66" i="20"/>
  <c r="N66" i="20"/>
  <c r="P57" i="20"/>
  <c r="T32" i="20"/>
  <c r="V32" i="20"/>
  <c r="O32" i="20"/>
  <c r="U32" i="20" s="1"/>
  <c r="Q32" i="20"/>
  <c r="R30" i="20"/>
  <c r="M30" i="20"/>
  <c r="J39" i="21"/>
  <c r="J56" i="21" s="1"/>
  <c r="K20" i="21"/>
  <c r="K24" i="21" s="1"/>
  <c r="R14" i="21"/>
  <c r="S12" i="21"/>
  <c r="R7" i="21"/>
  <c r="O131" i="22"/>
  <c r="T131" i="22"/>
  <c r="O129" i="22"/>
  <c r="Q129" i="22"/>
  <c r="V129" i="22"/>
  <c r="U114" i="22"/>
  <c r="O80" i="21"/>
  <c r="U80" i="21" s="1"/>
  <c r="J85" i="22"/>
  <c r="R46" i="22"/>
  <c r="L48" i="22"/>
  <c r="S44" i="23"/>
  <c r="T44" i="23" s="1"/>
  <c r="U44" i="23" s="1"/>
  <c r="V44" i="23" s="1"/>
  <c r="R41" i="23"/>
  <c r="R52" i="23" s="1"/>
  <c r="AB21" i="23"/>
  <c r="AA20" i="23"/>
  <c r="AH34" i="24"/>
  <c r="N44" i="13"/>
  <c r="M14" i="13"/>
  <c r="R14" i="13"/>
  <c r="O12" i="13"/>
  <c r="AG12" i="13"/>
  <c r="P18" i="13"/>
  <c r="T3" i="40"/>
  <c r="T3" i="41" s="1"/>
  <c r="T3" i="43" s="1"/>
  <c r="T3" i="44" s="1"/>
  <c r="T3" i="45" s="1"/>
  <c r="T3" i="46" s="1"/>
  <c r="T3" i="21"/>
  <c r="T121" i="20"/>
  <c r="AB44" i="14"/>
  <c r="T44" i="14"/>
  <c r="Y45" i="14"/>
  <c r="Y47" i="14" s="1"/>
  <c r="M19" i="14"/>
  <c r="K16" i="14"/>
  <c r="AJ20" i="17"/>
  <c r="AK20" i="17"/>
  <c r="AB50" i="18"/>
  <c r="AC48" i="18"/>
  <c r="M47" i="18"/>
  <c r="D33" i="18"/>
  <c r="P31" i="17"/>
  <c r="Q31" i="18"/>
  <c r="Q31" i="17" s="1"/>
  <c r="T30" i="17"/>
  <c r="U30" i="18"/>
  <c r="T23" i="18"/>
  <c r="U25" i="18"/>
  <c r="U23" i="18" s="1"/>
  <c r="AG16" i="18"/>
  <c r="AJ16" i="18"/>
  <c r="Z15" i="18"/>
  <c r="G15" i="17"/>
  <c r="AE15" i="18"/>
  <c r="AF15" i="18"/>
  <c r="AB11" i="18"/>
  <c r="AA11" i="17"/>
  <c r="S16" i="19"/>
  <c r="T8" i="19"/>
  <c r="Y8" i="19"/>
  <c r="O8" i="19"/>
  <c r="U8" i="19" s="1"/>
  <c r="P13" i="19"/>
  <c r="K10" i="18"/>
  <c r="I13" i="19"/>
  <c r="I22" i="19" s="1"/>
  <c r="T185" i="20"/>
  <c r="O185" i="20"/>
  <c r="U185" i="20" s="1"/>
  <c r="L190" i="20"/>
  <c r="R190" i="20" s="1"/>
  <c r="R163" i="20"/>
  <c r="T139" i="20"/>
  <c r="V139" i="20"/>
  <c r="E43" i="18"/>
  <c r="N103" i="20"/>
  <c r="S103" i="20"/>
  <c r="N100" i="20"/>
  <c r="S100" i="20"/>
  <c r="T97" i="20"/>
  <c r="V97" i="20"/>
  <c r="O97" i="20"/>
  <c r="U97" i="20" s="1"/>
  <c r="Q97" i="20"/>
  <c r="V95" i="20"/>
  <c r="O95" i="20"/>
  <c r="Q95" i="20"/>
  <c r="M90" i="20"/>
  <c r="R90" i="20"/>
  <c r="N64" i="20"/>
  <c r="S64" i="20"/>
  <c r="M61" i="20"/>
  <c r="R61" i="20"/>
  <c r="Q54" i="20"/>
  <c r="T54" i="20"/>
  <c r="V54" i="20"/>
  <c r="S49" i="20"/>
  <c r="N49" i="20"/>
  <c r="N43" i="20"/>
  <c r="Q43" i="20" s="1"/>
  <c r="S43" i="20"/>
  <c r="M45" i="20"/>
  <c r="S45" i="20" s="1"/>
  <c r="N40" i="20"/>
  <c r="Q33" i="20"/>
  <c r="T33" i="20"/>
  <c r="N28" i="20"/>
  <c r="S28" i="20"/>
  <c r="Q23" i="20"/>
  <c r="T23" i="20"/>
  <c r="V23" i="20"/>
  <c r="S18" i="20"/>
  <c r="N18" i="20"/>
  <c r="R51" i="21"/>
  <c r="S51" i="21"/>
  <c r="M133" i="22"/>
  <c r="R121" i="22"/>
  <c r="P124" i="22"/>
  <c r="K84" i="22"/>
  <c r="K54" i="21"/>
  <c r="I36" i="22"/>
  <c r="I42" i="22" s="1"/>
  <c r="I31" i="22"/>
  <c r="I26" i="21" s="1"/>
  <c r="I31" i="21" s="1"/>
  <c r="I35" i="21" s="1"/>
  <c r="I126" i="22"/>
  <c r="Y33" i="23"/>
  <c r="AB12" i="23"/>
  <c r="AA12" i="17"/>
  <c r="T50" i="24"/>
  <c r="S50" i="17"/>
  <c r="T47" i="24"/>
  <c r="U48" i="24"/>
  <c r="AA34" i="24"/>
  <c r="Z33" i="24"/>
  <c r="N8" i="13"/>
  <c r="S8" i="13"/>
  <c r="S3" i="40"/>
  <c r="S3" i="41" s="1"/>
  <c r="S3" i="43" s="1"/>
  <c r="S3" i="44" s="1"/>
  <c r="S3" i="45" s="1"/>
  <c r="S3" i="46" s="1"/>
  <c r="S3" i="21"/>
  <c r="S121" i="20"/>
  <c r="M3" i="40"/>
  <c r="M3" i="41" s="1"/>
  <c r="M3" i="43" s="1"/>
  <c r="M3" i="44" s="1"/>
  <c r="M3" i="45" s="1"/>
  <c r="M3" i="46" s="1"/>
  <c r="M3" i="21"/>
  <c r="M121" i="20"/>
  <c r="N40" i="14"/>
  <c r="S40" i="14"/>
  <c r="M28" i="14"/>
  <c r="R28" i="14"/>
  <c r="I45" i="14"/>
  <c r="I47" i="14" s="1"/>
  <c r="I51" i="14" s="1"/>
  <c r="W7" i="16"/>
  <c r="D21" i="16"/>
  <c r="H6" i="67" s="1"/>
  <c r="H21" i="67" s="1"/>
  <c r="AE31" i="17"/>
  <c r="AJ27" i="17"/>
  <c r="AL27" i="17"/>
  <c r="AQ27" i="17" s="1"/>
  <c r="AE27" i="17"/>
  <c r="J51" i="18"/>
  <c r="AF50" i="18"/>
  <c r="I50" i="18"/>
  <c r="P22" i="55"/>
  <c r="I3" i="39"/>
  <c r="F47" i="18"/>
  <c r="AI48" i="18"/>
  <c r="F48" i="17"/>
  <c r="L52" i="18"/>
  <c r="AA29" i="18"/>
  <c r="Z29" i="17"/>
  <c r="AB28" i="18"/>
  <c r="AA28" i="17"/>
  <c r="N28" i="17"/>
  <c r="O28" i="18"/>
  <c r="AF26" i="18"/>
  <c r="N26" i="18"/>
  <c r="M26" i="17"/>
  <c r="Q21" i="10" s="1"/>
  <c r="AC21" i="10" s="1"/>
  <c r="O25" i="18"/>
  <c r="AC22" i="18"/>
  <c r="AB19" i="17"/>
  <c r="AC19" i="18"/>
  <c r="AC19" i="17" s="1"/>
  <c r="AE19" i="18"/>
  <c r="G19" i="17"/>
  <c r="E47" i="10" s="1"/>
  <c r="T17" i="18"/>
  <c r="S17" i="17"/>
  <c r="K45" i="10" s="1"/>
  <c r="AC45" i="10" s="1"/>
  <c r="Z16" i="17"/>
  <c r="AA16" i="18"/>
  <c r="F15" i="17"/>
  <c r="R15" i="18"/>
  <c r="O13" i="18"/>
  <c r="AE11" i="18"/>
  <c r="G11" i="17"/>
  <c r="E10" i="17"/>
  <c r="E8" i="18"/>
  <c r="T9" i="18"/>
  <c r="S9" i="17"/>
  <c r="K37" i="10" s="1"/>
  <c r="F8" i="18"/>
  <c r="Y20" i="19"/>
  <c r="O20" i="19"/>
  <c r="I34" i="18"/>
  <c r="O12" i="19"/>
  <c r="U12" i="19" s="1"/>
  <c r="Y12" i="19"/>
  <c r="M168" i="20"/>
  <c r="N149" i="20"/>
  <c r="V141" i="20"/>
  <c r="O141" i="20"/>
  <c r="U141" i="20" s="1"/>
  <c r="J121" i="20"/>
  <c r="O109" i="20"/>
  <c r="Q109" i="20"/>
  <c r="V109" i="20"/>
  <c r="Q87" i="20"/>
  <c r="T87" i="20"/>
  <c r="V87" i="20"/>
  <c r="S82" i="20"/>
  <c r="N82" i="20"/>
  <c r="M37" i="20"/>
  <c r="R37" i="20"/>
  <c r="N16" i="20"/>
  <c r="S16" i="20"/>
  <c r="L68" i="21"/>
  <c r="R65" i="21"/>
  <c r="K55" i="21"/>
  <c r="R28" i="21"/>
  <c r="S28" i="21"/>
  <c r="K31" i="21"/>
  <c r="K35" i="21" s="1"/>
  <c r="I20" i="21"/>
  <c r="I24" i="21" s="1"/>
  <c r="I89" i="21" s="1"/>
  <c r="D44" i="18" s="1"/>
  <c r="D44" i="17" s="1"/>
  <c r="M136" i="22"/>
  <c r="N134" i="22"/>
  <c r="P52" i="22"/>
  <c r="P37" i="21"/>
  <c r="P39" i="21" s="1"/>
  <c r="S12" i="22"/>
  <c r="N12" i="22"/>
  <c r="J51" i="24"/>
  <c r="AH51" i="24" s="1"/>
  <c r="AG51" i="24"/>
  <c r="O50" i="24"/>
  <c r="N50" i="17"/>
  <c r="J49" i="24"/>
  <c r="AH49" i="24" s="1"/>
  <c r="AG49" i="24"/>
  <c r="AF5" i="24"/>
  <c r="AF40" i="24" s="1"/>
  <c r="AA23" i="26"/>
  <c r="AB24" i="26"/>
  <c r="M45" i="13"/>
  <c r="T41" i="13"/>
  <c r="L38" i="13"/>
  <c r="Q37" i="13"/>
  <c r="AG37" i="13"/>
  <c r="O37" i="13"/>
  <c r="U37" i="13" s="1"/>
  <c r="N21" i="13"/>
  <c r="O15" i="13"/>
  <c r="U15" i="13" s="1"/>
  <c r="AG9" i="13"/>
  <c r="N9" i="13"/>
  <c r="S9" i="13"/>
  <c r="R8" i="13"/>
  <c r="L18" i="13"/>
  <c r="N7" i="13"/>
  <c r="S7" i="13"/>
  <c r="L3" i="40"/>
  <c r="L3" i="41" s="1"/>
  <c r="L3" i="43" s="1"/>
  <c r="L3" i="44" s="1"/>
  <c r="L3" i="45" s="1"/>
  <c r="L3" i="46" s="1"/>
  <c r="L3" i="21"/>
  <c r="L121" i="20"/>
  <c r="L43" i="14"/>
  <c r="R43" i="14" s="1"/>
  <c r="R40" i="14"/>
  <c r="M36" i="14"/>
  <c r="R36" i="14"/>
  <c r="N31" i="14"/>
  <c r="N24" i="14"/>
  <c r="L23" i="14"/>
  <c r="N21" i="14"/>
  <c r="S21" i="14"/>
  <c r="O15" i="15"/>
  <c r="O3" i="15"/>
  <c r="N21" i="15"/>
  <c r="J6" i="6" s="1"/>
  <c r="AR53" i="17"/>
  <c r="AS53" i="17"/>
  <c r="AL30" i="17"/>
  <c r="AQ30" i="17" s="1"/>
  <c r="AE30" i="17"/>
  <c r="AL21" i="17"/>
  <c r="AQ21" i="17" s="1"/>
  <c r="AE21" i="17"/>
  <c r="AQ18" i="17"/>
  <c r="E47" i="18"/>
  <c r="E47" i="17" s="1"/>
  <c r="AU47" i="17" s="1"/>
  <c r="O44" i="17"/>
  <c r="P44" i="18"/>
  <c r="N30" i="17"/>
  <c r="H28" i="18"/>
  <c r="P27" i="17"/>
  <c r="Q27" i="18"/>
  <c r="Q27" i="17" s="1"/>
  <c r="U27" i="10" s="1"/>
  <c r="U22" i="10" s="1"/>
  <c r="R27" i="18"/>
  <c r="M20" i="18"/>
  <c r="M22" i="17"/>
  <c r="R19" i="17"/>
  <c r="J47" i="10" s="1"/>
  <c r="AB47" i="10" s="1"/>
  <c r="AH47" i="10" s="1"/>
  <c r="S19" i="18"/>
  <c r="Z18" i="17"/>
  <c r="AA18" i="18"/>
  <c r="O17" i="18"/>
  <c r="P15" i="18"/>
  <c r="N14" i="18"/>
  <c r="N8" i="18" s="1"/>
  <c r="Y8" i="18"/>
  <c r="S11" i="18"/>
  <c r="R11" i="17"/>
  <c r="J39" i="10" s="1"/>
  <c r="AI10" i="18"/>
  <c r="D10" i="17"/>
  <c r="D8" i="18"/>
  <c r="R8" i="18"/>
  <c r="I4" i="23"/>
  <c r="I39" i="18"/>
  <c r="J11" i="18"/>
  <c r="U11" i="19"/>
  <c r="Q4" i="19"/>
  <c r="L181" i="20"/>
  <c r="R181" i="20" s="1"/>
  <c r="R178" i="20"/>
  <c r="L171" i="20"/>
  <c r="R162" i="20"/>
  <c r="L189" i="20"/>
  <c r="R189" i="20" s="1"/>
  <c r="M134" i="20"/>
  <c r="N129" i="20"/>
  <c r="U125" i="20"/>
  <c r="S111" i="20"/>
  <c r="Q106" i="20"/>
  <c r="T106" i="20"/>
  <c r="V106" i="20"/>
  <c r="T96" i="20"/>
  <c r="M89" i="20"/>
  <c r="M80" i="20"/>
  <c r="Q67" i="20"/>
  <c r="T67" i="20"/>
  <c r="V67" i="20"/>
  <c r="N60" i="20"/>
  <c r="S60" i="20"/>
  <c r="L58" i="20"/>
  <c r="R47" i="20"/>
  <c r="O31" i="20"/>
  <c r="U31" i="20" s="1"/>
  <c r="Q31" i="20"/>
  <c r="T31" i="20"/>
  <c r="S26" i="20"/>
  <c r="N26" i="20"/>
  <c r="M8" i="20"/>
  <c r="T83" i="21"/>
  <c r="U83" i="21"/>
  <c r="K68" i="21"/>
  <c r="K88" i="21" s="1"/>
  <c r="J61" i="21"/>
  <c r="J13" i="21"/>
  <c r="J24" i="21" s="1"/>
  <c r="J3" i="21"/>
  <c r="O135" i="22"/>
  <c r="T135" i="22"/>
  <c r="N121" i="22"/>
  <c r="S121" i="22"/>
  <c r="I123" i="22"/>
  <c r="I124" i="22" s="1"/>
  <c r="I85" i="21"/>
  <c r="I87" i="21" s="1"/>
  <c r="I88" i="21" s="1"/>
  <c r="U116" i="22"/>
  <c r="O82" i="21"/>
  <c r="U82" i="21" s="1"/>
  <c r="M113" i="22"/>
  <c r="R113" i="22"/>
  <c r="L79" i="21"/>
  <c r="R79" i="21" s="1"/>
  <c r="P92" i="22"/>
  <c r="M76" i="22"/>
  <c r="R76" i="22"/>
  <c r="T30" i="22"/>
  <c r="V30" i="22"/>
  <c r="O30" i="22"/>
  <c r="Q30" i="22"/>
  <c r="N46" i="23"/>
  <c r="AC25" i="17"/>
  <c r="H17" i="23"/>
  <c r="AE17" i="23"/>
  <c r="G17" i="17"/>
  <c r="AG10" i="13"/>
  <c r="AA47" i="18"/>
  <c r="R46" i="18"/>
  <c r="M8" i="18"/>
  <c r="W6" i="37"/>
  <c r="W6" i="34"/>
  <c r="W6" i="35"/>
  <c r="W6" i="66"/>
  <c r="W6" i="38"/>
  <c r="W6" i="33"/>
  <c r="W6" i="30"/>
  <c r="W6" i="36"/>
  <c r="W6" i="32"/>
  <c r="W6" i="29"/>
  <c r="W6" i="31"/>
  <c r="W6" i="28"/>
  <c r="W6" i="26"/>
  <c r="W6" i="25"/>
  <c r="W6" i="27"/>
  <c r="W6" i="23"/>
  <c r="W6" i="24"/>
  <c r="O6" i="66"/>
  <c r="O6" i="36"/>
  <c r="O6" i="34"/>
  <c r="O6" i="35"/>
  <c r="O6" i="38"/>
  <c r="O6" i="37"/>
  <c r="O6" i="33"/>
  <c r="O6" i="30"/>
  <c r="O6" i="31"/>
  <c r="O6" i="29"/>
  <c r="O6" i="26"/>
  <c r="O6" i="25"/>
  <c r="O6" i="28"/>
  <c r="O6" i="32"/>
  <c r="O6" i="24"/>
  <c r="O6" i="23"/>
  <c r="O6" i="27"/>
  <c r="G6" i="37"/>
  <c r="G6" i="66"/>
  <c r="G6" i="38"/>
  <c r="G6" i="34"/>
  <c r="G6" i="35"/>
  <c r="G6" i="36"/>
  <c r="G6" i="33"/>
  <c r="G6" i="30"/>
  <c r="G6" i="29"/>
  <c r="G6" i="32"/>
  <c r="G6" i="26"/>
  <c r="G6" i="25"/>
  <c r="G6" i="28"/>
  <c r="G6" i="27"/>
  <c r="G6" i="31"/>
  <c r="G6" i="23"/>
  <c r="G6" i="24"/>
  <c r="K13" i="20"/>
  <c r="R13" i="20" s="1"/>
  <c r="T114" i="22"/>
  <c r="V114" i="22"/>
  <c r="K107" i="22"/>
  <c r="K73" i="21" s="1"/>
  <c r="K87" i="21" s="1"/>
  <c r="L104" i="22"/>
  <c r="R97" i="22"/>
  <c r="L99" i="22"/>
  <c r="M97" i="22"/>
  <c r="N81" i="22"/>
  <c r="S81" i="22"/>
  <c r="M71" i="22"/>
  <c r="S62" i="22"/>
  <c r="N62" i="22"/>
  <c r="T44" i="22"/>
  <c r="V44" i="22"/>
  <c r="O44" i="22"/>
  <c r="U44" i="22" s="1"/>
  <c r="N35" i="22"/>
  <c r="S35" i="22"/>
  <c r="T33" i="22"/>
  <c r="V33" i="22"/>
  <c r="O33" i="22"/>
  <c r="V24" i="22"/>
  <c r="O24" i="22"/>
  <c r="T24" i="22"/>
  <c r="K22" i="22"/>
  <c r="L19" i="22"/>
  <c r="N17" i="22"/>
  <c r="S17" i="22"/>
  <c r="S10" i="22"/>
  <c r="N10" i="22"/>
  <c r="I49" i="23"/>
  <c r="AF49" i="23"/>
  <c r="J5" i="39"/>
  <c r="AE47" i="23"/>
  <c r="I46" i="23"/>
  <c r="AF46" i="23"/>
  <c r="H27" i="23"/>
  <c r="H27" i="17" s="1"/>
  <c r="AE27" i="23"/>
  <c r="U25" i="23"/>
  <c r="V25" i="23" s="1"/>
  <c r="T23" i="23"/>
  <c r="S23" i="23"/>
  <c r="AA9" i="23"/>
  <c r="Z8" i="23"/>
  <c r="S4" i="36"/>
  <c r="S39" i="36" s="1"/>
  <c r="S39" i="23"/>
  <c r="O42" i="24"/>
  <c r="N41" i="24"/>
  <c r="U33" i="24"/>
  <c r="V34" i="24"/>
  <c r="V33" i="24" s="1"/>
  <c r="T23" i="24"/>
  <c r="U24" i="24"/>
  <c r="Z47" i="25"/>
  <c r="AA48" i="25"/>
  <c r="Z20" i="25"/>
  <c r="AA21" i="25"/>
  <c r="L15" i="14"/>
  <c r="R10" i="14"/>
  <c r="AK9" i="17"/>
  <c r="AQ9" i="17" s="1"/>
  <c r="R47" i="18"/>
  <c r="AI46" i="18"/>
  <c r="N24" i="18"/>
  <c r="AI11" i="18"/>
  <c r="V6" i="37"/>
  <c r="V6" i="66"/>
  <c r="V6" i="38"/>
  <c r="V6" i="35"/>
  <c r="V6" i="33"/>
  <c r="V6" i="34"/>
  <c r="V6" i="30"/>
  <c r="V6" i="36"/>
  <c r="V6" i="31"/>
  <c r="V6" i="29"/>
  <c r="V6" i="32"/>
  <c r="V6" i="25"/>
  <c r="V6" i="26"/>
  <c r="V6" i="27"/>
  <c r="V6" i="24"/>
  <c r="V6" i="28"/>
  <c r="N6" i="66"/>
  <c r="N6" i="37"/>
  <c r="N6" i="38"/>
  <c r="N6" i="36"/>
  <c r="N6" i="35"/>
  <c r="N6" i="33"/>
  <c r="N6" i="30"/>
  <c r="N6" i="31"/>
  <c r="N6" i="34"/>
  <c r="N6" i="29"/>
  <c r="N6" i="32"/>
  <c r="N6" i="25"/>
  <c r="N6" i="26"/>
  <c r="N6" i="28"/>
  <c r="N6" i="27"/>
  <c r="F6" i="37"/>
  <c r="F6" i="66"/>
  <c r="F6" i="38"/>
  <c r="F6" i="35"/>
  <c r="F6" i="36"/>
  <c r="F6" i="33"/>
  <c r="F6" i="34"/>
  <c r="F6" i="30"/>
  <c r="F6" i="31"/>
  <c r="F6" i="29"/>
  <c r="F6" i="32"/>
  <c r="F6" i="25"/>
  <c r="F6" i="28"/>
  <c r="F6" i="26"/>
  <c r="F6" i="27"/>
  <c r="F6" i="24"/>
  <c r="Y17" i="19"/>
  <c r="Y14" i="19"/>
  <c r="Y6" i="19"/>
  <c r="Y2" i="19"/>
  <c r="L152" i="20"/>
  <c r="R152" i="20" s="1"/>
  <c r="Q104" i="20"/>
  <c r="Q85" i="20"/>
  <c r="Q81" i="20"/>
  <c r="Q69" i="20"/>
  <c r="Q65" i="20"/>
  <c r="Q52" i="20"/>
  <c r="Q48" i="20"/>
  <c r="Q39" i="20"/>
  <c r="Q25" i="20"/>
  <c r="Q21" i="20"/>
  <c r="Q17" i="20"/>
  <c r="L133" i="22"/>
  <c r="S118" i="22"/>
  <c r="R115" i="22"/>
  <c r="R73" i="22"/>
  <c r="M73" i="22"/>
  <c r="I66" i="22"/>
  <c r="I85" i="22" s="1"/>
  <c r="T57" i="22"/>
  <c r="N59" i="22"/>
  <c r="V57" i="22"/>
  <c r="O57" i="22"/>
  <c r="T40" i="22"/>
  <c r="V40" i="22"/>
  <c r="O40" i="22"/>
  <c r="S28" i="22"/>
  <c r="N28" i="22"/>
  <c r="S20" i="22"/>
  <c r="M15" i="22"/>
  <c r="R15" i="22"/>
  <c r="P26" i="22"/>
  <c r="Z47" i="23"/>
  <c r="H44" i="23"/>
  <c r="AE44" i="23"/>
  <c r="M41" i="23"/>
  <c r="M52" i="23" s="1"/>
  <c r="N34" i="23"/>
  <c r="M33" i="23"/>
  <c r="O24" i="23"/>
  <c r="N23" i="23"/>
  <c r="J22" i="23"/>
  <c r="AH22" i="23" s="1"/>
  <c r="AG22" i="23"/>
  <c r="I13" i="23"/>
  <c r="AF13" i="23"/>
  <c r="U8" i="23"/>
  <c r="V10" i="23"/>
  <c r="V6" i="23"/>
  <c r="O48" i="24"/>
  <c r="N47" i="24"/>
  <c r="AF46" i="24"/>
  <c r="I46" i="24"/>
  <c r="M52" i="24"/>
  <c r="P24" i="24"/>
  <c r="P23" i="24" s="1"/>
  <c r="O23" i="24"/>
  <c r="J22" i="24"/>
  <c r="AH22" i="24" s="1"/>
  <c r="AG22" i="24"/>
  <c r="U48" i="25"/>
  <c r="T47" i="25"/>
  <c r="Y35" i="25"/>
  <c r="X33" i="25"/>
  <c r="X33" i="17" s="1"/>
  <c r="H31" i="26"/>
  <c r="AE31" i="26"/>
  <c r="L37" i="14"/>
  <c r="AE34" i="17"/>
  <c r="AJ9" i="17"/>
  <c r="AB34" i="18"/>
  <c r="V24" i="18"/>
  <c r="U21" i="18"/>
  <c r="U6" i="37"/>
  <c r="U6" i="66"/>
  <c r="U6" i="38"/>
  <c r="U6" i="35"/>
  <c r="U6" i="36"/>
  <c r="U6" i="33"/>
  <c r="U6" i="34"/>
  <c r="U6" i="31"/>
  <c r="U6" i="32"/>
  <c r="U6" i="30"/>
  <c r="U6" i="28"/>
  <c r="U6" i="29"/>
  <c r="U6" i="25"/>
  <c r="U6" i="24"/>
  <c r="U6" i="27"/>
  <c r="U6" i="26"/>
  <c r="U6" i="23"/>
  <c r="M6" i="66"/>
  <c r="M6" i="37"/>
  <c r="M6" i="38"/>
  <c r="M6" i="35"/>
  <c r="M6" i="33"/>
  <c r="M6" i="36"/>
  <c r="M6" i="31"/>
  <c r="M6" i="32"/>
  <c r="M6" i="28"/>
  <c r="M6" i="30"/>
  <c r="M6" i="29"/>
  <c r="M6" i="34"/>
  <c r="M6" i="25"/>
  <c r="M6" i="26"/>
  <c r="M6" i="27"/>
  <c r="M6" i="24"/>
  <c r="M6" i="23"/>
  <c r="D6" i="37"/>
  <c r="D6" i="66"/>
  <c r="D6" i="38"/>
  <c r="D6" i="35"/>
  <c r="D6" i="36"/>
  <c r="D6" i="33"/>
  <c r="D6" i="34"/>
  <c r="D6" i="31"/>
  <c r="D6" i="32"/>
  <c r="D6" i="30"/>
  <c r="D6" i="28"/>
  <c r="D6" i="29"/>
  <c r="D6" i="27"/>
  <c r="D6" i="24"/>
  <c r="D6" i="26"/>
  <c r="D6" i="23"/>
  <c r="N181" i="20"/>
  <c r="T181" i="20" s="1"/>
  <c r="M142" i="20"/>
  <c r="M153" i="20" s="1"/>
  <c r="S153" i="20" s="1"/>
  <c r="V138" i="20"/>
  <c r="O132" i="20"/>
  <c r="U132" i="20" s="1"/>
  <c r="V125" i="20"/>
  <c r="O104" i="20"/>
  <c r="U104" i="20" s="1"/>
  <c r="O101" i="20"/>
  <c r="V98" i="20"/>
  <c r="O85" i="20"/>
  <c r="U85" i="20" s="1"/>
  <c r="O81" i="20"/>
  <c r="U81" i="20" s="1"/>
  <c r="O69" i="20"/>
  <c r="U69" i="20" s="1"/>
  <c r="O65" i="20"/>
  <c r="U65" i="20" s="1"/>
  <c r="N62" i="20"/>
  <c r="O56" i="20"/>
  <c r="O52" i="20"/>
  <c r="U52" i="20" s="1"/>
  <c r="O48" i="20"/>
  <c r="U48" i="20" s="1"/>
  <c r="P45" i="20"/>
  <c r="N44" i="20"/>
  <c r="V41" i="20"/>
  <c r="O39" i="20"/>
  <c r="U39" i="20" s="1"/>
  <c r="O25" i="20"/>
  <c r="U25" i="20" s="1"/>
  <c r="O21" i="20"/>
  <c r="U21" i="20" s="1"/>
  <c r="O17" i="20"/>
  <c r="U17" i="20" s="1"/>
  <c r="R119" i="22"/>
  <c r="N115" i="22"/>
  <c r="N109" i="22"/>
  <c r="V105" i="22"/>
  <c r="Q105" i="22"/>
  <c r="K92" i="22"/>
  <c r="T77" i="22"/>
  <c r="V77" i="22"/>
  <c r="O77" i="22"/>
  <c r="S69" i="22"/>
  <c r="N69" i="22"/>
  <c r="N60" i="22"/>
  <c r="S57" i="22"/>
  <c r="M59" i="22"/>
  <c r="S59" i="22" s="1"/>
  <c r="S53" i="22"/>
  <c r="N53" i="22"/>
  <c r="R49" i="22"/>
  <c r="L51" i="22"/>
  <c r="L52" i="22" s="1"/>
  <c r="M49" i="22"/>
  <c r="R18" i="22"/>
  <c r="R8" i="22"/>
  <c r="L13" i="22"/>
  <c r="M8" i="22"/>
  <c r="AF45" i="23"/>
  <c r="G41" i="23"/>
  <c r="I35" i="23"/>
  <c r="AF35" i="23"/>
  <c r="I34" i="23"/>
  <c r="AF34" i="23"/>
  <c r="J28" i="23"/>
  <c r="AH28" i="23" s="1"/>
  <c r="AG28" i="23"/>
  <c r="H26" i="23"/>
  <c r="AE26" i="23"/>
  <c r="R23" i="23"/>
  <c r="R23" i="17" s="1"/>
  <c r="N10" i="23"/>
  <c r="O10" i="23" s="1"/>
  <c r="P10" i="23" s="1"/>
  <c r="M8" i="23"/>
  <c r="M32" i="23" s="1"/>
  <c r="M37" i="23" s="1"/>
  <c r="M60" i="23" s="1"/>
  <c r="V8" i="23"/>
  <c r="S8" i="23"/>
  <c r="N6" i="23"/>
  <c r="H44" i="24"/>
  <c r="AE44" i="24"/>
  <c r="Q60" i="24"/>
  <c r="P73" i="55"/>
  <c r="AJ37" i="24"/>
  <c r="F57" i="24"/>
  <c r="F60" i="24"/>
  <c r="I11" i="27"/>
  <c r="AF11" i="27"/>
  <c r="AF9" i="18"/>
  <c r="T6" i="66"/>
  <c r="T6" i="36"/>
  <c r="T6" i="38"/>
  <c r="T6" i="34"/>
  <c r="T6" i="37"/>
  <c r="T6" i="33"/>
  <c r="T6" i="35"/>
  <c r="T6" i="31"/>
  <c r="T6" i="32"/>
  <c r="T6" i="30"/>
  <c r="T6" i="28"/>
  <c r="T6" i="27"/>
  <c r="T6" i="25"/>
  <c r="T6" i="26"/>
  <c r="T6" i="29"/>
  <c r="T6" i="24"/>
  <c r="T6" i="23"/>
  <c r="L6" i="66"/>
  <c r="L6" i="36"/>
  <c r="L6" i="38"/>
  <c r="L6" i="37"/>
  <c r="L6" i="35"/>
  <c r="L6" i="34"/>
  <c r="L6" i="33"/>
  <c r="L6" i="31"/>
  <c r="L6" i="32"/>
  <c r="L6" i="28"/>
  <c r="L6" i="30"/>
  <c r="L6" i="27"/>
  <c r="L6" i="26"/>
  <c r="L6" i="29"/>
  <c r="L6" i="25"/>
  <c r="L6" i="23"/>
  <c r="L6" i="24"/>
  <c r="C6" i="66"/>
  <c r="C6" i="36"/>
  <c r="C6" i="38"/>
  <c r="C6" i="37"/>
  <c r="C6" i="34"/>
  <c r="C6" i="35"/>
  <c r="C6" i="31"/>
  <c r="C6" i="32"/>
  <c r="C6" i="30"/>
  <c r="C6" i="28"/>
  <c r="C6" i="33"/>
  <c r="C6" i="29"/>
  <c r="C6" i="27"/>
  <c r="C6" i="26"/>
  <c r="C6" i="24"/>
  <c r="C6" i="23"/>
  <c r="C6" i="25"/>
  <c r="R22" i="21"/>
  <c r="L136" i="22"/>
  <c r="T118" i="22"/>
  <c r="V118" i="22"/>
  <c r="T112" i="22"/>
  <c r="V112" i="22"/>
  <c r="R100" i="22"/>
  <c r="L102" i="22"/>
  <c r="R102" i="22" s="1"/>
  <c r="M100" i="22"/>
  <c r="T96" i="22"/>
  <c r="V96" i="22"/>
  <c r="O96" i="22"/>
  <c r="S82" i="22"/>
  <c r="N82" i="22"/>
  <c r="R80" i="22"/>
  <c r="M80" i="22"/>
  <c r="S75" i="22"/>
  <c r="N75" i="22"/>
  <c r="V67" i="22"/>
  <c r="O67" i="22"/>
  <c r="T67" i="22"/>
  <c r="S38" i="22"/>
  <c r="N38" i="22"/>
  <c r="J42" i="22"/>
  <c r="J125" i="22" s="1"/>
  <c r="T20" i="22"/>
  <c r="V20" i="22"/>
  <c r="O20" i="22"/>
  <c r="U20" i="22" s="1"/>
  <c r="AA47" i="23"/>
  <c r="AB48" i="23"/>
  <c r="AB42" i="23"/>
  <c r="AA41" i="23"/>
  <c r="AJ41" i="23"/>
  <c r="F52" i="23"/>
  <c r="J29" i="23"/>
  <c r="AH29" i="23" s="1"/>
  <c r="AG29" i="23"/>
  <c r="N20" i="23"/>
  <c r="I15" i="23"/>
  <c r="AF15" i="23"/>
  <c r="F6" i="23"/>
  <c r="K5" i="26"/>
  <c r="K40" i="26" s="1"/>
  <c r="K40" i="23"/>
  <c r="AF43" i="24"/>
  <c r="I43" i="24"/>
  <c r="AE36" i="24"/>
  <c r="H36" i="24"/>
  <c r="G33" i="24"/>
  <c r="AE33" i="24" s="1"/>
  <c r="J24" i="24"/>
  <c r="AG24" i="24"/>
  <c r="I15" i="24"/>
  <c r="AF15" i="24"/>
  <c r="J9" i="39"/>
  <c r="AE47" i="25"/>
  <c r="AE44" i="25"/>
  <c r="H44" i="25"/>
  <c r="H29" i="25"/>
  <c r="AE29" i="25"/>
  <c r="AH34" i="26"/>
  <c r="AK34" i="17"/>
  <c r="AQ34" i="17" s="1"/>
  <c r="AK28" i="17"/>
  <c r="S6" i="66"/>
  <c r="S6" i="36"/>
  <c r="S6" i="38"/>
  <c r="S6" i="34"/>
  <c r="S6" i="37"/>
  <c r="S6" i="33"/>
  <c r="S6" i="35"/>
  <c r="S6" i="31"/>
  <c r="S6" i="32"/>
  <c r="S6" i="30"/>
  <c r="S6" i="28"/>
  <c r="S6" i="29"/>
  <c r="S6" i="27"/>
  <c r="S6" i="26"/>
  <c r="S6" i="25"/>
  <c r="S6" i="24"/>
  <c r="S6" i="23"/>
  <c r="K6" i="66"/>
  <c r="K6" i="36"/>
  <c r="K6" i="38"/>
  <c r="K6" i="37"/>
  <c r="K6" i="34"/>
  <c r="K6" i="35"/>
  <c r="K6" i="31"/>
  <c r="K6" i="32"/>
  <c r="K6" i="30"/>
  <c r="K6" i="28"/>
  <c r="K6" i="29"/>
  <c r="K6" i="27"/>
  <c r="K6" i="33"/>
  <c r="K6" i="26"/>
  <c r="K6" i="24"/>
  <c r="K6" i="25"/>
  <c r="K6" i="23"/>
  <c r="B6" i="66"/>
  <c r="B6" i="36"/>
  <c r="B6" i="38"/>
  <c r="B6" i="34"/>
  <c r="B6" i="37"/>
  <c r="B6" i="35"/>
  <c r="B6" i="31"/>
  <c r="B6" i="32"/>
  <c r="B6" i="33"/>
  <c r="B6" i="30"/>
  <c r="B6" i="28"/>
  <c r="B6" i="29"/>
  <c r="B6" i="27"/>
  <c r="B6" i="26"/>
  <c r="B6" i="24"/>
  <c r="B6" i="25"/>
  <c r="B6" i="23"/>
  <c r="C4" i="38"/>
  <c r="C39" i="38" s="1"/>
  <c r="C4" i="66"/>
  <c r="C39" i="66" s="1"/>
  <c r="C4" i="37"/>
  <c r="C39" i="37" s="1"/>
  <c r="C4" i="36"/>
  <c r="C39" i="36" s="1"/>
  <c r="C4" i="35"/>
  <c r="C39" i="35" s="1"/>
  <c r="C4" i="34"/>
  <c r="C39" i="34" s="1"/>
  <c r="C4" i="33"/>
  <c r="C39" i="33" s="1"/>
  <c r="C4" i="31"/>
  <c r="C39" i="31" s="1"/>
  <c r="C4" i="32"/>
  <c r="C39" i="32" s="1"/>
  <c r="C4" i="30"/>
  <c r="C39" i="30" s="1"/>
  <c r="C4" i="28"/>
  <c r="C39" i="28" s="1"/>
  <c r="C4" i="29"/>
  <c r="C39" i="29" s="1"/>
  <c r="C4" i="27"/>
  <c r="C39" i="27" s="1"/>
  <c r="C4" i="26"/>
  <c r="C39" i="26" s="1"/>
  <c r="C4" i="25"/>
  <c r="C39" i="25" s="1"/>
  <c r="C39" i="23"/>
  <c r="C4" i="24"/>
  <c r="C39" i="24" s="1"/>
  <c r="L153" i="20"/>
  <c r="R153" i="20" s="1"/>
  <c r="S18" i="21"/>
  <c r="N119" i="22"/>
  <c r="M106" i="22"/>
  <c r="N103" i="22"/>
  <c r="N98" i="22"/>
  <c r="S98" i="22"/>
  <c r="S96" i="22"/>
  <c r="M99" i="22"/>
  <c r="S99" i="22" s="1"/>
  <c r="M95" i="22"/>
  <c r="N91" i="22"/>
  <c r="S91" i="22"/>
  <c r="M89" i="22"/>
  <c r="R89" i="22"/>
  <c r="I90" i="22"/>
  <c r="I92" i="22" s="1"/>
  <c r="N86" i="22"/>
  <c r="M88" i="22"/>
  <c r="S72" i="22"/>
  <c r="N72" i="22"/>
  <c r="K66" i="22"/>
  <c r="L63" i="22"/>
  <c r="L65" i="22" s="1"/>
  <c r="K65" i="22"/>
  <c r="K49" i="21" s="1"/>
  <c r="K50" i="21" s="1"/>
  <c r="K56" i="21" s="1"/>
  <c r="R47" i="22"/>
  <c r="M47" i="22"/>
  <c r="M45" i="22"/>
  <c r="N43" i="22"/>
  <c r="T32" i="22"/>
  <c r="V32" i="22"/>
  <c r="M29" i="22"/>
  <c r="M31" i="22" s="1"/>
  <c r="R29" i="22"/>
  <c r="N27" i="22"/>
  <c r="M23" i="22"/>
  <c r="R23" i="22"/>
  <c r="L25" i="22"/>
  <c r="R25" i="22" s="1"/>
  <c r="S18" i="22"/>
  <c r="N18" i="22"/>
  <c r="N16" i="22"/>
  <c r="N11" i="22"/>
  <c r="S11" i="22"/>
  <c r="T48" i="23"/>
  <c r="S47" i="23"/>
  <c r="Z41" i="23"/>
  <c r="Z52" i="23" s="1"/>
  <c r="D37" i="23"/>
  <c r="AJ33" i="23"/>
  <c r="I24" i="23"/>
  <c r="H23" i="23"/>
  <c r="AF24" i="23"/>
  <c r="N8" i="23"/>
  <c r="N32" i="23" s="1"/>
  <c r="J7" i="39"/>
  <c r="J6" i="39" s="1"/>
  <c r="AE47" i="24"/>
  <c r="P34" i="24"/>
  <c r="P33" i="24" s="1"/>
  <c r="O33" i="24"/>
  <c r="I26" i="24"/>
  <c r="AF26" i="24"/>
  <c r="I25" i="24"/>
  <c r="AF25" i="24"/>
  <c r="N6" i="24"/>
  <c r="I51" i="25"/>
  <c r="AF51" i="25"/>
  <c r="M47" i="25"/>
  <c r="I45" i="25"/>
  <c r="AF45" i="25"/>
  <c r="I30" i="25"/>
  <c r="AF30" i="25"/>
  <c r="Y47" i="26"/>
  <c r="Z48" i="26"/>
  <c r="I50" i="27"/>
  <c r="AF50" i="27"/>
  <c r="O69" i="12"/>
  <c r="R6" i="38"/>
  <c r="R6" i="66"/>
  <c r="R6" i="36"/>
  <c r="R6" i="34"/>
  <c r="R6" i="37"/>
  <c r="R6" i="35"/>
  <c r="R6" i="33"/>
  <c r="R6" i="31"/>
  <c r="R6" i="32"/>
  <c r="R6" i="30"/>
  <c r="R6" i="28"/>
  <c r="R6" i="29"/>
  <c r="R6" i="27"/>
  <c r="R6" i="26"/>
  <c r="R6" i="25"/>
  <c r="R6" i="24"/>
  <c r="R6" i="23"/>
  <c r="J6" i="38"/>
  <c r="J6" i="37"/>
  <c r="J6" i="66"/>
  <c r="J6" i="34"/>
  <c r="J6" i="35"/>
  <c r="J6" i="36"/>
  <c r="J6" i="33"/>
  <c r="J6" i="31"/>
  <c r="J6" i="32"/>
  <c r="J6" i="30"/>
  <c r="J6" i="28"/>
  <c r="J6" i="29"/>
  <c r="J6" i="27"/>
  <c r="J6" i="26"/>
  <c r="J6" i="25"/>
  <c r="J6" i="24"/>
  <c r="J6" i="23"/>
  <c r="A6" i="38"/>
  <c r="A6" i="66"/>
  <c r="A6" i="36"/>
  <c r="A6" i="34"/>
  <c r="A6" i="37"/>
  <c r="A6" i="35"/>
  <c r="A6" i="33"/>
  <c r="A6" i="31"/>
  <c r="A6" i="32"/>
  <c r="A6" i="30"/>
  <c r="A6" i="28"/>
  <c r="A6" i="29"/>
  <c r="A6" i="27"/>
  <c r="A6" i="26"/>
  <c r="A6" i="25"/>
  <c r="A6" i="24"/>
  <c r="A6" i="23"/>
  <c r="V117" i="22"/>
  <c r="V116" i="22"/>
  <c r="T116" i="22"/>
  <c r="S114" i="22"/>
  <c r="V111" i="22"/>
  <c r="T110" i="22"/>
  <c r="V110" i="22"/>
  <c r="R78" i="22"/>
  <c r="M78" i="22"/>
  <c r="O74" i="22"/>
  <c r="U74" i="22" s="1"/>
  <c r="V74" i="22"/>
  <c r="N70" i="22"/>
  <c r="S70" i="22"/>
  <c r="N61" i="22"/>
  <c r="S61" i="22"/>
  <c r="K52" i="22"/>
  <c r="K85" i="22" s="1"/>
  <c r="K36" i="22"/>
  <c r="K42" i="22" s="1"/>
  <c r="L34" i="22"/>
  <c r="T7" i="22"/>
  <c r="V7" i="22"/>
  <c r="O7" i="22"/>
  <c r="S41" i="23"/>
  <c r="AB34" i="23"/>
  <c r="AA33" i="23"/>
  <c r="I30" i="23"/>
  <c r="AF30" i="23"/>
  <c r="Z23" i="23"/>
  <c r="AA24" i="23"/>
  <c r="I16" i="23"/>
  <c r="AF16" i="23"/>
  <c r="J12" i="23"/>
  <c r="AG12" i="23"/>
  <c r="K32" i="23"/>
  <c r="Q5" i="66"/>
  <c r="Q40" i="66" s="1"/>
  <c r="Q5" i="34"/>
  <c r="Q40" i="34" s="1"/>
  <c r="Q5" i="35"/>
  <c r="Q40" i="35" s="1"/>
  <c r="Q5" i="38"/>
  <c r="Q40" i="38" s="1"/>
  <c r="Q5" i="36"/>
  <c r="Q40" i="36" s="1"/>
  <c r="Q5" i="33"/>
  <c r="Q40" i="33" s="1"/>
  <c r="Q5" i="37"/>
  <c r="Q40" i="37" s="1"/>
  <c r="Q5" i="32"/>
  <c r="Q40" i="32" s="1"/>
  <c r="Q5" i="30"/>
  <c r="Q40" i="30" s="1"/>
  <c r="Q5" i="31"/>
  <c r="Q40" i="31" s="1"/>
  <c r="Q5" i="29"/>
  <c r="Q40" i="29" s="1"/>
  <c r="Q5" i="26"/>
  <c r="Q40" i="26" s="1"/>
  <c r="Q5" i="25"/>
  <c r="Q40" i="25" s="1"/>
  <c r="Q5" i="28"/>
  <c r="Q40" i="28" s="1"/>
  <c r="Q5" i="27"/>
  <c r="Q40" i="27" s="1"/>
  <c r="Q40" i="23"/>
  <c r="Q5" i="24"/>
  <c r="Q40" i="24" s="1"/>
  <c r="P85" i="55"/>
  <c r="AJ52" i="24"/>
  <c r="J31" i="24"/>
  <c r="AH31" i="24" s="1"/>
  <c r="AG31" i="24"/>
  <c r="Z20" i="24"/>
  <c r="AA21" i="24"/>
  <c r="D6" i="25"/>
  <c r="S105" i="22"/>
  <c r="R86" i="22"/>
  <c r="R77" i="22"/>
  <c r="R43" i="22"/>
  <c r="R20" i="22"/>
  <c r="Y47" i="23"/>
  <c r="Y52" i="23" s="1"/>
  <c r="AJ37" i="23"/>
  <c r="G33" i="23"/>
  <c r="AE33" i="23" s="1"/>
  <c r="AF21" i="23"/>
  <c r="U21" i="23"/>
  <c r="I21" i="23"/>
  <c r="J14" i="23"/>
  <c r="AH14" i="23" s="1"/>
  <c r="AI11" i="23"/>
  <c r="H9" i="23"/>
  <c r="R8" i="23"/>
  <c r="P5" i="37"/>
  <c r="P40" i="37" s="1"/>
  <c r="P5" i="66"/>
  <c r="P40" i="66" s="1"/>
  <c r="P5" i="38"/>
  <c r="P40" i="38" s="1"/>
  <c r="P5" i="35"/>
  <c r="P40" i="35" s="1"/>
  <c r="P5" i="34"/>
  <c r="P40" i="34" s="1"/>
  <c r="P5" i="33"/>
  <c r="P40" i="33" s="1"/>
  <c r="P5" i="30"/>
  <c r="P40" i="30" s="1"/>
  <c r="P5" i="31"/>
  <c r="P40" i="31" s="1"/>
  <c r="P5" i="29"/>
  <c r="P40" i="29" s="1"/>
  <c r="P5" i="26"/>
  <c r="P40" i="26" s="1"/>
  <c r="P5" i="25"/>
  <c r="P40" i="25" s="1"/>
  <c r="P5" i="32"/>
  <c r="P40" i="32" s="1"/>
  <c r="P5" i="36"/>
  <c r="P40" i="36" s="1"/>
  <c r="P5" i="28"/>
  <c r="P40" i="28" s="1"/>
  <c r="P5" i="27"/>
  <c r="P40" i="27" s="1"/>
  <c r="J5" i="38"/>
  <c r="J40" i="38" s="1"/>
  <c r="J5" i="66"/>
  <c r="J40" i="66" s="1"/>
  <c r="J5" i="37"/>
  <c r="J40" i="37" s="1"/>
  <c r="J5" i="36"/>
  <c r="J40" i="36" s="1"/>
  <c r="J5" i="35"/>
  <c r="J40" i="35" s="1"/>
  <c r="J5" i="33"/>
  <c r="J40" i="33" s="1"/>
  <c r="J5" i="31"/>
  <c r="J40" i="31" s="1"/>
  <c r="J5" i="34"/>
  <c r="J40" i="34" s="1"/>
  <c r="J5" i="32"/>
  <c r="J40" i="32" s="1"/>
  <c r="J5" i="30"/>
  <c r="J40" i="30" s="1"/>
  <c r="J5" i="28"/>
  <c r="J40" i="28" s="1"/>
  <c r="J5" i="29"/>
  <c r="J40" i="29" s="1"/>
  <c r="J5" i="27"/>
  <c r="J40" i="27" s="1"/>
  <c r="J5" i="26"/>
  <c r="J40" i="26" s="1"/>
  <c r="J5" i="25"/>
  <c r="J40" i="25" s="1"/>
  <c r="T33" i="24"/>
  <c r="AF28" i="24"/>
  <c r="G20" i="24"/>
  <c r="AE20" i="24" s="1"/>
  <c r="H21" i="24"/>
  <c r="AE21" i="24"/>
  <c r="H12" i="24"/>
  <c r="AE12" i="24"/>
  <c r="R8" i="24"/>
  <c r="R32" i="24" s="1"/>
  <c r="R37" i="24" s="1"/>
  <c r="F61" i="24" s="1"/>
  <c r="I50" i="25"/>
  <c r="AF50" i="25"/>
  <c r="S47" i="25"/>
  <c r="H33" i="25"/>
  <c r="AF33" i="25" s="1"/>
  <c r="I34" i="25"/>
  <c r="AF34" i="25"/>
  <c r="J26" i="25"/>
  <c r="AH26" i="25" s="1"/>
  <c r="AG26" i="25"/>
  <c r="H17" i="25"/>
  <c r="AE17" i="25"/>
  <c r="N33" i="26"/>
  <c r="I13" i="26"/>
  <c r="AF13" i="26"/>
  <c r="AC48" i="27"/>
  <c r="AC47" i="27" s="1"/>
  <c r="AB47" i="27"/>
  <c r="H33" i="27"/>
  <c r="AF33" i="27" s="1"/>
  <c r="AF34" i="27"/>
  <c r="I34" i="27"/>
  <c r="AE34" i="23"/>
  <c r="AI25" i="23"/>
  <c r="W5" i="37"/>
  <c r="W40" i="37" s="1"/>
  <c r="W5" i="38"/>
  <c r="W40" i="38" s="1"/>
  <c r="W5" i="35"/>
  <c r="W40" i="35" s="1"/>
  <c r="W5" i="36"/>
  <c r="W40" i="36" s="1"/>
  <c r="W5" i="66"/>
  <c r="W40" i="66" s="1"/>
  <c r="W5" i="33"/>
  <c r="W40" i="33" s="1"/>
  <c r="W5" i="34"/>
  <c r="W40" i="34" s="1"/>
  <c r="W5" i="31"/>
  <c r="W40" i="31" s="1"/>
  <c r="W5" i="30"/>
  <c r="W40" i="30" s="1"/>
  <c r="W5" i="28"/>
  <c r="W40" i="28" s="1"/>
  <c r="W5" i="32"/>
  <c r="W40" i="32" s="1"/>
  <c r="W5" i="27"/>
  <c r="W40" i="27" s="1"/>
  <c r="W5" i="29"/>
  <c r="W40" i="29" s="1"/>
  <c r="W5" i="26"/>
  <c r="W40" i="26" s="1"/>
  <c r="W5" i="24"/>
  <c r="W40" i="24" s="1"/>
  <c r="W5" i="25"/>
  <c r="W40" i="25" s="1"/>
  <c r="O5" i="37"/>
  <c r="O40" i="37" s="1"/>
  <c r="O5" i="66"/>
  <c r="O40" i="66" s="1"/>
  <c r="O5" i="38"/>
  <c r="O40" i="38" s="1"/>
  <c r="O5" i="35"/>
  <c r="O40" i="35" s="1"/>
  <c r="O5" i="36"/>
  <c r="O40" i="36" s="1"/>
  <c r="O5" i="34"/>
  <c r="O40" i="34" s="1"/>
  <c r="O5" i="33"/>
  <c r="O40" i="33" s="1"/>
  <c r="O5" i="31"/>
  <c r="O40" i="31" s="1"/>
  <c r="O5" i="32"/>
  <c r="O40" i="32" s="1"/>
  <c r="O5" i="28"/>
  <c r="O40" i="28" s="1"/>
  <c r="O5" i="30"/>
  <c r="O40" i="30" s="1"/>
  <c r="O5" i="27"/>
  <c r="O40" i="27" s="1"/>
  <c r="O5" i="26"/>
  <c r="O40" i="26" s="1"/>
  <c r="O5" i="29"/>
  <c r="O40" i="29" s="1"/>
  <c r="O5" i="24"/>
  <c r="O40" i="24" s="1"/>
  <c r="I5" i="66"/>
  <c r="I40" i="66" s="1"/>
  <c r="I5" i="37"/>
  <c r="I40" i="37" s="1"/>
  <c r="I5" i="36"/>
  <c r="I40" i="36" s="1"/>
  <c r="I5" i="34"/>
  <c r="I40" i="34" s="1"/>
  <c r="I5" i="38"/>
  <c r="I40" i="38" s="1"/>
  <c r="I5" i="35"/>
  <c r="I40" i="35" s="1"/>
  <c r="I5" i="33"/>
  <c r="I40" i="33" s="1"/>
  <c r="I5" i="32"/>
  <c r="I40" i="32" s="1"/>
  <c r="I5" i="30"/>
  <c r="I40" i="30" s="1"/>
  <c r="I5" i="31"/>
  <c r="I40" i="31" s="1"/>
  <c r="I5" i="28"/>
  <c r="I40" i="28" s="1"/>
  <c r="I5" i="29"/>
  <c r="I40" i="29" s="1"/>
  <c r="I5" i="26"/>
  <c r="I40" i="26" s="1"/>
  <c r="I5" i="25"/>
  <c r="I40" i="25" s="1"/>
  <c r="I5" i="24"/>
  <c r="I40" i="24" s="1"/>
  <c r="I5" i="27"/>
  <c r="I40" i="27" s="1"/>
  <c r="Z47" i="24"/>
  <c r="AA48" i="24"/>
  <c r="Z42" i="24"/>
  <c r="G41" i="24"/>
  <c r="S33" i="24"/>
  <c r="H30" i="24"/>
  <c r="AE30" i="24"/>
  <c r="J29" i="24"/>
  <c r="AH29" i="24" s="1"/>
  <c r="Z8" i="24"/>
  <c r="AA9" i="24"/>
  <c r="G8" i="24"/>
  <c r="H9" i="24"/>
  <c r="AE9" i="24"/>
  <c r="AE51" i="25"/>
  <c r="M41" i="25"/>
  <c r="M52" i="25" s="1"/>
  <c r="N42" i="25"/>
  <c r="G41" i="25"/>
  <c r="E57" i="25"/>
  <c r="E60" i="25"/>
  <c r="H13" i="25"/>
  <c r="G8" i="25"/>
  <c r="AE13" i="25"/>
  <c r="AF29" i="26"/>
  <c r="S23" i="26"/>
  <c r="T25" i="26"/>
  <c r="U25" i="26" s="1"/>
  <c r="V25" i="26" s="1"/>
  <c r="AJ33" i="27"/>
  <c r="AE33" i="27"/>
  <c r="I22" i="34"/>
  <c r="AF22" i="34"/>
  <c r="AF18" i="34"/>
  <c r="AG18" i="34"/>
  <c r="N68" i="22"/>
  <c r="AE46" i="23"/>
  <c r="AI43" i="23"/>
  <c r="AE35" i="23"/>
  <c r="S34" i="23"/>
  <c r="AF22" i="23"/>
  <c r="AE15" i="23"/>
  <c r="AG11" i="23"/>
  <c r="Y8" i="23"/>
  <c r="Y32" i="23" s="1"/>
  <c r="Y37" i="23" s="1"/>
  <c r="V5" i="36"/>
  <c r="V40" i="36" s="1"/>
  <c r="V5" i="38"/>
  <c r="V40" i="38" s="1"/>
  <c r="V5" i="35"/>
  <c r="V40" i="35" s="1"/>
  <c r="V5" i="37"/>
  <c r="V40" i="37" s="1"/>
  <c r="V5" i="66"/>
  <c r="V40" i="66" s="1"/>
  <c r="V5" i="33"/>
  <c r="V40" i="33" s="1"/>
  <c r="V5" i="34"/>
  <c r="V40" i="34" s="1"/>
  <c r="V5" i="31"/>
  <c r="V40" i="31" s="1"/>
  <c r="V5" i="32"/>
  <c r="V40" i="32" s="1"/>
  <c r="V5" i="28"/>
  <c r="V40" i="28" s="1"/>
  <c r="V5" i="27"/>
  <c r="V40" i="27" s="1"/>
  <c r="V5" i="29"/>
  <c r="V40" i="29" s="1"/>
  <c r="V5" i="26"/>
  <c r="V40" i="26" s="1"/>
  <c r="V5" i="30"/>
  <c r="V40" i="30" s="1"/>
  <c r="V5" i="25"/>
  <c r="V40" i="25" s="1"/>
  <c r="N5" i="66"/>
  <c r="N40" i="66" s="1"/>
  <c r="N5" i="36"/>
  <c r="N40" i="36" s="1"/>
  <c r="N5" i="38"/>
  <c r="N40" i="38" s="1"/>
  <c r="N5" i="35"/>
  <c r="N40" i="35" s="1"/>
  <c r="N5" i="34"/>
  <c r="N40" i="34" s="1"/>
  <c r="N5" i="33"/>
  <c r="N40" i="33" s="1"/>
  <c r="N5" i="37"/>
  <c r="N40" i="37" s="1"/>
  <c r="N5" i="31"/>
  <c r="N40" i="31" s="1"/>
  <c r="N5" i="32"/>
  <c r="N40" i="32" s="1"/>
  <c r="N5" i="28"/>
  <c r="N40" i="28" s="1"/>
  <c r="N5" i="30"/>
  <c r="N40" i="30" s="1"/>
  <c r="N5" i="27"/>
  <c r="N40" i="27" s="1"/>
  <c r="N5" i="29"/>
  <c r="N40" i="29" s="1"/>
  <c r="N5" i="25"/>
  <c r="N40" i="25" s="1"/>
  <c r="N5" i="26"/>
  <c r="N40" i="26" s="1"/>
  <c r="H5" i="66"/>
  <c r="H40" i="66" s="1"/>
  <c r="H5" i="36"/>
  <c r="H40" i="36" s="1"/>
  <c r="H5" i="34"/>
  <c r="H40" i="34" s="1"/>
  <c r="H5" i="38"/>
  <c r="H40" i="38" s="1"/>
  <c r="H5" i="37"/>
  <c r="H40" i="37" s="1"/>
  <c r="H5" i="35"/>
  <c r="H40" i="35" s="1"/>
  <c r="H5" i="33"/>
  <c r="H40" i="33" s="1"/>
  <c r="H5" i="32"/>
  <c r="H40" i="32" s="1"/>
  <c r="H5" i="30"/>
  <c r="H40" i="30" s="1"/>
  <c r="H5" i="29"/>
  <c r="H40" i="29" s="1"/>
  <c r="H5" i="26"/>
  <c r="H40" i="26" s="1"/>
  <c r="H5" i="25"/>
  <c r="H40" i="25" s="1"/>
  <c r="H5" i="31"/>
  <c r="H40" i="31" s="1"/>
  <c r="H5" i="28"/>
  <c r="H40" i="28" s="1"/>
  <c r="H5" i="27"/>
  <c r="H40" i="27" s="1"/>
  <c r="I48" i="24"/>
  <c r="H42" i="24"/>
  <c r="Y33" i="24"/>
  <c r="S23" i="24"/>
  <c r="AJ23" i="24"/>
  <c r="N23" i="24"/>
  <c r="T20" i="24"/>
  <c r="H16" i="24"/>
  <c r="AE16" i="24"/>
  <c r="J10" i="24"/>
  <c r="AH10" i="24" s="1"/>
  <c r="AG10" i="24"/>
  <c r="N47" i="25"/>
  <c r="O48" i="25"/>
  <c r="H46" i="25"/>
  <c r="AE46" i="25"/>
  <c r="I42" i="25"/>
  <c r="AF42" i="25"/>
  <c r="AB34" i="25"/>
  <c r="D37" i="25"/>
  <c r="I22" i="25"/>
  <c r="AF22" i="25"/>
  <c r="M8" i="25"/>
  <c r="M32" i="25" s="1"/>
  <c r="M37" i="25" s="1"/>
  <c r="J49" i="26"/>
  <c r="AH49" i="26" s="1"/>
  <c r="AG49" i="26"/>
  <c r="U20" i="26"/>
  <c r="V21" i="26"/>
  <c r="V20" i="26" s="1"/>
  <c r="E60" i="26"/>
  <c r="E57" i="26"/>
  <c r="U42" i="27"/>
  <c r="T41" i="27"/>
  <c r="T24" i="27"/>
  <c r="S23" i="27"/>
  <c r="H47" i="28"/>
  <c r="I48" i="28"/>
  <c r="AF48" i="28"/>
  <c r="I27" i="28"/>
  <c r="AF27" i="28"/>
  <c r="J21" i="28"/>
  <c r="AG21" i="28"/>
  <c r="AH21" i="32"/>
  <c r="N48" i="23"/>
  <c r="AG43" i="23"/>
  <c r="T42" i="23"/>
  <c r="H42" i="23"/>
  <c r="I36" i="23"/>
  <c r="Z33" i="23"/>
  <c r="AG25" i="23"/>
  <c r="AE24" i="23"/>
  <c r="G23" i="23"/>
  <c r="AE23" i="23" s="1"/>
  <c r="Z20" i="23"/>
  <c r="J39" i="55"/>
  <c r="C39" i="55"/>
  <c r="K39" i="55"/>
  <c r="D39" i="55"/>
  <c r="L39" i="55"/>
  <c r="E39" i="55"/>
  <c r="M39" i="55"/>
  <c r="F39" i="55"/>
  <c r="N39" i="55"/>
  <c r="H39" i="55"/>
  <c r="I39" i="55"/>
  <c r="G39" i="55"/>
  <c r="U5" i="66"/>
  <c r="U40" i="66" s="1"/>
  <c r="U5" i="36"/>
  <c r="U40" i="36" s="1"/>
  <c r="U5" i="38"/>
  <c r="U40" i="38" s="1"/>
  <c r="U5" i="37"/>
  <c r="U40" i="37" s="1"/>
  <c r="U5" i="34"/>
  <c r="U40" i="34" s="1"/>
  <c r="U5" i="33"/>
  <c r="U40" i="33" s="1"/>
  <c r="U5" i="31"/>
  <c r="U40" i="31" s="1"/>
  <c r="U5" i="32"/>
  <c r="U40" i="32" s="1"/>
  <c r="U5" i="30"/>
  <c r="U40" i="30" s="1"/>
  <c r="U5" i="35"/>
  <c r="U40" i="35" s="1"/>
  <c r="U5" i="28"/>
  <c r="U40" i="28" s="1"/>
  <c r="U5" i="29"/>
  <c r="U40" i="29" s="1"/>
  <c r="U5" i="27"/>
  <c r="U40" i="27" s="1"/>
  <c r="U5" i="26"/>
  <c r="U40" i="26" s="1"/>
  <c r="U5" i="24"/>
  <c r="U40" i="24" s="1"/>
  <c r="M5" i="66"/>
  <c r="M40" i="66" s="1"/>
  <c r="M5" i="36"/>
  <c r="M40" i="36" s="1"/>
  <c r="M5" i="38"/>
  <c r="M40" i="38" s="1"/>
  <c r="M5" i="37"/>
  <c r="M40" i="37" s="1"/>
  <c r="M5" i="34"/>
  <c r="M40" i="34" s="1"/>
  <c r="M5" i="35"/>
  <c r="M40" i="35" s="1"/>
  <c r="M5" i="33"/>
  <c r="M40" i="33" s="1"/>
  <c r="M5" i="31"/>
  <c r="M40" i="31" s="1"/>
  <c r="M5" i="32"/>
  <c r="M40" i="32" s="1"/>
  <c r="M5" i="30"/>
  <c r="M40" i="30" s="1"/>
  <c r="M5" i="28"/>
  <c r="M40" i="28" s="1"/>
  <c r="M5" i="29"/>
  <c r="M40" i="29" s="1"/>
  <c r="M5" i="27"/>
  <c r="M40" i="27" s="1"/>
  <c r="M5" i="24"/>
  <c r="M40" i="24" s="1"/>
  <c r="M5" i="25"/>
  <c r="M40" i="25" s="1"/>
  <c r="M5" i="26"/>
  <c r="M40" i="26" s="1"/>
  <c r="G5" i="66"/>
  <c r="G40" i="66" s="1"/>
  <c r="G5" i="37"/>
  <c r="G40" i="37" s="1"/>
  <c r="G5" i="38"/>
  <c r="G40" i="38" s="1"/>
  <c r="G5" i="36"/>
  <c r="G40" i="36" s="1"/>
  <c r="G5" i="35"/>
  <c r="G40" i="35" s="1"/>
  <c r="G5" i="33"/>
  <c r="G40" i="33" s="1"/>
  <c r="G5" i="30"/>
  <c r="G40" i="30" s="1"/>
  <c r="G5" i="34"/>
  <c r="G40" i="34" s="1"/>
  <c r="G5" i="31"/>
  <c r="G40" i="31" s="1"/>
  <c r="G5" i="29"/>
  <c r="G40" i="29" s="1"/>
  <c r="G5" i="32"/>
  <c r="G40" i="32" s="1"/>
  <c r="G5" i="26"/>
  <c r="G40" i="26" s="1"/>
  <c r="G5" i="25"/>
  <c r="G40" i="25" s="1"/>
  <c r="G5" i="28"/>
  <c r="G40" i="28" s="1"/>
  <c r="Y47" i="24"/>
  <c r="Y52" i="24" s="1"/>
  <c r="N33" i="24"/>
  <c r="S20" i="24"/>
  <c r="S20" i="17" s="1"/>
  <c r="AF14" i="24"/>
  <c r="H13" i="24"/>
  <c r="AE13" i="24"/>
  <c r="M8" i="24"/>
  <c r="M32" i="24" s="1"/>
  <c r="M37" i="24" s="1"/>
  <c r="M60" i="24" s="1"/>
  <c r="P5" i="24"/>
  <c r="P40" i="24" s="1"/>
  <c r="I35" i="25"/>
  <c r="I9" i="25"/>
  <c r="AF9" i="25"/>
  <c r="H8" i="25"/>
  <c r="G41" i="26"/>
  <c r="H42" i="26"/>
  <c r="U33" i="26"/>
  <c r="V34" i="26"/>
  <c r="V33" i="26" s="1"/>
  <c r="D60" i="26"/>
  <c r="D57" i="26"/>
  <c r="T8" i="28"/>
  <c r="U9" i="28"/>
  <c r="AB23" i="30"/>
  <c r="AC24" i="30"/>
  <c r="AC23" i="30" s="1"/>
  <c r="N93" i="22"/>
  <c r="L88" i="22"/>
  <c r="L79" i="22"/>
  <c r="J4" i="39"/>
  <c r="AF29" i="23"/>
  <c r="AF25" i="23"/>
  <c r="G36" i="55"/>
  <c r="G44" i="55" s="1"/>
  <c r="H36" i="55"/>
  <c r="I36" i="55"/>
  <c r="J36" i="55"/>
  <c r="J44" i="55" s="1"/>
  <c r="C36" i="55"/>
  <c r="K36" i="55"/>
  <c r="E36" i="55"/>
  <c r="E44" i="55" s="1"/>
  <c r="M36" i="55"/>
  <c r="M44" i="55" s="1"/>
  <c r="F36" i="55"/>
  <c r="N36" i="55"/>
  <c r="D36" i="55"/>
  <c r="L36" i="55"/>
  <c r="O21" i="23"/>
  <c r="H19" i="23"/>
  <c r="AE16" i="23"/>
  <c r="AF12" i="23"/>
  <c r="O9" i="23"/>
  <c r="T5" i="66"/>
  <c r="T40" i="66" s="1"/>
  <c r="T5" i="38"/>
  <c r="T40" i="38" s="1"/>
  <c r="T5" i="37"/>
  <c r="T40" i="37" s="1"/>
  <c r="T5" i="36"/>
  <c r="T40" i="36" s="1"/>
  <c r="T5" i="34"/>
  <c r="T40" i="34" s="1"/>
  <c r="T5" i="33"/>
  <c r="T40" i="33" s="1"/>
  <c r="T5" i="31"/>
  <c r="T40" i="31" s="1"/>
  <c r="T5" i="32"/>
  <c r="T40" i="32" s="1"/>
  <c r="T5" i="30"/>
  <c r="T40" i="30" s="1"/>
  <c r="T5" i="35"/>
  <c r="T40" i="35" s="1"/>
  <c r="T5" i="28"/>
  <c r="T40" i="28" s="1"/>
  <c r="T5" i="29"/>
  <c r="T40" i="29" s="1"/>
  <c r="T5" i="27"/>
  <c r="T40" i="27" s="1"/>
  <c r="T5" i="26"/>
  <c r="T40" i="26" s="1"/>
  <c r="T5" i="25"/>
  <c r="T40" i="25" s="1"/>
  <c r="T5" i="24"/>
  <c r="T40" i="24" s="1"/>
  <c r="L5" i="66"/>
  <c r="L40" i="66" s="1"/>
  <c r="L5" i="38"/>
  <c r="L40" i="38" s="1"/>
  <c r="L5" i="37"/>
  <c r="L40" i="37" s="1"/>
  <c r="L5" i="36"/>
  <c r="L40" i="36" s="1"/>
  <c r="L5" i="34"/>
  <c r="L40" i="34" s="1"/>
  <c r="L5" i="35"/>
  <c r="L40" i="35" s="1"/>
  <c r="L5" i="31"/>
  <c r="L40" i="31" s="1"/>
  <c r="L5" i="32"/>
  <c r="L40" i="32" s="1"/>
  <c r="L5" i="30"/>
  <c r="L40" i="30" s="1"/>
  <c r="L5" i="28"/>
  <c r="L40" i="28" s="1"/>
  <c r="L5" i="33"/>
  <c r="L40" i="33" s="1"/>
  <c r="L5" i="29"/>
  <c r="L40" i="29" s="1"/>
  <c r="L5" i="27"/>
  <c r="L40" i="27" s="1"/>
  <c r="L5" i="26"/>
  <c r="L40" i="26" s="1"/>
  <c r="L5" i="25"/>
  <c r="L40" i="25" s="1"/>
  <c r="L5" i="24"/>
  <c r="L40" i="24" s="1"/>
  <c r="F5" i="37"/>
  <c r="F40" i="37" s="1"/>
  <c r="F5" i="38"/>
  <c r="F40" i="38" s="1"/>
  <c r="F5" i="35"/>
  <c r="F40" i="35" s="1"/>
  <c r="F5" i="66"/>
  <c r="F40" i="66" s="1"/>
  <c r="F5" i="33"/>
  <c r="F40" i="33" s="1"/>
  <c r="F5" i="34"/>
  <c r="F40" i="34" s="1"/>
  <c r="F5" i="31"/>
  <c r="F40" i="31" s="1"/>
  <c r="F5" i="36"/>
  <c r="F40" i="36" s="1"/>
  <c r="F5" i="32"/>
  <c r="F40" i="32" s="1"/>
  <c r="F5" i="30"/>
  <c r="F40" i="30" s="1"/>
  <c r="F5" i="28"/>
  <c r="F40" i="28" s="1"/>
  <c r="F5" i="29"/>
  <c r="F40" i="29" s="1"/>
  <c r="F5" i="27"/>
  <c r="F40" i="27" s="1"/>
  <c r="F5" i="25"/>
  <c r="F40" i="25" s="1"/>
  <c r="F5" i="24"/>
  <c r="F40" i="24" s="1"/>
  <c r="AG50" i="24"/>
  <c r="H45" i="24"/>
  <c r="S41" i="24"/>
  <c r="T42" i="24"/>
  <c r="O21" i="24"/>
  <c r="S8" i="24"/>
  <c r="S32" i="24" s="1"/>
  <c r="S37" i="24" s="1"/>
  <c r="T9" i="24"/>
  <c r="Y8" i="24"/>
  <c r="Y32" i="24" s="1"/>
  <c r="Y37" i="24" s="1"/>
  <c r="N5" i="24"/>
  <c r="N40" i="24" s="1"/>
  <c r="Z42" i="25"/>
  <c r="Y41" i="25"/>
  <c r="Y52" i="25" s="1"/>
  <c r="U34" i="25"/>
  <c r="T33" i="25"/>
  <c r="AF28" i="25"/>
  <c r="I28" i="25"/>
  <c r="AE27" i="25"/>
  <c r="H27" i="25"/>
  <c r="U5" i="25"/>
  <c r="U40" i="25" s="1"/>
  <c r="I51" i="26"/>
  <c r="AF51" i="26"/>
  <c r="O48" i="26"/>
  <c r="N47" i="26"/>
  <c r="AE46" i="26"/>
  <c r="H46" i="26"/>
  <c r="O41" i="27"/>
  <c r="P42" i="27"/>
  <c r="P41" i="27" s="1"/>
  <c r="S8" i="27"/>
  <c r="S32" i="27" s="1"/>
  <c r="T11" i="27"/>
  <c r="U11" i="27" s="1"/>
  <c r="V11" i="27" s="1"/>
  <c r="S5" i="38"/>
  <c r="S40" i="38" s="1"/>
  <c r="S5" i="66"/>
  <c r="S40" i="66" s="1"/>
  <c r="S5" i="37"/>
  <c r="S40" i="37" s="1"/>
  <c r="S5" i="36"/>
  <c r="S40" i="36" s="1"/>
  <c r="S5" i="35"/>
  <c r="S40" i="35" s="1"/>
  <c r="S5" i="34"/>
  <c r="S40" i="34" s="1"/>
  <c r="S5" i="33"/>
  <c r="S40" i="33" s="1"/>
  <c r="S5" i="31"/>
  <c r="S40" i="31" s="1"/>
  <c r="S5" i="32"/>
  <c r="S40" i="32" s="1"/>
  <c r="S5" i="30"/>
  <c r="S40" i="30" s="1"/>
  <c r="S5" i="28"/>
  <c r="S40" i="28" s="1"/>
  <c r="S5" i="29"/>
  <c r="S40" i="29" s="1"/>
  <c r="S5" i="27"/>
  <c r="S40" i="27" s="1"/>
  <c r="S5" i="26"/>
  <c r="S40" i="26" s="1"/>
  <c r="S5" i="25"/>
  <c r="S40" i="25" s="1"/>
  <c r="S47" i="24"/>
  <c r="I7" i="39"/>
  <c r="I6" i="39" s="1"/>
  <c r="AJ47" i="24"/>
  <c r="I27" i="24"/>
  <c r="AF27" i="24"/>
  <c r="I17" i="24"/>
  <c r="AF17" i="24"/>
  <c r="I11" i="24"/>
  <c r="AF11" i="24"/>
  <c r="X32" i="24"/>
  <c r="X37" i="24" s="1"/>
  <c r="X60" i="24" s="1"/>
  <c r="J5" i="24"/>
  <c r="J40" i="24" s="1"/>
  <c r="P113" i="55"/>
  <c r="AJ52" i="25"/>
  <c r="AG48" i="25"/>
  <c r="H43" i="25"/>
  <c r="T42" i="25"/>
  <c r="S41" i="25"/>
  <c r="S52" i="25" s="1"/>
  <c r="L60" i="25"/>
  <c r="I36" i="25"/>
  <c r="S33" i="25"/>
  <c r="J21" i="25"/>
  <c r="AG21" i="25"/>
  <c r="I20" i="25"/>
  <c r="AG20" i="25" s="1"/>
  <c r="O5" i="25"/>
  <c r="O40" i="25" s="1"/>
  <c r="I25" i="26"/>
  <c r="AF25" i="26"/>
  <c r="Y20" i="26"/>
  <c r="Z22" i="26"/>
  <c r="AG51" i="27"/>
  <c r="J51" i="27"/>
  <c r="AH51" i="27" s="1"/>
  <c r="I31" i="27"/>
  <c r="AF31" i="27"/>
  <c r="J25" i="27"/>
  <c r="AH25" i="27" s="1"/>
  <c r="AG25" i="27"/>
  <c r="N20" i="27"/>
  <c r="O22" i="27"/>
  <c r="U8" i="27"/>
  <c r="V9" i="27"/>
  <c r="V8" i="27" s="1"/>
  <c r="L32" i="27"/>
  <c r="L37" i="27" s="1"/>
  <c r="L60" i="27" s="1"/>
  <c r="AI46" i="28"/>
  <c r="J46" i="28"/>
  <c r="AH46" i="28" s="1"/>
  <c r="AG46" i="28"/>
  <c r="T8" i="23"/>
  <c r="T32" i="23" s="1"/>
  <c r="R5" i="66"/>
  <c r="R40" i="66" s="1"/>
  <c r="R5" i="37"/>
  <c r="R40" i="37" s="1"/>
  <c r="R5" i="36"/>
  <c r="R40" i="36" s="1"/>
  <c r="R5" i="34"/>
  <c r="R40" i="34" s="1"/>
  <c r="R5" i="35"/>
  <c r="R40" i="35" s="1"/>
  <c r="R5" i="38"/>
  <c r="R40" i="38" s="1"/>
  <c r="R5" i="33"/>
  <c r="R40" i="33" s="1"/>
  <c r="R5" i="32"/>
  <c r="R40" i="32" s="1"/>
  <c r="R5" i="30"/>
  <c r="R40" i="30" s="1"/>
  <c r="R5" i="28"/>
  <c r="R40" i="28" s="1"/>
  <c r="R5" i="31"/>
  <c r="R40" i="31" s="1"/>
  <c r="R5" i="29"/>
  <c r="R40" i="29" s="1"/>
  <c r="R5" i="26"/>
  <c r="R40" i="26" s="1"/>
  <c r="R5" i="25"/>
  <c r="R40" i="25" s="1"/>
  <c r="R5" i="27"/>
  <c r="R40" i="27" s="1"/>
  <c r="R5" i="24"/>
  <c r="R40" i="24" s="1"/>
  <c r="R41" i="24"/>
  <c r="R52" i="24" s="1"/>
  <c r="F62" i="24" s="1"/>
  <c r="W24" i="24"/>
  <c r="W23" i="24" s="1"/>
  <c r="W32" i="24" s="1"/>
  <c r="W37" i="24" s="1"/>
  <c r="W60" i="24" s="1"/>
  <c r="K23" i="24"/>
  <c r="K32" i="24" s="1"/>
  <c r="H23" i="24"/>
  <c r="AF23" i="24" s="1"/>
  <c r="O9" i="24"/>
  <c r="N8" i="24"/>
  <c r="N32" i="24" s="1"/>
  <c r="N37" i="24" s="1"/>
  <c r="H5" i="24"/>
  <c r="H40" i="24" s="1"/>
  <c r="H49" i="25"/>
  <c r="H49" i="17" s="1"/>
  <c r="AE49" i="25"/>
  <c r="R41" i="25"/>
  <c r="R52" i="25" s="1"/>
  <c r="F62" i="25" s="1"/>
  <c r="AF31" i="25"/>
  <c r="I31" i="25"/>
  <c r="X37" i="25"/>
  <c r="X60" i="25" s="1"/>
  <c r="AG29" i="26"/>
  <c r="J29" i="26"/>
  <c r="AH29" i="26" s="1"/>
  <c r="R37" i="26"/>
  <c r="R60" i="26" s="1"/>
  <c r="I48" i="27"/>
  <c r="AF48" i="27"/>
  <c r="T8" i="27"/>
  <c r="G5" i="27"/>
  <c r="G40" i="27" s="1"/>
  <c r="G52" i="28"/>
  <c r="AE41" i="28"/>
  <c r="J51" i="30"/>
  <c r="AH51" i="30" s="1"/>
  <c r="AG51" i="30"/>
  <c r="I50" i="30"/>
  <c r="AF50" i="30"/>
  <c r="I25" i="25"/>
  <c r="AF25" i="25"/>
  <c r="H23" i="25"/>
  <c r="AF23" i="25" s="1"/>
  <c r="N20" i="25"/>
  <c r="S8" i="25"/>
  <c r="Z34" i="26"/>
  <c r="Y33" i="26"/>
  <c r="I17" i="26"/>
  <c r="AF17" i="26"/>
  <c r="AB8" i="26"/>
  <c r="I9" i="26"/>
  <c r="AF9" i="26"/>
  <c r="U47" i="27"/>
  <c r="V48" i="27"/>
  <c r="V47" i="27" s="1"/>
  <c r="AA47" i="27"/>
  <c r="Y41" i="27"/>
  <c r="Y52" i="27" s="1"/>
  <c r="AA35" i="27"/>
  <c r="AB35" i="27" s="1"/>
  <c r="AC35" i="27" s="1"/>
  <c r="Z33" i="27"/>
  <c r="Y33" i="27"/>
  <c r="AE24" i="27"/>
  <c r="G23" i="27"/>
  <c r="AE23" i="27" s="1"/>
  <c r="P154" i="55"/>
  <c r="AJ20" i="27"/>
  <c r="H14" i="27"/>
  <c r="AE14" i="27"/>
  <c r="Z9" i="27"/>
  <c r="Y8" i="27"/>
  <c r="Y32" i="27" s="1"/>
  <c r="Y37" i="27" s="1"/>
  <c r="Y60" i="27" s="1"/>
  <c r="I50" i="28"/>
  <c r="AF50" i="28"/>
  <c r="R15" i="39"/>
  <c r="AI44" i="28"/>
  <c r="J35" i="28"/>
  <c r="AH35" i="28" s="1"/>
  <c r="AG35" i="28"/>
  <c r="N22" i="28"/>
  <c r="M20" i="28"/>
  <c r="M32" i="28" s="1"/>
  <c r="M37" i="28" s="1"/>
  <c r="E57" i="28"/>
  <c r="AB34" i="29"/>
  <c r="AA33" i="29"/>
  <c r="AG27" i="29"/>
  <c r="J27" i="29"/>
  <c r="AH27" i="29" s="1"/>
  <c r="D60" i="30"/>
  <c r="D57" i="30"/>
  <c r="AJ32" i="25"/>
  <c r="T23" i="25"/>
  <c r="I19" i="25"/>
  <c r="AF19" i="25"/>
  <c r="AG10" i="25"/>
  <c r="AJ47" i="26"/>
  <c r="AF20" i="26"/>
  <c r="P126" i="55"/>
  <c r="AJ20" i="26"/>
  <c r="AA8" i="26"/>
  <c r="G8" i="26"/>
  <c r="H49" i="27"/>
  <c r="AE49" i="27"/>
  <c r="N41" i="27"/>
  <c r="I36" i="27"/>
  <c r="Z21" i="27"/>
  <c r="Y20" i="27"/>
  <c r="I16" i="27"/>
  <c r="AF16" i="27"/>
  <c r="M8" i="27"/>
  <c r="M32" i="27" s="1"/>
  <c r="I15" i="39"/>
  <c r="I14" i="39" s="1"/>
  <c r="F52" i="28"/>
  <c r="AJ47" i="28"/>
  <c r="Q60" i="28"/>
  <c r="D32" i="28"/>
  <c r="AJ20" i="28"/>
  <c r="I42" i="29"/>
  <c r="H41" i="29"/>
  <c r="H26" i="29"/>
  <c r="AE26" i="29"/>
  <c r="I10" i="29"/>
  <c r="AF10" i="29"/>
  <c r="N35" i="30"/>
  <c r="O35" i="30" s="1"/>
  <c r="P35" i="30" s="1"/>
  <c r="M33" i="30"/>
  <c r="O34" i="30"/>
  <c r="AB9" i="31"/>
  <c r="AG28" i="26"/>
  <c r="J28" i="26"/>
  <c r="AH28" i="26" s="1"/>
  <c r="U9" i="26"/>
  <c r="T8" i="26"/>
  <c r="Z8" i="26"/>
  <c r="AJ32" i="27"/>
  <c r="F37" i="27"/>
  <c r="I29" i="27"/>
  <c r="AF29" i="27"/>
  <c r="J22" i="27"/>
  <c r="AH22" i="27" s="1"/>
  <c r="AG22" i="27"/>
  <c r="AF18" i="27"/>
  <c r="AG18" i="27"/>
  <c r="K32" i="27"/>
  <c r="P24" i="28"/>
  <c r="AB47" i="29"/>
  <c r="AC48" i="29"/>
  <c r="AC47" i="29" s="1"/>
  <c r="D32" i="29"/>
  <c r="AJ20" i="29"/>
  <c r="U42" i="30"/>
  <c r="I30" i="30"/>
  <c r="AF30" i="30"/>
  <c r="Y27" i="30"/>
  <c r="Z27" i="30" s="1"/>
  <c r="AA27" i="30" s="1"/>
  <c r="AB27" i="30" s="1"/>
  <c r="AC27" i="30" s="1"/>
  <c r="X32" i="30"/>
  <c r="X37" i="30" s="1"/>
  <c r="X60" i="30" s="1"/>
  <c r="AF49" i="34"/>
  <c r="I49" i="34"/>
  <c r="U48" i="34"/>
  <c r="T47" i="34"/>
  <c r="R114" i="55"/>
  <c r="J8" i="39"/>
  <c r="T20" i="25"/>
  <c r="F52" i="26"/>
  <c r="H50" i="26"/>
  <c r="H50" i="17" s="1"/>
  <c r="AE50" i="26"/>
  <c r="N43" i="26"/>
  <c r="M41" i="26"/>
  <c r="AA41" i="26"/>
  <c r="AB42" i="26"/>
  <c r="Z41" i="26"/>
  <c r="AF28" i="26"/>
  <c r="AG26" i="26"/>
  <c r="H24" i="26"/>
  <c r="AE24" i="26"/>
  <c r="G23" i="26"/>
  <c r="AE23" i="26" s="1"/>
  <c r="AG21" i="26"/>
  <c r="S8" i="26"/>
  <c r="S32" i="26" s="1"/>
  <c r="S37" i="26" s="1"/>
  <c r="T47" i="27"/>
  <c r="J45" i="27"/>
  <c r="AH45" i="27" s="1"/>
  <c r="AG45" i="27"/>
  <c r="AI43" i="27"/>
  <c r="O33" i="27"/>
  <c r="E37" i="27"/>
  <c r="M20" i="27"/>
  <c r="I19" i="27"/>
  <c r="AF19" i="27"/>
  <c r="AF15" i="27"/>
  <c r="J15" i="27"/>
  <c r="AH15" i="27" s="1"/>
  <c r="N8" i="27"/>
  <c r="O9" i="27"/>
  <c r="H25" i="28"/>
  <c r="AE25" i="28"/>
  <c r="AC21" i="28"/>
  <c r="N16" i="28"/>
  <c r="I14" i="28"/>
  <c r="AF14" i="28"/>
  <c r="AF42" i="29"/>
  <c r="Z24" i="29"/>
  <c r="Y23" i="29"/>
  <c r="U20" i="29"/>
  <c r="V21" i="29"/>
  <c r="V20" i="29" s="1"/>
  <c r="T20" i="29"/>
  <c r="J18" i="29"/>
  <c r="AG18" i="29"/>
  <c r="Z23" i="25"/>
  <c r="W24" i="25"/>
  <c r="W23" i="25" s="1"/>
  <c r="K23" i="25"/>
  <c r="K32" i="25" s="1"/>
  <c r="S20" i="25"/>
  <c r="AB8" i="25"/>
  <c r="Y52" i="26"/>
  <c r="O33" i="26"/>
  <c r="P34" i="26"/>
  <c r="P33" i="26" s="1"/>
  <c r="T23" i="26"/>
  <c r="P21" i="26"/>
  <c r="J12" i="26"/>
  <c r="AH12" i="26" s="1"/>
  <c r="AG12" i="26"/>
  <c r="X32" i="26"/>
  <c r="X37" i="26" s="1"/>
  <c r="X60" i="26" s="1"/>
  <c r="H8" i="26"/>
  <c r="AE48" i="27"/>
  <c r="G47" i="27"/>
  <c r="S47" i="27"/>
  <c r="AJ41" i="27"/>
  <c r="F52" i="27"/>
  <c r="P33" i="27"/>
  <c r="N33" i="27"/>
  <c r="I51" i="28"/>
  <c r="AF51" i="28"/>
  <c r="T43" i="28"/>
  <c r="U43" i="28" s="1"/>
  <c r="V43" i="28" s="1"/>
  <c r="S41" i="28"/>
  <c r="AC42" i="28"/>
  <c r="AC41" i="28" s="1"/>
  <c r="AB41" i="28"/>
  <c r="AA34" i="28"/>
  <c r="Z33" i="28"/>
  <c r="J34" i="28"/>
  <c r="AG34" i="28"/>
  <c r="AI34" i="28"/>
  <c r="L60" i="28"/>
  <c r="H20" i="28"/>
  <c r="AF20" i="28" s="1"/>
  <c r="AF21" i="28"/>
  <c r="I12" i="28"/>
  <c r="AF12" i="28"/>
  <c r="Z8" i="28"/>
  <c r="AA10" i="28"/>
  <c r="AJ47" i="29"/>
  <c r="D52" i="29"/>
  <c r="AJ52" i="29" s="1"/>
  <c r="D33" i="29"/>
  <c r="AJ33" i="29" s="1"/>
  <c r="AJ36" i="29"/>
  <c r="P34" i="29"/>
  <c r="T9" i="29"/>
  <c r="I46" i="30"/>
  <c r="AF46" i="30"/>
  <c r="K57" i="30"/>
  <c r="K60" i="30"/>
  <c r="J21" i="31"/>
  <c r="AG21" i="31"/>
  <c r="Z24" i="24"/>
  <c r="Z24" i="17" s="1"/>
  <c r="AF19" i="24"/>
  <c r="F61" i="25"/>
  <c r="N34" i="25"/>
  <c r="AE30" i="25"/>
  <c r="Y23" i="25"/>
  <c r="Y32" i="25" s="1"/>
  <c r="AA8" i="25"/>
  <c r="Z8" i="25"/>
  <c r="Z32" i="25" s="1"/>
  <c r="M47" i="26"/>
  <c r="S42" i="26"/>
  <c r="AJ33" i="26"/>
  <c r="I30" i="26"/>
  <c r="AF30" i="26"/>
  <c r="N22" i="26"/>
  <c r="AG10" i="26"/>
  <c r="AE9" i="26"/>
  <c r="N8" i="26"/>
  <c r="R47" i="27"/>
  <c r="R52" i="27" s="1"/>
  <c r="AJ46" i="27"/>
  <c r="AG43" i="27"/>
  <c r="AA33" i="27"/>
  <c r="M33" i="27"/>
  <c r="AE31" i="27"/>
  <c r="AF28" i="27"/>
  <c r="I17" i="27"/>
  <c r="AF17" i="27"/>
  <c r="R8" i="27"/>
  <c r="R32" i="27" s="1"/>
  <c r="R37" i="27" s="1"/>
  <c r="AF46" i="28"/>
  <c r="AA41" i="28"/>
  <c r="AF34" i="28"/>
  <c r="H33" i="28"/>
  <c r="AF33" i="28" s="1"/>
  <c r="I26" i="28"/>
  <c r="AF26" i="28"/>
  <c r="AA23" i="28"/>
  <c r="AB24" i="28"/>
  <c r="AF18" i="28"/>
  <c r="AG18" i="28"/>
  <c r="I30" i="29"/>
  <c r="AF30" i="29"/>
  <c r="I14" i="29"/>
  <c r="AF14" i="29"/>
  <c r="M8" i="29"/>
  <c r="M32" i="29" s="1"/>
  <c r="M37" i="29" s="1"/>
  <c r="I29" i="30"/>
  <c r="AF29" i="30"/>
  <c r="J25" i="30"/>
  <c r="AH25" i="30" s="1"/>
  <c r="AG25" i="30"/>
  <c r="J29" i="33"/>
  <c r="AH29" i="33" s="1"/>
  <c r="AG29" i="33"/>
  <c r="E68" i="55"/>
  <c r="H68" i="55"/>
  <c r="K68" i="55"/>
  <c r="N68" i="55"/>
  <c r="AJ37" i="25"/>
  <c r="V24" i="25"/>
  <c r="V23" i="25" s="1"/>
  <c r="I24" i="25"/>
  <c r="P93" i="55"/>
  <c r="AJ23" i="25"/>
  <c r="O21" i="25"/>
  <c r="I15" i="25"/>
  <c r="AF15" i="25"/>
  <c r="I11" i="25"/>
  <c r="AF11" i="25"/>
  <c r="J10" i="25"/>
  <c r="AH10" i="25" s="1"/>
  <c r="T9" i="25"/>
  <c r="AE51" i="26"/>
  <c r="T50" i="26"/>
  <c r="S47" i="26"/>
  <c r="J45" i="26"/>
  <c r="AH45" i="26" s="1"/>
  <c r="AG45" i="26"/>
  <c r="K57" i="26"/>
  <c r="AI34" i="26"/>
  <c r="F32" i="26"/>
  <c r="P24" i="26"/>
  <c r="P23" i="26" s="1"/>
  <c r="AB21" i="26"/>
  <c r="J21" i="26"/>
  <c r="AF10" i="26"/>
  <c r="AC9" i="26"/>
  <c r="AC8" i="26" s="1"/>
  <c r="M8" i="26"/>
  <c r="M32" i="26" s="1"/>
  <c r="M37" i="26" s="1"/>
  <c r="Q32" i="26"/>
  <c r="Q37" i="26" s="1"/>
  <c r="Q60" i="26" s="1"/>
  <c r="AI44" i="27"/>
  <c r="Z42" i="27"/>
  <c r="H41" i="27"/>
  <c r="H24" i="27"/>
  <c r="D37" i="27"/>
  <c r="I21" i="27"/>
  <c r="G8" i="27"/>
  <c r="E60" i="28"/>
  <c r="H54" i="28"/>
  <c r="N48" i="28"/>
  <c r="M47" i="28"/>
  <c r="M52" i="28" s="1"/>
  <c r="N43" i="28"/>
  <c r="T33" i="28"/>
  <c r="U34" i="28"/>
  <c r="Y27" i="28"/>
  <c r="Z27" i="28" s="1"/>
  <c r="AA27" i="28" s="1"/>
  <c r="AB27" i="28" s="1"/>
  <c r="AC27" i="28" s="1"/>
  <c r="X32" i="28"/>
  <c r="X37" i="28" s="1"/>
  <c r="X60" i="28" s="1"/>
  <c r="V20" i="28"/>
  <c r="I19" i="28"/>
  <c r="AF19" i="28"/>
  <c r="I9" i="28"/>
  <c r="AF9" i="28"/>
  <c r="AF18" i="29"/>
  <c r="AF28" i="30"/>
  <c r="I28" i="30"/>
  <c r="I16" i="30"/>
  <c r="AF16" i="30"/>
  <c r="H24" i="30"/>
  <c r="AE24" i="30"/>
  <c r="G23" i="30"/>
  <c r="AE23" i="30" s="1"/>
  <c r="J22" i="30"/>
  <c r="AH22" i="30" s="1"/>
  <c r="AG22" i="30"/>
  <c r="J45" i="31"/>
  <c r="AH45" i="31" s="1"/>
  <c r="AG45" i="31"/>
  <c r="I27" i="31"/>
  <c r="AF27" i="31"/>
  <c r="P264" i="55"/>
  <c r="Q264" i="55" s="1"/>
  <c r="AJ23" i="31"/>
  <c r="I9" i="31"/>
  <c r="AF9" i="31"/>
  <c r="I50" i="32"/>
  <c r="AF50" i="32"/>
  <c r="N9" i="66"/>
  <c r="M8" i="66"/>
  <c r="I50" i="29"/>
  <c r="AF50" i="29"/>
  <c r="I46" i="29"/>
  <c r="AF46" i="29"/>
  <c r="AA42" i="29"/>
  <c r="Z41" i="29"/>
  <c r="I35" i="29"/>
  <c r="AF35" i="29"/>
  <c r="I17" i="29"/>
  <c r="AF17" i="29"/>
  <c r="S48" i="30"/>
  <c r="R47" i="30"/>
  <c r="R52" i="30" s="1"/>
  <c r="I26" i="30"/>
  <c r="AF26" i="30"/>
  <c r="I17" i="30"/>
  <c r="AF17" i="30"/>
  <c r="O21" i="32"/>
  <c r="I14" i="32"/>
  <c r="AF14" i="32"/>
  <c r="J12" i="32"/>
  <c r="AH12" i="32" s="1"/>
  <c r="AG12" i="32"/>
  <c r="O23" i="33"/>
  <c r="P24" i="33"/>
  <c r="P23" i="33" s="1"/>
  <c r="K57" i="38"/>
  <c r="K60" i="38"/>
  <c r="J31" i="38"/>
  <c r="AH31" i="38" s="1"/>
  <c r="AG31" i="38"/>
  <c r="I10" i="37"/>
  <c r="AF10" i="37"/>
  <c r="O9" i="37"/>
  <c r="E96" i="55"/>
  <c r="E101" i="55" s="1"/>
  <c r="M96" i="55"/>
  <c r="M101" i="55" s="1"/>
  <c r="F96" i="55"/>
  <c r="F101" i="55" s="1"/>
  <c r="N96" i="55"/>
  <c r="N101" i="55" s="1"/>
  <c r="G96" i="55"/>
  <c r="G101" i="55" s="1"/>
  <c r="I96" i="55"/>
  <c r="I101" i="55" s="1"/>
  <c r="C96" i="55"/>
  <c r="K96" i="55"/>
  <c r="K101" i="55" s="1"/>
  <c r="D96" i="55"/>
  <c r="L96" i="55"/>
  <c r="L101" i="55" s="1"/>
  <c r="H96" i="55"/>
  <c r="H101" i="55" s="1"/>
  <c r="J96" i="55"/>
  <c r="J101" i="55" s="1"/>
  <c r="AE29" i="26"/>
  <c r="AF22" i="26"/>
  <c r="J19" i="26"/>
  <c r="AH19" i="26" s="1"/>
  <c r="AI16" i="26"/>
  <c r="AF15" i="26"/>
  <c r="AF11" i="26"/>
  <c r="O9" i="26"/>
  <c r="N48" i="27"/>
  <c r="AE44" i="27"/>
  <c r="AF43" i="27"/>
  <c r="AF42" i="27"/>
  <c r="S41" i="27"/>
  <c r="S52" i="27" s="1"/>
  <c r="AE36" i="27"/>
  <c r="AF27" i="27"/>
  <c r="AE26" i="27"/>
  <c r="Z24" i="27"/>
  <c r="N24" i="27"/>
  <c r="AE21" i="27"/>
  <c r="T21" i="27"/>
  <c r="AG13" i="27"/>
  <c r="AE12" i="27"/>
  <c r="AE9" i="27"/>
  <c r="H9" i="27"/>
  <c r="S48" i="28"/>
  <c r="J43" i="28"/>
  <c r="AH43" i="28" s="1"/>
  <c r="I36" i="28"/>
  <c r="O33" i="28"/>
  <c r="I16" i="28"/>
  <c r="AF16" i="28"/>
  <c r="S8" i="28"/>
  <c r="O49" i="29"/>
  <c r="P49" i="29" s="1"/>
  <c r="N47" i="29"/>
  <c r="H48" i="29"/>
  <c r="T42" i="29"/>
  <c r="S36" i="29"/>
  <c r="T36" i="29" s="1"/>
  <c r="U36" i="29" s="1"/>
  <c r="V36" i="29" s="1"/>
  <c r="AE30" i="29"/>
  <c r="I25" i="29"/>
  <c r="AF25" i="29"/>
  <c r="N24" i="29"/>
  <c r="H9" i="29"/>
  <c r="AE9" i="29"/>
  <c r="AE50" i="30"/>
  <c r="S44" i="30"/>
  <c r="AF25" i="30"/>
  <c r="Z23" i="30"/>
  <c r="H9" i="30"/>
  <c r="AE9" i="30"/>
  <c r="G8" i="30"/>
  <c r="Y8" i="31"/>
  <c r="Y32" i="31" s="1"/>
  <c r="Y37" i="31" s="1"/>
  <c r="I46" i="32"/>
  <c r="AF46" i="32"/>
  <c r="Z33" i="32"/>
  <c r="AA34" i="32"/>
  <c r="L57" i="32"/>
  <c r="L60" i="32"/>
  <c r="O24" i="32"/>
  <c r="N23" i="32"/>
  <c r="AB21" i="32"/>
  <c r="AF28" i="34"/>
  <c r="I28" i="34"/>
  <c r="O9" i="35"/>
  <c r="N8" i="35"/>
  <c r="AE8" i="37"/>
  <c r="AE15" i="25"/>
  <c r="AG12" i="25"/>
  <c r="N9" i="25"/>
  <c r="I48" i="26"/>
  <c r="K11" i="39"/>
  <c r="N11" i="39" s="1"/>
  <c r="I36" i="26"/>
  <c r="K10" i="39"/>
  <c r="E125" i="55"/>
  <c r="E130" i="55" s="1"/>
  <c r="M125" i="55"/>
  <c r="F125" i="55"/>
  <c r="N125" i="55"/>
  <c r="G125" i="55"/>
  <c r="H125" i="55"/>
  <c r="I125" i="55"/>
  <c r="I130" i="55" s="1"/>
  <c r="C125" i="55"/>
  <c r="K125" i="55"/>
  <c r="K130" i="55" s="1"/>
  <c r="D125" i="55"/>
  <c r="L125" i="55"/>
  <c r="J125" i="55"/>
  <c r="J130" i="55" s="1"/>
  <c r="AG46" i="27"/>
  <c r="AF45" i="27"/>
  <c r="I42" i="27"/>
  <c r="S36" i="27"/>
  <c r="T36" i="27" s="1"/>
  <c r="U36" i="27" s="1"/>
  <c r="V36" i="27" s="1"/>
  <c r="V33" i="27" s="1"/>
  <c r="AB34" i="27"/>
  <c r="AG30" i="27"/>
  <c r="AE29" i="27"/>
  <c r="AF22" i="27"/>
  <c r="AE16" i="27"/>
  <c r="AF13" i="27"/>
  <c r="AF10" i="27"/>
  <c r="J10" i="27"/>
  <c r="AH10" i="27" s="1"/>
  <c r="AE50" i="28"/>
  <c r="Y41" i="28"/>
  <c r="Y52" i="28" s="1"/>
  <c r="Z41" i="28"/>
  <c r="D33" i="28"/>
  <c r="AJ33" i="28" s="1"/>
  <c r="AJ36" i="28"/>
  <c r="I22" i="28"/>
  <c r="AF22" i="28"/>
  <c r="J49" i="29"/>
  <c r="AH49" i="29" s="1"/>
  <c r="Y47" i="29"/>
  <c r="J17" i="39"/>
  <c r="AE47" i="29"/>
  <c r="AI43" i="29"/>
  <c r="J43" i="29"/>
  <c r="AH43" i="29" s="1"/>
  <c r="K57" i="29"/>
  <c r="K60" i="29"/>
  <c r="AF23" i="29"/>
  <c r="AE21" i="29"/>
  <c r="H21" i="29"/>
  <c r="G13" i="29"/>
  <c r="R13" i="29"/>
  <c r="F8" i="29"/>
  <c r="AJ13" i="29"/>
  <c r="I11" i="29"/>
  <c r="AF11" i="29"/>
  <c r="H49" i="30"/>
  <c r="AE49" i="30"/>
  <c r="H48" i="30"/>
  <c r="AE48" i="30"/>
  <c r="G47" i="30"/>
  <c r="J45" i="30"/>
  <c r="AH45" i="30" s="1"/>
  <c r="AG45" i="30"/>
  <c r="AI34" i="30"/>
  <c r="J13" i="30"/>
  <c r="AH13" i="30" s="1"/>
  <c r="AG13" i="30"/>
  <c r="AI13" i="30"/>
  <c r="J34" i="31"/>
  <c r="AG34" i="31"/>
  <c r="AI34" i="31"/>
  <c r="AB21" i="31"/>
  <c r="I12" i="31"/>
  <c r="AF12" i="31"/>
  <c r="AA10" i="31"/>
  <c r="AB10" i="31" s="1"/>
  <c r="AC10" i="31" s="1"/>
  <c r="Z8" i="31"/>
  <c r="J27" i="32"/>
  <c r="AH27" i="32" s="1"/>
  <c r="AG27" i="32"/>
  <c r="N9" i="32"/>
  <c r="M8" i="32"/>
  <c r="M32" i="32" s="1"/>
  <c r="AJ48" i="33"/>
  <c r="D47" i="33"/>
  <c r="AJ47" i="33" s="1"/>
  <c r="AA24" i="25"/>
  <c r="U21" i="25"/>
  <c r="AF45" i="26"/>
  <c r="J10" i="39"/>
  <c r="U24" i="26"/>
  <c r="F153" i="55"/>
  <c r="F158" i="55" s="1"/>
  <c r="N153" i="55"/>
  <c r="G153" i="55"/>
  <c r="H153" i="55"/>
  <c r="I153" i="55"/>
  <c r="I158" i="55" s="1"/>
  <c r="J153" i="55"/>
  <c r="J158" i="55" s="1"/>
  <c r="D153" i="55"/>
  <c r="D158" i="55" s="1"/>
  <c r="L153" i="55"/>
  <c r="L158" i="55" s="1"/>
  <c r="E153" i="55"/>
  <c r="E158" i="55" s="1"/>
  <c r="M153" i="55"/>
  <c r="M158" i="55" s="1"/>
  <c r="C153" i="55"/>
  <c r="K153" i="55"/>
  <c r="K158" i="55" s="1"/>
  <c r="I45" i="28"/>
  <c r="AF45" i="28"/>
  <c r="P33" i="28"/>
  <c r="I31" i="28"/>
  <c r="AF31" i="28"/>
  <c r="I29" i="28"/>
  <c r="AF29" i="28"/>
  <c r="I24" i="28"/>
  <c r="AF24" i="28"/>
  <c r="H23" i="28"/>
  <c r="J11" i="28"/>
  <c r="AH11" i="28" s="1"/>
  <c r="AG11" i="28"/>
  <c r="N8" i="28"/>
  <c r="U48" i="29"/>
  <c r="T47" i="29"/>
  <c r="M41" i="29"/>
  <c r="U35" i="29"/>
  <c r="U33" i="29" s="1"/>
  <c r="T33" i="29"/>
  <c r="I29" i="29"/>
  <c r="AF29" i="29"/>
  <c r="AF28" i="29"/>
  <c r="I28" i="29"/>
  <c r="Y32" i="29"/>
  <c r="Y37" i="29" s="1"/>
  <c r="AJ47" i="30"/>
  <c r="F62" i="30"/>
  <c r="AE41" i="30"/>
  <c r="G52" i="30"/>
  <c r="Z35" i="30"/>
  <c r="AA35" i="30" s="1"/>
  <c r="AB35" i="30" s="1"/>
  <c r="AC35" i="30" s="1"/>
  <c r="Y33" i="30"/>
  <c r="T23" i="30"/>
  <c r="U24" i="30"/>
  <c r="AA20" i="30"/>
  <c r="AF13" i="30"/>
  <c r="P24" i="31"/>
  <c r="P23" i="31" s="1"/>
  <c r="O23" i="31"/>
  <c r="T10" i="31"/>
  <c r="U10" i="31" s="1"/>
  <c r="V10" i="31" s="1"/>
  <c r="S8" i="31"/>
  <c r="S32" i="31" s="1"/>
  <c r="S37" i="31" s="1"/>
  <c r="J45" i="32"/>
  <c r="AH45" i="32" s="1"/>
  <c r="AG45" i="32"/>
  <c r="H43" i="32"/>
  <c r="G41" i="32"/>
  <c r="AE43" i="32"/>
  <c r="Y8" i="33"/>
  <c r="Z9" i="33"/>
  <c r="J26" i="39"/>
  <c r="H36" i="34"/>
  <c r="G33" i="34"/>
  <c r="AE33" i="34" s="1"/>
  <c r="AE36" i="34"/>
  <c r="Y8" i="36"/>
  <c r="Z9" i="36"/>
  <c r="AG18" i="25"/>
  <c r="H47" i="26"/>
  <c r="AF19" i="26"/>
  <c r="I162" i="55"/>
  <c r="J162" i="55"/>
  <c r="J170" i="55" s="1"/>
  <c r="C162" i="55"/>
  <c r="K162" i="55"/>
  <c r="K170" i="55" s="1"/>
  <c r="D162" i="55"/>
  <c r="L162" i="55"/>
  <c r="L170" i="55" s="1"/>
  <c r="E162" i="55"/>
  <c r="M162" i="55"/>
  <c r="G162" i="55"/>
  <c r="H162" i="55"/>
  <c r="F162" i="55"/>
  <c r="N162" i="55"/>
  <c r="AE17" i="27"/>
  <c r="AE51" i="28"/>
  <c r="Z48" i="28"/>
  <c r="N33" i="28"/>
  <c r="S23" i="28"/>
  <c r="T25" i="28"/>
  <c r="U25" i="28" s="1"/>
  <c r="V25" i="28" s="1"/>
  <c r="R8" i="28"/>
  <c r="R32" i="28" s="1"/>
  <c r="R37" i="28" s="1"/>
  <c r="R60" i="28" s="1"/>
  <c r="AC9" i="28"/>
  <c r="S47" i="29"/>
  <c r="S52" i="29" s="1"/>
  <c r="Z47" i="29"/>
  <c r="E60" i="29"/>
  <c r="E57" i="29"/>
  <c r="L60" i="29"/>
  <c r="AG15" i="29"/>
  <c r="J15" i="29"/>
  <c r="AH15" i="29" s="1"/>
  <c r="X32" i="29"/>
  <c r="X37" i="29" s="1"/>
  <c r="X60" i="29" s="1"/>
  <c r="AA42" i="30"/>
  <c r="Z41" i="30"/>
  <c r="AA34" i="30"/>
  <c r="Z33" i="30"/>
  <c r="S23" i="30"/>
  <c r="Z20" i="30"/>
  <c r="Z8" i="30"/>
  <c r="Z32" i="30" s="1"/>
  <c r="Z37" i="30" s="1"/>
  <c r="H30" i="31"/>
  <c r="AE30" i="31"/>
  <c r="H30" i="32"/>
  <c r="AE30" i="32"/>
  <c r="V9" i="33"/>
  <c r="U42" i="34"/>
  <c r="I34" i="36"/>
  <c r="AF34" i="36"/>
  <c r="G47" i="26"/>
  <c r="AE47" i="26" s="1"/>
  <c r="U42" i="28"/>
  <c r="T41" i="28"/>
  <c r="I42" i="28"/>
  <c r="H41" i="28"/>
  <c r="T23" i="28"/>
  <c r="Z22" i="28"/>
  <c r="AA22" i="28" s="1"/>
  <c r="AB22" i="28" s="1"/>
  <c r="AC22" i="28" s="1"/>
  <c r="Y20" i="28"/>
  <c r="Y32" i="28" s="1"/>
  <c r="Y37" i="28" s="1"/>
  <c r="Y60" i="28" s="1"/>
  <c r="R52" i="29"/>
  <c r="F62" i="29" s="1"/>
  <c r="J16" i="39"/>
  <c r="H36" i="29"/>
  <c r="AE36" i="29"/>
  <c r="Z33" i="29"/>
  <c r="AH34" i="29"/>
  <c r="Z8" i="29"/>
  <c r="AA9" i="29"/>
  <c r="Q32" i="29"/>
  <c r="Q37" i="29" s="1"/>
  <c r="Q60" i="29" s="1"/>
  <c r="I44" i="30"/>
  <c r="AF44" i="30"/>
  <c r="S20" i="30"/>
  <c r="T21" i="30"/>
  <c r="I12" i="30"/>
  <c r="AF12" i="30"/>
  <c r="J50" i="31"/>
  <c r="AH50" i="31" s="1"/>
  <c r="AG50" i="31"/>
  <c r="V34" i="31"/>
  <c r="V33" i="31" s="1"/>
  <c r="U33" i="31"/>
  <c r="AE23" i="31"/>
  <c r="J44" i="32"/>
  <c r="AH44" i="32" s="1"/>
  <c r="AG44" i="32"/>
  <c r="AI44" i="32"/>
  <c r="M52" i="32"/>
  <c r="I31" i="32"/>
  <c r="AF31" i="32"/>
  <c r="P292" i="55"/>
  <c r="AJ23" i="32"/>
  <c r="I45" i="33"/>
  <c r="AF45" i="33"/>
  <c r="P380" i="55"/>
  <c r="F32" i="33"/>
  <c r="AJ20" i="33"/>
  <c r="AE20" i="33"/>
  <c r="J31" i="34"/>
  <c r="AH31" i="34" s="1"/>
  <c r="AG31" i="34"/>
  <c r="AE30" i="28"/>
  <c r="AE27" i="28"/>
  <c r="AA20" i="28"/>
  <c r="AG45" i="29"/>
  <c r="AF44" i="29"/>
  <c r="AF43" i="29"/>
  <c r="AE42" i="29"/>
  <c r="N35" i="29"/>
  <c r="O35" i="29" s="1"/>
  <c r="P35" i="29" s="1"/>
  <c r="AE31" i="29"/>
  <c r="AG24" i="29"/>
  <c r="AE22" i="29"/>
  <c r="Z20" i="29"/>
  <c r="AI19" i="29"/>
  <c r="AG16" i="29"/>
  <c r="AE15" i="29"/>
  <c r="AE51" i="30"/>
  <c r="Z48" i="30"/>
  <c r="AG43" i="30"/>
  <c r="AE42" i="30"/>
  <c r="H42" i="30"/>
  <c r="AE34" i="30"/>
  <c r="T34" i="30"/>
  <c r="AG27" i="30"/>
  <c r="Y23" i="30"/>
  <c r="AE19" i="30"/>
  <c r="I35" i="31"/>
  <c r="I33" i="31" s="1"/>
  <c r="T33" i="31"/>
  <c r="AA23" i="31"/>
  <c r="W24" i="31"/>
  <c r="W23" i="31" s="1"/>
  <c r="W32" i="31" s="1"/>
  <c r="W37" i="31" s="1"/>
  <c r="W60" i="31" s="1"/>
  <c r="K23" i="31"/>
  <c r="K32" i="31" s="1"/>
  <c r="U9" i="31"/>
  <c r="D60" i="32"/>
  <c r="I48" i="32"/>
  <c r="AF48" i="32"/>
  <c r="AE44" i="32"/>
  <c r="Y41" i="32"/>
  <c r="G32" i="32"/>
  <c r="P295" i="55"/>
  <c r="AJ8" i="32"/>
  <c r="F32" i="32"/>
  <c r="H8" i="32"/>
  <c r="U20" i="33"/>
  <c r="S10" i="33"/>
  <c r="I45" i="34"/>
  <c r="AF45" i="34"/>
  <c r="I12" i="34"/>
  <c r="AF12" i="34"/>
  <c r="AA21" i="35"/>
  <c r="Z20" i="35"/>
  <c r="H15" i="36"/>
  <c r="AE15" i="36"/>
  <c r="T10" i="36"/>
  <c r="U10" i="36" s="1"/>
  <c r="V10" i="36" s="1"/>
  <c r="S8" i="36"/>
  <c r="J14" i="39"/>
  <c r="I28" i="28"/>
  <c r="N25" i="28"/>
  <c r="O25" i="28" s="1"/>
  <c r="P25" i="28" s="1"/>
  <c r="V24" i="28"/>
  <c r="V23" i="28" s="1"/>
  <c r="G23" i="28"/>
  <c r="AE23" i="28" s="1"/>
  <c r="AE22" i="28"/>
  <c r="P21" i="28"/>
  <c r="AG17" i="28"/>
  <c r="AE12" i="28"/>
  <c r="H10" i="28"/>
  <c r="H8" i="28" s="1"/>
  <c r="P9" i="28"/>
  <c r="AG51" i="29"/>
  <c r="AE50" i="29"/>
  <c r="P48" i="29"/>
  <c r="P47" i="29" s="1"/>
  <c r="Y41" i="29"/>
  <c r="Y52" i="29" s="1"/>
  <c r="AG34" i="29"/>
  <c r="V34" i="29"/>
  <c r="U24" i="29"/>
  <c r="O21" i="29"/>
  <c r="AF16" i="29"/>
  <c r="AG12" i="29"/>
  <c r="AE11" i="29"/>
  <c r="N9" i="29"/>
  <c r="N48" i="30"/>
  <c r="AF45" i="30"/>
  <c r="AF43" i="30"/>
  <c r="Y41" i="30"/>
  <c r="Y52" i="30" s="1"/>
  <c r="AE35" i="30"/>
  <c r="H35" i="30"/>
  <c r="H33" i="30" s="1"/>
  <c r="AF33" i="30" s="1"/>
  <c r="AG31" i="30"/>
  <c r="AE30" i="30"/>
  <c r="AE26" i="30"/>
  <c r="N24" i="30"/>
  <c r="AF22" i="30"/>
  <c r="AB21" i="30"/>
  <c r="N21" i="30"/>
  <c r="M20" i="30"/>
  <c r="H11" i="30"/>
  <c r="AE11" i="30"/>
  <c r="T9" i="30"/>
  <c r="Y8" i="30"/>
  <c r="G47" i="31"/>
  <c r="J46" i="31"/>
  <c r="AH46" i="31" s="1"/>
  <c r="Y52" i="31"/>
  <c r="AJ41" i="31"/>
  <c r="I29" i="31"/>
  <c r="AF29" i="31"/>
  <c r="Z23" i="31"/>
  <c r="H22" i="31"/>
  <c r="T20" i="31"/>
  <c r="H16" i="31"/>
  <c r="P267" i="55"/>
  <c r="AJ8" i="31"/>
  <c r="F32" i="31"/>
  <c r="AA48" i="32"/>
  <c r="Z47" i="32"/>
  <c r="AF45" i="32"/>
  <c r="I36" i="32"/>
  <c r="AF36" i="32"/>
  <c r="H22" i="32"/>
  <c r="H20" i="32" s="1"/>
  <c r="AF20" i="32" s="1"/>
  <c r="U20" i="32"/>
  <c r="S48" i="33"/>
  <c r="R47" i="33"/>
  <c r="AA42" i="33"/>
  <c r="H25" i="33"/>
  <c r="AE25" i="33"/>
  <c r="AH21" i="33"/>
  <c r="Y32" i="35"/>
  <c r="G8" i="28"/>
  <c r="I36" i="30"/>
  <c r="I14" i="30"/>
  <c r="AF14" i="30"/>
  <c r="I49" i="31"/>
  <c r="AF49" i="31"/>
  <c r="U47" i="31"/>
  <c r="H44" i="31"/>
  <c r="AE44" i="31"/>
  <c r="S42" i="31"/>
  <c r="R41" i="31"/>
  <c r="R52" i="31" s="1"/>
  <c r="G41" i="31"/>
  <c r="I19" i="31"/>
  <c r="AF19" i="31"/>
  <c r="I14" i="31"/>
  <c r="AF14" i="31"/>
  <c r="I10" i="31"/>
  <c r="AF10" i="31"/>
  <c r="U48" i="32"/>
  <c r="T47" i="32"/>
  <c r="P303" i="55"/>
  <c r="AJ43" i="32"/>
  <c r="S41" i="32"/>
  <c r="O34" i="32"/>
  <c r="N33" i="32"/>
  <c r="J29" i="32"/>
  <c r="AH29" i="32" s="1"/>
  <c r="AG29" i="32"/>
  <c r="H26" i="32"/>
  <c r="AE26" i="32"/>
  <c r="T20" i="32"/>
  <c r="Z9" i="32"/>
  <c r="Y8" i="32"/>
  <c r="Y32" i="32" s="1"/>
  <c r="Y37" i="32" s="1"/>
  <c r="AG35" i="33"/>
  <c r="I20" i="33"/>
  <c r="AG20" i="33" s="1"/>
  <c r="AG21" i="33"/>
  <c r="AE8" i="33"/>
  <c r="H33" i="34"/>
  <c r="AF33" i="34" s="1"/>
  <c r="Y23" i="34"/>
  <c r="Z24" i="34"/>
  <c r="AI46" i="35"/>
  <c r="AG46" i="35"/>
  <c r="P42" i="35"/>
  <c r="P41" i="35" s="1"/>
  <c r="O41" i="35"/>
  <c r="F32" i="28"/>
  <c r="AE24" i="28"/>
  <c r="G182" i="55"/>
  <c r="G187" i="55" s="1"/>
  <c r="H182" i="55"/>
  <c r="I182" i="55"/>
  <c r="J182" i="55"/>
  <c r="C182" i="55"/>
  <c r="K182" i="55"/>
  <c r="K187" i="55" s="1"/>
  <c r="E182" i="55"/>
  <c r="E187" i="55" s="1"/>
  <c r="M182" i="55"/>
  <c r="M187" i="55" s="1"/>
  <c r="F182" i="55"/>
  <c r="N182" i="55"/>
  <c r="L182" i="55"/>
  <c r="L187" i="55" s="1"/>
  <c r="D182" i="55"/>
  <c r="D187" i="55" s="1"/>
  <c r="G52" i="29"/>
  <c r="M47" i="29"/>
  <c r="S33" i="29"/>
  <c r="AF19" i="29"/>
  <c r="H20" i="30"/>
  <c r="AF20" i="30" s="1"/>
  <c r="I21" i="30"/>
  <c r="AF21" i="30"/>
  <c r="I19" i="30"/>
  <c r="AF19" i="30"/>
  <c r="H15" i="30"/>
  <c r="AE15" i="30"/>
  <c r="R8" i="30"/>
  <c r="R32" i="30" s="1"/>
  <c r="R37" i="30" s="1"/>
  <c r="R60" i="30" s="1"/>
  <c r="N8" i="30"/>
  <c r="S47" i="31"/>
  <c r="H43" i="31"/>
  <c r="AE43" i="31"/>
  <c r="P41" i="31"/>
  <c r="P284" i="55"/>
  <c r="AJ52" i="31"/>
  <c r="F62" i="31"/>
  <c r="AF34" i="31"/>
  <c r="J31" i="31"/>
  <c r="AH31" i="31" s="1"/>
  <c r="AG31" i="31"/>
  <c r="AE12" i="31"/>
  <c r="N8" i="31"/>
  <c r="S47" i="32"/>
  <c r="I35" i="32"/>
  <c r="AF35" i="32"/>
  <c r="M33" i="32"/>
  <c r="AE22" i="32"/>
  <c r="S20" i="32"/>
  <c r="I16" i="32"/>
  <c r="AF16" i="32"/>
  <c r="P396" i="55"/>
  <c r="I51" i="33"/>
  <c r="AF51" i="33"/>
  <c r="N47" i="33"/>
  <c r="AG43" i="33"/>
  <c r="AI43" i="33"/>
  <c r="R52" i="33"/>
  <c r="F62" i="33" s="1"/>
  <c r="AA23" i="33"/>
  <c r="S20" i="36"/>
  <c r="H189" i="55"/>
  <c r="I189" i="55"/>
  <c r="J189" i="55"/>
  <c r="C189" i="55"/>
  <c r="K189" i="55"/>
  <c r="D189" i="55"/>
  <c r="L189" i="55"/>
  <c r="F189" i="55"/>
  <c r="F199" i="55" s="1"/>
  <c r="N189" i="55"/>
  <c r="N199" i="55" s="1"/>
  <c r="G189" i="55"/>
  <c r="G199" i="55" s="1"/>
  <c r="E189" i="55"/>
  <c r="M189" i="55"/>
  <c r="AE19" i="28"/>
  <c r="AE46" i="29"/>
  <c r="N42" i="29"/>
  <c r="AE35" i="29"/>
  <c r="AE29" i="29"/>
  <c r="AE25" i="29"/>
  <c r="N22" i="29"/>
  <c r="O22" i="29" s="1"/>
  <c r="P22" i="29" s="1"/>
  <c r="AE17" i="29"/>
  <c r="AJ52" i="30"/>
  <c r="AE46" i="30"/>
  <c r="N42" i="30"/>
  <c r="F32" i="30"/>
  <c r="Y20" i="30"/>
  <c r="M8" i="30"/>
  <c r="M32" i="30" s="1"/>
  <c r="M37" i="30" s="1"/>
  <c r="M60" i="30" s="1"/>
  <c r="H47" i="31"/>
  <c r="O33" i="31"/>
  <c r="I25" i="31"/>
  <c r="AF25" i="31"/>
  <c r="N23" i="31"/>
  <c r="M8" i="31"/>
  <c r="M32" i="31" s="1"/>
  <c r="M37" i="31" s="1"/>
  <c r="F41" i="32"/>
  <c r="I34" i="32"/>
  <c r="AF34" i="32"/>
  <c r="Z24" i="32"/>
  <c r="I18" i="32"/>
  <c r="AF18" i="32"/>
  <c r="I10" i="32"/>
  <c r="AF10" i="32"/>
  <c r="T8" i="32"/>
  <c r="H49" i="33"/>
  <c r="AE49" i="33"/>
  <c r="S33" i="33"/>
  <c r="T34" i="33"/>
  <c r="P332" i="55"/>
  <c r="AJ44" i="34"/>
  <c r="F41" i="34"/>
  <c r="G44" i="34"/>
  <c r="R44" i="34"/>
  <c r="S44" i="34" s="1"/>
  <c r="T44" i="34" s="1"/>
  <c r="U44" i="34" s="1"/>
  <c r="V44" i="34" s="1"/>
  <c r="AA34" i="34"/>
  <c r="P21" i="36"/>
  <c r="AJ20" i="30"/>
  <c r="AG18" i="30"/>
  <c r="M52" i="31"/>
  <c r="J51" i="32"/>
  <c r="AH51" i="32" s="1"/>
  <c r="AG51" i="32"/>
  <c r="J23" i="39"/>
  <c r="AE47" i="32"/>
  <c r="N47" i="32"/>
  <c r="Q60" i="32"/>
  <c r="I28" i="32"/>
  <c r="AF28" i="32"/>
  <c r="I19" i="32"/>
  <c r="AF19" i="32"/>
  <c r="S8" i="32"/>
  <c r="S32" i="32" s="1"/>
  <c r="H48" i="33"/>
  <c r="G47" i="33"/>
  <c r="AE48" i="33"/>
  <c r="H42" i="33"/>
  <c r="AE42" i="33"/>
  <c r="G41" i="33"/>
  <c r="N33" i="33"/>
  <c r="O34" i="33"/>
  <c r="I15" i="33"/>
  <c r="AF15" i="33"/>
  <c r="J27" i="34"/>
  <c r="AH27" i="34" s="1"/>
  <c r="AG27" i="34"/>
  <c r="S10" i="30"/>
  <c r="S8" i="30" s="1"/>
  <c r="S32" i="30" s="1"/>
  <c r="S37" i="30" s="1"/>
  <c r="AA9" i="30"/>
  <c r="O9" i="30"/>
  <c r="AF51" i="31"/>
  <c r="Z48" i="31"/>
  <c r="N48" i="31"/>
  <c r="AF46" i="31"/>
  <c r="AI42" i="31"/>
  <c r="Z42" i="31"/>
  <c r="N33" i="31"/>
  <c r="T24" i="31"/>
  <c r="I24" i="31"/>
  <c r="N21" i="31"/>
  <c r="AE17" i="31"/>
  <c r="G13" i="31"/>
  <c r="G8" i="31" s="1"/>
  <c r="R8" i="31"/>
  <c r="R32" i="31" s="1"/>
  <c r="R37" i="31" s="1"/>
  <c r="R60" i="31" s="1"/>
  <c r="H49" i="32"/>
  <c r="AE45" i="32"/>
  <c r="I304" i="55"/>
  <c r="J304" i="55"/>
  <c r="C304" i="55"/>
  <c r="K304" i="55"/>
  <c r="D304" i="55"/>
  <c r="L304" i="55"/>
  <c r="E304" i="55"/>
  <c r="M304" i="55"/>
  <c r="G304" i="55"/>
  <c r="F304" i="55"/>
  <c r="H304" i="55"/>
  <c r="N304" i="55"/>
  <c r="Z42" i="32"/>
  <c r="N42" i="32"/>
  <c r="U41" i="32"/>
  <c r="AI25" i="32"/>
  <c r="AE17" i="32"/>
  <c r="AF13" i="32"/>
  <c r="AF9" i="32"/>
  <c r="U9" i="32"/>
  <c r="I9" i="32"/>
  <c r="Z48" i="33"/>
  <c r="O48" i="33"/>
  <c r="I44" i="33"/>
  <c r="AF44" i="33"/>
  <c r="Z43" i="33"/>
  <c r="AA43" i="33" s="1"/>
  <c r="AB43" i="33" s="1"/>
  <c r="AC43" i="33" s="1"/>
  <c r="AC43" i="17" s="1"/>
  <c r="AA95" i="10" s="1"/>
  <c r="AE34" i="33"/>
  <c r="AB24" i="33"/>
  <c r="N22" i="33"/>
  <c r="AA21" i="33"/>
  <c r="Z20" i="33"/>
  <c r="E37" i="33"/>
  <c r="AG14" i="33"/>
  <c r="S47" i="34"/>
  <c r="R41" i="34"/>
  <c r="R52" i="34" s="1"/>
  <c r="R60" i="34" s="1"/>
  <c r="O41" i="34"/>
  <c r="D33" i="34"/>
  <c r="AJ33" i="34" s="1"/>
  <c r="AJ36" i="34"/>
  <c r="X32" i="34"/>
  <c r="X37" i="34" s="1"/>
  <c r="X60" i="34" s="1"/>
  <c r="N21" i="34"/>
  <c r="H19" i="34"/>
  <c r="AE19" i="34"/>
  <c r="I45" i="35"/>
  <c r="AF45" i="35"/>
  <c r="N41" i="35"/>
  <c r="N52" i="35" s="1"/>
  <c r="I10" i="35"/>
  <c r="AF10" i="35"/>
  <c r="H36" i="36"/>
  <c r="AE36" i="36"/>
  <c r="E60" i="36"/>
  <c r="E57" i="36"/>
  <c r="I11" i="36"/>
  <c r="AF11" i="36"/>
  <c r="AG50" i="38"/>
  <c r="J50" i="38"/>
  <c r="AH50" i="38" s="1"/>
  <c r="P42" i="38"/>
  <c r="I30" i="38"/>
  <c r="AF30" i="38"/>
  <c r="H16" i="38"/>
  <c r="AE16" i="38"/>
  <c r="H239" i="55"/>
  <c r="I239" i="55"/>
  <c r="J239" i="55"/>
  <c r="C239" i="55"/>
  <c r="K239" i="55"/>
  <c r="F239" i="55"/>
  <c r="G239" i="55"/>
  <c r="L239" i="55"/>
  <c r="M239" i="55"/>
  <c r="N239" i="55"/>
  <c r="D239" i="55"/>
  <c r="E239" i="55"/>
  <c r="AI48" i="31"/>
  <c r="AG36" i="31"/>
  <c r="AI15" i="31"/>
  <c r="AE50" i="32"/>
  <c r="Y47" i="32"/>
  <c r="AI42" i="32"/>
  <c r="T41" i="32"/>
  <c r="T52" i="32" s="1"/>
  <c r="AE36" i="32"/>
  <c r="AE35" i="32"/>
  <c r="AE34" i="32"/>
  <c r="AF24" i="32"/>
  <c r="AI15" i="32"/>
  <c r="AI36" i="33"/>
  <c r="I10" i="33"/>
  <c r="AF10" i="33"/>
  <c r="O9" i="33"/>
  <c r="N41" i="34"/>
  <c r="S33" i="34"/>
  <c r="T34" i="34"/>
  <c r="H26" i="34"/>
  <c r="AE26" i="34"/>
  <c r="D37" i="34"/>
  <c r="G20" i="34"/>
  <c r="AE22" i="34"/>
  <c r="Y8" i="34"/>
  <c r="Y32" i="34" s="1"/>
  <c r="Y37" i="34" s="1"/>
  <c r="Z10" i="34"/>
  <c r="AC42" i="35"/>
  <c r="AC41" i="35" s="1"/>
  <c r="AB41" i="35"/>
  <c r="H35" i="35"/>
  <c r="AE35" i="35"/>
  <c r="I16" i="35"/>
  <c r="AF16" i="35"/>
  <c r="AG12" i="35"/>
  <c r="J12" i="35"/>
  <c r="AH12" i="35" s="1"/>
  <c r="I11" i="35"/>
  <c r="AF11" i="35"/>
  <c r="AC34" i="36"/>
  <c r="P404" i="55"/>
  <c r="AJ23" i="36"/>
  <c r="AE23" i="36"/>
  <c r="M41" i="37"/>
  <c r="M52" i="37" s="1"/>
  <c r="N42" i="37"/>
  <c r="AG48" i="31"/>
  <c r="V48" i="31"/>
  <c r="V47" i="31" s="1"/>
  <c r="AG42" i="31"/>
  <c r="AG26" i="31"/>
  <c r="AE25" i="31"/>
  <c r="AB24" i="31"/>
  <c r="H18" i="31"/>
  <c r="AG11" i="31"/>
  <c r="O9" i="31"/>
  <c r="AF51" i="32"/>
  <c r="O48" i="32"/>
  <c r="AE46" i="32"/>
  <c r="AG42" i="32"/>
  <c r="S34" i="32"/>
  <c r="AF29" i="32"/>
  <c r="T24" i="32"/>
  <c r="I24" i="32"/>
  <c r="N22" i="32"/>
  <c r="O22" i="32" s="1"/>
  <c r="P22" i="32" s="1"/>
  <c r="AG21" i="32"/>
  <c r="V21" i="32"/>
  <c r="V20" i="32" s="1"/>
  <c r="AG50" i="33"/>
  <c r="I46" i="33"/>
  <c r="S42" i="33"/>
  <c r="Z33" i="33"/>
  <c r="AA34" i="33"/>
  <c r="H34" i="33"/>
  <c r="AF28" i="33"/>
  <c r="I28" i="33"/>
  <c r="H24" i="33"/>
  <c r="AE24" i="33"/>
  <c r="G23" i="33"/>
  <c r="AE23" i="33" s="1"/>
  <c r="J22" i="33"/>
  <c r="AH22" i="33" s="1"/>
  <c r="AG22" i="33"/>
  <c r="Q37" i="33"/>
  <c r="H42" i="34"/>
  <c r="N24" i="34"/>
  <c r="M23" i="34"/>
  <c r="J9" i="34"/>
  <c r="H33" i="35"/>
  <c r="I24" i="35"/>
  <c r="I27" i="36"/>
  <c r="AF27" i="36"/>
  <c r="I16" i="37"/>
  <c r="AF16" i="37"/>
  <c r="H54" i="38"/>
  <c r="AE54" i="38"/>
  <c r="T47" i="31"/>
  <c r="U21" i="31"/>
  <c r="J22" i="39"/>
  <c r="U44" i="33"/>
  <c r="V44" i="33" s="1"/>
  <c r="AJ33" i="33"/>
  <c r="D37" i="33"/>
  <c r="AF18" i="33"/>
  <c r="AG18" i="33"/>
  <c r="H13" i="33"/>
  <c r="AE13" i="33"/>
  <c r="J9" i="33"/>
  <c r="AG9" i="33"/>
  <c r="U36" i="34"/>
  <c r="V36" i="34" s="1"/>
  <c r="I35" i="34"/>
  <c r="AF35" i="34"/>
  <c r="W24" i="34"/>
  <c r="W23" i="34" s="1"/>
  <c r="W32" i="34" s="1"/>
  <c r="W37" i="34" s="1"/>
  <c r="W60" i="34" s="1"/>
  <c r="K61" i="34" s="1"/>
  <c r="K23" i="34"/>
  <c r="J13" i="34"/>
  <c r="AH13" i="34" s="1"/>
  <c r="AG13" i="34"/>
  <c r="AA50" i="35"/>
  <c r="AB50" i="35" s="1"/>
  <c r="AC50" i="35" s="1"/>
  <c r="Z47" i="35"/>
  <c r="P47" i="35"/>
  <c r="G33" i="35"/>
  <c r="AE33" i="35" s="1"/>
  <c r="J31" i="35"/>
  <c r="AH31" i="35" s="1"/>
  <c r="AG31" i="35"/>
  <c r="I17" i="35"/>
  <c r="AF17" i="35"/>
  <c r="AF49" i="36"/>
  <c r="I49" i="36"/>
  <c r="I28" i="36"/>
  <c r="AF28" i="36"/>
  <c r="X60" i="36"/>
  <c r="P299" i="55"/>
  <c r="I22" i="39"/>
  <c r="M41" i="33"/>
  <c r="M52" i="33" s="1"/>
  <c r="N42" i="33"/>
  <c r="AG36" i="33"/>
  <c r="I31" i="33"/>
  <c r="AF31" i="33"/>
  <c r="J27" i="33"/>
  <c r="AH27" i="33" s="1"/>
  <c r="AG27" i="33"/>
  <c r="T23" i="33"/>
  <c r="U24" i="33"/>
  <c r="I19" i="33"/>
  <c r="AF19" i="33"/>
  <c r="H17" i="33"/>
  <c r="AE17" i="33"/>
  <c r="I12" i="33"/>
  <c r="AF12" i="33"/>
  <c r="AC47" i="34"/>
  <c r="I48" i="34"/>
  <c r="AF48" i="34"/>
  <c r="H47" i="34"/>
  <c r="T43" i="34"/>
  <c r="U43" i="34" s="1"/>
  <c r="V43" i="34" s="1"/>
  <c r="S41" i="34"/>
  <c r="S52" i="34" s="1"/>
  <c r="Z41" i="34"/>
  <c r="Z52" i="34" s="1"/>
  <c r="G41" i="34"/>
  <c r="H30" i="34"/>
  <c r="AE30" i="34"/>
  <c r="J24" i="34"/>
  <c r="AA20" i="34"/>
  <c r="AB21" i="34"/>
  <c r="M8" i="34"/>
  <c r="M32" i="34" s="1"/>
  <c r="M37" i="34" s="1"/>
  <c r="M60" i="34" s="1"/>
  <c r="AA41" i="35"/>
  <c r="H23" i="35"/>
  <c r="AF23" i="35" s="1"/>
  <c r="AB21" i="36"/>
  <c r="AA20" i="36"/>
  <c r="J17" i="36"/>
  <c r="AH17" i="36" s="1"/>
  <c r="AG17" i="36"/>
  <c r="I14" i="36"/>
  <c r="AF14" i="36"/>
  <c r="M32" i="36"/>
  <c r="M37" i="36" s="1"/>
  <c r="M60" i="36" s="1"/>
  <c r="J26" i="38"/>
  <c r="AH26" i="38" s="1"/>
  <c r="AG26" i="38"/>
  <c r="T8" i="38"/>
  <c r="U9" i="38"/>
  <c r="V69" i="40"/>
  <c r="O69" i="40"/>
  <c r="U69" i="40" s="1"/>
  <c r="T69" i="40"/>
  <c r="AJ47" i="31"/>
  <c r="H41" i="31"/>
  <c r="H41" i="32"/>
  <c r="AE46" i="33"/>
  <c r="Q52" i="33"/>
  <c r="I30" i="33"/>
  <c r="AF30" i="33"/>
  <c r="P21" i="33"/>
  <c r="I16" i="33"/>
  <c r="AF16" i="33"/>
  <c r="J51" i="34"/>
  <c r="AH51" i="34" s="1"/>
  <c r="AG51" i="34"/>
  <c r="AB47" i="34"/>
  <c r="I46" i="34"/>
  <c r="AF46" i="34"/>
  <c r="AA41" i="34"/>
  <c r="AA52" i="34" s="1"/>
  <c r="AB42" i="34"/>
  <c r="Y41" i="34"/>
  <c r="I34" i="34"/>
  <c r="AF34" i="34"/>
  <c r="I29" i="34"/>
  <c r="AF29" i="34"/>
  <c r="AG24" i="34"/>
  <c r="Z20" i="34"/>
  <c r="T8" i="34"/>
  <c r="U9" i="34"/>
  <c r="I28" i="35"/>
  <c r="AF28" i="35"/>
  <c r="I46" i="37"/>
  <c r="AF46" i="37"/>
  <c r="I25" i="38"/>
  <c r="AF25" i="38"/>
  <c r="I379" i="55"/>
  <c r="E379" i="55"/>
  <c r="N379" i="55"/>
  <c r="F379" i="55"/>
  <c r="G379" i="55"/>
  <c r="H379" i="55"/>
  <c r="J379" i="55"/>
  <c r="K379" i="55"/>
  <c r="L379" i="55"/>
  <c r="M379" i="55"/>
  <c r="C379" i="55"/>
  <c r="D379" i="55"/>
  <c r="Y47" i="34"/>
  <c r="N34" i="34"/>
  <c r="F32" i="34"/>
  <c r="AF24" i="34"/>
  <c r="J14" i="34"/>
  <c r="AH14" i="34" s="1"/>
  <c r="AG14" i="34"/>
  <c r="I11" i="34"/>
  <c r="AF11" i="34"/>
  <c r="P9" i="34"/>
  <c r="H51" i="35"/>
  <c r="AE51" i="35"/>
  <c r="AG49" i="35"/>
  <c r="AA47" i="35"/>
  <c r="AB48" i="35"/>
  <c r="O47" i="35"/>
  <c r="T45" i="35"/>
  <c r="J43" i="35"/>
  <c r="AH43" i="35" s="1"/>
  <c r="AG43" i="35"/>
  <c r="Z41" i="35"/>
  <c r="Z52" i="35" s="1"/>
  <c r="I36" i="35"/>
  <c r="AF36" i="35"/>
  <c r="T33" i="35"/>
  <c r="Q60" i="35"/>
  <c r="H30" i="35"/>
  <c r="AE30" i="35"/>
  <c r="I26" i="35"/>
  <c r="AF26" i="35"/>
  <c r="T24" i="35"/>
  <c r="J22" i="35"/>
  <c r="AH22" i="35" s="1"/>
  <c r="AG22" i="35"/>
  <c r="K32" i="35"/>
  <c r="J9" i="35"/>
  <c r="AG9" i="35"/>
  <c r="I42" i="36"/>
  <c r="R36" i="36"/>
  <c r="H31" i="36"/>
  <c r="AE31" i="36"/>
  <c r="J26" i="36"/>
  <c r="AH26" i="36" s="1"/>
  <c r="AG26" i="36"/>
  <c r="P24" i="36"/>
  <c r="T8" i="36"/>
  <c r="AC48" i="37"/>
  <c r="AC47" i="37" s="1"/>
  <c r="AB47" i="37"/>
  <c r="AH48" i="37"/>
  <c r="AB34" i="37"/>
  <c r="H25" i="37"/>
  <c r="AE25" i="37"/>
  <c r="L60" i="37"/>
  <c r="H49" i="38"/>
  <c r="W60" i="38"/>
  <c r="AF17" i="38"/>
  <c r="I17" i="38"/>
  <c r="AF49" i="66"/>
  <c r="I49" i="66"/>
  <c r="J25" i="66"/>
  <c r="AH25" i="66" s="1"/>
  <c r="X56" i="42"/>
  <c r="T56" i="42"/>
  <c r="N58" i="42"/>
  <c r="N44" i="41"/>
  <c r="O56" i="42"/>
  <c r="N54" i="42"/>
  <c r="S54" i="42"/>
  <c r="AE30" i="33"/>
  <c r="AF27" i="33"/>
  <c r="AF22" i="33"/>
  <c r="AE15" i="33"/>
  <c r="M13" i="33"/>
  <c r="AF9" i="33"/>
  <c r="AF51" i="34"/>
  <c r="AE45" i="34"/>
  <c r="AI43" i="34"/>
  <c r="J43" i="34"/>
  <c r="AH43" i="34" s="1"/>
  <c r="T24" i="34"/>
  <c r="I21" i="34"/>
  <c r="H20" i="34"/>
  <c r="AF20" i="34" s="1"/>
  <c r="N10" i="34"/>
  <c r="F52" i="35"/>
  <c r="Y41" i="35"/>
  <c r="I42" i="35"/>
  <c r="H41" i="35"/>
  <c r="AF42" i="35"/>
  <c r="E60" i="35"/>
  <c r="S20" i="35"/>
  <c r="T21" i="35"/>
  <c r="AG15" i="35"/>
  <c r="I46" i="36"/>
  <c r="AF46" i="36"/>
  <c r="I44" i="36"/>
  <c r="AF44" i="36"/>
  <c r="AA42" i="36"/>
  <c r="Z41" i="36"/>
  <c r="F33" i="36"/>
  <c r="AJ33" i="36" s="1"/>
  <c r="W24" i="36"/>
  <c r="W23" i="36" s="1"/>
  <c r="W32" i="36" s="1"/>
  <c r="W37" i="36" s="1"/>
  <c r="W60" i="36" s="1"/>
  <c r="K23" i="36"/>
  <c r="H22" i="36"/>
  <c r="AE22" i="36"/>
  <c r="G20" i="36"/>
  <c r="AE20" i="36" s="1"/>
  <c r="AF10" i="36"/>
  <c r="N8" i="36"/>
  <c r="O9" i="36"/>
  <c r="L60" i="36"/>
  <c r="I35" i="38"/>
  <c r="AF35" i="38"/>
  <c r="I12" i="38"/>
  <c r="AF12" i="38"/>
  <c r="T72" i="40"/>
  <c r="O72" i="40"/>
  <c r="U72" i="40" s="1"/>
  <c r="V72" i="40"/>
  <c r="L8" i="33"/>
  <c r="AG16" i="34"/>
  <c r="AI16" i="34"/>
  <c r="H15" i="34"/>
  <c r="AE15" i="34"/>
  <c r="Y47" i="35"/>
  <c r="U42" i="35"/>
  <c r="T41" i="35"/>
  <c r="R52" i="35"/>
  <c r="R60" i="35" s="1"/>
  <c r="N34" i="35"/>
  <c r="M33" i="35"/>
  <c r="N23" i="35"/>
  <c r="O24" i="35"/>
  <c r="N21" i="35"/>
  <c r="M20" i="35"/>
  <c r="M32" i="35" s="1"/>
  <c r="M37" i="35" s="1"/>
  <c r="M60" i="35" s="1"/>
  <c r="P352" i="55"/>
  <c r="Q352" i="55" s="1"/>
  <c r="AJ20" i="35"/>
  <c r="G8" i="35"/>
  <c r="AC47" i="36"/>
  <c r="D52" i="36"/>
  <c r="AJ41" i="36"/>
  <c r="U34" i="36"/>
  <c r="I30" i="36"/>
  <c r="AF30" i="36"/>
  <c r="J10" i="36"/>
  <c r="AH10" i="36" s="1"/>
  <c r="AG10" i="36"/>
  <c r="AI10" i="36"/>
  <c r="K32" i="36"/>
  <c r="J27" i="37"/>
  <c r="AH27" i="37" s="1"/>
  <c r="AG27" i="37"/>
  <c r="U24" i="38"/>
  <c r="U128" i="42"/>
  <c r="O75" i="41"/>
  <c r="AE31" i="33"/>
  <c r="Y20" i="33"/>
  <c r="AE16" i="33"/>
  <c r="AE12" i="33"/>
  <c r="N48" i="34"/>
  <c r="AE47" i="34"/>
  <c r="AE46" i="34"/>
  <c r="AE34" i="34"/>
  <c r="AE29" i="34"/>
  <c r="AE25" i="34"/>
  <c r="H25" i="34"/>
  <c r="H23" i="34" s="1"/>
  <c r="AF23" i="34" s="1"/>
  <c r="S20" i="34"/>
  <c r="S32" i="34" s="1"/>
  <c r="S37" i="34" s="1"/>
  <c r="S60" i="34" s="1"/>
  <c r="AF16" i="34"/>
  <c r="AE10" i="34"/>
  <c r="H14" i="35"/>
  <c r="AE14" i="35"/>
  <c r="T42" i="36"/>
  <c r="I29" i="36"/>
  <c r="AF29" i="36"/>
  <c r="I21" i="36"/>
  <c r="AF21" i="36"/>
  <c r="H12" i="36"/>
  <c r="AE12" i="36"/>
  <c r="I50" i="37"/>
  <c r="Z23" i="37"/>
  <c r="AA24" i="37"/>
  <c r="C432" i="55"/>
  <c r="F432" i="55"/>
  <c r="F440" i="55" s="1"/>
  <c r="K432" i="55"/>
  <c r="K440" i="55" s="1"/>
  <c r="Y32" i="37"/>
  <c r="J12" i="37"/>
  <c r="AH12" i="37" s="1"/>
  <c r="AG12" i="37"/>
  <c r="I19" i="38"/>
  <c r="AF19" i="38"/>
  <c r="AF43" i="34"/>
  <c r="AE35" i="34"/>
  <c r="AJ23" i="34"/>
  <c r="AI14" i="34"/>
  <c r="I10" i="34"/>
  <c r="AF10" i="34"/>
  <c r="I50" i="35"/>
  <c r="AF50" i="35"/>
  <c r="AJ47" i="35"/>
  <c r="AE45" i="35"/>
  <c r="I34" i="35"/>
  <c r="I29" i="35"/>
  <c r="AF29" i="35"/>
  <c r="H27" i="35"/>
  <c r="AE27" i="35"/>
  <c r="M23" i="35"/>
  <c r="H21" i="35"/>
  <c r="AE21" i="35"/>
  <c r="AE17" i="35"/>
  <c r="AE11" i="35"/>
  <c r="H54" i="36"/>
  <c r="AE54" i="36"/>
  <c r="AA47" i="36"/>
  <c r="J45" i="36"/>
  <c r="AH45" i="36" s="1"/>
  <c r="AG45" i="36"/>
  <c r="AE41" i="36"/>
  <c r="P411" i="55"/>
  <c r="AJ36" i="36"/>
  <c r="N25" i="36"/>
  <c r="O25" i="36" s="1"/>
  <c r="P25" i="36" s="1"/>
  <c r="I18" i="36"/>
  <c r="AF18" i="36"/>
  <c r="AA42" i="37"/>
  <c r="Z41" i="37"/>
  <c r="U24" i="37"/>
  <c r="T23" i="37"/>
  <c r="X60" i="37"/>
  <c r="J11" i="37"/>
  <c r="AH11" i="37" s="1"/>
  <c r="AG11" i="37"/>
  <c r="AG51" i="38"/>
  <c r="J51" i="38"/>
  <c r="AH51" i="38" s="1"/>
  <c r="T48" i="38"/>
  <c r="Z33" i="38"/>
  <c r="AA34" i="38"/>
  <c r="T25" i="38"/>
  <c r="U25" i="38" s="1"/>
  <c r="V25" i="38" s="1"/>
  <c r="S23" i="38"/>
  <c r="I35" i="66"/>
  <c r="AF35" i="66"/>
  <c r="E60" i="66"/>
  <c r="E57" i="66"/>
  <c r="R54" i="40"/>
  <c r="M54" i="40"/>
  <c r="AE41" i="35"/>
  <c r="Y33" i="35"/>
  <c r="Z34" i="35"/>
  <c r="F37" i="35"/>
  <c r="Z23" i="35"/>
  <c r="AA24" i="35"/>
  <c r="I19" i="35"/>
  <c r="AF19" i="35"/>
  <c r="D32" i="35"/>
  <c r="J51" i="36"/>
  <c r="AH51" i="36" s="1"/>
  <c r="AG51" i="36"/>
  <c r="H35" i="36"/>
  <c r="AE35" i="36"/>
  <c r="Z24" i="36"/>
  <c r="Y23" i="36"/>
  <c r="Z20" i="36"/>
  <c r="I19" i="36"/>
  <c r="AF19" i="36"/>
  <c r="T42" i="37"/>
  <c r="S41" i="37"/>
  <c r="S52" i="37" s="1"/>
  <c r="AH34" i="37"/>
  <c r="H22" i="37"/>
  <c r="AE22" i="37"/>
  <c r="G20" i="37"/>
  <c r="AE20" i="37" s="1"/>
  <c r="I19" i="37"/>
  <c r="AF19" i="37"/>
  <c r="Q65" i="40"/>
  <c r="T65" i="40"/>
  <c r="V65" i="40"/>
  <c r="O65" i="40"/>
  <c r="AE13" i="34"/>
  <c r="AE49" i="35"/>
  <c r="S48" i="35"/>
  <c r="G48" i="35"/>
  <c r="H18" i="35"/>
  <c r="AI13" i="35"/>
  <c r="AE12" i="35"/>
  <c r="H351" i="55"/>
  <c r="H356" i="55" s="1"/>
  <c r="I351" i="55"/>
  <c r="I356" i="55" s="1"/>
  <c r="J351" i="55"/>
  <c r="J356" i="55" s="1"/>
  <c r="E351" i="55"/>
  <c r="E356" i="55" s="1"/>
  <c r="M351" i="55"/>
  <c r="M356" i="55" s="1"/>
  <c r="K351" i="55"/>
  <c r="K356" i="55" s="1"/>
  <c r="L351" i="55"/>
  <c r="L356" i="55" s="1"/>
  <c r="N351" i="55"/>
  <c r="N356" i="55" s="1"/>
  <c r="C351" i="55"/>
  <c r="D351" i="55"/>
  <c r="D356" i="55" s="1"/>
  <c r="F351" i="55"/>
  <c r="F356" i="55" s="1"/>
  <c r="G351" i="55"/>
  <c r="G356" i="55" s="1"/>
  <c r="AE50" i="36"/>
  <c r="R48" i="36"/>
  <c r="G48" i="36"/>
  <c r="Z47" i="36"/>
  <c r="AE42" i="36"/>
  <c r="N34" i="36"/>
  <c r="D32" i="36"/>
  <c r="D37" i="36" s="1"/>
  <c r="AF24" i="36"/>
  <c r="AG13" i="36"/>
  <c r="U9" i="36"/>
  <c r="G8" i="36"/>
  <c r="E60" i="37"/>
  <c r="N47" i="37"/>
  <c r="M33" i="37"/>
  <c r="H26" i="37"/>
  <c r="AE26" i="37"/>
  <c r="N21" i="37"/>
  <c r="I17" i="37"/>
  <c r="AF17" i="37"/>
  <c r="AA42" i="38"/>
  <c r="E52" i="38"/>
  <c r="N34" i="38"/>
  <c r="I29" i="38"/>
  <c r="AF29" i="38"/>
  <c r="X32" i="38"/>
  <c r="X37" i="38" s="1"/>
  <c r="X60" i="38" s="1"/>
  <c r="M20" i="38"/>
  <c r="M8" i="38"/>
  <c r="M32" i="38" s="1"/>
  <c r="M37" i="38" s="1"/>
  <c r="N10" i="38"/>
  <c r="O10" i="38" s="1"/>
  <c r="P10" i="38" s="1"/>
  <c r="S8" i="38"/>
  <c r="S32" i="38" s="1"/>
  <c r="S37" i="38" s="1"/>
  <c r="AJ41" i="66"/>
  <c r="D52" i="66"/>
  <c r="D60" i="66" s="1"/>
  <c r="AG31" i="66"/>
  <c r="J31" i="66"/>
  <c r="AH31" i="66" s="1"/>
  <c r="H29" i="66"/>
  <c r="AE29" i="66"/>
  <c r="H26" i="66"/>
  <c r="AE26" i="66"/>
  <c r="N66" i="40"/>
  <c r="N73" i="40" s="1"/>
  <c r="S66" i="40"/>
  <c r="L46" i="40"/>
  <c r="M44" i="40"/>
  <c r="Q9" i="40"/>
  <c r="F323" i="55"/>
  <c r="F328" i="55" s="1"/>
  <c r="N323" i="55"/>
  <c r="N328" i="55" s="1"/>
  <c r="G323" i="55"/>
  <c r="G328" i="55" s="1"/>
  <c r="H323" i="55"/>
  <c r="I323" i="55"/>
  <c r="J323" i="55"/>
  <c r="J328" i="55" s="1"/>
  <c r="D323" i="55"/>
  <c r="L323" i="55"/>
  <c r="M323" i="55"/>
  <c r="M328" i="55" s="1"/>
  <c r="C323" i="55"/>
  <c r="E323" i="55"/>
  <c r="E328" i="55" s="1"/>
  <c r="K323" i="55"/>
  <c r="K328" i="55" s="1"/>
  <c r="AF9" i="35"/>
  <c r="U9" i="35"/>
  <c r="AF51" i="36"/>
  <c r="D419" i="55"/>
  <c r="L419" i="55"/>
  <c r="E419" i="55"/>
  <c r="M419" i="55"/>
  <c r="F419" i="55"/>
  <c r="N419" i="55"/>
  <c r="G419" i="55"/>
  <c r="H419" i="55"/>
  <c r="I419" i="55"/>
  <c r="C419" i="55"/>
  <c r="O419" i="55" s="1"/>
  <c r="Q419" i="55" s="1"/>
  <c r="J419" i="55"/>
  <c r="K419" i="55"/>
  <c r="Y47" i="36"/>
  <c r="AF45" i="36"/>
  <c r="H43" i="36"/>
  <c r="H41" i="36" s="1"/>
  <c r="Y41" i="36"/>
  <c r="Y52" i="36" s="1"/>
  <c r="Z35" i="36"/>
  <c r="AA35" i="36" s="1"/>
  <c r="AB35" i="36" s="1"/>
  <c r="AC35" i="36" s="1"/>
  <c r="AE29" i="36"/>
  <c r="AF26" i="36"/>
  <c r="T24" i="36"/>
  <c r="I24" i="36"/>
  <c r="N22" i="36"/>
  <c r="O22" i="36" s="1"/>
  <c r="P22" i="36" s="1"/>
  <c r="AF17" i="36"/>
  <c r="AF13" i="36"/>
  <c r="I30" i="37"/>
  <c r="AF30" i="37"/>
  <c r="I28" i="37"/>
  <c r="N24" i="37"/>
  <c r="AE19" i="37"/>
  <c r="H14" i="37"/>
  <c r="H8" i="37" s="1"/>
  <c r="AE14" i="37"/>
  <c r="S8" i="37"/>
  <c r="S32" i="37" s="1"/>
  <c r="S37" i="37" s="1"/>
  <c r="S60" i="37" s="1"/>
  <c r="J44" i="38"/>
  <c r="AH44" i="38" s="1"/>
  <c r="H42" i="38"/>
  <c r="AE42" i="38"/>
  <c r="G41" i="38"/>
  <c r="AE25" i="38"/>
  <c r="AA21" i="38"/>
  <c r="Z20" i="38"/>
  <c r="AG10" i="38"/>
  <c r="J10" i="38"/>
  <c r="AH10" i="38" s="1"/>
  <c r="R60" i="38"/>
  <c r="U20" i="66"/>
  <c r="I43" i="40"/>
  <c r="AA47" i="37"/>
  <c r="I45" i="37"/>
  <c r="AF45" i="37"/>
  <c r="H36" i="37"/>
  <c r="AE36" i="37"/>
  <c r="Z35" i="37"/>
  <c r="AA35" i="37" s="1"/>
  <c r="AB35" i="37" s="1"/>
  <c r="AC35" i="37" s="1"/>
  <c r="Y33" i="37"/>
  <c r="Z33" i="37"/>
  <c r="AI34" i="37"/>
  <c r="AB21" i="37"/>
  <c r="AA20" i="37"/>
  <c r="I21" i="37"/>
  <c r="AF21" i="37"/>
  <c r="H20" i="37"/>
  <c r="AF20" i="37" s="1"/>
  <c r="I15" i="37"/>
  <c r="AF15" i="37"/>
  <c r="P435" i="55"/>
  <c r="Q435" i="55" s="1"/>
  <c r="AJ8" i="37"/>
  <c r="Y47" i="38"/>
  <c r="L41" i="38"/>
  <c r="M46" i="38"/>
  <c r="N46" i="38" s="1"/>
  <c r="O46" i="38" s="1"/>
  <c r="P46" i="38" s="1"/>
  <c r="H45" i="38"/>
  <c r="AE45" i="38"/>
  <c r="J34" i="38"/>
  <c r="AG34" i="38"/>
  <c r="I13" i="38"/>
  <c r="AF13" i="38"/>
  <c r="AI50" i="66"/>
  <c r="AG50" i="66"/>
  <c r="J45" i="66"/>
  <c r="AH45" i="66" s="1"/>
  <c r="AG45" i="66"/>
  <c r="V42" i="66"/>
  <c r="V41" i="66" s="1"/>
  <c r="U41" i="66"/>
  <c r="I30" i="66"/>
  <c r="AF30" i="66"/>
  <c r="Q75" i="40"/>
  <c r="T75" i="40"/>
  <c r="O75" i="40"/>
  <c r="U75" i="40" s="1"/>
  <c r="T71" i="40"/>
  <c r="O71" i="40"/>
  <c r="U71" i="40" s="1"/>
  <c r="Q71" i="40"/>
  <c r="T21" i="34"/>
  <c r="AF13" i="35"/>
  <c r="N48" i="36"/>
  <c r="F47" i="36"/>
  <c r="T21" i="36"/>
  <c r="F407" i="55"/>
  <c r="N407" i="55"/>
  <c r="G407" i="55"/>
  <c r="H407" i="55"/>
  <c r="I407" i="55"/>
  <c r="J407" i="55"/>
  <c r="C407" i="55"/>
  <c r="K407" i="55"/>
  <c r="E407" i="55"/>
  <c r="L407" i="55"/>
  <c r="M407" i="55"/>
  <c r="D407" i="55"/>
  <c r="Z47" i="37"/>
  <c r="H43" i="37"/>
  <c r="AE43" i="37"/>
  <c r="H33" i="37"/>
  <c r="Z20" i="37"/>
  <c r="Z32" i="37" s="1"/>
  <c r="Z37" i="37" s="1"/>
  <c r="T20" i="37"/>
  <c r="I46" i="38"/>
  <c r="AF46" i="38"/>
  <c r="H43" i="38"/>
  <c r="AE43" i="38"/>
  <c r="AF31" i="38"/>
  <c r="J22" i="38"/>
  <c r="AH22" i="38" s="1"/>
  <c r="AG22" i="38"/>
  <c r="O9" i="38"/>
  <c r="N8" i="38"/>
  <c r="L32" i="38"/>
  <c r="L37" i="38" s="1"/>
  <c r="Z47" i="66"/>
  <c r="AA33" i="66"/>
  <c r="AB34" i="66"/>
  <c r="AF20" i="66"/>
  <c r="H19" i="66"/>
  <c r="AE19" i="66"/>
  <c r="N48" i="40"/>
  <c r="S48" i="40"/>
  <c r="S16" i="35"/>
  <c r="T16" i="35" s="1"/>
  <c r="U16" i="35" s="1"/>
  <c r="V16" i="35" s="1"/>
  <c r="AE10" i="35"/>
  <c r="AJ8" i="35"/>
  <c r="N42" i="36"/>
  <c r="AE34" i="36"/>
  <c r="AE27" i="36"/>
  <c r="AE14" i="36"/>
  <c r="H49" i="37"/>
  <c r="AG48" i="37"/>
  <c r="AI48" i="37"/>
  <c r="G47" i="37"/>
  <c r="AJ44" i="37"/>
  <c r="D52" i="37"/>
  <c r="D60" i="37" s="1"/>
  <c r="Y41" i="37"/>
  <c r="Y52" i="37" s="1"/>
  <c r="U34" i="37"/>
  <c r="G33" i="37"/>
  <c r="AE33" i="37" s="1"/>
  <c r="F32" i="37"/>
  <c r="P436" i="55"/>
  <c r="Q436" i="55" s="1"/>
  <c r="AJ20" i="37"/>
  <c r="AF18" i="37"/>
  <c r="AI44" i="38"/>
  <c r="S41" i="38"/>
  <c r="S52" i="38" s="1"/>
  <c r="I36" i="38"/>
  <c r="AF36" i="38"/>
  <c r="H24" i="38"/>
  <c r="AE24" i="38"/>
  <c r="G23" i="38"/>
  <c r="AE23" i="38" s="1"/>
  <c r="E57" i="38"/>
  <c r="E60" i="38"/>
  <c r="Z24" i="66"/>
  <c r="Y23" i="66"/>
  <c r="AE20" i="66"/>
  <c r="I17" i="66"/>
  <c r="I16" i="66"/>
  <c r="AF16" i="66"/>
  <c r="H12" i="66"/>
  <c r="AE12" i="66"/>
  <c r="R32" i="66"/>
  <c r="R37" i="66" s="1"/>
  <c r="R60" i="66" s="1"/>
  <c r="O12" i="40"/>
  <c r="Q12" i="40"/>
  <c r="S117" i="42"/>
  <c r="N117" i="42"/>
  <c r="M69" i="41"/>
  <c r="X103" i="42"/>
  <c r="O103" i="42"/>
  <c r="Q103" i="42"/>
  <c r="T103" i="42"/>
  <c r="X100" i="42"/>
  <c r="T100" i="42"/>
  <c r="N102" i="42"/>
  <c r="O100" i="42"/>
  <c r="N57" i="41"/>
  <c r="R34" i="42"/>
  <c r="M34" i="42"/>
  <c r="L32" i="41"/>
  <c r="P444" i="55"/>
  <c r="F41" i="37"/>
  <c r="G44" i="37"/>
  <c r="G41" i="37" s="1"/>
  <c r="H31" i="37"/>
  <c r="AE31" i="37"/>
  <c r="G23" i="37"/>
  <c r="AE23" i="37" s="1"/>
  <c r="U20" i="37"/>
  <c r="V21" i="37"/>
  <c r="V20" i="37" s="1"/>
  <c r="I13" i="37"/>
  <c r="AF13" i="37"/>
  <c r="J9" i="37"/>
  <c r="AG9" i="37"/>
  <c r="AI9" i="37"/>
  <c r="Z47" i="38"/>
  <c r="Z52" i="38" s="1"/>
  <c r="AA48" i="38"/>
  <c r="Y52" i="38"/>
  <c r="I33" i="38"/>
  <c r="N20" i="38"/>
  <c r="O21" i="38"/>
  <c r="AF18" i="38"/>
  <c r="AG18" i="38"/>
  <c r="H9" i="38"/>
  <c r="G8" i="38"/>
  <c r="T48" i="66"/>
  <c r="S47" i="66"/>
  <c r="S52" i="66" s="1"/>
  <c r="I44" i="66"/>
  <c r="AF44" i="66"/>
  <c r="S33" i="66"/>
  <c r="T34" i="66"/>
  <c r="J11" i="66"/>
  <c r="AH11" i="66" s="1"/>
  <c r="AG11" i="66"/>
  <c r="S32" i="66"/>
  <c r="S37" i="66" s="1"/>
  <c r="O70" i="40"/>
  <c r="U70" i="40" s="1"/>
  <c r="T70" i="40"/>
  <c r="H42" i="37"/>
  <c r="K23" i="37"/>
  <c r="M14" i="37"/>
  <c r="N14" i="37" s="1"/>
  <c r="O14" i="37" s="1"/>
  <c r="P14" i="37" s="1"/>
  <c r="G48" i="38"/>
  <c r="G33" i="38"/>
  <c r="AE33" i="38" s="1"/>
  <c r="AG28" i="38"/>
  <c r="AF27" i="38"/>
  <c r="Z24" i="38"/>
  <c r="N24" i="38"/>
  <c r="T21" i="38"/>
  <c r="H21" i="38"/>
  <c r="AI15" i="38"/>
  <c r="AE51" i="66"/>
  <c r="H46" i="66"/>
  <c r="AE46" i="66"/>
  <c r="Z33" i="66"/>
  <c r="AJ29" i="66"/>
  <c r="U23" i="66"/>
  <c r="V24" i="66"/>
  <c r="V23" i="66" s="1"/>
  <c r="AF11" i="66"/>
  <c r="AF10" i="66"/>
  <c r="I9" i="66"/>
  <c r="H8" i="66"/>
  <c r="S74" i="40"/>
  <c r="N74" i="40"/>
  <c r="K73" i="40"/>
  <c r="S71" i="40"/>
  <c r="S70" i="40"/>
  <c r="R67" i="40"/>
  <c r="M7" i="40"/>
  <c r="R7" i="40"/>
  <c r="L13" i="40"/>
  <c r="K20" i="41"/>
  <c r="R20" i="41" s="1"/>
  <c r="S103" i="42"/>
  <c r="AF34" i="38"/>
  <c r="U34" i="38"/>
  <c r="F32" i="38"/>
  <c r="AF22" i="38"/>
  <c r="H11" i="38"/>
  <c r="AA48" i="66"/>
  <c r="O42" i="66"/>
  <c r="N41" i="66"/>
  <c r="M41" i="66"/>
  <c r="Y33" i="66"/>
  <c r="Y27" i="66"/>
  <c r="Z27" i="66" s="1"/>
  <c r="AA27" i="66" s="1"/>
  <c r="AB27" i="66" s="1"/>
  <c r="AC27" i="66" s="1"/>
  <c r="J27" i="66"/>
  <c r="AH27" i="66" s="1"/>
  <c r="AG27" i="66"/>
  <c r="N20" i="66"/>
  <c r="G8" i="66"/>
  <c r="R71" i="40"/>
  <c r="O67" i="40"/>
  <c r="U67" i="40" s="1"/>
  <c r="L53" i="40"/>
  <c r="K61" i="40"/>
  <c r="K62" i="40" s="1"/>
  <c r="M49" i="40"/>
  <c r="S62" i="41"/>
  <c r="R16" i="41"/>
  <c r="M127" i="42"/>
  <c r="J112" i="42"/>
  <c r="J62" i="41"/>
  <c r="J64" i="41" s="1"/>
  <c r="L47" i="66"/>
  <c r="L41" i="66"/>
  <c r="AG36" i="66"/>
  <c r="AI36" i="66"/>
  <c r="M33" i="66"/>
  <c r="H28" i="66"/>
  <c r="AE28" i="66"/>
  <c r="O20" i="66"/>
  <c r="M20" i="66"/>
  <c r="J15" i="66"/>
  <c r="AH15" i="66" s="1"/>
  <c r="AG15" i="66"/>
  <c r="L8" i="66"/>
  <c r="R77" i="40"/>
  <c r="I73" i="40"/>
  <c r="L64" i="41"/>
  <c r="R62" i="41"/>
  <c r="X49" i="42"/>
  <c r="Q49" i="42"/>
  <c r="T49" i="42"/>
  <c r="O49" i="42"/>
  <c r="U49" i="42" s="1"/>
  <c r="N26" i="42"/>
  <c r="S26" i="42"/>
  <c r="M26" i="41"/>
  <c r="X16" i="42"/>
  <c r="T16" i="42"/>
  <c r="O16" i="42"/>
  <c r="N16" i="41"/>
  <c r="R52" i="43"/>
  <c r="M52" i="43"/>
  <c r="H9" i="36"/>
  <c r="T48" i="37"/>
  <c r="N34" i="37"/>
  <c r="H24" i="37"/>
  <c r="AE18" i="37"/>
  <c r="T9" i="37"/>
  <c r="L48" i="38"/>
  <c r="T42" i="38"/>
  <c r="AE36" i="38"/>
  <c r="Y20" i="38"/>
  <c r="Y32" i="38" s="1"/>
  <c r="Y37" i="38" s="1"/>
  <c r="Y60" i="38" s="1"/>
  <c r="AF15" i="38"/>
  <c r="M23" i="66"/>
  <c r="N24" i="66"/>
  <c r="AE16" i="66"/>
  <c r="W32" i="66"/>
  <c r="W37" i="66" s="1"/>
  <c r="W60" i="66" s="1"/>
  <c r="M60" i="40"/>
  <c r="P13" i="40"/>
  <c r="X8" i="40"/>
  <c r="I71" i="41"/>
  <c r="Z60" i="43"/>
  <c r="Q60" i="43"/>
  <c r="F47" i="38"/>
  <c r="AE29" i="38"/>
  <c r="AE12" i="38"/>
  <c r="G463" i="55"/>
  <c r="G468" i="55" s="1"/>
  <c r="H463" i="55"/>
  <c r="I463" i="55"/>
  <c r="I468" i="55" s="1"/>
  <c r="J463" i="55"/>
  <c r="J468" i="55" s="1"/>
  <c r="C463" i="55"/>
  <c r="K463" i="55"/>
  <c r="K468" i="55" s="1"/>
  <c r="D463" i="55"/>
  <c r="D468" i="55" s="1"/>
  <c r="L463" i="55"/>
  <c r="L468" i="55" s="1"/>
  <c r="E463" i="55"/>
  <c r="E468" i="55" s="1"/>
  <c r="F463" i="55"/>
  <c r="F468" i="55" s="1"/>
  <c r="N463" i="55"/>
  <c r="N468" i="55" s="1"/>
  <c r="M463" i="55"/>
  <c r="M468" i="55" s="1"/>
  <c r="AJ52" i="66"/>
  <c r="H48" i="66"/>
  <c r="Z42" i="66"/>
  <c r="Y41" i="66"/>
  <c r="Y52" i="66" s="1"/>
  <c r="G41" i="66"/>
  <c r="H34" i="66"/>
  <c r="AE34" i="66"/>
  <c r="G33" i="66"/>
  <c r="AE33" i="66" s="1"/>
  <c r="AE24" i="66"/>
  <c r="H24" i="66"/>
  <c r="I22" i="66"/>
  <c r="AF22" i="66"/>
  <c r="Z21" i="66"/>
  <c r="Y20" i="66"/>
  <c r="Y32" i="66" s="1"/>
  <c r="Y37" i="66" s="1"/>
  <c r="Y60" i="66" s="1"/>
  <c r="T9" i="66"/>
  <c r="P491" i="55"/>
  <c r="F32" i="66"/>
  <c r="M76" i="40"/>
  <c r="N68" i="40"/>
  <c r="L50" i="40"/>
  <c r="R47" i="40"/>
  <c r="M47" i="40"/>
  <c r="I62" i="40"/>
  <c r="R38" i="40"/>
  <c r="L42" i="40"/>
  <c r="R42" i="40" s="1"/>
  <c r="M38" i="40"/>
  <c r="S34" i="40"/>
  <c r="T34" i="40"/>
  <c r="S8" i="40"/>
  <c r="N8" i="40"/>
  <c r="J24" i="41"/>
  <c r="R122" i="42"/>
  <c r="M122" i="42"/>
  <c r="M63" i="42"/>
  <c r="R63" i="42"/>
  <c r="I43" i="66"/>
  <c r="AF43" i="66"/>
  <c r="P493" i="55"/>
  <c r="Q493" i="55" s="1"/>
  <c r="L29" i="66"/>
  <c r="S77" i="40"/>
  <c r="N77" i="40"/>
  <c r="O10" i="40"/>
  <c r="Q10" i="40"/>
  <c r="R117" i="42"/>
  <c r="L69" i="41"/>
  <c r="AE42" i="66"/>
  <c r="H42" i="66"/>
  <c r="N34" i="66"/>
  <c r="O11" i="40"/>
  <c r="Q11" i="40"/>
  <c r="P68" i="41"/>
  <c r="R36" i="41"/>
  <c r="L39" i="41"/>
  <c r="I24" i="41"/>
  <c r="M121" i="42"/>
  <c r="R121" i="42"/>
  <c r="M115" i="42"/>
  <c r="R115" i="42"/>
  <c r="L67" i="41"/>
  <c r="R67" i="41" s="1"/>
  <c r="L105" i="42"/>
  <c r="K108" i="42"/>
  <c r="R103" i="42"/>
  <c r="L92" i="42"/>
  <c r="V92" i="42"/>
  <c r="W92" i="42" s="1"/>
  <c r="M85" i="42"/>
  <c r="R85" i="42"/>
  <c r="S16" i="42"/>
  <c r="M16" i="41"/>
  <c r="S16" i="41" s="1"/>
  <c r="R80" i="43"/>
  <c r="M80" i="43"/>
  <c r="U93" i="12"/>
  <c r="R37" i="41"/>
  <c r="X130" i="42"/>
  <c r="T130" i="42"/>
  <c r="V121" i="42"/>
  <c r="W121" i="42" s="1"/>
  <c r="K126" i="42"/>
  <c r="I108" i="42"/>
  <c r="I60" i="41" s="1"/>
  <c r="I61" i="41" s="1"/>
  <c r="X101" i="42"/>
  <c r="Q101" i="42"/>
  <c r="O101" i="42"/>
  <c r="J51" i="41"/>
  <c r="J55" i="41" s="1"/>
  <c r="J98" i="42"/>
  <c r="R29" i="42"/>
  <c r="M29" i="42"/>
  <c r="M21" i="44"/>
  <c r="R21" i="44"/>
  <c r="R97" i="45"/>
  <c r="M97" i="45"/>
  <c r="N92" i="45"/>
  <c r="S92" i="45"/>
  <c r="I50" i="41"/>
  <c r="N131" i="42"/>
  <c r="S131" i="42"/>
  <c r="M76" i="41"/>
  <c r="S76" i="41" s="1"/>
  <c r="X128" i="42"/>
  <c r="T128" i="42"/>
  <c r="N75" i="41"/>
  <c r="I126" i="42"/>
  <c r="M118" i="42"/>
  <c r="M119" i="42" s="1"/>
  <c r="S119" i="42" s="1"/>
  <c r="R118" i="42"/>
  <c r="M114" i="42"/>
  <c r="R114" i="42"/>
  <c r="L66" i="41"/>
  <c r="R66" i="41" s="1"/>
  <c r="S104" i="42"/>
  <c r="N104" i="42"/>
  <c r="L84" i="42"/>
  <c r="V84" i="42"/>
  <c r="W84" i="42" s="1"/>
  <c r="K97" i="42"/>
  <c r="L60" i="42"/>
  <c r="V60" i="42"/>
  <c r="W60" i="42" s="1"/>
  <c r="X57" i="42"/>
  <c r="O57" i="42"/>
  <c r="T57" i="42"/>
  <c r="R41" i="42"/>
  <c r="R13" i="42"/>
  <c r="L24" i="42"/>
  <c r="M55" i="43"/>
  <c r="R55" i="43"/>
  <c r="S44" i="43"/>
  <c r="N44" i="43"/>
  <c r="L7" i="43"/>
  <c r="V7" i="43"/>
  <c r="W7" i="43" s="1"/>
  <c r="K16" i="43"/>
  <c r="M7" i="44"/>
  <c r="R7" i="44"/>
  <c r="M48" i="66"/>
  <c r="Q34" i="40"/>
  <c r="L15" i="40"/>
  <c r="K43" i="40"/>
  <c r="K63" i="40" s="1"/>
  <c r="L68" i="41"/>
  <c r="K13" i="41"/>
  <c r="R120" i="42"/>
  <c r="M120" i="42"/>
  <c r="L116" i="42"/>
  <c r="M111" i="42"/>
  <c r="R111" i="42"/>
  <c r="X88" i="42"/>
  <c r="O88" i="42"/>
  <c r="U88" i="42" s="1"/>
  <c r="T88" i="42"/>
  <c r="I97" i="42"/>
  <c r="I54" i="41" s="1"/>
  <c r="N67" i="42"/>
  <c r="L32" i="42"/>
  <c r="V32" i="42"/>
  <c r="W32" i="42" s="1"/>
  <c r="K135" i="42"/>
  <c r="K33" i="42"/>
  <c r="M123" i="46"/>
  <c r="R123" i="46"/>
  <c r="M45" i="40"/>
  <c r="R45" i="40"/>
  <c r="L27" i="40"/>
  <c r="R27" i="40" s="1"/>
  <c r="M23" i="40"/>
  <c r="R23" i="40"/>
  <c r="J68" i="41"/>
  <c r="K52" i="41"/>
  <c r="R52" i="41" s="1"/>
  <c r="I51" i="41"/>
  <c r="I55" i="41" s="1"/>
  <c r="R46" i="41"/>
  <c r="R9" i="41"/>
  <c r="K116" i="42"/>
  <c r="M113" i="42"/>
  <c r="R113" i="42"/>
  <c r="I109" i="42"/>
  <c r="L59" i="42"/>
  <c r="K70" i="42"/>
  <c r="V59" i="42"/>
  <c r="W59" i="42" s="1"/>
  <c r="M53" i="42"/>
  <c r="R53" i="42"/>
  <c r="N47" i="42"/>
  <c r="S47" i="42"/>
  <c r="R26" i="42"/>
  <c r="L26" i="41"/>
  <c r="N21" i="42"/>
  <c r="S21" i="42"/>
  <c r="M21" i="41"/>
  <c r="R75" i="41"/>
  <c r="J77" i="41"/>
  <c r="K59" i="41"/>
  <c r="R59" i="41" s="1"/>
  <c r="X129" i="42"/>
  <c r="T129" i="42"/>
  <c r="U129" i="42"/>
  <c r="I116" i="42"/>
  <c r="I65" i="41"/>
  <c r="I68" i="41" s="1"/>
  <c r="N110" i="42"/>
  <c r="M112" i="42"/>
  <c r="S110" i="42"/>
  <c r="R82" i="42"/>
  <c r="M82" i="42"/>
  <c r="N68" i="42"/>
  <c r="S68" i="42"/>
  <c r="N64" i="42"/>
  <c r="S64" i="42"/>
  <c r="J41" i="42"/>
  <c r="J36" i="41"/>
  <c r="J39" i="41" s="1"/>
  <c r="J56" i="41" s="1"/>
  <c r="K65" i="41"/>
  <c r="K68" i="41" s="1"/>
  <c r="M58" i="41"/>
  <c r="Q57" i="41"/>
  <c r="M45" i="41"/>
  <c r="L27" i="41"/>
  <c r="R27" i="41" s="1"/>
  <c r="R125" i="42"/>
  <c r="J119" i="42"/>
  <c r="R104" i="42"/>
  <c r="S88" i="42"/>
  <c r="Q76" i="42"/>
  <c r="M61" i="42"/>
  <c r="S57" i="42"/>
  <c r="S56" i="42"/>
  <c r="M58" i="42"/>
  <c r="R52" i="42"/>
  <c r="V76" i="43"/>
  <c r="W76" i="43" s="1"/>
  <c r="L76" i="43"/>
  <c r="N65" i="43"/>
  <c r="S65" i="43"/>
  <c r="R62" i="43"/>
  <c r="M62" i="43"/>
  <c r="M59" i="43"/>
  <c r="P63" i="43"/>
  <c r="S28" i="43"/>
  <c r="N28" i="43"/>
  <c r="M138" i="46"/>
  <c r="R138" i="46"/>
  <c r="N53" i="41"/>
  <c r="L49" i="41"/>
  <c r="R49" i="41" s="1"/>
  <c r="O125" i="42"/>
  <c r="U125" i="42" s="1"/>
  <c r="M86" i="42"/>
  <c r="J78" i="42"/>
  <c r="O76" i="42"/>
  <c r="M75" i="42"/>
  <c r="R75" i="42"/>
  <c r="S74" i="42"/>
  <c r="N74" i="42"/>
  <c r="L72" i="42"/>
  <c r="L71" i="42"/>
  <c r="V71" i="42"/>
  <c r="W71" i="42" s="1"/>
  <c r="M69" i="42"/>
  <c r="N51" i="42"/>
  <c r="N46" i="42"/>
  <c r="S45" i="42"/>
  <c r="N39" i="42"/>
  <c r="S39" i="42"/>
  <c r="M27" i="42"/>
  <c r="R19" i="42"/>
  <c r="M19" i="42"/>
  <c r="R11" i="42"/>
  <c r="M11" i="42"/>
  <c r="S83" i="43"/>
  <c r="N83" i="43"/>
  <c r="S70" i="43"/>
  <c r="N70" i="43"/>
  <c r="M72" i="43"/>
  <c r="W54" i="43"/>
  <c r="R50" i="43"/>
  <c r="I37" i="43"/>
  <c r="I67" i="43" s="1"/>
  <c r="N22" i="43"/>
  <c r="X124" i="42"/>
  <c r="Q124" i="42"/>
  <c r="M102" i="42"/>
  <c r="N90" i="42"/>
  <c r="S90" i="42"/>
  <c r="X89" i="42"/>
  <c r="T89" i="42"/>
  <c r="O89" i="42"/>
  <c r="U89" i="42" s="1"/>
  <c r="X80" i="42"/>
  <c r="O80" i="42"/>
  <c r="U80" i="42" s="1"/>
  <c r="Q80" i="42"/>
  <c r="T80" i="42"/>
  <c r="X62" i="42"/>
  <c r="O62" i="42"/>
  <c r="U62" i="42" s="1"/>
  <c r="Q62" i="42"/>
  <c r="T62" i="42"/>
  <c r="AA135" i="42"/>
  <c r="X52" i="42"/>
  <c r="T52" i="42"/>
  <c r="R47" i="42"/>
  <c r="N31" i="42"/>
  <c r="S31" i="42"/>
  <c r="N50" i="43"/>
  <c r="S50" i="43"/>
  <c r="N38" i="43"/>
  <c r="S38" i="43"/>
  <c r="U7" i="46"/>
  <c r="R44" i="47"/>
  <c r="M44" i="47"/>
  <c r="R110" i="42"/>
  <c r="L102" i="42"/>
  <c r="M94" i="42"/>
  <c r="R94" i="42"/>
  <c r="N93" i="42"/>
  <c r="S93" i="42"/>
  <c r="L87" i="42"/>
  <c r="V87" i="42"/>
  <c r="W87" i="42" s="1"/>
  <c r="L81" i="42"/>
  <c r="M79" i="42"/>
  <c r="K73" i="42"/>
  <c r="R65" i="42"/>
  <c r="M65" i="42"/>
  <c r="AA55" i="42"/>
  <c r="L50" i="42"/>
  <c r="L55" i="42" s="1"/>
  <c r="V50" i="42"/>
  <c r="W50" i="42" s="1"/>
  <c r="V64" i="43"/>
  <c r="W64" i="43" s="1"/>
  <c r="L64" i="43"/>
  <c r="S30" i="43"/>
  <c r="N30" i="43"/>
  <c r="N18" i="43"/>
  <c r="S18" i="43"/>
  <c r="I87" i="43"/>
  <c r="L112" i="46"/>
  <c r="V112" i="46"/>
  <c r="W112" i="46" s="1"/>
  <c r="Q112" i="46"/>
  <c r="K117" i="46"/>
  <c r="AA106" i="46"/>
  <c r="O106" i="46"/>
  <c r="T106" i="46"/>
  <c r="M57" i="41"/>
  <c r="L123" i="42"/>
  <c r="X106" i="42"/>
  <c r="X95" i="42"/>
  <c r="T95" i="42"/>
  <c r="R91" i="42"/>
  <c r="M91" i="42"/>
  <c r="X77" i="42"/>
  <c r="O77" i="42"/>
  <c r="N66" i="42"/>
  <c r="O48" i="42"/>
  <c r="AA99" i="42"/>
  <c r="N8" i="42"/>
  <c r="V69" i="43"/>
  <c r="W69" i="43" s="1"/>
  <c r="L66" i="43"/>
  <c r="V66" i="43"/>
  <c r="W66" i="43" s="1"/>
  <c r="M56" i="43"/>
  <c r="R56" i="43"/>
  <c r="S54" i="43"/>
  <c r="N54" i="43"/>
  <c r="L47" i="43"/>
  <c r="V47" i="43"/>
  <c r="W47" i="43" s="1"/>
  <c r="L45" i="43"/>
  <c r="V45" i="43"/>
  <c r="W45" i="43" s="1"/>
  <c r="R43" i="43"/>
  <c r="M43" i="43"/>
  <c r="Z40" i="43"/>
  <c r="O40" i="43"/>
  <c r="U40" i="43" s="1"/>
  <c r="Q40" i="43"/>
  <c r="T40" i="43"/>
  <c r="R21" i="43"/>
  <c r="L15" i="43"/>
  <c r="M22" i="44"/>
  <c r="R22" i="44"/>
  <c r="M18" i="44"/>
  <c r="R18" i="44"/>
  <c r="R33" i="45"/>
  <c r="M33" i="45"/>
  <c r="AA31" i="46"/>
  <c r="T31" i="46"/>
  <c r="O31" i="46"/>
  <c r="U31" i="46" s="1"/>
  <c r="N96" i="42"/>
  <c r="S96" i="42"/>
  <c r="X83" i="42"/>
  <c r="T83" i="42"/>
  <c r="O83" i="42"/>
  <c r="M43" i="42"/>
  <c r="R43" i="42"/>
  <c r="M38" i="42"/>
  <c r="R38" i="42"/>
  <c r="L33" i="42"/>
  <c r="M28" i="42"/>
  <c r="R28" i="42"/>
  <c r="R20" i="42"/>
  <c r="R84" i="43"/>
  <c r="M84" i="43"/>
  <c r="S21" i="43"/>
  <c r="N21" i="43"/>
  <c r="V86" i="42"/>
  <c r="W86" i="42" s="1"/>
  <c r="N44" i="42"/>
  <c r="S40" i="42"/>
  <c r="N40" i="42"/>
  <c r="M22" i="42"/>
  <c r="R22" i="42"/>
  <c r="S17" i="42"/>
  <c r="N17" i="42"/>
  <c r="M12" i="42"/>
  <c r="S9" i="42"/>
  <c r="N9" i="42"/>
  <c r="R78" i="43"/>
  <c r="M78" i="43"/>
  <c r="Z61" i="43"/>
  <c r="T61" i="43"/>
  <c r="K48" i="43"/>
  <c r="R32" i="43"/>
  <c r="M32" i="43"/>
  <c r="M26" i="43"/>
  <c r="Z24" i="43"/>
  <c r="T24" i="43"/>
  <c r="Q24" i="43"/>
  <c r="N10" i="43"/>
  <c r="L23" i="44"/>
  <c r="M20" i="44"/>
  <c r="K19" i="44"/>
  <c r="M67" i="45"/>
  <c r="R67" i="45"/>
  <c r="J103" i="45"/>
  <c r="J13" i="45"/>
  <c r="R165" i="46"/>
  <c r="M165" i="46"/>
  <c r="N149" i="46"/>
  <c r="S149" i="46"/>
  <c r="E31" i="52"/>
  <c r="I31" i="52" s="1"/>
  <c r="L147" i="46"/>
  <c r="Q147" i="46"/>
  <c r="K153" i="46"/>
  <c r="N143" i="46"/>
  <c r="S143" i="46"/>
  <c r="I41" i="46"/>
  <c r="I175" i="46"/>
  <c r="N15" i="46"/>
  <c r="S15" i="46"/>
  <c r="K36" i="42"/>
  <c r="L35" i="42"/>
  <c r="N14" i="42"/>
  <c r="S14" i="42"/>
  <c r="Z58" i="43"/>
  <c r="T58" i="43"/>
  <c r="Q58" i="43"/>
  <c r="R57" i="43"/>
  <c r="M57" i="43"/>
  <c r="M34" i="43"/>
  <c r="M33" i="43"/>
  <c r="R30" i="43"/>
  <c r="S80" i="45"/>
  <c r="N80" i="45"/>
  <c r="U133" i="46"/>
  <c r="P133" i="46"/>
  <c r="V27" i="43"/>
  <c r="W27" i="43" s="1"/>
  <c r="L27" i="43"/>
  <c r="Z13" i="43"/>
  <c r="T13" i="43"/>
  <c r="Q13" i="43"/>
  <c r="R9" i="43"/>
  <c r="M9" i="43"/>
  <c r="S25" i="44"/>
  <c r="K23" i="44"/>
  <c r="K24" i="44" s="1"/>
  <c r="R27" i="45"/>
  <c r="M27" i="45"/>
  <c r="M104" i="46"/>
  <c r="R104" i="46"/>
  <c r="R52" i="46"/>
  <c r="M52" i="46"/>
  <c r="R18" i="42"/>
  <c r="M18" i="42"/>
  <c r="J20" i="42"/>
  <c r="J24" i="42" s="1"/>
  <c r="R10" i="42"/>
  <c r="M10" i="42"/>
  <c r="S73" i="43"/>
  <c r="N73" i="43"/>
  <c r="V71" i="43"/>
  <c r="W71" i="43" s="1"/>
  <c r="K72" i="43"/>
  <c r="K85" i="43" s="1"/>
  <c r="P95" i="12" s="1"/>
  <c r="P96" i="10" s="1"/>
  <c r="R58" i="43"/>
  <c r="Z41" i="43"/>
  <c r="Q41" i="43"/>
  <c r="T41" i="43"/>
  <c r="N35" i="43"/>
  <c r="V28" i="43"/>
  <c r="W28" i="43" s="1"/>
  <c r="L25" i="43"/>
  <c r="R25" i="44"/>
  <c r="V14" i="44"/>
  <c r="O14" i="44"/>
  <c r="N15" i="44"/>
  <c r="I12" i="44"/>
  <c r="I16" i="44" s="1"/>
  <c r="S76" i="45"/>
  <c r="N76" i="45"/>
  <c r="S137" i="46"/>
  <c r="N137" i="46"/>
  <c r="M134" i="46"/>
  <c r="R134" i="46"/>
  <c r="S126" i="46"/>
  <c r="N126" i="46"/>
  <c r="R115" i="46"/>
  <c r="M115" i="46"/>
  <c r="S23" i="46"/>
  <c r="N23" i="46"/>
  <c r="L58" i="42"/>
  <c r="R58" i="42" s="1"/>
  <c r="V35" i="42"/>
  <c r="W35" i="42" s="1"/>
  <c r="I30" i="42"/>
  <c r="I28" i="41" s="1"/>
  <c r="I31" i="41" s="1"/>
  <c r="I35" i="41" s="1"/>
  <c r="R25" i="42"/>
  <c r="M25" i="42"/>
  <c r="M15" i="42"/>
  <c r="R15" i="42"/>
  <c r="AA24" i="42"/>
  <c r="AA134" i="42" s="1"/>
  <c r="M7" i="42"/>
  <c r="R7" i="42"/>
  <c r="L72" i="43"/>
  <c r="I85" i="43"/>
  <c r="R61" i="43"/>
  <c r="V22" i="43"/>
  <c r="W22" i="43" s="1"/>
  <c r="L17" i="43"/>
  <c r="L12" i="43"/>
  <c r="M15" i="44"/>
  <c r="S15" i="44" s="1"/>
  <c r="S14" i="44"/>
  <c r="N11" i="44"/>
  <c r="S11" i="44"/>
  <c r="Y29" i="45"/>
  <c r="P109" i="45"/>
  <c r="N26" i="45"/>
  <c r="S26" i="45"/>
  <c r="M152" i="46"/>
  <c r="R152" i="46"/>
  <c r="M120" i="46"/>
  <c r="R120" i="46"/>
  <c r="M53" i="51"/>
  <c r="G53" i="51"/>
  <c r="L53" i="51"/>
  <c r="L20" i="43"/>
  <c r="V20" i="43"/>
  <c r="W20" i="43" s="1"/>
  <c r="V25" i="44"/>
  <c r="T25" i="44"/>
  <c r="Q25" i="44"/>
  <c r="L19" i="44"/>
  <c r="R19" i="44" s="1"/>
  <c r="M17" i="44"/>
  <c r="M122" i="46"/>
  <c r="R122" i="46"/>
  <c r="V100" i="45"/>
  <c r="O100" i="45"/>
  <c r="U100" i="45" s="1"/>
  <c r="T100" i="45"/>
  <c r="Q65" i="45"/>
  <c r="S37" i="45"/>
  <c r="N37" i="45"/>
  <c r="R129" i="46"/>
  <c r="M129" i="46"/>
  <c r="S119" i="46"/>
  <c r="N119" i="46"/>
  <c r="Q106" i="46"/>
  <c r="M102" i="46"/>
  <c r="R102" i="46"/>
  <c r="V96" i="46"/>
  <c r="W96" i="46" s="1"/>
  <c r="V172" i="46"/>
  <c r="W172" i="46" s="1"/>
  <c r="L96" i="46"/>
  <c r="AA43" i="46"/>
  <c r="T43" i="46"/>
  <c r="O43" i="46"/>
  <c r="U43" i="46" s="1"/>
  <c r="R30" i="46"/>
  <c r="M30" i="46"/>
  <c r="K51" i="47"/>
  <c r="K45" i="44"/>
  <c r="K26" i="44" s="1"/>
  <c r="AB2" i="44"/>
  <c r="J101" i="45"/>
  <c r="M79" i="45"/>
  <c r="R79" i="45"/>
  <c r="M66" i="45"/>
  <c r="R66" i="45"/>
  <c r="S39" i="45"/>
  <c r="I163" i="46"/>
  <c r="L159" i="46"/>
  <c r="V159" i="46"/>
  <c r="W159" i="46" s="1"/>
  <c r="N141" i="46"/>
  <c r="S141" i="46"/>
  <c r="J144" i="46"/>
  <c r="L127" i="46"/>
  <c r="V127" i="46"/>
  <c r="W127" i="46" s="1"/>
  <c r="AA124" i="46"/>
  <c r="T124" i="46"/>
  <c r="O124" i="46"/>
  <c r="U124" i="46" s="1"/>
  <c r="I144" i="46"/>
  <c r="I157" i="46" s="1"/>
  <c r="I158" i="46" s="1"/>
  <c r="I160" i="46" s="1"/>
  <c r="Q119" i="46"/>
  <c r="T116" i="46"/>
  <c r="O116" i="46"/>
  <c r="T113" i="46"/>
  <c r="O113" i="46"/>
  <c r="S103" i="46"/>
  <c r="N103" i="46"/>
  <c r="N76" i="46"/>
  <c r="S76" i="46"/>
  <c r="M17" i="46"/>
  <c r="R17" i="46"/>
  <c r="T8" i="46"/>
  <c r="O8" i="46"/>
  <c r="U8" i="46" s="1"/>
  <c r="P56" i="47"/>
  <c r="Q48" i="47"/>
  <c r="P51" i="47"/>
  <c r="M38" i="47"/>
  <c r="R38" i="47"/>
  <c r="L40" i="47"/>
  <c r="M136" i="51"/>
  <c r="C135" i="51"/>
  <c r="M132" i="51"/>
  <c r="C131" i="51"/>
  <c r="K10" i="44"/>
  <c r="L9" i="44"/>
  <c r="I55" i="45"/>
  <c r="I57" i="45" s="1"/>
  <c r="I87" i="45" s="1"/>
  <c r="I102" i="45" s="1"/>
  <c r="R28" i="45"/>
  <c r="M28" i="45"/>
  <c r="N170" i="46"/>
  <c r="S170" i="46"/>
  <c r="M166" i="46"/>
  <c r="R166" i="46"/>
  <c r="L161" i="46"/>
  <c r="V161" i="46"/>
  <c r="W161" i="46" s="1"/>
  <c r="K163" i="46"/>
  <c r="V163" i="46" s="1"/>
  <c r="W163" i="46" s="1"/>
  <c r="S148" i="46"/>
  <c r="N148" i="46"/>
  <c r="R142" i="46"/>
  <c r="M142" i="46"/>
  <c r="S139" i="46"/>
  <c r="N139" i="46"/>
  <c r="U135" i="46"/>
  <c r="P135" i="46"/>
  <c r="U131" i="46"/>
  <c r="P131" i="46"/>
  <c r="AA130" i="46"/>
  <c r="O130" i="46"/>
  <c r="U130" i="46" s="1"/>
  <c r="T130" i="46"/>
  <c r="M95" i="46"/>
  <c r="L97" i="46"/>
  <c r="R95" i="46"/>
  <c r="AA80" i="46"/>
  <c r="T80" i="46"/>
  <c r="O80" i="46"/>
  <c r="U80" i="46" s="1"/>
  <c r="M78" i="46"/>
  <c r="R78" i="46"/>
  <c r="W22" i="47"/>
  <c r="T22" i="47"/>
  <c r="O22" i="47"/>
  <c r="U22" i="47" s="1"/>
  <c r="L20" i="47"/>
  <c r="K61" i="47"/>
  <c r="R151" i="46"/>
  <c r="M151" i="46"/>
  <c r="U128" i="46"/>
  <c r="P128" i="46"/>
  <c r="R121" i="46"/>
  <c r="M121" i="46"/>
  <c r="R114" i="46"/>
  <c r="U111" i="46"/>
  <c r="P111" i="46"/>
  <c r="S9" i="46"/>
  <c r="Q80" i="45"/>
  <c r="M78" i="45"/>
  <c r="R78" i="45"/>
  <c r="M75" i="45"/>
  <c r="R75" i="45"/>
  <c r="M71" i="45"/>
  <c r="R71" i="45"/>
  <c r="J35" i="45"/>
  <c r="J38" i="45" s="1"/>
  <c r="D104" i="11" s="1"/>
  <c r="M167" i="46"/>
  <c r="R167" i="46"/>
  <c r="L164" i="46"/>
  <c r="V164" i="46"/>
  <c r="W164" i="46" s="1"/>
  <c r="K168" i="46"/>
  <c r="V168" i="46" s="1"/>
  <c r="W168" i="46" s="1"/>
  <c r="R162" i="46"/>
  <c r="M162" i="46"/>
  <c r="M155" i="46"/>
  <c r="R155" i="46"/>
  <c r="N145" i="46"/>
  <c r="N140" i="46"/>
  <c r="S140" i="46"/>
  <c r="M136" i="46"/>
  <c r="R136" i="46"/>
  <c r="M132" i="46"/>
  <c r="R132" i="46"/>
  <c r="E28" i="52"/>
  <c r="L125" i="46"/>
  <c r="L173" i="46" s="1"/>
  <c r="V125" i="46"/>
  <c r="W125" i="46" s="1"/>
  <c r="K179" i="46"/>
  <c r="K144" i="46"/>
  <c r="S118" i="46"/>
  <c r="N118" i="46"/>
  <c r="M62" i="46"/>
  <c r="R62" i="46"/>
  <c r="N49" i="46"/>
  <c r="S49" i="46"/>
  <c r="N33" i="47"/>
  <c r="S33" i="47"/>
  <c r="M145" i="51"/>
  <c r="L145" i="51"/>
  <c r="N95" i="45"/>
  <c r="S95" i="45"/>
  <c r="M169" i="46"/>
  <c r="R169" i="46"/>
  <c r="L171" i="46"/>
  <c r="R171" i="46" s="1"/>
  <c r="I168" i="46"/>
  <c r="J164" i="46"/>
  <c r="J168" i="46" s="1"/>
  <c r="S156" i="46"/>
  <c r="N156" i="46"/>
  <c r="J153" i="46"/>
  <c r="S146" i="46"/>
  <c r="N146" i="46"/>
  <c r="N114" i="46"/>
  <c r="S114" i="46"/>
  <c r="S105" i="46"/>
  <c r="N105" i="46"/>
  <c r="AA101" i="46"/>
  <c r="O101" i="46"/>
  <c r="U101" i="46" s="1"/>
  <c r="T101" i="46"/>
  <c r="R100" i="46"/>
  <c r="M100" i="46"/>
  <c r="I173" i="46"/>
  <c r="S55" i="46"/>
  <c r="N55" i="46"/>
  <c r="R50" i="47"/>
  <c r="M50" i="47"/>
  <c r="Z34" i="52"/>
  <c r="Q154" i="46"/>
  <c r="V121" i="46"/>
  <c r="W121" i="46" s="1"/>
  <c r="V115" i="46"/>
  <c r="W115" i="46" s="1"/>
  <c r="M69" i="46"/>
  <c r="R69" i="46"/>
  <c r="L67" i="46"/>
  <c r="V67" i="46"/>
  <c r="W67" i="46" s="1"/>
  <c r="R57" i="46"/>
  <c r="M57" i="46"/>
  <c r="M42" i="46"/>
  <c r="R42" i="46"/>
  <c r="L41" i="46"/>
  <c r="R41" i="46" s="1"/>
  <c r="R40" i="46"/>
  <c r="M40" i="46"/>
  <c r="I64" i="46"/>
  <c r="AA22" i="46"/>
  <c r="T22" i="46"/>
  <c r="M12" i="46"/>
  <c r="R12" i="46"/>
  <c r="J51" i="47"/>
  <c r="J61" i="47"/>
  <c r="J56" i="47"/>
  <c r="K32" i="47"/>
  <c r="V57" i="47"/>
  <c r="L31" i="47"/>
  <c r="K58" i="47"/>
  <c r="L104" i="51"/>
  <c r="M104" i="51"/>
  <c r="L75" i="51"/>
  <c r="M75" i="51"/>
  <c r="G58" i="51"/>
  <c r="L58" i="51"/>
  <c r="M58" i="51"/>
  <c r="N8" i="44"/>
  <c r="E30" i="52"/>
  <c r="F30" i="52"/>
  <c r="F27" i="52" s="1"/>
  <c r="F34" i="52" s="1"/>
  <c r="AA135" i="46"/>
  <c r="AA133" i="46"/>
  <c r="AA131" i="46"/>
  <c r="AA128" i="46"/>
  <c r="AA111" i="46"/>
  <c r="AA110" i="46"/>
  <c r="AA109" i="46"/>
  <c r="AA108" i="46"/>
  <c r="AA107" i="46"/>
  <c r="K173" i="46"/>
  <c r="V95" i="46"/>
  <c r="W95" i="46" s="1"/>
  <c r="K97" i="46"/>
  <c r="AA81" i="46"/>
  <c r="T81" i="46"/>
  <c r="M47" i="46"/>
  <c r="R47" i="46"/>
  <c r="M46" i="46"/>
  <c r="R46" i="46"/>
  <c r="L32" i="46"/>
  <c r="V32" i="46"/>
  <c r="W32" i="46" s="1"/>
  <c r="K35" i="46"/>
  <c r="U10" i="46"/>
  <c r="L42" i="47"/>
  <c r="K45" i="47"/>
  <c r="P124" i="12" s="1"/>
  <c r="P124" i="10" s="1"/>
  <c r="AB124" i="10" s="1"/>
  <c r="N37" i="47"/>
  <c r="S37" i="47"/>
  <c r="P35" i="47"/>
  <c r="R27" i="47"/>
  <c r="M27" i="47"/>
  <c r="AF18" i="49"/>
  <c r="D17" i="49" s="1"/>
  <c r="M149" i="51"/>
  <c r="L149" i="51"/>
  <c r="AA84" i="46"/>
  <c r="T84" i="46"/>
  <c r="Q63" i="46"/>
  <c r="AA63" i="46"/>
  <c r="T63" i="46"/>
  <c r="O63" i="46"/>
  <c r="U63" i="46" s="1"/>
  <c r="E22" i="52"/>
  <c r="L53" i="46"/>
  <c r="N34" i="46"/>
  <c r="S34" i="46"/>
  <c r="AA33" i="46"/>
  <c r="T33" i="46"/>
  <c r="S30" i="47"/>
  <c r="N30" i="47"/>
  <c r="M19" i="47"/>
  <c r="R19" i="47"/>
  <c r="I17" i="52"/>
  <c r="G66" i="49" s="1"/>
  <c r="C60" i="49"/>
  <c r="H34" i="52"/>
  <c r="I7" i="52"/>
  <c r="V166" i="46"/>
  <c r="W166" i="46" s="1"/>
  <c r="T111" i="46"/>
  <c r="O99" i="46"/>
  <c r="M98" i="46"/>
  <c r="N58" i="46"/>
  <c r="S58" i="46"/>
  <c r="M44" i="46"/>
  <c r="V86" i="46"/>
  <c r="L20" i="46"/>
  <c r="V20" i="46"/>
  <c r="W20" i="46" s="1"/>
  <c r="R11" i="46"/>
  <c r="M11" i="46"/>
  <c r="N54" i="47"/>
  <c r="S54" i="47"/>
  <c r="W43" i="47"/>
  <c r="T43" i="47"/>
  <c r="U43" i="47"/>
  <c r="M34" i="47"/>
  <c r="R34" i="47"/>
  <c r="T154" i="46"/>
  <c r="L150" i="46"/>
  <c r="T135" i="46"/>
  <c r="T133" i="46"/>
  <c r="T131" i="46"/>
  <c r="T128" i="46"/>
  <c r="N74" i="46"/>
  <c r="S74" i="46"/>
  <c r="M65" i="46"/>
  <c r="R65" i="46"/>
  <c r="E20" i="52"/>
  <c r="L61" i="46"/>
  <c r="L56" i="46"/>
  <c r="V56" i="46"/>
  <c r="W56" i="46" s="1"/>
  <c r="J64" i="46"/>
  <c r="M24" i="46"/>
  <c r="AA21" i="46"/>
  <c r="T21" i="46"/>
  <c r="T7" i="46"/>
  <c r="N9" i="46"/>
  <c r="S26" i="47"/>
  <c r="M28" i="47"/>
  <c r="N26" i="47"/>
  <c r="M24" i="47"/>
  <c r="R24" i="47"/>
  <c r="C35" i="51"/>
  <c r="J175" i="46"/>
  <c r="J173" i="46"/>
  <c r="AA79" i="46"/>
  <c r="T79" i="46"/>
  <c r="Q78" i="46"/>
  <c r="L71" i="46"/>
  <c r="V71" i="46"/>
  <c r="W71" i="46" s="1"/>
  <c r="AA59" i="46"/>
  <c r="T59" i="46"/>
  <c r="M39" i="46"/>
  <c r="R39" i="46"/>
  <c r="L36" i="46"/>
  <c r="V36" i="46"/>
  <c r="W36" i="46" s="1"/>
  <c r="M29" i="46"/>
  <c r="R29" i="46"/>
  <c r="R26" i="46"/>
  <c r="M26" i="46"/>
  <c r="N18" i="46"/>
  <c r="S18" i="46"/>
  <c r="J10" i="46"/>
  <c r="J16" i="46" s="1"/>
  <c r="J66" i="46" s="1"/>
  <c r="J86" i="46" s="1"/>
  <c r="I16" i="46"/>
  <c r="I66" i="46" s="1"/>
  <c r="J58" i="47"/>
  <c r="M47" i="47"/>
  <c r="L51" i="47"/>
  <c r="R51" i="47" s="1"/>
  <c r="R47" i="47"/>
  <c r="R36" i="47"/>
  <c r="M36" i="47"/>
  <c r="K35" i="47"/>
  <c r="W21" i="47"/>
  <c r="O21" i="47"/>
  <c r="U21" i="47" s="1"/>
  <c r="T21" i="47"/>
  <c r="N18" i="47"/>
  <c r="S18" i="47"/>
  <c r="R14" i="47"/>
  <c r="M14" i="47"/>
  <c r="M56" i="51"/>
  <c r="G56" i="51"/>
  <c r="L56" i="51"/>
  <c r="L16" i="51"/>
  <c r="M16" i="51"/>
  <c r="K175" i="46"/>
  <c r="F15" i="49"/>
  <c r="L148" i="51"/>
  <c r="M148" i="51"/>
  <c r="G142" i="51"/>
  <c r="L142" i="51"/>
  <c r="M142" i="51"/>
  <c r="D140" i="51"/>
  <c r="L135" i="51"/>
  <c r="M135" i="51"/>
  <c r="L131" i="51"/>
  <c r="M131" i="51"/>
  <c r="D152" i="51"/>
  <c r="D127" i="51"/>
  <c r="L128" i="51"/>
  <c r="L120" i="51"/>
  <c r="M120" i="51"/>
  <c r="G97" i="51"/>
  <c r="L97" i="51"/>
  <c r="M97" i="51"/>
  <c r="C87" i="51"/>
  <c r="M46" i="51"/>
  <c r="I443" i="55"/>
  <c r="J443" i="55"/>
  <c r="C443" i="55"/>
  <c r="K443" i="55"/>
  <c r="D443" i="55"/>
  <c r="L443" i="55"/>
  <c r="E443" i="55"/>
  <c r="M443" i="55"/>
  <c r="F443" i="55"/>
  <c r="N443" i="55"/>
  <c r="G443" i="55"/>
  <c r="I82" i="46"/>
  <c r="L77" i="46"/>
  <c r="M75" i="46"/>
  <c r="M73" i="46"/>
  <c r="M70" i="46"/>
  <c r="M68" i="46"/>
  <c r="L60" i="46"/>
  <c r="V55" i="46"/>
  <c r="W55" i="46" s="1"/>
  <c r="M54" i="46"/>
  <c r="M51" i="46"/>
  <c r="O50" i="46"/>
  <c r="U50" i="46" s="1"/>
  <c r="M48" i="46"/>
  <c r="M45" i="46"/>
  <c r="N38" i="46"/>
  <c r="N37" i="46"/>
  <c r="N28" i="46"/>
  <c r="N27" i="46"/>
  <c r="M19" i="46"/>
  <c r="L14" i="46"/>
  <c r="L175" i="46" s="1"/>
  <c r="M49" i="47"/>
  <c r="M46" i="47"/>
  <c r="M39" i="47"/>
  <c r="N29" i="47"/>
  <c r="K23" i="47"/>
  <c r="D38" i="49"/>
  <c r="L106" i="51"/>
  <c r="M106" i="51"/>
  <c r="G74" i="51"/>
  <c r="L74" i="51"/>
  <c r="M74" i="51"/>
  <c r="D68" i="51"/>
  <c r="L69" i="51"/>
  <c r="M69" i="51"/>
  <c r="L66" i="51"/>
  <c r="L52" i="51"/>
  <c r="M52" i="51"/>
  <c r="D47" i="51"/>
  <c r="M34" i="51"/>
  <c r="G34" i="51"/>
  <c r="G15" i="51"/>
  <c r="L15" i="51"/>
  <c r="M15" i="51"/>
  <c r="J388" i="55"/>
  <c r="C388" i="55"/>
  <c r="K388" i="55"/>
  <c r="D388" i="55"/>
  <c r="L388" i="55"/>
  <c r="E388" i="55"/>
  <c r="M388" i="55"/>
  <c r="F388" i="55"/>
  <c r="N388" i="55"/>
  <c r="G388" i="55"/>
  <c r="I388" i="55"/>
  <c r="F28" i="49"/>
  <c r="F35" i="49" s="1"/>
  <c r="D35" i="49"/>
  <c r="W48" i="47"/>
  <c r="U124" i="12"/>
  <c r="L124" i="51"/>
  <c r="M124" i="51"/>
  <c r="M82" i="51"/>
  <c r="L77" i="51"/>
  <c r="M77" i="51"/>
  <c r="G37" i="51"/>
  <c r="L37" i="51"/>
  <c r="M37" i="51"/>
  <c r="L24" i="51"/>
  <c r="M24" i="51"/>
  <c r="D27" i="52"/>
  <c r="I28" i="52"/>
  <c r="D14" i="52"/>
  <c r="O275" i="55"/>
  <c r="Q275" i="55" s="1"/>
  <c r="E18" i="52"/>
  <c r="M21" i="52"/>
  <c r="P175" i="46"/>
  <c r="K16" i="46"/>
  <c r="I45" i="47"/>
  <c r="I56" i="47" s="1"/>
  <c r="I57" i="47" s="1"/>
  <c r="W13" i="47"/>
  <c r="T13" i="47"/>
  <c r="N7" i="47"/>
  <c r="S7" i="47"/>
  <c r="G7" i="51"/>
  <c r="M7" i="51"/>
  <c r="I22" i="52"/>
  <c r="I18" i="52"/>
  <c r="E16" i="52"/>
  <c r="E14" i="52" s="1"/>
  <c r="K56" i="47"/>
  <c r="Q54" i="47"/>
  <c r="T48" i="47"/>
  <c r="V29" i="48"/>
  <c r="G136" i="12"/>
  <c r="J88" i="49"/>
  <c r="F57" i="49"/>
  <c r="G98" i="51"/>
  <c r="L98" i="51"/>
  <c r="M98" i="51"/>
  <c r="D73" i="51"/>
  <c r="D64" i="51"/>
  <c r="L65" i="51"/>
  <c r="M65" i="51"/>
  <c r="L33" i="51"/>
  <c r="M33" i="51"/>
  <c r="D14" i="51"/>
  <c r="D63" i="51" s="1"/>
  <c r="I20" i="52"/>
  <c r="Q77" i="46"/>
  <c r="L28" i="47"/>
  <c r="J98" i="49"/>
  <c r="J18" i="52"/>
  <c r="D95" i="51"/>
  <c r="D76" i="51"/>
  <c r="G36" i="51"/>
  <c r="D35" i="51"/>
  <c r="L36" i="51"/>
  <c r="M36" i="51"/>
  <c r="G29" i="51"/>
  <c r="L29" i="51"/>
  <c r="D28" i="51"/>
  <c r="M29" i="51"/>
  <c r="G26" i="51"/>
  <c r="L26" i="51"/>
  <c r="M26" i="51"/>
  <c r="D21" i="51"/>
  <c r="H499" i="55"/>
  <c r="H508" i="55" s="1"/>
  <c r="C21" i="51"/>
  <c r="C63" i="51" s="1"/>
  <c r="C88" i="51" s="1"/>
  <c r="M19" i="51"/>
  <c r="M12" i="51"/>
  <c r="M11" i="51"/>
  <c r="M10" i="51"/>
  <c r="M9" i="51"/>
  <c r="M8" i="51"/>
  <c r="Q473" i="55"/>
  <c r="Q334" i="55"/>
  <c r="V26" i="48"/>
  <c r="N151" i="51"/>
  <c r="M139" i="51"/>
  <c r="M137" i="51"/>
  <c r="M133" i="51"/>
  <c r="M116" i="51"/>
  <c r="M100" i="51"/>
  <c r="L96" i="51"/>
  <c r="M72" i="51"/>
  <c r="M51" i="51"/>
  <c r="M45" i="51"/>
  <c r="M39" i="51"/>
  <c r="G508" i="55"/>
  <c r="I416" i="55"/>
  <c r="J416" i="55"/>
  <c r="J424" i="55" s="1"/>
  <c r="C416" i="55"/>
  <c r="K416" i="55"/>
  <c r="K424" i="55" s="1"/>
  <c r="D416" i="55"/>
  <c r="D424" i="55" s="1"/>
  <c r="L416" i="55"/>
  <c r="L424" i="55" s="1"/>
  <c r="E416" i="55"/>
  <c r="E424" i="55" s="1"/>
  <c r="M416" i="55"/>
  <c r="F416" i="55"/>
  <c r="F424" i="55" s="1"/>
  <c r="N416" i="55"/>
  <c r="N424" i="55" s="1"/>
  <c r="I387" i="55"/>
  <c r="J387" i="55"/>
  <c r="J396" i="55" s="1"/>
  <c r="C387" i="55"/>
  <c r="K387" i="55"/>
  <c r="K396" i="55" s="1"/>
  <c r="D387" i="55"/>
  <c r="D396" i="55" s="1"/>
  <c r="L387" i="55"/>
  <c r="L396" i="55" s="1"/>
  <c r="E387" i="55"/>
  <c r="E396" i="55" s="1"/>
  <c r="M387" i="55"/>
  <c r="M396" i="55" s="1"/>
  <c r="F387" i="55"/>
  <c r="F396" i="55" s="1"/>
  <c r="N387" i="55"/>
  <c r="N396" i="55" s="1"/>
  <c r="V12" i="48"/>
  <c r="M151" i="51"/>
  <c r="L112" i="51"/>
  <c r="M110" i="51"/>
  <c r="L100" i="51"/>
  <c r="M85" i="51"/>
  <c r="M81" i="51"/>
  <c r="M55" i="51"/>
  <c r="M43" i="51"/>
  <c r="M40" i="51"/>
  <c r="G8" i="51"/>
  <c r="I471" i="55"/>
  <c r="J471" i="55"/>
  <c r="C471" i="55"/>
  <c r="K471" i="55"/>
  <c r="K480" i="55" s="1"/>
  <c r="D471" i="55"/>
  <c r="D480" i="55" s="1"/>
  <c r="L471" i="55"/>
  <c r="L480" i="55" s="1"/>
  <c r="E471" i="55"/>
  <c r="E480" i="55" s="1"/>
  <c r="M471" i="55"/>
  <c r="M480" i="55" s="1"/>
  <c r="F471" i="55"/>
  <c r="F480" i="55" s="1"/>
  <c r="N471" i="55"/>
  <c r="N480" i="55" s="1"/>
  <c r="M108" i="51"/>
  <c r="L81" i="51"/>
  <c r="L55" i="51"/>
  <c r="L43" i="51"/>
  <c r="I15" i="52"/>
  <c r="O22" i="54"/>
  <c r="Q492" i="55"/>
  <c r="Q447" i="55"/>
  <c r="Q320" i="55"/>
  <c r="M59" i="51"/>
  <c r="H471" i="55"/>
  <c r="H480" i="55" s="1"/>
  <c r="J480" i="55"/>
  <c r="G416" i="55"/>
  <c r="G424" i="55" s="1"/>
  <c r="G387" i="55"/>
  <c r="G396" i="55" s="1"/>
  <c r="O14" i="54"/>
  <c r="O498" i="55"/>
  <c r="Q498" i="55" s="1"/>
  <c r="G471" i="55"/>
  <c r="G480" i="55" s="1"/>
  <c r="H396" i="55"/>
  <c r="D365" i="55"/>
  <c r="L365" i="55"/>
  <c r="E365" i="55"/>
  <c r="F365" i="55"/>
  <c r="N365" i="55"/>
  <c r="C365" i="55"/>
  <c r="D170" i="55"/>
  <c r="Q150" i="55"/>
  <c r="I420" i="55"/>
  <c r="I383" i="55"/>
  <c r="O302" i="55"/>
  <c r="Q302" i="55" s="1"/>
  <c r="G284" i="55"/>
  <c r="C499" i="55"/>
  <c r="O499" i="55" s="1"/>
  <c r="Q499" i="55" s="1"/>
  <c r="O491" i="55"/>
  <c r="Q491" i="55" s="1"/>
  <c r="H420" i="55"/>
  <c r="M365" i="55"/>
  <c r="I331" i="55"/>
  <c r="J331" i="55"/>
  <c r="C331" i="55"/>
  <c r="K331" i="55"/>
  <c r="F331" i="55"/>
  <c r="N331" i="55"/>
  <c r="Q296" i="55"/>
  <c r="H243" i="55"/>
  <c r="I243" i="55"/>
  <c r="J243" i="55"/>
  <c r="C243" i="55"/>
  <c r="K243" i="55"/>
  <c r="G243" i="55"/>
  <c r="D243" i="55"/>
  <c r="E243" i="55"/>
  <c r="F243" i="55"/>
  <c r="L243" i="55"/>
  <c r="M243" i="55"/>
  <c r="N243" i="55"/>
  <c r="E383" i="55"/>
  <c r="M383" i="55"/>
  <c r="G383" i="55"/>
  <c r="K365" i="55"/>
  <c r="I470" i="55"/>
  <c r="I480" i="55" s="1"/>
  <c r="H467" i="55"/>
  <c r="O467" i="55" s="1"/>
  <c r="Q467" i="55" s="1"/>
  <c r="I442" i="55"/>
  <c r="O442" i="55" s="1"/>
  <c r="Q442" i="55" s="1"/>
  <c r="H439" i="55"/>
  <c r="H440" i="55" s="1"/>
  <c r="N420" i="55"/>
  <c r="F420" i="55"/>
  <c r="O420" i="55" s="1"/>
  <c r="Q420" i="55" s="1"/>
  <c r="I415" i="55"/>
  <c r="H414" i="55"/>
  <c r="H424" i="55" s="1"/>
  <c r="I386" i="55"/>
  <c r="F383" i="55"/>
  <c r="J365" i="55"/>
  <c r="D361" i="55"/>
  <c r="O361" i="55" s="1"/>
  <c r="Q361" i="55" s="1"/>
  <c r="L361" i="55"/>
  <c r="E361" i="55"/>
  <c r="M361" i="55"/>
  <c r="F361" i="55"/>
  <c r="N361" i="55"/>
  <c r="I361" i="55"/>
  <c r="I358" i="55"/>
  <c r="J358" i="55"/>
  <c r="C358" i="55"/>
  <c r="K358" i="55"/>
  <c r="F358" i="55"/>
  <c r="N358" i="55"/>
  <c r="M331" i="55"/>
  <c r="Q324" i="55"/>
  <c r="Q306" i="55"/>
  <c r="C508" i="55"/>
  <c r="M420" i="55"/>
  <c r="N383" i="55"/>
  <c r="D383" i="55"/>
  <c r="O383" i="55" s="1"/>
  <c r="Q383" i="55" s="1"/>
  <c r="I365" i="55"/>
  <c r="E362" i="55"/>
  <c r="O362" i="55" s="1"/>
  <c r="Q362" i="55" s="1"/>
  <c r="M362" i="55"/>
  <c r="F362" i="55"/>
  <c r="N362" i="55"/>
  <c r="G362" i="55"/>
  <c r="J362" i="55"/>
  <c r="J359" i="55"/>
  <c r="C359" i="55"/>
  <c r="K359" i="55"/>
  <c r="D359" i="55"/>
  <c r="L359" i="55"/>
  <c r="L368" i="55" s="1"/>
  <c r="G359" i="55"/>
  <c r="G368" i="55" s="1"/>
  <c r="L331" i="55"/>
  <c r="Q292" i="55"/>
  <c r="N170" i="55"/>
  <c r="H364" i="55"/>
  <c r="H360" i="55"/>
  <c r="H368" i="55" s="1"/>
  <c r="L327" i="55"/>
  <c r="D327" i="55"/>
  <c r="N276" i="55"/>
  <c r="N284" i="55" s="1"/>
  <c r="F276" i="55"/>
  <c r="F284" i="55" s="1"/>
  <c r="C256" i="55"/>
  <c r="Q164" i="55"/>
  <c r="M170" i="55"/>
  <c r="E142" i="55"/>
  <c r="G170" i="55"/>
  <c r="L276" i="55"/>
  <c r="L284" i="55" s="1"/>
  <c r="D276" i="55"/>
  <c r="D284" i="55" s="1"/>
  <c r="C219" i="55"/>
  <c r="K219" i="55"/>
  <c r="D219" i="55"/>
  <c r="L219" i="55"/>
  <c r="E219" i="55"/>
  <c r="M219" i="55"/>
  <c r="F219" i="55"/>
  <c r="F227" i="55" s="1"/>
  <c r="N219" i="55"/>
  <c r="N227" i="55" s="1"/>
  <c r="G219" i="55"/>
  <c r="G227" i="55" s="1"/>
  <c r="I219" i="55"/>
  <c r="J219" i="55"/>
  <c r="Q126" i="55"/>
  <c r="Q122" i="55"/>
  <c r="M364" i="55"/>
  <c r="E364" i="55"/>
  <c r="M360" i="55"/>
  <c r="M368" i="55" s="1"/>
  <c r="E360" i="55"/>
  <c r="I327" i="55"/>
  <c r="K276" i="55"/>
  <c r="K284" i="55" s="1"/>
  <c r="C276" i="55"/>
  <c r="I274" i="55"/>
  <c r="H271" i="55"/>
  <c r="I247" i="55"/>
  <c r="I256" i="55" s="1"/>
  <c r="H246" i="55"/>
  <c r="H219" i="55"/>
  <c r="M142" i="55"/>
  <c r="L364" i="55"/>
  <c r="D364" i="55"/>
  <c r="D360" i="55"/>
  <c r="H327" i="55"/>
  <c r="O327" i="55" s="1"/>
  <c r="Q327" i="55" s="1"/>
  <c r="J276" i="55"/>
  <c r="J284" i="55" s="1"/>
  <c r="H274" i="55"/>
  <c r="H284" i="55" s="1"/>
  <c r="G271" i="55"/>
  <c r="O271" i="55" s="1"/>
  <c r="Q271" i="55" s="1"/>
  <c r="H247" i="55"/>
  <c r="O247" i="55" s="1"/>
  <c r="Q247" i="55" s="1"/>
  <c r="G246" i="55"/>
  <c r="G256" i="55" s="1"/>
  <c r="Q69" i="55"/>
  <c r="K364" i="55"/>
  <c r="K360" i="55"/>
  <c r="I276" i="55"/>
  <c r="N271" i="55"/>
  <c r="N246" i="55"/>
  <c r="N256" i="55" s="1"/>
  <c r="F170" i="55"/>
  <c r="C142" i="55"/>
  <c r="E170" i="55"/>
  <c r="Q154" i="55"/>
  <c r="I218" i="55"/>
  <c r="I227" i="55" s="1"/>
  <c r="H217" i="55"/>
  <c r="G214" i="55"/>
  <c r="I191" i="55"/>
  <c r="H190" i="55"/>
  <c r="N186" i="55"/>
  <c r="F186" i="55"/>
  <c r="O186" i="55" s="1"/>
  <c r="Q186" i="55" s="1"/>
  <c r="L129" i="55"/>
  <c r="D129" i="55"/>
  <c r="O129" i="55" s="1"/>
  <c r="Q129" i="55" s="1"/>
  <c r="Q65" i="55"/>
  <c r="Q22" i="55"/>
  <c r="H218" i="55"/>
  <c r="H191" i="55"/>
  <c r="Q21" i="55"/>
  <c r="M218" i="55"/>
  <c r="M227" i="55" s="1"/>
  <c r="E218" i="55"/>
  <c r="E227" i="55" s="1"/>
  <c r="L217" i="55"/>
  <c r="D217" i="55"/>
  <c r="K214" i="55"/>
  <c r="C214" i="55"/>
  <c r="M191" i="55"/>
  <c r="E191" i="55"/>
  <c r="L190" i="55"/>
  <c r="D190" i="55"/>
  <c r="J186" i="55"/>
  <c r="H129" i="55"/>
  <c r="Q97" i="55"/>
  <c r="C72" i="55"/>
  <c r="K72" i="55"/>
  <c r="D72" i="55"/>
  <c r="D73" i="55" s="1"/>
  <c r="L72" i="55"/>
  <c r="L73" i="55" s="1"/>
  <c r="E72" i="55"/>
  <c r="M72" i="55"/>
  <c r="M73" i="55" s="1"/>
  <c r="F72" i="55"/>
  <c r="F73" i="55" s="1"/>
  <c r="N72" i="55"/>
  <c r="G72" i="55"/>
  <c r="G73" i="55" s="1"/>
  <c r="I72" i="55"/>
  <c r="I73" i="55" s="1"/>
  <c r="J72" i="55"/>
  <c r="J73" i="55" s="1"/>
  <c r="Q12" i="55"/>
  <c r="O9" i="55"/>
  <c r="Q9" i="55" s="1"/>
  <c r="L218" i="55"/>
  <c r="D218" i="55"/>
  <c r="K217" i="55"/>
  <c r="C217" i="55"/>
  <c r="J214" i="55"/>
  <c r="L191" i="55"/>
  <c r="D191" i="55"/>
  <c r="K190" i="55"/>
  <c r="C190" i="55"/>
  <c r="I186" i="55"/>
  <c r="H157" i="55"/>
  <c r="J134" i="55"/>
  <c r="J142" i="55" s="1"/>
  <c r="I133" i="55"/>
  <c r="H132" i="55"/>
  <c r="G129" i="55"/>
  <c r="H103" i="55"/>
  <c r="H113" i="55" s="1"/>
  <c r="D100" i="55"/>
  <c r="Q93" i="55"/>
  <c r="H72" i="55"/>
  <c r="K218" i="55"/>
  <c r="C218" i="55"/>
  <c r="J217" i="55"/>
  <c r="J227" i="55" s="1"/>
  <c r="I214" i="55"/>
  <c r="K191" i="55"/>
  <c r="C191" i="55"/>
  <c r="O191" i="55" s="1"/>
  <c r="Q191" i="55" s="1"/>
  <c r="J190" i="55"/>
  <c r="H186" i="55"/>
  <c r="I161" i="55"/>
  <c r="I170" i="55" s="1"/>
  <c r="H160" i="55"/>
  <c r="H170" i="55" s="1"/>
  <c r="G157" i="55"/>
  <c r="O157" i="55" s="1"/>
  <c r="Q157" i="55" s="1"/>
  <c r="I134" i="55"/>
  <c r="O134" i="55" s="1"/>
  <c r="Q134" i="55" s="1"/>
  <c r="H133" i="55"/>
  <c r="O133" i="55" s="1"/>
  <c r="Q133" i="55" s="1"/>
  <c r="G132" i="55"/>
  <c r="G142" i="55" s="1"/>
  <c r="N129" i="55"/>
  <c r="F129" i="55"/>
  <c r="I105" i="55"/>
  <c r="I113" i="55" s="1"/>
  <c r="H104" i="55"/>
  <c r="O104" i="55" s="1"/>
  <c r="Q104" i="55" s="1"/>
  <c r="G103" i="55"/>
  <c r="G113" i="55" s="1"/>
  <c r="O113" i="55" s="1"/>
  <c r="Q113" i="55" s="1"/>
  <c r="C100" i="55"/>
  <c r="O100" i="55" s="1"/>
  <c r="Q100" i="55" s="1"/>
  <c r="E75" i="55"/>
  <c r="E85" i="55" s="1"/>
  <c r="M75" i="55"/>
  <c r="M85" i="55" s="1"/>
  <c r="F75" i="55"/>
  <c r="F85" i="55" s="1"/>
  <c r="N75" i="55"/>
  <c r="G75" i="55"/>
  <c r="I75" i="55"/>
  <c r="C75" i="55"/>
  <c r="K75" i="55"/>
  <c r="K85" i="55" s="1"/>
  <c r="D75" i="55"/>
  <c r="D85" i="55" s="1"/>
  <c r="L75" i="55"/>
  <c r="L85" i="55" s="1"/>
  <c r="Q40" i="55"/>
  <c r="N157" i="55"/>
  <c r="N132" i="55"/>
  <c r="N142" i="55" s="1"/>
  <c r="M129" i="55"/>
  <c r="N103" i="55"/>
  <c r="N113" i="55" s="1"/>
  <c r="O7" i="55"/>
  <c r="I52" i="55"/>
  <c r="H51" i="55"/>
  <c r="L47" i="55"/>
  <c r="D47" i="55"/>
  <c r="D56" i="55" s="1"/>
  <c r="I43" i="55"/>
  <c r="H52" i="55"/>
  <c r="G51" i="55"/>
  <c r="K47" i="55"/>
  <c r="C47" i="55"/>
  <c r="H43" i="55"/>
  <c r="K77" i="55"/>
  <c r="C77" i="55"/>
  <c r="J76" i="55"/>
  <c r="J85" i="55" s="1"/>
  <c r="N52" i="55"/>
  <c r="F52" i="55"/>
  <c r="M51" i="55"/>
  <c r="E51" i="55"/>
  <c r="J48" i="55"/>
  <c r="J56" i="55" s="1"/>
  <c r="I47" i="55"/>
  <c r="I56" i="55" s="1"/>
  <c r="H46" i="55"/>
  <c r="N43" i="55"/>
  <c r="F43" i="55"/>
  <c r="W8" i="35"/>
  <c r="W32" i="35" s="1"/>
  <c r="W37" i="35" s="1"/>
  <c r="W60" i="35" s="1"/>
  <c r="H47" i="55"/>
  <c r="Y100" i="42"/>
  <c r="AG73" i="46"/>
  <c r="AB73" i="46"/>
  <c r="I77" i="55"/>
  <c r="H76" i="55"/>
  <c r="L52" i="55"/>
  <c r="D52" i="55"/>
  <c r="K51" i="55"/>
  <c r="C51" i="55"/>
  <c r="H48" i="55"/>
  <c r="G47" i="55"/>
  <c r="N46" i="55"/>
  <c r="F46" i="55"/>
  <c r="L43" i="55"/>
  <c r="D43" i="55"/>
  <c r="W8" i="33"/>
  <c r="W32" i="33" s="1"/>
  <c r="W37" i="33" s="1"/>
  <c r="W60" i="33" s="1"/>
  <c r="W8" i="25"/>
  <c r="W32" i="25" s="1"/>
  <c r="W37" i="25" s="1"/>
  <c r="W60" i="25" s="1"/>
  <c r="H77" i="55"/>
  <c r="G76" i="55"/>
  <c r="O76" i="55" s="1"/>
  <c r="Q76" i="55" s="1"/>
  <c r="K52" i="55"/>
  <c r="C52" i="55"/>
  <c r="J51" i="55"/>
  <c r="G48" i="55"/>
  <c r="O48" i="55" s="1"/>
  <c r="Q48" i="55" s="1"/>
  <c r="N47" i="55"/>
  <c r="F47" i="55"/>
  <c r="M46" i="55"/>
  <c r="E46" i="55"/>
  <c r="E56" i="55" s="1"/>
  <c r="K43" i="55"/>
  <c r="C43" i="55"/>
  <c r="O43" i="55" s="1"/>
  <c r="Q43" i="55" s="1"/>
  <c r="W29" i="17"/>
  <c r="O57" i="10" s="1"/>
  <c r="AG57" i="10" s="1"/>
  <c r="W8" i="32"/>
  <c r="W32" i="32" s="1"/>
  <c r="W37" i="32" s="1"/>
  <c r="W60" i="32" s="1"/>
  <c r="W41" i="26"/>
  <c r="W52" i="26" s="1"/>
  <c r="W60" i="26" s="1"/>
  <c r="N76" i="55"/>
  <c r="N48" i="55"/>
  <c r="M47" i="55"/>
  <c r="L46" i="55"/>
  <c r="L56" i="55" s="1"/>
  <c r="I99" i="12"/>
  <c r="J99" i="11"/>
  <c r="O99" i="12"/>
  <c r="K13" i="5"/>
  <c r="E16" i="70"/>
  <c r="AS16" i="70" s="1"/>
  <c r="E18" i="70"/>
  <c r="AS18" i="70" s="1"/>
  <c r="K45" i="68"/>
  <c r="L43" i="68"/>
  <c r="L45" i="68" s="1"/>
  <c r="K6" i="5"/>
  <c r="R20" i="69"/>
  <c r="E11" i="70"/>
  <c r="AS11" i="70" s="1"/>
  <c r="Q100" i="42"/>
  <c r="AB127" i="42"/>
  <c r="Z128" i="42" s="1"/>
  <c r="Z18" i="69"/>
  <c r="R18" i="69"/>
  <c r="I10" i="5"/>
  <c r="K10" i="5" s="1"/>
  <c r="R12" i="69"/>
  <c r="R25" i="69"/>
  <c r="E24" i="70"/>
  <c r="AS24" i="70" s="1"/>
  <c r="D28" i="69"/>
  <c r="D29" i="69" s="1"/>
  <c r="R10" i="69"/>
  <c r="S24" i="69"/>
  <c r="C19" i="68"/>
  <c r="F28" i="69"/>
  <c r="F29" i="69" s="1"/>
  <c r="H14" i="69"/>
  <c r="N14" i="69" s="1"/>
  <c r="Z15" i="69"/>
  <c r="S17" i="69"/>
  <c r="Q18" i="69"/>
  <c r="Q23" i="69"/>
  <c r="E13" i="70"/>
  <c r="AS13" i="70" s="1"/>
  <c r="T29" i="70"/>
  <c r="S18" i="69"/>
  <c r="E20" i="70"/>
  <c r="AS20" i="70" s="1"/>
  <c r="V29" i="70"/>
  <c r="AJ29" i="70"/>
  <c r="E21" i="71"/>
  <c r="E25" i="71" s="1"/>
  <c r="L22" i="68"/>
  <c r="S13" i="69"/>
  <c r="S14" i="69"/>
  <c r="S15" i="69"/>
  <c r="H18" i="69"/>
  <c r="N18" i="69" s="1"/>
  <c r="S25" i="69"/>
  <c r="E10" i="70"/>
  <c r="AS10" i="70" s="1"/>
  <c r="E12" i="70"/>
  <c r="AS12" i="70" s="1"/>
  <c r="E15" i="70"/>
  <c r="AS15" i="70" s="1"/>
  <c r="E17" i="70"/>
  <c r="AS17" i="70" s="1"/>
  <c r="E23" i="70"/>
  <c r="AS23" i="70" s="1"/>
  <c r="F11" i="71"/>
  <c r="F12" i="71" s="1"/>
  <c r="P12" i="71" s="1"/>
  <c r="F21" i="71"/>
  <c r="B54" i="68"/>
  <c r="R11" i="69"/>
  <c r="S21" i="69"/>
  <c r="S22" i="69"/>
  <c r="S23" i="69"/>
  <c r="H26" i="69"/>
  <c r="N26" i="69" s="1"/>
  <c r="R26" i="69"/>
  <c r="E19" i="70"/>
  <c r="AS19" i="70" s="1"/>
  <c r="C12" i="71"/>
  <c r="L28" i="69"/>
  <c r="L29" i="69" s="1"/>
  <c r="H11" i="69"/>
  <c r="N11" i="69" s="1"/>
  <c r="Z12" i="69"/>
  <c r="H13" i="69"/>
  <c r="N13" i="69" s="1"/>
  <c r="H16" i="69"/>
  <c r="N16" i="69" s="1"/>
  <c r="R17" i="69"/>
  <c r="R19" i="69"/>
  <c r="E22" i="70"/>
  <c r="AS22" i="70" s="1"/>
  <c r="E26" i="70"/>
  <c r="AS26" i="70" s="1"/>
  <c r="L29" i="70"/>
  <c r="Z29" i="70"/>
  <c r="D12" i="71"/>
  <c r="G20" i="71"/>
  <c r="M10" i="71" s="1"/>
  <c r="K28" i="68"/>
  <c r="L54" i="68"/>
  <c r="M54" i="68" s="1"/>
  <c r="S9" i="69"/>
  <c r="M28" i="69"/>
  <c r="M29" i="69" s="1"/>
  <c r="F38" i="69" s="1"/>
  <c r="E28" i="69"/>
  <c r="E29" i="69" s="1"/>
  <c r="Z14" i="69"/>
  <c r="S16" i="69"/>
  <c r="H19" i="69"/>
  <c r="N19" i="69" s="1"/>
  <c r="Q20" i="69"/>
  <c r="H21" i="69"/>
  <c r="N21" i="69" s="1"/>
  <c r="Z27" i="69"/>
  <c r="E9" i="70"/>
  <c r="AS9" i="70" s="1"/>
  <c r="E21" i="70"/>
  <c r="AS21" i="70" s="1"/>
  <c r="N29" i="70"/>
  <c r="J10" i="71"/>
  <c r="L9" i="71"/>
  <c r="G6" i="71"/>
  <c r="G9" i="71"/>
  <c r="E14" i="70"/>
  <c r="H27" i="69"/>
  <c r="N27" i="69" s="1"/>
  <c r="R9" i="69"/>
  <c r="S10" i="69"/>
  <c r="H12" i="69"/>
  <c r="N12" i="69" s="1"/>
  <c r="H20" i="69"/>
  <c r="N20" i="69" s="1"/>
  <c r="S26" i="69"/>
  <c r="R27" i="69"/>
  <c r="P28" i="69"/>
  <c r="P32" i="69" s="1"/>
  <c r="F34" i="69"/>
  <c r="F36" i="69" s="1"/>
  <c r="S11" i="69"/>
  <c r="Z17" i="69"/>
  <c r="S19" i="69"/>
  <c r="Z25" i="69"/>
  <c r="S27" i="69"/>
  <c r="I28" i="69"/>
  <c r="Z10" i="69"/>
  <c r="R13" i="69"/>
  <c r="R21" i="69"/>
  <c r="J28" i="69"/>
  <c r="R14" i="69"/>
  <c r="H15" i="69"/>
  <c r="N15" i="69" s="1"/>
  <c r="R22" i="69"/>
  <c r="H23" i="69"/>
  <c r="N23" i="69" s="1"/>
  <c r="R15" i="69"/>
  <c r="H17" i="69"/>
  <c r="N17" i="69" s="1"/>
  <c r="R23" i="69"/>
  <c r="H25" i="69"/>
  <c r="N25" i="69" s="1"/>
  <c r="H10" i="69"/>
  <c r="N10" i="69" s="1"/>
  <c r="Q11" i="69"/>
  <c r="Y28" i="69"/>
  <c r="M15" i="68"/>
  <c r="M48" i="68"/>
  <c r="L14" i="68"/>
  <c r="M14" i="68" s="1"/>
  <c r="C45" i="68"/>
  <c r="AH22" i="12" l="1"/>
  <c r="I329" i="13"/>
  <c r="AC22" i="12"/>
  <c r="Q23" i="10"/>
  <c r="AC23" i="10" s="1"/>
  <c r="D22" i="7"/>
  <c r="AC22" i="7" s="1"/>
  <c r="Z22" i="11"/>
  <c r="AM22" i="12"/>
  <c r="C21" i="11"/>
  <c r="C6" i="9" s="1"/>
  <c r="C23" i="10"/>
  <c r="C22" i="10" s="1"/>
  <c r="C22" i="7"/>
  <c r="R253" i="13"/>
  <c r="L254" i="13"/>
  <c r="AH23" i="10"/>
  <c r="AM141" i="10"/>
  <c r="AG133" i="10"/>
  <c r="AM133" i="10" s="1"/>
  <c r="AG129" i="10"/>
  <c r="AG65" i="10"/>
  <c r="AG7" i="12"/>
  <c r="J29" i="69"/>
  <c r="K33" i="69"/>
  <c r="E27" i="70"/>
  <c r="M45" i="68"/>
  <c r="L19" i="68"/>
  <c r="M19" i="68" s="1"/>
  <c r="T31" i="69"/>
  <c r="Z28" i="69"/>
  <c r="E31" i="69"/>
  <c r="R28" i="69"/>
  <c r="L11" i="71"/>
  <c r="F25" i="71"/>
  <c r="K11" i="71"/>
  <c r="I31" i="69"/>
  <c r="AE41" i="37"/>
  <c r="G52" i="37"/>
  <c r="AF41" i="36"/>
  <c r="AG33" i="31"/>
  <c r="AI33" i="31"/>
  <c r="R6" i="39"/>
  <c r="K89" i="21"/>
  <c r="F44" i="18" s="1"/>
  <c r="E32" i="69"/>
  <c r="R29" i="69"/>
  <c r="L63" i="51"/>
  <c r="G63" i="51"/>
  <c r="M63" i="51"/>
  <c r="AF8" i="37"/>
  <c r="AE8" i="31"/>
  <c r="G32" i="31"/>
  <c r="M60" i="28"/>
  <c r="I59" i="47"/>
  <c r="C116" i="11"/>
  <c r="N10" i="9" s="1"/>
  <c r="I60" i="47"/>
  <c r="C116" i="12"/>
  <c r="F17" i="49"/>
  <c r="D22" i="49"/>
  <c r="G47" i="49" s="1"/>
  <c r="V73" i="40"/>
  <c r="T73" i="40"/>
  <c r="G94" i="12"/>
  <c r="H94" i="11"/>
  <c r="Q73" i="40"/>
  <c r="R52" i="22"/>
  <c r="E59" i="2"/>
  <c r="E51" i="2"/>
  <c r="X274" i="13" s="1"/>
  <c r="Y274" i="13" s="1"/>
  <c r="I106" i="45"/>
  <c r="I108" i="45"/>
  <c r="I110" i="45" s="1"/>
  <c r="AF8" i="28"/>
  <c r="H32" i="28"/>
  <c r="I125" i="22"/>
  <c r="I127" i="22" s="1"/>
  <c r="R55" i="42"/>
  <c r="L43" i="41"/>
  <c r="R43" i="41" s="1"/>
  <c r="K37" i="31"/>
  <c r="S31" i="22"/>
  <c r="M26" i="21"/>
  <c r="R65" i="22"/>
  <c r="L49" i="21"/>
  <c r="AM27" i="17"/>
  <c r="AR27" i="17" s="1"/>
  <c r="AF27" i="17"/>
  <c r="AM50" i="17"/>
  <c r="AR50" i="17" s="1"/>
  <c r="AF50" i="17"/>
  <c r="R16" i="9"/>
  <c r="R127" i="10"/>
  <c r="R125" i="10" s="1"/>
  <c r="AI47" i="10"/>
  <c r="S58" i="20"/>
  <c r="Z324" i="13"/>
  <c r="Z319" i="13"/>
  <c r="AF49" i="17"/>
  <c r="AM49" i="17"/>
  <c r="AR49" i="17" s="1"/>
  <c r="M56" i="55"/>
  <c r="K227" i="55"/>
  <c r="O360" i="55"/>
  <c r="Q360" i="55" s="1"/>
  <c r="H256" i="55"/>
  <c r="O219" i="55"/>
  <c r="Q219" i="55" s="1"/>
  <c r="I396" i="55"/>
  <c r="O386" i="55"/>
  <c r="Q386" i="55" s="1"/>
  <c r="O243" i="55"/>
  <c r="Q243" i="55" s="1"/>
  <c r="G73" i="51"/>
  <c r="L73" i="51"/>
  <c r="M73" i="51"/>
  <c r="P112" i="12"/>
  <c r="I14" i="52"/>
  <c r="D34" i="52"/>
  <c r="K57" i="47"/>
  <c r="P120" i="12"/>
  <c r="D120" i="12"/>
  <c r="S19" i="46"/>
  <c r="N19" i="46"/>
  <c r="S51" i="46"/>
  <c r="N51" i="46"/>
  <c r="R77" i="46"/>
  <c r="L82" i="46"/>
  <c r="R82" i="46" s="1"/>
  <c r="M77" i="46"/>
  <c r="L140" i="51"/>
  <c r="M140" i="51"/>
  <c r="G140" i="51"/>
  <c r="S26" i="46"/>
  <c r="N26" i="46"/>
  <c r="S28" i="47"/>
  <c r="AA74" i="46"/>
  <c r="O74" i="46"/>
  <c r="U74" i="46" s="1"/>
  <c r="Q74" i="46"/>
  <c r="T74" i="46"/>
  <c r="N34" i="47"/>
  <c r="S34" i="47"/>
  <c r="U99" i="46"/>
  <c r="N19" i="47"/>
  <c r="S19" i="47"/>
  <c r="M53" i="46"/>
  <c r="R53" i="46"/>
  <c r="J122" i="11"/>
  <c r="U122" i="12"/>
  <c r="I122" i="12"/>
  <c r="V8" i="44"/>
  <c r="T8" i="44"/>
  <c r="Q8" i="44"/>
  <c r="O8" i="44"/>
  <c r="N69" i="46"/>
  <c r="S69" i="46"/>
  <c r="AA55" i="46"/>
  <c r="T55" i="46"/>
  <c r="O55" i="46"/>
  <c r="U55" i="46" s="1"/>
  <c r="AA105" i="46"/>
  <c r="T105" i="46"/>
  <c r="O105" i="46"/>
  <c r="U105" i="46" s="1"/>
  <c r="E27" i="52"/>
  <c r="E34" i="52" s="1"/>
  <c r="AA145" i="46"/>
  <c r="T145" i="46"/>
  <c r="O145" i="46"/>
  <c r="N78" i="45"/>
  <c r="S78" i="45"/>
  <c r="M20" i="47"/>
  <c r="R20" i="47"/>
  <c r="L61" i="47"/>
  <c r="AA148" i="46"/>
  <c r="T148" i="46"/>
  <c r="O148" i="46"/>
  <c r="U148" i="46" s="1"/>
  <c r="O170" i="46"/>
  <c r="U170" i="46" s="1"/>
  <c r="T170" i="46"/>
  <c r="I172" i="46"/>
  <c r="AA141" i="46"/>
  <c r="T141" i="46"/>
  <c r="O141" i="46"/>
  <c r="S79" i="45"/>
  <c r="N79" i="45"/>
  <c r="N102" i="46"/>
  <c r="S102" i="46"/>
  <c r="N15" i="42"/>
  <c r="S15" i="42"/>
  <c r="M15" i="41"/>
  <c r="M25" i="43"/>
  <c r="R25" i="43"/>
  <c r="N57" i="43"/>
  <c r="S57" i="43"/>
  <c r="R35" i="42"/>
  <c r="M35" i="42"/>
  <c r="L33" i="41"/>
  <c r="R33" i="41" s="1"/>
  <c r="D100" i="11"/>
  <c r="J102" i="45"/>
  <c r="J104" i="45"/>
  <c r="Z21" i="43"/>
  <c r="O21" i="43"/>
  <c r="U21" i="43" s="1"/>
  <c r="T21" i="43"/>
  <c r="Q21" i="43"/>
  <c r="S18" i="44"/>
  <c r="N18" i="44"/>
  <c r="Z30" i="43"/>
  <c r="T30" i="43"/>
  <c r="O30" i="43"/>
  <c r="U30" i="43" s="1"/>
  <c r="Q30" i="43"/>
  <c r="M87" i="42"/>
  <c r="R87" i="42"/>
  <c r="Z50" i="43"/>
  <c r="T50" i="43"/>
  <c r="O50" i="43"/>
  <c r="Z83" i="43"/>
  <c r="O83" i="43"/>
  <c r="U83" i="43" s="1"/>
  <c r="Q83" i="43"/>
  <c r="T83" i="43"/>
  <c r="X39" i="42"/>
  <c r="T39" i="42"/>
  <c r="Q39" i="42"/>
  <c r="N37" i="41"/>
  <c r="O39" i="42"/>
  <c r="M72" i="42"/>
  <c r="R72" i="42"/>
  <c r="P67" i="43"/>
  <c r="J99" i="42"/>
  <c r="J134" i="42" s="1"/>
  <c r="S112" i="42"/>
  <c r="N123" i="46"/>
  <c r="S123" i="46"/>
  <c r="N55" i="43"/>
  <c r="S55" i="43"/>
  <c r="U57" i="42"/>
  <c r="O45" i="41"/>
  <c r="U45" i="41" s="1"/>
  <c r="X104" i="42"/>
  <c r="T104" i="42"/>
  <c r="O104" i="42"/>
  <c r="Q104" i="42"/>
  <c r="V75" i="41"/>
  <c r="T75" i="41"/>
  <c r="N121" i="42"/>
  <c r="S121" i="42"/>
  <c r="N33" i="66"/>
  <c r="O34" i="66"/>
  <c r="T68" i="40"/>
  <c r="V68" i="40"/>
  <c r="O68" i="40"/>
  <c r="U68" i="40" s="1"/>
  <c r="J22" i="66"/>
  <c r="AG22" i="66"/>
  <c r="I20" i="66"/>
  <c r="AG20" i="66" s="1"/>
  <c r="AA42" i="66"/>
  <c r="Z41" i="66"/>
  <c r="Z52" i="66" s="1"/>
  <c r="P43" i="40"/>
  <c r="U48" i="37"/>
  <c r="T47" i="37"/>
  <c r="S26" i="41"/>
  <c r="AA47" i="66"/>
  <c r="AB48" i="66"/>
  <c r="D94" i="12"/>
  <c r="E94" i="11"/>
  <c r="T20" i="38"/>
  <c r="U21" i="38"/>
  <c r="L36" i="42"/>
  <c r="R36" i="42" s="1"/>
  <c r="AB33" i="66"/>
  <c r="AC34" i="66"/>
  <c r="AC33" i="66" s="1"/>
  <c r="AF33" i="37"/>
  <c r="J13" i="38"/>
  <c r="AH13" i="38" s="1"/>
  <c r="AG13" i="38"/>
  <c r="AC21" i="37"/>
  <c r="AC20" i="37" s="1"/>
  <c r="AB20" i="37"/>
  <c r="I42" i="38"/>
  <c r="AF42" i="38"/>
  <c r="H41" i="38"/>
  <c r="AA41" i="38"/>
  <c r="AB42" i="38"/>
  <c r="C356" i="55"/>
  <c r="O351" i="55"/>
  <c r="Q351" i="55" s="1"/>
  <c r="U65" i="40"/>
  <c r="J19" i="37"/>
  <c r="AH19" i="37" s="1"/>
  <c r="AG19" i="37"/>
  <c r="AI19" i="37"/>
  <c r="P356" i="55"/>
  <c r="F61" i="35"/>
  <c r="F57" i="35"/>
  <c r="F60" i="35"/>
  <c r="AB42" i="37"/>
  <c r="AA41" i="37"/>
  <c r="AA52" i="37" s="1"/>
  <c r="Y37" i="37"/>
  <c r="Y60" i="37" s="1"/>
  <c r="I12" i="36"/>
  <c r="AF12" i="36"/>
  <c r="I14" i="35"/>
  <c r="AF14" i="35"/>
  <c r="G32" i="35"/>
  <c r="AE8" i="35"/>
  <c r="O34" i="35"/>
  <c r="N33" i="35"/>
  <c r="J12" i="38"/>
  <c r="AH12" i="38" s="1"/>
  <c r="AG12" i="38"/>
  <c r="AB42" i="36"/>
  <c r="AA41" i="36"/>
  <c r="AA52" i="36" s="1"/>
  <c r="J49" i="66"/>
  <c r="AH49" i="66" s="1"/>
  <c r="AG49" i="66"/>
  <c r="S36" i="36"/>
  <c r="R33" i="36"/>
  <c r="R37" i="36" s="1"/>
  <c r="J46" i="37"/>
  <c r="AH46" i="37" s="1"/>
  <c r="AG46" i="37"/>
  <c r="J29" i="34"/>
  <c r="AH29" i="34" s="1"/>
  <c r="AG29" i="34"/>
  <c r="J30" i="33"/>
  <c r="AH30" i="33" s="1"/>
  <c r="AG30" i="33"/>
  <c r="AA52" i="35"/>
  <c r="AE41" i="34"/>
  <c r="G52" i="34"/>
  <c r="F299" i="55"/>
  <c r="N299" i="55"/>
  <c r="G299" i="55"/>
  <c r="H299" i="55"/>
  <c r="I299" i="55"/>
  <c r="J299" i="55"/>
  <c r="D299" i="55"/>
  <c r="L299" i="55"/>
  <c r="C299" i="55"/>
  <c r="E299" i="55"/>
  <c r="K299" i="55"/>
  <c r="M299" i="55"/>
  <c r="AH9" i="33"/>
  <c r="J16" i="37"/>
  <c r="AH16" i="37" s="1"/>
  <c r="AG16" i="37"/>
  <c r="AI16" i="37"/>
  <c r="M23" i="17"/>
  <c r="AG46" i="33"/>
  <c r="J46" i="33"/>
  <c r="AH46" i="33" s="1"/>
  <c r="AI46" i="33"/>
  <c r="S33" i="32"/>
  <c r="T34" i="32"/>
  <c r="AB23" i="31"/>
  <c r="AC24" i="31"/>
  <c r="AC23" i="31" s="1"/>
  <c r="L244" i="55"/>
  <c r="J45" i="35"/>
  <c r="AH45" i="35" s="1"/>
  <c r="AG45" i="35"/>
  <c r="O304" i="55"/>
  <c r="Q304" i="55" s="1"/>
  <c r="N20" i="31"/>
  <c r="O21" i="31"/>
  <c r="Z47" i="31"/>
  <c r="AA48" i="31"/>
  <c r="J15" i="33"/>
  <c r="AH15" i="33" s="1"/>
  <c r="AG15" i="33"/>
  <c r="AI15" i="33"/>
  <c r="I48" i="33"/>
  <c r="H47" i="33"/>
  <c r="AF48" i="33"/>
  <c r="O20" i="36"/>
  <c r="T33" i="33"/>
  <c r="U34" i="33"/>
  <c r="AG18" i="32"/>
  <c r="AI18" i="32"/>
  <c r="J18" i="32"/>
  <c r="AH18" i="32" s="1"/>
  <c r="I18" i="17"/>
  <c r="J25" i="31"/>
  <c r="AH25" i="31" s="1"/>
  <c r="AG25" i="31"/>
  <c r="K199" i="55"/>
  <c r="J16" i="32"/>
  <c r="AH16" i="32" s="1"/>
  <c r="AG16" i="32"/>
  <c r="AI16" i="32"/>
  <c r="J19" i="30"/>
  <c r="AH19" i="30" s="1"/>
  <c r="AG19" i="30"/>
  <c r="AI19" i="30"/>
  <c r="AE52" i="29"/>
  <c r="O182" i="55"/>
  <c r="Q182" i="55" s="1"/>
  <c r="C187" i="55"/>
  <c r="D57" i="37"/>
  <c r="H303" i="55"/>
  <c r="H312" i="55" s="1"/>
  <c r="I303" i="55"/>
  <c r="I312" i="55" s="1"/>
  <c r="J303" i="55"/>
  <c r="J312" i="55" s="1"/>
  <c r="C303" i="55"/>
  <c r="K303" i="55"/>
  <c r="K312" i="55" s="1"/>
  <c r="D303" i="55"/>
  <c r="D312" i="55" s="1"/>
  <c r="L303" i="55"/>
  <c r="L312" i="55" s="1"/>
  <c r="F303" i="55"/>
  <c r="F312" i="55" s="1"/>
  <c r="N303" i="55"/>
  <c r="N312" i="55" s="1"/>
  <c r="G303" i="55"/>
  <c r="G312" i="55" s="1"/>
  <c r="M303" i="55"/>
  <c r="M312" i="55" s="1"/>
  <c r="E303" i="55"/>
  <c r="E312" i="55" s="1"/>
  <c r="Y37" i="35"/>
  <c r="N23" i="30"/>
  <c r="O24" i="30"/>
  <c r="R14" i="39"/>
  <c r="I42" i="30"/>
  <c r="H41" i="30"/>
  <c r="AF42" i="30"/>
  <c r="I41" i="28"/>
  <c r="AG42" i="28"/>
  <c r="J42" i="28"/>
  <c r="AI42" i="28"/>
  <c r="V42" i="34"/>
  <c r="V41" i="34" s="1"/>
  <c r="U41" i="34"/>
  <c r="Z47" i="28"/>
  <c r="AA48" i="28"/>
  <c r="AF47" i="26"/>
  <c r="AA9" i="33"/>
  <c r="Z8" i="33"/>
  <c r="Z32" i="33" s="1"/>
  <c r="Z37" i="33" s="1"/>
  <c r="AG28" i="29"/>
  <c r="J28" i="29"/>
  <c r="AH28" i="29" s="1"/>
  <c r="M52" i="29"/>
  <c r="G62" i="29" s="1"/>
  <c r="J24" i="28"/>
  <c r="AG24" i="28"/>
  <c r="H158" i="55"/>
  <c r="U20" i="25"/>
  <c r="V21" i="25"/>
  <c r="V20" i="25" s="1"/>
  <c r="T8" i="31"/>
  <c r="AH34" i="31"/>
  <c r="I41" i="27"/>
  <c r="J42" i="27"/>
  <c r="AG42" i="27"/>
  <c r="AI42" i="27"/>
  <c r="J36" i="26"/>
  <c r="AI36" i="26"/>
  <c r="AG36" i="26"/>
  <c r="AE8" i="30"/>
  <c r="G32" i="30"/>
  <c r="N8" i="37"/>
  <c r="J14" i="32"/>
  <c r="AH14" i="32" s="1"/>
  <c r="AG14" i="32"/>
  <c r="AI14" i="32"/>
  <c r="T48" i="30"/>
  <c r="S47" i="30"/>
  <c r="AG28" i="30"/>
  <c r="J28" i="30"/>
  <c r="AH28" i="30" s="1"/>
  <c r="J19" i="28"/>
  <c r="AH19" i="28" s="1"/>
  <c r="AG19" i="28"/>
  <c r="O48" i="28"/>
  <c r="N47" i="28"/>
  <c r="AA42" i="27"/>
  <c r="Z41" i="27"/>
  <c r="Z52" i="27" s="1"/>
  <c r="AC21" i="26"/>
  <c r="J15" i="25"/>
  <c r="AH15" i="25" s="1"/>
  <c r="AG15" i="25"/>
  <c r="AI15" i="25"/>
  <c r="K73" i="55"/>
  <c r="J29" i="30"/>
  <c r="AH29" i="30" s="1"/>
  <c r="AG29" i="30"/>
  <c r="P33" i="29"/>
  <c r="J13" i="39"/>
  <c r="AE47" i="27"/>
  <c r="G52" i="27"/>
  <c r="Z23" i="29"/>
  <c r="AA24" i="29"/>
  <c r="J19" i="27"/>
  <c r="AH19" i="27" s="1"/>
  <c r="AG19" i="27"/>
  <c r="AI19" i="27"/>
  <c r="V9" i="26"/>
  <c r="V8" i="26" s="1"/>
  <c r="U8" i="26"/>
  <c r="AA9" i="27"/>
  <c r="Z8" i="27"/>
  <c r="Z9" i="17"/>
  <c r="P9" i="24"/>
  <c r="P8" i="24" s="1"/>
  <c r="O8" i="24"/>
  <c r="J28" i="25"/>
  <c r="AH28" i="25" s="1"/>
  <c r="AG28" i="25"/>
  <c r="Y60" i="24"/>
  <c r="I42" i="26"/>
  <c r="H41" i="26"/>
  <c r="AF42" i="26"/>
  <c r="AG27" i="28"/>
  <c r="J27" i="28"/>
  <c r="AH27" i="28" s="1"/>
  <c r="U41" i="27"/>
  <c r="U52" i="27" s="1"/>
  <c r="V42" i="27"/>
  <c r="V41" i="27" s="1"/>
  <c r="V52" i="27" s="1"/>
  <c r="M60" i="25"/>
  <c r="AI48" i="24"/>
  <c r="AG48" i="24"/>
  <c r="I47" i="24"/>
  <c r="J48" i="24"/>
  <c r="I30" i="24"/>
  <c r="AF30" i="24"/>
  <c r="H30" i="17"/>
  <c r="H20" i="24"/>
  <c r="AF20" i="24" s="1"/>
  <c r="AF21" i="24"/>
  <c r="I21" i="24"/>
  <c r="AA23" i="23"/>
  <c r="AB24" i="23"/>
  <c r="O61" i="22"/>
  <c r="Q61" i="22"/>
  <c r="T61" i="22"/>
  <c r="N48" i="21"/>
  <c r="V61" i="22"/>
  <c r="U48" i="23"/>
  <c r="T47" i="23"/>
  <c r="N23" i="22"/>
  <c r="S23" i="22"/>
  <c r="M25" i="22"/>
  <c r="S25" i="22" s="1"/>
  <c r="M21" i="21"/>
  <c r="S47" i="22"/>
  <c r="N47" i="22"/>
  <c r="T86" i="22"/>
  <c r="V86" i="22"/>
  <c r="O86" i="22"/>
  <c r="Q86" i="22"/>
  <c r="G48" i="18"/>
  <c r="R136" i="22"/>
  <c r="I44" i="24"/>
  <c r="AF44" i="24"/>
  <c r="I26" i="23"/>
  <c r="AF26" i="23"/>
  <c r="T53" i="22"/>
  <c r="V53" i="22"/>
  <c r="N40" i="21"/>
  <c r="T40" i="21" s="1"/>
  <c r="O53" i="22"/>
  <c r="O115" i="22"/>
  <c r="T115" i="22"/>
  <c r="V115" i="22"/>
  <c r="N81" i="21"/>
  <c r="T81" i="21" s="1"/>
  <c r="P46" i="20"/>
  <c r="I44" i="23"/>
  <c r="AF44" i="23"/>
  <c r="T28" i="22"/>
  <c r="V28" i="22"/>
  <c r="O28" i="22"/>
  <c r="R133" i="22"/>
  <c r="G46" i="18"/>
  <c r="R15" i="14"/>
  <c r="E67" i="12"/>
  <c r="AI67" i="12" s="1"/>
  <c r="F67" i="11"/>
  <c r="S23" i="17"/>
  <c r="AI46" i="23"/>
  <c r="J46" i="23"/>
  <c r="AH46" i="23" s="1"/>
  <c r="AG46" i="23"/>
  <c r="O17" i="22"/>
  <c r="Q17" i="22"/>
  <c r="T17" i="22"/>
  <c r="V17" i="22"/>
  <c r="N17" i="21"/>
  <c r="S97" i="22"/>
  <c r="M66" i="21"/>
  <c r="N97" i="22"/>
  <c r="S113" i="22"/>
  <c r="N113" i="22"/>
  <c r="M79" i="21"/>
  <c r="S79" i="21" s="1"/>
  <c r="P135" i="22"/>
  <c r="U135" i="22"/>
  <c r="T26" i="20"/>
  <c r="V26" i="20"/>
  <c r="O26" i="20"/>
  <c r="Q26" i="20"/>
  <c r="O60" i="20"/>
  <c r="T60" i="20"/>
  <c r="V60" i="20"/>
  <c r="T11" i="18"/>
  <c r="S11" i="17"/>
  <c r="K39" i="10" s="1"/>
  <c r="AC39" i="10" s="1"/>
  <c r="S19" i="17"/>
  <c r="K47" i="10" s="1"/>
  <c r="AC47" i="10" s="1"/>
  <c r="T19" i="18"/>
  <c r="AB21" i="14"/>
  <c r="T21" i="14"/>
  <c r="O21" i="14"/>
  <c r="U21" i="14" s="1"/>
  <c r="U20" i="19"/>
  <c r="J34" i="18"/>
  <c r="AL11" i="17"/>
  <c r="AQ11" i="17" s="1"/>
  <c r="AE11" i="17"/>
  <c r="E39" i="10"/>
  <c r="AI39" i="10" s="1"/>
  <c r="F38" i="7"/>
  <c r="L38" i="7" s="1"/>
  <c r="K51" i="18"/>
  <c r="K51" i="17" s="1"/>
  <c r="AH51" i="18"/>
  <c r="T49" i="20"/>
  <c r="V49" i="20"/>
  <c r="O49" i="20"/>
  <c r="U49" i="20" s="1"/>
  <c r="Q49" i="20"/>
  <c r="O64" i="20"/>
  <c r="U64" i="20" s="1"/>
  <c r="Q64" i="20"/>
  <c r="T64" i="20"/>
  <c r="V64" i="20"/>
  <c r="AE15" i="17"/>
  <c r="AL15" i="17"/>
  <c r="F42" i="7"/>
  <c r="E43" i="10"/>
  <c r="U30" i="17"/>
  <c r="V30" i="18"/>
  <c r="N19" i="14"/>
  <c r="S19" i="14"/>
  <c r="AC21" i="23"/>
  <c r="AC20" i="23" s="1"/>
  <c r="AB20" i="23"/>
  <c r="T105" i="20"/>
  <c r="V105" i="20"/>
  <c r="O105" i="20"/>
  <c r="U105" i="20" s="1"/>
  <c r="Q105" i="20"/>
  <c r="D43" i="17"/>
  <c r="D41" i="18"/>
  <c r="R4" i="19"/>
  <c r="G10" i="18"/>
  <c r="L13" i="19"/>
  <c r="K59" i="13"/>
  <c r="AB14" i="17"/>
  <c r="AC14" i="18"/>
  <c r="AC14" i="17" s="1"/>
  <c r="K73" i="10"/>
  <c r="G32" i="23"/>
  <c r="AG50" i="23"/>
  <c r="J50" i="23"/>
  <c r="AH50" i="23" s="1"/>
  <c r="R29" i="14"/>
  <c r="K71" i="12" s="1"/>
  <c r="F71" i="11"/>
  <c r="E71" i="12"/>
  <c r="R41" i="21"/>
  <c r="L42" i="21"/>
  <c r="R42" i="21" s="1"/>
  <c r="P61" i="21"/>
  <c r="Q13" i="19"/>
  <c r="AL28" i="17"/>
  <c r="AQ28" i="17" s="1"/>
  <c r="AE28" i="17"/>
  <c r="N35" i="17"/>
  <c r="R76" i="10" s="1"/>
  <c r="AD76" i="10" s="1"/>
  <c r="AE45" i="17"/>
  <c r="AL45" i="17"/>
  <c r="AQ45" i="17" s="1"/>
  <c r="S12" i="14"/>
  <c r="G66" i="11"/>
  <c r="F66" i="12"/>
  <c r="AJ66" i="12" s="1"/>
  <c r="R90" i="46"/>
  <c r="R3" i="47"/>
  <c r="O36" i="20"/>
  <c r="Q36" i="20"/>
  <c r="T36" i="20"/>
  <c r="V36" i="20"/>
  <c r="N38" i="20"/>
  <c r="S16" i="17"/>
  <c r="K44" i="10" s="1"/>
  <c r="T7" i="14"/>
  <c r="O7" i="14"/>
  <c r="M165" i="13"/>
  <c r="N162" i="13"/>
  <c r="S162" i="13"/>
  <c r="S181" i="20"/>
  <c r="I11" i="11"/>
  <c r="U10" i="13"/>
  <c r="H11" i="12"/>
  <c r="N11" i="12"/>
  <c r="S302" i="13"/>
  <c r="N302" i="13"/>
  <c r="M304" i="13"/>
  <c r="S304" i="13" s="1"/>
  <c r="AC49" i="18"/>
  <c r="S241" i="13"/>
  <c r="N241" i="13"/>
  <c r="O68" i="20"/>
  <c r="U68" i="20" s="1"/>
  <c r="Q68" i="20"/>
  <c r="T68" i="20"/>
  <c r="V68" i="20"/>
  <c r="O17" i="13"/>
  <c r="Q17" i="13"/>
  <c r="AG17" i="13"/>
  <c r="T17" i="13"/>
  <c r="M13" i="12"/>
  <c r="G13" i="12"/>
  <c r="H13" i="11"/>
  <c r="P50" i="13"/>
  <c r="U19" i="12"/>
  <c r="S135" i="13"/>
  <c r="N135" i="13"/>
  <c r="L296" i="13"/>
  <c r="R294" i="13"/>
  <c r="M294" i="13"/>
  <c r="V51" i="18"/>
  <c r="U51" i="17"/>
  <c r="R149" i="13"/>
  <c r="M149" i="13"/>
  <c r="I109" i="12"/>
  <c r="AL109" i="12"/>
  <c r="I109" i="11"/>
  <c r="E30" i="11"/>
  <c r="D30" i="12"/>
  <c r="C63" i="12"/>
  <c r="C88" i="12" s="1"/>
  <c r="AC76" i="12"/>
  <c r="AI76" i="12" s="1"/>
  <c r="R97" i="13"/>
  <c r="L100" i="13"/>
  <c r="T30" i="12"/>
  <c r="S31" i="10"/>
  <c r="Q68" i="11"/>
  <c r="C39" i="11"/>
  <c r="C39" i="12"/>
  <c r="C35" i="12" s="1"/>
  <c r="I218" i="13"/>
  <c r="C43" i="7"/>
  <c r="C44" i="10"/>
  <c r="E8" i="10"/>
  <c r="AI9" i="10"/>
  <c r="L30" i="9"/>
  <c r="I30" i="9"/>
  <c r="J30" i="9" s="1"/>
  <c r="H76" i="51"/>
  <c r="N76" i="51"/>
  <c r="Q33" i="11"/>
  <c r="C34" i="10"/>
  <c r="C29" i="10" s="1"/>
  <c r="C33" i="7"/>
  <c r="C28" i="11"/>
  <c r="C9" i="8" s="1"/>
  <c r="I46" i="10"/>
  <c r="J45" i="7"/>
  <c r="AE58" i="13"/>
  <c r="D19" i="11"/>
  <c r="J59" i="13"/>
  <c r="N131" i="13"/>
  <c r="S131" i="13"/>
  <c r="M160" i="13"/>
  <c r="AG252" i="13"/>
  <c r="O252" i="13"/>
  <c r="U252" i="13" s="1"/>
  <c r="T252" i="13"/>
  <c r="AM7" i="12"/>
  <c r="AH8" i="10"/>
  <c r="E64" i="51"/>
  <c r="D88" i="10"/>
  <c r="F45" i="12"/>
  <c r="G45" i="11"/>
  <c r="S201" i="13"/>
  <c r="L45" i="12"/>
  <c r="N201" i="13"/>
  <c r="AM127" i="12"/>
  <c r="AF98" i="12"/>
  <c r="I77" i="10"/>
  <c r="I26" i="9"/>
  <c r="L26" i="9"/>
  <c r="AK40" i="12"/>
  <c r="H40" i="11"/>
  <c r="H40" i="12"/>
  <c r="I115" i="10"/>
  <c r="AM115" i="10" s="1"/>
  <c r="J117" i="7"/>
  <c r="L76" i="7"/>
  <c r="S253" i="13"/>
  <c r="M254" i="13"/>
  <c r="E16" i="56"/>
  <c r="P31" i="7"/>
  <c r="L31" i="7"/>
  <c r="E31" i="51"/>
  <c r="E140" i="51"/>
  <c r="D97" i="12"/>
  <c r="K105" i="45"/>
  <c r="E97" i="11"/>
  <c r="N127" i="51"/>
  <c r="S27" i="44"/>
  <c r="M29" i="44"/>
  <c r="T27" i="44"/>
  <c r="F19" i="56"/>
  <c r="I19" i="56"/>
  <c r="J20" i="9"/>
  <c r="J20" i="8"/>
  <c r="O51" i="55"/>
  <c r="Q51" i="55" s="1"/>
  <c r="O72" i="55"/>
  <c r="Q72" i="55" s="1"/>
  <c r="C73" i="55"/>
  <c r="O214" i="55"/>
  <c r="Q214" i="55" s="1"/>
  <c r="O105" i="55"/>
  <c r="Q105" i="55" s="1"/>
  <c r="O364" i="55"/>
  <c r="Q364" i="55" s="1"/>
  <c r="O256" i="55"/>
  <c r="Q256" i="55" s="1"/>
  <c r="O359" i="55"/>
  <c r="Q359" i="55" s="1"/>
  <c r="N368" i="55"/>
  <c r="O246" i="55"/>
  <c r="Q246" i="55" s="1"/>
  <c r="O414" i="55"/>
  <c r="Q414" i="55" s="1"/>
  <c r="M424" i="55"/>
  <c r="L76" i="51"/>
  <c r="M76" i="51"/>
  <c r="G76" i="51"/>
  <c r="L68" i="51"/>
  <c r="M68" i="51"/>
  <c r="W29" i="47"/>
  <c r="T29" i="47"/>
  <c r="Q29" i="47"/>
  <c r="O29" i="47"/>
  <c r="AA27" i="46"/>
  <c r="T27" i="46"/>
  <c r="Q27" i="46"/>
  <c r="O27" i="46"/>
  <c r="S54" i="46"/>
  <c r="N54" i="46"/>
  <c r="I16" i="52"/>
  <c r="W18" i="47"/>
  <c r="O18" i="47"/>
  <c r="T18" i="47"/>
  <c r="W30" i="47"/>
  <c r="T30" i="47"/>
  <c r="O30" i="47"/>
  <c r="U30" i="47" s="1"/>
  <c r="V35" i="46"/>
  <c r="W35" i="46" s="1"/>
  <c r="K64" i="46"/>
  <c r="K66" i="46" s="1"/>
  <c r="K86" i="46" s="1"/>
  <c r="N12" i="46"/>
  <c r="S12" i="46"/>
  <c r="N167" i="46"/>
  <c r="S167" i="46"/>
  <c r="S121" i="46"/>
  <c r="N121" i="46"/>
  <c r="N28" i="45"/>
  <c r="S28" i="45"/>
  <c r="L104" i="12"/>
  <c r="U113" i="46"/>
  <c r="P113" i="46"/>
  <c r="AA113" i="46" s="1"/>
  <c r="N25" i="42"/>
  <c r="S25" i="42"/>
  <c r="M25" i="41"/>
  <c r="S115" i="46"/>
  <c r="N115" i="46"/>
  <c r="Q76" i="45"/>
  <c r="O76" i="45"/>
  <c r="U76" i="45" s="1"/>
  <c r="T76" i="45"/>
  <c r="V76" i="45"/>
  <c r="Z73" i="43"/>
  <c r="Q73" i="43"/>
  <c r="O73" i="43"/>
  <c r="U73" i="43" s="1"/>
  <c r="T73" i="43"/>
  <c r="N52" i="46"/>
  <c r="S52" i="46"/>
  <c r="N78" i="43"/>
  <c r="S78" i="43"/>
  <c r="N38" i="42"/>
  <c r="S38" i="42"/>
  <c r="M41" i="42"/>
  <c r="M36" i="41"/>
  <c r="X96" i="42"/>
  <c r="O96" i="42"/>
  <c r="U96" i="42" s="1"/>
  <c r="Q96" i="42"/>
  <c r="T96" i="42"/>
  <c r="N43" i="43"/>
  <c r="S43" i="43"/>
  <c r="Q66" i="42"/>
  <c r="X66" i="42"/>
  <c r="O66" i="42"/>
  <c r="U66" i="42" s="1"/>
  <c r="T66" i="42"/>
  <c r="V117" i="46"/>
  <c r="W117" i="46" s="1"/>
  <c r="K157" i="46"/>
  <c r="V157" i="46" s="1"/>
  <c r="W157" i="46" s="1"/>
  <c r="Q117" i="46"/>
  <c r="L117" i="46"/>
  <c r="P114" i="12"/>
  <c r="P114" i="10" s="1"/>
  <c r="S65" i="42"/>
  <c r="N65" i="42"/>
  <c r="S44" i="47"/>
  <c r="N44" i="47"/>
  <c r="Z22" i="43"/>
  <c r="T22" i="43"/>
  <c r="Q22" i="43"/>
  <c r="O22" i="43"/>
  <c r="U22" i="43" s="1"/>
  <c r="X74" i="42"/>
  <c r="T74" i="42"/>
  <c r="O74" i="42"/>
  <c r="Q74" i="42"/>
  <c r="S59" i="43"/>
  <c r="N59" i="43"/>
  <c r="S58" i="42"/>
  <c r="X110" i="42"/>
  <c r="O110" i="42"/>
  <c r="T110" i="42"/>
  <c r="N62" i="41"/>
  <c r="K37" i="42"/>
  <c r="R68" i="41"/>
  <c r="N7" i="44"/>
  <c r="S7" i="44"/>
  <c r="R24" i="42"/>
  <c r="T92" i="45"/>
  <c r="V92" i="45"/>
  <c r="O92" i="45"/>
  <c r="Q92" i="45"/>
  <c r="K109" i="42"/>
  <c r="K60" i="41"/>
  <c r="I42" i="66"/>
  <c r="H41" i="66"/>
  <c r="AF42" i="66"/>
  <c r="N63" i="42"/>
  <c r="S63" i="42"/>
  <c r="N38" i="40"/>
  <c r="M42" i="40"/>
  <c r="S42" i="40" s="1"/>
  <c r="S38" i="40"/>
  <c r="N76" i="40"/>
  <c r="S76" i="40"/>
  <c r="I24" i="66"/>
  <c r="AF24" i="66"/>
  <c r="H23" i="66"/>
  <c r="AF23" i="66" s="1"/>
  <c r="I48" i="66"/>
  <c r="AF48" i="66"/>
  <c r="H47" i="66"/>
  <c r="AF47" i="66" s="1"/>
  <c r="N60" i="40"/>
  <c r="S60" i="40"/>
  <c r="H8" i="36"/>
  <c r="AF9" i="36"/>
  <c r="I9" i="36"/>
  <c r="I11" i="38"/>
  <c r="AF11" i="38"/>
  <c r="T74" i="40"/>
  <c r="O74" i="40"/>
  <c r="AE154" i="12"/>
  <c r="N23" i="38"/>
  <c r="O24" i="38"/>
  <c r="I42" i="37"/>
  <c r="AF42" i="37"/>
  <c r="H41" i="37"/>
  <c r="O20" i="38"/>
  <c r="P21" i="38"/>
  <c r="P20" i="38" s="1"/>
  <c r="AH9" i="37"/>
  <c r="I31" i="37"/>
  <c r="AF31" i="37"/>
  <c r="V57" i="41"/>
  <c r="T57" i="41"/>
  <c r="N59" i="41"/>
  <c r="U103" i="42"/>
  <c r="AA24" i="66"/>
  <c r="Z23" i="66"/>
  <c r="J36" i="38"/>
  <c r="AH36" i="38" s="1"/>
  <c r="AG36" i="38"/>
  <c r="AI36" i="38"/>
  <c r="F37" i="37"/>
  <c r="AJ32" i="37"/>
  <c r="T20" i="36"/>
  <c r="U21" i="36"/>
  <c r="J30" i="37"/>
  <c r="AH30" i="37" s="1"/>
  <c r="AG30" i="37"/>
  <c r="L328" i="55"/>
  <c r="I29" i="66"/>
  <c r="AF29" i="66"/>
  <c r="AI19" i="36"/>
  <c r="J19" i="36"/>
  <c r="AH19" i="36" s="1"/>
  <c r="AG19" i="36"/>
  <c r="Z33" i="35"/>
  <c r="AA34" i="35"/>
  <c r="J35" i="66"/>
  <c r="AH35" i="66" s="1"/>
  <c r="AG35" i="66"/>
  <c r="AI34" i="35"/>
  <c r="J34" i="35"/>
  <c r="AG34" i="35"/>
  <c r="U23" i="38"/>
  <c r="V24" i="38"/>
  <c r="V23" i="38" s="1"/>
  <c r="O10" i="34"/>
  <c r="N8" i="34"/>
  <c r="X54" i="42"/>
  <c r="O54" i="42"/>
  <c r="U54" i="42" s="1"/>
  <c r="T54" i="42"/>
  <c r="I25" i="37"/>
  <c r="AF25" i="37"/>
  <c r="P23" i="36"/>
  <c r="AB47" i="35"/>
  <c r="AC48" i="35"/>
  <c r="AC47" i="35" s="1"/>
  <c r="J11" i="34"/>
  <c r="AH11" i="34" s="1"/>
  <c r="AG11" i="34"/>
  <c r="AI11" i="34"/>
  <c r="O379" i="55"/>
  <c r="Q379" i="55" s="1"/>
  <c r="J12" i="33"/>
  <c r="AH12" i="33" s="1"/>
  <c r="AG12" i="33"/>
  <c r="J17" i="35"/>
  <c r="AH17" i="35" s="1"/>
  <c r="AG17" i="35"/>
  <c r="R22" i="39"/>
  <c r="O24" i="34"/>
  <c r="N23" i="34"/>
  <c r="I24" i="33"/>
  <c r="AF24" i="33"/>
  <c r="H23" i="33"/>
  <c r="AF23" i="33" s="1"/>
  <c r="G244" i="55"/>
  <c r="I16" i="38"/>
  <c r="AF16" i="38"/>
  <c r="I23" i="31"/>
  <c r="AG23" i="31" s="1"/>
  <c r="J24" i="31"/>
  <c r="AG24" i="31"/>
  <c r="O33" i="33"/>
  <c r="P34" i="33"/>
  <c r="P33" i="33" s="1"/>
  <c r="S37" i="32"/>
  <c r="P20" i="36"/>
  <c r="AA24" i="32"/>
  <c r="Z23" i="32"/>
  <c r="M199" i="55"/>
  <c r="C199" i="55"/>
  <c r="O189" i="55"/>
  <c r="Q189" i="55" s="1"/>
  <c r="I43" i="31"/>
  <c r="AF43" i="31"/>
  <c r="J187" i="55"/>
  <c r="O52" i="35"/>
  <c r="G32" i="33"/>
  <c r="I26" i="32"/>
  <c r="AF26" i="32"/>
  <c r="AI19" i="31"/>
  <c r="J19" i="31"/>
  <c r="AH19" i="31" s="1"/>
  <c r="AG19" i="31"/>
  <c r="R60" i="33"/>
  <c r="T48" i="33"/>
  <c r="S47" i="33"/>
  <c r="AB48" i="32"/>
  <c r="AA47" i="32"/>
  <c r="U9" i="30"/>
  <c r="N47" i="30"/>
  <c r="O48" i="30"/>
  <c r="S32" i="36"/>
  <c r="J12" i="34"/>
  <c r="AH12" i="34" s="1"/>
  <c r="AG12" i="34"/>
  <c r="F295" i="55"/>
  <c r="F300" i="55" s="1"/>
  <c r="N295" i="55"/>
  <c r="N300" i="55" s="1"/>
  <c r="G295" i="55"/>
  <c r="H295" i="55"/>
  <c r="H300" i="55" s="1"/>
  <c r="I295" i="55"/>
  <c r="I300" i="55" s="1"/>
  <c r="J295" i="55"/>
  <c r="J300" i="55" s="1"/>
  <c r="D295" i="55"/>
  <c r="D300" i="55" s="1"/>
  <c r="L295" i="55"/>
  <c r="L300" i="55" s="1"/>
  <c r="E295" i="55"/>
  <c r="E300" i="55" s="1"/>
  <c r="K295" i="55"/>
  <c r="K300" i="55" s="1"/>
  <c r="M295" i="55"/>
  <c r="M300" i="55" s="1"/>
  <c r="C295" i="55"/>
  <c r="AG48" i="32"/>
  <c r="AI48" i="32"/>
  <c r="J48" i="32"/>
  <c r="AG44" i="30"/>
  <c r="J44" i="30"/>
  <c r="AH44" i="30" s="1"/>
  <c r="AI44" i="30"/>
  <c r="I36" i="29"/>
  <c r="AF36" i="29"/>
  <c r="Y32" i="33"/>
  <c r="Y37" i="33" s="1"/>
  <c r="Y60" i="33" s="1"/>
  <c r="O153" i="55"/>
  <c r="Q153" i="55" s="1"/>
  <c r="C158" i="55"/>
  <c r="G158" i="55"/>
  <c r="AA23" i="25"/>
  <c r="AB24" i="25"/>
  <c r="Z32" i="31"/>
  <c r="Z37" i="31" s="1"/>
  <c r="J19" i="39"/>
  <c r="AE47" i="30"/>
  <c r="P210" i="55"/>
  <c r="F32" i="29"/>
  <c r="AJ8" i="29"/>
  <c r="AG22" i="28"/>
  <c r="J22" i="28"/>
  <c r="AH22" i="28" s="1"/>
  <c r="H130" i="55"/>
  <c r="P9" i="35"/>
  <c r="P8" i="35" s="1"/>
  <c r="O8" i="35"/>
  <c r="AA33" i="32"/>
  <c r="AB34" i="32"/>
  <c r="I9" i="29"/>
  <c r="AF9" i="29"/>
  <c r="I48" i="29"/>
  <c r="H47" i="29"/>
  <c r="AF48" i="29"/>
  <c r="T20" i="27"/>
  <c r="T20" i="17" s="1"/>
  <c r="U21" i="27"/>
  <c r="T21" i="17"/>
  <c r="O96" i="55"/>
  <c r="Q96" i="55" s="1"/>
  <c r="C101" i="55"/>
  <c r="O8" i="37"/>
  <c r="P9" i="37"/>
  <c r="P8" i="37" s="1"/>
  <c r="O20" i="32"/>
  <c r="P21" i="32"/>
  <c r="P20" i="32" s="1"/>
  <c r="J46" i="29"/>
  <c r="AH46" i="29" s="1"/>
  <c r="AG46" i="29"/>
  <c r="AI46" i="29"/>
  <c r="J9" i="31"/>
  <c r="AG9" i="31"/>
  <c r="AF54" i="28"/>
  <c r="I54" i="28"/>
  <c r="H54" i="17"/>
  <c r="U50" i="26"/>
  <c r="T47" i="26"/>
  <c r="O20" i="25"/>
  <c r="P21" i="25"/>
  <c r="P20" i="25" s="1"/>
  <c r="H73" i="55"/>
  <c r="M60" i="29"/>
  <c r="AB23" i="28"/>
  <c r="AC24" i="28"/>
  <c r="AC23" i="28" s="1"/>
  <c r="J30" i="26"/>
  <c r="AH30" i="26" s="1"/>
  <c r="AG30" i="26"/>
  <c r="N33" i="25"/>
  <c r="O34" i="25"/>
  <c r="J12" i="28"/>
  <c r="AH12" i="28" s="1"/>
  <c r="AG12" i="28"/>
  <c r="AH34" i="28"/>
  <c r="J33" i="28"/>
  <c r="J51" i="28"/>
  <c r="AH51" i="28" s="1"/>
  <c r="AG51" i="28"/>
  <c r="I25" i="28"/>
  <c r="AF25" i="28"/>
  <c r="AB41" i="26"/>
  <c r="AC42" i="26"/>
  <c r="AC41" i="26" s="1"/>
  <c r="R8" i="39"/>
  <c r="O23" i="28"/>
  <c r="J16" i="27"/>
  <c r="AH16" i="27" s="1"/>
  <c r="AG16" i="27"/>
  <c r="AI16" i="27"/>
  <c r="I49" i="27"/>
  <c r="AF49" i="27"/>
  <c r="J25" i="25"/>
  <c r="AH25" i="25" s="1"/>
  <c r="AG25" i="25"/>
  <c r="J31" i="25"/>
  <c r="AH31" i="25" s="1"/>
  <c r="AG31" i="25"/>
  <c r="J31" i="27"/>
  <c r="AH31" i="27" s="1"/>
  <c r="AG31" i="27"/>
  <c r="U42" i="25"/>
  <c r="T41" i="25"/>
  <c r="T52" i="25" s="1"/>
  <c r="U9" i="24"/>
  <c r="T8" i="24"/>
  <c r="T32" i="24" s="1"/>
  <c r="T37" i="24" s="1"/>
  <c r="V9" i="28"/>
  <c r="V8" i="28" s="1"/>
  <c r="V32" i="28" s="1"/>
  <c r="U8" i="28"/>
  <c r="AE41" i="26"/>
  <c r="G52" i="26"/>
  <c r="I13" i="24"/>
  <c r="AF13" i="24"/>
  <c r="N47" i="23"/>
  <c r="O48" i="23"/>
  <c r="J42" i="25"/>
  <c r="AG42" i="25"/>
  <c r="AI42" i="25"/>
  <c r="I16" i="24"/>
  <c r="AF16" i="24"/>
  <c r="H16" i="17"/>
  <c r="AE8" i="25"/>
  <c r="G32" i="25"/>
  <c r="I33" i="27"/>
  <c r="AI34" i="27"/>
  <c r="AG34" i="27"/>
  <c r="J34" i="27"/>
  <c r="J30" i="25"/>
  <c r="AH30" i="25" s="1"/>
  <c r="AG30" i="25"/>
  <c r="J25" i="24"/>
  <c r="AH25" i="24" s="1"/>
  <c r="AG25" i="24"/>
  <c r="T27" i="22"/>
  <c r="V27" i="22"/>
  <c r="O27" i="22"/>
  <c r="N25" i="21"/>
  <c r="I29" i="25"/>
  <c r="AF29" i="25"/>
  <c r="AH24" i="24"/>
  <c r="J23" i="24"/>
  <c r="AF33" i="23"/>
  <c r="Q82" i="22"/>
  <c r="T82" i="22"/>
  <c r="O82" i="22"/>
  <c r="U82" i="22" s="1"/>
  <c r="V82" i="22"/>
  <c r="S8" i="22"/>
  <c r="N8" i="22"/>
  <c r="M8" i="21"/>
  <c r="V48" i="25"/>
  <c r="V47" i="25" s="1"/>
  <c r="U47" i="25"/>
  <c r="V59" i="22"/>
  <c r="T59" i="22"/>
  <c r="R19" i="22"/>
  <c r="L22" i="22"/>
  <c r="R22" i="22" s="1"/>
  <c r="L21" i="22"/>
  <c r="M19" i="22"/>
  <c r="T62" i="22"/>
  <c r="V62" i="22"/>
  <c r="Q62" i="22"/>
  <c r="O62" i="22"/>
  <c r="R99" i="22"/>
  <c r="I17" i="23"/>
  <c r="AF17" i="23"/>
  <c r="H17" i="17"/>
  <c r="I4" i="26"/>
  <c r="I39" i="26" s="1"/>
  <c r="I4" i="38"/>
  <c r="I39" i="38" s="1"/>
  <c r="I4" i="25"/>
  <c r="I39" i="25" s="1"/>
  <c r="I4" i="28"/>
  <c r="I39" i="28" s="1"/>
  <c r="I4" i="27"/>
  <c r="I39" i="27" s="1"/>
  <c r="I4" i="32"/>
  <c r="I39" i="32" s="1"/>
  <c r="I4" i="24"/>
  <c r="I39" i="24" s="1"/>
  <c r="I4" i="66"/>
  <c r="I39" i="66" s="1"/>
  <c r="I39" i="23"/>
  <c r="I4" i="37"/>
  <c r="I39" i="37" s="1"/>
  <c r="I4" i="29"/>
  <c r="I39" i="29" s="1"/>
  <c r="I4" i="36"/>
  <c r="I39" i="36" s="1"/>
  <c r="I4" i="34"/>
  <c r="I39" i="34" s="1"/>
  <c r="I4" i="35"/>
  <c r="I39" i="35" s="1"/>
  <c r="I4" i="33"/>
  <c r="I39" i="33" s="1"/>
  <c r="I4" i="30"/>
  <c r="I39" i="30" s="1"/>
  <c r="I4" i="31"/>
  <c r="I39" i="31" s="1"/>
  <c r="Y8" i="17"/>
  <c r="Q44" i="18"/>
  <c r="Q44" i="17" s="1"/>
  <c r="U96" i="10" s="1"/>
  <c r="P44" i="17"/>
  <c r="L33" i="14"/>
  <c r="R33" i="14" s="1"/>
  <c r="R23" i="14"/>
  <c r="F69" i="11"/>
  <c r="L321" i="13"/>
  <c r="R321" i="13" s="1"/>
  <c r="S87" i="11"/>
  <c r="E69" i="12"/>
  <c r="R38" i="13"/>
  <c r="T134" i="22"/>
  <c r="V134" i="22"/>
  <c r="N136" i="22"/>
  <c r="O134" i="22"/>
  <c r="U17" i="18"/>
  <c r="T17" i="17"/>
  <c r="L45" i="10" s="1"/>
  <c r="AD45" i="10" s="1"/>
  <c r="AI47" i="18"/>
  <c r="F47" i="17"/>
  <c r="N28" i="14"/>
  <c r="S28" i="14"/>
  <c r="S90" i="46"/>
  <c r="S3" i="47"/>
  <c r="U50" i="24"/>
  <c r="T50" i="17"/>
  <c r="O28" i="20"/>
  <c r="U28" i="20" s="1"/>
  <c r="Q28" i="20"/>
  <c r="T28" i="20"/>
  <c r="V28" i="20"/>
  <c r="AA15" i="18"/>
  <c r="Z15" i="17"/>
  <c r="U12" i="13"/>
  <c r="AC10" i="18"/>
  <c r="AJ29" i="17"/>
  <c r="AK29" i="17"/>
  <c r="D57" i="10"/>
  <c r="E56" i="7"/>
  <c r="E10" i="8"/>
  <c r="N52" i="18"/>
  <c r="AB22" i="14"/>
  <c r="T22" i="14"/>
  <c r="O22" i="14"/>
  <c r="U22" i="14" s="1"/>
  <c r="K26" i="22"/>
  <c r="U128" i="20"/>
  <c r="S35" i="14"/>
  <c r="N35" i="14"/>
  <c r="T13" i="13"/>
  <c r="AG13" i="13"/>
  <c r="O13" i="13"/>
  <c r="U13" i="13" s="1"/>
  <c r="S14" i="21"/>
  <c r="N27" i="14"/>
  <c r="M29" i="14"/>
  <c r="S27" i="14"/>
  <c r="T34" i="13"/>
  <c r="AG34" i="13"/>
  <c r="Q34" i="13"/>
  <c r="N38" i="13"/>
  <c r="O34" i="13"/>
  <c r="M55" i="22"/>
  <c r="S55" i="22" s="1"/>
  <c r="S54" i="22"/>
  <c r="M41" i="21"/>
  <c r="N54" i="22"/>
  <c r="N131" i="20"/>
  <c r="S131" i="20"/>
  <c r="M152" i="20"/>
  <c r="S152" i="20" s="1"/>
  <c r="L20" i="17"/>
  <c r="L32" i="18"/>
  <c r="P35" i="18"/>
  <c r="O35" i="17"/>
  <c r="S76" i="10" s="1"/>
  <c r="O10" i="14"/>
  <c r="N12" i="14"/>
  <c r="T10" i="14"/>
  <c r="N42" i="14"/>
  <c r="S42" i="14"/>
  <c r="T63" i="21"/>
  <c r="Q102" i="20"/>
  <c r="V102" i="20"/>
  <c r="S38" i="20"/>
  <c r="U16" i="18"/>
  <c r="T16" i="17"/>
  <c r="L44" i="10" s="1"/>
  <c r="S11" i="13"/>
  <c r="N11" i="13"/>
  <c r="L12" i="12"/>
  <c r="M18" i="13"/>
  <c r="F12" i="12"/>
  <c r="G12" i="11"/>
  <c r="P30" i="24"/>
  <c r="P30" i="17" s="1"/>
  <c r="O30" i="17"/>
  <c r="O178" i="20"/>
  <c r="T178" i="20"/>
  <c r="N51" i="13"/>
  <c r="S51" i="13"/>
  <c r="N126" i="13"/>
  <c r="M129" i="13"/>
  <c r="S126" i="13"/>
  <c r="AA49" i="25"/>
  <c r="Z49" i="17"/>
  <c r="X42" i="17"/>
  <c r="V94" i="10" s="1"/>
  <c r="V93" i="10" s="1"/>
  <c r="V128" i="10" s="1"/>
  <c r="V151" i="10" s="1"/>
  <c r="X41" i="18"/>
  <c r="AC24" i="18"/>
  <c r="S167" i="13"/>
  <c r="N167" i="13"/>
  <c r="AJ108" i="12"/>
  <c r="G108" i="11"/>
  <c r="G108" i="12"/>
  <c r="G43" i="18"/>
  <c r="R113" i="20"/>
  <c r="N225" i="13"/>
  <c r="S225" i="13"/>
  <c r="N153" i="13"/>
  <c r="S153" i="13"/>
  <c r="N235" i="13"/>
  <c r="S235" i="13"/>
  <c r="I48" i="11"/>
  <c r="U273" i="13"/>
  <c r="H48" i="12"/>
  <c r="E62" i="11"/>
  <c r="R64" i="13"/>
  <c r="L70" i="13"/>
  <c r="M64" i="13"/>
  <c r="S164" i="13"/>
  <c r="N164" i="13"/>
  <c r="AI57" i="12"/>
  <c r="F57" i="11"/>
  <c r="S257" i="13"/>
  <c r="N257" i="13"/>
  <c r="T84" i="13"/>
  <c r="O84" i="13"/>
  <c r="U84" i="13" s="1"/>
  <c r="AG84" i="13"/>
  <c r="N143" i="13"/>
  <c r="S143" i="13"/>
  <c r="O247" i="13"/>
  <c r="AG247" i="13"/>
  <c r="T247" i="13"/>
  <c r="N249" i="13"/>
  <c r="S22" i="12"/>
  <c r="C51" i="10"/>
  <c r="C48" i="10" s="1"/>
  <c r="C50" i="7"/>
  <c r="T154" i="13"/>
  <c r="Q154" i="13"/>
  <c r="AG154" i="13"/>
  <c r="O154" i="13"/>
  <c r="U154" i="13" s="1"/>
  <c r="G25" i="12"/>
  <c r="AK25" i="12" s="1"/>
  <c r="H25" i="11"/>
  <c r="T256" i="13"/>
  <c r="AG256" i="13"/>
  <c r="O256" i="13"/>
  <c r="N274" i="13"/>
  <c r="S274" i="13"/>
  <c r="E37" i="11"/>
  <c r="K218" i="13"/>
  <c r="D37" i="12"/>
  <c r="U265" i="13"/>
  <c r="J62" i="7"/>
  <c r="I63" i="10"/>
  <c r="AM63" i="10" s="1"/>
  <c r="J10" i="9"/>
  <c r="H54" i="11"/>
  <c r="H54" i="12"/>
  <c r="AK54" i="12"/>
  <c r="G111" i="7"/>
  <c r="M111" i="7" s="1"/>
  <c r="F109" i="10"/>
  <c r="AJ109" i="10" s="1"/>
  <c r="M109" i="11"/>
  <c r="AC8" i="10"/>
  <c r="K46" i="10"/>
  <c r="AC46" i="10" s="1"/>
  <c r="AC45" i="12"/>
  <c r="AH127" i="10"/>
  <c r="AL98" i="12"/>
  <c r="P145" i="7"/>
  <c r="J74" i="10"/>
  <c r="J88" i="10" s="1"/>
  <c r="AB75" i="10"/>
  <c r="L24" i="9"/>
  <c r="I24" i="9"/>
  <c r="J24" i="9" s="1"/>
  <c r="M40" i="11"/>
  <c r="H12" i="51"/>
  <c r="N12" i="51"/>
  <c r="AE98" i="12"/>
  <c r="AK98" i="12" s="1"/>
  <c r="F7" i="2"/>
  <c r="AM129" i="10"/>
  <c r="L102" i="45"/>
  <c r="R101" i="45"/>
  <c r="AG53" i="12"/>
  <c r="AM56" i="12"/>
  <c r="P34" i="7"/>
  <c r="O47" i="55"/>
  <c r="Q47" i="55" s="1"/>
  <c r="C56" i="55"/>
  <c r="O190" i="55"/>
  <c r="Q190" i="55" s="1"/>
  <c r="F368" i="55"/>
  <c r="I424" i="55"/>
  <c r="O415" i="55"/>
  <c r="Q415" i="55" s="1"/>
  <c r="O331" i="55"/>
  <c r="Q331" i="55" s="1"/>
  <c r="G28" i="51"/>
  <c r="L28" i="51"/>
  <c r="M28" i="51"/>
  <c r="M95" i="51"/>
  <c r="G95" i="51"/>
  <c r="L95" i="51"/>
  <c r="D130" i="51"/>
  <c r="G14" i="51"/>
  <c r="L14" i="51"/>
  <c r="M14" i="51"/>
  <c r="D124" i="12"/>
  <c r="E124" i="11"/>
  <c r="I27" i="52"/>
  <c r="AA28" i="46"/>
  <c r="T28" i="46"/>
  <c r="Q28" i="46"/>
  <c r="O28" i="46"/>
  <c r="U28" i="46" s="1"/>
  <c r="L127" i="51"/>
  <c r="M127" i="51"/>
  <c r="N47" i="47"/>
  <c r="M51" i="47"/>
  <c r="S51" i="47" s="1"/>
  <c r="S47" i="47"/>
  <c r="T9" i="46"/>
  <c r="M56" i="46"/>
  <c r="R56" i="46"/>
  <c r="R20" i="46"/>
  <c r="M20" i="46"/>
  <c r="X158" i="46"/>
  <c r="K158" i="46"/>
  <c r="J114" i="12"/>
  <c r="L32" i="47"/>
  <c r="R32" i="47" s="1"/>
  <c r="R31" i="47"/>
  <c r="M31" i="47"/>
  <c r="L58" i="47"/>
  <c r="N42" i="46"/>
  <c r="S42" i="46"/>
  <c r="AA118" i="46"/>
  <c r="T118" i="46"/>
  <c r="O118" i="46"/>
  <c r="N132" i="46"/>
  <c r="S132" i="46"/>
  <c r="S155" i="46"/>
  <c r="Z104" i="11"/>
  <c r="D107" i="7"/>
  <c r="AC107" i="7" s="1"/>
  <c r="L23" i="47"/>
  <c r="R97" i="46"/>
  <c r="K114" i="12"/>
  <c r="R40" i="47"/>
  <c r="Q123" i="12"/>
  <c r="E123" i="12"/>
  <c r="F123" i="11"/>
  <c r="R159" i="46"/>
  <c r="M159" i="46"/>
  <c r="L144" i="46"/>
  <c r="R144" i="46" s="1"/>
  <c r="Z35" i="43"/>
  <c r="Q35" i="43"/>
  <c r="T35" i="43"/>
  <c r="O35" i="43"/>
  <c r="U35" i="43" s="1"/>
  <c r="N9" i="43"/>
  <c r="S9" i="43"/>
  <c r="M147" i="46"/>
  <c r="L153" i="46"/>
  <c r="R153" i="46" s="1"/>
  <c r="R147" i="46"/>
  <c r="N22" i="42"/>
  <c r="M22" i="41"/>
  <c r="S22" i="41" s="1"/>
  <c r="S22" i="42"/>
  <c r="N84" i="43"/>
  <c r="S84" i="43"/>
  <c r="S22" i="44"/>
  <c r="N22" i="44"/>
  <c r="N56" i="43"/>
  <c r="S56" i="43"/>
  <c r="M64" i="43"/>
  <c r="R64" i="43"/>
  <c r="X93" i="42"/>
  <c r="O93" i="42"/>
  <c r="U93" i="42" s="1"/>
  <c r="T93" i="42"/>
  <c r="Q31" i="42"/>
  <c r="X31" i="42"/>
  <c r="O31" i="42"/>
  <c r="T31" i="42"/>
  <c r="N29" i="41"/>
  <c r="I86" i="43"/>
  <c r="S11" i="42"/>
  <c r="N11" i="42"/>
  <c r="M11" i="41"/>
  <c r="S11" i="41" s="1"/>
  <c r="X46" i="42"/>
  <c r="T46" i="42"/>
  <c r="O46" i="42"/>
  <c r="Q46" i="42"/>
  <c r="T53" i="41"/>
  <c r="Q53" i="41"/>
  <c r="V53" i="41"/>
  <c r="S62" i="43"/>
  <c r="N62" i="43"/>
  <c r="X64" i="42"/>
  <c r="T64" i="42"/>
  <c r="O64" i="42"/>
  <c r="U64" i="42" s="1"/>
  <c r="Q64" i="42"/>
  <c r="S21" i="41"/>
  <c r="X47" i="42"/>
  <c r="O47" i="42"/>
  <c r="U47" i="42" s="1"/>
  <c r="Q47" i="42"/>
  <c r="T47" i="42"/>
  <c r="N113" i="42"/>
  <c r="M116" i="42"/>
  <c r="S116" i="42" s="1"/>
  <c r="S113" i="42"/>
  <c r="M65" i="41"/>
  <c r="N23" i="40"/>
  <c r="S23" i="40"/>
  <c r="M27" i="40"/>
  <c r="S27" i="40" s="1"/>
  <c r="R65" i="41"/>
  <c r="K67" i="43"/>
  <c r="K86" i="43" s="1"/>
  <c r="S97" i="45"/>
  <c r="N97" i="45"/>
  <c r="M99" i="45"/>
  <c r="F127" i="12"/>
  <c r="L127" i="12"/>
  <c r="U101" i="42"/>
  <c r="O58" i="41"/>
  <c r="U58" i="41" s="1"/>
  <c r="R105" i="42"/>
  <c r="R108" i="42" s="1"/>
  <c r="M105" i="42"/>
  <c r="R39" i="41"/>
  <c r="V77" i="40"/>
  <c r="O77" i="40"/>
  <c r="Q77" i="40"/>
  <c r="N122" i="42"/>
  <c r="S122" i="42"/>
  <c r="AJ32" i="66"/>
  <c r="F37" i="66"/>
  <c r="F52" i="38"/>
  <c r="I35" i="39"/>
  <c r="I34" i="39" s="1"/>
  <c r="AJ47" i="38"/>
  <c r="T41" i="38"/>
  <c r="U42" i="38"/>
  <c r="N52" i="43"/>
  <c r="S52" i="43"/>
  <c r="X26" i="42"/>
  <c r="Q26" i="42"/>
  <c r="T26" i="42"/>
  <c r="O26" i="42"/>
  <c r="N26" i="41"/>
  <c r="R64" i="41"/>
  <c r="N49" i="40"/>
  <c r="S49" i="40"/>
  <c r="L43" i="40"/>
  <c r="R13" i="40"/>
  <c r="AA24" i="38"/>
  <c r="Z23" i="38"/>
  <c r="J44" i="66"/>
  <c r="AH44" i="66" s="1"/>
  <c r="AG44" i="66"/>
  <c r="AI44" i="66"/>
  <c r="AE44" i="37"/>
  <c r="H44" i="37"/>
  <c r="U100" i="42"/>
  <c r="O57" i="41"/>
  <c r="O102" i="42"/>
  <c r="I49" i="37"/>
  <c r="AF49" i="37"/>
  <c r="I43" i="37"/>
  <c r="AF43" i="37"/>
  <c r="O407" i="55"/>
  <c r="Q407" i="55" s="1"/>
  <c r="I31" i="39"/>
  <c r="I30" i="39" s="1"/>
  <c r="F52" i="36"/>
  <c r="AJ47" i="36"/>
  <c r="J33" i="38"/>
  <c r="AH33" i="38" s="1"/>
  <c r="AH34" i="38"/>
  <c r="D328" i="55"/>
  <c r="N44" i="40"/>
  <c r="S44" i="40"/>
  <c r="M46" i="40"/>
  <c r="G32" i="36"/>
  <c r="AE8" i="36"/>
  <c r="G47" i="36"/>
  <c r="H48" i="36"/>
  <c r="AE48" i="36"/>
  <c r="D37" i="35"/>
  <c r="AJ32" i="35"/>
  <c r="AG18" i="36"/>
  <c r="J18" i="36"/>
  <c r="AH18" i="36" s="1"/>
  <c r="AI18" i="36"/>
  <c r="H20" i="35"/>
  <c r="AF20" i="35" s="1"/>
  <c r="I21" i="35"/>
  <c r="AF21" i="35"/>
  <c r="J21" i="36"/>
  <c r="AG21" i="36"/>
  <c r="I20" i="36"/>
  <c r="AG20" i="36" s="1"/>
  <c r="N47" i="34"/>
  <c r="N52" i="34" s="1"/>
  <c r="O48" i="34"/>
  <c r="T23" i="38"/>
  <c r="J30" i="36"/>
  <c r="AH30" i="36" s="1"/>
  <c r="AG30" i="36"/>
  <c r="J35" i="38"/>
  <c r="AH35" i="38" s="1"/>
  <c r="AG35" i="38"/>
  <c r="AI35" i="38"/>
  <c r="I22" i="36"/>
  <c r="AF22" i="36"/>
  <c r="H20" i="36"/>
  <c r="AF20" i="36" s="1"/>
  <c r="J44" i="36"/>
  <c r="AH44" i="36" s="1"/>
  <c r="AG44" i="36"/>
  <c r="AI44" i="36"/>
  <c r="AF41" i="35"/>
  <c r="N13" i="33"/>
  <c r="M13" i="17"/>
  <c r="Q41" i="10" s="1"/>
  <c r="U56" i="42"/>
  <c r="O58" i="42"/>
  <c r="U58" i="42" s="1"/>
  <c r="O44" i="41"/>
  <c r="J17" i="38"/>
  <c r="AH17" i="38" s="1"/>
  <c r="AG17" i="38"/>
  <c r="AA33" i="37"/>
  <c r="O23" i="36"/>
  <c r="AI42" i="36"/>
  <c r="AG42" i="36"/>
  <c r="J42" i="36"/>
  <c r="T23" i="35"/>
  <c r="U24" i="35"/>
  <c r="J36" i="35"/>
  <c r="AH36" i="35" s="1"/>
  <c r="AG36" i="35"/>
  <c r="AI36" i="35"/>
  <c r="J28" i="35"/>
  <c r="AH28" i="35" s="1"/>
  <c r="AG28" i="35"/>
  <c r="J34" i="34"/>
  <c r="AG34" i="34"/>
  <c r="AI34" i="34"/>
  <c r="U8" i="38"/>
  <c r="V9" i="38"/>
  <c r="V8" i="38" s="1"/>
  <c r="J14" i="36"/>
  <c r="AH14" i="36" s="1"/>
  <c r="AG14" i="36"/>
  <c r="AI14" i="36"/>
  <c r="AC21" i="34"/>
  <c r="AC20" i="34" s="1"/>
  <c r="AB20" i="34"/>
  <c r="AF33" i="38"/>
  <c r="K32" i="34"/>
  <c r="U20" i="31"/>
  <c r="V21" i="31"/>
  <c r="V20" i="31" s="1"/>
  <c r="J27" i="36"/>
  <c r="AH27" i="36" s="1"/>
  <c r="AG27" i="36"/>
  <c r="I42" i="34"/>
  <c r="AF42" i="34"/>
  <c r="AG28" i="33"/>
  <c r="J28" i="33"/>
  <c r="AH28" i="33" s="1"/>
  <c r="C404" i="55"/>
  <c r="D404" i="55"/>
  <c r="J16" i="35"/>
  <c r="AH16" i="35" s="1"/>
  <c r="AG16" i="35"/>
  <c r="AI16" i="35"/>
  <c r="AE20" i="34"/>
  <c r="G32" i="34"/>
  <c r="P9" i="33"/>
  <c r="F244" i="55"/>
  <c r="AI11" i="36"/>
  <c r="J11" i="36"/>
  <c r="AH11" i="36" s="1"/>
  <c r="AG11" i="36"/>
  <c r="H8" i="35"/>
  <c r="I19" i="34"/>
  <c r="AF19" i="34"/>
  <c r="T23" i="31"/>
  <c r="U24" i="31"/>
  <c r="O8" i="30"/>
  <c r="P9" i="30"/>
  <c r="P8" i="30" s="1"/>
  <c r="R23" i="39"/>
  <c r="AB34" i="34"/>
  <c r="AA33" i="34"/>
  <c r="K21" i="39"/>
  <c r="K20" i="39" s="1"/>
  <c r="AF47" i="31"/>
  <c r="E199" i="55"/>
  <c r="J199" i="55"/>
  <c r="J21" i="30"/>
  <c r="I20" i="30"/>
  <c r="AG20" i="30" s="1"/>
  <c r="AG21" i="30"/>
  <c r="I187" i="55"/>
  <c r="P52" i="35"/>
  <c r="V48" i="32"/>
  <c r="V47" i="32" s="1"/>
  <c r="V52" i="32" s="1"/>
  <c r="U47" i="32"/>
  <c r="G52" i="31"/>
  <c r="AE41" i="31"/>
  <c r="J49" i="31"/>
  <c r="AG49" i="31"/>
  <c r="I47" i="31"/>
  <c r="J20" i="33"/>
  <c r="AH20" i="33" s="1"/>
  <c r="AJ32" i="31"/>
  <c r="F37" i="31"/>
  <c r="J29" i="31"/>
  <c r="AH29" i="31" s="1"/>
  <c r="AG29" i="31"/>
  <c r="N8" i="29"/>
  <c r="O9" i="29"/>
  <c r="AG35" i="31"/>
  <c r="J35" i="31"/>
  <c r="AH35" i="31" s="1"/>
  <c r="J31" i="32"/>
  <c r="AH31" i="32" s="1"/>
  <c r="AG31" i="32"/>
  <c r="R16" i="39"/>
  <c r="V42" i="28"/>
  <c r="V41" i="28" s="1"/>
  <c r="U41" i="28"/>
  <c r="Z8" i="36"/>
  <c r="AA9" i="36"/>
  <c r="V48" i="29"/>
  <c r="V47" i="29" s="1"/>
  <c r="U47" i="29"/>
  <c r="J29" i="28"/>
  <c r="AH29" i="28" s="1"/>
  <c r="AG29" i="28"/>
  <c r="N158" i="55"/>
  <c r="R8" i="29"/>
  <c r="R32" i="29" s="1"/>
  <c r="R37" i="29" s="1"/>
  <c r="R60" i="29" s="1"/>
  <c r="S13" i="29"/>
  <c r="R13" i="17"/>
  <c r="J41" i="10" s="1"/>
  <c r="AB41" i="10" s="1"/>
  <c r="AH41" i="10" s="1"/>
  <c r="G130" i="55"/>
  <c r="L11" i="39"/>
  <c r="L10" i="39" s="1"/>
  <c r="J48" i="26"/>
  <c r="AG48" i="26"/>
  <c r="AI48" i="26"/>
  <c r="J28" i="34"/>
  <c r="AH28" i="34" s="1"/>
  <c r="AG28" i="34"/>
  <c r="I9" i="30"/>
  <c r="AF9" i="30"/>
  <c r="H8" i="30"/>
  <c r="O24" i="29"/>
  <c r="N23" i="29"/>
  <c r="AG36" i="28"/>
  <c r="AI36" i="28"/>
  <c r="J36" i="28"/>
  <c r="AH36" i="28" s="1"/>
  <c r="N20" i="32"/>
  <c r="J17" i="29"/>
  <c r="AH17" i="29" s="1"/>
  <c r="AG17" i="29"/>
  <c r="F37" i="26"/>
  <c r="AJ32" i="26"/>
  <c r="E73" i="55"/>
  <c r="O68" i="55"/>
  <c r="Q68" i="55" s="1"/>
  <c r="R60" i="27"/>
  <c r="AF8" i="26"/>
  <c r="E60" i="27"/>
  <c r="E57" i="27"/>
  <c r="AG30" i="30"/>
  <c r="J30" i="30"/>
  <c r="AH30" i="30" s="1"/>
  <c r="P23" i="28"/>
  <c r="AG29" i="27"/>
  <c r="J29" i="27"/>
  <c r="AH29" i="27" s="1"/>
  <c r="AG10" i="29"/>
  <c r="AI10" i="29"/>
  <c r="J10" i="29"/>
  <c r="AH10" i="29" s="1"/>
  <c r="D37" i="28"/>
  <c r="G32" i="26"/>
  <c r="AE8" i="26"/>
  <c r="I14" i="27"/>
  <c r="AF14" i="27"/>
  <c r="J17" i="26"/>
  <c r="AH17" i="26" s="1"/>
  <c r="AG17" i="26"/>
  <c r="H47" i="27"/>
  <c r="K37" i="24"/>
  <c r="I43" i="25"/>
  <c r="AF43" i="25"/>
  <c r="J11" i="24"/>
  <c r="AH11" i="24" s="1"/>
  <c r="AG11" i="24"/>
  <c r="O47" i="26"/>
  <c r="P48" i="26"/>
  <c r="P47" i="26" s="1"/>
  <c r="I19" i="23"/>
  <c r="AF19" i="23"/>
  <c r="K44" i="55"/>
  <c r="R4" i="39"/>
  <c r="T32" i="28"/>
  <c r="T37" i="28" s="1"/>
  <c r="AF8" i="25"/>
  <c r="H32" i="25"/>
  <c r="I47" i="28"/>
  <c r="AI48" i="28"/>
  <c r="AG48" i="28"/>
  <c r="J48" i="28"/>
  <c r="S33" i="23"/>
  <c r="T34" i="23"/>
  <c r="J22" i="34"/>
  <c r="AH22" i="34" s="1"/>
  <c r="AG22" i="34"/>
  <c r="I13" i="25"/>
  <c r="AF13" i="25"/>
  <c r="AF9" i="24"/>
  <c r="I9" i="24"/>
  <c r="H8" i="24"/>
  <c r="AF23" i="23"/>
  <c r="V11" i="22"/>
  <c r="O11" i="22"/>
  <c r="Q11" i="22"/>
  <c r="T11" i="22"/>
  <c r="N11" i="21"/>
  <c r="O98" i="22"/>
  <c r="T98" i="22"/>
  <c r="V98" i="22"/>
  <c r="N67" i="21"/>
  <c r="T67" i="21" s="1"/>
  <c r="I44" i="25"/>
  <c r="AF44" i="25"/>
  <c r="I23" i="24"/>
  <c r="AG23" i="24" s="1"/>
  <c r="P56" i="55"/>
  <c r="R57" i="55" s="1"/>
  <c r="AJ52" i="23"/>
  <c r="F62" i="23"/>
  <c r="F60" i="23"/>
  <c r="L26" i="22"/>
  <c r="R13" i="22"/>
  <c r="U101" i="20"/>
  <c r="P101" i="20"/>
  <c r="P48" i="24"/>
  <c r="O47" i="24"/>
  <c r="AA20" i="25"/>
  <c r="AB21" i="25"/>
  <c r="N52" i="24"/>
  <c r="R5" i="39"/>
  <c r="J89" i="21"/>
  <c r="E44" i="18" s="1"/>
  <c r="E44" i="17" s="1"/>
  <c r="AU44" i="17" s="1"/>
  <c r="R171" i="20"/>
  <c r="L192" i="20"/>
  <c r="R192" i="20" s="1"/>
  <c r="R8" i="17"/>
  <c r="R32" i="18"/>
  <c r="M14" i="17"/>
  <c r="Q42" i="10" s="1"/>
  <c r="AB24" i="14"/>
  <c r="O24" i="14"/>
  <c r="T24" i="14"/>
  <c r="N26" i="14"/>
  <c r="T9" i="13"/>
  <c r="O9" i="13"/>
  <c r="Q9" i="13"/>
  <c r="M10" i="12"/>
  <c r="G10" i="12"/>
  <c r="H10" i="11"/>
  <c r="P50" i="24"/>
  <c r="P50" i="17" s="1"/>
  <c r="O50" i="17"/>
  <c r="S136" i="22"/>
  <c r="H48" i="18"/>
  <c r="R68" i="21"/>
  <c r="O149" i="20"/>
  <c r="U149" i="20" s="1"/>
  <c r="T149" i="20"/>
  <c r="V149" i="20"/>
  <c r="P10" i="55"/>
  <c r="AI8" i="18"/>
  <c r="F8" i="17"/>
  <c r="P13" i="18"/>
  <c r="AE19" i="17"/>
  <c r="AL19" i="17"/>
  <c r="AQ19" i="17" s="1"/>
  <c r="N25" i="17"/>
  <c r="AC28" i="18"/>
  <c r="AC28" i="17" s="1"/>
  <c r="AB28" i="17"/>
  <c r="N90" i="20"/>
  <c r="S90" i="20"/>
  <c r="AC50" i="18"/>
  <c r="AC50" i="17" s="1"/>
  <c r="AB50" i="17"/>
  <c r="N77" i="20"/>
  <c r="S77" i="20"/>
  <c r="AI43" i="18"/>
  <c r="S190" i="20"/>
  <c r="U13" i="18"/>
  <c r="R29" i="17"/>
  <c r="J57" i="10" s="1"/>
  <c r="S29" i="18"/>
  <c r="O36" i="13"/>
  <c r="U36" i="13" s="1"/>
  <c r="T36" i="13"/>
  <c r="AG36" i="13"/>
  <c r="M9" i="22"/>
  <c r="M126" i="22" s="1"/>
  <c r="R9" i="22"/>
  <c r="L126" i="22"/>
  <c r="L9" i="21"/>
  <c r="N20" i="20"/>
  <c r="S20" i="20"/>
  <c r="AA30" i="18"/>
  <c r="Z30" i="17"/>
  <c r="N41" i="14"/>
  <c r="S41" i="14"/>
  <c r="T14" i="22"/>
  <c r="V14" i="22"/>
  <c r="O14" i="22"/>
  <c r="N14" i="21"/>
  <c r="T70" i="20"/>
  <c r="V70" i="20"/>
  <c r="O70" i="20"/>
  <c r="U70" i="20" s="1"/>
  <c r="Q70" i="20"/>
  <c r="T12" i="17"/>
  <c r="U12" i="18"/>
  <c r="AB51" i="18"/>
  <c r="AB47" i="18" s="1"/>
  <c r="AA51" i="17"/>
  <c r="M37" i="14"/>
  <c r="N24" i="20"/>
  <c r="S24" i="20"/>
  <c r="N55" i="20"/>
  <c r="S55" i="20"/>
  <c r="N166" i="20"/>
  <c r="N190" i="20" s="1"/>
  <c r="T190" i="20" s="1"/>
  <c r="S166" i="20"/>
  <c r="I45" i="18"/>
  <c r="AF45" i="18"/>
  <c r="H45" i="17"/>
  <c r="S39" i="13"/>
  <c r="N39" i="13"/>
  <c r="D47" i="17"/>
  <c r="AB13" i="18"/>
  <c r="AA13" i="17"/>
  <c r="Q48" i="18"/>
  <c r="U94" i="22"/>
  <c r="O63" i="21"/>
  <c r="U63" i="21" s="1"/>
  <c r="I3" i="47"/>
  <c r="I90" i="46"/>
  <c r="T46" i="22"/>
  <c r="N48" i="22"/>
  <c r="V46" i="22"/>
  <c r="O46" i="22"/>
  <c r="S47" i="13"/>
  <c r="N47" i="13"/>
  <c r="AK86" i="12"/>
  <c r="H86" i="11"/>
  <c r="H86" i="12"/>
  <c r="W50" i="18"/>
  <c r="W50" i="17" s="1"/>
  <c r="AJ9" i="10"/>
  <c r="S20" i="13"/>
  <c r="F15" i="12"/>
  <c r="G15" i="11"/>
  <c r="T312" i="13"/>
  <c r="AG312" i="13"/>
  <c r="O312" i="13"/>
  <c r="U312" i="13" s="1"/>
  <c r="O34" i="18"/>
  <c r="N33" i="18"/>
  <c r="N34" i="17"/>
  <c r="R75" i="10" s="1"/>
  <c r="R74" i="10" s="1"/>
  <c r="T63" i="13"/>
  <c r="Q111" i="13"/>
  <c r="O111" i="13"/>
  <c r="AG111" i="13"/>
  <c r="T111" i="13"/>
  <c r="AB62" i="12"/>
  <c r="AH62" i="12" s="1"/>
  <c r="P63" i="10"/>
  <c r="AB63" i="10" s="1"/>
  <c r="L27" i="11"/>
  <c r="F27" i="7"/>
  <c r="L27" i="7" s="1"/>
  <c r="F7" i="9"/>
  <c r="E28" i="10"/>
  <c r="AK119" i="12"/>
  <c r="H119" i="11"/>
  <c r="H119" i="12"/>
  <c r="Z30" i="11"/>
  <c r="D29" i="11"/>
  <c r="D30" i="7"/>
  <c r="N113" i="13"/>
  <c r="S113" i="13"/>
  <c r="E43" i="11"/>
  <c r="P43" i="12"/>
  <c r="D43" i="12"/>
  <c r="R57" i="12"/>
  <c r="N239" i="13"/>
  <c r="F57" i="12"/>
  <c r="S239" i="13"/>
  <c r="R27" i="12"/>
  <c r="AC27" i="12"/>
  <c r="AI27" i="12" s="1"/>
  <c r="Q28" i="10"/>
  <c r="AC28" i="10" s="1"/>
  <c r="P64" i="7"/>
  <c r="E87" i="7"/>
  <c r="S105" i="13"/>
  <c r="N105" i="13"/>
  <c r="P80" i="7"/>
  <c r="AG63" i="13"/>
  <c r="S163" i="13"/>
  <c r="N163" i="13"/>
  <c r="C47" i="10"/>
  <c r="C46" i="7"/>
  <c r="P46" i="7" s="1"/>
  <c r="Q46" i="11"/>
  <c r="P28" i="12"/>
  <c r="P30" i="10"/>
  <c r="P29" i="10" s="1"/>
  <c r="N46" i="13"/>
  <c r="S46" i="13"/>
  <c r="O133" i="13"/>
  <c r="U133" i="13" s="1"/>
  <c r="T133" i="13"/>
  <c r="N159" i="13"/>
  <c r="S159" i="13"/>
  <c r="T267" i="13"/>
  <c r="AG267" i="13"/>
  <c r="O267" i="13"/>
  <c r="U267" i="13" s="1"/>
  <c r="G54" i="7"/>
  <c r="M54" i="11"/>
  <c r="F55" i="10"/>
  <c r="AH66" i="10"/>
  <c r="AB65" i="10"/>
  <c r="T150" i="10"/>
  <c r="AL143" i="10"/>
  <c r="L45" i="11"/>
  <c r="F45" i="7"/>
  <c r="L45" i="7" s="1"/>
  <c r="E46" i="10"/>
  <c r="U282" i="13"/>
  <c r="AI139" i="10"/>
  <c r="AC138" i="10"/>
  <c r="E9" i="56"/>
  <c r="P6" i="54"/>
  <c r="P7" i="7"/>
  <c r="AM65" i="10"/>
  <c r="AI49" i="10"/>
  <c r="AH69" i="10"/>
  <c r="I27" i="9"/>
  <c r="J27" i="9" s="1"/>
  <c r="L27" i="9"/>
  <c r="C51" i="2"/>
  <c r="C59" i="2"/>
  <c r="R42" i="13"/>
  <c r="Q19" i="12"/>
  <c r="L50" i="13"/>
  <c r="R50" i="13" s="1"/>
  <c r="AJ81" i="10"/>
  <c r="AA150" i="10"/>
  <c r="U94" i="12"/>
  <c r="AG94" i="12" s="1"/>
  <c r="AM94" i="12" s="1"/>
  <c r="M129" i="11"/>
  <c r="N129" i="11"/>
  <c r="AF143" i="10"/>
  <c r="E135" i="51"/>
  <c r="N139" i="51"/>
  <c r="D110" i="10"/>
  <c r="AH110" i="10" s="1"/>
  <c r="E112" i="7"/>
  <c r="L110" i="11"/>
  <c r="Q107" i="11"/>
  <c r="E109" i="7"/>
  <c r="D107" i="10"/>
  <c r="L107" i="11"/>
  <c r="D96" i="7"/>
  <c r="Q33" i="48"/>
  <c r="T33" i="48"/>
  <c r="S25" i="8"/>
  <c r="V33" i="48"/>
  <c r="U33" i="48"/>
  <c r="J218" i="13"/>
  <c r="AE218" i="13" s="1"/>
  <c r="AE186" i="13"/>
  <c r="D39" i="11"/>
  <c r="F46" i="7"/>
  <c r="L46" i="7" s="1"/>
  <c r="L28" i="68"/>
  <c r="M28" i="68" s="1"/>
  <c r="M22" i="68"/>
  <c r="AG99" i="12"/>
  <c r="O97" i="12"/>
  <c r="K56" i="55"/>
  <c r="D227" i="55"/>
  <c r="I284" i="55"/>
  <c r="K368" i="55"/>
  <c r="O365" i="55"/>
  <c r="Q365" i="55" s="1"/>
  <c r="C396" i="55"/>
  <c r="O396" i="55" s="1"/>
  <c r="Q396" i="55" s="1"/>
  <c r="O387" i="55"/>
  <c r="Q387" i="55" s="1"/>
  <c r="O388" i="55"/>
  <c r="Q388" i="55" s="1"/>
  <c r="M47" i="51"/>
  <c r="G47" i="51"/>
  <c r="L47" i="51"/>
  <c r="S39" i="47"/>
  <c r="N39" i="47"/>
  <c r="AA37" i="46"/>
  <c r="T37" i="46"/>
  <c r="Q37" i="46"/>
  <c r="O37" i="46"/>
  <c r="U37" i="46" s="1"/>
  <c r="R60" i="46"/>
  <c r="M60" i="46"/>
  <c r="L152" i="51"/>
  <c r="N29" i="46"/>
  <c r="S29" i="46"/>
  <c r="M71" i="46"/>
  <c r="R71" i="46"/>
  <c r="R61" i="46"/>
  <c r="M61" i="46"/>
  <c r="I35" i="52"/>
  <c r="W37" i="47"/>
  <c r="O37" i="47"/>
  <c r="U37" i="47" s="1"/>
  <c r="T37" i="47"/>
  <c r="R32" i="46"/>
  <c r="M32" i="46"/>
  <c r="S57" i="46"/>
  <c r="N57" i="46"/>
  <c r="S100" i="46"/>
  <c r="N100" i="46"/>
  <c r="O114" i="46"/>
  <c r="T114" i="46"/>
  <c r="W33" i="47"/>
  <c r="O33" i="47"/>
  <c r="U33" i="47" s="1"/>
  <c r="T33" i="47"/>
  <c r="S162" i="46"/>
  <c r="N162" i="46"/>
  <c r="N95" i="46"/>
  <c r="S95" i="46"/>
  <c r="C110" i="12"/>
  <c r="C110" i="11"/>
  <c r="L25" i="46"/>
  <c r="R25" i="46" s="1"/>
  <c r="K32" i="44"/>
  <c r="R26" i="44"/>
  <c r="AB1" i="44"/>
  <c r="K27" i="44"/>
  <c r="R96" i="46"/>
  <c r="R173" i="46" s="1"/>
  <c r="M96" i="46"/>
  <c r="M173" i="46" s="1"/>
  <c r="T119" i="46"/>
  <c r="O119" i="46"/>
  <c r="N120" i="46"/>
  <c r="S120" i="46"/>
  <c r="V11" i="44"/>
  <c r="O11" i="44"/>
  <c r="U11" i="44" s="1"/>
  <c r="Q11" i="44"/>
  <c r="T11" i="44"/>
  <c r="L85" i="43"/>
  <c r="R85" i="43" s="1"/>
  <c r="R72" i="43"/>
  <c r="I33" i="42"/>
  <c r="I37" i="42" s="1"/>
  <c r="AA126" i="46"/>
  <c r="T126" i="46"/>
  <c r="O126" i="46"/>
  <c r="U126" i="46" s="1"/>
  <c r="I31" i="44"/>
  <c r="I30" i="44"/>
  <c r="S10" i="42"/>
  <c r="N10" i="42"/>
  <c r="M10" i="41"/>
  <c r="S10" i="41" s="1"/>
  <c r="T80" i="45"/>
  <c r="V80" i="45"/>
  <c r="O80" i="45"/>
  <c r="U80" i="45" s="1"/>
  <c r="O15" i="46"/>
  <c r="T15" i="46"/>
  <c r="S67" i="45"/>
  <c r="L110" i="12"/>
  <c r="N67" i="45"/>
  <c r="N26" i="43"/>
  <c r="S26" i="43"/>
  <c r="X40" i="42"/>
  <c r="O40" i="42"/>
  <c r="T40" i="42"/>
  <c r="N38" i="41"/>
  <c r="N43" i="42"/>
  <c r="S43" i="42"/>
  <c r="M40" i="41"/>
  <c r="S40" i="41" s="1"/>
  <c r="R15" i="43"/>
  <c r="M15" i="43"/>
  <c r="M123" i="42"/>
  <c r="M126" i="42" s="1"/>
  <c r="R123" i="42"/>
  <c r="V73" i="42"/>
  <c r="W73" i="42" s="1"/>
  <c r="K48" i="41"/>
  <c r="O9" i="46"/>
  <c r="M46" i="41"/>
  <c r="S46" i="41" s="1"/>
  <c r="T45" i="41"/>
  <c r="S45" i="41"/>
  <c r="M23" i="42"/>
  <c r="S23" i="42" s="1"/>
  <c r="N111" i="42"/>
  <c r="S111" i="42"/>
  <c r="M63" i="41"/>
  <c r="D93" i="12"/>
  <c r="K78" i="40"/>
  <c r="E93" i="11"/>
  <c r="M60" i="42"/>
  <c r="R60" i="42"/>
  <c r="O463" i="55"/>
  <c r="Q463" i="55" s="1"/>
  <c r="C468" i="55"/>
  <c r="L47" i="38"/>
  <c r="L47" i="17" s="1"/>
  <c r="M48" i="38"/>
  <c r="L48" i="17"/>
  <c r="C94" i="12"/>
  <c r="C94" i="11"/>
  <c r="N7" i="8" s="1"/>
  <c r="I28" i="66"/>
  <c r="AF28" i="66"/>
  <c r="AJ32" i="38"/>
  <c r="F37" i="38"/>
  <c r="AF8" i="66"/>
  <c r="H32" i="66"/>
  <c r="AI33" i="38"/>
  <c r="AG33" i="38"/>
  <c r="F52" i="37"/>
  <c r="AJ41" i="37"/>
  <c r="T102" i="42"/>
  <c r="X102" i="42"/>
  <c r="Q102" i="42"/>
  <c r="S69" i="41"/>
  <c r="I12" i="66"/>
  <c r="AF12" i="66"/>
  <c r="U33" i="37"/>
  <c r="V34" i="37"/>
  <c r="V33" i="37" s="1"/>
  <c r="T48" i="40"/>
  <c r="O48" i="40"/>
  <c r="U48" i="40" s="1"/>
  <c r="V48" i="40"/>
  <c r="I43" i="38"/>
  <c r="AF43" i="38"/>
  <c r="H47" i="37"/>
  <c r="N47" i="36"/>
  <c r="O48" i="36"/>
  <c r="J15" i="37"/>
  <c r="AH15" i="37" s="1"/>
  <c r="AG15" i="37"/>
  <c r="J45" i="37"/>
  <c r="AH45" i="37" s="1"/>
  <c r="AG45" i="37"/>
  <c r="Z32" i="38"/>
  <c r="Z37" i="38" s="1"/>
  <c r="Z60" i="38" s="1"/>
  <c r="I43" i="36"/>
  <c r="AF43" i="36"/>
  <c r="U8" i="35"/>
  <c r="V9" i="35"/>
  <c r="V8" i="35" s="1"/>
  <c r="R46" i="40"/>
  <c r="K93" i="12"/>
  <c r="J17" i="37"/>
  <c r="AH17" i="37" s="1"/>
  <c r="AG17" i="37"/>
  <c r="U8" i="36"/>
  <c r="V9" i="36"/>
  <c r="V8" i="36" s="1"/>
  <c r="R47" i="36"/>
  <c r="R52" i="36" s="1"/>
  <c r="S48" i="36"/>
  <c r="S48" i="17" s="1"/>
  <c r="R48" i="17"/>
  <c r="J112" i="10" s="1"/>
  <c r="AF18" i="35"/>
  <c r="AG18" i="35"/>
  <c r="I22" i="37"/>
  <c r="AF22" i="37"/>
  <c r="S8" i="35"/>
  <c r="S32" i="35" s="1"/>
  <c r="S37" i="35" s="1"/>
  <c r="C440" i="55"/>
  <c r="O432" i="55"/>
  <c r="Q432" i="55" s="1"/>
  <c r="N23" i="36"/>
  <c r="L32" i="33"/>
  <c r="L37" i="33" s="1"/>
  <c r="L60" i="33" s="1"/>
  <c r="L8" i="17"/>
  <c r="I41" i="35"/>
  <c r="J42" i="35"/>
  <c r="AG42" i="35"/>
  <c r="AI42" i="35"/>
  <c r="AG21" i="34"/>
  <c r="I20" i="34"/>
  <c r="AG20" i="34" s="1"/>
  <c r="J21" i="34"/>
  <c r="V44" i="41"/>
  <c r="N46" i="41"/>
  <c r="T44" i="41"/>
  <c r="AC34" i="37"/>
  <c r="AC33" i="37" s="1"/>
  <c r="AB33" i="37"/>
  <c r="V9" i="34"/>
  <c r="Y52" i="34"/>
  <c r="Y60" i="34" s="1"/>
  <c r="AF41" i="32"/>
  <c r="T32" i="38"/>
  <c r="T37" i="38" s="1"/>
  <c r="I17" i="33"/>
  <c r="AF17" i="33"/>
  <c r="J31" i="33"/>
  <c r="AH31" i="33" s="1"/>
  <c r="AG31" i="33"/>
  <c r="I13" i="33"/>
  <c r="I8" i="33" s="1"/>
  <c r="AF13" i="33"/>
  <c r="H8" i="33"/>
  <c r="AG24" i="35"/>
  <c r="I23" i="35"/>
  <c r="AG23" i="35" s="1"/>
  <c r="J24" i="35"/>
  <c r="Q60" i="33"/>
  <c r="O47" i="32"/>
  <c r="P48" i="32"/>
  <c r="P47" i="32" s="1"/>
  <c r="AB33" i="36"/>
  <c r="D57" i="34"/>
  <c r="D60" i="34"/>
  <c r="K244" i="55"/>
  <c r="J30" i="38"/>
  <c r="AH30" i="38" s="1"/>
  <c r="AG30" i="38"/>
  <c r="O21" i="34"/>
  <c r="N20" i="34"/>
  <c r="E60" i="33"/>
  <c r="E57" i="33"/>
  <c r="J44" i="33"/>
  <c r="AH44" i="33" s="1"/>
  <c r="AI44" i="33"/>
  <c r="AG44" i="33"/>
  <c r="AA8" i="30"/>
  <c r="AA32" i="30" s="1"/>
  <c r="AA37" i="30" s="1"/>
  <c r="AB9" i="30"/>
  <c r="AE41" i="33"/>
  <c r="G52" i="33"/>
  <c r="J19" i="32"/>
  <c r="AH19" i="32" s="1"/>
  <c r="AG19" i="32"/>
  <c r="AI19" i="32"/>
  <c r="I49" i="33"/>
  <c r="AF49" i="33"/>
  <c r="I33" i="32"/>
  <c r="AI34" i="32"/>
  <c r="J34" i="32"/>
  <c r="AG34" i="32"/>
  <c r="I199" i="55"/>
  <c r="N187" i="55"/>
  <c r="H187" i="55"/>
  <c r="I22" i="32"/>
  <c r="AF22" i="32"/>
  <c r="I11" i="30"/>
  <c r="I11" i="17" s="1"/>
  <c r="AF11" i="30"/>
  <c r="H11" i="17"/>
  <c r="J45" i="34"/>
  <c r="AH45" i="34" s="1"/>
  <c r="AG45" i="34"/>
  <c r="AE32" i="32"/>
  <c r="G37" i="32"/>
  <c r="Z47" i="30"/>
  <c r="AA48" i="30"/>
  <c r="AJ32" i="33"/>
  <c r="F37" i="33"/>
  <c r="AA8" i="29"/>
  <c r="AB9" i="29"/>
  <c r="AB34" i="30"/>
  <c r="AA33" i="30"/>
  <c r="Y32" i="36"/>
  <c r="Y37" i="36" s="1"/>
  <c r="Y60" i="36" s="1"/>
  <c r="G52" i="32"/>
  <c r="AE41" i="32"/>
  <c r="AE52" i="30"/>
  <c r="J29" i="29"/>
  <c r="AH29" i="29" s="1"/>
  <c r="AG29" i="29"/>
  <c r="I48" i="30"/>
  <c r="AF48" i="30"/>
  <c r="H47" i="30"/>
  <c r="H13" i="29"/>
  <c r="H13" i="17" s="1"/>
  <c r="AE13" i="29"/>
  <c r="G13" i="17"/>
  <c r="N130" i="55"/>
  <c r="N8" i="25"/>
  <c r="N32" i="25" s="1"/>
  <c r="N37" i="25" s="1"/>
  <c r="O9" i="25"/>
  <c r="N23" i="27"/>
  <c r="O24" i="27"/>
  <c r="J10" i="37"/>
  <c r="AH10" i="37" s="1"/>
  <c r="AG10" i="37"/>
  <c r="AI10" i="37"/>
  <c r="AG50" i="29"/>
  <c r="J50" i="29"/>
  <c r="AH50" i="29" s="1"/>
  <c r="AE8" i="27"/>
  <c r="G32" i="27"/>
  <c r="I33" i="26"/>
  <c r="U9" i="25"/>
  <c r="T8" i="25"/>
  <c r="T32" i="25" s="1"/>
  <c r="T37" i="25" s="1"/>
  <c r="T60" i="25" s="1"/>
  <c r="J14" i="29"/>
  <c r="AH14" i="29" s="1"/>
  <c r="AG14" i="29"/>
  <c r="AI14" i="29"/>
  <c r="S41" i="26"/>
  <c r="S52" i="26" s="1"/>
  <c r="S60" i="26" s="1"/>
  <c r="T42" i="26"/>
  <c r="AB34" i="28"/>
  <c r="AA33" i="28"/>
  <c r="AH18" i="29"/>
  <c r="J18" i="17"/>
  <c r="J14" i="28"/>
  <c r="AH14" i="28" s="1"/>
  <c r="AG14" i="28"/>
  <c r="AI14" i="28"/>
  <c r="O8" i="27"/>
  <c r="P9" i="27"/>
  <c r="P8" i="27" s="1"/>
  <c r="M52" i="26"/>
  <c r="M60" i="26" s="1"/>
  <c r="P158" i="55"/>
  <c r="F57" i="27"/>
  <c r="AJ37" i="27"/>
  <c r="F60" i="27"/>
  <c r="F61" i="27"/>
  <c r="AA8" i="31"/>
  <c r="AA32" i="31" s="1"/>
  <c r="AA37" i="31" s="1"/>
  <c r="AA21" i="27"/>
  <c r="Z20" i="27"/>
  <c r="AI19" i="25"/>
  <c r="AG19" i="25"/>
  <c r="J19" i="25"/>
  <c r="AH19" i="25" s="1"/>
  <c r="J50" i="30"/>
  <c r="AH50" i="30" s="1"/>
  <c r="AG50" i="30"/>
  <c r="AH21" i="25"/>
  <c r="U33" i="25"/>
  <c r="V34" i="25"/>
  <c r="V33" i="25" s="1"/>
  <c r="O20" i="24"/>
  <c r="P21" i="24"/>
  <c r="P20" i="24" s="1"/>
  <c r="O20" i="23"/>
  <c r="P21" i="23"/>
  <c r="O36" i="55"/>
  <c r="Q36" i="55" s="1"/>
  <c r="C44" i="55"/>
  <c r="K15" i="39"/>
  <c r="AF47" i="28"/>
  <c r="J22" i="25"/>
  <c r="AH22" i="25" s="1"/>
  <c r="AG22" i="25"/>
  <c r="I46" i="25"/>
  <c r="AF46" i="25"/>
  <c r="G32" i="24"/>
  <c r="AE8" i="24"/>
  <c r="AE41" i="24"/>
  <c r="G52" i="24"/>
  <c r="I17" i="25"/>
  <c r="AF17" i="25"/>
  <c r="J50" i="25"/>
  <c r="AH50" i="25" s="1"/>
  <c r="AG50" i="25"/>
  <c r="I9" i="23"/>
  <c r="H8" i="23"/>
  <c r="H9" i="17"/>
  <c r="AF9" i="23"/>
  <c r="AA20" i="24"/>
  <c r="AB21" i="24"/>
  <c r="K37" i="23"/>
  <c r="J30" i="23"/>
  <c r="AG30" i="23"/>
  <c r="R30" i="23"/>
  <c r="R34" i="22"/>
  <c r="L36" i="22"/>
  <c r="M34" i="22"/>
  <c r="L29" i="21"/>
  <c r="O70" i="22"/>
  <c r="Q70" i="22"/>
  <c r="T70" i="22"/>
  <c r="V70" i="22"/>
  <c r="O68" i="12"/>
  <c r="AG69" i="12"/>
  <c r="O70" i="10"/>
  <c r="J45" i="25"/>
  <c r="AH45" i="25" s="1"/>
  <c r="AG45" i="25"/>
  <c r="J26" i="24"/>
  <c r="AH26" i="24" s="1"/>
  <c r="AG26" i="24"/>
  <c r="J24" i="23"/>
  <c r="I23" i="23"/>
  <c r="AG24" i="23"/>
  <c r="T16" i="22"/>
  <c r="V16" i="22"/>
  <c r="O16" i="22"/>
  <c r="N16" i="21"/>
  <c r="T16" i="21" s="1"/>
  <c r="N29" i="22"/>
  <c r="S29" i="22"/>
  <c r="R63" i="22"/>
  <c r="M63" i="22"/>
  <c r="L66" i="22"/>
  <c r="R66" i="22" s="1"/>
  <c r="N89" i="22"/>
  <c r="S89" i="22"/>
  <c r="M58" i="21"/>
  <c r="S58" i="21" s="1"/>
  <c r="T103" i="22"/>
  <c r="O103" i="22"/>
  <c r="U103" i="22" s="1"/>
  <c r="V103" i="22"/>
  <c r="J127" i="22"/>
  <c r="O51" i="21"/>
  <c r="U67" i="22"/>
  <c r="U96" i="22"/>
  <c r="O65" i="21"/>
  <c r="U56" i="20"/>
  <c r="P56" i="20"/>
  <c r="R37" i="14"/>
  <c r="F74" i="11"/>
  <c r="L323" i="13"/>
  <c r="R323" i="13" s="1"/>
  <c r="AA33" i="13" s="1"/>
  <c r="E74" i="12"/>
  <c r="P24" i="23"/>
  <c r="P23" i="23" s="1"/>
  <c r="O23" i="23"/>
  <c r="U40" i="22"/>
  <c r="O33" i="21"/>
  <c r="U33" i="21" s="1"/>
  <c r="N23" i="18"/>
  <c r="N32" i="18" s="1"/>
  <c r="O24" i="18"/>
  <c r="N24" i="17"/>
  <c r="P42" i="24"/>
  <c r="P41" i="24" s="1"/>
  <c r="O41" i="24"/>
  <c r="V35" i="22"/>
  <c r="O35" i="22"/>
  <c r="N30" i="21"/>
  <c r="T30" i="21" s="1"/>
  <c r="T35" i="22"/>
  <c r="R104" i="22"/>
  <c r="L107" i="22"/>
  <c r="M104" i="22"/>
  <c r="M32" i="18"/>
  <c r="M46" i="17"/>
  <c r="N76" i="22"/>
  <c r="S76" i="22"/>
  <c r="D8" i="17"/>
  <c r="D32" i="18"/>
  <c r="O14" i="18"/>
  <c r="N14" i="17"/>
  <c r="R42" i="10" s="1"/>
  <c r="M20" i="17"/>
  <c r="AB31" i="14"/>
  <c r="O31" i="14"/>
  <c r="U31" i="14" s="1"/>
  <c r="T31" i="14"/>
  <c r="N32" i="14"/>
  <c r="S45" i="13"/>
  <c r="N45" i="13"/>
  <c r="N168" i="20"/>
  <c r="S168" i="20"/>
  <c r="P25" i="18"/>
  <c r="O25" i="17"/>
  <c r="AB40" i="14"/>
  <c r="N43" i="14"/>
  <c r="T40" i="14"/>
  <c r="O40" i="14"/>
  <c r="Q8" i="13"/>
  <c r="O8" i="13"/>
  <c r="T8" i="13"/>
  <c r="AG8" i="13"/>
  <c r="H9" i="11"/>
  <c r="M9" i="12"/>
  <c r="G9" i="12"/>
  <c r="AC12" i="23"/>
  <c r="AC12" i="17" s="1"/>
  <c r="AB12" i="17"/>
  <c r="T18" i="20"/>
  <c r="V18" i="20"/>
  <c r="O18" i="20"/>
  <c r="U18" i="20" s="1"/>
  <c r="Q18" i="20"/>
  <c r="O100" i="20"/>
  <c r="U100" i="20" s="1"/>
  <c r="Q100" i="20"/>
  <c r="T100" i="20"/>
  <c r="V100" i="20"/>
  <c r="AA50" i="17"/>
  <c r="N14" i="13"/>
  <c r="S14" i="13"/>
  <c r="AJ43" i="17"/>
  <c r="AK43" i="17"/>
  <c r="O163" i="20"/>
  <c r="T163" i="20"/>
  <c r="X25" i="18"/>
  <c r="AI25" i="18"/>
  <c r="F23" i="18"/>
  <c r="F32" i="18" s="1"/>
  <c r="F25" i="17"/>
  <c r="H29" i="18"/>
  <c r="AE29" i="18"/>
  <c r="G29" i="17"/>
  <c r="R9" i="14"/>
  <c r="L16" i="14"/>
  <c r="E65" i="12"/>
  <c r="AI65" i="12" s="1"/>
  <c r="F65" i="11"/>
  <c r="M46" i="21"/>
  <c r="S46" i="21" s="1"/>
  <c r="S45" i="21"/>
  <c r="M64" i="21"/>
  <c r="S63" i="21"/>
  <c r="P35" i="21"/>
  <c r="N51" i="20"/>
  <c r="N58" i="20" s="1"/>
  <c r="S51" i="20"/>
  <c r="T31" i="18"/>
  <c r="S31" i="17"/>
  <c r="AB46" i="14"/>
  <c r="O46" i="14"/>
  <c r="U46" i="14" s="1"/>
  <c r="T46" i="14"/>
  <c r="R60" i="25"/>
  <c r="S14" i="17"/>
  <c r="K42" i="10" s="1"/>
  <c r="AC42" i="10" s="1"/>
  <c r="T14" i="18"/>
  <c r="AP30" i="17"/>
  <c r="O62" i="10"/>
  <c r="I62" i="10"/>
  <c r="J61" i="7"/>
  <c r="AB34" i="14"/>
  <c r="O34" i="14"/>
  <c r="T34" i="14"/>
  <c r="Q34" i="14"/>
  <c r="V23" i="23"/>
  <c r="R64" i="21"/>
  <c r="U5" i="19"/>
  <c r="J15" i="18"/>
  <c r="K23" i="17"/>
  <c r="AC45" i="18"/>
  <c r="AB45" i="17"/>
  <c r="O47" i="20"/>
  <c r="Q47" i="20"/>
  <c r="T47" i="20"/>
  <c r="V47" i="20"/>
  <c r="M189" i="20"/>
  <c r="S189" i="20" s="1"/>
  <c r="N7" i="19"/>
  <c r="H14" i="18"/>
  <c r="S7" i="19"/>
  <c r="N50" i="22"/>
  <c r="S50" i="22"/>
  <c r="P12" i="18"/>
  <c r="O12" i="17"/>
  <c r="N55" i="13"/>
  <c r="S55" i="13"/>
  <c r="N187" i="13"/>
  <c r="M189" i="13"/>
  <c r="S187" i="13"/>
  <c r="S87" i="22"/>
  <c r="N87" i="22"/>
  <c r="AG49" i="18"/>
  <c r="J49" i="18"/>
  <c r="T127" i="13"/>
  <c r="O127" i="13"/>
  <c r="U127" i="13" s="1"/>
  <c r="AG127" i="13"/>
  <c r="S212" i="13"/>
  <c r="M217" i="13"/>
  <c r="S217" i="13" s="1"/>
  <c r="N212" i="13"/>
  <c r="N259" i="13"/>
  <c r="S259" i="13"/>
  <c r="I49" i="12"/>
  <c r="P287" i="13"/>
  <c r="J49" i="11"/>
  <c r="D61" i="12"/>
  <c r="E61" i="11"/>
  <c r="K318" i="13"/>
  <c r="G27" i="11"/>
  <c r="M119" i="11"/>
  <c r="F119" i="10"/>
  <c r="AJ119" i="10" s="1"/>
  <c r="G121" i="7"/>
  <c r="M121" i="7" s="1"/>
  <c r="O38" i="12"/>
  <c r="J38" i="11"/>
  <c r="I38" i="12"/>
  <c r="AF130" i="13"/>
  <c r="R193" i="13"/>
  <c r="M193" i="13"/>
  <c r="L197" i="13"/>
  <c r="K287" i="13"/>
  <c r="E49" i="11"/>
  <c r="D49" i="12"/>
  <c r="AD33" i="12"/>
  <c r="L34" i="10"/>
  <c r="AD34" i="10" s="1"/>
  <c r="N157" i="13"/>
  <c r="S157" i="13"/>
  <c r="S145" i="13"/>
  <c r="N145" i="13"/>
  <c r="AG262" i="13"/>
  <c r="O262" i="13"/>
  <c r="M25" i="11"/>
  <c r="G25" i="7"/>
  <c r="M25" i="7" s="1"/>
  <c r="F26" i="10"/>
  <c r="AJ26" i="10" s="1"/>
  <c r="F50" i="12"/>
  <c r="L50" i="12"/>
  <c r="G50" i="11"/>
  <c r="S285" i="13"/>
  <c r="H33" i="51"/>
  <c r="N33" i="51"/>
  <c r="Q43" i="18"/>
  <c r="Q43" i="17" s="1"/>
  <c r="P35" i="12"/>
  <c r="P38" i="10"/>
  <c r="R31" i="12"/>
  <c r="Q32" i="10"/>
  <c r="U73" i="12"/>
  <c r="U87" i="12" s="1"/>
  <c r="O94" i="13"/>
  <c r="U94" i="13" s="1"/>
  <c r="T94" i="13"/>
  <c r="AG94" i="13"/>
  <c r="R165" i="13"/>
  <c r="L175" i="13"/>
  <c r="R175" i="13" s="1"/>
  <c r="AK118" i="12"/>
  <c r="H118" i="11"/>
  <c r="H118" i="12"/>
  <c r="AF129" i="10"/>
  <c r="AL130" i="10"/>
  <c r="N54" i="51"/>
  <c r="AG143" i="10"/>
  <c r="AG150" i="10" s="1"/>
  <c r="AM144" i="10"/>
  <c r="AI45" i="12"/>
  <c r="AM81" i="10"/>
  <c r="Q194" i="13"/>
  <c r="O194" i="13"/>
  <c r="AG194" i="13"/>
  <c r="K271" i="13"/>
  <c r="J26" i="12"/>
  <c r="AB73" i="12"/>
  <c r="AH73" i="12" s="1"/>
  <c r="AH74" i="12"/>
  <c r="AH130" i="10"/>
  <c r="AB129" i="10"/>
  <c r="D21" i="10"/>
  <c r="AH21" i="10" s="1"/>
  <c r="E20" i="7"/>
  <c r="L20" i="11"/>
  <c r="F8" i="8"/>
  <c r="J152" i="7"/>
  <c r="AJ132" i="10"/>
  <c r="F129" i="10"/>
  <c r="I104" i="45"/>
  <c r="L135" i="7"/>
  <c r="P135" i="7"/>
  <c r="E152" i="7"/>
  <c r="I100" i="10"/>
  <c r="K99" i="11"/>
  <c r="J102" i="7"/>
  <c r="AG54" i="10"/>
  <c r="AM57" i="10"/>
  <c r="O75" i="55"/>
  <c r="Q75" i="55" s="1"/>
  <c r="C85" i="55"/>
  <c r="L227" i="55"/>
  <c r="H227" i="55"/>
  <c r="O132" i="55"/>
  <c r="Q132" i="55" s="1"/>
  <c r="O276" i="55"/>
  <c r="Q276" i="55" s="1"/>
  <c r="C284" i="55"/>
  <c r="O284" i="55" s="1"/>
  <c r="Q284" i="55" s="1"/>
  <c r="C368" i="55"/>
  <c r="O358" i="55"/>
  <c r="Q358" i="55" s="1"/>
  <c r="O274" i="55"/>
  <c r="Q274" i="55" s="1"/>
  <c r="P98" i="49"/>
  <c r="L99" i="49"/>
  <c r="W7" i="47"/>
  <c r="O7" i="47"/>
  <c r="T7" i="47"/>
  <c r="G117" i="12"/>
  <c r="AK117" i="12" s="1"/>
  <c r="H117" i="11"/>
  <c r="S46" i="47"/>
  <c r="N46" i="47"/>
  <c r="L116" i="12"/>
  <c r="L124" i="12"/>
  <c r="AA38" i="46"/>
  <c r="T38" i="46"/>
  <c r="Q38" i="46"/>
  <c r="O38" i="46"/>
  <c r="U38" i="46" s="1"/>
  <c r="S68" i="46"/>
  <c r="N68" i="46"/>
  <c r="O443" i="55"/>
  <c r="Q443" i="55" s="1"/>
  <c r="I86" i="46"/>
  <c r="N44" i="46"/>
  <c r="S44" i="46"/>
  <c r="AA146" i="46"/>
  <c r="T146" i="46"/>
  <c r="O146" i="46"/>
  <c r="U146" i="46" s="1"/>
  <c r="X157" i="46"/>
  <c r="V144" i="46"/>
  <c r="W144" i="46" s="1"/>
  <c r="N136" i="46"/>
  <c r="S136" i="46"/>
  <c r="N71" i="45"/>
  <c r="S71" i="45"/>
  <c r="AA139" i="46"/>
  <c r="T139" i="46"/>
  <c r="O139" i="46"/>
  <c r="M161" i="46"/>
  <c r="L163" i="46"/>
  <c r="R163" i="46" s="1"/>
  <c r="R161" i="46"/>
  <c r="L10" i="44"/>
  <c r="M9" i="44"/>
  <c r="R9" i="44"/>
  <c r="L32" i="44"/>
  <c r="N38" i="47"/>
  <c r="S38" i="47"/>
  <c r="N17" i="46"/>
  <c r="M25" i="46"/>
  <c r="S25" i="46" s="1"/>
  <c r="S17" i="46"/>
  <c r="U116" i="46"/>
  <c r="P116" i="46"/>
  <c r="AA116" i="46" s="1"/>
  <c r="V15" i="44"/>
  <c r="Q15" i="44"/>
  <c r="T15" i="44"/>
  <c r="N104" i="46"/>
  <c r="S104" i="46"/>
  <c r="N32" i="43"/>
  <c r="S32" i="43"/>
  <c r="T9" i="42"/>
  <c r="N9" i="41"/>
  <c r="O9" i="42"/>
  <c r="R45" i="43"/>
  <c r="M45" i="43"/>
  <c r="L48" i="43"/>
  <c r="R48" i="43" s="1"/>
  <c r="M66" i="43"/>
  <c r="R66" i="43"/>
  <c r="S91" i="42"/>
  <c r="N91" i="42"/>
  <c r="M59" i="41"/>
  <c r="S57" i="41"/>
  <c r="M112" i="46"/>
  <c r="R112" i="46"/>
  <c r="S79" i="42"/>
  <c r="N79" i="42"/>
  <c r="M81" i="42"/>
  <c r="N94" i="42"/>
  <c r="S94" i="42"/>
  <c r="X90" i="42"/>
  <c r="O90" i="42"/>
  <c r="U90" i="42" s="1"/>
  <c r="Q90" i="42"/>
  <c r="T90" i="42"/>
  <c r="N19" i="42"/>
  <c r="M19" i="41"/>
  <c r="S19" i="41" s="1"/>
  <c r="S19" i="42"/>
  <c r="X51" i="42"/>
  <c r="O51" i="42"/>
  <c r="U51" i="42" s="1"/>
  <c r="Q51" i="42"/>
  <c r="T51" i="42"/>
  <c r="N75" i="42"/>
  <c r="N49" i="41" s="1"/>
  <c r="M49" i="41"/>
  <c r="S49" i="41" s="1"/>
  <c r="S75" i="42"/>
  <c r="N138" i="46"/>
  <c r="S138" i="46"/>
  <c r="S61" i="42"/>
  <c r="N61" i="42"/>
  <c r="X68" i="42"/>
  <c r="T68" i="42"/>
  <c r="Q68" i="42"/>
  <c r="O68" i="42"/>
  <c r="U68" i="42" s="1"/>
  <c r="N53" i="42"/>
  <c r="S53" i="42"/>
  <c r="M32" i="42"/>
  <c r="M135" i="42" s="1"/>
  <c r="R32" i="42"/>
  <c r="L30" i="41"/>
  <c r="R30" i="41" s="1"/>
  <c r="R116" i="42"/>
  <c r="M15" i="40"/>
  <c r="R15" i="40"/>
  <c r="Q93" i="12"/>
  <c r="M7" i="43"/>
  <c r="R7" i="43"/>
  <c r="L87" i="43"/>
  <c r="L16" i="43"/>
  <c r="L88" i="43"/>
  <c r="I98" i="42"/>
  <c r="I99" i="42" s="1"/>
  <c r="N114" i="42"/>
  <c r="S114" i="42"/>
  <c r="M66" i="41"/>
  <c r="S66" i="41" s="1"/>
  <c r="N85" i="42"/>
  <c r="S85" i="42"/>
  <c r="R69" i="41"/>
  <c r="L71" i="41"/>
  <c r="R71" i="41" s="1"/>
  <c r="M29" i="66"/>
  <c r="L29" i="17"/>
  <c r="P57" i="10" s="1"/>
  <c r="P54" i="10" s="1"/>
  <c r="J79" i="41"/>
  <c r="T8" i="66"/>
  <c r="T32" i="66" s="1"/>
  <c r="U9" i="66"/>
  <c r="T8" i="37"/>
  <c r="T32" i="37" s="1"/>
  <c r="T37" i="37" s="1"/>
  <c r="U9" i="37"/>
  <c r="V16" i="41"/>
  <c r="T16" i="41"/>
  <c r="J78" i="41"/>
  <c r="M53" i="40"/>
  <c r="R53" i="40"/>
  <c r="L61" i="40"/>
  <c r="R61" i="40" s="1"/>
  <c r="U33" i="38"/>
  <c r="V34" i="38"/>
  <c r="V33" i="38" s="1"/>
  <c r="N7" i="40"/>
  <c r="S7" i="40"/>
  <c r="M13" i="40"/>
  <c r="R93" i="12"/>
  <c r="J9" i="66"/>
  <c r="AG9" i="66"/>
  <c r="AI9" i="66"/>
  <c r="I46" i="66"/>
  <c r="AF46" i="66"/>
  <c r="S60" i="66"/>
  <c r="U48" i="66"/>
  <c r="T47" i="66"/>
  <c r="T52" i="66" s="1"/>
  <c r="J13" i="37"/>
  <c r="AH13" i="37" s="1"/>
  <c r="AG13" i="37"/>
  <c r="J444" i="55"/>
  <c r="C444" i="55"/>
  <c r="C452" i="55" s="1"/>
  <c r="K444" i="55"/>
  <c r="K452" i="55" s="1"/>
  <c r="D444" i="55"/>
  <c r="D452" i="55" s="1"/>
  <c r="L444" i="55"/>
  <c r="L452" i="55" s="1"/>
  <c r="E444" i="55"/>
  <c r="E452" i="55" s="1"/>
  <c r="M444" i="55"/>
  <c r="F444" i="55"/>
  <c r="F452" i="55" s="1"/>
  <c r="N444" i="55"/>
  <c r="G444" i="55"/>
  <c r="G452" i="55" s="1"/>
  <c r="H444" i="55"/>
  <c r="H452" i="55" s="1"/>
  <c r="I444" i="55"/>
  <c r="R73" i="40"/>
  <c r="I45" i="38"/>
  <c r="AF45" i="38"/>
  <c r="AB21" i="38"/>
  <c r="AA20" i="38"/>
  <c r="I14" i="37"/>
  <c r="AF14" i="37"/>
  <c r="I328" i="55"/>
  <c r="J29" i="38"/>
  <c r="AH29" i="38" s="1"/>
  <c r="AG29" i="38"/>
  <c r="O21" i="37"/>
  <c r="N20" i="37"/>
  <c r="G47" i="35"/>
  <c r="H48" i="35"/>
  <c r="AE48" i="35"/>
  <c r="AA24" i="36"/>
  <c r="Z23" i="36"/>
  <c r="S54" i="40"/>
  <c r="N54" i="40"/>
  <c r="AA33" i="38"/>
  <c r="AB34" i="38"/>
  <c r="AB24" i="37"/>
  <c r="AA23" i="37"/>
  <c r="I25" i="34"/>
  <c r="AF25" i="34"/>
  <c r="V34" i="36"/>
  <c r="O21" i="35"/>
  <c r="N20" i="35"/>
  <c r="N32" i="35" s="1"/>
  <c r="N37" i="35" s="1"/>
  <c r="N60" i="35" s="1"/>
  <c r="V42" i="35"/>
  <c r="O8" i="36"/>
  <c r="O32" i="36" s="1"/>
  <c r="P9" i="36"/>
  <c r="P8" i="36" s="1"/>
  <c r="P32" i="36" s="1"/>
  <c r="J46" i="36"/>
  <c r="AH46" i="36" s="1"/>
  <c r="AG46" i="36"/>
  <c r="AI46" i="36"/>
  <c r="Y52" i="35"/>
  <c r="T23" i="34"/>
  <c r="U24" i="34"/>
  <c r="X58" i="42"/>
  <c r="T58" i="42"/>
  <c r="J26" i="35"/>
  <c r="AH26" i="35" s="1"/>
  <c r="AG26" i="35"/>
  <c r="AB41" i="34"/>
  <c r="AB52" i="34" s="1"/>
  <c r="AC42" i="34"/>
  <c r="AC41" i="34" s="1"/>
  <c r="AC52" i="34" s="1"/>
  <c r="J16" i="33"/>
  <c r="AH16" i="33" s="1"/>
  <c r="AG16" i="33"/>
  <c r="AI16" i="33"/>
  <c r="AH24" i="34"/>
  <c r="K27" i="39"/>
  <c r="N27" i="39" s="1"/>
  <c r="AF47" i="34"/>
  <c r="AF33" i="35"/>
  <c r="M8" i="33"/>
  <c r="M32" i="33" s="1"/>
  <c r="M37" i="33" s="1"/>
  <c r="M60" i="33" s="1"/>
  <c r="H33" i="33"/>
  <c r="AF33" i="33" s="1"/>
  <c r="I34" i="33"/>
  <c r="AF34" i="33"/>
  <c r="H34" i="17"/>
  <c r="AC33" i="36"/>
  <c r="I35" i="35"/>
  <c r="AF35" i="35"/>
  <c r="AG10" i="33"/>
  <c r="J10" i="33"/>
  <c r="AH10" i="33" s="1"/>
  <c r="AI10" i="33"/>
  <c r="E244" i="55"/>
  <c r="C244" i="55"/>
  <c r="O239" i="55"/>
  <c r="Q239" i="55" s="1"/>
  <c r="O41" i="38"/>
  <c r="J10" i="35"/>
  <c r="AH10" i="35" s="1"/>
  <c r="AG10" i="35"/>
  <c r="O47" i="33"/>
  <c r="P48" i="33"/>
  <c r="P47" i="33" s="1"/>
  <c r="U52" i="32"/>
  <c r="I49" i="32"/>
  <c r="AF49" i="32"/>
  <c r="Z41" i="31"/>
  <c r="Z52" i="31" s="1"/>
  <c r="AA42" i="31"/>
  <c r="T10" i="30"/>
  <c r="T8" i="30" s="1"/>
  <c r="T32" i="30" s="1"/>
  <c r="T37" i="30" s="1"/>
  <c r="S10" i="17"/>
  <c r="K38" i="10" s="1"/>
  <c r="H44" i="34"/>
  <c r="AE44" i="34"/>
  <c r="F52" i="32"/>
  <c r="AJ41" i="32"/>
  <c r="H199" i="55"/>
  <c r="J51" i="33"/>
  <c r="AH51" i="33" s="1"/>
  <c r="AG51" i="33"/>
  <c r="F187" i="55"/>
  <c r="J10" i="31"/>
  <c r="AH10" i="31" s="1"/>
  <c r="AG10" i="31"/>
  <c r="AI10" i="31"/>
  <c r="T42" i="31"/>
  <c r="S41" i="31"/>
  <c r="S52" i="31" s="1"/>
  <c r="AI14" i="30"/>
  <c r="J14" i="30"/>
  <c r="AH14" i="30" s="1"/>
  <c r="AG14" i="30"/>
  <c r="E267" i="55"/>
  <c r="E272" i="55" s="1"/>
  <c r="M267" i="55"/>
  <c r="M272" i="55" s="1"/>
  <c r="F267" i="55"/>
  <c r="F272" i="55" s="1"/>
  <c r="N267" i="55"/>
  <c r="N272" i="55" s="1"/>
  <c r="G267" i="55"/>
  <c r="G272" i="55" s="1"/>
  <c r="H267" i="55"/>
  <c r="H272" i="55" s="1"/>
  <c r="I267" i="55"/>
  <c r="I272" i="55" s="1"/>
  <c r="C267" i="55"/>
  <c r="K267" i="55"/>
  <c r="K272" i="55" s="1"/>
  <c r="D267" i="55"/>
  <c r="D272" i="55" s="1"/>
  <c r="J267" i="55"/>
  <c r="J272" i="55" s="1"/>
  <c r="L267" i="55"/>
  <c r="L272" i="55" s="1"/>
  <c r="I35" i="30"/>
  <c r="AF35" i="30"/>
  <c r="H35" i="17"/>
  <c r="I15" i="36"/>
  <c r="AF15" i="36"/>
  <c r="T10" i="33"/>
  <c r="S8" i="33"/>
  <c r="S32" i="33" s="1"/>
  <c r="S37" i="33" s="1"/>
  <c r="AJ32" i="36"/>
  <c r="J380" i="55"/>
  <c r="H380" i="55"/>
  <c r="I380" i="55"/>
  <c r="I384" i="55" s="1"/>
  <c r="K380" i="55"/>
  <c r="K384" i="55" s="1"/>
  <c r="C380" i="55"/>
  <c r="O380" i="55" s="1"/>
  <c r="Q380" i="55" s="1"/>
  <c r="L380" i="55"/>
  <c r="L384" i="55" s="1"/>
  <c r="D380" i="55"/>
  <c r="D384" i="55" s="1"/>
  <c r="M380" i="55"/>
  <c r="M384" i="55" s="1"/>
  <c r="E380" i="55"/>
  <c r="E384" i="55" s="1"/>
  <c r="N380" i="55"/>
  <c r="N384" i="55" s="1"/>
  <c r="F380" i="55"/>
  <c r="F384" i="55" s="1"/>
  <c r="G380" i="55"/>
  <c r="Z32" i="29"/>
  <c r="Z37" i="29" s="1"/>
  <c r="I30" i="32"/>
  <c r="AF30" i="32"/>
  <c r="Z52" i="30"/>
  <c r="U23" i="28"/>
  <c r="C170" i="55"/>
  <c r="O170" i="55" s="1"/>
  <c r="O162" i="55"/>
  <c r="Q162" i="55" s="1"/>
  <c r="I43" i="32"/>
  <c r="AF43" i="32"/>
  <c r="H33" i="29"/>
  <c r="AF33" i="29" s="1"/>
  <c r="J31" i="28"/>
  <c r="AH31" i="28" s="1"/>
  <c r="AG31" i="28"/>
  <c r="M37" i="32"/>
  <c r="M60" i="32" s="1"/>
  <c r="J12" i="31"/>
  <c r="AH12" i="31" s="1"/>
  <c r="AG12" i="31"/>
  <c r="I21" i="29"/>
  <c r="AF21" i="29"/>
  <c r="H20" i="29"/>
  <c r="AF20" i="29" s="1"/>
  <c r="R17" i="39"/>
  <c r="Z52" i="28"/>
  <c r="L130" i="55"/>
  <c r="F130" i="55"/>
  <c r="AC21" i="32"/>
  <c r="AC20" i="32" s="1"/>
  <c r="AB20" i="32"/>
  <c r="J46" i="32"/>
  <c r="AH46" i="32" s="1"/>
  <c r="AG46" i="32"/>
  <c r="AI46" i="32"/>
  <c r="J25" i="29"/>
  <c r="AG25" i="29"/>
  <c r="I23" i="29"/>
  <c r="AG23" i="29" s="1"/>
  <c r="S32" i="28"/>
  <c r="S37" i="28" s="1"/>
  <c r="S47" i="28"/>
  <c r="T48" i="28"/>
  <c r="Z23" i="27"/>
  <c r="AA24" i="27"/>
  <c r="N47" i="27"/>
  <c r="O48" i="27"/>
  <c r="D52" i="33"/>
  <c r="AJ52" i="33" s="1"/>
  <c r="AG17" i="30"/>
  <c r="J17" i="30"/>
  <c r="AH17" i="30" s="1"/>
  <c r="M32" i="66"/>
  <c r="M37" i="66" s="1"/>
  <c r="U33" i="28"/>
  <c r="V34" i="28"/>
  <c r="V33" i="28" s="1"/>
  <c r="I20" i="27"/>
  <c r="AG20" i="27" s="1"/>
  <c r="AG21" i="27"/>
  <c r="J21" i="27"/>
  <c r="I23" i="25"/>
  <c r="AG23" i="25" s="1"/>
  <c r="J24" i="25"/>
  <c r="AG24" i="25"/>
  <c r="N20" i="29"/>
  <c r="J26" i="28"/>
  <c r="AH26" i="28" s="1"/>
  <c r="AG26" i="28"/>
  <c r="J17" i="27"/>
  <c r="AH17" i="27" s="1"/>
  <c r="AG17" i="27"/>
  <c r="AA24" i="24"/>
  <c r="Z23" i="24"/>
  <c r="J46" i="30"/>
  <c r="AH46" i="30" s="1"/>
  <c r="AG46" i="30"/>
  <c r="AI46" i="30"/>
  <c r="Z20" i="28"/>
  <c r="O16" i="28"/>
  <c r="N16" i="17"/>
  <c r="N32" i="27"/>
  <c r="N37" i="27" s="1"/>
  <c r="S33" i="27"/>
  <c r="S37" i="27" s="1"/>
  <c r="S60" i="27" s="1"/>
  <c r="O43" i="26"/>
  <c r="N41" i="26"/>
  <c r="N52" i="26" s="1"/>
  <c r="N43" i="17"/>
  <c r="V48" i="34"/>
  <c r="V47" i="34" s="1"/>
  <c r="U47" i="34"/>
  <c r="V42" i="30"/>
  <c r="K37" i="27"/>
  <c r="AB8" i="31"/>
  <c r="AC9" i="31"/>
  <c r="AC8" i="31" s="1"/>
  <c r="I26" i="29"/>
  <c r="AF26" i="29"/>
  <c r="AI36" i="27"/>
  <c r="J36" i="27"/>
  <c r="AH36" i="27" s="1"/>
  <c r="AG36" i="27"/>
  <c r="AC34" i="29"/>
  <c r="AC33" i="29" s="1"/>
  <c r="AB33" i="29"/>
  <c r="AA34" i="26"/>
  <c r="Z33" i="26"/>
  <c r="Z34" i="17"/>
  <c r="J48" i="27"/>
  <c r="AG48" i="27"/>
  <c r="I47" i="27"/>
  <c r="AI48" i="27"/>
  <c r="P22" i="27"/>
  <c r="P20" i="27" s="1"/>
  <c r="O20" i="27"/>
  <c r="AA22" i="26"/>
  <c r="Z20" i="26"/>
  <c r="Z22" i="17"/>
  <c r="J17" i="24"/>
  <c r="AH17" i="24" s="1"/>
  <c r="AG17" i="24"/>
  <c r="U33" i="27"/>
  <c r="J51" i="26"/>
  <c r="AH51" i="26" s="1"/>
  <c r="AG51" i="26"/>
  <c r="U42" i="24"/>
  <c r="T41" i="24"/>
  <c r="T52" i="24" s="1"/>
  <c r="L44" i="55"/>
  <c r="M79" i="22"/>
  <c r="R79" i="22"/>
  <c r="Y36" i="18"/>
  <c r="Y44" i="18"/>
  <c r="Y44" i="17" s="1"/>
  <c r="W96" i="10" s="1"/>
  <c r="J9" i="25"/>
  <c r="AG9" i="25"/>
  <c r="I8" i="25"/>
  <c r="I20" i="28"/>
  <c r="AG20" i="28" s="1"/>
  <c r="D57" i="25"/>
  <c r="D60" i="25"/>
  <c r="O47" i="25"/>
  <c r="P48" i="25"/>
  <c r="P47" i="25" s="1"/>
  <c r="AA8" i="24"/>
  <c r="AB9" i="24"/>
  <c r="Z41" i="24"/>
  <c r="Z52" i="24" s="1"/>
  <c r="AA42" i="24"/>
  <c r="R60" i="24"/>
  <c r="T18" i="22"/>
  <c r="V18" i="22"/>
  <c r="Q18" i="22"/>
  <c r="O18" i="22"/>
  <c r="N18" i="21"/>
  <c r="N106" i="22"/>
  <c r="S106" i="22"/>
  <c r="I36" i="24"/>
  <c r="K6" i="39"/>
  <c r="N6" i="39" s="1"/>
  <c r="AF36" i="24"/>
  <c r="H33" i="24"/>
  <c r="AF33" i="24" s="1"/>
  <c r="AA52" i="23"/>
  <c r="I33" i="23"/>
  <c r="AI34" i="23"/>
  <c r="J34" i="23"/>
  <c r="AG34" i="23"/>
  <c r="T60" i="22"/>
  <c r="V60" i="22"/>
  <c r="O60" i="22"/>
  <c r="Q60" i="22"/>
  <c r="N47" i="21"/>
  <c r="T62" i="20"/>
  <c r="V62" i="20"/>
  <c r="O62" i="20"/>
  <c r="U62" i="20" s="1"/>
  <c r="Q62" i="20"/>
  <c r="U20" i="18"/>
  <c r="V21" i="18"/>
  <c r="S73" i="22"/>
  <c r="N73" i="22"/>
  <c r="AA47" i="25"/>
  <c r="AB48" i="25"/>
  <c r="I27" i="23"/>
  <c r="AF27" i="23"/>
  <c r="AG49" i="23"/>
  <c r="J49" i="23"/>
  <c r="AH49" i="23" s="1"/>
  <c r="O22" i="21"/>
  <c r="U22" i="21" s="1"/>
  <c r="U24" i="22"/>
  <c r="S71" i="22"/>
  <c r="N71" i="22"/>
  <c r="R46" i="17"/>
  <c r="J98" i="10" s="1"/>
  <c r="S46" i="18"/>
  <c r="O46" i="23"/>
  <c r="N46" i="17"/>
  <c r="N80" i="20"/>
  <c r="S80" i="20"/>
  <c r="AJ10" i="17"/>
  <c r="C37" i="7"/>
  <c r="C38" i="10"/>
  <c r="Q15" i="18"/>
  <c r="Q15" i="17" s="1"/>
  <c r="U43" i="10" s="1"/>
  <c r="AG43" i="10" s="1"/>
  <c r="AM43" i="10" s="1"/>
  <c r="P15" i="17"/>
  <c r="T43" i="10" s="1"/>
  <c r="R27" i="17"/>
  <c r="S27" i="18"/>
  <c r="Y47" i="17"/>
  <c r="L90" i="46"/>
  <c r="L3" i="47"/>
  <c r="AB23" i="26"/>
  <c r="AC24" i="26"/>
  <c r="AC23" i="26" s="1"/>
  <c r="O16" i="20"/>
  <c r="U16" i="20" s="1"/>
  <c r="Q16" i="20"/>
  <c r="T16" i="20"/>
  <c r="V16" i="20"/>
  <c r="AC37" i="10"/>
  <c r="S15" i="18"/>
  <c r="R15" i="17"/>
  <c r="J43" i="10" s="1"/>
  <c r="AB43" i="10" s="1"/>
  <c r="AB29" i="18"/>
  <c r="AA29" i="17"/>
  <c r="S133" i="22"/>
  <c r="H46" i="18"/>
  <c r="T40" i="20"/>
  <c r="N45" i="20"/>
  <c r="Q45" i="20" s="1"/>
  <c r="V40" i="20"/>
  <c r="O40" i="20"/>
  <c r="D33" i="17"/>
  <c r="T44" i="13"/>
  <c r="Q44" i="13"/>
  <c r="AG44" i="13"/>
  <c r="O44" i="13"/>
  <c r="U44" i="13" s="1"/>
  <c r="R48" i="22"/>
  <c r="L37" i="21"/>
  <c r="F18" i="55"/>
  <c r="N18" i="55"/>
  <c r="G18" i="55"/>
  <c r="H18" i="55"/>
  <c r="I18" i="55"/>
  <c r="J18" i="55"/>
  <c r="D18" i="55"/>
  <c r="L18" i="55"/>
  <c r="E18" i="55"/>
  <c r="M18" i="55"/>
  <c r="C18" i="55"/>
  <c r="K18" i="55"/>
  <c r="S32" i="14"/>
  <c r="L72" i="12" s="1"/>
  <c r="F72" i="12"/>
  <c r="G72" i="11"/>
  <c r="T58" i="22"/>
  <c r="V58" i="22"/>
  <c r="O58" i="22"/>
  <c r="N45" i="21"/>
  <c r="P71" i="20"/>
  <c r="U71" i="20"/>
  <c r="K5" i="39"/>
  <c r="K4" i="39" s="1"/>
  <c r="N4" i="39" s="1"/>
  <c r="AF47" i="23"/>
  <c r="T78" i="20"/>
  <c r="V78" i="20"/>
  <c r="O78" i="20"/>
  <c r="U78" i="20" s="1"/>
  <c r="Q78" i="20"/>
  <c r="U23" i="23"/>
  <c r="AJ15" i="18"/>
  <c r="AG15" i="18"/>
  <c r="N9" i="17"/>
  <c r="R37" i="10" s="1"/>
  <c r="AE20" i="18"/>
  <c r="G20" i="17"/>
  <c r="AG26" i="18"/>
  <c r="J26" i="18"/>
  <c r="C74" i="7"/>
  <c r="C20" i="8"/>
  <c r="C19" i="8" s="1"/>
  <c r="C30" i="8" s="1"/>
  <c r="C75" i="10"/>
  <c r="C74" i="10" s="1"/>
  <c r="C88" i="10" s="1"/>
  <c r="Q42" i="18"/>
  <c r="P41" i="18"/>
  <c r="AJ34" i="17"/>
  <c r="N18" i="14"/>
  <c r="S18" i="14"/>
  <c r="U126" i="20"/>
  <c r="X73" i="11"/>
  <c r="U48" i="18"/>
  <c r="T47" i="18"/>
  <c r="M48" i="22"/>
  <c r="M13" i="19"/>
  <c r="S4" i="19"/>
  <c r="H10" i="18"/>
  <c r="R63" i="13"/>
  <c r="K101" i="13"/>
  <c r="N202" i="13"/>
  <c r="S202" i="13"/>
  <c r="O165" i="20"/>
  <c r="U165" i="20" s="1"/>
  <c r="T165" i="20"/>
  <c r="V29" i="12"/>
  <c r="V32" i="10"/>
  <c r="J31" i="12"/>
  <c r="N20" i="13"/>
  <c r="AG19" i="13"/>
  <c r="O19" i="13"/>
  <c r="T19" i="13"/>
  <c r="Q19" i="13"/>
  <c r="M15" i="12"/>
  <c r="T43" i="13"/>
  <c r="AG43" i="13"/>
  <c r="O43" i="13"/>
  <c r="Q43" i="13"/>
  <c r="R268" i="13"/>
  <c r="M268" i="13"/>
  <c r="Q29" i="12"/>
  <c r="P49" i="21"/>
  <c r="M33" i="17"/>
  <c r="O289" i="13"/>
  <c r="T289" i="13"/>
  <c r="AG289" i="13"/>
  <c r="E50" i="12"/>
  <c r="K50" i="12"/>
  <c r="F50" i="11"/>
  <c r="R285" i="13"/>
  <c r="M314" i="13"/>
  <c r="Q62" i="12"/>
  <c r="E62" i="12"/>
  <c r="R314" i="13"/>
  <c r="L317" i="13"/>
  <c r="O195" i="13"/>
  <c r="U195" i="13" s="1"/>
  <c r="AG195" i="13"/>
  <c r="T195" i="13"/>
  <c r="M275" i="13"/>
  <c r="M276" i="13" s="1"/>
  <c r="R275" i="13"/>
  <c r="H121" i="11"/>
  <c r="H121" i="12"/>
  <c r="AK121" i="12"/>
  <c r="H7" i="51"/>
  <c r="N7" i="51"/>
  <c r="S78" i="13"/>
  <c r="F33" i="12"/>
  <c r="AJ33" i="12" s="1"/>
  <c r="G33" i="11"/>
  <c r="S107" i="13"/>
  <c r="N107" i="13"/>
  <c r="L37" i="12"/>
  <c r="Z87" i="10"/>
  <c r="Z88" i="10" s="1"/>
  <c r="U87" i="10"/>
  <c r="N174" i="13"/>
  <c r="S174" i="13"/>
  <c r="L270" i="13"/>
  <c r="AH42" i="10"/>
  <c r="F18" i="56"/>
  <c r="R112" i="13"/>
  <c r="M112" i="13"/>
  <c r="M119" i="13" s="1"/>
  <c r="L119" i="13"/>
  <c r="Q37" i="12"/>
  <c r="AC37" i="12" s="1"/>
  <c r="T232" i="13"/>
  <c r="O232" i="13"/>
  <c r="U232" i="13" s="1"/>
  <c r="AG232" i="13"/>
  <c r="N52" i="11"/>
  <c r="H52" i="7"/>
  <c r="N52" i="7" s="1"/>
  <c r="G53" i="10"/>
  <c r="AK53" i="10" s="1"/>
  <c r="AH49" i="10"/>
  <c r="L23" i="11"/>
  <c r="E24" i="10"/>
  <c r="F23" i="7"/>
  <c r="M118" i="11"/>
  <c r="F118" i="10"/>
  <c r="AJ118" i="10" s="1"/>
  <c r="G120" i="7"/>
  <c r="M120" i="7" s="1"/>
  <c r="AC87" i="7"/>
  <c r="D158" i="7"/>
  <c r="AC158" i="7" s="1"/>
  <c r="AK144" i="10"/>
  <c r="AE143" i="10"/>
  <c r="AK143" i="10" s="1"/>
  <c r="S222" i="13"/>
  <c r="N222" i="13"/>
  <c r="M224" i="13"/>
  <c r="N284" i="13"/>
  <c r="S284" i="13"/>
  <c r="H9" i="51"/>
  <c r="N9" i="51"/>
  <c r="O76" i="12"/>
  <c r="AG77" i="12"/>
  <c r="O78" i="10"/>
  <c r="M258" i="13"/>
  <c r="L264" i="13"/>
  <c r="R258" i="13"/>
  <c r="AI16" i="10"/>
  <c r="N59" i="51"/>
  <c r="G25" i="18"/>
  <c r="AK99" i="12"/>
  <c r="S40" i="13"/>
  <c r="M42" i="13"/>
  <c r="R19" i="12" s="1"/>
  <c r="N40" i="13"/>
  <c r="G20" i="11"/>
  <c r="F20" i="12"/>
  <c r="AJ20" i="12" s="1"/>
  <c r="L27" i="8"/>
  <c r="I27" i="8"/>
  <c r="J27" i="8" s="1"/>
  <c r="O140" i="7"/>
  <c r="I152" i="7"/>
  <c r="K106" i="45"/>
  <c r="K108" i="45"/>
  <c r="K110" i="45" s="1"/>
  <c r="Q103" i="45"/>
  <c r="C105" i="10"/>
  <c r="C107" i="7"/>
  <c r="L145" i="7"/>
  <c r="F131" i="7"/>
  <c r="P107" i="10"/>
  <c r="AB107" i="10" s="1"/>
  <c r="P97" i="12"/>
  <c r="AB107" i="12"/>
  <c r="AH107" i="12" s="1"/>
  <c r="E129" i="10"/>
  <c r="AI132" i="10"/>
  <c r="N137" i="11"/>
  <c r="G137" i="10"/>
  <c r="H139" i="7"/>
  <c r="H133" i="11"/>
  <c r="O137" i="11"/>
  <c r="U179" i="13"/>
  <c r="U180" i="13" s="1"/>
  <c r="O180" i="13"/>
  <c r="AM99" i="12"/>
  <c r="O52" i="55"/>
  <c r="Q52" i="55" s="1"/>
  <c r="F56" i="55"/>
  <c r="H85" i="55"/>
  <c r="I85" i="55"/>
  <c r="O218" i="55"/>
  <c r="Q218" i="55" s="1"/>
  <c r="H142" i="55"/>
  <c r="O142" i="55" s="1"/>
  <c r="Q142" i="55" s="1"/>
  <c r="O46" i="55"/>
  <c r="Q46" i="55" s="1"/>
  <c r="O508" i="55"/>
  <c r="C509" i="55"/>
  <c r="D509" i="55" s="1"/>
  <c r="E509" i="55" s="1"/>
  <c r="F509" i="55" s="1"/>
  <c r="G509" i="55" s="1"/>
  <c r="H509" i="55" s="1"/>
  <c r="I509" i="55" s="1"/>
  <c r="J509" i="55" s="1"/>
  <c r="K509" i="55" s="1"/>
  <c r="L509" i="55" s="1"/>
  <c r="M509" i="55" s="1"/>
  <c r="N509" i="55" s="1"/>
  <c r="J368" i="55"/>
  <c r="C480" i="55"/>
  <c r="O480" i="55" s="1"/>
  <c r="O471" i="55"/>
  <c r="Q471" i="55" s="1"/>
  <c r="G21" i="51"/>
  <c r="L21" i="51"/>
  <c r="M21" i="51"/>
  <c r="L35" i="47"/>
  <c r="R28" i="47"/>
  <c r="AG124" i="12"/>
  <c r="U124" i="10"/>
  <c r="AG124" i="10" s="1"/>
  <c r="S49" i="47"/>
  <c r="N49" i="47"/>
  <c r="S45" i="46"/>
  <c r="N45" i="46"/>
  <c r="S70" i="46"/>
  <c r="N70" i="46"/>
  <c r="N452" i="55"/>
  <c r="J452" i="55"/>
  <c r="S14" i="47"/>
  <c r="N14" i="47"/>
  <c r="D122" i="12"/>
  <c r="E122" i="11"/>
  <c r="P122" i="12"/>
  <c r="D112" i="11"/>
  <c r="R36" i="46"/>
  <c r="M36" i="46"/>
  <c r="L112" i="12" s="1"/>
  <c r="K112" i="12"/>
  <c r="M150" i="46"/>
  <c r="R150" i="46"/>
  <c r="W54" i="47"/>
  <c r="T54" i="47"/>
  <c r="O54" i="47"/>
  <c r="U54" i="47" s="1"/>
  <c r="C66" i="49"/>
  <c r="F60" i="49"/>
  <c r="F66" i="49" s="1"/>
  <c r="G57" i="49" s="1"/>
  <c r="M42" i="47"/>
  <c r="L45" i="47"/>
  <c r="R42" i="47"/>
  <c r="N46" i="46"/>
  <c r="S46" i="46"/>
  <c r="J57" i="47"/>
  <c r="D124" i="11"/>
  <c r="N169" i="46"/>
  <c r="S169" i="46"/>
  <c r="M171" i="46"/>
  <c r="S171" i="46" s="1"/>
  <c r="AA49" i="46"/>
  <c r="O49" i="46"/>
  <c r="U49" i="46" s="1"/>
  <c r="Q49" i="46"/>
  <c r="T49" i="46"/>
  <c r="S151" i="46"/>
  <c r="N151" i="46"/>
  <c r="N78" i="46"/>
  <c r="S78" i="46"/>
  <c r="K12" i="44"/>
  <c r="K16" i="44" s="1"/>
  <c r="P96" i="12"/>
  <c r="P97" i="10" s="1"/>
  <c r="P61" i="47"/>
  <c r="P58" i="47"/>
  <c r="M127" i="46"/>
  <c r="R127" i="46"/>
  <c r="S30" i="46"/>
  <c r="N30" i="46"/>
  <c r="S129" i="46"/>
  <c r="N129" i="46"/>
  <c r="M20" i="43"/>
  <c r="R20" i="43"/>
  <c r="L37" i="43"/>
  <c r="N152" i="46"/>
  <c r="S152" i="46"/>
  <c r="N7" i="42"/>
  <c r="M13" i="42"/>
  <c r="M7" i="41"/>
  <c r="S7" i="42"/>
  <c r="U14" i="44"/>
  <c r="O15" i="44"/>
  <c r="U15" i="44" s="1"/>
  <c r="N27" i="45"/>
  <c r="R104" i="12"/>
  <c r="S27" i="45"/>
  <c r="M109" i="45"/>
  <c r="M103" i="45"/>
  <c r="M35" i="45"/>
  <c r="M20" i="42"/>
  <c r="S20" i="42" s="1"/>
  <c r="AA149" i="46"/>
  <c r="O149" i="46"/>
  <c r="U149" i="46" s="1"/>
  <c r="T149" i="46"/>
  <c r="S20" i="44"/>
  <c r="N20" i="44"/>
  <c r="M23" i="44"/>
  <c r="X44" i="42"/>
  <c r="O44" i="42"/>
  <c r="N45" i="42"/>
  <c r="Q44" i="42"/>
  <c r="T44" i="42"/>
  <c r="N41" i="41"/>
  <c r="U83" i="42"/>
  <c r="O53" i="41"/>
  <c r="U53" i="41" s="1"/>
  <c r="S33" i="45"/>
  <c r="N33" i="45"/>
  <c r="R81" i="42"/>
  <c r="L51" i="41"/>
  <c r="R102" i="42"/>
  <c r="S102" i="42"/>
  <c r="S72" i="43"/>
  <c r="S69" i="42"/>
  <c r="N69" i="42"/>
  <c r="Z28" i="43"/>
  <c r="T28" i="43"/>
  <c r="O28" i="43"/>
  <c r="U28" i="43" s="1"/>
  <c r="Q28" i="43"/>
  <c r="Z65" i="43"/>
  <c r="Q65" i="43"/>
  <c r="O65" i="43"/>
  <c r="U65" i="43" s="1"/>
  <c r="T65" i="43"/>
  <c r="S58" i="41"/>
  <c r="T58" i="41"/>
  <c r="N82" i="42"/>
  <c r="M52" i="41"/>
  <c r="S52" i="41" s="1"/>
  <c r="S82" i="42"/>
  <c r="X21" i="42"/>
  <c r="O21" i="42"/>
  <c r="T21" i="42"/>
  <c r="N23" i="42"/>
  <c r="N21" i="41"/>
  <c r="X67" i="42"/>
  <c r="O67" i="42"/>
  <c r="U67" i="42" s="1"/>
  <c r="Q67" i="42"/>
  <c r="T67" i="42"/>
  <c r="N120" i="42"/>
  <c r="S120" i="42"/>
  <c r="M72" i="41"/>
  <c r="S72" i="41" s="1"/>
  <c r="Z44" i="43"/>
  <c r="O44" i="43"/>
  <c r="U44" i="43" s="1"/>
  <c r="T44" i="43"/>
  <c r="Q44" i="43"/>
  <c r="K98" i="42"/>
  <c r="K54" i="41"/>
  <c r="K55" i="41" s="1"/>
  <c r="X131" i="42"/>
  <c r="T131" i="42"/>
  <c r="Q131" i="42"/>
  <c r="N76" i="41"/>
  <c r="O131" i="42"/>
  <c r="N21" i="44"/>
  <c r="S21" i="44"/>
  <c r="U92" i="12"/>
  <c r="N115" i="42"/>
  <c r="S115" i="42"/>
  <c r="M67" i="41"/>
  <c r="S67" i="41" s="1"/>
  <c r="P78" i="41"/>
  <c r="T8" i="40"/>
  <c r="V8" i="40"/>
  <c r="O8" i="40"/>
  <c r="U8" i="40" s="1"/>
  <c r="N47" i="40"/>
  <c r="S47" i="40"/>
  <c r="M50" i="40"/>
  <c r="I34" i="66"/>
  <c r="AF34" i="66"/>
  <c r="H33" i="66"/>
  <c r="AF33" i="66" s="1"/>
  <c r="N23" i="66"/>
  <c r="O24" i="66"/>
  <c r="U16" i="42"/>
  <c r="O16" i="41"/>
  <c r="U16" i="41" s="1"/>
  <c r="L32" i="66"/>
  <c r="L37" i="66" s="1"/>
  <c r="J133" i="42"/>
  <c r="AE8" i="38"/>
  <c r="G32" i="38"/>
  <c r="AA47" i="38"/>
  <c r="AB48" i="38"/>
  <c r="R32" i="41"/>
  <c r="L34" i="41"/>
  <c r="R34" i="41" s="1"/>
  <c r="X117" i="42"/>
  <c r="O117" i="42"/>
  <c r="T117" i="42"/>
  <c r="N69" i="41"/>
  <c r="J16" i="66"/>
  <c r="AH16" i="66" s="1"/>
  <c r="AG16" i="66"/>
  <c r="AI16" i="66"/>
  <c r="M8" i="37"/>
  <c r="M32" i="37" s="1"/>
  <c r="M37" i="37" s="1"/>
  <c r="M60" i="37" s="1"/>
  <c r="N32" i="38"/>
  <c r="J46" i="38"/>
  <c r="AH46" i="38" s="1"/>
  <c r="AI46" i="38"/>
  <c r="AG46" i="38"/>
  <c r="I23" i="36"/>
  <c r="AG23" i="36" s="1"/>
  <c r="J24" i="36"/>
  <c r="AG24" i="36"/>
  <c r="H328" i="55"/>
  <c r="V66" i="40"/>
  <c r="O66" i="40"/>
  <c r="U66" i="40" s="1"/>
  <c r="T66" i="40"/>
  <c r="O34" i="38"/>
  <c r="N33" i="38"/>
  <c r="S47" i="35"/>
  <c r="S52" i="35" s="1"/>
  <c r="T48" i="35"/>
  <c r="D57" i="66"/>
  <c r="J19" i="35"/>
  <c r="AH19" i="35" s="1"/>
  <c r="AG19" i="35"/>
  <c r="AI19" i="35"/>
  <c r="I54" i="36"/>
  <c r="AF54" i="36"/>
  <c r="I27" i="35"/>
  <c r="AF27" i="35"/>
  <c r="J50" i="35"/>
  <c r="AH50" i="35" s="1"/>
  <c r="AG50" i="35"/>
  <c r="J19" i="38"/>
  <c r="AH19" i="38" s="1"/>
  <c r="AG19" i="38"/>
  <c r="AI19" i="38"/>
  <c r="AG29" i="36"/>
  <c r="J29" i="36"/>
  <c r="AH29" i="36" s="1"/>
  <c r="K37" i="36"/>
  <c r="O23" i="35"/>
  <c r="P24" i="35"/>
  <c r="P23" i="35" s="1"/>
  <c r="AH9" i="35"/>
  <c r="I51" i="35"/>
  <c r="AF51" i="35"/>
  <c r="H51" i="17"/>
  <c r="AJ32" i="34"/>
  <c r="F37" i="34"/>
  <c r="J384" i="55"/>
  <c r="H52" i="31"/>
  <c r="AF41" i="31"/>
  <c r="J19" i="33"/>
  <c r="AH19" i="33" s="1"/>
  <c r="AG19" i="33"/>
  <c r="AI19" i="33"/>
  <c r="O42" i="33"/>
  <c r="N41" i="33"/>
  <c r="N52" i="33" s="1"/>
  <c r="AG28" i="36"/>
  <c r="J28" i="36"/>
  <c r="AH28" i="36" s="1"/>
  <c r="J35" i="34"/>
  <c r="AH35" i="34" s="1"/>
  <c r="AG35" i="34"/>
  <c r="AH9" i="34"/>
  <c r="AA33" i="33"/>
  <c r="AB34" i="33"/>
  <c r="I23" i="32"/>
  <c r="J24" i="32"/>
  <c r="AG24" i="32"/>
  <c r="O8" i="31"/>
  <c r="P9" i="31"/>
  <c r="P8" i="31" s="1"/>
  <c r="AB52" i="35"/>
  <c r="I26" i="34"/>
  <c r="I26" i="17" s="1"/>
  <c r="AF26" i="34"/>
  <c r="D244" i="55"/>
  <c r="J244" i="55"/>
  <c r="P41" i="38"/>
  <c r="AB21" i="33"/>
  <c r="AA20" i="33"/>
  <c r="Z47" i="33"/>
  <c r="AA48" i="33"/>
  <c r="O42" i="32"/>
  <c r="N41" i="32"/>
  <c r="N52" i="32" s="1"/>
  <c r="I42" i="33"/>
  <c r="AF42" i="33"/>
  <c r="H41" i="33"/>
  <c r="J28" i="32"/>
  <c r="AH28" i="32" s="1"/>
  <c r="AG28" i="32"/>
  <c r="F52" i="34"/>
  <c r="AJ41" i="34"/>
  <c r="M60" i="31"/>
  <c r="F37" i="30"/>
  <c r="AJ32" i="30"/>
  <c r="J35" i="32"/>
  <c r="AH35" i="32" s="1"/>
  <c r="AG35" i="32"/>
  <c r="Z23" i="34"/>
  <c r="AA24" i="34"/>
  <c r="P34" i="32"/>
  <c r="P33" i="32" s="1"/>
  <c r="O33" i="32"/>
  <c r="I25" i="33"/>
  <c r="AF25" i="33"/>
  <c r="AI36" i="32"/>
  <c r="J36" i="32"/>
  <c r="AH36" i="32" s="1"/>
  <c r="AG36" i="32"/>
  <c r="I16" i="31"/>
  <c r="AF16" i="31"/>
  <c r="N20" i="30"/>
  <c r="N32" i="30" s="1"/>
  <c r="N37" i="30" s="1"/>
  <c r="N60" i="30" s="1"/>
  <c r="O21" i="30"/>
  <c r="N21" i="17"/>
  <c r="Z32" i="35"/>
  <c r="Z37" i="35" s="1"/>
  <c r="Z60" i="35" s="1"/>
  <c r="Y52" i="32"/>
  <c r="Y60" i="32" s="1"/>
  <c r="U8" i="31"/>
  <c r="V9" i="31"/>
  <c r="V8" i="31" s="1"/>
  <c r="F37" i="36"/>
  <c r="J12" i="30"/>
  <c r="AH12" i="30" s="1"/>
  <c r="AG12" i="30"/>
  <c r="J34" i="36"/>
  <c r="AG34" i="36"/>
  <c r="AI34" i="36"/>
  <c r="AB42" i="30"/>
  <c r="AA41" i="30"/>
  <c r="N33" i="29"/>
  <c r="U23" i="26"/>
  <c r="V24" i="26"/>
  <c r="V23" i="26" s="1"/>
  <c r="O9" i="32"/>
  <c r="N8" i="32"/>
  <c r="N32" i="32" s="1"/>
  <c r="N37" i="32" s="1"/>
  <c r="N60" i="32" s="1"/>
  <c r="AC21" i="31"/>
  <c r="AC20" i="31" s="1"/>
  <c r="AB20" i="31"/>
  <c r="I49" i="30"/>
  <c r="AF49" i="30"/>
  <c r="D130" i="55"/>
  <c r="M130" i="55"/>
  <c r="Y60" i="31"/>
  <c r="T44" i="30"/>
  <c r="S41" i="30"/>
  <c r="S52" i="30" s="1"/>
  <c r="G62" i="30" s="1"/>
  <c r="H8" i="27"/>
  <c r="AF9" i="27"/>
  <c r="I9" i="27"/>
  <c r="O8" i="26"/>
  <c r="P9" i="26"/>
  <c r="P8" i="26" s="1"/>
  <c r="J35" i="29"/>
  <c r="AG35" i="29"/>
  <c r="I33" i="29"/>
  <c r="O9" i="66"/>
  <c r="N8" i="66"/>
  <c r="I24" i="30"/>
  <c r="AF24" i="30"/>
  <c r="H23" i="30"/>
  <c r="AF23" i="30" s="1"/>
  <c r="J9" i="28"/>
  <c r="AG9" i="28"/>
  <c r="D60" i="27"/>
  <c r="D57" i="27"/>
  <c r="P170" i="55"/>
  <c r="F62" i="27"/>
  <c r="AJ52" i="27"/>
  <c r="AB20" i="28"/>
  <c r="I24" i="26"/>
  <c r="I24" i="17" s="1"/>
  <c r="AF24" i="26"/>
  <c r="H23" i="26"/>
  <c r="AF23" i="26" s="1"/>
  <c r="H24" i="17"/>
  <c r="J49" i="34"/>
  <c r="AH49" i="34" s="1"/>
  <c r="AG49" i="34"/>
  <c r="T33" i="27"/>
  <c r="O33" i="30"/>
  <c r="P34" i="30"/>
  <c r="P33" i="30" s="1"/>
  <c r="AF41" i="29"/>
  <c r="H52" i="29"/>
  <c r="P199" i="55"/>
  <c r="F62" i="28"/>
  <c r="AJ52" i="28"/>
  <c r="S32" i="25"/>
  <c r="S37" i="25" s="1"/>
  <c r="S60" i="25" s="1"/>
  <c r="I49" i="25"/>
  <c r="AF49" i="25"/>
  <c r="H47" i="25"/>
  <c r="Y32" i="26"/>
  <c r="Y37" i="26" s="1"/>
  <c r="Y60" i="26" s="1"/>
  <c r="Y20" i="17"/>
  <c r="AA42" i="25"/>
  <c r="Z41" i="25"/>
  <c r="Z52" i="25" s="1"/>
  <c r="S52" i="24"/>
  <c r="S60" i="24" s="1"/>
  <c r="D44" i="55"/>
  <c r="I44" i="55"/>
  <c r="R88" i="22"/>
  <c r="L90" i="22"/>
  <c r="L57" i="21"/>
  <c r="J35" i="25"/>
  <c r="AH35" i="25" s="1"/>
  <c r="AG35" i="25"/>
  <c r="O39" i="55"/>
  <c r="Q39" i="55" s="1"/>
  <c r="J36" i="23"/>
  <c r="AH36" i="23" s="1"/>
  <c r="AG36" i="23"/>
  <c r="AI36" i="23"/>
  <c r="U24" i="27"/>
  <c r="T23" i="27"/>
  <c r="T24" i="17"/>
  <c r="AE41" i="25"/>
  <c r="G52" i="25"/>
  <c r="Z32" i="24"/>
  <c r="Z37" i="24" s="1"/>
  <c r="Z60" i="24" s="1"/>
  <c r="AA47" i="24"/>
  <c r="AB48" i="24"/>
  <c r="AH12" i="23"/>
  <c r="AC34" i="23"/>
  <c r="AC33" i="23" s="1"/>
  <c r="AB33" i="23"/>
  <c r="J50" i="27"/>
  <c r="AH50" i="27" s="1"/>
  <c r="AG50" i="27"/>
  <c r="D57" i="23"/>
  <c r="D60" i="23"/>
  <c r="T72" i="22"/>
  <c r="V72" i="22"/>
  <c r="O72" i="22"/>
  <c r="U72" i="22" s="1"/>
  <c r="V91" i="22"/>
  <c r="O91" i="22"/>
  <c r="Q91" i="22"/>
  <c r="T91" i="22"/>
  <c r="N60" i="21"/>
  <c r="O119" i="22"/>
  <c r="T119" i="22"/>
  <c r="V119" i="22"/>
  <c r="N85" i="21"/>
  <c r="T85" i="21" s="1"/>
  <c r="R9" i="39"/>
  <c r="J15" i="23"/>
  <c r="AH15" i="23" s="1"/>
  <c r="AG15" i="23"/>
  <c r="AC42" i="23"/>
  <c r="AB41" i="23"/>
  <c r="T38" i="22"/>
  <c r="V38" i="22"/>
  <c r="O38" i="22"/>
  <c r="U38" i="22" s="1"/>
  <c r="T75" i="22"/>
  <c r="V75" i="22"/>
  <c r="O75" i="22"/>
  <c r="U75" i="22" s="1"/>
  <c r="R86" i="55"/>
  <c r="S49" i="22"/>
  <c r="M51" i="22"/>
  <c r="N49" i="22"/>
  <c r="T69" i="22"/>
  <c r="V69" i="22"/>
  <c r="N53" i="21"/>
  <c r="T53" i="21" s="1"/>
  <c r="O69" i="22"/>
  <c r="V23" i="18"/>
  <c r="W24" i="18"/>
  <c r="I31" i="26"/>
  <c r="AF31" i="26"/>
  <c r="H31" i="17"/>
  <c r="O34" i="23"/>
  <c r="N33" i="23"/>
  <c r="N37" i="23" s="1"/>
  <c r="N15" i="22"/>
  <c r="S15" i="22"/>
  <c r="M15" i="21"/>
  <c r="S15" i="21" s="1"/>
  <c r="R47" i="17"/>
  <c r="N41" i="23"/>
  <c r="Q10" i="22"/>
  <c r="T10" i="22"/>
  <c r="O10" i="22"/>
  <c r="V10" i="22"/>
  <c r="N10" i="21"/>
  <c r="L83" i="22"/>
  <c r="N89" i="20"/>
  <c r="S89" i="20"/>
  <c r="T129" i="20"/>
  <c r="V129" i="20"/>
  <c r="O129" i="20"/>
  <c r="P17" i="18"/>
  <c r="O17" i="17"/>
  <c r="S45" i="10" s="1"/>
  <c r="S36" i="14"/>
  <c r="N36" i="14"/>
  <c r="F75" i="12"/>
  <c r="AJ75" i="12" s="1"/>
  <c r="G75" i="11"/>
  <c r="G21" i="9"/>
  <c r="X21" i="9" s="1"/>
  <c r="T21" i="13"/>
  <c r="O21" i="13"/>
  <c r="AG21" i="13"/>
  <c r="G16" i="12"/>
  <c r="AK16" i="12" s="1"/>
  <c r="H16" i="11"/>
  <c r="Q12" i="22"/>
  <c r="T12" i="22"/>
  <c r="O12" i="22"/>
  <c r="N12" i="21"/>
  <c r="V12" i="22"/>
  <c r="U9" i="18"/>
  <c r="T9" i="17"/>
  <c r="L37" i="10" s="1"/>
  <c r="AJ15" i="17"/>
  <c r="AK15" i="17"/>
  <c r="E42" i="7"/>
  <c r="D43" i="10"/>
  <c r="AH43" i="10" s="1"/>
  <c r="O26" i="18"/>
  <c r="N26" i="17"/>
  <c r="R21" i="10" s="1"/>
  <c r="AD21" i="10" s="1"/>
  <c r="L21" i="67"/>
  <c r="J10" i="67"/>
  <c r="H160" i="67"/>
  <c r="H161" i="67" s="1"/>
  <c r="AA33" i="24"/>
  <c r="AB34" i="24"/>
  <c r="AA34" i="17"/>
  <c r="O103" i="20"/>
  <c r="U103" i="20" s="1"/>
  <c r="Q103" i="20"/>
  <c r="T103" i="20"/>
  <c r="V103" i="20"/>
  <c r="AC11" i="18"/>
  <c r="AC11" i="17" s="1"/>
  <c r="AB11" i="17"/>
  <c r="U25" i="17"/>
  <c r="V25" i="18"/>
  <c r="P131" i="22"/>
  <c r="U131" i="22"/>
  <c r="O169" i="20"/>
  <c r="U169" i="20" s="1"/>
  <c r="T169" i="20"/>
  <c r="Q21" i="17"/>
  <c r="Q20" i="18"/>
  <c r="Q20" i="17" s="1"/>
  <c r="Q51" i="18"/>
  <c r="Q51" i="17" s="1"/>
  <c r="U113" i="10" s="1"/>
  <c r="AG113" i="10" s="1"/>
  <c r="P51" i="17"/>
  <c r="O11" i="14"/>
  <c r="U11" i="14" s="1"/>
  <c r="T11" i="14"/>
  <c r="T86" i="20"/>
  <c r="V86" i="20"/>
  <c r="O86" i="20"/>
  <c r="U86" i="20" s="1"/>
  <c r="Q86" i="20"/>
  <c r="O10" i="18"/>
  <c r="N10" i="17"/>
  <c r="O19" i="17"/>
  <c r="S47" i="10" s="1"/>
  <c r="P19" i="18"/>
  <c r="M108" i="22"/>
  <c r="R108" i="22"/>
  <c r="L74" i="21"/>
  <c r="R74" i="21" s="1"/>
  <c r="T14" i="20"/>
  <c r="V14" i="20"/>
  <c r="O14" i="20"/>
  <c r="U14" i="20" s="1"/>
  <c r="Q14" i="20"/>
  <c r="P9" i="18"/>
  <c r="O9" i="17"/>
  <c r="S37" i="10" s="1"/>
  <c r="O8" i="18"/>
  <c r="I21" i="18"/>
  <c r="H20" i="18"/>
  <c r="AF21" i="18"/>
  <c r="H21" i="17"/>
  <c r="H26" i="17"/>
  <c r="T43" i="17"/>
  <c r="M171" i="20"/>
  <c r="C20" i="10"/>
  <c r="C15" i="10" s="1"/>
  <c r="C19" i="7"/>
  <c r="C14" i="7" s="1"/>
  <c r="G14" i="17"/>
  <c r="AE14" i="18"/>
  <c r="T54" i="13"/>
  <c r="AG54" i="13"/>
  <c r="O54" i="13"/>
  <c r="U54" i="13" s="1"/>
  <c r="Q54" i="13"/>
  <c r="N132" i="22"/>
  <c r="S132" i="22"/>
  <c r="N39" i="14"/>
  <c r="S39" i="14"/>
  <c r="G78" i="11"/>
  <c r="F78" i="12"/>
  <c r="AJ78" i="12" s="1"/>
  <c r="S206" i="13"/>
  <c r="M207" i="13"/>
  <c r="S207" i="13" s="1"/>
  <c r="N206" i="13"/>
  <c r="T52" i="13"/>
  <c r="AG52" i="13"/>
  <c r="O52" i="13"/>
  <c r="U52" i="13" s="1"/>
  <c r="T35" i="13"/>
  <c r="AG35" i="13"/>
  <c r="O35" i="13"/>
  <c r="U35" i="13" s="1"/>
  <c r="R48" i="13"/>
  <c r="M48" i="13"/>
  <c r="S278" i="13"/>
  <c r="M279" i="13"/>
  <c r="S279" i="13" s="1"/>
  <c r="N278" i="13"/>
  <c r="P66" i="22"/>
  <c r="W45" i="18"/>
  <c r="W45" i="17" s="1"/>
  <c r="O97" i="10" s="1"/>
  <c r="AG97" i="10" s="1"/>
  <c r="N290" i="13"/>
  <c r="N292" i="13" s="1"/>
  <c r="S290" i="13"/>
  <c r="M292" i="13"/>
  <c r="T146" i="13"/>
  <c r="AG146" i="13"/>
  <c r="O146" i="13"/>
  <c r="U146" i="13" s="1"/>
  <c r="J6" i="8"/>
  <c r="N72" i="13"/>
  <c r="S72" i="13"/>
  <c r="M74" i="13"/>
  <c r="AB87" i="12"/>
  <c r="T76" i="13"/>
  <c r="AG76" i="13"/>
  <c r="O76" i="13"/>
  <c r="N78" i="13"/>
  <c r="Q76" i="13"/>
  <c r="M33" i="12"/>
  <c r="T161" i="13"/>
  <c r="O161" i="13"/>
  <c r="U161" i="13" s="1"/>
  <c r="AG161" i="13"/>
  <c r="C47" i="11"/>
  <c r="C8" i="9" s="1"/>
  <c r="C18" i="9" s="1"/>
  <c r="O87" i="10"/>
  <c r="Y87" i="10"/>
  <c r="Y88" i="10" s="1"/>
  <c r="T87" i="10"/>
  <c r="AF87" i="10" s="1"/>
  <c r="T53" i="20"/>
  <c r="V53" i="20"/>
  <c r="O53" i="20"/>
  <c r="U53" i="20" s="1"/>
  <c r="Q53" i="20"/>
  <c r="T114" i="13"/>
  <c r="O114" i="13"/>
  <c r="U114" i="13" s="1"/>
  <c r="AG114" i="13"/>
  <c r="D60" i="11"/>
  <c r="AE299" i="13"/>
  <c r="J318" i="13"/>
  <c r="AE318" i="13" s="1"/>
  <c r="AL52" i="12"/>
  <c r="I52" i="12"/>
  <c r="I52" i="11"/>
  <c r="O54" i="10"/>
  <c r="T22" i="20"/>
  <c r="V22" i="20"/>
  <c r="O22" i="20"/>
  <c r="U22" i="20" s="1"/>
  <c r="Q22" i="20"/>
  <c r="N137" i="13"/>
  <c r="S137" i="13"/>
  <c r="T221" i="13"/>
  <c r="O221" i="13"/>
  <c r="AG221" i="13"/>
  <c r="N224" i="13"/>
  <c r="O307" i="13"/>
  <c r="U307" i="13" s="1"/>
  <c r="Q307" i="13"/>
  <c r="AG307" i="13"/>
  <c r="T307" i="13"/>
  <c r="AD69" i="12"/>
  <c r="S69" i="12"/>
  <c r="R70" i="10"/>
  <c r="R68" i="12"/>
  <c r="R87" i="12" s="1"/>
  <c r="O74" i="12"/>
  <c r="AJ144" i="10"/>
  <c r="AD143" i="10"/>
  <c r="AJ143" i="10" s="1"/>
  <c r="AK139" i="10"/>
  <c r="U19" i="9"/>
  <c r="U31" i="9" s="1"/>
  <c r="T31" i="9"/>
  <c r="AH55" i="10"/>
  <c r="G115" i="12"/>
  <c r="G115" i="11"/>
  <c r="M115" i="11" s="1"/>
  <c r="AJ115" i="12"/>
  <c r="I22" i="9"/>
  <c r="J22" i="9" s="1"/>
  <c r="L22" i="9"/>
  <c r="N15" i="19"/>
  <c r="H25" i="18"/>
  <c r="S15" i="19"/>
  <c r="I29" i="8"/>
  <c r="J29" i="8" s="1"/>
  <c r="L29" i="8"/>
  <c r="M63" i="43"/>
  <c r="S63" i="43" s="1"/>
  <c r="AF141" i="10"/>
  <c r="U19" i="8"/>
  <c r="U30" i="8" s="1"/>
  <c r="T30" i="8"/>
  <c r="T152" i="7" s="1"/>
  <c r="AL134" i="10"/>
  <c r="AF133" i="10"/>
  <c r="AL133" i="10" s="1"/>
  <c r="D59" i="2"/>
  <c r="D51" i="2"/>
  <c r="Z21" i="11"/>
  <c r="D6" i="9"/>
  <c r="U27" i="44"/>
  <c r="O29" i="44"/>
  <c r="U29" i="44" s="1"/>
  <c r="N56" i="55"/>
  <c r="G85" i="55"/>
  <c r="I142" i="55"/>
  <c r="O160" i="55"/>
  <c r="Q160" i="55" s="1"/>
  <c r="O161" i="55"/>
  <c r="Q161" i="55" s="1"/>
  <c r="I368" i="55"/>
  <c r="I452" i="55"/>
  <c r="C424" i="55"/>
  <c r="O424" i="55" s="1"/>
  <c r="O416" i="55"/>
  <c r="Q416" i="55" s="1"/>
  <c r="AK136" i="12"/>
  <c r="G133" i="12"/>
  <c r="R14" i="46"/>
  <c r="M14" i="46"/>
  <c r="S48" i="46"/>
  <c r="N48" i="46"/>
  <c r="S73" i="46"/>
  <c r="N73" i="46"/>
  <c r="F22" i="49"/>
  <c r="M40" i="47"/>
  <c r="S36" i="47"/>
  <c r="N36" i="47"/>
  <c r="N24" i="47"/>
  <c r="S24" i="47"/>
  <c r="N65" i="46"/>
  <c r="S65" i="46"/>
  <c r="S11" i="46"/>
  <c r="N11" i="46"/>
  <c r="AA58" i="46"/>
  <c r="O58" i="46"/>
  <c r="Q58" i="46"/>
  <c r="T58" i="46"/>
  <c r="AA34" i="46"/>
  <c r="O34" i="46"/>
  <c r="U34" i="46" s="1"/>
  <c r="Q34" i="46"/>
  <c r="T34" i="46"/>
  <c r="S27" i="47"/>
  <c r="N27" i="47"/>
  <c r="M41" i="46"/>
  <c r="S41" i="46" s="1"/>
  <c r="S40" i="46"/>
  <c r="N40" i="46"/>
  <c r="M67" i="46"/>
  <c r="M72" i="46" s="1"/>
  <c r="S72" i="46" s="1"/>
  <c r="L72" i="46"/>
  <c r="R72" i="46" s="1"/>
  <c r="R67" i="46"/>
  <c r="N50" i="47"/>
  <c r="S50" i="47"/>
  <c r="AA140" i="46"/>
  <c r="O140" i="46"/>
  <c r="T140" i="46"/>
  <c r="S75" i="45"/>
  <c r="N75" i="45"/>
  <c r="S142" i="46"/>
  <c r="N142" i="46"/>
  <c r="N166" i="46"/>
  <c r="S166" i="46"/>
  <c r="C152" i="51"/>
  <c r="C153" i="51" s="1"/>
  <c r="C156" i="51" s="1"/>
  <c r="AA76" i="46"/>
  <c r="O76" i="46"/>
  <c r="U76" i="46" s="1"/>
  <c r="Q76" i="46"/>
  <c r="T76" i="46"/>
  <c r="J157" i="46"/>
  <c r="J158" i="46" s="1"/>
  <c r="J160" i="46" s="1"/>
  <c r="J172" i="46" s="1"/>
  <c r="N66" i="45"/>
  <c r="S66" i="45"/>
  <c r="M85" i="45"/>
  <c r="L35" i="46"/>
  <c r="S122" i="46"/>
  <c r="N122" i="46"/>
  <c r="R12" i="43"/>
  <c r="M12" i="43"/>
  <c r="N134" i="46"/>
  <c r="S134" i="46"/>
  <c r="S18" i="42"/>
  <c r="M18" i="41"/>
  <c r="S18" i="41" s="1"/>
  <c r="N18" i="42"/>
  <c r="S33" i="43"/>
  <c r="N33" i="43"/>
  <c r="S165" i="46"/>
  <c r="N165" i="46"/>
  <c r="L24" i="44"/>
  <c r="R24" i="44" s="1"/>
  <c r="R23" i="44"/>
  <c r="N12" i="42"/>
  <c r="S12" i="42"/>
  <c r="M12" i="41"/>
  <c r="S12" i="41" s="1"/>
  <c r="N28" i="42"/>
  <c r="S28" i="42"/>
  <c r="M33" i="42"/>
  <c r="M30" i="42"/>
  <c r="R47" i="43"/>
  <c r="M47" i="43"/>
  <c r="T8" i="42"/>
  <c r="O8" i="42"/>
  <c r="N8" i="41"/>
  <c r="M50" i="42"/>
  <c r="R50" i="42"/>
  <c r="Z38" i="43"/>
  <c r="O38" i="43"/>
  <c r="T38" i="43"/>
  <c r="Q38" i="43"/>
  <c r="Z70" i="43"/>
  <c r="T70" i="43"/>
  <c r="N72" i="43"/>
  <c r="Q70" i="43"/>
  <c r="O70" i="43"/>
  <c r="N27" i="42"/>
  <c r="S27" i="42"/>
  <c r="M27" i="41"/>
  <c r="S27" i="41" s="1"/>
  <c r="M76" i="43"/>
  <c r="M85" i="43" s="1"/>
  <c r="S85" i="43" s="1"/>
  <c r="R76" i="43"/>
  <c r="K78" i="41"/>
  <c r="L135" i="42"/>
  <c r="K78" i="42"/>
  <c r="K99" i="42" s="1"/>
  <c r="K47" i="41"/>
  <c r="K50" i="41" s="1"/>
  <c r="N45" i="40"/>
  <c r="S45" i="40"/>
  <c r="M47" i="66"/>
  <c r="M52" i="66" s="1"/>
  <c r="N48" i="66"/>
  <c r="N118" i="42"/>
  <c r="N119" i="42" s="1"/>
  <c r="S118" i="42"/>
  <c r="M70" i="41"/>
  <c r="S70" i="41" s="1"/>
  <c r="I56" i="41"/>
  <c r="I79" i="41" s="1"/>
  <c r="N29" i="42"/>
  <c r="S29" i="42"/>
  <c r="K132" i="42"/>
  <c r="K133" i="42" s="1"/>
  <c r="K73" i="41"/>
  <c r="K77" i="41" s="1"/>
  <c r="N80" i="43"/>
  <c r="S80" i="43"/>
  <c r="R92" i="42"/>
  <c r="M92" i="42"/>
  <c r="L126" i="42"/>
  <c r="AA21" i="66"/>
  <c r="Z20" i="66"/>
  <c r="Z32" i="66" s="1"/>
  <c r="Z37" i="66" s="1"/>
  <c r="Z60" i="66" s="1"/>
  <c r="AE41" i="66"/>
  <c r="G52" i="66"/>
  <c r="H468" i="55"/>
  <c r="H23" i="37"/>
  <c r="AF23" i="37" s="1"/>
  <c r="AF24" i="37"/>
  <c r="I24" i="37"/>
  <c r="N127" i="42"/>
  <c r="S127" i="42"/>
  <c r="M74" i="41"/>
  <c r="S74" i="41" s="1"/>
  <c r="G47" i="38"/>
  <c r="H48" i="38"/>
  <c r="AE48" i="38"/>
  <c r="I9" i="38"/>
  <c r="AF9" i="38"/>
  <c r="H8" i="38"/>
  <c r="S34" i="42"/>
  <c r="N34" i="42"/>
  <c r="M36" i="42"/>
  <c r="S36" i="42" s="1"/>
  <c r="M32" i="41"/>
  <c r="AG17" i="66"/>
  <c r="J17" i="66"/>
  <c r="AH17" i="66" s="1"/>
  <c r="I24" i="38"/>
  <c r="AF24" i="38"/>
  <c r="H23" i="38"/>
  <c r="AF23" i="38" s="1"/>
  <c r="N41" i="36"/>
  <c r="N52" i="36" s="1"/>
  <c r="O42" i="36"/>
  <c r="I19" i="66"/>
  <c r="I8" i="66" s="1"/>
  <c r="AF19" i="66"/>
  <c r="O8" i="38"/>
  <c r="P9" i="38"/>
  <c r="P8" i="38" s="1"/>
  <c r="T20" i="34"/>
  <c r="T32" i="34" s="1"/>
  <c r="T37" i="34" s="1"/>
  <c r="T60" i="34" s="1"/>
  <c r="U21" i="34"/>
  <c r="L52" i="38"/>
  <c r="L60" i="38" s="1"/>
  <c r="I20" i="37"/>
  <c r="AG20" i="37" s="1"/>
  <c r="J21" i="37"/>
  <c r="AG21" i="37"/>
  <c r="I63" i="40"/>
  <c r="AE41" i="38"/>
  <c r="G52" i="38"/>
  <c r="N23" i="37"/>
  <c r="O24" i="37"/>
  <c r="T23" i="36"/>
  <c r="T32" i="36" s="1"/>
  <c r="U24" i="36"/>
  <c r="S60" i="38"/>
  <c r="I26" i="37"/>
  <c r="AF26" i="37"/>
  <c r="D57" i="36"/>
  <c r="D60" i="36"/>
  <c r="I35" i="36"/>
  <c r="I33" i="36" s="1"/>
  <c r="AF35" i="36"/>
  <c r="AA23" i="35"/>
  <c r="AB24" i="35"/>
  <c r="N41" i="38"/>
  <c r="U23" i="37"/>
  <c r="V24" i="37"/>
  <c r="V23" i="37" s="1"/>
  <c r="F411" i="55"/>
  <c r="F412" i="55" s="1"/>
  <c r="N411" i="55"/>
  <c r="G411" i="55"/>
  <c r="G412" i="55" s="1"/>
  <c r="H411" i="55"/>
  <c r="H412" i="55" s="1"/>
  <c r="I411" i="55"/>
  <c r="I412" i="55" s="1"/>
  <c r="J411" i="55"/>
  <c r="J412" i="55" s="1"/>
  <c r="C411" i="55"/>
  <c r="K411" i="55"/>
  <c r="K412" i="55" s="1"/>
  <c r="D411" i="55"/>
  <c r="E411" i="55"/>
  <c r="E412" i="55" s="1"/>
  <c r="L411" i="55"/>
  <c r="M411" i="55"/>
  <c r="M412" i="55" s="1"/>
  <c r="T8" i="35"/>
  <c r="J50" i="37"/>
  <c r="AH50" i="37" s="1"/>
  <c r="AG50" i="37"/>
  <c r="U42" i="36"/>
  <c r="T41" i="36"/>
  <c r="Z33" i="36"/>
  <c r="T20" i="35"/>
  <c r="U21" i="35"/>
  <c r="P368" i="55"/>
  <c r="AJ52" i="35"/>
  <c r="F62" i="35"/>
  <c r="AF49" i="38"/>
  <c r="I49" i="38"/>
  <c r="I31" i="36"/>
  <c r="AF31" i="36"/>
  <c r="I30" i="35"/>
  <c r="AF30" i="35"/>
  <c r="N33" i="34"/>
  <c r="O34" i="34"/>
  <c r="H384" i="55"/>
  <c r="J25" i="38"/>
  <c r="AH25" i="38" s="1"/>
  <c r="AG25" i="38"/>
  <c r="K32" i="37"/>
  <c r="AC21" i="36"/>
  <c r="AC20" i="36" s="1"/>
  <c r="AB20" i="36"/>
  <c r="AG48" i="34"/>
  <c r="AI48" i="34"/>
  <c r="I47" i="34"/>
  <c r="J48" i="34"/>
  <c r="U23" i="33"/>
  <c r="V24" i="33"/>
  <c r="V23" i="33" s="1"/>
  <c r="J49" i="36"/>
  <c r="AH49" i="36" s="1"/>
  <c r="AG49" i="36"/>
  <c r="D60" i="33"/>
  <c r="D57" i="33"/>
  <c r="AF54" i="38"/>
  <c r="I54" i="38"/>
  <c r="T23" i="32"/>
  <c r="T32" i="32" s="1"/>
  <c r="U24" i="32"/>
  <c r="O42" i="37"/>
  <c r="N41" i="37"/>
  <c r="N52" i="37" s="1"/>
  <c r="J11" i="35"/>
  <c r="AH11" i="35" s="1"/>
  <c r="AG11" i="35"/>
  <c r="AC52" i="35"/>
  <c r="T33" i="34"/>
  <c r="U34" i="34"/>
  <c r="N244" i="55"/>
  <c r="I244" i="55"/>
  <c r="O22" i="33"/>
  <c r="N20" i="33"/>
  <c r="I8" i="32"/>
  <c r="AG9" i="32"/>
  <c r="J9" i="32"/>
  <c r="Z41" i="32"/>
  <c r="Z52" i="32" s="1"/>
  <c r="AA42" i="32"/>
  <c r="AE13" i="31"/>
  <c r="H13" i="31"/>
  <c r="J10" i="32"/>
  <c r="AH10" i="32" s="1"/>
  <c r="AG10" i="32"/>
  <c r="AI10" i="32"/>
  <c r="N41" i="30"/>
  <c r="N52" i="30" s="1"/>
  <c r="O42" i="30"/>
  <c r="N41" i="29"/>
  <c r="N52" i="29" s="1"/>
  <c r="O42" i="29"/>
  <c r="L199" i="55"/>
  <c r="I15" i="30"/>
  <c r="AF15" i="30"/>
  <c r="H15" i="17"/>
  <c r="F37" i="28"/>
  <c r="AJ32" i="28"/>
  <c r="AA9" i="32"/>
  <c r="Z8" i="32"/>
  <c r="Z32" i="32" s="1"/>
  <c r="Z37" i="32" s="1"/>
  <c r="Z60" i="32" s="1"/>
  <c r="S52" i="32"/>
  <c r="I44" i="31"/>
  <c r="AF44" i="31"/>
  <c r="J36" i="30"/>
  <c r="AH36" i="30" s="1"/>
  <c r="AG36" i="30"/>
  <c r="AI36" i="30"/>
  <c r="Z41" i="33"/>
  <c r="Z52" i="33" s="1"/>
  <c r="J21" i="39"/>
  <c r="AE47" i="31"/>
  <c r="AB20" i="30"/>
  <c r="AC21" i="30"/>
  <c r="AC20" i="30" s="1"/>
  <c r="O20" i="29"/>
  <c r="P21" i="29"/>
  <c r="P20" i="29" s="1"/>
  <c r="AB21" i="35"/>
  <c r="AA20" i="35"/>
  <c r="AF8" i="32"/>
  <c r="H32" i="32"/>
  <c r="T33" i="30"/>
  <c r="U34" i="30"/>
  <c r="AE33" i="36"/>
  <c r="J45" i="33"/>
  <c r="AH45" i="33" s="1"/>
  <c r="AG45" i="33"/>
  <c r="U21" i="30"/>
  <c r="T20" i="30"/>
  <c r="H33" i="36"/>
  <c r="AF33" i="36" s="1"/>
  <c r="I30" i="31"/>
  <c r="I30" i="17" s="1"/>
  <c r="AF30" i="31"/>
  <c r="K26" i="39"/>
  <c r="N26" i="39" s="1"/>
  <c r="AF36" i="34"/>
  <c r="I36" i="34"/>
  <c r="U23" i="30"/>
  <c r="V24" i="30"/>
  <c r="V23" i="30" s="1"/>
  <c r="AF23" i="28"/>
  <c r="R10" i="39"/>
  <c r="AB33" i="27"/>
  <c r="AC34" i="27"/>
  <c r="AC33" i="27" s="1"/>
  <c r="P24" i="32"/>
  <c r="P23" i="32" s="1"/>
  <c r="O23" i="32"/>
  <c r="J16" i="28"/>
  <c r="AH16" i="28" s="1"/>
  <c r="AG16" i="28"/>
  <c r="AI16" i="28"/>
  <c r="AG26" i="30"/>
  <c r="J26" i="30"/>
  <c r="AH26" i="30" s="1"/>
  <c r="Z52" i="29"/>
  <c r="J27" i="31"/>
  <c r="AH27" i="31" s="1"/>
  <c r="AG27" i="31"/>
  <c r="O43" i="28"/>
  <c r="N41" i="28"/>
  <c r="N52" i="28" s="1"/>
  <c r="I24" i="27"/>
  <c r="AF24" i="27"/>
  <c r="H23" i="27"/>
  <c r="AF23" i="27" s="1"/>
  <c r="AH21" i="26"/>
  <c r="J20" i="26"/>
  <c r="AH20" i="26" s="1"/>
  <c r="J11" i="25"/>
  <c r="AH11" i="25" s="1"/>
  <c r="AG11" i="25"/>
  <c r="J30" i="29"/>
  <c r="AH30" i="29" s="1"/>
  <c r="AG30" i="29"/>
  <c r="AA32" i="25"/>
  <c r="U9" i="29"/>
  <c r="AB10" i="28"/>
  <c r="AA8" i="28"/>
  <c r="AA32" i="28" s="1"/>
  <c r="AA37" i="28" s="1"/>
  <c r="S52" i="28"/>
  <c r="AC20" i="28"/>
  <c r="I50" i="26"/>
  <c r="I47" i="26" s="1"/>
  <c r="AF50" i="26"/>
  <c r="D37" i="29"/>
  <c r="Z32" i="26"/>
  <c r="Z37" i="26" s="1"/>
  <c r="N33" i="30"/>
  <c r="AI42" i="29"/>
  <c r="I41" i="29"/>
  <c r="J42" i="29"/>
  <c r="AG42" i="29"/>
  <c r="N52" i="27"/>
  <c r="J50" i="28"/>
  <c r="AH50" i="28" s="1"/>
  <c r="AG50" i="28"/>
  <c r="AG36" i="25"/>
  <c r="J36" i="25"/>
  <c r="AH36" i="25" s="1"/>
  <c r="AI36" i="25"/>
  <c r="J27" i="24"/>
  <c r="AH27" i="24" s="1"/>
  <c r="AG27" i="24"/>
  <c r="I27" i="25"/>
  <c r="AF27" i="25"/>
  <c r="AF45" i="24"/>
  <c r="I45" i="24"/>
  <c r="N44" i="55"/>
  <c r="H44" i="55"/>
  <c r="V93" i="22"/>
  <c r="N95" i="22"/>
  <c r="O93" i="22"/>
  <c r="T93" i="22"/>
  <c r="N62" i="21"/>
  <c r="I42" i="23"/>
  <c r="H41" i="23"/>
  <c r="AF42" i="23"/>
  <c r="AH21" i="28"/>
  <c r="J20" i="28"/>
  <c r="AH20" i="28" s="1"/>
  <c r="AC34" i="25"/>
  <c r="Y60" i="23"/>
  <c r="T68" i="22"/>
  <c r="V68" i="22"/>
  <c r="Q68" i="22"/>
  <c r="O68" i="22"/>
  <c r="N52" i="21"/>
  <c r="N41" i="25"/>
  <c r="N52" i="25" s="1"/>
  <c r="O42" i="25"/>
  <c r="N42" i="17"/>
  <c r="I12" i="24"/>
  <c r="AF12" i="24"/>
  <c r="H12" i="17"/>
  <c r="I20" i="23"/>
  <c r="AG20" i="23" s="1"/>
  <c r="J21" i="23"/>
  <c r="AG21" i="23"/>
  <c r="S52" i="23"/>
  <c r="S78" i="22"/>
  <c r="N78" i="22"/>
  <c r="W106" i="22"/>
  <c r="Z36" i="18"/>
  <c r="Z44" i="18"/>
  <c r="Z44" i="17" s="1"/>
  <c r="X96" i="10" s="1"/>
  <c r="AA48" i="26"/>
  <c r="Z47" i="26"/>
  <c r="Z52" i="26" s="1"/>
  <c r="Z48" i="17"/>
  <c r="J51" i="25"/>
  <c r="AH51" i="25" s="1"/>
  <c r="AG51" i="25"/>
  <c r="I51" i="17"/>
  <c r="T43" i="22"/>
  <c r="N45" i="22"/>
  <c r="V43" i="22"/>
  <c r="O43" i="22"/>
  <c r="Q43" i="22"/>
  <c r="S95" i="22"/>
  <c r="AB47" i="23"/>
  <c r="AC48" i="23"/>
  <c r="AC47" i="23" s="1"/>
  <c r="J35" i="23"/>
  <c r="AG35" i="23"/>
  <c r="I35" i="17"/>
  <c r="R51" i="22"/>
  <c r="L38" i="21"/>
  <c r="R38" i="21" s="1"/>
  <c r="AC34" i="18"/>
  <c r="U23" i="24"/>
  <c r="V24" i="24"/>
  <c r="V23" i="24" s="1"/>
  <c r="U24" i="17"/>
  <c r="Z32" i="23"/>
  <c r="Z37" i="23" s="1"/>
  <c r="Z60" i="23" s="1"/>
  <c r="T121" i="22"/>
  <c r="V121" i="22"/>
  <c r="I42" i="67" s="1"/>
  <c r="J42" i="67" s="1"/>
  <c r="O121" i="22"/>
  <c r="U121" i="22" s="1"/>
  <c r="Q121" i="22"/>
  <c r="L74" i="20"/>
  <c r="R58" i="20"/>
  <c r="AA18" i="17"/>
  <c r="AB18" i="18"/>
  <c r="T7" i="13"/>
  <c r="O7" i="13"/>
  <c r="Q7" i="13"/>
  <c r="N18" i="13"/>
  <c r="AG7" i="13"/>
  <c r="H8" i="11"/>
  <c r="G8" i="12"/>
  <c r="M8" i="12"/>
  <c r="N37" i="20"/>
  <c r="S37" i="20"/>
  <c r="E8" i="17"/>
  <c r="AU8" i="17" s="1"/>
  <c r="E32" i="18"/>
  <c r="AA16" i="17"/>
  <c r="AB16" i="18"/>
  <c r="L41" i="17"/>
  <c r="AG50" i="18"/>
  <c r="J50" i="18"/>
  <c r="I50" i="17"/>
  <c r="O7" i="15"/>
  <c r="O21" i="15" s="1"/>
  <c r="W21" i="16"/>
  <c r="M3" i="47"/>
  <c r="M90" i="46"/>
  <c r="V48" i="24"/>
  <c r="U47" i="24"/>
  <c r="N61" i="20"/>
  <c r="N73" i="20" s="1"/>
  <c r="S61" i="20"/>
  <c r="M73" i="20"/>
  <c r="S73" i="20" s="1"/>
  <c r="E43" i="17"/>
  <c r="E41" i="18"/>
  <c r="W10" i="18"/>
  <c r="W10" i="17" s="1"/>
  <c r="K10" i="17"/>
  <c r="T23" i="17"/>
  <c r="T90" i="46"/>
  <c r="T3" i="47"/>
  <c r="Q57" i="20"/>
  <c r="V57" i="20"/>
  <c r="N84" i="20"/>
  <c r="S84" i="20"/>
  <c r="Y42" i="17"/>
  <c r="W94" i="10" s="1"/>
  <c r="W93" i="10" s="1"/>
  <c r="W128" i="10" s="1"/>
  <c r="W151" i="10" s="1"/>
  <c r="Y41" i="18"/>
  <c r="AG27" i="18"/>
  <c r="J27" i="18"/>
  <c r="I58" i="18"/>
  <c r="H58" i="17"/>
  <c r="G20" i="9" s="1"/>
  <c r="S15" i="14"/>
  <c r="F67" i="12"/>
  <c r="AJ67" i="12" s="1"/>
  <c r="G67" i="11"/>
  <c r="N38" i="14"/>
  <c r="S38" i="14"/>
  <c r="M322" i="13"/>
  <c r="S322" i="13" s="1"/>
  <c r="G77" i="11"/>
  <c r="F77" i="12"/>
  <c r="G22" i="8"/>
  <c r="X22" i="8" s="1"/>
  <c r="T64" i="22"/>
  <c r="V64" i="22"/>
  <c r="O64" i="22"/>
  <c r="U64" i="22" s="1"/>
  <c r="M120" i="22"/>
  <c r="L123" i="22"/>
  <c r="L124" i="22" s="1"/>
  <c r="R124" i="22" s="1"/>
  <c r="R120" i="22"/>
  <c r="L122" i="22"/>
  <c r="AJ14" i="17"/>
  <c r="C41" i="7"/>
  <c r="P41" i="7" s="1"/>
  <c r="Z20" i="17"/>
  <c r="N17" i="14"/>
  <c r="M23" i="14"/>
  <c r="S17" i="14"/>
  <c r="B3" i="47"/>
  <c r="B90" i="46"/>
  <c r="J48" i="23"/>
  <c r="AG48" i="23"/>
  <c r="AI48" i="23"/>
  <c r="I47" i="23"/>
  <c r="N94" i="20"/>
  <c r="S94" i="20"/>
  <c r="Q16" i="18"/>
  <c r="Q16" i="17" s="1"/>
  <c r="U44" i="10" s="1"/>
  <c r="AG44" i="10" s="1"/>
  <c r="AM44" i="10" s="1"/>
  <c r="Q16" i="13"/>
  <c r="T16" i="13"/>
  <c r="AG16" i="13"/>
  <c r="O16" i="13"/>
  <c r="U16" i="13" s="1"/>
  <c r="S37" i="22"/>
  <c r="M39" i="22"/>
  <c r="N37" i="22"/>
  <c r="N34" i="20"/>
  <c r="S34" i="20"/>
  <c r="N72" i="20"/>
  <c r="S72" i="20"/>
  <c r="Z21" i="17"/>
  <c r="AB26" i="17"/>
  <c r="AC26" i="18"/>
  <c r="AC26" i="17" s="1"/>
  <c r="T34" i="17"/>
  <c r="U34" i="18"/>
  <c r="O49" i="18"/>
  <c r="N49" i="17"/>
  <c r="N8" i="14"/>
  <c r="N9" i="14" s="1"/>
  <c r="S8" i="14"/>
  <c r="N153" i="20"/>
  <c r="O162" i="20"/>
  <c r="N171" i="20"/>
  <c r="T162" i="20"/>
  <c r="N189" i="20"/>
  <c r="T189" i="20" s="1"/>
  <c r="AA31" i="17"/>
  <c r="AB31" i="18"/>
  <c r="U56" i="22"/>
  <c r="O43" i="21"/>
  <c r="U43" i="21" s="1"/>
  <c r="K9" i="18"/>
  <c r="AH9" i="18"/>
  <c r="O32" i="14"/>
  <c r="U30" i="14"/>
  <c r="O3" i="19"/>
  <c r="T3" i="19"/>
  <c r="N4" i="19"/>
  <c r="Y3" i="19"/>
  <c r="M9" i="14"/>
  <c r="E33" i="12"/>
  <c r="AI33" i="12" s="1"/>
  <c r="F33" i="11"/>
  <c r="R78" i="13"/>
  <c r="S240" i="13"/>
  <c r="N240" i="13"/>
  <c r="T186" i="20"/>
  <c r="O186" i="20"/>
  <c r="U186" i="20" s="1"/>
  <c r="N53" i="13"/>
  <c r="S53" i="13"/>
  <c r="N196" i="13"/>
  <c r="S196" i="13"/>
  <c r="AH133" i="12"/>
  <c r="P11" i="18"/>
  <c r="O11" i="17"/>
  <c r="S39" i="10" s="1"/>
  <c r="AB20" i="14"/>
  <c r="O20" i="14"/>
  <c r="T20" i="14"/>
  <c r="Q20" i="14"/>
  <c r="H24" i="8"/>
  <c r="L24" i="8" s="1"/>
  <c r="S38" i="13"/>
  <c r="D19" i="12"/>
  <c r="E19" i="11"/>
  <c r="R51" i="12"/>
  <c r="G51" i="11"/>
  <c r="S286" i="13"/>
  <c r="F51" i="12"/>
  <c r="N286" i="13"/>
  <c r="K46" i="20"/>
  <c r="T36" i="12"/>
  <c r="H36" i="12"/>
  <c r="I36" i="11"/>
  <c r="U104" i="13"/>
  <c r="N308" i="13"/>
  <c r="S308" i="13"/>
  <c r="AB19" i="12"/>
  <c r="AB14" i="12" s="1"/>
  <c r="J20" i="10"/>
  <c r="AG216" i="13"/>
  <c r="O216" i="13"/>
  <c r="U216" i="13" s="1"/>
  <c r="T216" i="13"/>
  <c r="AK48" i="12"/>
  <c r="N283" i="13"/>
  <c r="S283" i="13"/>
  <c r="N109" i="11"/>
  <c r="G109" i="10"/>
  <c r="AK109" i="10" s="1"/>
  <c r="H111" i="7"/>
  <c r="N111" i="7" s="1"/>
  <c r="Z31" i="11"/>
  <c r="D31" i="7"/>
  <c r="S136" i="13"/>
  <c r="N136" i="13"/>
  <c r="Z43" i="11"/>
  <c r="D43" i="7"/>
  <c r="AC43" i="7" s="1"/>
  <c r="S93" i="13"/>
  <c r="N93" i="13"/>
  <c r="N170" i="13"/>
  <c r="M173" i="13"/>
  <c r="S173" i="13" s="1"/>
  <c r="S170" i="13"/>
  <c r="G25" i="8"/>
  <c r="X25" i="8" s="1"/>
  <c r="H26" i="8"/>
  <c r="X26" i="8"/>
  <c r="U80" i="13"/>
  <c r="O83" i="13"/>
  <c r="T124" i="13"/>
  <c r="O124" i="13"/>
  <c r="Q124" i="13"/>
  <c r="AG124" i="13"/>
  <c r="O277" i="13"/>
  <c r="U277" i="13" s="1"/>
  <c r="AG277" i="13"/>
  <c r="T277" i="13"/>
  <c r="E87" i="11"/>
  <c r="Q87" i="11" s="1"/>
  <c r="N266" i="13"/>
  <c r="S266" i="13"/>
  <c r="M270" i="13"/>
  <c r="N306" i="13"/>
  <c r="S306" i="13"/>
  <c r="AB124" i="12"/>
  <c r="N66" i="13"/>
  <c r="S66" i="13"/>
  <c r="N156" i="13"/>
  <c r="S156" i="13"/>
  <c r="AK59" i="12"/>
  <c r="H59" i="11"/>
  <c r="H59" i="12"/>
  <c r="D9" i="56"/>
  <c r="AC7" i="7"/>
  <c r="N98" i="13"/>
  <c r="S98" i="13"/>
  <c r="G23" i="12"/>
  <c r="AJ23" i="12"/>
  <c r="G23" i="11"/>
  <c r="H50" i="51"/>
  <c r="N50" i="51"/>
  <c r="P70" i="7"/>
  <c r="C68" i="7"/>
  <c r="P68" i="7" s="1"/>
  <c r="N269" i="13"/>
  <c r="S269" i="13"/>
  <c r="AI144" i="10"/>
  <c r="AC143" i="10"/>
  <c r="AI143" i="10" s="1"/>
  <c r="I28" i="9"/>
  <c r="J28" i="9" s="1"/>
  <c r="L28" i="9"/>
  <c r="AM143" i="10"/>
  <c r="I150" i="10"/>
  <c r="AC81" i="10"/>
  <c r="AI81" i="10" s="1"/>
  <c r="AD129" i="10"/>
  <c r="AD150" i="10" s="1"/>
  <c r="AJ130" i="10"/>
  <c r="AB77" i="10"/>
  <c r="AH77" i="10" s="1"/>
  <c r="AH78" i="10"/>
  <c r="E68" i="51"/>
  <c r="N68" i="51" s="1"/>
  <c r="N69" i="51"/>
  <c r="N253" i="13"/>
  <c r="O250" i="13"/>
  <c r="T250" i="13"/>
  <c r="AG250" i="13"/>
  <c r="G100" i="10"/>
  <c r="H102" i="7"/>
  <c r="I99" i="11"/>
  <c r="N99" i="11"/>
  <c r="Q104" i="11"/>
  <c r="D105" i="10"/>
  <c r="E107" i="7"/>
  <c r="L104" i="11"/>
  <c r="M134" i="7"/>
  <c r="G131" i="7"/>
  <c r="AG93" i="12"/>
  <c r="R110" i="12"/>
  <c r="R110" i="10" s="1"/>
  <c r="L129" i="11"/>
  <c r="AC26" i="7"/>
  <c r="D21" i="7"/>
  <c r="AF154" i="12"/>
  <c r="T46" i="12"/>
  <c r="U203" i="13"/>
  <c r="G56" i="55"/>
  <c r="H56" i="55"/>
  <c r="O77" i="55"/>
  <c r="Q77" i="55" s="1"/>
  <c r="N85" i="55"/>
  <c r="C227" i="55"/>
  <c r="O227" i="55" s="1"/>
  <c r="Q227" i="55" s="1"/>
  <c r="O217" i="55"/>
  <c r="Q217" i="55" s="1"/>
  <c r="E368" i="55"/>
  <c r="O103" i="55"/>
  <c r="Q103" i="55" s="1"/>
  <c r="D368" i="55"/>
  <c r="G35" i="51"/>
  <c r="L35" i="51"/>
  <c r="M35" i="51"/>
  <c r="L64" i="51"/>
  <c r="M64" i="51"/>
  <c r="C124" i="12"/>
  <c r="C124" i="11"/>
  <c r="O439" i="55"/>
  <c r="Q439" i="55" s="1"/>
  <c r="F38" i="49"/>
  <c r="F44" i="49" s="1"/>
  <c r="D44" i="49"/>
  <c r="S75" i="46"/>
  <c r="N75" i="46"/>
  <c r="M452" i="55"/>
  <c r="O470" i="55"/>
  <c r="Q470" i="55" s="1"/>
  <c r="AA18" i="46"/>
  <c r="O18" i="46"/>
  <c r="U18" i="46" s="1"/>
  <c r="T18" i="46"/>
  <c r="N39" i="46"/>
  <c r="S39" i="46"/>
  <c r="W26" i="47"/>
  <c r="T26" i="47"/>
  <c r="N28" i="47"/>
  <c r="O26" i="47"/>
  <c r="N24" i="46"/>
  <c r="S24" i="46"/>
  <c r="L16" i="46"/>
  <c r="N98" i="46"/>
  <c r="S98" i="46"/>
  <c r="N47" i="46"/>
  <c r="S47" i="46"/>
  <c r="I30" i="52"/>
  <c r="AA156" i="46"/>
  <c r="Q156" i="46"/>
  <c r="T156" i="46"/>
  <c r="O156" i="46"/>
  <c r="U156" i="46" s="1"/>
  <c r="N113" i="45"/>
  <c r="N99" i="45"/>
  <c r="Q95" i="45"/>
  <c r="O95" i="45"/>
  <c r="V95" i="45"/>
  <c r="T95" i="45"/>
  <c r="I95" i="67" s="1"/>
  <c r="J95" i="67" s="1"/>
  <c r="N62" i="46"/>
  <c r="S62" i="46"/>
  <c r="M125" i="46"/>
  <c r="R125" i="46"/>
  <c r="M164" i="46"/>
  <c r="R164" i="46"/>
  <c r="L168" i="46"/>
  <c r="R168" i="46" s="1"/>
  <c r="I124" i="12"/>
  <c r="J124" i="11"/>
  <c r="AA103" i="46"/>
  <c r="T103" i="46"/>
  <c r="O103" i="46"/>
  <c r="U103" i="46" s="1"/>
  <c r="Q37" i="45"/>
  <c r="T37" i="45"/>
  <c r="O37" i="45"/>
  <c r="U37" i="45" s="1"/>
  <c r="V37" i="45"/>
  <c r="S17" i="44"/>
  <c r="N17" i="44"/>
  <c r="M19" i="44"/>
  <c r="S19" i="44" s="1"/>
  <c r="T26" i="45"/>
  <c r="O26" i="45"/>
  <c r="N35" i="45"/>
  <c r="R17" i="43"/>
  <c r="L19" i="43"/>
  <c r="R19" i="43" s="1"/>
  <c r="M17" i="43"/>
  <c r="AA23" i="46"/>
  <c r="T23" i="46"/>
  <c r="O23" i="46"/>
  <c r="U23" i="46" s="1"/>
  <c r="AA137" i="46"/>
  <c r="T137" i="46"/>
  <c r="O137" i="46"/>
  <c r="P137" i="46" s="1"/>
  <c r="M27" i="43"/>
  <c r="R27" i="43"/>
  <c r="S34" i="43"/>
  <c r="N34" i="43"/>
  <c r="X14" i="42"/>
  <c r="O14" i="42"/>
  <c r="T14" i="42"/>
  <c r="N20" i="42"/>
  <c r="N14" i="41"/>
  <c r="AA143" i="46"/>
  <c r="O143" i="46"/>
  <c r="U143" i="46" s="1"/>
  <c r="T143" i="46"/>
  <c r="Z10" i="43"/>
  <c r="T10" i="43"/>
  <c r="Q10" i="43"/>
  <c r="O10" i="43"/>
  <c r="U10" i="43" s="1"/>
  <c r="X17" i="42"/>
  <c r="O17" i="42"/>
  <c r="N17" i="41"/>
  <c r="T17" i="42"/>
  <c r="R33" i="42"/>
  <c r="L37" i="42"/>
  <c r="R37" i="42" s="1"/>
  <c r="Z54" i="43"/>
  <c r="T54" i="43"/>
  <c r="Q54" i="43"/>
  <c r="O54" i="43"/>
  <c r="U54" i="43" s="1"/>
  <c r="Z18" i="43"/>
  <c r="O18" i="43"/>
  <c r="U18" i="43" s="1"/>
  <c r="T18" i="43"/>
  <c r="Q18" i="43"/>
  <c r="M71" i="42"/>
  <c r="L73" i="42"/>
  <c r="R71" i="42"/>
  <c r="N86" i="42"/>
  <c r="S86" i="42"/>
  <c r="Q50" i="43"/>
  <c r="K61" i="41"/>
  <c r="R26" i="41"/>
  <c r="L31" i="41"/>
  <c r="R59" i="42"/>
  <c r="M59" i="42"/>
  <c r="L70" i="42"/>
  <c r="Q95" i="12"/>
  <c r="Q96" i="10" s="1"/>
  <c r="R13" i="41"/>
  <c r="K24" i="41"/>
  <c r="M84" i="42"/>
  <c r="R84" i="42"/>
  <c r="L97" i="42"/>
  <c r="I132" i="42"/>
  <c r="I133" i="42" s="1"/>
  <c r="I73" i="41"/>
  <c r="I77" i="41" s="1"/>
  <c r="I78" i="41" s="1"/>
  <c r="L108" i="42"/>
  <c r="L60" i="41" s="1"/>
  <c r="J43" i="66"/>
  <c r="AH43" i="66" s="1"/>
  <c r="AG43" i="66"/>
  <c r="AI43" i="66"/>
  <c r="R50" i="40"/>
  <c r="L52" i="40"/>
  <c r="R52" i="40" s="1"/>
  <c r="Q8" i="40"/>
  <c r="N33" i="37"/>
  <c r="O34" i="37"/>
  <c r="L52" i="66"/>
  <c r="F62" i="66" s="1"/>
  <c r="AE8" i="66"/>
  <c r="G32" i="66"/>
  <c r="O41" i="66"/>
  <c r="P42" i="66"/>
  <c r="P41" i="66" s="1"/>
  <c r="H20" i="38"/>
  <c r="AF20" i="38" s="1"/>
  <c r="AF21" i="38"/>
  <c r="I21" i="38"/>
  <c r="T33" i="66"/>
  <c r="U34" i="66"/>
  <c r="J33" i="39"/>
  <c r="AE47" i="37"/>
  <c r="Z60" i="37"/>
  <c r="L412" i="55"/>
  <c r="N412" i="55"/>
  <c r="Q48" i="40"/>
  <c r="J30" i="66"/>
  <c r="AH30" i="66" s="1"/>
  <c r="AG30" i="66"/>
  <c r="AA32" i="37"/>
  <c r="AA37" i="37" s="1"/>
  <c r="AA60" i="37" s="1"/>
  <c r="AF36" i="37"/>
  <c r="AG28" i="37"/>
  <c r="J28" i="37"/>
  <c r="AH28" i="37" s="1"/>
  <c r="O323" i="55"/>
  <c r="Q323" i="55" s="1"/>
  <c r="C328" i="55"/>
  <c r="I26" i="66"/>
  <c r="AF26" i="66"/>
  <c r="M41" i="38"/>
  <c r="N33" i="36"/>
  <c r="O34" i="36"/>
  <c r="U42" i="37"/>
  <c r="T41" i="37"/>
  <c r="T52" i="37" s="1"/>
  <c r="U48" i="38"/>
  <c r="T47" i="38"/>
  <c r="Z52" i="37"/>
  <c r="J29" i="35"/>
  <c r="AH29" i="35" s="1"/>
  <c r="AG29" i="35"/>
  <c r="J10" i="34"/>
  <c r="AH10" i="34" s="1"/>
  <c r="AG10" i="34"/>
  <c r="AI10" i="34"/>
  <c r="U75" i="41"/>
  <c r="I15" i="34"/>
  <c r="I8" i="34" s="1"/>
  <c r="AF15" i="34"/>
  <c r="N20" i="36"/>
  <c r="N32" i="36" s="1"/>
  <c r="N37" i="36" s="1"/>
  <c r="N60" i="36" s="1"/>
  <c r="Z52" i="36"/>
  <c r="AA33" i="36"/>
  <c r="K37" i="35"/>
  <c r="U45" i="35"/>
  <c r="T45" i="17"/>
  <c r="G384" i="55"/>
  <c r="J46" i="34"/>
  <c r="AH46" i="34" s="1"/>
  <c r="AG46" i="34"/>
  <c r="AI46" i="34"/>
  <c r="I30" i="34"/>
  <c r="AF30" i="34"/>
  <c r="S41" i="33"/>
  <c r="S52" i="33" s="1"/>
  <c r="T42" i="33"/>
  <c r="AF18" i="31"/>
  <c r="AG18" i="31"/>
  <c r="H18" i="17"/>
  <c r="AA10" i="34"/>
  <c r="AA10" i="17" s="1"/>
  <c r="Z8" i="34"/>
  <c r="Z32" i="34" s="1"/>
  <c r="Z37" i="34" s="1"/>
  <c r="Z60" i="34" s="1"/>
  <c r="Z10" i="17"/>
  <c r="M244" i="55"/>
  <c r="H244" i="55"/>
  <c r="I36" i="36"/>
  <c r="AF36" i="36"/>
  <c r="AB23" i="33"/>
  <c r="AC24" i="33"/>
  <c r="AC23" i="33" s="1"/>
  <c r="U8" i="32"/>
  <c r="V9" i="32"/>
  <c r="V8" i="32" s="1"/>
  <c r="N47" i="31"/>
  <c r="N52" i="31" s="1"/>
  <c r="O48" i="31"/>
  <c r="J25" i="39"/>
  <c r="AE47" i="33"/>
  <c r="J332" i="55"/>
  <c r="J340" i="55" s="1"/>
  <c r="C332" i="55"/>
  <c r="C340" i="55" s="1"/>
  <c r="K332" i="55"/>
  <c r="K340" i="55" s="1"/>
  <c r="D332" i="55"/>
  <c r="D340" i="55" s="1"/>
  <c r="L332" i="55"/>
  <c r="L340" i="55" s="1"/>
  <c r="G332" i="55"/>
  <c r="G340" i="55" s="1"/>
  <c r="M332" i="55"/>
  <c r="M340" i="55" s="1"/>
  <c r="N332" i="55"/>
  <c r="N340" i="55" s="1"/>
  <c r="E332" i="55"/>
  <c r="E340" i="55" s="1"/>
  <c r="F332" i="55"/>
  <c r="F340" i="55" s="1"/>
  <c r="H332" i="55"/>
  <c r="H340" i="55" s="1"/>
  <c r="I332" i="55"/>
  <c r="I340" i="55" s="1"/>
  <c r="D199" i="55"/>
  <c r="N32" i="31"/>
  <c r="N37" i="31" s="1"/>
  <c r="N60" i="31" s="1"/>
  <c r="J14" i="31"/>
  <c r="AH14" i="31" s="1"/>
  <c r="AG14" i="31"/>
  <c r="AI14" i="31"/>
  <c r="AE8" i="28"/>
  <c r="G32" i="28"/>
  <c r="AA41" i="33"/>
  <c r="AB42" i="33"/>
  <c r="I22" i="31"/>
  <c r="AF22" i="31"/>
  <c r="H20" i="31"/>
  <c r="AF20" i="31" s="1"/>
  <c r="H22" i="17"/>
  <c r="Y32" i="30"/>
  <c r="Y37" i="30" s="1"/>
  <c r="Y60" i="30" s="1"/>
  <c r="U23" i="29"/>
  <c r="V24" i="29"/>
  <c r="V23" i="29" s="1"/>
  <c r="I10" i="28"/>
  <c r="AF10" i="28"/>
  <c r="J28" i="28"/>
  <c r="AH28" i="28" s="1"/>
  <c r="AG28" i="28"/>
  <c r="H8" i="34"/>
  <c r="AJ32" i="32"/>
  <c r="F37" i="32"/>
  <c r="H47" i="32"/>
  <c r="H52" i="28"/>
  <c r="AF41" i="28"/>
  <c r="T41" i="34"/>
  <c r="T52" i="34" s="1"/>
  <c r="Z60" i="30"/>
  <c r="R26" i="39"/>
  <c r="S60" i="31"/>
  <c r="Y60" i="29"/>
  <c r="V35" i="29"/>
  <c r="V35" i="17" s="1"/>
  <c r="N76" i="10" s="1"/>
  <c r="U35" i="17"/>
  <c r="M76" i="10" s="1"/>
  <c r="AE76" i="10" s="1"/>
  <c r="AG45" i="28"/>
  <c r="J45" i="28"/>
  <c r="AH45" i="28" s="1"/>
  <c r="AG11" i="29"/>
  <c r="J11" i="29"/>
  <c r="AH11" i="29" s="1"/>
  <c r="O125" i="55"/>
  <c r="Q125" i="55" s="1"/>
  <c r="C130" i="55"/>
  <c r="N10" i="39"/>
  <c r="G32" i="37"/>
  <c r="G8" i="29"/>
  <c r="U42" i="29"/>
  <c r="T41" i="29"/>
  <c r="T52" i="29" s="1"/>
  <c r="D101" i="55"/>
  <c r="AB42" i="29"/>
  <c r="AA41" i="29"/>
  <c r="AA52" i="29" s="1"/>
  <c r="AG50" i="32"/>
  <c r="J50" i="32"/>
  <c r="AH50" i="32" s="1"/>
  <c r="AG16" i="30"/>
  <c r="AI16" i="30"/>
  <c r="J16" i="30"/>
  <c r="AH16" i="30" s="1"/>
  <c r="H52" i="27"/>
  <c r="AF41" i="27"/>
  <c r="N73" i="55"/>
  <c r="O22" i="26"/>
  <c r="N20" i="26"/>
  <c r="N32" i="26" s="1"/>
  <c r="N37" i="26" s="1"/>
  <c r="N60" i="26" s="1"/>
  <c r="AH21" i="31"/>
  <c r="O33" i="29"/>
  <c r="Z32" i="28"/>
  <c r="Z37" i="28" s="1"/>
  <c r="Z60" i="28" s="1"/>
  <c r="I33" i="28"/>
  <c r="K37" i="25"/>
  <c r="N23" i="28"/>
  <c r="P142" i="55"/>
  <c r="F62" i="26"/>
  <c r="AJ52" i="26"/>
  <c r="T32" i="26"/>
  <c r="T37" i="26" s="1"/>
  <c r="O47" i="29"/>
  <c r="M37" i="27"/>
  <c r="M60" i="27" s="1"/>
  <c r="N20" i="28"/>
  <c r="N32" i="28" s="1"/>
  <c r="N37" i="28" s="1"/>
  <c r="N60" i="28" s="1"/>
  <c r="O22" i="28"/>
  <c r="J9" i="26"/>
  <c r="AG9" i="26"/>
  <c r="I8" i="26"/>
  <c r="AE52" i="28"/>
  <c r="G62" i="28"/>
  <c r="N60" i="24"/>
  <c r="J25" i="26"/>
  <c r="AH25" i="26" s="1"/>
  <c r="AG25" i="26"/>
  <c r="I46" i="26"/>
  <c r="AF46" i="26"/>
  <c r="O8" i="23"/>
  <c r="O32" i="23" s="1"/>
  <c r="P9" i="23"/>
  <c r="P8" i="23" s="1"/>
  <c r="F44" i="55"/>
  <c r="U42" i="23"/>
  <c r="T41" i="23"/>
  <c r="T52" i="23" s="1"/>
  <c r="T52" i="27"/>
  <c r="H41" i="25"/>
  <c r="I42" i="24"/>
  <c r="AF42" i="24"/>
  <c r="H41" i="24"/>
  <c r="J13" i="26"/>
  <c r="AH13" i="26" s="1"/>
  <c r="AG13" i="26"/>
  <c r="AI13" i="26"/>
  <c r="AI34" i="25"/>
  <c r="J34" i="25"/>
  <c r="I33" i="25"/>
  <c r="AG34" i="25"/>
  <c r="U20" i="23"/>
  <c r="U32" i="23" s="1"/>
  <c r="V21" i="23"/>
  <c r="V20" i="23" s="1"/>
  <c r="V32" i="23" s="1"/>
  <c r="J16" i="23"/>
  <c r="AG16" i="23"/>
  <c r="AI16" i="23"/>
  <c r="I16" i="17"/>
  <c r="U7" i="22"/>
  <c r="O7" i="21"/>
  <c r="R7" i="39"/>
  <c r="S45" i="22"/>
  <c r="M36" i="21"/>
  <c r="S88" i="22"/>
  <c r="M90" i="22"/>
  <c r="M57" i="21"/>
  <c r="J15" i="24"/>
  <c r="AH15" i="24" s="1"/>
  <c r="AG15" i="24"/>
  <c r="J43" i="24"/>
  <c r="AH43" i="24" s="1"/>
  <c r="AG43" i="24"/>
  <c r="AI43" i="24"/>
  <c r="S80" i="22"/>
  <c r="N80" i="22"/>
  <c r="S100" i="22"/>
  <c r="M102" i="22"/>
  <c r="S102" i="22" s="1"/>
  <c r="M69" i="21"/>
  <c r="N100" i="22"/>
  <c r="AG11" i="27"/>
  <c r="AI11" i="27"/>
  <c r="J11" i="27"/>
  <c r="AH11" i="27" s="1"/>
  <c r="AE41" i="23"/>
  <c r="G52" i="23"/>
  <c r="U77" i="22"/>
  <c r="O109" i="22"/>
  <c r="T109" i="22"/>
  <c r="V109" i="22"/>
  <c r="N75" i="21"/>
  <c r="T75" i="21" s="1"/>
  <c r="T44" i="20"/>
  <c r="V44" i="20"/>
  <c r="O44" i="20"/>
  <c r="U44" i="20" s="1"/>
  <c r="Q44" i="20"/>
  <c r="M144" i="20"/>
  <c r="N142" i="20"/>
  <c r="S142" i="20"/>
  <c r="Z35" i="25"/>
  <c r="Y33" i="25"/>
  <c r="Y37" i="25" s="1"/>
  <c r="Y60" i="25" s="1"/>
  <c r="Y35" i="17"/>
  <c r="AG46" i="24"/>
  <c r="AI46" i="24"/>
  <c r="J46" i="24"/>
  <c r="AH46" i="24" s="1"/>
  <c r="J13" i="23"/>
  <c r="AG13" i="23"/>
  <c r="M36" i="22"/>
  <c r="U57" i="22"/>
  <c r="O59" i="22"/>
  <c r="U59" i="22" s="1"/>
  <c r="O44" i="21"/>
  <c r="AB9" i="23"/>
  <c r="AA8" i="23"/>
  <c r="AA32" i="23" s="1"/>
  <c r="AA37" i="23" s="1"/>
  <c r="AA60" i="23" s="1"/>
  <c r="AA9" i="17"/>
  <c r="U33" i="22"/>
  <c r="O28" i="21"/>
  <c r="U28" i="21" s="1"/>
  <c r="V81" i="22"/>
  <c r="O81" i="22"/>
  <c r="U81" i="22" s="1"/>
  <c r="Q81" i="22"/>
  <c r="T81" i="22"/>
  <c r="AL17" i="17"/>
  <c r="AQ17" i="17" s="1"/>
  <c r="AE17" i="17"/>
  <c r="F44" i="7"/>
  <c r="L44" i="7" s="1"/>
  <c r="E45" i="10"/>
  <c r="AI45" i="10" s="1"/>
  <c r="S8" i="20"/>
  <c r="M13" i="20"/>
  <c r="S13" i="20" s="1"/>
  <c r="N8" i="20"/>
  <c r="M155" i="20"/>
  <c r="Z42" i="18"/>
  <c r="S134" i="20"/>
  <c r="AB39" i="10"/>
  <c r="AH39" i="10" s="1"/>
  <c r="I28" i="18"/>
  <c r="AF28" i="18"/>
  <c r="H28" i="17"/>
  <c r="R18" i="13"/>
  <c r="T82" i="20"/>
  <c r="V82" i="20"/>
  <c r="O82" i="20"/>
  <c r="U82" i="20" s="1"/>
  <c r="Q82" i="20"/>
  <c r="AJ34" i="18"/>
  <c r="I34" i="17"/>
  <c r="AG34" i="18"/>
  <c r="AU10" i="17"/>
  <c r="D37" i="7"/>
  <c r="O28" i="17"/>
  <c r="P28" i="18"/>
  <c r="AJ48" i="17"/>
  <c r="AK48" i="17"/>
  <c r="V43" i="20"/>
  <c r="O43" i="20"/>
  <c r="U43" i="20" s="1"/>
  <c r="T43" i="20"/>
  <c r="T25" i="17"/>
  <c r="M52" i="18"/>
  <c r="K45" i="14"/>
  <c r="K47" i="14" s="1"/>
  <c r="K51" i="14" s="1"/>
  <c r="D64" i="12"/>
  <c r="AF18" i="13"/>
  <c r="Q18" i="13"/>
  <c r="AG18" i="13"/>
  <c r="S30" i="20"/>
  <c r="N30" i="20"/>
  <c r="T66" i="20"/>
  <c r="V66" i="20"/>
  <c r="O66" i="20"/>
  <c r="U66" i="20" s="1"/>
  <c r="Q66" i="20"/>
  <c r="O93" i="20"/>
  <c r="U93" i="20" s="1"/>
  <c r="Q93" i="20"/>
  <c r="T93" i="20"/>
  <c r="V93" i="20"/>
  <c r="R155" i="20"/>
  <c r="L25" i="19"/>
  <c r="O179" i="20"/>
  <c r="U179" i="20" s="1"/>
  <c r="T179" i="20"/>
  <c r="Z8" i="17"/>
  <c r="F20" i="9"/>
  <c r="F19" i="9" s="1"/>
  <c r="F20" i="8"/>
  <c r="T13" i="14"/>
  <c r="O13" i="14"/>
  <c r="N15" i="14"/>
  <c r="K123" i="22"/>
  <c r="K124" i="22" s="1"/>
  <c r="O19" i="19"/>
  <c r="T19" i="19"/>
  <c r="N22" i="17"/>
  <c r="AB25" i="14"/>
  <c r="O25" i="14"/>
  <c r="U25" i="14" s="1"/>
  <c r="T25" i="14"/>
  <c r="O101" i="22"/>
  <c r="T101" i="22"/>
  <c r="V101" i="22"/>
  <c r="N70" i="21"/>
  <c r="T70" i="21" s="1"/>
  <c r="AH22" i="18"/>
  <c r="P22" i="18"/>
  <c r="I31" i="17"/>
  <c r="R39" i="22"/>
  <c r="L32" i="21"/>
  <c r="L41" i="22"/>
  <c r="R41" i="22" s="1"/>
  <c r="O108" i="20"/>
  <c r="Q108" i="20"/>
  <c r="T108" i="20"/>
  <c r="V108" i="20"/>
  <c r="N10" i="19"/>
  <c r="S10" i="19"/>
  <c r="H19" i="18"/>
  <c r="AP14" i="17"/>
  <c r="I42" i="10"/>
  <c r="J41" i="7"/>
  <c r="AB21" i="18"/>
  <c r="AA21" i="17"/>
  <c r="AA20" i="18"/>
  <c r="S34" i="17"/>
  <c r="V43" i="18"/>
  <c r="V43" i="17" s="1"/>
  <c r="U43" i="17"/>
  <c r="S26" i="14"/>
  <c r="L70" i="12" s="1"/>
  <c r="G70" i="11"/>
  <c r="F70" i="12"/>
  <c r="N134" i="20"/>
  <c r="O3" i="47"/>
  <c r="O90" i="46"/>
  <c r="C7" i="8"/>
  <c r="O38" i="10"/>
  <c r="AG37" i="12"/>
  <c r="V22" i="24"/>
  <c r="V22" i="17" s="1"/>
  <c r="U22" i="17"/>
  <c r="M97" i="13"/>
  <c r="N91" i="13"/>
  <c r="S91" i="13"/>
  <c r="O226" i="13"/>
  <c r="U226" i="13" s="1"/>
  <c r="AG226" i="13"/>
  <c r="T226" i="13"/>
  <c r="Q7" i="11"/>
  <c r="E6" i="8"/>
  <c r="AA24" i="17"/>
  <c r="M43" i="14"/>
  <c r="S43" i="14" s="1"/>
  <c r="S128" i="13"/>
  <c r="N128" i="13"/>
  <c r="N293" i="13"/>
  <c r="S293" i="13"/>
  <c r="M296" i="13"/>
  <c r="S296" i="13" s="1"/>
  <c r="N88" i="20"/>
  <c r="M113" i="20"/>
  <c r="S88" i="20"/>
  <c r="AH7" i="12"/>
  <c r="M57" i="13"/>
  <c r="R57" i="13"/>
  <c r="K19" i="12"/>
  <c r="E39" i="11"/>
  <c r="J39" i="12"/>
  <c r="D39" i="12"/>
  <c r="N305" i="13"/>
  <c r="S305" i="13"/>
  <c r="M311" i="13"/>
  <c r="S311" i="13" s="1"/>
  <c r="AG10" i="10"/>
  <c r="O8" i="10"/>
  <c r="H73" i="51"/>
  <c r="N73" i="51"/>
  <c r="P181" i="13"/>
  <c r="E25" i="56"/>
  <c r="N59" i="20"/>
  <c r="S59" i="20"/>
  <c r="N150" i="13"/>
  <c r="S150" i="13"/>
  <c r="M242" i="13"/>
  <c r="S231" i="13"/>
  <c r="N231" i="13"/>
  <c r="R276" i="13"/>
  <c r="L281" i="13"/>
  <c r="L7" i="11"/>
  <c r="F6" i="8"/>
  <c r="AG45" i="12"/>
  <c r="AM45" i="12" s="1"/>
  <c r="O46" i="10"/>
  <c r="AG46" i="10" s="1"/>
  <c r="N300" i="13"/>
  <c r="S300" i="13"/>
  <c r="M317" i="13"/>
  <c r="M59" i="11"/>
  <c r="F60" i="10"/>
  <c r="G59" i="7"/>
  <c r="R160" i="13"/>
  <c r="L181" i="13"/>
  <c r="S144" i="13"/>
  <c r="N144" i="13"/>
  <c r="S310" i="13"/>
  <c r="N310" i="13"/>
  <c r="AG316" i="13"/>
  <c r="O316" i="13"/>
  <c r="U316" i="13" s="1"/>
  <c r="T316" i="13"/>
  <c r="G127" i="11"/>
  <c r="J76" i="7"/>
  <c r="O148" i="13"/>
  <c r="U148" i="13" s="1"/>
  <c r="T148" i="13"/>
  <c r="AG148" i="13"/>
  <c r="AH81" i="10"/>
  <c r="G99" i="10"/>
  <c r="K98" i="11"/>
  <c r="N98" i="11"/>
  <c r="I98" i="11"/>
  <c r="H101" i="7"/>
  <c r="AK129" i="10"/>
  <c r="R31" i="9"/>
  <c r="Y21" i="9"/>
  <c r="AE141" i="10"/>
  <c r="AK141" i="10" s="1"/>
  <c r="S138" i="10"/>
  <c r="S150" i="10" s="1"/>
  <c r="H34" i="51"/>
  <c r="N34" i="51"/>
  <c r="G8" i="71"/>
  <c r="G11" i="71"/>
  <c r="AS14" i="70"/>
  <c r="N28" i="69"/>
  <c r="N29" i="69" s="1"/>
  <c r="F39" i="69" s="1"/>
  <c r="S28" i="69"/>
  <c r="H28" i="69"/>
  <c r="H29" i="69" s="1"/>
  <c r="T32" i="69"/>
  <c r="F41" i="69"/>
  <c r="G28" i="69"/>
  <c r="I29" i="69"/>
  <c r="P22" i="7" l="1"/>
  <c r="C21" i="7"/>
  <c r="C11" i="56" s="1"/>
  <c r="R254" i="13"/>
  <c r="E22" i="12"/>
  <c r="AI22" i="12" s="1"/>
  <c r="F22" i="11"/>
  <c r="AM124" i="12"/>
  <c r="S31" i="69"/>
  <c r="V31" i="69" s="1"/>
  <c r="G29" i="69"/>
  <c r="F37" i="69" s="1"/>
  <c r="F31" i="69"/>
  <c r="J33" i="69"/>
  <c r="L33" i="69" s="1"/>
  <c r="G31" i="69"/>
  <c r="AG33" i="36"/>
  <c r="AI33" i="36"/>
  <c r="F37" i="12"/>
  <c r="G37" i="11"/>
  <c r="S119" i="13"/>
  <c r="T58" i="20"/>
  <c r="N74" i="20"/>
  <c r="V49" i="41"/>
  <c r="T49" i="41"/>
  <c r="Q49" i="41"/>
  <c r="N16" i="14"/>
  <c r="T9" i="14"/>
  <c r="H65" i="11"/>
  <c r="G65" i="12"/>
  <c r="AK65" i="12" s="1"/>
  <c r="AN26" i="17"/>
  <c r="AS26" i="17" s="1"/>
  <c r="AG26" i="17"/>
  <c r="R14" i="12"/>
  <c r="O452" i="55"/>
  <c r="AF13" i="17"/>
  <c r="AM13" i="17"/>
  <c r="F41" i="10"/>
  <c r="G40" i="7"/>
  <c r="AN11" i="17"/>
  <c r="AG11" i="17"/>
  <c r="AI11" i="17"/>
  <c r="AI8" i="33"/>
  <c r="AG8" i="33"/>
  <c r="N37" i="18"/>
  <c r="J138" i="42"/>
  <c r="J137" i="42"/>
  <c r="J136" i="42"/>
  <c r="S126" i="42"/>
  <c r="M73" i="41"/>
  <c r="M132" i="42"/>
  <c r="O340" i="55"/>
  <c r="G19" i="9"/>
  <c r="X20" i="9"/>
  <c r="AN30" i="17"/>
  <c r="AG30" i="17"/>
  <c r="M62" i="10"/>
  <c r="I83" i="41"/>
  <c r="C95" i="12"/>
  <c r="C95" i="11"/>
  <c r="N8" i="8" s="1"/>
  <c r="O24" i="15"/>
  <c r="S276" i="13"/>
  <c r="M281" i="13"/>
  <c r="AI47" i="26"/>
  <c r="AG47" i="26"/>
  <c r="AG8" i="66"/>
  <c r="AI8" i="66"/>
  <c r="I32" i="66"/>
  <c r="AG24" i="17"/>
  <c r="AN24" i="17"/>
  <c r="F32" i="17"/>
  <c r="AI32" i="18"/>
  <c r="W87" i="46"/>
  <c r="D112" i="12"/>
  <c r="E112" i="11"/>
  <c r="AG8" i="34"/>
  <c r="AI8" i="34"/>
  <c r="T73" i="20"/>
  <c r="X119" i="42"/>
  <c r="T119" i="42"/>
  <c r="Q119" i="42"/>
  <c r="AG292" i="13"/>
  <c r="T292" i="13"/>
  <c r="O10" i="39"/>
  <c r="Q11" i="39"/>
  <c r="F61" i="12"/>
  <c r="G61" i="11"/>
  <c r="S317" i="13"/>
  <c r="O59" i="20"/>
  <c r="Q59" i="20"/>
  <c r="V59" i="20"/>
  <c r="AA35" i="25"/>
  <c r="Z35" i="17"/>
  <c r="Z33" i="25"/>
  <c r="Z37" i="25" s="1"/>
  <c r="Z60" i="25" s="1"/>
  <c r="M99" i="10"/>
  <c r="AE99" i="10" s="1"/>
  <c r="AK99" i="10" s="1"/>
  <c r="R181" i="13"/>
  <c r="L186" i="13"/>
  <c r="D40" i="10"/>
  <c r="E39" i="7"/>
  <c r="Q39" i="11"/>
  <c r="O88" i="20"/>
  <c r="Q88" i="20"/>
  <c r="N113" i="20"/>
  <c r="V88" i="20"/>
  <c r="M100" i="13"/>
  <c r="S97" i="13"/>
  <c r="J42" i="24"/>
  <c r="AG42" i="24"/>
  <c r="AI42" i="24"/>
  <c r="I41" i="24"/>
  <c r="T300" i="13"/>
  <c r="O300" i="13"/>
  <c r="AG300" i="13"/>
  <c r="O231" i="13"/>
  <c r="T231" i="13"/>
  <c r="N242" i="13"/>
  <c r="AG231" i="13"/>
  <c r="J25" i="56"/>
  <c r="AC19" i="12"/>
  <c r="AC14" i="12" s="1"/>
  <c r="K14" i="12"/>
  <c r="K20" i="10"/>
  <c r="AF19" i="18"/>
  <c r="H19" i="17"/>
  <c r="L34" i="21"/>
  <c r="R34" i="21" s="1"/>
  <c r="R32" i="21"/>
  <c r="Q28" i="18"/>
  <c r="Q28" i="17" s="1"/>
  <c r="U28" i="10" s="1"/>
  <c r="AG28" i="10" s="1"/>
  <c r="P28" i="17"/>
  <c r="Z42" i="17"/>
  <c r="X94" i="10" s="1"/>
  <c r="AH13" i="23"/>
  <c r="T142" i="20"/>
  <c r="V142" i="20"/>
  <c r="O142" i="20"/>
  <c r="O153" i="20" s="1"/>
  <c r="U153" i="20" s="1"/>
  <c r="N144" i="20"/>
  <c r="S36" i="21"/>
  <c r="AN16" i="17"/>
  <c r="AI16" i="17"/>
  <c r="AG16" i="17"/>
  <c r="AH34" i="25"/>
  <c r="J33" i="25"/>
  <c r="AH33" i="25" s="1"/>
  <c r="H52" i="25"/>
  <c r="AF41" i="25"/>
  <c r="J46" i="26"/>
  <c r="AH46" i="26" s="1"/>
  <c r="AG46" i="26"/>
  <c r="AI46" i="26"/>
  <c r="AH9" i="26"/>
  <c r="J8" i="26"/>
  <c r="U41" i="29"/>
  <c r="U52" i="29" s="1"/>
  <c r="V42" i="29"/>
  <c r="V41" i="29" s="1"/>
  <c r="V52" i="29" s="1"/>
  <c r="J30" i="34"/>
  <c r="AH30" i="34" s="1"/>
  <c r="AG30" i="34"/>
  <c r="Z34" i="43"/>
  <c r="O34" i="43"/>
  <c r="U34" i="43" s="1"/>
  <c r="T34" i="43"/>
  <c r="Q34" i="43"/>
  <c r="N164" i="46"/>
  <c r="S164" i="46"/>
  <c r="M168" i="46"/>
  <c r="S168" i="46" s="1"/>
  <c r="W28" i="47"/>
  <c r="T28" i="47"/>
  <c r="C124" i="10"/>
  <c r="C126" i="7"/>
  <c r="J105" i="10"/>
  <c r="AB105" i="10" s="1"/>
  <c r="AH105" i="10" s="1"/>
  <c r="M23" i="11"/>
  <c r="F24" i="10"/>
  <c r="AJ24" i="10" s="1"/>
  <c r="G23" i="7"/>
  <c r="M23" i="7" s="1"/>
  <c r="S27" i="12"/>
  <c r="G27" i="12"/>
  <c r="AG266" i="13"/>
  <c r="O266" i="13"/>
  <c r="Q266" i="13"/>
  <c r="T266" i="13"/>
  <c r="O308" i="13"/>
  <c r="U308" i="13" s="1"/>
  <c r="AG308" i="13"/>
  <c r="T308" i="13"/>
  <c r="T53" i="13"/>
  <c r="AG53" i="13"/>
  <c r="O53" i="13"/>
  <c r="U53" i="13" s="1"/>
  <c r="S9" i="14"/>
  <c r="M16" i="14"/>
  <c r="G65" i="11"/>
  <c r="F65" i="12"/>
  <c r="AJ65" i="12" s="1"/>
  <c r="AH48" i="23"/>
  <c r="J47" i="23"/>
  <c r="AH47" i="23" s="1"/>
  <c r="V37" i="20"/>
  <c r="O37" i="20"/>
  <c r="U37" i="20" s="1"/>
  <c r="Q37" i="20"/>
  <c r="T37" i="20"/>
  <c r="O78" i="22"/>
  <c r="T78" i="22"/>
  <c r="V78" i="22"/>
  <c r="AA36" i="18"/>
  <c r="Q78" i="22"/>
  <c r="AG12" i="24"/>
  <c r="J12" i="24"/>
  <c r="I12" i="17"/>
  <c r="I41" i="23"/>
  <c r="J42" i="23"/>
  <c r="AG42" i="23"/>
  <c r="AI42" i="23"/>
  <c r="AG45" i="24"/>
  <c r="J45" i="24"/>
  <c r="AH45" i="24" s="1"/>
  <c r="AG41" i="29"/>
  <c r="AI41" i="29"/>
  <c r="AF32" i="32"/>
  <c r="H37" i="32"/>
  <c r="AG8" i="32"/>
  <c r="AI8" i="32"/>
  <c r="P34" i="34"/>
  <c r="P33" i="34" s="1"/>
  <c r="O33" i="34"/>
  <c r="O411" i="55"/>
  <c r="Q411" i="55" s="1"/>
  <c r="O48" i="66"/>
  <c r="N47" i="66"/>
  <c r="N52" i="66" s="1"/>
  <c r="N50" i="42"/>
  <c r="S50" i="42"/>
  <c r="M55" i="42"/>
  <c r="S12" i="43"/>
  <c r="N12" i="43"/>
  <c r="J176" i="46"/>
  <c r="D114" i="11"/>
  <c r="AA142" i="46"/>
  <c r="O142" i="46"/>
  <c r="U142" i="46" s="1"/>
  <c r="T142" i="46"/>
  <c r="W50" i="47"/>
  <c r="O50" i="47"/>
  <c r="U50" i="47" s="1"/>
  <c r="Q50" i="47"/>
  <c r="T50" i="47"/>
  <c r="AA48" i="46"/>
  <c r="T48" i="46"/>
  <c r="O48" i="46"/>
  <c r="U48" i="46" s="1"/>
  <c r="Q48" i="46"/>
  <c r="U152" i="7"/>
  <c r="R69" i="10"/>
  <c r="AD70" i="10"/>
  <c r="D58" i="11"/>
  <c r="Z60" i="11"/>
  <c r="D60" i="7"/>
  <c r="AE33" i="12"/>
  <c r="M34" i="10"/>
  <c r="AE34" i="10" s="1"/>
  <c r="M78" i="11"/>
  <c r="F79" i="10"/>
  <c r="AJ79" i="10" s="1"/>
  <c r="G78" i="7"/>
  <c r="M78" i="7" s="1"/>
  <c r="AM26" i="17"/>
  <c r="AR26" i="17" s="1"/>
  <c r="AF26" i="17"/>
  <c r="V131" i="22"/>
  <c r="L52" i="17"/>
  <c r="AD37" i="10"/>
  <c r="AB47" i="24"/>
  <c r="AC48" i="24"/>
  <c r="AC47" i="24" s="1"/>
  <c r="R90" i="22"/>
  <c r="L92" i="22"/>
  <c r="R92" i="22" s="1"/>
  <c r="AH9" i="28"/>
  <c r="AH35" i="29"/>
  <c r="P9" i="32"/>
  <c r="P8" i="32" s="1"/>
  <c r="P32" i="32" s="1"/>
  <c r="P37" i="32" s="1"/>
  <c r="O8" i="32"/>
  <c r="O32" i="32" s="1"/>
  <c r="O37" i="32" s="1"/>
  <c r="AH34" i="36"/>
  <c r="X45" i="42"/>
  <c r="Q45" i="42"/>
  <c r="T45" i="42"/>
  <c r="N127" i="46"/>
  <c r="S127" i="46"/>
  <c r="Z124" i="11"/>
  <c r="D126" i="7"/>
  <c r="AC126" i="7" s="1"/>
  <c r="M20" i="11"/>
  <c r="G8" i="8"/>
  <c r="L50" i="11"/>
  <c r="F50" i="7"/>
  <c r="L50" i="7" s="1"/>
  <c r="E51" i="10"/>
  <c r="AI51" i="10" s="1"/>
  <c r="P50" i="21"/>
  <c r="AB31" i="12"/>
  <c r="AH31" i="12" s="1"/>
  <c r="J32" i="10"/>
  <c r="AB32" i="10" s="1"/>
  <c r="AH32" i="10" s="1"/>
  <c r="AL20" i="17"/>
  <c r="AQ20" i="17" s="1"/>
  <c r="AE20" i="17"/>
  <c r="N46" i="21"/>
  <c r="T46" i="21" s="1"/>
  <c r="T45" i="21"/>
  <c r="U45" i="21" s="1"/>
  <c r="T71" i="22"/>
  <c r="V71" i="22"/>
  <c r="Q71" i="22"/>
  <c r="O71" i="22"/>
  <c r="U71" i="22" s="1"/>
  <c r="AC48" i="25"/>
  <c r="J36" i="24"/>
  <c r="AG36" i="24"/>
  <c r="AI36" i="24"/>
  <c r="I33" i="24"/>
  <c r="S79" i="22"/>
  <c r="N79" i="22"/>
  <c r="K57" i="27"/>
  <c r="K60" i="27"/>
  <c r="AB24" i="27"/>
  <c r="AA23" i="27"/>
  <c r="U42" i="31"/>
  <c r="T41" i="31"/>
  <c r="T52" i="31" s="1"/>
  <c r="J35" i="35"/>
  <c r="AH35" i="35" s="1"/>
  <c r="AG35" i="35"/>
  <c r="AC24" i="37"/>
  <c r="AC23" i="37" s="1"/>
  <c r="AB23" i="37"/>
  <c r="I48" i="35"/>
  <c r="H47" i="35"/>
  <c r="AF48" i="35"/>
  <c r="AG14" i="37"/>
  <c r="J14" i="37"/>
  <c r="AH14" i="37" s="1"/>
  <c r="S13" i="40"/>
  <c r="M43" i="40"/>
  <c r="X114" i="42"/>
  <c r="O114" i="42"/>
  <c r="Q114" i="42"/>
  <c r="T114" i="42"/>
  <c r="N66" i="41"/>
  <c r="X53" i="42"/>
  <c r="T53" i="42"/>
  <c r="O53" i="42"/>
  <c r="U53" i="42" s="1"/>
  <c r="T138" i="46"/>
  <c r="O138" i="46"/>
  <c r="P138" i="46" s="1"/>
  <c r="AA138" i="46" s="1"/>
  <c r="X94" i="42"/>
  <c r="Q94" i="42"/>
  <c r="O94" i="42"/>
  <c r="U94" i="42" s="1"/>
  <c r="T94" i="42"/>
  <c r="X91" i="42"/>
  <c r="O91" i="42"/>
  <c r="U91" i="42" s="1"/>
  <c r="Q91" i="42"/>
  <c r="T91" i="42"/>
  <c r="V9" i="41"/>
  <c r="T9" i="41"/>
  <c r="O38" i="47"/>
  <c r="T38" i="47"/>
  <c r="O85" i="55"/>
  <c r="Q85" i="55" s="1"/>
  <c r="E39" i="56"/>
  <c r="E49" i="8"/>
  <c r="P152" i="7"/>
  <c r="E21" i="10"/>
  <c r="AI21" i="10" s="1"/>
  <c r="F20" i="7"/>
  <c r="L20" i="7" s="1"/>
  <c r="J21" i="12"/>
  <c r="J27" i="10"/>
  <c r="AB26" i="12"/>
  <c r="AB21" i="12" s="1"/>
  <c r="Y7" i="19"/>
  <c r="O7" i="19"/>
  <c r="I14" i="18"/>
  <c r="T7" i="19"/>
  <c r="U34" i="14"/>
  <c r="R16" i="14"/>
  <c r="L45" i="14"/>
  <c r="E64" i="12"/>
  <c r="Y25" i="18"/>
  <c r="X25" i="17"/>
  <c r="X23" i="18"/>
  <c r="AG14" i="13"/>
  <c r="O14" i="13"/>
  <c r="U14" i="13" s="1"/>
  <c r="T14" i="13"/>
  <c r="Q25" i="18"/>
  <c r="Q25" i="17" s="1"/>
  <c r="P25" i="17"/>
  <c r="Q105" i="10"/>
  <c r="Q98" i="10"/>
  <c r="U35" i="22"/>
  <c r="O30" i="21"/>
  <c r="U30" i="21" s="1"/>
  <c r="U51" i="21"/>
  <c r="U70" i="22"/>
  <c r="AH30" i="23"/>
  <c r="AG9" i="23"/>
  <c r="AI9" i="23"/>
  <c r="I8" i="23"/>
  <c r="J9" i="23"/>
  <c r="I9" i="17"/>
  <c r="G37" i="24"/>
  <c r="AE32" i="24"/>
  <c r="O44" i="55"/>
  <c r="C57" i="55"/>
  <c r="D57" i="55" s="1"/>
  <c r="E57" i="55" s="1"/>
  <c r="F57" i="55" s="1"/>
  <c r="G57" i="55" s="1"/>
  <c r="H57" i="55" s="1"/>
  <c r="I57" i="55" s="1"/>
  <c r="J57" i="55" s="1"/>
  <c r="K57" i="55" s="1"/>
  <c r="L57" i="55" s="1"/>
  <c r="M57" i="55" s="1"/>
  <c r="N57" i="55" s="1"/>
  <c r="N60" i="25"/>
  <c r="G60" i="32"/>
  <c r="G61" i="32"/>
  <c r="G57" i="32"/>
  <c r="AE37" i="32"/>
  <c r="J22" i="32"/>
  <c r="AG22" i="32"/>
  <c r="I20" i="32"/>
  <c r="AG20" i="32" s="1"/>
  <c r="AG33" i="32"/>
  <c r="AI33" i="32"/>
  <c r="AC9" i="30"/>
  <c r="AC8" i="30" s="1"/>
  <c r="AC32" i="30" s="1"/>
  <c r="AB8" i="30"/>
  <c r="AB32" i="30" s="1"/>
  <c r="AB37" i="30" s="1"/>
  <c r="P21" i="34"/>
  <c r="P20" i="34" s="1"/>
  <c r="O20" i="34"/>
  <c r="AI23" i="36"/>
  <c r="U32" i="36"/>
  <c r="P468" i="55"/>
  <c r="F57" i="38"/>
  <c r="F60" i="38"/>
  <c r="AJ37" i="38"/>
  <c r="F61" i="38"/>
  <c r="AH93" i="12"/>
  <c r="R27" i="44"/>
  <c r="K29" i="44"/>
  <c r="R29" i="44" s="1"/>
  <c r="M97" i="46"/>
  <c r="N71" i="46"/>
  <c r="S71" i="46"/>
  <c r="E43" i="7"/>
  <c r="D44" i="10"/>
  <c r="Q43" i="11"/>
  <c r="N119" i="11"/>
  <c r="G119" i="10"/>
  <c r="AK119" i="10" s="1"/>
  <c r="H121" i="7"/>
  <c r="N121" i="7" s="1"/>
  <c r="N33" i="17"/>
  <c r="S37" i="14"/>
  <c r="G74" i="11"/>
  <c r="F74" i="12"/>
  <c r="M323" i="13"/>
  <c r="S323" i="13" s="1"/>
  <c r="AB30" i="18"/>
  <c r="AA30" i="17"/>
  <c r="T26" i="14"/>
  <c r="M70" i="12" s="1"/>
  <c r="H70" i="11"/>
  <c r="G70" i="12"/>
  <c r="AB26" i="14"/>
  <c r="W70" i="12" s="1"/>
  <c r="P47" i="24"/>
  <c r="U98" i="22"/>
  <c r="O67" i="21"/>
  <c r="U67" i="21" s="1"/>
  <c r="H32" i="24"/>
  <c r="AF8" i="24"/>
  <c r="K13" i="39"/>
  <c r="K12" i="39" s="1"/>
  <c r="AF47" i="27"/>
  <c r="O404" i="55"/>
  <c r="Q404" i="55" s="1"/>
  <c r="C412" i="55"/>
  <c r="V24" i="35"/>
  <c r="V23" i="35" s="1"/>
  <c r="V32" i="35" s="1"/>
  <c r="V37" i="35" s="1"/>
  <c r="U23" i="35"/>
  <c r="F125" i="12"/>
  <c r="V23" i="40"/>
  <c r="Q23" i="40"/>
  <c r="N27" i="40"/>
  <c r="T23" i="40"/>
  <c r="O23" i="40"/>
  <c r="U31" i="42"/>
  <c r="O29" i="41"/>
  <c r="U29" i="41" s="1"/>
  <c r="X22" i="42"/>
  <c r="N22" i="41"/>
  <c r="O22" i="42"/>
  <c r="T22" i="42"/>
  <c r="AA155" i="46"/>
  <c r="O155" i="46"/>
  <c r="U155" i="46" s="1"/>
  <c r="Q155" i="46"/>
  <c r="T155" i="46"/>
  <c r="AA42" i="46"/>
  <c r="O42" i="46"/>
  <c r="U42" i="46" s="1"/>
  <c r="Q42" i="46"/>
  <c r="T42" i="46"/>
  <c r="N20" i="46"/>
  <c r="S20" i="46"/>
  <c r="N54" i="11"/>
  <c r="H54" i="7"/>
  <c r="G55" i="10"/>
  <c r="H25" i="7"/>
  <c r="N25" i="7" s="1"/>
  <c r="G26" i="10"/>
  <c r="AK26" i="10" s="1"/>
  <c r="N25" i="11"/>
  <c r="P50" i="7"/>
  <c r="C47" i="7"/>
  <c r="C21" i="56" s="1"/>
  <c r="T143" i="13"/>
  <c r="O143" i="13"/>
  <c r="U143" i="13" s="1"/>
  <c r="Q143" i="13"/>
  <c r="AG143" i="13"/>
  <c r="AK108" i="12"/>
  <c r="H108" i="12"/>
  <c r="H108" i="11"/>
  <c r="X41" i="17"/>
  <c r="X52" i="18"/>
  <c r="X52" i="17" s="1"/>
  <c r="S18" i="13"/>
  <c r="K125" i="22"/>
  <c r="K127" i="22" s="1"/>
  <c r="D54" i="10"/>
  <c r="V50" i="24"/>
  <c r="U50" i="17"/>
  <c r="U17" i="17"/>
  <c r="M45" i="10" s="1"/>
  <c r="AE45" i="10" s="1"/>
  <c r="V17" i="18"/>
  <c r="M13" i="22"/>
  <c r="O47" i="23"/>
  <c r="P48" i="23"/>
  <c r="V37" i="28"/>
  <c r="J25" i="28"/>
  <c r="AH25" i="28" s="1"/>
  <c r="AG25" i="28"/>
  <c r="AH9" i="31"/>
  <c r="O101" i="55"/>
  <c r="C114" i="55"/>
  <c r="D114" i="55" s="1"/>
  <c r="E114" i="55" s="1"/>
  <c r="F114" i="55" s="1"/>
  <c r="G114" i="55" s="1"/>
  <c r="H114" i="55" s="1"/>
  <c r="I114" i="55" s="1"/>
  <c r="J114" i="55" s="1"/>
  <c r="K114" i="55" s="1"/>
  <c r="L114" i="55" s="1"/>
  <c r="M114" i="55" s="1"/>
  <c r="N114" i="55" s="1"/>
  <c r="H8" i="29"/>
  <c r="AB23" i="25"/>
  <c r="AC24" i="25"/>
  <c r="AC23" i="25" s="1"/>
  <c r="O47" i="30"/>
  <c r="P48" i="30"/>
  <c r="P47" i="30" s="1"/>
  <c r="J16" i="38"/>
  <c r="AH16" i="38" s="1"/>
  <c r="AG16" i="38"/>
  <c r="AI16" i="38"/>
  <c r="J25" i="37"/>
  <c r="AH25" i="37" s="1"/>
  <c r="AG25" i="37"/>
  <c r="AI25" i="37"/>
  <c r="K134" i="42"/>
  <c r="S25" i="41"/>
  <c r="U18" i="47"/>
  <c r="AH97" i="12"/>
  <c r="T201" i="13"/>
  <c r="O201" i="13"/>
  <c r="H45" i="11"/>
  <c r="G45" i="12"/>
  <c r="Q201" i="13"/>
  <c r="M45" i="12"/>
  <c r="AG201" i="13"/>
  <c r="I319" i="13"/>
  <c r="I324" i="13"/>
  <c r="N149" i="13"/>
  <c r="S149" i="13"/>
  <c r="N20" i="17"/>
  <c r="D41" i="17"/>
  <c r="D52" i="18"/>
  <c r="D52" i="17" s="1"/>
  <c r="AQ15" i="17"/>
  <c r="T19" i="17"/>
  <c r="U19" i="18"/>
  <c r="O113" i="22"/>
  <c r="T113" i="22"/>
  <c r="V113" i="22"/>
  <c r="N79" i="21"/>
  <c r="T79" i="21" s="1"/>
  <c r="U53" i="22"/>
  <c r="O40" i="21"/>
  <c r="U40" i="21" s="1"/>
  <c r="I41" i="26"/>
  <c r="J42" i="26"/>
  <c r="AG42" i="26"/>
  <c r="AI42" i="26"/>
  <c r="Z32" i="27"/>
  <c r="Z37" i="27" s="1"/>
  <c r="Z60" i="27" s="1"/>
  <c r="AA23" i="29"/>
  <c r="AB24" i="29"/>
  <c r="J33" i="31"/>
  <c r="AH33" i="31" s="1"/>
  <c r="AF41" i="30"/>
  <c r="H52" i="30"/>
  <c r="C312" i="55"/>
  <c r="O312" i="55" s="1"/>
  <c r="O303" i="55"/>
  <c r="Q303" i="55" s="1"/>
  <c r="AB41" i="37"/>
  <c r="AB52" i="37" s="1"/>
  <c r="AC42" i="37"/>
  <c r="AC41" i="37" s="1"/>
  <c r="AC52" i="37" s="1"/>
  <c r="AF41" i="38"/>
  <c r="P63" i="40"/>
  <c r="E120" i="11"/>
  <c r="K57" i="31"/>
  <c r="K60" i="31"/>
  <c r="P19" i="55"/>
  <c r="Q19" i="55" s="1"/>
  <c r="AI44" i="18"/>
  <c r="F44" i="17"/>
  <c r="R44" i="18"/>
  <c r="H43" i="18"/>
  <c r="S113" i="20"/>
  <c r="F42" i="69"/>
  <c r="F44" i="69" s="1"/>
  <c r="V134" i="20"/>
  <c r="N155" i="20"/>
  <c r="AA42" i="18"/>
  <c r="T134" i="20"/>
  <c r="AA20" i="17"/>
  <c r="O70" i="21"/>
  <c r="U70" i="21" s="1"/>
  <c r="U101" i="22"/>
  <c r="P19" i="19"/>
  <c r="U19" i="19"/>
  <c r="AM28" i="17"/>
  <c r="AR28" i="17" s="1"/>
  <c r="AF28" i="17"/>
  <c r="M25" i="19"/>
  <c r="S155" i="20"/>
  <c r="AC9" i="23"/>
  <c r="AB8" i="23"/>
  <c r="Z43" i="18"/>
  <c r="Z41" i="18" s="1"/>
  <c r="S144" i="20"/>
  <c r="U109" i="22"/>
  <c r="O75" i="21"/>
  <c r="U75" i="21" s="1"/>
  <c r="P22" i="28"/>
  <c r="P20" i="28" s="1"/>
  <c r="O20" i="28"/>
  <c r="AE8" i="29"/>
  <c r="G32" i="29"/>
  <c r="AB10" i="34"/>
  <c r="AA8" i="34"/>
  <c r="K57" i="35"/>
  <c r="K60" i="35"/>
  <c r="V42" i="37"/>
  <c r="V41" i="37" s="1"/>
  <c r="U41" i="37"/>
  <c r="I20" i="38"/>
  <c r="AG20" i="38" s="1"/>
  <c r="AG21" i="38"/>
  <c r="J21" i="38"/>
  <c r="P34" i="37"/>
  <c r="P33" i="37" s="1"/>
  <c r="O33" i="37"/>
  <c r="R60" i="41"/>
  <c r="L61" i="41"/>
  <c r="R61" i="41" s="1"/>
  <c r="V17" i="41"/>
  <c r="T17" i="41"/>
  <c r="T99" i="45"/>
  <c r="V99" i="45"/>
  <c r="N101" i="45"/>
  <c r="Q99" i="45"/>
  <c r="AA47" i="46"/>
  <c r="O47" i="46"/>
  <c r="U47" i="46" s="1"/>
  <c r="Q47" i="46"/>
  <c r="T47" i="46"/>
  <c r="O253" i="13"/>
  <c r="U253" i="13" s="1"/>
  <c r="U250" i="13"/>
  <c r="Q66" i="13"/>
  <c r="AG66" i="13"/>
  <c r="O66" i="13"/>
  <c r="U66" i="13" s="1"/>
  <c r="T66" i="13"/>
  <c r="O170" i="13"/>
  <c r="N173" i="13"/>
  <c r="Q170" i="13"/>
  <c r="T170" i="13"/>
  <c r="AG170" i="13"/>
  <c r="AC31" i="7"/>
  <c r="D16" i="56"/>
  <c r="N192" i="20"/>
  <c r="T171" i="20"/>
  <c r="V34" i="18"/>
  <c r="V34" i="20"/>
  <c r="O34" i="20"/>
  <c r="U34" i="20" s="1"/>
  <c r="Q34" i="20"/>
  <c r="T34" i="20"/>
  <c r="L86" i="21"/>
  <c r="R86" i="21" s="1"/>
  <c r="R122" i="22"/>
  <c r="F76" i="12"/>
  <c r="L77" i="12"/>
  <c r="O84" i="20"/>
  <c r="U84" i="20" s="1"/>
  <c r="Q84" i="20"/>
  <c r="T84" i="20"/>
  <c r="V84" i="20"/>
  <c r="AP10" i="17"/>
  <c r="J37" i="7"/>
  <c r="I38" i="10"/>
  <c r="V47" i="24"/>
  <c r="AE8" i="12"/>
  <c r="M9" i="10"/>
  <c r="T62" i="21"/>
  <c r="N64" i="21"/>
  <c r="P43" i="28"/>
  <c r="P41" i="28" s="1"/>
  <c r="O41" i="28"/>
  <c r="J44" i="31"/>
  <c r="AH44" i="31" s="1"/>
  <c r="AG44" i="31"/>
  <c r="AI44" i="31"/>
  <c r="J15" i="30"/>
  <c r="AH15" i="30" s="1"/>
  <c r="AG15" i="30"/>
  <c r="AI15" i="30"/>
  <c r="AG26" i="37"/>
  <c r="J26" i="37"/>
  <c r="AH26" i="37" s="1"/>
  <c r="C93" i="12"/>
  <c r="C93" i="11"/>
  <c r="I78" i="40"/>
  <c r="AF8" i="38"/>
  <c r="H32" i="38"/>
  <c r="N76" i="43"/>
  <c r="S76" i="43"/>
  <c r="V8" i="41"/>
  <c r="T8" i="41"/>
  <c r="X28" i="42"/>
  <c r="T28" i="42"/>
  <c r="Q28" i="42"/>
  <c r="N30" i="42"/>
  <c r="O28" i="42"/>
  <c r="Z33" i="43"/>
  <c r="T33" i="43"/>
  <c r="O33" i="43"/>
  <c r="U33" i="43" s="1"/>
  <c r="Q33" i="43"/>
  <c r="H113" i="11"/>
  <c r="W24" i="47"/>
  <c r="O24" i="47"/>
  <c r="U24" i="47" s="1"/>
  <c r="T24" i="47"/>
  <c r="AL141" i="10"/>
  <c r="AF138" i="10"/>
  <c r="AL138" i="10" s="1"/>
  <c r="S68" i="12"/>
  <c r="S87" i="12" s="1"/>
  <c r="T69" i="12"/>
  <c r="S70" i="10"/>
  <c r="S69" i="10" s="1"/>
  <c r="U221" i="13"/>
  <c r="T278" i="13"/>
  <c r="N279" i="13"/>
  <c r="O278" i="13"/>
  <c r="AG278" i="13"/>
  <c r="AM21" i="17"/>
  <c r="AR21" i="17" s="1"/>
  <c r="AF21" i="17"/>
  <c r="F49" i="10"/>
  <c r="G48" i="7"/>
  <c r="L49" i="10"/>
  <c r="V25" i="17"/>
  <c r="W25" i="18"/>
  <c r="W25" i="17" s="1"/>
  <c r="V9" i="18"/>
  <c r="U9" i="17"/>
  <c r="M37" i="10" s="1"/>
  <c r="O89" i="20"/>
  <c r="U89" i="20" s="1"/>
  <c r="T89" i="20"/>
  <c r="V89" i="20"/>
  <c r="N52" i="23"/>
  <c r="N60" i="23" s="1"/>
  <c r="N41" i="17"/>
  <c r="AF31" i="17"/>
  <c r="AM31" i="17"/>
  <c r="AR31" i="17" s="1"/>
  <c r="AF24" i="17"/>
  <c r="AM24" i="17"/>
  <c r="AR24" i="17" s="1"/>
  <c r="P32" i="31"/>
  <c r="P37" i="31" s="1"/>
  <c r="P60" i="31" s="1"/>
  <c r="AM51" i="17"/>
  <c r="AR51" i="17" s="1"/>
  <c r="AF51" i="17"/>
  <c r="R7" i="9"/>
  <c r="N37" i="38"/>
  <c r="U117" i="42"/>
  <c r="O69" i="41"/>
  <c r="P79" i="41"/>
  <c r="V21" i="44"/>
  <c r="Q21" i="44"/>
  <c r="T21" i="44"/>
  <c r="O21" i="44"/>
  <c r="U21" i="44" s="1"/>
  <c r="V33" i="45"/>
  <c r="O33" i="45"/>
  <c r="T33" i="45"/>
  <c r="Q33" i="45"/>
  <c r="O45" i="42"/>
  <c r="U45" i="42" s="1"/>
  <c r="U44" i="42"/>
  <c r="O41" i="41"/>
  <c r="R37" i="43"/>
  <c r="J59" i="47"/>
  <c r="D116" i="11"/>
  <c r="J60" i="47"/>
  <c r="Z112" i="11"/>
  <c r="O6" i="9"/>
  <c r="D111" i="11"/>
  <c r="Z111" i="11" s="1"/>
  <c r="P98" i="10"/>
  <c r="AB97" i="12"/>
  <c r="O40" i="13"/>
  <c r="N42" i="13"/>
  <c r="S19" i="12" s="1"/>
  <c r="AG40" i="13"/>
  <c r="T40" i="13"/>
  <c r="G20" i="12"/>
  <c r="AK20" i="12" s="1"/>
  <c r="H20" i="11"/>
  <c r="AC50" i="12"/>
  <c r="AI50" i="12" s="1"/>
  <c r="K51" i="10"/>
  <c r="AC51" i="10" s="1"/>
  <c r="H10" i="17"/>
  <c r="AF10" i="18"/>
  <c r="H8" i="18"/>
  <c r="Q42" i="17"/>
  <c r="U94" i="10" s="1"/>
  <c r="Q41" i="18"/>
  <c r="U58" i="22"/>
  <c r="O45" i="21"/>
  <c r="O46" i="21" s="1"/>
  <c r="O18" i="55"/>
  <c r="Q18" i="55" s="1"/>
  <c r="AH34" i="23"/>
  <c r="J33" i="23"/>
  <c r="AH33" i="23" s="1"/>
  <c r="AA41" i="24"/>
  <c r="AA52" i="24" s="1"/>
  <c r="AB42" i="24"/>
  <c r="AH48" i="27"/>
  <c r="N60" i="27"/>
  <c r="S60" i="33"/>
  <c r="P312" i="55"/>
  <c r="F62" i="32"/>
  <c r="AJ52" i="32"/>
  <c r="AB33" i="38"/>
  <c r="AC34" i="38"/>
  <c r="AC33" i="38" s="1"/>
  <c r="J29" i="39"/>
  <c r="AE47" i="35"/>
  <c r="G52" i="35"/>
  <c r="N29" i="66"/>
  <c r="M29" i="17"/>
  <c r="Q57" i="10" s="1"/>
  <c r="Q54" i="10" s="1"/>
  <c r="N15" i="40"/>
  <c r="S15" i="40"/>
  <c r="S81" i="42"/>
  <c r="M51" i="41"/>
  <c r="L124" i="10"/>
  <c r="U7" i="47"/>
  <c r="H117" i="12"/>
  <c r="AL117" i="12" s="1"/>
  <c r="I117" i="11"/>
  <c r="O368" i="55"/>
  <c r="Q368" i="55" s="1"/>
  <c r="E26" i="11"/>
  <c r="D26" i="12"/>
  <c r="K272" i="13"/>
  <c r="K319" i="13" s="1"/>
  <c r="AL118" i="12"/>
  <c r="I118" i="11"/>
  <c r="I118" i="12"/>
  <c r="D47" i="12"/>
  <c r="O49" i="12"/>
  <c r="J49" i="7"/>
  <c r="I50" i="10"/>
  <c r="O87" i="22"/>
  <c r="U87" i="22" s="1"/>
  <c r="Q87" i="22"/>
  <c r="T87" i="22"/>
  <c r="V87" i="22"/>
  <c r="Q12" i="18"/>
  <c r="Q12" i="17" s="1"/>
  <c r="P12" i="17"/>
  <c r="U8" i="13"/>
  <c r="I9" i="11"/>
  <c r="N9" i="12"/>
  <c r="H9" i="12"/>
  <c r="M37" i="18"/>
  <c r="M32" i="17"/>
  <c r="V56" i="20"/>
  <c r="Q56" i="20"/>
  <c r="P58" i="20"/>
  <c r="N63" i="22"/>
  <c r="S63" i="22"/>
  <c r="M65" i="22"/>
  <c r="M66" i="22"/>
  <c r="S66" i="22" s="1"/>
  <c r="O69" i="10"/>
  <c r="AG70" i="10"/>
  <c r="R29" i="21"/>
  <c r="L31" i="21"/>
  <c r="AH18" i="17"/>
  <c r="AO18" i="17"/>
  <c r="AC34" i="30"/>
  <c r="AC33" i="30" s="1"/>
  <c r="AB33" i="30"/>
  <c r="AH21" i="34"/>
  <c r="J20" i="34"/>
  <c r="AH20" i="34" s="1"/>
  <c r="J22" i="37"/>
  <c r="AH22" i="37" s="1"/>
  <c r="AG22" i="37"/>
  <c r="J43" i="36"/>
  <c r="AH43" i="36" s="1"/>
  <c r="AG43" i="36"/>
  <c r="AI43" i="36"/>
  <c r="C481" i="55"/>
  <c r="D481" i="55" s="1"/>
  <c r="E481" i="55" s="1"/>
  <c r="F481" i="55" s="1"/>
  <c r="G481" i="55" s="1"/>
  <c r="H481" i="55" s="1"/>
  <c r="I481" i="55" s="1"/>
  <c r="J481" i="55" s="1"/>
  <c r="K481" i="55" s="1"/>
  <c r="L481" i="55" s="1"/>
  <c r="M481" i="55" s="1"/>
  <c r="N481" i="55" s="1"/>
  <c r="O468" i="55"/>
  <c r="S63" i="41"/>
  <c r="M64" i="41"/>
  <c r="Z26" i="43"/>
  <c r="O26" i="43"/>
  <c r="U26" i="43" s="1"/>
  <c r="Q26" i="43"/>
  <c r="T26" i="43"/>
  <c r="AA95" i="46"/>
  <c r="T95" i="46"/>
  <c r="O95" i="46"/>
  <c r="Q95" i="46"/>
  <c r="U114" i="46"/>
  <c r="P114" i="46"/>
  <c r="AA114" i="46" s="1"/>
  <c r="AH107" i="10"/>
  <c r="N135" i="51"/>
  <c r="E152" i="51"/>
  <c r="U95" i="10"/>
  <c r="AI46" i="10"/>
  <c r="AD27" i="12"/>
  <c r="AJ27" i="12" s="1"/>
  <c r="R28" i="10"/>
  <c r="AD28" i="10" s="1"/>
  <c r="P34" i="18"/>
  <c r="O33" i="18"/>
  <c r="O34" i="17"/>
  <c r="S75" i="10" s="1"/>
  <c r="S74" i="10" s="1"/>
  <c r="T47" i="13"/>
  <c r="AG47" i="13"/>
  <c r="O47" i="13"/>
  <c r="Q47" i="13"/>
  <c r="AC13" i="18"/>
  <c r="AC13" i="17" s="1"/>
  <c r="AB13" i="17"/>
  <c r="T14" i="21"/>
  <c r="V77" i="20"/>
  <c r="O77" i="20"/>
  <c r="U77" i="20" s="1"/>
  <c r="Q77" i="20"/>
  <c r="T77" i="20"/>
  <c r="G10" i="55"/>
  <c r="H10" i="55"/>
  <c r="I10" i="55"/>
  <c r="J10" i="55"/>
  <c r="C10" i="55"/>
  <c r="K10" i="55"/>
  <c r="E10" i="55"/>
  <c r="M10" i="55"/>
  <c r="F10" i="55"/>
  <c r="N10" i="55"/>
  <c r="L10" i="55"/>
  <c r="D10" i="55"/>
  <c r="V101" i="20"/>
  <c r="P113" i="20"/>
  <c r="Q101" i="20"/>
  <c r="T11" i="21"/>
  <c r="Q11" i="21"/>
  <c r="J9" i="24"/>
  <c r="AG9" i="24"/>
  <c r="I8" i="24"/>
  <c r="AH48" i="28"/>
  <c r="J47" i="28"/>
  <c r="AH47" i="28" s="1"/>
  <c r="P130" i="55"/>
  <c r="R143" i="55" s="1"/>
  <c r="AJ37" i="26"/>
  <c r="F57" i="26"/>
  <c r="F60" i="26"/>
  <c r="F61" i="26"/>
  <c r="L21" i="39"/>
  <c r="L20" i="39" s="1"/>
  <c r="O20" i="39" s="1"/>
  <c r="AG47" i="31"/>
  <c r="AI47" i="31"/>
  <c r="AH21" i="36"/>
  <c r="D60" i="35"/>
  <c r="D57" i="35"/>
  <c r="Q44" i="40"/>
  <c r="T44" i="40"/>
  <c r="N46" i="40"/>
  <c r="O44" i="40"/>
  <c r="V44" i="40"/>
  <c r="I44" i="37"/>
  <c r="I41" i="37" s="1"/>
  <c r="AF44" i="37"/>
  <c r="R43" i="40"/>
  <c r="P480" i="55"/>
  <c r="Q480" i="55" s="1"/>
  <c r="F62" i="38"/>
  <c r="AJ52" i="38"/>
  <c r="S99" i="45"/>
  <c r="M101" i="45"/>
  <c r="S101" i="45" s="1"/>
  <c r="S65" i="41"/>
  <c r="M68" i="41"/>
  <c r="S68" i="41" s="1"/>
  <c r="Z56" i="43"/>
  <c r="Q56" i="43"/>
  <c r="O56" i="43"/>
  <c r="K114" i="10"/>
  <c r="W47" i="47"/>
  <c r="O47" i="47"/>
  <c r="Q47" i="47"/>
  <c r="N51" i="47"/>
  <c r="T47" i="47"/>
  <c r="AB74" i="10"/>
  <c r="AH74" i="10" s="1"/>
  <c r="AH75" i="10"/>
  <c r="D38" i="10"/>
  <c r="Q37" i="11"/>
  <c r="E37" i="7"/>
  <c r="E35" i="11"/>
  <c r="T235" i="13"/>
  <c r="AG235" i="13"/>
  <c r="O235" i="13"/>
  <c r="U235" i="13" s="1"/>
  <c r="M108" i="11"/>
  <c r="F108" i="10"/>
  <c r="AJ108" i="10" s="1"/>
  <c r="G110" i="7"/>
  <c r="M110" i="7" s="1"/>
  <c r="T51" i="13"/>
  <c r="O51" i="13"/>
  <c r="AG51" i="13"/>
  <c r="AD12" i="12"/>
  <c r="AD7" i="12" s="1"/>
  <c r="L13" i="10"/>
  <c r="L7" i="12"/>
  <c r="T12" i="14"/>
  <c r="G66" i="12"/>
  <c r="AK66" i="12" s="1"/>
  <c r="H66" i="11"/>
  <c r="O131" i="20"/>
  <c r="T131" i="20"/>
  <c r="N152" i="20"/>
  <c r="V131" i="20"/>
  <c r="U134" i="22"/>
  <c r="O136" i="22"/>
  <c r="AM16" i="17"/>
  <c r="AR16" i="17" s="1"/>
  <c r="AF16" i="17"/>
  <c r="T60" i="24"/>
  <c r="T32" i="27"/>
  <c r="T37" i="27" s="1"/>
  <c r="T60" i="27" s="1"/>
  <c r="J36" i="29"/>
  <c r="AH36" i="29" s="1"/>
  <c r="AG36" i="29"/>
  <c r="AI36" i="29"/>
  <c r="O295" i="55"/>
  <c r="Q295" i="55" s="1"/>
  <c r="C300" i="55"/>
  <c r="S60" i="32"/>
  <c r="J33" i="35"/>
  <c r="AH34" i="35"/>
  <c r="U20" i="36"/>
  <c r="V21" i="36"/>
  <c r="V20" i="36" s="1"/>
  <c r="J42" i="37"/>
  <c r="AG42" i="37"/>
  <c r="AI42" i="37"/>
  <c r="AG11" i="38"/>
  <c r="J11" i="38"/>
  <c r="AH11" i="38" s="1"/>
  <c r="AI11" i="38"/>
  <c r="AG48" i="66"/>
  <c r="J48" i="66"/>
  <c r="AI48" i="66"/>
  <c r="I47" i="66"/>
  <c r="O38" i="40"/>
  <c r="N42" i="40"/>
  <c r="V38" i="40"/>
  <c r="T38" i="40"/>
  <c r="Q38" i="40"/>
  <c r="V62" i="41"/>
  <c r="T62" i="41"/>
  <c r="Z43" i="43"/>
  <c r="O43" i="43"/>
  <c r="U43" i="43" s="1"/>
  <c r="T43" i="43"/>
  <c r="Q43" i="43"/>
  <c r="X38" i="42"/>
  <c r="N41" i="42"/>
  <c r="O38" i="42"/>
  <c r="T38" i="42"/>
  <c r="N36" i="41"/>
  <c r="AA121" i="46"/>
  <c r="O121" i="46"/>
  <c r="U121" i="46" s="1"/>
  <c r="T121" i="46"/>
  <c r="J19" i="56"/>
  <c r="G19" i="56"/>
  <c r="H140" i="51"/>
  <c r="N140" i="51"/>
  <c r="M211" i="13"/>
  <c r="U14" i="12"/>
  <c r="AG19" i="12"/>
  <c r="AG14" i="12" s="1"/>
  <c r="L71" i="11"/>
  <c r="F71" i="7"/>
  <c r="L71" i="7" s="1"/>
  <c r="E72" i="10"/>
  <c r="T19" i="14"/>
  <c r="O19" i="14"/>
  <c r="U19" i="14" s="1"/>
  <c r="AH34" i="18"/>
  <c r="U17" i="22"/>
  <c r="O17" i="21"/>
  <c r="U17" i="21" s="1"/>
  <c r="AE46" i="18"/>
  <c r="G46" i="17"/>
  <c r="J44" i="23"/>
  <c r="AH44" i="23" s="1"/>
  <c r="AG44" i="23"/>
  <c r="AI44" i="23"/>
  <c r="J3" i="39"/>
  <c r="G47" i="18"/>
  <c r="G48" i="17"/>
  <c r="AE48" i="18"/>
  <c r="M23" i="21"/>
  <c r="S23" i="21" s="1"/>
  <c r="S21" i="21"/>
  <c r="T48" i="21"/>
  <c r="U48" i="21" s="1"/>
  <c r="Q48" i="21"/>
  <c r="AB9" i="27"/>
  <c r="AA8" i="27"/>
  <c r="P48" i="28"/>
  <c r="P47" i="28" s="1"/>
  <c r="O47" i="28"/>
  <c r="AH36" i="26"/>
  <c r="J33" i="26"/>
  <c r="AH33" i="26" s="1"/>
  <c r="T32" i="31"/>
  <c r="T37" i="31" s="1"/>
  <c r="T60" i="31" s="1"/>
  <c r="U52" i="34"/>
  <c r="I41" i="30"/>
  <c r="AI42" i="30"/>
  <c r="J42" i="30"/>
  <c r="AG42" i="30"/>
  <c r="O20" i="31"/>
  <c r="P21" i="31"/>
  <c r="P20" i="31" s="1"/>
  <c r="O299" i="55"/>
  <c r="Q299" i="55" s="1"/>
  <c r="AE32" i="35"/>
  <c r="G37" i="35"/>
  <c r="Q94" i="11"/>
  <c r="L94" i="11"/>
  <c r="P7" i="8"/>
  <c r="Z55" i="43"/>
  <c r="O55" i="43"/>
  <c r="U55" i="43" s="1"/>
  <c r="Q55" i="43"/>
  <c r="T55" i="43"/>
  <c r="P86" i="43"/>
  <c r="S35" i="42"/>
  <c r="M33" i="41"/>
  <c r="S33" i="41" s="1"/>
  <c r="N35" i="42"/>
  <c r="X15" i="42"/>
  <c r="O15" i="42"/>
  <c r="T15" i="42"/>
  <c r="N15" i="41"/>
  <c r="AA69" i="46"/>
  <c r="O69" i="46"/>
  <c r="U69" i="46" s="1"/>
  <c r="T69" i="46"/>
  <c r="AG122" i="12"/>
  <c r="AM122" i="12" s="1"/>
  <c r="U122" i="10"/>
  <c r="AG122" i="10" s="1"/>
  <c r="M82" i="46"/>
  <c r="S82" i="46" s="1"/>
  <c r="S77" i="46"/>
  <c r="N77" i="46"/>
  <c r="AB120" i="12"/>
  <c r="AH120" i="12" s="1"/>
  <c r="P120" i="10"/>
  <c r="AB120" i="10" s="1"/>
  <c r="L50" i="21"/>
  <c r="R50" i="21" s="1"/>
  <c r="R49" i="21"/>
  <c r="L85" i="22"/>
  <c r="R85" i="22" s="1"/>
  <c r="Z47" i="17"/>
  <c r="F45" i="8"/>
  <c r="F19" i="8"/>
  <c r="F30" i="8" s="1"/>
  <c r="T30" i="20"/>
  <c r="V30" i="20"/>
  <c r="O30" i="20"/>
  <c r="U30" i="20" s="1"/>
  <c r="Q30" i="20"/>
  <c r="AG33" i="25"/>
  <c r="AI33" i="25"/>
  <c r="AF8" i="34"/>
  <c r="H32" i="34"/>
  <c r="AM10" i="10"/>
  <c r="AG8" i="10"/>
  <c r="G56" i="11"/>
  <c r="F56" i="12"/>
  <c r="S242" i="13"/>
  <c r="P186" i="13"/>
  <c r="N57" i="13"/>
  <c r="S57" i="13"/>
  <c r="T293" i="13"/>
  <c r="Q293" i="13"/>
  <c r="AG293" i="13"/>
  <c r="O293" i="13"/>
  <c r="AM37" i="12"/>
  <c r="I19" i="18"/>
  <c r="Y10" i="19"/>
  <c r="O10" i="19"/>
  <c r="T10" i="19"/>
  <c r="AG31" i="17"/>
  <c r="AI31" i="17"/>
  <c r="AN31" i="17"/>
  <c r="D35" i="7"/>
  <c r="AC37" i="7"/>
  <c r="N13" i="20"/>
  <c r="T8" i="20"/>
  <c r="V8" i="20"/>
  <c r="Q8" i="20"/>
  <c r="O8" i="20"/>
  <c r="O100" i="22"/>
  <c r="N69" i="21"/>
  <c r="T100" i="22"/>
  <c r="V100" i="22"/>
  <c r="N102" i="22"/>
  <c r="P22" i="26"/>
  <c r="P20" i="26" s="1"/>
  <c r="P32" i="26" s="1"/>
  <c r="P37" i="26" s="1"/>
  <c r="O22" i="17"/>
  <c r="O20" i="26"/>
  <c r="AE32" i="37"/>
  <c r="G37" i="37"/>
  <c r="J22" i="31"/>
  <c r="AG22" i="31"/>
  <c r="I20" i="31"/>
  <c r="AG20" i="31" s="1"/>
  <c r="R25" i="39"/>
  <c r="J24" i="39"/>
  <c r="AM18" i="17"/>
  <c r="AR18" i="17" s="1"/>
  <c r="AF18" i="17"/>
  <c r="O33" i="36"/>
  <c r="P34" i="36"/>
  <c r="P33" i="36" s="1"/>
  <c r="R70" i="42"/>
  <c r="L78" i="42"/>
  <c r="L47" i="41"/>
  <c r="X86" i="42"/>
  <c r="O86" i="42"/>
  <c r="U86" i="42" s="1"/>
  <c r="Q86" i="42"/>
  <c r="T86" i="42"/>
  <c r="U17" i="42"/>
  <c r="O17" i="41"/>
  <c r="U17" i="41" s="1"/>
  <c r="N17" i="43"/>
  <c r="S17" i="43"/>
  <c r="M19" i="43"/>
  <c r="S19" i="43" s="1"/>
  <c r="V17" i="44"/>
  <c r="N19" i="44"/>
  <c r="O17" i="44"/>
  <c r="Q17" i="44"/>
  <c r="T17" i="44"/>
  <c r="N125" i="46"/>
  <c r="S125" i="46"/>
  <c r="M144" i="46"/>
  <c r="S144" i="46" s="1"/>
  <c r="T253" i="13"/>
  <c r="AG253" i="13"/>
  <c r="Q269" i="13"/>
  <c r="AG269" i="13"/>
  <c r="O269" i="13"/>
  <c r="U269" i="13" s="1"/>
  <c r="T269" i="13"/>
  <c r="H23" i="11"/>
  <c r="H23" i="12"/>
  <c r="AK23" i="12"/>
  <c r="U83" i="13"/>
  <c r="T93" i="13"/>
  <c r="O93" i="13"/>
  <c r="U93" i="13" s="1"/>
  <c r="AG93" i="13"/>
  <c r="M51" i="11"/>
  <c r="G51" i="7"/>
  <c r="M51" i="7" s="1"/>
  <c r="F52" i="10"/>
  <c r="P11" i="17"/>
  <c r="T39" i="10" s="1"/>
  <c r="Q11" i="18"/>
  <c r="Q11" i="17" s="1"/>
  <c r="U39" i="10" s="1"/>
  <c r="N13" i="19"/>
  <c r="T4" i="19"/>
  <c r="I10" i="18"/>
  <c r="Y4" i="19"/>
  <c r="K9" i="17"/>
  <c r="K8" i="18"/>
  <c r="U162" i="20"/>
  <c r="T37" i="22"/>
  <c r="N39" i="22"/>
  <c r="V37" i="22"/>
  <c r="Q37" i="22"/>
  <c r="O37" i="22"/>
  <c r="M77" i="11"/>
  <c r="G76" i="11"/>
  <c r="M76" i="11" s="1"/>
  <c r="F78" i="10"/>
  <c r="G77" i="7"/>
  <c r="J58" i="18"/>
  <c r="J58" i="17" s="1"/>
  <c r="I58" i="17"/>
  <c r="H20" i="8" s="1"/>
  <c r="AK8" i="12"/>
  <c r="AB18" i="17"/>
  <c r="AC18" i="18"/>
  <c r="AC18" i="17" s="1"/>
  <c r="O41" i="25"/>
  <c r="O52" i="25" s="1"/>
  <c r="P42" i="25"/>
  <c r="U20" i="30"/>
  <c r="U20" i="17" s="1"/>
  <c r="V21" i="30"/>
  <c r="V20" i="30" s="1"/>
  <c r="AA32" i="35"/>
  <c r="R21" i="39"/>
  <c r="Q22" i="39"/>
  <c r="J20" i="39"/>
  <c r="I13" i="31"/>
  <c r="AF13" i="31"/>
  <c r="H8" i="31"/>
  <c r="P22" i="33"/>
  <c r="P20" i="33" s="1"/>
  <c r="O20" i="33"/>
  <c r="T32" i="35"/>
  <c r="T37" i="35" s="1"/>
  <c r="T60" i="35" s="1"/>
  <c r="AB23" i="35"/>
  <c r="AC24" i="35"/>
  <c r="AC23" i="35" s="1"/>
  <c r="J24" i="38"/>
  <c r="AG24" i="38"/>
  <c r="I23" i="38"/>
  <c r="AG23" i="38" s="1"/>
  <c r="X127" i="42"/>
  <c r="O127" i="42"/>
  <c r="T127" i="42"/>
  <c r="N74" i="41"/>
  <c r="Q127" i="42"/>
  <c r="AA20" i="66"/>
  <c r="AB21" i="66"/>
  <c r="U8" i="42"/>
  <c r="O8" i="41"/>
  <c r="U8" i="41" s="1"/>
  <c r="AA122" i="46"/>
  <c r="T122" i="46"/>
  <c r="O122" i="46"/>
  <c r="U122" i="46" s="1"/>
  <c r="O75" i="45"/>
  <c r="U75" i="45" s="1"/>
  <c r="Q75" i="45"/>
  <c r="V75" i="45"/>
  <c r="T75" i="45"/>
  <c r="S113" i="12"/>
  <c r="W36" i="47"/>
  <c r="O36" i="47"/>
  <c r="N40" i="47"/>
  <c r="T36" i="47"/>
  <c r="S14" i="46"/>
  <c r="N14" i="46"/>
  <c r="M16" i="46"/>
  <c r="H33" i="11"/>
  <c r="G33" i="12"/>
  <c r="AK33" i="12" s="1"/>
  <c r="T78" i="13"/>
  <c r="Q78" i="13"/>
  <c r="AG78" i="13"/>
  <c r="S74" i="13"/>
  <c r="G31" i="11"/>
  <c r="F31" i="12"/>
  <c r="AB39" i="14"/>
  <c r="T39" i="14"/>
  <c r="O39" i="14"/>
  <c r="H78" i="11"/>
  <c r="G78" i="12"/>
  <c r="AK78" i="12" s="1"/>
  <c r="AL14" i="17"/>
  <c r="AQ14" i="17" s="1"/>
  <c r="AE14" i="17"/>
  <c r="E42" i="10"/>
  <c r="AI42" i="10" s="1"/>
  <c r="F41" i="7"/>
  <c r="L41" i="7" s="1"/>
  <c r="P10" i="18"/>
  <c r="O10" i="17"/>
  <c r="AB33" i="24"/>
  <c r="AC34" i="24"/>
  <c r="AC33" i="24" s="1"/>
  <c r="P26" i="18"/>
  <c r="O26" i="17"/>
  <c r="S21" i="10" s="1"/>
  <c r="AE21" i="10" s="1"/>
  <c r="U21" i="13"/>
  <c r="I16" i="11"/>
  <c r="H16" i="12"/>
  <c r="AL16" i="12" s="1"/>
  <c r="U91" i="22"/>
  <c r="O60" i="21"/>
  <c r="U60" i="21" s="1"/>
  <c r="H62" i="29"/>
  <c r="AF52" i="29"/>
  <c r="O32" i="26"/>
  <c r="O37" i="26" s="1"/>
  <c r="O20" i="30"/>
  <c r="P21" i="30"/>
  <c r="P20" i="30" s="1"/>
  <c r="AF41" i="33"/>
  <c r="H52" i="33"/>
  <c r="AC21" i="33"/>
  <c r="AC20" i="33" s="1"/>
  <c r="AB20" i="33"/>
  <c r="O32" i="31"/>
  <c r="O37" i="31" s="1"/>
  <c r="O60" i="31" s="1"/>
  <c r="K57" i="36"/>
  <c r="K60" i="36"/>
  <c r="U48" i="35"/>
  <c r="T47" i="35"/>
  <c r="T52" i="35" s="1"/>
  <c r="AI34" i="66"/>
  <c r="J34" i="66"/>
  <c r="I33" i="66"/>
  <c r="AG34" i="66"/>
  <c r="U131" i="42"/>
  <c r="O76" i="41"/>
  <c r="U76" i="41" s="1"/>
  <c r="S35" i="45"/>
  <c r="M38" i="45"/>
  <c r="N20" i="43"/>
  <c r="S20" i="43"/>
  <c r="M37" i="43"/>
  <c r="J174" i="46"/>
  <c r="J177" i="46" s="1"/>
  <c r="K133" i="11"/>
  <c r="N133" i="11"/>
  <c r="O133" i="11"/>
  <c r="S42" i="13"/>
  <c r="L23" i="7"/>
  <c r="J18" i="56"/>
  <c r="G18" i="56"/>
  <c r="T107" i="13"/>
  <c r="O107" i="13"/>
  <c r="AG107" i="13"/>
  <c r="M37" i="12"/>
  <c r="E61" i="12"/>
  <c r="F61" i="11"/>
  <c r="R317" i="13"/>
  <c r="Q28" i="12"/>
  <c r="Q30" i="10"/>
  <c r="Q29" i="10" s="1"/>
  <c r="AE15" i="12"/>
  <c r="M16" i="10"/>
  <c r="V28" i="12"/>
  <c r="V63" i="12" s="1"/>
  <c r="V88" i="12" s="1"/>
  <c r="V156" i="12" s="1"/>
  <c r="V30" i="10"/>
  <c r="V29" i="10" s="1"/>
  <c r="AC29" i="18"/>
  <c r="AC29" i="17" s="1"/>
  <c r="AB29" i="17"/>
  <c r="S27" i="17"/>
  <c r="T27" i="18"/>
  <c r="O80" i="20"/>
  <c r="U80" i="20" s="1"/>
  <c r="Q80" i="20"/>
  <c r="T80" i="20"/>
  <c r="V80" i="20"/>
  <c r="O73" i="22"/>
  <c r="U73" i="22" s="1"/>
  <c r="T73" i="22"/>
  <c r="V73" i="22"/>
  <c r="Q106" i="22"/>
  <c r="T106" i="22"/>
  <c r="V106" i="22"/>
  <c r="O106" i="22"/>
  <c r="U106" i="22" s="1"/>
  <c r="AG8" i="25"/>
  <c r="I32" i="25"/>
  <c r="AI8" i="25"/>
  <c r="AA23" i="24"/>
  <c r="AB24" i="24"/>
  <c r="AH24" i="25"/>
  <c r="J23" i="25"/>
  <c r="AH23" i="25" s="1"/>
  <c r="M60" i="66"/>
  <c r="T47" i="28"/>
  <c r="T52" i="28" s="1"/>
  <c r="H62" i="28" s="1"/>
  <c r="U48" i="28"/>
  <c r="J30" i="32"/>
  <c r="AH30" i="32" s="1"/>
  <c r="AG30" i="32"/>
  <c r="U10" i="33"/>
  <c r="T8" i="33"/>
  <c r="T32" i="33" s="1"/>
  <c r="T37" i="33" s="1"/>
  <c r="AG49" i="32"/>
  <c r="J49" i="32"/>
  <c r="AH49" i="32" s="1"/>
  <c r="O244" i="55"/>
  <c r="C257" i="55"/>
  <c r="D257" i="55" s="1"/>
  <c r="E257" i="55" s="1"/>
  <c r="F257" i="55" s="1"/>
  <c r="G257" i="55" s="1"/>
  <c r="H257" i="55" s="1"/>
  <c r="I257" i="55" s="1"/>
  <c r="J257" i="55" s="1"/>
  <c r="K257" i="55" s="1"/>
  <c r="L257" i="55" s="1"/>
  <c r="M257" i="55" s="1"/>
  <c r="N257" i="55" s="1"/>
  <c r="AM34" i="17"/>
  <c r="AR34" i="17" s="1"/>
  <c r="AF34" i="17"/>
  <c r="G20" i="8"/>
  <c r="P21" i="35"/>
  <c r="P20" i="35" s="1"/>
  <c r="O20" i="35"/>
  <c r="AC21" i="38"/>
  <c r="AC20" i="38" s="1"/>
  <c r="AB20" i="38"/>
  <c r="O444" i="55"/>
  <c r="Q444" i="55" s="1"/>
  <c r="AG46" i="66"/>
  <c r="J46" i="66"/>
  <c r="AH46" i="66" s="1"/>
  <c r="S93" i="12"/>
  <c r="O7" i="40"/>
  <c r="T7" i="40"/>
  <c r="N13" i="40"/>
  <c r="X19" i="42"/>
  <c r="Q19" i="42"/>
  <c r="T19" i="42"/>
  <c r="O19" i="42"/>
  <c r="N19" i="41"/>
  <c r="X79" i="42"/>
  <c r="T79" i="42"/>
  <c r="N81" i="42"/>
  <c r="O79" i="42"/>
  <c r="Q79" i="42"/>
  <c r="L116" i="10"/>
  <c r="E20" i="51"/>
  <c r="N20" i="51" s="1"/>
  <c r="P20" i="7"/>
  <c r="N118" i="11"/>
  <c r="G118" i="10"/>
  <c r="AK118" i="10" s="1"/>
  <c r="H120" i="7"/>
  <c r="N120" i="7" s="1"/>
  <c r="Q49" i="11"/>
  <c r="J49" i="12"/>
  <c r="D50" i="10"/>
  <c r="E49" i="7"/>
  <c r="E47" i="11"/>
  <c r="M27" i="11"/>
  <c r="F28" i="10"/>
  <c r="AJ28" i="10" s="1"/>
  <c r="G7" i="9"/>
  <c r="X7" i="9" s="1"/>
  <c r="G27" i="7"/>
  <c r="M27" i="7" s="1"/>
  <c r="AF287" i="13"/>
  <c r="P328" i="13"/>
  <c r="AL29" i="17"/>
  <c r="AQ29" i="17" s="1"/>
  <c r="AE29" i="17"/>
  <c r="F10" i="8"/>
  <c r="F56" i="7"/>
  <c r="E57" i="10"/>
  <c r="O168" i="20"/>
  <c r="U168" i="20" s="1"/>
  <c r="T168" i="20"/>
  <c r="M8" i="17"/>
  <c r="O52" i="24"/>
  <c r="AM69" i="12"/>
  <c r="AG68" i="12"/>
  <c r="AM68" i="12" s="1"/>
  <c r="N34" i="22"/>
  <c r="S34" i="22"/>
  <c r="M29" i="21"/>
  <c r="S29" i="21" s="1"/>
  <c r="K57" i="23"/>
  <c r="K60" i="23"/>
  <c r="AG46" i="25"/>
  <c r="AI46" i="25"/>
  <c r="J46" i="25"/>
  <c r="AH46" i="25" s="1"/>
  <c r="O21" i="17"/>
  <c r="J20" i="25"/>
  <c r="AH20" i="25" s="1"/>
  <c r="R171" i="55"/>
  <c r="AE13" i="17"/>
  <c r="AL13" i="17"/>
  <c r="AQ13" i="17" s="1"/>
  <c r="E41" i="10"/>
  <c r="F40" i="7"/>
  <c r="L40" i="7" s="1"/>
  <c r="AB8" i="29"/>
  <c r="AC9" i="29"/>
  <c r="AC8" i="29" s="1"/>
  <c r="J49" i="33"/>
  <c r="AH49" i="33" s="1"/>
  <c r="AG49" i="33"/>
  <c r="AI49" i="33"/>
  <c r="AH24" i="35"/>
  <c r="J23" i="35"/>
  <c r="AH23" i="35" s="1"/>
  <c r="K33" i="39"/>
  <c r="AF47" i="37"/>
  <c r="U9" i="46"/>
  <c r="Q67" i="45"/>
  <c r="V67" i="45"/>
  <c r="T67" i="45"/>
  <c r="O67" i="45"/>
  <c r="M110" i="12"/>
  <c r="I134" i="42"/>
  <c r="O120" i="46"/>
  <c r="T120" i="46"/>
  <c r="AA29" i="46"/>
  <c r="O29" i="46"/>
  <c r="U29" i="46" s="1"/>
  <c r="T29" i="46"/>
  <c r="D39" i="7"/>
  <c r="AC39" i="7" s="1"/>
  <c r="Z39" i="11"/>
  <c r="D35" i="11"/>
  <c r="P109" i="7"/>
  <c r="L109" i="7"/>
  <c r="E109" i="51"/>
  <c r="AJ55" i="10"/>
  <c r="T159" i="13"/>
  <c r="AG159" i="13"/>
  <c r="O159" i="13"/>
  <c r="U159" i="13" s="1"/>
  <c r="T113" i="13"/>
  <c r="AG113" i="13"/>
  <c r="O113" i="13"/>
  <c r="U113" i="13" s="1"/>
  <c r="AI28" i="10"/>
  <c r="AB51" i="17"/>
  <c r="AC51" i="18"/>
  <c r="AC51" i="17" s="1"/>
  <c r="U14" i="22"/>
  <c r="O14" i="21"/>
  <c r="O20" i="20"/>
  <c r="U20" i="20" s="1"/>
  <c r="Q20" i="20"/>
  <c r="T20" i="20"/>
  <c r="V20" i="20"/>
  <c r="S29" i="17"/>
  <c r="K57" i="10" s="1"/>
  <c r="T29" i="18"/>
  <c r="N10" i="11"/>
  <c r="G11" i="10"/>
  <c r="H10" i="7"/>
  <c r="K10" i="11"/>
  <c r="O26" i="14"/>
  <c r="U24" i="14"/>
  <c r="P24" i="29"/>
  <c r="P23" i="29" s="1"/>
  <c r="O23" i="29"/>
  <c r="AH48" i="26"/>
  <c r="O8" i="29"/>
  <c r="O32" i="29" s="1"/>
  <c r="O37" i="29" s="1"/>
  <c r="P9" i="29"/>
  <c r="P8" i="29" s="1"/>
  <c r="AB33" i="34"/>
  <c r="AC34" i="34"/>
  <c r="AC33" i="34" s="1"/>
  <c r="J19" i="34"/>
  <c r="AH19" i="34" s="1"/>
  <c r="AG19" i="34"/>
  <c r="AI19" i="34"/>
  <c r="AE32" i="34"/>
  <c r="G37" i="34"/>
  <c r="K37" i="34"/>
  <c r="AH42" i="36"/>
  <c r="O46" i="41"/>
  <c r="U46" i="41" s="1"/>
  <c r="U44" i="41"/>
  <c r="P496" i="55"/>
  <c r="AJ37" i="66"/>
  <c r="F60" i="66"/>
  <c r="F61" i="66"/>
  <c r="V97" i="45"/>
  <c r="T97" i="45"/>
  <c r="O97" i="45"/>
  <c r="U97" i="45" s="1"/>
  <c r="Q97" i="45"/>
  <c r="M23" i="41"/>
  <c r="S23" i="41" s="1"/>
  <c r="T11" i="42"/>
  <c r="N11" i="41"/>
  <c r="O11" i="42"/>
  <c r="O22" i="44"/>
  <c r="U22" i="44" s="1"/>
  <c r="Q22" i="44"/>
  <c r="T22" i="44"/>
  <c r="V22" i="44"/>
  <c r="O132" i="46"/>
  <c r="T132" i="46"/>
  <c r="N31" i="47"/>
  <c r="S31" i="47"/>
  <c r="M58" i="47"/>
  <c r="M32" i="47"/>
  <c r="D124" i="10"/>
  <c r="AH124" i="10" s="1"/>
  <c r="E126" i="7"/>
  <c r="Q124" i="11"/>
  <c r="S23" i="10"/>
  <c r="AE22" i="12"/>
  <c r="L57" i="11"/>
  <c r="E58" i="10"/>
  <c r="AI58" i="10" s="1"/>
  <c r="F11" i="8"/>
  <c r="F57" i="7"/>
  <c r="L57" i="7" s="1"/>
  <c r="O11" i="13"/>
  <c r="T11" i="13"/>
  <c r="AG11" i="13"/>
  <c r="M12" i="12"/>
  <c r="M7" i="12" s="1"/>
  <c r="G12" i="12"/>
  <c r="G7" i="12" s="1"/>
  <c r="H12" i="11"/>
  <c r="O12" i="14"/>
  <c r="U10" i="14"/>
  <c r="O54" i="22"/>
  <c r="N55" i="22"/>
  <c r="T54" i="22"/>
  <c r="V54" i="22"/>
  <c r="N41" i="21"/>
  <c r="AB15" i="18"/>
  <c r="AA15" i="17"/>
  <c r="AA8" i="18"/>
  <c r="T136" i="22"/>
  <c r="I48" i="18"/>
  <c r="F68" i="11"/>
  <c r="L68" i="11" s="1"/>
  <c r="L69" i="11"/>
  <c r="E70" i="10"/>
  <c r="F69" i="7"/>
  <c r="AF17" i="17"/>
  <c r="AM17" i="17"/>
  <c r="AR17" i="17" s="1"/>
  <c r="G44" i="7"/>
  <c r="M44" i="7" s="1"/>
  <c r="F45" i="10"/>
  <c r="AJ45" i="10" s="1"/>
  <c r="J29" i="25"/>
  <c r="AH29" i="25" s="1"/>
  <c r="AG29" i="25"/>
  <c r="V9" i="24"/>
  <c r="V8" i="24" s="1"/>
  <c r="V32" i="24" s="1"/>
  <c r="V37" i="24" s="1"/>
  <c r="U8" i="24"/>
  <c r="U32" i="24" s="1"/>
  <c r="U37" i="24" s="1"/>
  <c r="V50" i="26"/>
  <c r="V47" i="26" s="1"/>
  <c r="U47" i="26"/>
  <c r="J9" i="29"/>
  <c r="AG9" i="29"/>
  <c r="G300" i="55"/>
  <c r="J43" i="31"/>
  <c r="AG43" i="31"/>
  <c r="AI43" i="31"/>
  <c r="I41" i="31"/>
  <c r="J31" i="37"/>
  <c r="AH31" i="37" s="1"/>
  <c r="AG31" i="37"/>
  <c r="O23" i="38"/>
  <c r="P24" i="38"/>
  <c r="P23" i="38" s="1"/>
  <c r="P32" i="38" s="1"/>
  <c r="P37" i="38" s="1"/>
  <c r="I8" i="36"/>
  <c r="AG9" i="36"/>
  <c r="J9" i="36"/>
  <c r="M127" i="12"/>
  <c r="W44" i="47"/>
  <c r="O44" i="47"/>
  <c r="X25" i="42"/>
  <c r="T25" i="42"/>
  <c r="N25" i="41"/>
  <c r="O25" i="42"/>
  <c r="C86" i="55"/>
  <c r="D86" i="55" s="1"/>
  <c r="E86" i="55" s="1"/>
  <c r="F86" i="55" s="1"/>
  <c r="G86" i="55" s="1"/>
  <c r="H86" i="55" s="1"/>
  <c r="I86" i="55" s="1"/>
  <c r="J86" i="55" s="1"/>
  <c r="K86" i="55" s="1"/>
  <c r="L86" i="55" s="1"/>
  <c r="M86" i="55" s="1"/>
  <c r="N86" i="55" s="1"/>
  <c r="O73" i="55"/>
  <c r="O86" i="55" s="1"/>
  <c r="N31" i="51"/>
  <c r="H31" i="51"/>
  <c r="J26" i="9"/>
  <c r="J25" i="9" s="1"/>
  <c r="L46" i="10"/>
  <c r="AD46" i="10" s="1"/>
  <c r="AD45" i="12"/>
  <c r="E87" i="51"/>
  <c r="N64" i="51"/>
  <c r="S160" i="13"/>
  <c r="AM46" i="10"/>
  <c r="C40" i="10"/>
  <c r="C35" i="11"/>
  <c r="C39" i="7"/>
  <c r="I326" i="13"/>
  <c r="P58" i="13"/>
  <c r="U17" i="13"/>
  <c r="I13" i="11"/>
  <c r="N13" i="12"/>
  <c r="H13" i="12"/>
  <c r="H12" i="10"/>
  <c r="O11" i="11"/>
  <c r="I11" i="7"/>
  <c r="O11" i="7" s="1"/>
  <c r="K72" i="10"/>
  <c r="K68" i="12"/>
  <c r="U26" i="20"/>
  <c r="O97" i="22"/>
  <c r="T97" i="22"/>
  <c r="V97" i="22"/>
  <c r="N66" i="21"/>
  <c r="N99" i="22"/>
  <c r="AM30" i="17"/>
  <c r="AR30" i="17" s="1"/>
  <c r="AF30" i="17"/>
  <c r="L62" i="10"/>
  <c r="U32" i="26"/>
  <c r="U37" i="26" s="1"/>
  <c r="AE52" i="27"/>
  <c r="G62" i="27"/>
  <c r="V52" i="34"/>
  <c r="AN18" i="17"/>
  <c r="AI18" i="17"/>
  <c r="AG18" i="17"/>
  <c r="K25" i="39"/>
  <c r="AF47" i="33"/>
  <c r="G62" i="34"/>
  <c r="AE52" i="34"/>
  <c r="O73" i="40"/>
  <c r="J42" i="38"/>
  <c r="AG42" i="38"/>
  <c r="I41" i="38"/>
  <c r="AI42" i="38"/>
  <c r="P94" i="12"/>
  <c r="P34" i="66"/>
  <c r="P33" i="66" s="1"/>
  <c r="O33" i="66"/>
  <c r="N87" i="42"/>
  <c r="S87" i="42"/>
  <c r="I176" i="46"/>
  <c r="C114" i="12"/>
  <c r="C114" i="11"/>
  <c r="N8" i="9" s="1"/>
  <c r="N20" i="47"/>
  <c r="S20" i="47"/>
  <c r="M61" i="47"/>
  <c r="M23" i="47"/>
  <c r="U8" i="44"/>
  <c r="I122" i="10"/>
  <c r="J124" i="7"/>
  <c r="D116" i="12"/>
  <c r="K60" i="47"/>
  <c r="K59" i="47"/>
  <c r="E116" i="11"/>
  <c r="Z327" i="13"/>
  <c r="Z325" i="13"/>
  <c r="F127" i="10"/>
  <c r="G129" i="7"/>
  <c r="S60" i="30"/>
  <c r="M59" i="7"/>
  <c r="AB20" i="18"/>
  <c r="AC21" i="18"/>
  <c r="P20" i="18"/>
  <c r="P20" i="17" s="1"/>
  <c r="J28" i="18"/>
  <c r="AG28" i="18"/>
  <c r="I28" i="17"/>
  <c r="M71" i="21"/>
  <c r="S71" i="21" s="1"/>
  <c r="S69" i="21"/>
  <c r="AH16" i="23"/>
  <c r="V42" i="23"/>
  <c r="V41" i="23" s="1"/>
  <c r="U41" i="23"/>
  <c r="K60" i="25"/>
  <c r="K57" i="25"/>
  <c r="AF52" i="28"/>
  <c r="J10" i="28"/>
  <c r="AH10" i="28" s="1"/>
  <c r="AG10" i="28"/>
  <c r="AI10" i="28"/>
  <c r="AB41" i="33"/>
  <c r="AC42" i="33"/>
  <c r="AC41" i="33" s="1"/>
  <c r="O47" i="31"/>
  <c r="O52" i="31" s="1"/>
  <c r="P48" i="31"/>
  <c r="P47" i="31" s="1"/>
  <c r="P52" i="31" s="1"/>
  <c r="S59" i="42"/>
  <c r="N59" i="42"/>
  <c r="M70" i="42"/>
  <c r="R95" i="12"/>
  <c r="R96" i="10" s="1"/>
  <c r="V14" i="41"/>
  <c r="T14" i="41"/>
  <c r="N27" i="43"/>
  <c r="S27" i="43"/>
  <c r="AA98" i="46"/>
  <c r="O98" i="46"/>
  <c r="U98" i="46" s="1"/>
  <c r="T98" i="46"/>
  <c r="AA75" i="46"/>
  <c r="T75" i="46"/>
  <c r="O75" i="46"/>
  <c r="U75" i="46" s="1"/>
  <c r="Q75" i="46"/>
  <c r="AM150" i="10"/>
  <c r="AL59" i="12"/>
  <c r="I59" i="11"/>
  <c r="I59" i="12"/>
  <c r="O36" i="11"/>
  <c r="R47" i="12"/>
  <c r="AD51" i="12"/>
  <c r="AJ51" i="12" s="1"/>
  <c r="R52" i="10"/>
  <c r="AG240" i="13"/>
  <c r="O240" i="13"/>
  <c r="U240" i="13" s="1"/>
  <c r="T240" i="13"/>
  <c r="T153" i="20"/>
  <c r="V153" i="20"/>
  <c r="M41" i="22"/>
  <c r="S41" i="22" s="1"/>
  <c r="S39" i="22"/>
  <c r="M32" i="21"/>
  <c r="AH27" i="18"/>
  <c r="K27" i="18"/>
  <c r="K27" i="17" s="1"/>
  <c r="E41" i="17"/>
  <c r="AU41" i="17" s="1"/>
  <c r="E52" i="18"/>
  <c r="E52" i="17" s="1"/>
  <c r="AU52" i="17" s="1"/>
  <c r="AB16" i="17"/>
  <c r="AC16" i="18"/>
  <c r="AC16" i="17" s="1"/>
  <c r="N8" i="11"/>
  <c r="K8" i="11"/>
  <c r="G9" i="10"/>
  <c r="H8" i="7"/>
  <c r="H7" i="11"/>
  <c r="AG35" i="17"/>
  <c r="AI35" i="17"/>
  <c r="AN35" i="17"/>
  <c r="H21" i="8"/>
  <c r="U43" i="22"/>
  <c r="O45" i="22"/>
  <c r="O95" i="22"/>
  <c r="U93" i="22"/>
  <c r="O62" i="21"/>
  <c r="J27" i="25"/>
  <c r="AH27" i="25" s="1"/>
  <c r="AG27" i="25"/>
  <c r="Z60" i="26"/>
  <c r="AC10" i="28"/>
  <c r="AC8" i="28" s="1"/>
  <c r="AC32" i="28" s="1"/>
  <c r="AB8" i="28"/>
  <c r="AB32" i="28" s="1"/>
  <c r="AG36" i="34"/>
  <c r="J36" i="34"/>
  <c r="AH36" i="34" s="1"/>
  <c r="AI36" i="34"/>
  <c r="AB20" i="35"/>
  <c r="AB32" i="35" s="1"/>
  <c r="AC21" i="35"/>
  <c r="AC20" i="35" s="1"/>
  <c r="AC32" i="35" s="1"/>
  <c r="O41" i="29"/>
  <c r="O52" i="29" s="1"/>
  <c r="P42" i="29"/>
  <c r="P41" i="29" s="1"/>
  <c r="P52" i="29" s="1"/>
  <c r="P42" i="37"/>
  <c r="P41" i="37" s="1"/>
  <c r="P52" i="37" s="1"/>
  <c r="O41" i="37"/>
  <c r="O52" i="37" s="1"/>
  <c r="AG30" i="35"/>
  <c r="J30" i="35"/>
  <c r="AH30" i="35" s="1"/>
  <c r="U20" i="35"/>
  <c r="V21" i="35"/>
  <c r="V20" i="35" s="1"/>
  <c r="U23" i="36"/>
  <c r="V24" i="36"/>
  <c r="V23" i="36" s="1"/>
  <c r="J20" i="37"/>
  <c r="AH20" i="37" s="1"/>
  <c r="AH21" i="37"/>
  <c r="O32" i="38"/>
  <c r="J9" i="38"/>
  <c r="AG9" i="38"/>
  <c r="AI9" i="38"/>
  <c r="I8" i="38"/>
  <c r="J24" i="37"/>
  <c r="AG24" i="37"/>
  <c r="I23" i="37"/>
  <c r="R126" i="42"/>
  <c r="L73" i="41"/>
  <c r="L132" i="42"/>
  <c r="X29" i="42"/>
  <c r="O29" i="42"/>
  <c r="U29" i="42" s="1"/>
  <c r="T29" i="42"/>
  <c r="O45" i="40"/>
  <c r="U45" i="40" s="1"/>
  <c r="T45" i="40"/>
  <c r="V45" i="40"/>
  <c r="X18" i="42"/>
  <c r="T18" i="42"/>
  <c r="O18" i="42"/>
  <c r="N18" i="41"/>
  <c r="N67" i="46"/>
  <c r="S67" i="46"/>
  <c r="G113" i="12"/>
  <c r="R175" i="46"/>
  <c r="AE138" i="10"/>
  <c r="O52" i="11"/>
  <c r="I52" i="7"/>
  <c r="O52" i="7" s="1"/>
  <c r="H53" i="10"/>
  <c r="AL53" i="10" s="1"/>
  <c r="N33" i="12"/>
  <c r="U76" i="13"/>
  <c r="O78" i="13"/>
  <c r="M299" i="13"/>
  <c r="S292" i="13"/>
  <c r="C10" i="56"/>
  <c r="H20" i="17"/>
  <c r="AF20" i="18"/>
  <c r="T12" i="21"/>
  <c r="Q12" i="21"/>
  <c r="L84" i="22"/>
  <c r="R84" i="22" s="1"/>
  <c r="L54" i="21"/>
  <c r="R83" i="22"/>
  <c r="J31" i="26"/>
  <c r="AG31" i="26"/>
  <c r="O49" i="22"/>
  <c r="Q49" i="22"/>
  <c r="T49" i="22"/>
  <c r="V49" i="22"/>
  <c r="N51" i="22"/>
  <c r="AE52" i="25"/>
  <c r="G62" i="25"/>
  <c r="K9" i="39"/>
  <c r="K8" i="39" s="1"/>
  <c r="N8" i="39" s="1"/>
  <c r="AF47" i="25"/>
  <c r="J24" i="30"/>
  <c r="AG24" i="30"/>
  <c r="I23" i="30"/>
  <c r="AG23" i="30" s="1"/>
  <c r="AG9" i="27"/>
  <c r="J9" i="27"/>
  <c r="I8" i="27"/>
  <c r="J25" i="33"/>
  <c r="AH25" i="33" s="1"/>
  <c r="AG25" i="33"/>
  <c r="AG51" i="35"/>
  <c r="J51" i="35"/>
  <c r="AH51" i="35" s="1"/>
  <c r="AG27" i="35"/>
  <c r="J27" i="35"/>
  <c r="AH27" i="35" s="1"/>
  <c r="J23" i="36"/>
  <c r="AH23" i="36" s="1"/>
  <c r="AH24" i="36"/>
  <c r="L60" i="66"/>
  <c r="S50" i="40"/>
  <c r="M52" i="40"/>
  <c r="S52" i="40" s="1"/>
  <c r="Q76" i="41"/>
  <c r="V76" i="41"/>
  <c r="T76" i="41"/>
  <c r="X82" i="42"/>
  <c r="O82" i="42"/>
  <c r="N52" i="41"/>
  <c r="T82" i="42"/>
  <c r="Q82" i="42"/>
  <c r="S23" i="44"/>
  <c r="M24" i="44"/>
  <c r="S24" i="44" s="1"/>
  <c r="M13" i="41"/>
  <c r="S7" i="41"/>
  <c r="O129" i="46"/>
  <c r="T129" i="46"/>
  <c r="AA46" i="46"/>
  <c r="T46" i="46"/>
  <c r="O46" i="46"/>
  <c r="U46" i="46" s="1"/>
  <c r="Q46" i="46"/>
  <c r="AB122" i="12"/>
  <c r="P122" i="10"/>
  <c r="AB122" i="10" s="1"/>
  <c r="AA70" i="46"/>
  <c r="T70" i="46"/>
  <c r="O70" i="46"/>
  <c r="U70" i="46" s="1"/>
  <c r="Q70" i="46"/>
  <c r="H135" i="7"/>
  <c r="N139" i="7"/>
  <c r="O139" i="7"/>
  <c r="F152" i="7"/>
  <c r="L152" i="7" s="1"/>
  <c r="L131" i="7"/>
  <c r="K26" i="12"/>
  <c r="R264" i="13"/>
  <c r="L271" i="13"/>
  <c r="AI24" i="10"/>
  <c r="I121" i="11"/>
  <c r="I121" i="12"/>
  <c r="AL121" i="12"/>
  <c r="S268" i="13"/>
  <c r="N268" i="13"/>
  <c r="S13" i="19"/>
  <c r="U40" i="20"/>
  <c r="O45" i="20"/>
  <c r="U45" i="20" s="1"/>
  <c r="T47" i="21"/>
  <c r="U47" i="21" s="1"/>
  <c r="Q47" i="21"/>
  <c r="AG33" i="23"/>
  <c r="AI33" i="23"/>
  <c r="T18" i="21"/>
  <c r="Q18" i="21"/>
  <c r="AB8" i="24"/>
  <c r="AC9" i="24"/>
  <c r="AC8" i="24" s="1"/>
  <c r="U41" i="24"/>
  <c r="U52" i="24" s="1"/>
  <c r="V42" i="24"/>
  <c r="V41" i="24" s="1"/>
  <c r="V52" i="24" s="1"/>
  <c r="AB22" i="26"/>
  <c r="AA22" i="17"/>
  <c r="AA20" i="26"/>
  <c r="AA32" i="26" s="1"/>
  <c r="AA37" i="26" s="1"/>
  <c r="P16" i="28"/>
  <c r="O8" i="28"/>
  <c r="O32" i="28" s="1"/>
  <c r="O37" i="28" s="1"/>
  <c r="O16" i="17"/>
  <c r="Z60" i="29"/>
  <c r="T54" i="40"/>
  <c r="V54" i="40"/>
  <c r="O54" i="40"/>
  <c r="U54" i="40" s="1"/>
  <c r="Q54" i="40"/>
  <c r="P21" i="37"/>
  <c r="P20" i="37" s="1"/>
  <c r="O20" i="37"/>
  <c r="U8" i="37"/>
  <c r="U32" i="37" s="1"/>
  <c r="U37" i="37" s="1"/>
  <c r="V9" i="37"/>
  <c r="V8" i="37" s="1"/>
  <c r="V32" i="37" s="1"/>
  <c r="V37" i="37" s="1"/>
  <c r="R16" i="43"/>
  <c r="L67" i="43"/>
  <c r="X75" i="42"/>
  <c r="O75" i="42"/>
  <c r="U75" i="42" s="1"/>
  <c r="T75" i="42"/>
  <c r="S66" i="43"/>
  <c r="N66" i="43"/>
  <c r="Z32" i="43"/>
  <c r="O32" i="43"/>
  <c r="U32" i="43" s="1"/>
  <c r="T32" i="43"/>
  <c r="Q32" i="43"/>
  <c r="N9" i="44"/>
  <c r="S9" i="44"/>
  <c r="M10" i="44"/>
  <c r="N72" i="46"/>
  <c r="T68" i="46"/>
  <c r="O68" i="46"/>
  <c r="W46" i="47"/>
  <c r="T46" i="47"/>
  <c r="O46" i="47"/>
  <c r="Q46" i="47"/>
  <c r="M116" i="12"/>
  <c r="M124" i="12"/>
  <c r="I105" i="45"/>
  <c r="C97" i="12"/>
  <c r="C97" i="11"/>
  <c r="N10" i="8" s="1"/>
  <c r="I39" i="10"/>
  <c r="J38" i="7"/>
  <c r="I47" i="12"/>
  <c r="O50" i="22"/>
  <c r="U50" i="22" s="1"/>
  <c r="V50" i="22"/>
  <c r="T50" i="22"/>
  <c r="AC45" i="17"/>
  <c r="AC41" i="18"/>
  <c r="S64" i="21"/>
  <c r="U163" i="20"/>
  <c r="U40" i="14"/>
  <c r="O45" i="13"/>
  <c r="U45" i="13" s="1"/>
  <c r="Q45" i="13"/>
  <c r="T45" i="13"/>
  <c r="AG45" i="13"/>
  <c r="P14" i="18"/>
  <c r="O14" i="17"/>
  <c r="S42" i="10" s="1"/>
  <c r="N104" i="22"/>
  <c r="M107" i="22"/>
  <c r="S104" i="22"/>
  <c r="P52" i="24"/>
  <c r="AG23" i="23"/>
  <c r="AI23" i="23"/>
  <c r="R36" i="22"/>
  <c r="L42" i="22"/>
  <c r="R42" i="22" s="1"/>
  <c r="AB20" i="24"/>
  <c r="AC21" i="24"/>
  <c r="AC20" i="24" s="1"/>
  <c r="I22" i="17"/>
  <c r="P20" i="23"/>
  <c r="P21" i="17"/>
  <c r="V9" i="25"/>
  <c r="V8" i="25" s="1"/>
  <c r="V32" i="25" s="1"/>
  <c r="V37" i="25" s="1"/>
  <c r="U8" i="25"/>
  <c r="U32" i="25" s="1"/>
  <c r="U37" i="25" s="1"/>
  <c r="AA32" i="29"/>
  <c r="AA37" i="29" s="1"/>
  <c r="AA60" i="29" s="1"/>
  <c r="J17" i="33"/>
  <c r="AH17" i="33" s="1"/>
  <c r="AG17" i="33"/>
  <c r="L62" i="40"/>
  <c r="R62" i="40" s="1"/>
  <c r="J12" i="66"/>
  <c r="AH12" i="66" s="1"/>
  <c r="AG12" i="66"/>
  <c r="P452" i="55"/>
  <c r="AJ52" i="37"/>
  <c r="F62" i="37"/>
  <c r="AG28" i="66"/>
  <c r="J28" i="66"/>
  <c r="AH28" i="66" s="1"/>
  <c r="X111" i="42"/>
  <c r="O111" i="42"/>
  <c r="T111" i="42"/>
  <c r="N63" i="41"/>
  <c r="N64" i="41" s="1"/>
  <c r="X43" i="42"/>
  <c r="O43" i="42"/>
  <c r="T43" i="42"/>
  <c r="N40" i="41"/>
  <c r="L110" i="10"/>
  <c r="AD110" i="10" s="1"/>
  <c r="AD110" i="12"/>
  <c r="T10" i="42"/>
  <c r="O10" i="42"/>
  <c r="N10" i="41"/>
  <c r="U119" i="46"/>
  <c r="P119" i="46"/>
  <c r="O162" i="46"/>
  <c r="U162" i="46" s="1"/>
  <c r="T162" i="46"/>
  <c r="AA100" i="46"/>
  <c r="Q100" i="46"/>
  <c r="O100" i="46"/>
  <c r="U100" i="46" s="1"/>
  <c r="T100" i="46"/>
  <c r="G152" i="51"/>
  <c r="Y25" i="8"/>
  <c r="S30" i="8"/>
  <c r="V30" i="8" s="1"/>
  <c r="F6" i="54"/>
  <c r="N6" i="54"/>
  <c r="G6" i="54"/>
  <c r="H6" i="54"/>
  <c r="I6" i="54"/>
  <c r="J6" i="54"/>
  <c r="C6" i="54"/>
  <c r="K6" i="54"/>
  <c r="E6" i="54"/>
  <c r="L6" i="54"/>
  <c r="M6" i="54"/>
  <c r="D6" i="54"/>
  <c r="O105" i="13"/>
  <c r="T105" i="13"/>
  <c r="AG105" i="13"/>
  <c r="AJ57" i="12"/>
  <c r="G57" i="11"/>
  <c r="D14" i="56"/>
  <c r="AC30" i="7"/>
  <c r="U111" i="13"/>
  <c r="T39" i="13"/>
  <c r="O39" i="13"/>
  <c r="U39" i="13" s="1"/>
  <c r="AG39" i="13"/>
  <c r="O166" i="20"/>
  <c r="U166" i="20" s="1"/>
  <c r="T166" i="20"/>
  <c r="V12" i="18"/>
  <c r="V12" i="17" s="1"/>
  <c r="U12" i="17"/>
  <c r="R9" i="21"/>
  <c r="L13" i="21"/>
  <c r="J54" i="10"/>
  <c r="AB57" i="10"/>
  <c r="AB54" i="10" s="1"/>
  <c r="AF8" i="30"/>
  <c r="H32" i="30"/>
  <c r="N32" i="29"/>
  <c r="N37" i="29" s="1"/>
  <c r="N60" i="29" s="1"/>
  <c r="AH49" i="31"/>
  <c r="J47" i="31"/>
  <c r="AH47" i="31" s="1"/>
  <c r="AF8" i="35"/>
  <c r="H32" i="35"/>
  <c r="I20" i="35"/>
  <c r="AG20" i="35" s="1"/>
  <c r="AG21" i="35"/>
  <c r="J21" i="35"/>
  <c r="I48" i="36"/>
  <c r="AF48" i="36"/>
  <c r="H47" i="36"/>
  <c r="AI43" i="37"/>
  <c r="J43" i="37"/>
  <c r="AH43" i="37" s="1"/>
  <c r="AG43" i="37"/>
  <c r="O49" i="40"/>
  <c r="U49" i="40" s="1"/>
  <c r="T49" i="40"/>
  <c r="V49" i="40"/>
  <c r="N105" i="42"/>
  <c r="S105" i="42"/>
  <c r="M108" i="42"/>
  <c r="N147" i="46"/>
  <c r="S147" i="46"/>
  <c r="M153" i="46"/>
  <c r="S153" i="46" s="1"/>
  <c r="N159" i="46"/>
  <c r="S159" i="46"/>
  <c r="N144" i="46"/>
  <c r="N56" i="46"/>
  <c r="S56" i="46"/>
  <c r="AH124" i="12"/>
  <c r="L106" i="45"/>
  <c r="L108" i="45"/>
  <c r="L110" i="45" s="1"/>
  <c r="R102" i="45"/>
  <c r="T249" i="13"/>
  <c r="N254" i="13"/>
  <c r="AG249" i="13"/>
  <c r="Q62" i="11"/>
  <c r="E10" i="9"/>
  <c r="E62" i="7"/>
  <c r="D63" i="10"/>
  <c r="AH63" i="10" s="1"/>
  <c r="O153" i="13"/>
  <c r="U153" i="13" s="1"/>
  <c r="T153" i="13"/>
  <c r="AG153" i="13"/>
  <c r="O167" i="13"/>
  <c r="U167" i="13" s="1"/>
  <c r="AG167" i="13"/>
  <c r="T167" i="13"/>
  <c r="AB49" i="25"/>
  <c r="AA49" i="17"/>
  <c r="U178" i="20"/>
  <c r="O181" i="20"/>
  <c r="U181" i="20" s="1"/>
  <c r="M42" i="21"/>
  <c r="S42" i="21" s="1"/>
  <c r="S41" i="21"/>
  <c r="AB10" i="17"/>
  <c r="T25" i="21"/>
  <c r="AH34" i="27"/>
  <c r="J33" i="27"/>
  <c r="AH33" i="27" s="1"/>
  <c r="J16" i="24"/>
  <c r="AH16" i="24" s="1"/>
  <c r="AI16" i="24"/>
  <c r="AG16" i="24"/>
  <c r="AH33" i="28"/>
  <c r="G154" i="11"/>
  <c r="AM54" i="17"/>
  <c r="AR54" i="17" s="1"/>
  <c r="AF54" i="17"/>
  <c r="U20" i="27"/>
  <c r="V21" i="27"/>
  <c r="V20" i="27" s="1"/>
  <c r="AB33" i="32"/>
  <c r="AC34" i="32"/>
  <c r="AC33" i="32" s="1"/>
  <c r="F37" i="29"/>
  <c r="AJ32" i="29"/>
  <c r="O158" i="55"/>
  <c r="C171" i="55"/>
  <c r="D171" i="55" s="1"/>
  <c r="E171" i="55" s="1"/>
  <c r="F171" i="55" s="1"/>
  <c r="G171" i="55" s="1"/>
  <c r="H171" i="55" s="1"/>
  <c r="I171" i="55" s="1"/>
  <c r="J171" i="55" s="1"/>
  <c r="K171" i="55" s="1"/>
  <c r="L171" i="55" s="1"/>
  <c r="M171" i="55" s="1"/>
  <c r="N171" i="55" s="1"/>
  <c r="V9" i="30"/>
  <c r="I33" i="35"/>
  <c r="AA23" i="66"/>
  <c r="AB24" i="66"/>
  <c r="J8" i="37"/>
  <c r="X63" i="42"/>
  <c r="Q63" i="42"/>
  <c r="O63" i="42"/>
  <c r="U63" i="42" s="1"/>
  <c r="T63" i="42"/>
  <c r="H127" i="11"/>
  <c r="M32" i="44"/>
  <c r="N112" i="42"/>
  <c r="U74" i="42"/>
  <c r="O49" i="41"/>
  <c r="U49" i="41" s="1"/>
  <c r="Z78" i="43"/>
  <c r="T78" i="43"/>
  <c r="O78" i="43"/>
  <c r="U78" i="43" s="1"/>
  <c r="T29" i="44"/>
  <c r="S29" i="44"/>
  <c r="J30" i="12"/>
  <c r="D29" i="12"/>
  <c r="W51" i="18"/>
  <c r="W51" i="17" s="1"/>
  <c r="V51" i="17"/>
  <c r="Q38" i="20"/>
  <c r="T38" i="20"/>
  <c r="V38" i="20"/>
  <c r="M66" i="11"/>
  <c r="F67" i="10"/>
  <c r="AJ67" i="10" s="1"/>
  <c r="G66" i="7"/>
  <c r="M66" i="7" s="1"/>
  <c r="J51" i="17"/>
  <c r="U11" i="18"/>
  <c r="T11" i="17"/>
  <c r="S66" i="21"/>
  <c r="M68" i="21"/>
  <c r="S68" i="21" s="1"/>
  <c r="U28" i="22"/>
  <c r="N88" i="22"/>
  <c r="V32" i="26"/>
  <c r="V37" i="26" s="1"/>
  <c r="N32" i="37"/>
  <c r="N37" i="37" s="1"/>
  <c r="N60" i="37" s="1"/>
  <c r="Z60" i="33"/>
  <c r="J48" i="33"/>
  <c r="I47" i="33"/>
  <c r="AG48" i="33"/>
  <c r="AI48" i="33"/>
  <c r="T33" i="32"/>
  <c r="T37" i="32" s="1"/>
  <c r="T60" i="32" s="1"/>
  <c r="U34" i="32"/>
  <c r="AC42" i="36"/>
  <c r="AC41" i="36" s="1"/>
  <c r="AC52" i="36" s="1"/>
  <c r="AB41" i="36"/>
  <c r="AB52" i="36" s="1"/>
  <c r="J14" i="35"/>
  <c r="AH14" i="35" s="1"/>
  <c r="AG14" i="35"/>
  <c r="I8" i="35"/>
  <c r="AB32" i="37"/>
  <c r="AB37" i="37" s="1"/>
  <c r="AB47" i="66"/>
  <c r="AC48" i="66"/>
  <c r="AC47" i="66" s="1"/>
  <c r="AB42" i="66"/>
  <c r="AA41" i="66"/>
  <c r="AA52" i="66" s="1"/>
  <c r="N72" i="42"/>
  <c r="S72" i="42"/>
  <c r="W34" i="47"/>
  <c r="O34" i="47"/>
  <c r="U34" i="47" s="1"/>
  <c r="T34" i="47"/>
  <c r="AA26" i="46"/>
  <c r="O26" i="46"/>
  <c r="Q26" i="46"/>
  <c r="T26" i="46"/>
  <c r="I34" i="52"/>
  <c r="S26" i="21"/>
  <c r="AE32" i="31"/>
  <c r="G37" i="31"/>
  <c r="O101" i="7"/>
  <c r="N101" i="7"/>
  <c r="K101" i="7"/>
  <c r="AG310" i="13"/>
  <c r="O310" i="13"/>
  <c r="U310" i="13" s="1"/>
  <c r="T310" i="13"/>
  <c r="O128" i="13"/>
  <c r="U128" i="13" s="1"/>
  <c r="T128" i="13"/>
  <c r="AG128" i="13"/>
  <c r="H99" i="10"/>
  <c r="O98" i="11"/>
  <c r="AJ60" i="10"/>
  <c r="T150" i="13"/>
  <c r="Q150" i="13"/>
  <c r="AG150" i="13"/>
  <c r="O150" i="13"/>
  <c r="U150" i="13" s="1"/>
  <c r="M70" i="11"/>
  <c r="G70" i="7"/>
  <c r="M70" i="7" s="1"/>
  <c r="F71" i="10"/>
  <c r="T15" i="14"/>
  <c r="G67" i="12"/>
  <c r="AK67" i="12" s="1"/>
  <c r="H67" i="11"/>
  <c r="AG33" i="28"/>
  <c r="AI33" i="28"/>
  <c r="O130" i="55"/>
  <c r="C143" i="55"/>
  <c r="D143" i="55" s="1"/>
  <c r="E143" i="55" s="1"/>
  <c r="F143" i="55" s="1"/>
  <c r="G143" i="55" s="1"/>
  <c r="H143" i="55" s="1"/>
  <c r="I143" i="55" s="1"/>
  <c r="J143" i="55" s="1"/>
  <c r="K143" i="55" s="1"/>
  <c r="L143" i="55" s="1"/>
  <c r="M143" i="55" s="1"/>
  <c r="N143" i="55" s="1"/>
  <c r="K23" i="39"/>
  <c r="AF47" i="32"/>
  <c r="J36" i="36"/>
  <c r="AH36" i="36" s="1"/>
  <c r="AG36" i="36"/>
  <c r="AI36" i="36"/>
  <c r="R97" i="42"/>
  <c r="L54" i="41"/>
  <c r="R54" i="41" s="1"/>
  <c r="R73" i="42"/>
  <c r="L48" i="41"/>
  <c r="R48" i="41" s="1"/>
  <c r="T20" i="42"/>
  <c r="X20" i="42"/>
  <c r="Q20" i="42"/>
  <c r="I124" i="10"/>
  <c r="AM124" i="10" s="1"/>
  <c r="J126" i="7"/>
  <c r="AA62" i="46"/>
  <c r="O62" i="46"/>
  <c r="U62" i="46" s="1"/>
  <c r="T62" i="46"/>
  <c r="R16" i="46"/>
  <c r="L66" i="46"/>
  <c r="Q112" i="12"/>
  <c r="AA39" i="46"/>
  <c r="T39" i="46"/>
  <c r="O39" i="46"/>
  <c r="U39" i="46" s="1"/>
  <c r="Q39" i="46"/>
  <c r="M131" i="7"/>
  <c r="G152" i="7"/>
  <c r="M152" i="7" s="1"/>
  <c r="N131" i="7"/>
  <c r="H100" i="10"/>
  <c r="O99" i="11"/>
  <c r="O98" i="13"/>
  <c r="U98" i="13" s="1"/>
  <c r="AG98" i="13"/>
  <c r="T98" i="13"/>
  <c r="Q98" i="13"/>
  <c r="N59" i="11"/>
  <c r="H59" i="7"/>
  <c r="G60" i="10"/>
  <c r="E14" i="11"/>
  <c r="Q19" i="11"/>
  <c r="U3" i="19"/>
  <c r="O4" i="19"/>
  <c r="V94" i="20"/>
  <c r="O94" i="20"/>
  <c r="U94" i="20" s="1"/>
  <c r="Q94" i="20"/>
  <c r="T94" i="20"/>
  <c r="S23" i="14"/>
  <c r="M33" i="14"/>
  <c r="S33" i="14" s="1"/>
  <c r="F69" i="12"/>
  <c r="G69" i="11"/>
  <c r="M321" i="13"/>
  <c r="S321" i="13" s="1"/>
  <c r="T87" i="11"/>
  <c r="S120" i="22"/>
  <c r="N120" i="22"/>
  <c r="M123" i="22"/>
  <c r="S123" i="22" s="1"/>
  <c r="M122" i="22"/>
  <c r="AU43" i="17"/>
  <c r="O7" i="8"/>
  <c r="L7" i="6"/>
  <c r="J21" i="67"/>
  <c r="K21" i="67" s="1"/>
  <c r="AB48" i="26"/>
  <c r="AA47" i="26"/>
  <c r="AA52" i="26" s="1"/>
  <c r="AH21" i="23"/>
  <c r="J20" i="23"/>
  <c r="AH20" i="23" s="1"/>
  <c r="T52" i="21"/>
  <c r="Q52" i="21"/>
  <c r="V95" i="22"/>
  <c r="T95" i="22"/>
  <c r="D57" i="29"/>
  <c r="D60" i="29"/>
  <c r="AB9" i="32"/>
  <c r="AA8" i="32"/>
  <c r="AA41" i="32"/>
  <c r="AA52" i="32" s="1"/>
  <c r="AB42" i="32"/>
  <c r="U23" i="32"/>
  <c r="V24" i="32"/>
  <c r="V23" i="32" s="1"/>
  <c r="V32" i="32" s="1"/>
  <c r="K37" i="37"/>
  <c r="N92" i="42"/>
  <c r="S92" i="42"/>
  <c r="K56" i="41"/>
  <c r="K79" i="41" s="1"/>
  <c r="Q27" i="42"/>
  <c r="T27" i="42"/>
  <c r="N27" i="41"/>
  <c r="O27" i="42"/>
  <c r="X27" i="42"/>
  <c r="S47" i="43"/>
  <c r="N47" i="43"/>
  <c r="X12" i="42"/>
  <c r="Q12" i="42"/>
  <c r="T12" i="42"/>
  <c r="O12" i="42"/>
  <c r="N12" i="41"/>
  <c r="L64" i="46"/>
  <c r="R64" i="46" s="1"/>
  <c r="R35" i="46"/>
  <c r="AA40" i="46"/>
  <c r="O40" i="46"/>
  <c r="Q40" i="46"/>
  <c r="N41" i="46"/>
  <c r="T40" i="46"/>
  <c r="O11" i="46"/>
  <c r="T11" i="46"/>
  <c r="S40" i="47"/>
  <c r="R123" i="12"/>
  <c r="F123" i="12"/>
  <c r="G123" i="11"/>
  <c r="AK133" i="12"/>
  <c r="AG137" i="13"/>
  <c r="T137" i="13"/>
  <c r="Q137" i="13"/>
  <c r="O137" i="13"/>
  <c r="U137" i="13" s="1"/>
  <c r="J52" i="11"/>
  <c r="AM52" i="12"/>
  <c r="C36" i="9"/>
  <c r="C32" i="9"/>
  <c r="T72" i="13"/>
  <c r="AG72" i="13"/>
  <c r="O72" i="13"/>
  <c r="N74" i="13"/>
  <c r="N48" i="13"/>
  <c r="S48" i="13"/>
  <c r="AG206" i="13"/>
  <c r="N207" i="13"/>
  <c r="O206" i="13"/>
  <c r="T206" i="13"/>
  <c r="Q206" i="13"/>
  <c r="O132" i="22"/>
  <c r="T132" i="22"/>
  <c r="N133" i="22"/>
  <c r="I21" i="17"/>
  <c r="J21" i="18"/>
  <c r="I20" i="18"/>
  <c r="AG21" i="18"/>
  <c r="E42" i="51"/>
  <c r="P42" i="7"/>
  <c r="U12" i="22"/>
  <c r="O12" i="21"/>
  <c r="U12" i="21" s="1"/>
  <c r="Q17" i="18"/>
  <c r="Q17" i="17" s="1"/>
  <c r="U45" i="10" s="1"/>
  <c r="P17" i="17"/>
  <c r="T45" i="10" s="1"/>
  <c r="T10" i="21"/>
  <c r="Q10" i="21"/>
  <c r="S51" i="22"/>
  <c r="M38" i="21"/>
  <c r="S38" i="21" s="1"/>
  <c r="J24" i="26"/>
  <c r="AG24" i="26"/>
  <c r="I23" i="26"/>
  <c r="AG23" i="26" s="1"/>
  <c r="N32" i="66"/>
  <c r="N37" i="66" s="1"/>
  <c r="N60" i="66" s="1"/>
  <c r="J49" i="30"/>
  <c r="AH49" i="30" s="1"/>
  <c r="AG49" i="30"/>
  <c r="P412" i="55"/>
  <c r="F60" i="36"/>
  <c r="F61" i="36"/>
  <c r="AJ37" i="36"/>
  <c r="F57" i="36"/>
  <c r="P244" i="55"/>
  <c r="R257" i="55" s="1"/>
  <c r="F57" i="30"/>
  <c r="F60" i="30"/>
  <c r="F61" i="30"/>
  <c r="AJ37" i="30"/>
  <c r="J42" i="33"/>
  <c r="AG42" i="33"/>
  <c r="AI42" i="33"/>
  <c r="I41" i="33"/>
  <c r="J23" i="32"/>
  <c r="AH23" i="32" s="1"/>
  <c r="AH24" i="32"/>
  <c r="H62" i="31"/>
  <c r="AF52" i="31"/>
  <c r="J8" i="35"/>
  <c r="N23" i="41"/>
  <c r="T21" i="41"/>
  <c r="V21" i="41"/>
  <c r="Q21" i="41"/>
  <c r="L109" i="42"/>
  <c r="R109" i="42" s="1"/>
  <c r="N23" i="44"/>
  <c r="V20" i="44"/>
  <c r="Q20" i="44"/>
  <c r="T20" i="44"/>
  <c r="O20" i="44"/>
  <c r="S13" i="42"/>
  <c r="M24" i="42"/>
  <c r="K30" i="44"/>
  <c r="K31" i="44"/>
  <c r="K33" i="44" s="1"/>
  <c r="Q122" i="11"/>
  <c r="D122" i="10"/>
  <c r="AH122" i="10" s="1"/>
  <c r="E124" i="7"/>
  <c r="R35" i="47"/>
  <c r="Q122" i="12"/>
  <c r="E122" i="12"/>
  <c r="F122" i="11"/>
  <c r="Q508" i="55"/>
  <c r="O509" i="55"/>
  <c r="S26" i="9"/>
  <c r="AK137" i="10"/>
  <c r="G133" i="10"/>
  <c r="N258" i="13"/>
  <c r="S258" i="13"/>
  <c r="M264" i="13"/>
  <c r="R270" i="13"/>
  <c r="Q26" i="12"/>
  <c r="M33" i="11"/>
  <c r="F34" i="10"/>
  <c r="AJ34" i="10" s="1"/>
  <c r="G33" i="7"/>
  <c r="N121" i="11"/>
  <c r="G121" i="10"/>
  <c r="AK121" i="10" s="1"/>
  <c r="H123" i="7"/>
  <c r="N123" i="7" s="1"/>
  <c r="F62" i="11"/>
  <c r="S48" i="22"/>
  <c r="M37" i="21"/>
  <c r="S37" i="21" s="1"/>
  <c r="C73" i="7"/>
  <c r="P74" i="7"/>
  <c r="I15" i="17"/>
  <c r="V20" i="24"/>
  <c r="L39" i="21"/>
  <c r="R37" i="21"/>
  <c r="T15" i="18"/>
  <c r="S15" i="17"/>
  <c r="K43" i="10" s="1"/>
  <c r="AC43" i="10" s="1"/>
  <c r="S8" i="18"/>
  <c r="U21" i="17"/>
  <c r="U18" i="22"/>
  <c r="O18" i="21"/>
  <c r="U18" i="21" s="1"/>
  <c r="AA32" i="24"/>
  <c r="AA37" i="24" s="1"/>
  <c r="AA60" i="24" s="1"/>
  <c r="AH9" i="25"/>
  <c r="J8" i="25"/>
  <c r="AB34" i="26"/>
  <c r="AA33" i="26"/>
  <c r="J26" i="29"/>
  <c r="AH26" i="29" s="1"/>
  <c r="AG26" i="29"/>
  <c r="S60" i="28"/>
  <c r="J21" i="29"/>
  <c r="AG21" i="29"/>
  <c r="I20" i="29"/>
  <c r="AG20" i="29" s="1"/>
  <c r="J43" i="32"/>
  <c r="AG43" i="32"/>
  <c r="AI43" i="32"/>
  <c r="I41" i="32"/>
  <c r="J15" i="36"/>
  <c r="AH15" i="36" s="1"/>
  <c r="AG15" i="36"/>
  <c r="AI15" i="36"/>
  <c r="O267" i="55"/>
  <c r="Q267" i="55" s="1"/>
  <c r="C272" i="55"/>
  <c r="I44" i="34"/>
  <c r="AF44" i="34"/>
  <c r="J34" i="33"/>
  <c r="J34" i="17" s="1"/>
  <c r="AG34" i="33"/>
  <c r="I33" i="33"/>
  <c r="AI34" i="33"/>
  <c r="AG45" i="38"/>
  <c r="J45" i="38"/>
  <c r="AH45" i="38" s="1"/>
  <c r="T60" i="37"/>
  <c r="R10" i="44"/>
  <c r="Q96" i="12"/>
  <c r="Q97" i="10" s="1"/>
  <c r="L12" i="44"/>
  <c r="T71" i="45"/>
  <c r="Q71" i="45"/>
  <c r="V71" i="45"/>
  <c r="O71" i="45"/>
  <c r="U71" i="45" s="1"/>
  <c r="K102" i="7"/>
  <c r="AJ129" i="10"/>
  <c r="F150" i="10"/>
  <c r="AJ150" i="10" s="1"/>
  <c r="AB150" i="10"/>
  <c r="AH150" i="10" s="1"/>
  <c r="AH129" i="10"/>
  <c r="R197" i="13"/>
  <c r="L198" i="13"/>
  <c r="S189" i="13"/>
  <c r="F41" i="12"/>
  <c r="M52" i="22"/>
  <c r="O42" i="17"/>
  <c r="AG62" i="10"/>
  <c r="AG59" i="10" s="1"/>
  <c r="O59" i="10"/>
  <c r="I29" i="18"/>
  <c r="AF29" i="18"/>
  <c r="H29" i="17"/>
  <c r="D37" i="18"/>
  <c r="D32" i="17"/>
  <c r="R107" i="22"/>
  <c r="R123" i="22" s="1"/>
  <c r="L73" i="21"/>
  <c r="V29" i="22"/>
  <c r="O29" i="22"/>
  <c r="U29" i="22" s="1"/>
  <c r="Q29" i="22"/>
  <c r="T29" i="22"/>
  <c r="J23" i="23"/>
  <c r="AH23" i="23" s="1"/>
  <c r="AH24" i="23"/>
  <c r="J17" i="25"/>
  <c r="AH17" i="25" s="1"/>
  <c r="AG17" i="25"/>
  <c r="O20" i="17"/>
  <c r="AB21" i="27"/>
  <c r="AA20" i="27"/>
  <c r="P32" i="27"/>
  <c r="P37" i="27" s="1"/>
  <c r="AC34" i="28"/>
  <c r="AC33" i="28" s="1"/>
  <c r="AB33" i="28"/>
  <c r="AG33" i="26"/>
  <c r="AI33" i="26"/>
  <c r="I13" i="29"/>
  <c r="AF13" i="29"/>
  <c r="P384" i="55"/>
  <c r="R397" i="55" s="1"/>
  <c r="F57" i="33"/>
  <c r="F61" i="33"/>
  <c r="F60" i="33"/>
  <c r="AJ37" i="33"/>
  <c r="AM11" i="17"/>
  <c r="AR11" i="17" s="1"/>
  <c r="AF11" i="17"/>
  <c r="J111" i="10"/>
  <c r="AC93" i="12"/>
  <c r="K94" i="12"/>
  <c r="AG43" i="38"/>
  <c r="AI43" i="38"/>
  <c r="J43" i="38"/>
  <c r="AH43" i="38" s="1"/>
  <c r="M71" i="41"/>
  <c r="S71" i="41" s="1"/>
  <c r="C95" i="10"/>
  <c r="C97" i="7"/>
  <c r="S60" i="42"/>
  <c r="N60" i="42"/>
  <c r="V38" i="41"/>
  <c r="T38" i="41"/>
  <c r="M152" i="51"/>
  <c r="F9" i="56"/>
  <c r="I9" i="56"/>
  <c r="M54" i="7"/>
  <c r="AG239" i="13"/>
  <c r="S57" i="12"/>
  <c r="O239" i="13"/>
  <c r="T239" i="13"/>
  <c r="G57" i="12"/>
  <c r="D29" i="7"/>
  <c r="Z29" i="11"/>
  <c r="D28" i="11"/>
  <c r="U46" i="22"/>
  <c r="V13" i="18"/>
  <c r="Q13" i="18"/>
  <c r="Q13" i="17" s="1"/>
  <c r="U41" i="10" s="1"/>
  <c r="AE10" i="12"/>
  <c r="AK10" i="12" s="1"/>
  <c r="M11" i="10"/>
  <c r="AE11" i="10" s="1"/>
  <c r="R26" i="22"/>
  <c r="L125" i="22"/>
  <c r="AG44" i="25"/>
  <c r="J44" i="25"/>
  <c r="AH44" i="25" s="1"/>
  <c r="AI44" i="25"/>
  <c r="U11" i="22"/>
  <c r="O11" i="21"/>
  <c r="U11" i="21" s="1"/>
  <c r="J13" i="25"/>
  <c r="AH13" i="25" s="1"/>
  <c r="AG13" i="25"/>
  <c r="AI13" i="25"/>
  <c r="L15" i="39"/>
  <c r="AG47" i="28"/>
  <c r="AI47" i="28"/>
  <c r="AG19" i="23"/>
  <c r="J19" i="23"/>
  <c r="AH19" i="23" s="1"/>
  <c r="AI19" i="23"/>
  <c r="AG43" i="25"/>
  <c r="J43" i="25"/>
  <c r="AH43" i="25" s="1"/>
  <c r="AI43" i="25"/>
  <c r="J14" i="27"/>
  <c r="AH14" i="27" s="1"/>
  <c r="AG14" i="27"/>
  <c r="AI14" i="27"/>
  <c r="H32" i="26"/>
  <c r="Q12" i="39"/>
  <c r="O11" i="39"/>
  <c r="AH21" i="30"/>
  <c r="J20" i="30"/>
  <c r="AH20" i="30" s="1"/>
  <c r="H41" i="34"/>
  <c r="I41" i="36"/>
  <c r="J31" i="39"/>
  <c r="AE47" i="36"/>
  <c r="G52" i="36"/>
  <c r="Z52" i="43"/>
  <c r="O52" i="43"/>
  <c r="U52" i="43" s="1"/>
  <c r="T52" i="43"/>
  <c r="Q52" i="43"/>
  <c r="K89" i="43"/>
  <c r="K92" i="43"/>
  <c r="K93" i="43"/>
  <c r="X113" i="42"/>
  <c r="O113" i="42"/>
  <c r="Q113" i="42"/>
  <c r="N116" i="42"/>
  <c r="T113" i="42"/>
  <c r="N65" i="41"/>
  <c r="R23" i="47"/>
  <c r="Q120" i="12"/>
  <c r="E120" i="12"/>
  <c r="U118" i="46"/>
  <c r="O56" i="55"/>
  <c r="Q56" i="55" s="1"/>
  <c r="O274" i="13"/>
  <c r="Q274" i="13"/>
  <c r="AG274" i="13"/>
  <c r="T274" i="13"/>
  <c r="O164" i="13"/>
  <c r="U164" i="13" s="1"/>
  <c r="T164" i="13"/>
  <c r="AG164" i="13"/>
  <c r="Q164" i="13"/>
  <c r="P35" i="17"/>
  <c r="T76" i="10" s="1"/>
  <c r="AF76" i="10" s="1"/>
  <c r="Q35" i="18"/>
  <c r="Q35" i="17" s="1"/>
  <c r="U76" i="10" s="1"/>
  <c r="AG76" i="10" s="1"/>
  <c r="AM76" i="10" s="1"/>
  <c r="S29" i="14"/>
  <c r="L71" i="12" s="1"/>
  <c r="G71" i="11"/>
  <c r="F71" i="12"/>
  <c r="AB35" i="14"/>
  <c r="O35" i="14"/>
  <c r="O37" i="14" s="1"/>
  <c r="T35" i="14"/>
  <c r="Q35" i="14"/>
  <c r="AB28" i="14"/>
  <c r="O28" i="14"/>
  <c r="U28" i="14" s="1"/>
  <c r="T28" i="14"/>
  <c r="J17" i="23"/>
  <c r="AG17" i="23"/>
  <c r="I17" i="17"/>
  <c r="U27" i="22"/>
  <c r="O25" i="21"/>
  <c r="J13" i="24"/>
  <c r="AH13" i="24" s="1"/>
  <c r="AG13" i="24"/>
  <c r="V42" i="25"/>
  <c r="V41" i="25" s="1"/>
  <c r="V52" i="25" s="1"/>
  <c r="U41" i="25"/>
  <c r="U52" i="25" s="1"/>
  <c r="I54" i="17"/>
  <c r="AG54" i="28"/>
  <c r="AI54" i="28"/>
  <c r="J54" i="28"/>
  <c r="H210" i="55"/>
  <c r="H215" i="55" s="1"/>
  <c r="I210" i="55"/>
  <c r="I215" i="55" s="1"/>
  <c r="J210" i="55"/>
  <c r="J215" i="55" s="1"/>
  <c r="C210" i="55"/>
  <c r="K210" i="55"/>
  <c r="K215" i="55" s="1"/>
  <c r="D210" i="55"/>
  <c r="D215" i="55" s="1"/>
  <c r="L210" i="55"/>
  <c r="L215" i="55" s="1"/>
  <c r="F210" i="55"/>
  <c r="F215" i="55" s="1"/>
  <c r="N210" i="55"/>
  <c r="N215" i="55" s="1"/>
  <c r="G210" i="55"/>
  <c r="G215" i="55" s="1"/>
  <c r="M210" i="55"/>
  <c r="M215" i="55" s="1"/>
  <c r="E210" i="55"/>
  <c r="E215" i="55" s="1"/>
  <c r="O199" i="55"/>
  <c r="Q199" i="55" s="1"/>
  <c r="J24" i="33"/>
  <c r="AG24" i="33"/>
  <c r="I23" i="33"/>
  <c r="AG23" i="33" s="1"/>
  <c r="N32" i="34"/>
  <c r="N37" i="34" s="1"/>
  <c r="N60" i="34" s="1"/>
  <c r="AG29" i="66"/>
  <c r="J29" i="66"/>
  <c r="AH29" i="66" s="1"/>
  <c r="H32" i="36"/>
  <c r="AF8" i="36"/>
  <c r="J24" i="66"/>
  <c r="AG24" i="66"/>
  <c r="I23" i="66"/>
  <c r="AG23" i="66" s="1"/>
  <c r="G127" i="12"/>
  <c r="O112" i="42"/>
  <c r="O62" i="41"/>
  <c r="U110" i="42"/>
  <c r="X65" i="42"/>
  <c r="O65" i="42"/>
  <c r="U65" i="42" s="1"/>
  <c r="Q65" i="42"/>
  <c r="T65" i="42"/>
  <c r="O167" i="46"/>
  <c r="U167" i="46" s="1"/>
  <c r="T167" i="46"/>
  <c r="AA54" i="46"/>
  <c r="O54" i="46"/>
  <c r="Q54" i="46"/>
  <c r="U29" i="47"/>
  <c r="G45" i="7"/>
  <c r="M45" i="7" s="1"/>
  <c r="F46" i="10"/>
  <c r="M45" i="11"/>
  <c r="AG131" i="13"/>
  <c r="T131" i="13"/>
  <c r="N160" i="13"/>
  <c r="O131" i="13"/>
  <c r="C18" i="56"/>
  <c r="P33" i="7"/>
  <c r="C28" i="7"/>
  <c r="AI8" i="10"/>
  <c r="E29" i="11"/>
  <c r="Q30" i="11"/>
  <c r="E30" i="7"/>
  <c r="D31" i="10"/>
  <c r="S294" i="13"/>
  <c r="N294" i="13"/>
  <c r="N13" i="11"/>
  <c r="H13" i="7"/>
  <c r="G14" i="10"/>
  <c r="K13" i="11"/>
  <c r="V30" i="17"/>
  <c r="W30" i="18"/>
  <c r="W30" i="17" s="1"/>
  <c r="AP51" i="17"/>
  <c r="U7" i="9"/>
  <c r="P85" i="22"/>
  <c r="U86" i="22"/>
  <c r="O23" i="22"/>
  <c r="T23" i="22"/>
  <c r="N25" i="22"/>
  <c r="V23" i="22"/>
  <c r="N21" i="21"/>
  <c r="U61" i="22"/>
  <c r="O48" i="21"/>
  <c r="AG30" i="24"/>
  <c r="J30" i="24"/>
  <c r="AH30" i="24" s="1"/>
  <c r="O32" i="24"/>
  <c r="O37" i="24" s="1"/>
  <c r="O60" i="24" s="1"/>
  <c r="R13" i="39"/>
  <c r="J12" i="39"/>
  <c r="G37" i="30"/>
  <c r="AE32" i="30"/>
  <c r="AB9" i="33"/>
  <c r="AA8" i="33"/>
  <c r="AA32" i="33" s="1"/>
  <c r="AA37" i="33" s="1"/>
  <c r="AH42" i="28"/>
  <c r="J41" i="28"/>
  <c r="V33" i="29"/>
  <c r="AJ37" i="35"/>
  <c r="C369" i="55"/>
  <c r="D369" i="55" s="1"/>
  <c r="E369" i="55" s="1"/>
  <c r="F369" i="55" s="1"/>
  <c r="G369" i="55" s="1"/>
  <c r="H369" i="55" s="1"/>
  <c r="I369" i="55" s="1"/>
  <c r="J369" i="55" s="1"/>
  <c r="K369" i="55" s="1"/>
  <c r="L369" i="55" s="1"/>
  <c r="M369" i="55" s="1"/>
  <c r="N369" i="55" s="1"/>
  <c r="O356" i="55"/>
  <c r="AC32" i="37"/>
  <c r="AC37" i="37" s="1"/>
  <c r="O123" i="46"/>
  <c r="T123" i="46"/>
  <c r="U39" i="42"/>
  <c r="O37" i="41"/>
  <c r="U37" i="41" s="1"/>
  <c r="Z57" i="43"/>
  <c r="O57" i="43"/>
  <c r="U57" i="43" s="1"/>
  <c r="T57" i="43"/>
  <c r="Q57" i="43"/>
  <c r="AA102" i="46"/>
  <c r="O102" i="46"/>
  <c r="T102" i="46"/>
  <c r="Q78" i="45"/>
  <c r="V78" i="45"/>
  <c r="T78" i="45"/>
  <c r="O78" i="45"/>
  <c r="U78" i="45" s="1"/>
  <c r="AA51" i="46"/>
  <c r="T51" i="46"/>
  <c r="O51" i="46"/>
  <c r="U51" i="46" s="1"/>
  <c r="AA34" i="52"/>
  <c r="K34" i="52"/>
  <c r="M74" i="20"/>
  <c r="S74" i="20" s="1"/>
  <c r="C154" i="51"/>
  <c r="M83" i="22"/>
  <c r="G62" i="37"/>
  <c r="AE52" i="37"/>
  <c r="Q305" i="13"/>
  <c r="N311" i="13"/>
  <c r="AG305" i="13"/>
  <c r="O305" i="13"/>
  <c r="T305" i="13"/>
  <c r="O144" i="13"/>
  <c r="U144" i="13" s="1"/>
  <c r="Q144" i="13"/>
  <c r="T144" i="13"/>
  <c r="AG144" i="13"/>
  <c r="AH39" i="12"/>
  <c r="AD70" i="12"/>
  <c r="AJ70" i="12" s="1"/>
  <c r="L71" i="10"/>
  <c r="L68" i="12"/>
  <c r="U13" i="14"/>
  <c r="O15" i="14"/>
  <c r="AH64" i="12"/>
  <c r="D87" i="12"/>
  <c r="AH87" i="12" s="1"/>
  <c r="S36" i="22"/>
  <c r="M42" i="22"/>
  <c r="S42" i="22" s="1"/>
  <c r="G62" i="23"/>
  <c r="AE52" i="23"/>
  <c r="S57" i="21"/>
  <c r="M59" i="21"/>
  <c r="U7" i="21"/>
  <c r="AF41" i="24"/>
  <c r="H52" i="24"/>
  <c r="P32" i="23"/>
  <c r="AC42" i="29"/>
  <c r="AC41" i="29" s="1"/>
  <c r="AC52" i="29" s="1"/>
  <c r="AB41" i="29"/>
  <c r="AB52" i="29" s="1"/>
  <c r="P300" i="55"/>
  <c r="R313" i="55" s="1"/>
  <c r="F60" i="32"/>
  <c r="AJ37" i="32"/>
  <c r="F61" i="32"/>
  <c r="F57" i="32"/>
  <c r="AE32" i="28"/>
  <c r="G37" i="28"/>
  <c r="U42" i="33"/>
  <c r="T41" i="33"/>
  <c r="T52" i="33" s="1"/>
  <c r="AI36" i="37"/>
  <c r="J36" i="37"/>
  <c r="AG36" i="37"/>
  <c r="I33" i="37"/>
  <c r="L35" i="41"/>
  <c r="R31" i="41"/>
  <c r="M73" i="42"/>
  <c r="N71" i="42"/>
  <c r="S71" i="42"/>
  <c r="O102" i="7"/>
  <c r="N102" i="7"/>
  <c r="AG306" i="13"/>
  <c r="T306" i="13"/>
  <c r="O306" i="13"/>
  <c r="U306" i="13" s="1"/>
  <c r="H25" i="8"/>
  <c r="L25" i="8" s="1"/>
  <c r="I26" i="8"/>
  <c r="L26" i="8"/>
  <c r="J15" i="10"/>
  <c r="AF36" i="12"/>
  <c r="AL36" i="12" s="1"/>
  <c r="AH19" i="12"/>
  <c r="D14" i="12"/>
  <c r="AB31" i="17"/>
  <c r="AC31" i="18"/>
  <c r="AC31" i="17" s="1"/>
  <c r="T8" i="14"/>
  <c r="O8" i="14"/>
  <c r="U8" i="14" s="1"/>
  <c r="L5" i="39"/>
  <c r="AI47" i="23"/>
  <c r="AG47" i="23"/>
  <c r="N23" i="14"/>
  <c r="T17" i="14"/>
  <c r="O17" i="14"/>
  <c r="AB38" i="14"/>
  <c r="T38" i="14"/>
  <c r="O38" i="14"/>
  <c r="N322" i="13"/>
  <c r="H77" i="11"/>
  <c r="G77" i="12"/>
  <c r="H22" i="8"/>
  <c r="I27" i="17"/>
  <c r="E37" i="18"/>
  <c r="E32" i="17"/>
  <c r="AU32" i="17" s="1"/>
  <c r="T18" i="13"/>
  <c r="O6" i="5" s="1"/>
  <c r="P6" i="5" s="1"/>
  <c r="R74" i="20"/>
  <c r="L75" i="20"/>
  <c r="AH35" i="23"/>
  <c r="V45" i="22"/>
  <c r="T45" i="22"/>
  <c r="N36" i="21"/>
  <c r="Q45" i="22"/>
  <c r="U68" i="22"/>
  <c r="O52" i="21"/>
  <c r="U52" i="21" s="1"/>
  <c r="V9" i="29"/>
  <c r="O41" i="30"/>
  <c r="O52" i="30" s="1"/>
  <c r="P42" i="30"/>
  <c r="P41" i="30" s="1"/>
  <c r="P52" i="30" s="1"/>
  <c r="U33" i="34"/>
  <c r="V34" i="34"/>
  <c r="V33" i="34" s="1"/>
  <c r="J31" i="36"/>
  <c r="AH31" i="36" s="1"/>
  <c r="AG31" i="36"/>
  <c r="J35" i="36"/>
  <c r="AH35" i="36" s="1"/>
  <c r="AG35" i="36"/>
  <c r="O23" i="37"/>
  <c r="P24" i="37"/>
  <c r="P23" i="37" s="1"/>
  <c r="AG19" i="66"/>
  <c r="J19" i="66"/>
  <c r="AH19" i="66" s="1"/>
  <c r="M34" i="41"/>
  <c r="S34" i="41" s="1"/>
  <c r="S32" i="41"/>
  <c r="I48" i="38"/>
  <c r="AF48" i="38"/>
  <c r="H47" i="38"/>
  <c r="O72" i="43"/>
  <c r="U70" i="43"/>
  <c r="U38" i="43"/>
  <c r="S85" i="45"/>
  <c r="M87" i="45"/>
  <c r="H115" i="12"/>
  <c r="H115" i="11"/>
  <c r="N115" i="11" s="1"/>
  <c r="AK115" i="12"/>
  <c r="O290" i="13"/>
  <c r="U290" i="13" s="1"/>
  <c r="T290" i="13"/>
  <c r="AG290" i="13"/>
  <c r="M192" i="20"/>
  <c r="S192" i="20" s="1"/>
  <c r="S171" i="20"/>
  <c r="M75" i="11"/>
  <c r="G75" i="7"/>
  <c r="M75" i="7" s="1"/>
  <c r="F76" i="10"/>
  <c r="AJ76" i="10" s="1"/>
  <c r="U129" i="20"/>
  <c r="O134" i="20"/>
  <c r="V15" i="22"/>
  <c r="O15" i="22"/>
  <c r="Q15" i="22"/>
  <c r="T15" i="22"/>
  <c r="N15" i="21"/>
  <c r="W24" i="17"/>
  <c r="W23" i="18"/>
  <c r="W23" i="17" s="1"/>
  <c r="O20" i="10" s="1"/>
  <c r="AB52" i="23"/>
  <c r="AG49" i="25"/>
  <c r="J49" i="25"/>
  <c r="I47" i="25"/>
  <c r="O8" i="66"/>
  <c r="P9" i="66"/>
  <c r="P8" i="66" s="1"/>
  <c r="H32" i="27"/>
  <c r="AF8" i="27"/>
  <c r="AC42" i="30"/>
  <c r="AC41" i="30" s="1"/>
  <c r="AB41" i="30"/>
  <c r="J16" i="31"/>
  <c r="AH16" i="31" s="1"/>
  <c r="AG16" i="31"/>
  <c r="AI16" i="31"/>
  <c r="AG23" i="32"/>
  <c r="AI23" i="32"/>
  <c r="J54" i="36"/>
  <c r="AH54" i="36" s="1"/>
  <c r="AI54" i="36"/>
  <c r="AG54" i="36"/>
  <c r="P34" i="38"/>
  <c r="P33" i="38" s="1"/>
  <c r="O33" i="38"/>
  <c r="AC48" i="38"/>
  <c r="AC47" i="38" s="1"/>
  <c r="AB47" i="38"/>
  <c r="N50" i="40"/>
  <c r="O47" i="40"/>
  <c r="T47" i="40"/>
  <c r="V47" i="40"/>
  <c r="Q47" i="40"/>
  <c r="X115" i="42"/>
  <c r="T115" i="42"/>
  <c r="N67" i="41"/>
  <c r="O115" i="42"/>
  <c r="Q115" i="42"/>
  <c r="X23" i="42"/>
  <c r="T23" i="42"/>
  <c r="V41" i="41"/>
  <c r="T41" i="41"/>
  <c r="N42" i="41"/>
  <c r="Q41" i="41"/>
  <c r="O7" i="42"/>
  <c r="T7" i="42"/>
  <c r="N13" i="42"/>
  <c r="N7" i="41"/>
  <c r="AA30" i="46"/>
  <c r="Q30" i="46"/>
  <c r="T30" i="46"/>
  <c r="O30" i="46"/>
  <c r="U30" i="46" s="1"/>
  <c r="R45" i="47"/>
  <c r="Q124" i="12"/>
  <c r="L56" i="47"/>
  <c r="L57" i="47" s="1"/>
  <c r="N150" i="46"/>
  <c r="S150" i="46"/>
  <c r="AH122" i="12"/>
  <c r="AA45" i="46"/>
  <c r="T45" i="46"/>
  <c r="O45" i="46"/>
  <c r="U45" i="46" s="1"/>
  <c r="Q45" i="46"/>
  <c r="G25" i="17"/>
  <c r="G23" i="18"/>
  <c r="AE25" i="18"/>
  <c r="O284" i="13"/>
  <c r="U284" i="13" s="1"/>
  <c r="T284" i="13"/>
  <c r="AG284" i="13"/>
  <c r="Q38" i="10"/>
  <c r="AC62" i="12"/>
  <c r="AI62" i="12" s="1"/>
  <c r="Q63" i="10"/>
  <c r="AC63" i="10" s="1"/>
  <c r="U19" i="13"/>
  <c r="O20" i="13"/>
  <c r="N15" i="12"/>
  <c r="T18" i="14"/>
  <c r="O18" i="14"/>
  <c r="U18" i="14" s="1"/>
  <c r="AH26" i="18"/>
  <c r="K26" i="18"/>
  <c r="K26" i="17" s="1"/>
  <c r="M72" i="11"/>
  <c r="F73" i="10"/>
  <c r="AJ73" i="10" s="1"/>
  <c r="G72" i="7"/>
  <c r="M72" i="7" s="1"/>
  <c r="V45" i="20"/>
  <c r="T45" i="20"/>
  <c r="P46" i="23"/>
  <c r="O46" i="17"/>
  <c r="O41" i="23"/>
  <c r="V20" i="18"/>
  <c r="W21" i="18"/>
  <c r="U60" i="22"/>
  <c r="O47" i="21"/>
  <c r="AC32" i="31"/>
  <c r="AC37" i="31" s="1"/>
  <c r="J20" i="27"/>
  <c r="AH20" i="27" s="1"/>
  <c r="AH21" i="27"/>
  <c r="AM35" i="17"/>
  <c r="AR35" i="17" s="1"/>
  <c r="AF35" i="17"/>
  <c r="G21" i="8"/>
  <c r="P37" i="36"/>
  <c r="U8" i="66"/>
  <c r="U32" i="66" s="1"/>
  <c r="V9" i="66"/>
  <c r="V8" i="66" s="1"/>
  <c r="V32" i="66" s="1"/>
  <c r="X85" i="42"/>
  <c r="T85" i="42"/>
  <c r="O85" i="42"/>
  <c r="U85" i="42" s="1"/>
  <c r="Q85" i="42"/>
  <c r="X61" i="42"/>
  <c r="Q61" i="42"/>
  <c r="T61" i="42"/>
  <c r="O61" i="42"/>
  <c r="U61" i="42" s="1"/>
  <c r="N112" i="46"/>
  <c r="S112" i="46"/>
  <c r="S45" i="43"/>
  <c r="N45" i="43"/>
  <c r="AA44" i="46"/>
  <c r="O44" i="46"/>
  <c r="U44" i="46" s="1"/>
  <c r="Q44" i="46"/>
  <c r="T44" i="46"/>
  <c r="S31" i="12"/>
  <c r="R32" i="10"/>
  <c r="R29" i="12"/>
  <c r="M50" i="11"/>
  <c r="G50" i="7"/>
  <c r="M50" i="7" s="1"/>
  <c r="F51" i="10"/>
  <c r="T157" i="13"/>
  <c r="AG157" i="13"/>
  <c r="O157" i="13"/>
  <c r="U157" i="13" s="1"/>
  <c r="Q157" i="13"/>
  <c r="S193" i="13"/>
  <c r="N193" i="13"/>
  <c r="M197" i="13"/>
  <c r="O39" i="10"/>
  <c r="AG39" i="10" s="1"/>
  <c r="AG38" i="12"/>
  <c r="P61" i="12"/>
  <c r="E58" i="11"/>
  <c r="Q61" i="11"/>
  <c r="D62" i="10"/>
  <c r="E11" i="9"/>
  <c r="E61" i="7"/>
  <c r="Q259" i="13"/>
  <c r="T259" i="13"/>
  <c r="AG259" i="13"/>
  <c r="O259" i="13"/>
  <c r="U259" i="13" s="1"/>
  <c r="M49" i="13"/>
  <c r="S49" i="13" s="1"/>
  <c r="AG187" i="13"/>
  <c r="Q187" i="13"/>
  <c r="N189" i="13"/>
  <c r="T187" i="13"/>
  <c r="O187" i="13"/>
  <c r="U31" i="18"/>
  <c r="T31" i="17"/>
  <c r="AJ25" i="17"/>
  <c r="AK25" i="17"/>
  <c r="AE9" i="12"/>
  <c r="AK9" i="12" s="1"/>
  <c r="M10" i="10"/>
  <c r="AE10" i="10" s="1"/>
  <c r="T43" i="14"/>
  <c r="AB43" i="14"/>
  <c r="T32" i="14"/>
  <c r="M72" i="12" s="1"/>
  <c r="H72" i="11"/>
  <c r="G72" i="12"/>
  <c r="AB32" i="14"/>
  <c r="W72" i="12" s="1"/>
  <c r="O24" i="17"/>
  <c r="O23" i="18"/>
  <c r="P24" i="18"/>
  <c r="E73" i="12"/>
  <c r="U65" i="21"/>
  <c r="AE52" i="24"/>
  <c r="G62" i="24"/>
  <c r="O32" i="27"/>
  <c r="O37" i="27" s="1"/>
  <c r="U42" i="26"/>
  <c r="T41" i="26"/>
  <c r="T52" i="26" s="1"/>
  <c r="T60" i="26" s="1"/>
  <c r="O23" i="27"/>
  <c r="P24" i="27"/>
  <c r="P23" i="27" s="1"/>
  <c r="K19" i="39"/>
  <c r="AF47" i="30"/>
  <c r="AF8" i="33"/>
  <c r="H32" i="33"/>
  <c r="T48" i="36"/>
  <c r="S47" i="36"/>
  <c r="S52" i="36" s="1"/>
  <c r="C96" i="11"/>
  <c r="N9" i="8" s="1"/>
  <c r="C96" i="12"/>
  <c r="I34" i="44"/>
  <c r="C110" i="10"/>
  <c r="C112" i="7"/>
  <c r="AA57" i="46"/>
  <c r="O57" i="46"/>
  <c r="Q57" i="46"/>
  <c r="T57" i="46"/>
  <c r="N61" i="46"/>
  <c r="S61" i="46"/>
  <c r="W39" i="47"/>
  <c r="T39" i="47"/>
  <c r="O39" i="47"/>
  <c r="U39" i="47" s="1"/>
  <c r="Q39" i="47"/>
  <c r="AG97" i="12"/>
  <c r="Q110" i="11"/>
  <c r="Q14" i="12"/>
  <c r="Q20" i="10"/>
  <c r="Q15" i="10" s="1"/>
  <c r="AI138" i="10"/>
  <c r="AC150" i="10"/>
  <c r="O163" i="13"/>
  <c r="U163" i="13" s="1"/>
  <c r="T163" i="13"/>
  <c r="AG163" i="13"/>
  <c r="Q163" i="13"/>
  <c r="P14" i="54"/>
  <c r="Q14" i="54" s="1"/>
  <c r="E48" i="8"/>
  <c r="E158" i="7"/>
  <c r="AD57" i="12"/>
  <c r="R58" i="10"/>
  <c r="AD58" i="10" s="1"/>
  <c r="AL86" i="12"/>
  <c r="I86" i="11"/>
  <c r="I86" i="12"/>
  <c r="AM45" i="17"/>
  <c r="AR45" i="17" s="1"/>
  <c r="AF45" i="17"/>
  <c r="O55" i="20"/>
  <c r="U55" i="20" s="1"/>
  <c r="Q55" i="20"/>
  <c r="T55" i="20"/>
  <c r="V55" i="20"/>
  <c r="V90" i="20"/>
  <c r="O90" i="20"/>
  <c r="U90" i="20" s="1"/>
  <c r="Q90" i="20"/>
  <c r="T90" i="20"/>
  <c r="AC21" i="25"/>
  <c r="AC20" i="25" s="1"/>
  <c r="AC32" i="25" s="1"/>
  <c r="AB20" i="25"/>
  <c r="AB32" i="25" s="1"/>
  <c r="H37" i="25"/>
  <c r="AF32" i="25"/>
  <c r="J9" i="30"/>
  <c r="AG9" i="30"/>
  <c r="I8" i="30"/>
  <c r="G62" i="31"/>
  <c r="AE52" i="31"/>
  <c r="J42" i="34"/>
  <c r="AI42" i="34"/>
  <c r="I41" i="34"/>
  <c r="AG42" i="34"/>
  <c r="O47" i="34"/>
  <c r="O52" i="34" s="1"/>
  <c r="P48" i="34"/>
  <c r="P47" i="34" s="1"/>
  <c r="P52" i="34" s="1"/>
  <c r="J49" i="37"/>
  <c r="I47" i="37"/>
  <c r="AG49" i="37"/>
  <c r="U41" i="38"/>
  <c r="V42" i="38"/>
  <c r="V41" i="38" s="1"/>
  <c r="X122" i="42"/>
  <c r="Q122" i="42"/>
  <c r="O122" i="42"/>
  <c r="U122" i="42" s="1"/>
  <c r="T122" i="42"/>
  <c r="I89" i="43"/>
  <c r="I92" i="43"/>
  <c r="I93" i="43"/>
  <c r="Z84" i="43"/>
  <c r="O84" i="43"/>
  <c r="U84" i="43" s="1"/>
  <c r="Q84" i="43"/>
  <c r="T84" i="43"/>
  <c r="Z9" i="43"/>
  <c r="O9" i="43"/>
  <c r="U9" i="43" s="1"/>
  <c r="T9" i="43"/>
  <c r="Q9" i="43"/>
  <c r="L123" i="11"/>
  <c r="E123" i="10"/>
  <c r="F125" i="7"/>
  <c r="L125" i="7" s="1"/>
  <c r="AB114" i="12"/>
  <c r="J114" i="10"/>
  <c r="AB114" i="10" s="1"/>
  <c r="J111" i="12"/>
  <c r="U256" i="13"/>
  <c r="H25" i="12"/>
  <c r="AL25" i="12" s="1"/>
  <c r="I25" i="11"/>
  <c r="AL48" i="12"/>
  <c r="T225" i="13"/>
  <c r="O225" i="13"/>
  <c r="U225" i="13" s="1"/>
  <c r="AG225" i="13"/>
  <c r="S129" i="13"/>
  <c r="M130" i="13"/>
  <c r="V16" i="18"/>
  <c r="V16" i="17" s="1"/>
  <c r="N44" i="10" s="1"/>
  <c r="U16" i="17"/>
  <c r="M44" i="10" s="1"/>
  <c r="L37" i="18"/>
  <c r="L32" i="17"/>
  <c r="AB27" i="14"/>
  <c r="O27" i="14"/>
  <c r="N29" i="14"/>
  <c r="T27" i="14"/>
  <c r="AK47" i="17"/>
  <c r="AJ47" i="17"/>
  <c r="L58" i="13"/>
  <c r="N19" i="22"/>
  <c r="S19" i="22"/>
  <c r="M21" i="22"/>
  <c r="M22" i="22" s="1"/>
  <c r="S22" i="22" s="1"/>
  <c r="I41" i="25"/>
  <c r="AE52" i="26"/>
  <c r="G62" i="26"/>
  <c r="J49" i="27"/>
  <c r="AH49" i="27" s="1"/>
  <c r="AG49" i="27"/>
  <c r="O32" i="35"/>
  <c r="AH48" i="32"/>
  <c r="J47" i="32"/>
  <c r="AH47" i="32" s="1"/>
  <c r="AB47" i="32"/>
  <c r="AC48" i="32"/>
  <c r="AC47" i="32" s="1"/>
  <c r="J26" i="32"/>
  <c r="AH26" i="32" s="1"/>
  <c r="AG26" i="32"/>
  <c r="AH24" i="31"/>
  <c r="J23" i="31"/>
  <c r="AH23" i="31" s="1"/>
  <c r="P10" i="34"/>
  <c r="P8" i="34" s="1"/>
  <c r="U10" i="34"/>
  <c r="O8" i="34"/>
  <c r="P440" i="55"/>
  <c r="R453" i="55" s="1"/>
  <c r="F61" i="37"/>
  <c r="AJ37" i="37"/>
  <c r="F60" i="37"/>
  <c r="U74" i="40"/>
  <c r="P74" i="40"/>
  <c r="AF41" i="66"/>
  <c r="H52" i="66"/>
  <c r="AA52" i="46"/>
  <c r="O52" i="46"/>
  <c r="U52" i="46" s="1"/>
  <c r="T52" i="46"/>
  <c r="L97" i="12"/>
  <c r="AD104" i="12"/>
  <c r="I16" i="56"/>
  <c r="F16" i="56"/>
  <c r="AL40" i="12"/>
  <c r="I40" i="11"/>
  <c r="I40" i="12"/>
  <c r="AJ45" i="12"/>
  <c r="AE59" i="13"/>
  <c r="J319" i="13"/>
  <c r="J324" i="13"/>
  <c r="O109" i="11"/>
  <c r="H109" i="10"/>
  <c r="AL109" i="10" s="1"/>
  <c r="I111" i="7"/>
  <c r="O111" i="7" s="1"/>
  <c r="AK13" i="12"/>
  <c r="AG302" i="13"/>
  <c r="O302" i="13"/>
  <c r="T302" i="13"/>
  <c r="N304" i="13"/>
  <c r="N317" i="13" s="1"/>
  <c r="AG162" i="13"/>
  <c r="N165" i="13"/>
  <c r="Q162" i="13"/>
  <c r="T162" i="13"/>
  <c r="O162" i="13"/>
  <c r="AE32" i="23"/>
  <c r="G37" i="23"/>
  <c r="R13" i="19"/>
  <c r="Q17" i="21"/>
  <c r="T17" i="21"/>
  <c r="J26" i="23"/>
  <c r="AH26" i="23" s="1"/>
  <c r="AG26" i="23"/>
  <c r="AB23" i="23"/>
  <c r="AC24" i="23"/>
  <c r="AC23" i="23" s="1"/>
  <c r="AH48" i="24"/>
  <c r="J47" i="24"/>
  <c r="AH47" i="24" s="1"/>
  <c r="P32" i="24"/>
  <c r="P37" i="24" s="1"/>
  <c r="P60" i="24" s="1"/>
  <c r="AH42" i="27"/>
  <c r="J41" i="27"/>
  <c r="I23" i="28"/>
  <c r="AG23" i="28" s="1"/>
  <c r="O23" i="30"/>
  <c r="P24" i="30"/>
  <c r="P23" i="30" s="1"/>
  <c r="P32" i="30" s="1"/>
  <c r="P37" i="30" s="1"/>
  <c r="P60" i="30" s="1"/>
  <c r="C200" i="55"/>
  <c r="D200" i="55" s="1"/>
  <c r="E200" i="55" s="1"/>
  <c r="F200" i="55" s="1"/>
  <c r="G200" i="55" s="1"/>
  <c r="H200" i="55" s="1"/>
  <c r="I200" i="55" s="1"/>
  <c r="J200" i="55" s="1"/>
  <c r="K200" i="55" s="1"/>
  <c r="L200" i="55" s="1"/>
  <c r="M200" i="55" s="1"/>
  <c r="N200" i="55" s="1"/>
  <c r="O187" i="55"/>
  <c r="R60" i="36"/>
  <c r="J12" i="36"/>
  <c r="AH12" i="36" s="1"/>
  <c r="AG12" i="36"/>
  <c r="R369" i="55"/>
  <c r="AC42" i="38"/>
  <c r="AC41" i="38" s="1"/>
  <c r="AB41" i="38"/>
  <c r="AB52" i="38" s="1"/>
  <c r="M133" i="42"/>
  <c r="T37" i="41"/>
  <c r="Q37" i="41"/>
  <c r="V37" i="41"/>
  <c r="N63" i="43"/>
  <c r="J105" i="45"/>
  <c r="D97" i="11"/>
  <c r="V79" i="45"/>
  <c r="Q79" i="45"/>
  <c r="T79" i="45"/>
  <c r="O79" i="45"/>
  <c r="U79" i="45" s="1"/>
  <c r="N53" i="46"/>
  <c r="S53" i="46"/>
  <c r="V74" i="46"/>
  <c r="W74" i="46"/>
  <c r="P112" i="10"/>
  <c r="AB112" i="12"/>
  <c r="N94" i="11"/>
  <c r="K94" i="11"/>
  <c r="C116" i="10"/>
  <c r="C118" i="7"/>
  <c r="C36" i="56" s="1"/>
  <c r="R281" i="13"/>
  <c r="L287" i="13"/>
  <c r="R287" i="13" s="1"/>
  <c r="F49" i="11"/>
  <c r="E49" i="12"/>
  <c r="J35" i="12"/>
  <c r="J40" i="10"/>
  <c r="AB39" i="12"/>
  <c r="T91" i="13"/>
  <c r="O91" i="13"/>
  <c r="N97" i="13"/>
  <c r="AG91" i="13"/>
  <c r="Q91" i="13"/>
  <c r="AN34" i="17"/>
  <c r="AS34" i="17" s="1"/>
  <c r="AG34" i="17"/>
  <c r="AI34" i="17"/>
  <c r="O80" i="22"/>
  <c r="U80" i="22" s="1"/>
  <c r="Q80" i="22"/>
  <c r="T80" i="22"/>
  <c r="V80" i="22"/>
  <c r="S90" i="22"/>
  <c r="M92" i="22"/>
  <c r="S92" i="22" s="1"/>
  <c r="AG8" i="26"/>
  <c r="AI8" i="26"/>
  <c r="I32" i="26"/>
  <c r="AF52" i="27"/>
  <c r="H62" i="27"/>
  <c r="U32" i="32"/>
  <c r="J15" i="34"/>
  <c r="AH15" i="34" s="1"/>
  <c r="AI15" i="34"/>
  <c r="AG15" i="34"/>
  <c r="AG26" i="66"/>
  <c r="J26" i="66"/>
  <c r="AH26" i="66" s="1"/>
  <c r="R33" i="39"/>
  <c r="J32" i="39"/>
  <c r="G37" i="66"/>
  <c r="AE32" i="66"/>
  <c r="M97" i="42"/>
  <c r="M98" i="42" s="1"/>
  <c r="S98" i="42" s="1"/>
  <c r="N84" i="42"/>
  <c r="S84" i="42"/>
  <c r="O20" i="42"/>
  <c r="U20" i="42" s="1"/>
  <c r="U14" i="42"/>
  <c r="O14" i="41"/>
  <c r="N38" i="45"/>
  <c r="T35" i="45"/>
  <c r="AA24" i="46"/>
  <c r="O24" i="46"/>
  <c r="U24" i="46" s="1"/>
  <c r="T24" i="46"/>
  <c r="AC21" i="7"/>
  <c r="D11" i="56"/>
  <c r="M100" i="10"/>
  <c r="AE100" i="10" s="1"/>
  <c r="AK100" i="10"/>
  <c r="R26" i="12"/>
  <c r="S270" i="13"/>
  <c r="K75" i="20"/>
  <c r="R46" i="20"/>
  <c r="AG196" i="13"/>
  <c r="Q196" i="13"/>
  <c r="T196" i="13"/>
  <c r="O196" i="13"/>
  <c r="U196" i="13" s="1"/>
  <c r="L33" i="11"/>
  <c r="E34" i="10"/>
  <c r="AI34" i="10" s="1"/>
  <c r="F33" i="7"/>
  <c r="L33" i="7" s="1"/>
  <c r="U32" i="14"/>
  <c r="N72" i="12" s="1"/>
  <c r="I72" i="11"/>
  <c r="H72" i="12"/>
  <c r="M67" i="11"/>
  <c r="F68" i="10"/>
  <c r="AJ68" i="10" s="1"/>
  <c r="G67" i="7"/>
  <c r="Y41" i="17"/>
  <c r="Y52" i="18"/>
  <c r="Y52" i="17" s="1"/>
  <c r="M41" i="17"/>
  <c r="AN50" i="17"/>
  <c r="AS50" i="17" s="1"/>
  <c r="AG50" i="17"/>
  <c r="S127" i="10"/>
  <c r="S125" i="10" s="1"/>
  <c r="S16" i="9"/>
  <c r="Z36" i="17"/>
  <c r="X141" i="12" s="1"/>
  <c r="Z33" i="18"/>
  <c r="Z33" i="17" s="1"/>
  <c r="AF12" i="17"/>
  <c r="AM12" i="17"/>
  <c r="AR12" i="17" s="1"/>
  <c r="J50" i="26"/>
  <c r="AH50" i="26" s="1"/>
  <c r="AG50" i="26"/>
  <c r="V34" i="30"/>
  <c r="V33" i="30" s="1"/>
  <c r="U33" i="30"/>
  <c r="P187" i="55"/>
  <c r="R200" i="55" s="1"/>
  <c r="AJ37" i="28"/>
  <c r="F60" i="28"/>
  <c r="F61" i="28"/>
  <c r="F57" i="28"/>
  <c r="AH9" i="32"/>
  <c r="J8" i="32"/>
  <c r="AG54" i="38"/>
  <c r="AI54" i="38"/>
  <c r="J54" i="38"/>
  <c r="AH54" i="38" s="1"/>
  <c r="AH48" i="34"/>
  <c r="J47" i="34"/>
  <c r="AH47" i="34" s="1"/>
  <c r="J49" i="38"/>
  <c r="AH49" i="38" s="1"/>
  <c r="AG49" i="38"/>
  <c r="V21" i="34"/>
  <c r="V20" i="34" s="1"/>
  <c r="U20" i="34"/>
  <c r="O41" i="36"/>
  <c r="P42" i="36"/>
  <c r="P41" i="36" s="1"/>
  <c r="J35" i="39"/>
  <c r="AE47" i="38"/>
  <c r="S30" i="42"/>
  <c r="M28" i="41"/>
  <c r="S28" i="41" s="1"/>
  <c r="AA73" i="46"/>
  <c r="T73" i="46"/>
  <c r="Q73" i="46"/>
  <c r="O73" i="46"/>
  <c r="U73" i="46" s="1"/>
  <c r="H25" i="17"/>
  <c r="H23" i="18"/>
  <c r="AF25" i="18"/>
  <c r="AG74" i="12"/>
  <c r="O73" i="12"/>
  <c r="O87" i="12" s="1"/>
  <c r="AG87" i="12" s="1"/>
  <c r="N108" i="22"/>
  <c r="S108" i="22"/>
  <c r="M74" i="21"/>
  <c r="S74" i="21" s="1"/>
  <c r="U10" i="22"/>
  <c r="O10" i="21"/>
  <c r="U10" i="21" s="1"/>
  <c r="V23" i="17"/>
  <c r="AC41" i="23"/>
  <c r="AC52" i="23" s="1"/>
  <c r="U119" i="22"/>
  <c r="O85" i="21"/>
  <c r="AA41" i="25"/>
  <c r="AA52" i="25" s="1"/>
  <c r="AB42" i="25"/>
  <c r="I8" i="28"/>
  <c r="AG33" i="29"/>
  <c r="AI33" i="29"/>
  <c r="P42" i="32"/>
  <c r="P41" i="32" s="1"/>
  <c r="P52" i="32" s="1"/>
  <c r="O41" i="32"/>
  <c r="O52" i="32" s="1"/>
  <c r="AC34" i="33"/>
  <c r="AC33" i="33" s="1"/>
  <c r="AB33" i="33"/>
  <c r="V69" i="41"/>
  <c r="T69" i="41"/>
  <c r="P24" i="66"/>
  <c r="P23" i="66" s="1"/>
  <c r="O23" i="66"/>
  <c r="X69" i="42"/>
  <c r="T69" i="42"/>
  <c r="O69" i="42"/>
  <c r="U69" i="42" s="1"/>
  <c r="Q69" i="42"/>
  <c r="L98" i="42"/>
  <c r="R98" i="42" s="1"/>
  <c r="R97" i="12"/>
  <c r="R98" i="10" s="1"/>
  <c r="R105" i="10"/>
  <c r="AA78" i="46"/>
  <c r="O78" i="46"/>
  <c r="U78" i="46" s="1"/>
  <c r="T78" i="46"/>
  <c r="N42" i="47"/>
  <c r="S42" i="47"/>
  <c r="M45" i="47"/>
  <c r="K111" i="12"/>
  <c r="AC112" i="12"/>
  <c r="K112" i="10"/>
  <c r="AG78" i="10"/>
  <c r="O77" i="10"/>
  <c r="M228" i="13"/>
  <c r="S224" i="13"/>
  <c r="F37" i="11"/>
  <c r="R119" i="13"/>
  <c r="L218" i="13"/>
  <c r="E37" i="12"/>
  <c r="O174" i="13"/>
  <c r="U174" i="13" s="1"/>
  <c r="T174" i="13"/>
  <c r="AG174" i="13"/>
  <c r="N275" i="13"/>
  <c r="N276" i="13" s="1"/>
  <c r="S275" i="13"/>
  <c r="N314" i="13"/>
  <c r="R62" i="12"/>
  <c r="F62" i="12"/>
  <c r="S314" i="13"/>
  <c r="U289" i="13"/>
  <c r="AG202" i="13"/>
  <c r="T202" i="13"/>
  <c r="O202" i="13"/>
  <c r="U202" i="13" s="1"/>
  <c r="Q202" i="13"/>
  <c r="U47" i="18"/>
  <c r="V48" i="18"/>
  <c r="AI37" i="10"/>
  <c r="C36" i="10"/>
  <c r="C64" i="10" s="1"/>
  <c r="C89" i="10" s="1"/>
  <c r="T46" i="18"/>
  <c r="S46" i="17"/>
  <c r="K98" i="10" s="1"/>
  <c r="AC98" i="10" s="1"/>
  <c r="Y36" i="17"/>
  <c r="W141" i="12" s="1"/>
  <c r="Y33" i="18"/>
  <c r="Y33" i="17" s="1"/>
  <c r="AB32" i="31"/>
  <c r="AB37" i="31" s="1"/>
  <c r="O47" i="27"/>
  <c r="O52" i="27" s="1"/>
  <c r="P48" i="27"/>
  <c r="P47" i="27" s="1"/>
  <c r="P52" i="27" s="1"/>
  <c r="Q170" i="55"/>
  <c r="U10" i="30"/>
  <c r="U8" i="30" s="1"/>
  <c r="U32" i="30" s="1"/>
  <c r="U37" i="30" s="1"/>
  <c r="T10" i="17"/>
  <c r="L38" i="10" s="1"/>
  <c r="O37" i="36"/>
  <c r="J25" i="34"/>
  <c r="AG25" i="34"/>
  <c r="AI25" i="34"/>
  <c r="I23" i="34"/>
  <c r="AB24" i="36"/>
  <c r="AA23" i="36"/>
  <c r="AH9" i="66"/>
  <c r="J8" i="66"/>
  <c r="T37" i="66"/>
  <c r="T60" i="66" s="1"/>
  <c r="S7" i="43"/>
  <c r="N7" i="43"/>
  <c r="M16" i="43"/>
  <c r="M87" i="43"/>
  <c r="M88" i="43"/>
  <c r="S32" i="42"/>
  <c r="N32" i="42"/>
  <c r="M30" i="41"/>
  <c r="S30" i="41" s="1"/>
  <c r="AA104" i="46"/>
  <c r="N117" i="46"/>
  <c r="O104" i="46"/>
  <c r="T104" i="46"/>
  <c r="AA17" i="46"/>
  <c r="O17" i="46"/>
  <c r="Q17" i="46"/>
  <c r="N25" i="46"/>
  <c r="T17" i="46"/>
  <c r="AA136" i="46"/>
  <c r="O136" i="46"/>
  <c r="U136" i="46" s="1"/>
  <c r="T136" i="46"/>
  <c r="I174" i="46"/>
  <c r="I177" i="46" s="1"/>
  <c r="C112" i="12"/>
  <c r="C111" i="12" s="1"/>
  <c r="C112" i="11"/>
  <c r="N117" i="11"/>
  <c r="G117" i="10"/>
  <c r="AK117" i="10" s="1"/>
  <c r="H119" i="7"/>
  <c r="N119" i="7" s="1"/>
  <c r="O100" i="10"/>
  <c r="AG100" i="10" s="1"/>
  <c r="AM100" i="10"/>
  <c r="Y152" i="7"/>
  <c r="AL129" i="10"/>
  <c r="AF150" i="10"/>
  <c r="AL150" i="10" s="1"/>
  <c r="P36" i="10"/>
  <c r="AB38" i="10"/>
  <c r="AD50" i="12"/>
  <c r="L51" i="10"/>
  <c r="AD51" i="10" s="1"/>
  <c r="AG145" i="13"/>
  <c r="T145" i="13"/>
  <c r="Q145" i="13"/>
  <c r="O145" i="13"/>
  <c r="U145" i="13" s="1"/>
  <c r="D58" i="12"/>
  <c r="AG212" i="13"/>
  <c r="N217" i="13"/>
  <c r="Q212" i="13"/>
  <c r="T212" i="13"/>
  <c r="O212" i="13"/>
  <c r="I49" i="17"/>
  <c r="AP23" i="17"/>
  <c r="T14" i="17"/>
  <c r="U14" i="18"/>
  <c r="F64" i="11"/>
  <c r="L65" i="11"/>
  <c r="F65" i="7"/>
  <c r="E66" i="10"/>
  <c r="P7" i="55"/>
  <c r="Q7" i="55" s="1"/>
  <c r="AI23" i="18"/>
  <c r="F23" i="17"/>
  <c r="G10" i="10"/>
  <c r="AK10" i="10" s="1"/>
  <c r="H9" i="7"/>
  <c r="N9" i="11"/>
  <c r="K9" i="11"/>
  <c r="N23" i="17"/>
  <c r="R20" i="10" s="1"/>
  <c r="R15" i="10" s="1"/>
  <c r="U16" i="22"/>
  <c r="O16" i="21"/>
  <c r="U16" i="21" s="1"/>
  <c r="N83" i="22"/>
  <c r="R30" i="17"/>
  <c r="S30" i="23"/>
  <c r="AF9" i="17"/>
  <c r="AM9" i="17"/>
  <c r="AR9" i="17" s="1"/>
  <c r="G36" i="7"/>
  <c r="F37" i="10"/>
  <c r="AE32" i="27"/>
  <c r="G37" i="27"/>
  <c r="AE52" i="32"/>
  <c r="G62" i="32"/>
  <c r="AA47" i="30"/>
  <c r="AA52" i="30" s="1"/>
  <c r="AA60" i="30" s="1"/>
  <c r="AB48" i="30"/>
  <c r="J11" i="30"/>
  <c r="AG11" i="30"/>
  <c r="J33" i="32"/>
  <c r="AH33" i="32" s="1"/>
  <c r="AH34" i="32"/>
  <c r="AE52" i="33"/>
  <c r="G62" i="33"/>
  <c r="H52" i="32"/>
  <c r="J41" i="35"/>
  <c r="AH42" i="35"/>
  <c r="C453" i="55"/>
  <c r="D453" i="55" s="1"/>
  <c r="E453" i="55" s="1"/>
  <c r="F453" i="55" s="1"/>
  <c r="G453" i="55" s="1"/>
  <c r="H453" i="55" s="1"/>
  <c r="I453" i="55" s="1"/>
  <c r="J453" i="55" s="1"/>
  <c r="K453" i="55" s="1"/>
  <c r="L453" i="55" s="1"/>
  <c r="M453" i="55" s="1"/>
  <c r="N453" i="55" s="1"/>
  <c r="O440" i="55"/>
  <c r="AF32" i="66"/>
  <c r="H37" i="66"/>
  <c r="Q93" i="11"/>
  <c r="N123" i="42"/>
  <c r="S123" i="42"/>
  <c r="U40" i="42"/>
  <c r="O38" i="41"/>
  <c r="U38" i="41" s="1"/>
  <c r="P15" i="46"/>
  <c r="P16" i="46" s="1"/>
  <c r="U15" i="46"/>
  <c r="I33" i="44"/>
  <c r="Q31" i="44"/>
  <c r="S96" i="46"/>
  <c r="S173" i="46" s="1"/>
  <c r="N96" i="46"/>
  <c r="E112" i="51"/>
  <c r="P112" i="7"/>
  <c r="L112" i="7"/>
  <c r="AG46" i="13"/>
  <c r="O46" i="13"/>
  <c r="U46" i="13" s="1"/>
  <c r="Q46" i="13"/>
  <c r="T46" i="13"/>
  <c r="M15" i="11"/>
  <c r="G15" i="7"/>
  <c r="F16" i="10"/>
  <c r="N86" i="11"/>
  <c r="AA87" i="10" s="1"/>
  <c r="AA88" i="10" s="1"/>
  <c r="V87" i="10"/>
  <c r="G87" i="10"/>
  <c r="H86" i="7"/>
  <c r="N86" i="7" s="1"/>
  <c r="Q87" i="10"/>
  <c r="L87" i="10"/>
  <c r="N52" i="22"/>
  <c r="AB41" i="14"/>
  <c r="T41" i="14"/>
  <c r="O41" i="14"/>
  <c r="U41" i="14" s="1"/>
  <c r="N9" i="22"/>
  <c r="S9" i="22"/>
  <c r="M9" i="21"/>
  <c r="S9" i="21" s="1"/>
  <c r="AJ8" i="17"/>
  <c r="AK8" i="17"/>
  <c r="K3" i="39"/>
  <c r="H47" i="18"/>
  <c r="H48" i="17"/>
  <c r="AF48" i="18"/>
  <c r="U9" i="13"/>
  <c r="N10" i="12"/>
  <c r="H10" i="12"/>
  <c r="I10" i="11"/>
  <c r="AE32" i="26"/>
  <c r="G37" i="26"/>
  <c r="AB9" i="36"/>
  <c r="AA8" i="36"/>
  <c r="P272" i="55"/>
  <c r="R285" i="55" s="1"/>
  <c r="F57" i="31"/>
  <c r="AJ37" i="31"/>
  <c r="F60" i="31"/>
  <c r="F61" i="31"/>
  <c r="O32" i="30"/>
  <c r="O37" i="30" s="1"/>
  <c r="O60" i="30" s="1"/>
  <c r="J33" i="34"/>
  <c r="AH33" i="34" s="1"/>
  <c r="AH34" i="34"/>
  <c r="O13" i="33"/>
  <c r="N13" i="17"/>
  <c r="R41" i="10" s="1"/>
  <c r="N8" i="33"/>
  <c r="N32" i="33" s="1"/>
  <c r="N37" i="33" s="1"/>
  <c r="N60" i="33" s="1"/>
  <c r="J22" i="36"/>
  <c r="AH22" i="36" s="1"/>
  <c r="AG22" i="36"/>
  <c r="AE32" i="36"/>
  <c r="G37" i="36"/>
  <c r="U102" i="42"/>
  <c r="V26" i="41"/>
  <c r="T26" i="41"/>
  <c r="Q26" i="41"/>
  <c r="T52" i="38"/>
  <c r="T60" i="38" s="1"/>
  <c r="U46" i="42"/>
  <c r="V29" i="41"/>
  <c r="T29" i="41"/>
  <c r="Q29" i="41"/>
  <c r="V158" i="46"/>
  <c r="W158" i="46" s="1"/>
  <c r="K160" i="46"/>
  <c r="U247" i="13"/>
  <c r="T22" i="12"/>
  <c r="O249" i="13"/>
  <c r="N64" i="13"/>
  <c r="M70" i="13"/>
  <c r="S64" i="13"/>
  <c r="AG126" i="13"/>
  <c r="Q126" i="13"/>
  <c r="N129" i="13"/>
  <c r="T126" i="13"/>
  <c r="O126" i="13"/>
  <c r="M12" i="11"/>
  <c r="G12" i="7"/>
  <c r="F13" i="10"/>
  <c r="G7" i="11"/>
  <c r="M46" i="20"/>
  <c r="U34" i="13"/>
  <c r="O38" i="13"/>
  <c r="R21" i="22"/>
  <c r="L19" i="21"/>
  <c r="S8" i="21"/>
  <c r="M13" i="21"/>
  <c r="AG33" i="27"/>
  <c r="AI33" i="27"/>
  <c r="P32" i="37"/>
  <c r="P37" i="37" s="1"/>
  <c r="P60" i="37" s="1"/>
  <c r="K17" i="39"/>
  <c r="K16" i="39" s="1"/>
  <c r="N16" i="39" s="1"/>
  <c r="AF47" i="29"/>
  <c r="P32" i="35"/>
  <c r="R19" i="39"/>
  <c r="J18" i="39"/>
  <c r="I47" i="32"/>
  <c r="AE32" i="33"/>
  <c r="G37" i="33"/>
  <c r="P24" i="34"/>
  <c r="P23" i="34" s="1"/>
  <c r="O23" i="34"/>
  <c r="AB34" i="35"/>
  <c r="AA33" i="35"/>
  <c r="V59" i="41"/>
  <c r="T59" i="41"/>
  <c r="Q59" i="41"/>
  <c r="V60" i="40"/>
  <c r="O60" i="40"/>
  <c r="U60" i="40" s="1"/>
  <c r="Q60" i="40"/>
  <c r="T60" i="40"/>
  <c r="O76" i="40"/>
  <c r="U76" i="40" s="1"/>
  <c r="Q76" i="40"/>
  <c r="T76" i="40"/>
  <c r="V76" i="40"/>
  <c r="I41" i="66"/>
  <c r="J42" i="66"/>
  <c r="AG42" i="66"/>
  <c r="AI42" i="66"/>
  <c r="U92" i="45"/>
  <c r="H127" i="12"/>
  <c r="I127" i="11"/>
  <c r="N127" i="12"/>
  <c r="V7" i="44"/>
  <c r="O7" i="44"/>
  <c r="Q7" i="44"/>
  <c r="T7" i="44"/>
  <c r="N32" i="44"/>
  <c r="S36" i="41"/>
  <c r="M39" i="41"/>
  <c r="AA115" i="46"/>
  <c r="O115" i="46"/>
  <c r="U115" i="46" s="1"/>
  <c r="T115" i="46"/>
  <c r="O12" i="46"/>
  <c r="T12" i="46"/>
  <c r="U27" i="46"/>
  <c r="J19" i="8"/>
  <c r="U74" i="7"/>
  <c r="P10" i="8"/>
  <c r="L97" i="11"/>
  <c r="Q97" i="11"/>
  <c r="N40" i="11"/>
  <c r="AH65" i="10"/>
  <c r="Z19" i="11"/>
  <c r="D19" i="7"/>
  <c r="D14" i="11"/>
  <c r="T31" i="10"/>
  <c r="R296" i="13"/>
  <c r="L299" i="13"/>
  <c r="AE13" i="12"/>
  <c r="M14" i="10"/>
  <c r="AE14" i="10" s="1"/>
  <c r="S165" i="13"/>
  <c r="M175" i="13"/>
  <c r="S175" i="13" s="1"/>
  <c r="AE10" i="18"/>
  <c r="G10" i="17"/>
  <c r="G8" i="18"/>
  <c r="AI43" i="10"/>
  <c r="P136" i="22"/>
  <c r="K48" i="18" s="1"/>
  <c r="V135" i="22"/>
  <c r="L67" i="11"/>
  <c r="F67" i="7"/>
  <c r="L67" i="7" s="1"/>
  <c r="E68" i="10"/>
  <c r="AI68" i="10" s="1"/>
  <c r="V48" i="23"/>
  <c r="V47" i="23" s="1"/>
  <c r="U47" i="23"/>
  <c r="L7" i="39"/>
  <c r="Q8" i="39" s="1"/>
  <c r="AI47" i="24"/>
  <c r="AG47" i="24"/>
  <c r="AG41" i="27"/>
  <c r="I52" i="27"/>
  <c r="AI41" i="27"/>
  <c r="AA47" i="28"/>
  <c r="AA52" i="28" s="1"/>
  <c r="AA60" i="28" s="1"/>
  <c r="AB48" i="28"/>
  <c r="AG41" i="28"/>
  <c r="I52" i="28"/>
  <c r="AI41" i="28"/>
  <c r="V34" i="33"/>
  <c r="V33" i="33" s="1"/>
  <c r="U33" i="33"/>
  <c r="T36" i="36"/>
  <c r="S33" i="36"/>
  <c r="S37" i="36" s="1"/>
  <c r="S60" i="36" s="1"/>
  <c r="AA52" i="38"/>
  <c r="AH22" i="66"/>
  <c r="J20" i="66"/>
  <c r="AH20" i="66" s="1"/>
  <c r="X121" i="42"/>
  <c r="O121" i="42"/>
  <c r="Q121" i="42"/>
  <c r="T121" i="42"/>
  <c r="N126" i="42"/>
  <c r="U50" i="43"/>
  <c r="J106" i="45"/>
  <c r="J108" i="45"/>
  <c r="J110" i="45" s="1"/>
  <c r="N25" i="43"/>
  <c r="S25" i="43"/>
  <c r="U145" i="46"/>
  <c r="AA19" i="46"/>
  <c r="T19" i="46"/>
  <c r="O19" i="46"/>
  <c r="U19" i="46" s="1"/>
  <c r="AB48" i="17"/>
  <c r="H32" i="37"/>
  <c r="G125" i="11"/>
  <c r="M125" i="11" s="1"/>
  <c r="M127" i="11"/>
  <c r="AM22" i="17"/>
  <c r="AR22" i="17" s="1"/>
  <c r="AF22" i="17"/>
  <c r="O332" i="55"/>
  <c r="Q332" i="55" s="1"/>
  <c r="V45" i="35"/>
  <c r="V45" i="17" s="1"/>
  <c r="U45" i="17"/>
  <c r="V48" i="38"/>
  <c r="V47" i="38" s="1"/>
  <c r="U47" i="38"/>
  <c r="C341" i="55"/>
  <c r="D341" i="55" s="1"/>
  <c r="E341" i="55" s="1"/>
  <c r="F341" i="55" s="1"/>
  <c r="G341" i="55" s="1"/>
  <c r="H341" i="55" s="1"/>
  <c r="I341" i="55" s="1"/>
  <c r="J341" i="55" s="1"/>
  <c r="K341" i="55" s="1"/>
  <c r="L341" i="55" s="1"/>
  <c r="M341" i="55" s="1"/>
  <c r="N341" i="55" s="1"/>
  <c r="O328" i="55"/>
  <c r="U33" i="66"/>
  <c r="V34" i="66"/>
  <c r="V33" i="66" s="1"/>
  <c r="R24" i="41"/>
  <c r="U26" i="45"/>
  <c r="P26" i="45"/>
  <c r="U95" i="45"/>
  <c r="O99" i="45"/>
  <c r="U26" i="47"/>
  <c r="E107" i="51"/>
  <c r="P107" i="7"/>
  <c r="T156" i="13"/>
  <c r="O156" i="13"/>
  <c r="U156" i="13" s="1"/>
  <c r="AG156" i="13"/>
  <c r="Q156" i="13"/>
  <c r="Q136" i="13"/>
  <c r="T136" i="13"/>
  <c r="AG136" i="13"/>
  <c r="O136" i="13"/>
  <c r="U136" i="13" s="1"/>
  <c r="T283" i="13"/>
  <c r="N285" i="13"/>
  <c r="O283" i="13"/>
  <c r="AG283" i="13"/>
  <c r="Q283" i="13"/>
  <c r="S51" i="12"/>
  <c r="H51" i="11"/>
  <c r="T286" i="13"/>
  <c r="G51" i="12"/>
  <c r="AG286" i="13"/>
  <c r="O286" i="13"/>
  <c r="U20" i="14"/>
  <c r="I24" i="8"/>
  <c r="P49" i="18"/>
  <c r="O49" i="17"/>
  <c r="O47" i="18"/>
  <c r="O72" i="20"/>
  <c r="T72" i="20"/>
  <c r="O61" i="20"/>
  <c r="U61" i="20" s="1"/>
  <c r="T61" i="20"/>
  <c r="V61" i="20"/>
  <c r="AH50" i="18"/>
  <c r="K50" i="18"/>
  <c r="K50" i="17" s="1"/>
  <c r="O18" i="13"/>
  <c r="U7" i="13"/>
  <c r="I8" i="11"/>
  <c r="N8" i="12"/>
  <c r="H8" i="12"/>
  <c r="AN51" i="17"/>
  <c r="AS51" i="17" s="1"/>
  <c r="AG51" i="17"/>
  <c r="H52" i="23"/>
  <c r="AF41" i="23"/>
  <c r="AH42" i="29"/>
  <c r="J41" i="29"/>
  <c r="J24" i="27"/>
  <c r="J24" i="17" s="1"/>
  <c r="AG24" i="27"/>
  <c r="I23" i="27"/>
  <c r="AG23" i="27" s="1"/>
  <c r="J30" i="31"/>
  <c r="AH30" i="31" s="1"/>
  <c r="AG30" i="31"/>
  <c r="AF15" i="17"/>
  <c r="AM15" i="17"/>
  <c r="AR15" i="17" s="1"/>
  <c r="G42" i="7"/>
  <c r="M42" i="7" s="1"/>
  <c r="F43" i="10"/>
  <c r="AI47" i="34"/>
  <c r="L27" i="39"/>
  <c r="L26" i="39" s="1"/>
  <c r="AG47" i="34"/>
  <c r="U41" i="36"/>
  <c r="V42" i="36"/>
  <c r="V41" i="36" s="1"/>
  <c r="AE52" i="38"/>
  <c r="Q34" i="42"/>
  <c r="X34" i="42"/>
  <c r="N36" i="42"/>
  <c r="T34" i="42"/>
  <c r="O34" i="42"/>
  <c r="N32" i="41"/>
  <c r="G62" i="66"/>
  <c r="AE52" i="66"/>
  <c r="Z80" i="43"/>
  <c r="T80" i="43"/>
  <c r="O80" i="43"/>
  <c r="U80" i="43" s="1"/>
  <c r="Q80" i="43"/>
  <c r="X118" i="42"/>
  <c r="O118" i="42"/>
  <c r="T118" i="42"/>
  <c r="N70" i="41"/>
  <c r="N71" i="41" s="1"/>
  <c r="Q118" i="42"/>
  <c r="Z72" i="43"/>
  <c r="T72" i="43"/>
  <c r="N85" i="43"/>
  <c r="Q72" i="43"/>
  <c r="M37" i="42"/>
  <c r="S37" i="42" s="1"/>
  <c r="S33" i="42"/>
  <c r="O165" i="46"/>
  <c r="U165" i="46" s="1"/>
  <c r="T165" i="46"/>
  <c r="O134" i="46"/>
  <c r="T134" i="46"/>
  <c r="T66" i="45"/>
  <c r="N85" i="45"/>
  <c r="V66" i="45"/>
  <c r="O66" i="45"/>
  <c r="Q66" i="45"/>
  <c r="S110" i="12"/>
  <c r="S110" i="10" s="1"/>
  <c r="T166" i="46"/>
  <c r="O166" i="46"/>
  <c r="U166" i="46" s="1"/>
  <c r="W27" i="47"/>
  <c r="O27" i="47"/>
  <c r="U27" i="47" s="1"/>
  <c r="T27" i="47"/>
  <c r="H113" i="12"/>
  <c r="T113" i="12"/>
  <c r="I113" i="11"/>
  <c r="AA65" i="46"/>
  <c r="O65" i="46"/>
  <c r="U65" i="46" s="1"/>
  <c r="T65" i="46"/>
  <c r="Y15" i="19"/>
  <c r="O15" i="19"/>
  <c r="I25" i="18"/>
  <c r="T15" i="19"/>
  <c r="N228" i="13"/>
  <c r="AG224" i="13"/>
  <c r="Q224" i="13"/>
  <c r="T224" i="13"/>
  <c r="P8" i="18"/>
  <c r="Q9" i="18"/>
  <c r="P19" i="17"/>
  <c r="T47" i="10" s="1"/>
  <c r="Q19" i="18"/>
  <c r="Q19" i="17" s="1"/>
  <c r="U47" i="10" s="1"/>
  <c r="AG47" i="10" s="1"/>
  <c r="AM47" i="10" s="1"/>
  <c r="N16" i="11"/>
  <c r="H16" i="7"/>
  <c r="N16" i="7" s="1"/>
  <c r="G17" i="10"/>
  <c r="AK17" i="10" s="1"/>
  <c r="AB36" i="14"/>
  <c r="O36" i="14"/>
  <c r="T36" i="14"/>
  <c r="G75" i="12"/>
  <c r="AK75" i="12" s="1"/>
  <c r="H75" i="11"/>
  <c r="H21" i="9"/>
  <c r="L21" i="9" s="1"/>
  <c r="O33" i="23"/>
  <c r="O37" i="23" s="1"/>
  <c r="P34" i="23"/>
  <c r="P33" i="23" s="1"/>
  <c r="U69" i="22"/>
  <c r="O53" i="21"/>
  <c r="U53" i="21" s="1"/>
  <c r="T60" i="21"/>
  <c r="Q60" i="21"/>
  <c r="AA48" i="17"/>
  <c r="U23" i="27"/>
  <c r="U23" i="17" s="1"/>
  <c r="V24" i="27"/>
  <c r="V23" i="27" s="1"/>
  <c r="R57" i="21"/>
  <c r="L59" i="21"/>
  <c r="U44" i="30"/>
  <c r="T41" i="30"/>
  <c r="AA23" i="34"/>
  <c r="AB24" i="34"/>
  <c r="P340" i="55"/>
  <c r="F62" i="34"/>
  <c r="AJ52" i="34"/>
  <c r="AA47" i="33"/>
  <c r="AA52" i="33" s="1"/>
  <c r="AB48" i="33"/>
  <c r="J26" i="34"/>
  <c r="AH26" i="34" s="1"/>
  <c r="AG26" i="34"/>
  <c r="P42" i="33"/>
  <c r="P41" i="33" s="1"/>
  <c r="P52" i="33" s="1"/>
  <c r="O41" i="33"/>
  <c r="O52" i="33" s="1"/>
  <c r="P328" i="55"/>
  <c r="R341" i="55" s="1"/>
  <c r="AJ37" i="34"/>
  <c r="F57" i="34"/>
  <c r="F61" i="34"/>
  <c r="F60" i="34"/>
  <c r="G37" i="38"/>
  <c r="AE32" i="38"/>
  <c r="X120" i="42"/>
  <c r="O120" i="42"/>
  <c r="T120" i="42"/>
  <c r="N72" i="41"/>
  <c r="O23" i="42"/>
  <c r="U23" i="42" s="1"/>
  <c r="U21" i="42"/>
  <c r="O21" i="41"/>
  <c r="R51" i="41"/>
  <c r="L55" i="41"/>
  <c r="R55" i="41" s="1"/>
  <c r="O27" i="45"/>
  <c r="S104" i="12"/>
  <c r="T27" i="45"/>
  <c r="N109" i="45"/>
  <c r="N103" i="45"/>
  <c r="V103" i="45" s="1"/>
  <c r="V27" i="45"/>
  <c r="AA152" i="46"/>
  <c r="T152" i="46"/>
  <c r="O152" i="46"/>
  <c r="U152" i="46" s="1"/>
  <c r="Q152" i="46"/>
  <c r="AA151" i="46"/>
  <c r="O151" i="46"/>
  <c r="U151" i="46" s="1"/>
  <c r="Q151" i="46"/>
  <c r="T151" i="46"/>
  <c r="N171" i="46"/>
  <c r="T171" i="46" s="1"/>
  <c r="O169" i="46"/>
  <c r="T169" i="46"/>
  <c r="N36" i="46"/>
  <c r="S36" i="46"/>
  <c r="W14" i="47"/>
  <c r="O14" i="47"/>
  <c r="U14" i="47" s="1"/>
  <c r="T14" i="47"/>
  <c r="W49" i="47"/>
  <c r="T49" i="47"/>
  <c r="O49" i="47"/>
  <c r="U49" i="47" s="1"/>
  <c r="Q49" i="47"/>
  <c r="AI129" i="10"/>
  <c r="E150" i="10"/>
  <c r="AI150" i="10" s="1"/>
  <c r="AM77" i="12"/>
  <c r="AG76" i="12"/>
  <c r="AM76" i="12" s="1"/>
  <c r="O222" i="13"/>
  <c r="U222" i="13" s="1"/>
  <c r="T222" i="13"/>
  <c r="AG222" i="13"/>
  <c r="R37" i="12"/>
  <c r="AD37" i="12" s="1"/>
  <c r="S112" i="13"/>
  <c r="N112" i="13"/>
  <c r="N119" i="13" s="1"/>
  <c r="U43" i="13"/>
  <c r="AG20" i="13"/>
  <c r="Q20" i="13"/>
  <c r="T20" i="13"/>
  <c r="H15" i="11"/>
  <c r="G15" i="12"/>
  <c r="Q71" i="20"/>
  <c r="V71" i="20"/>
  <c r="AD72" i="12"/>
  <c r="AJ72" i="12" s="1"/>
  <c r="L73" i="10"/>
  <c r="AD73" i="10" s="1"/>
  <c r="AF46" i="18"/>
  <c r="H46" i="17"/>
  <c r="C35" i="7"/>
  <c r="C20" i="56" s="1"/>
  <c r="AB98" i="10"/>
  <c r="J27" i="23"/>
  <c r="AH27" i="23" s="1"/>
  <c r="AG27" i="23"/>
  <c r="AG47" i="27"/>
  <c r="L13" i="39"/>
  <c r="L12" i="39" s="1"/>
  <c r="O12" i="39" s="1"/>
  <c r="AI47" i="27"/>
  <c r="P43" i="26"/>
  <c r="O41" i="26"/>
  <c r="O52" i="26" s="1"/>
  <c r="O43" i="17"/>
  <c r="AH25" i="29"/>
  <c r="J23" i="29"/>
  <c r="AH23" i="29" s="1"/>
  <c r="AG35" i="30"/>
  <c r="J35" i="30"/>
  <c r="I33" i="30"/>
  <c r="AA41" i="31"/>
  <c r="AB42" i="31"/>
  <c r="U23" i="34"/>
  <c r="V24" i="34"/>
  <c r="V23" i="34" s="1"/>
  <c r="U41" i="35"/>
  <c r="U47" i="66"/>
  <c r="U52" i="66" s="1"/>
  <c r="V48" i="66"/>
  <c r="V47" i="66" s="1"/>
  <c r="V52" i="66" s="1"/>
  <c r="R94" i="10"/>
  <c r="S53" i="40"/>
  <c r="M61" i="40"/>
  <c r="S61" i="40" s="1"/>
  <c r="N53" i="40"/>
  <c r="J83" i="41"/>
  <c r="D95" i="11"/>
  <c r="Q94" i="10"/>
  <c r="S59" i="41"/>
  <c r="U9" i="42"/>
  <c r="O9" i="41"/>
  <c r="U9" i="41" s="1"/>
  <c r="N161" i="46"/>
  <c r="M163" i="46"/>
  <c r="S163" i="46" s="1"/>
  <c r="S161" i="46"/>
  <c r="AJ50" i="12"/>
  <c r="AH49" i="18"/>
  <c r="K49" i="18"/>
  <c r="K49" i="17" s="1"/>
  <c r="O55" i="13"/>
  <c r="U55" i="13" s="1"/>
  <c r="T55" i="13"/>
  <c r="AG55" i="13"/>
  <c r="Q55" i="13"/>
  <c r="H14" i="17"/>
  <c r="AF14" i="18"/>
  <c r="U47" i="20"/>
  <c r="AH15" i="18"/>
  <c r="J15" i="17"/>
  <c r="N37" i="14"/>
  <c r="O51" i="20"/>
  <c r="U51" i="20" s="1"/>
  <c r="Q51" i="20"/>
  <c r="T51" i="20"/>
  <c r="V51" i="20"/>
  <c r="O76" i="22"/>
  <c r="U76" i="22" s="1"/>
  <c r="T76" i="22"/>
  <c r="V76" i="22"/>
  <c r="L74" i="11"/>
  <c r="K74" i="12"/>
  <c r="F73" i="11"/>
  <c r="L73" i="11" s="1"/>
  <c r="F74" i="7"/>
  <c r="E75" i="10"/>
  <c r="O89" i="22"/>
  <c r="T89" i="22"/>
  <c r="N58" i="21"/>
  <c r="T58" i="21" s="1"/>
  <c r="V89" i="22"/>
  <c r="AF8" i="23"/>
  <c r="H32" i="23"/>
  <c r="N15" i="39"/>
  <c r="K14" i="39"/>
  <c r="N14" i="39" s="1"/>
  <c r="P9" i="25"/>
  <c r="P8" i="25" s="1"/>
  <c r="P32" i="25" s="1"/>
  <c r="O8" i="25"/>
  <c r="O32" i="25" s="1"/>
  <c r="J48" i="30"/>
  <c r="AG48" i="30"/>
  <c r="I47" i="30"/>
  <c r="AI48" i="30"/>
  <c r="J13" i="33"/>
  <c r="AH13" i="33" s="1"/>
  <c r="AG13" i="33"/>
  <c r="AI13" i="33"/>
  <c r="V46" i="41"/>
  <c r="T46" i="41"/>
  <c r="AI41" i="35"/>
  <c r="AG41" i="35"/>
  <c r="S60" i="35"/>
  <c r="V32" i="36"/>
  <c r="U32" i="35"/>
  <c r="U37" i="35" s="1"/>
  <c r="O47" i="36"/>
  <c r="P48" i="36"/>
  <c r="P47" i="36" s="1"/>
  <c r="N48" i="38"/>
  <c r="M47" i="38"/>
  <c r="M47" i="17" s="1"/>
  <c r="M48" i="17"/>
  <c r="S15" i="43"/>
  <c r="N15" i="43"/>
  <c r="N32" i="46"/>
  <c r="S32" i="46"/>
  <c r="M35" i="46"/>
  <c r="S60" i="46"/>
  <c r="N60" i="46"/>
  <c r="AC96" i="7"/>
  <c r="AB43" i="12"/>
  <c r="AH43" i="12" s="1"/>
  <c r="P44" i="10"/>
  <c r="AB44" i="10" s="1"/>
  <c r="I119" i="12"/>
  <c r="AL119" i="12"/>
  <c r="I119" i="11"/>
  <c r="AJ15" i="12"/>
  <c r="T48" i="22"/>
  <c r="V48" i="22"/>
  <c r="N37" i="21"/>
  <c r="T37" i="21" s="1"/>
  <c r="Q48" i="17"/>
  <c r="J45" i="18"/>
  <c r="AG45" i="18"/>
  <c r="I45" i="17"/>
  <c r="O24" i="20"/>
  <c r="U24" i="20" s="1"/>
  <c r="Q24" i="20"/>
  <c r="T24" i="20"/>
  <c r="V24" i="20"/>
  <c r="R32" i="23"/>
  <c r="R37" i="23" s="1"/>
  <c r="T33" i="23"/>
  <c r="T37" i="23" s="1"/>
  <c r="T60" i="23" s="1"/>
  <c r="U34" i="23"/>
  <c r="T60" i="28"/>
  <c r="K57" i="24"/>
  <c r="K60" i="24"/>
  <c r="D57" i="28"/>
  <c r="D60" i="28"/>
  <c r="T13" i="29"/>
  <c r="S8" i="29"/>
  <c r="S32" i="29" s="1"/>
  <c r="S37" i="29" s="1"/>
  <c r="S60" i="29" s="1"/>
  <c r="S13" i="17"/>
  <c r="K41" i="10" s="1"/>
  <c r="AC41" i="10" s="1"/>
  <c r="Z32" i="36"/>
  <c r="Z37" i="36" s="1"/>
  <c r="Z60" i="36" s="1"/>
  <c r="U23" i="31"/>
  <c r="U32" i="31" s="1"/>
  <c r="U37" i="31" s="1"/>
  <c r="V24" i="31"/>
  <c r="V23" i="31" s="1"/>
  <c r="V32" i="31" s="1"/>
  <c r="V37" i="31" s="1"/>
  <c r="D412" i="55"/>
  <c r="I33" i="34"/>
  <c r="S46" i="40"/>
  <c r="L93" i="12"/>
  <c r="M62" i="40"/>
  <c r="S62" i="40" s="1"/>
  <c r="P424" i="55"/>
  <c r="Q424" i="55" s="1"/>
  <c r="F62" i="36"/>
  <c r="AJ52" i="36"/>
  <c r="O59" i="41"/>
  <c r="U57" i="41"/>
  <c r="AB24" i="38"/>
  <c r="AA23" i="38"/>
  <c r="AA32" i="38" s="1"/>
  <c r="AA37" i="38" s="1"/>
  <c r="AA60" i="38" s="1"/>
  <c r="U26" i="42"/>
  <c r="O26" i="41"/>
  <c r="U26" i="41" s="1"/>
  <c r="AD127" i="12"/>
  <c r="AD125" i="12" s="1"/>
  <c r="L125" i="12"/>
  <c r="L127" i="10"/>
  <c r="Z62" i="43"/>
  <c r="O62" i="43"/>
  <c r="U62" i="43" s="1"/>
  <c r="T62" i="43"/>
  <c r="Q62" i="43"/>
  <c r="N64" i="43"/>
  <c r="S64" i="43"/>
  <c r="Q123" i="10"/>
  <c r="AC123" i="10" s="1"/>
  <c r="AC123" i="12"/>
  <c r="AI123" i="12" s="1"/>
  <c r="M130" i="51"/>
  <c r="D153" i="51"/>
  <c r="G130" i="51"/>
  <c r="L130" i="51"/>
  <c r="AL54" i="12"/>
  <c r="I54" i="11"/>
  <c r="I54" i="12"/>
  <c r="AH37" i="12"/>
  <c r="D35" i="12"/>
  <c r="O257" i="13"/>
  <c r="AG257" i="13"/>
  <c r="T257" i="13"/>
  <c r="F30" i="11"/>
  <c r="E30" i="12"/>
  <c r="R70" i="13"/>
  <c r="L101" i="13"/>
  <c r="R101" i="13" s="1"/>
  <c r="O48" i="11"/>
  <c r="AE43" i="18"/>
  <c r="G43" i="17"/>
  <c r="AC23" i="18"/>
  <c r="L19" i="12"/>
  <c r="AJ12" i="12"/>
  <c r="F7" i="12"/>
  <c r="AB42" i="14"/>
  <c r="T42" i="14"/>
  <c r="O42" i="14"/>
  <c r="U42" i="14" s="1"/>
  <c r="T38" i="13"/>
  <c r="Q38" i="13"/>
  <c r="AG38" i="13"/>
  <c r="P56" i="7"/>
  <c r="E53" i="7"/>
  <c r="E56" i="51"/>
  <c r="AI69" i="12"/>
  <c r="E68" i="12"/>
  <c r="U62" i="22"/>
  <c r="O8" i="22"/>
  <c r="T8" i="22"/>
  <c r="V8" i="22"/>
  <c r="N8" i="21"/>
  <c r="N126" i="22"/>
  <c r="N13" i="22"/>
  <c r="AH23" i="24"/>
  <c r="AE32" i="25"/>
  <c r="G37" i="25"/>
  <c r="AH42" i="25"/>
  <c r="J41" i="25"/>
  <c r="U32" i="28"/>
  <c r="U37" i="28" s="1"/>
  <c r="P34" i="25"/>
  <c r="P33" i="25" s="1"/>
  <c r="O33" i="25"/>
  <c r="O32" i="37"/>
  <c r="O37" i="37" s="1"/>
  <c r="J48" i="29"/>
  <c r="AG48" i="29"/>
  <c r="AI48" i="29"/>
  <c r="I47" i="29"/>
  <c r="I52" i="29" s="1"/>
  <c r="Z60" i="31"/>
  <c r="U48" i="33"/>
  <c r="T47" i="33"/>
  <c r="AB24" i="32"/>
  <c r="AA23" i="32"/>
  <c r="C384" i="55"/>
  <c r="AF41" i="37"/>
  <c r="H52" i="37"/>
  <c r="Z59" i="43"/>
  <c r="O59" i="43"/>
  <c r="O63" i="43" s="1"/>
  <c r="U63" i="43" s="1"/>
  <c r="Q59" i="43"/>
  <c r="T59" i="43"/>
  <c r="L157" i="46"/>
  <c r="R117" i="46"/>
  <c r="M117" i="46"/>
  <c r="Q114" i="12"/>
  <c r="Q114" i="10" s="1"/>
  <c r="M48" i="43"/>
  <c r="S48" i="43" s="1"/>
  <c r="S41" i="42"/>
  <c r="O28" i="45"/>
  <c r="V28" i="45"/>
  <c r="Q28" i="45"/>
  <c r="M104" i="12"/>
  <c r="T28" i="45"/>
  <c r="M175" i="46"/>
  <c r="J19" i="9"/>
  <c r="G22" i="11"/>
  <c r="S254" i="13"/>
  <c r="F22" i="12"/>
  <c r="E34" i="12"/>
  <c r="R100" i="13"/>
  <c r="F34" i="11"/>
  <c r="AM109" i="12"/>
  <c r="J109" i="11"/>
  <c r="O135" i="13"/>
  <c r="U135" i="13" s="1"/>
  <c r="Q135" i="13"/>
  <c r="AG135" i="13"/>
  <c r="T135" i="13"/>
  <c r="T241" i="13"/>
  <c r="AG241" i="13"/>
  <c r="O241" i="13"/>
  <c r="U241" i="13" s="1"/>
  <c r="N12" i="10"/>
  <c r="AF12" i="10" s="1"/>
  <c r="AF11" i="12"/>
  <c r="AL11" i="12" s="1"/>
  <c r="O9" i="14"/>
  <c r="U7" i="14"/>
  <c r="U36" i="20"/>
  <c r="O38" i="20"/>
  <c r="U38" i="20" s="1"/>
  <c r="L42" i="7"/>
  <c r="U60" i="20"/>
  <c r="N31" i="22"/>
  <c r="U115" i="22"/>
  <c r="O81" i="21"/>
  <c r="U81" i="21" s="1"/>
  <c r="AG44" i="24"/>
  <c r="J44" i="24"/>
  <c r="AH44" i="24" s="1"/>
  <c r="AI44" i="24"/>
  <c r="O47" i="22"/>
  <c r="U47" i="22" s="1"/>
  <c r="T47" i="22"/>
  <c r="V47" i="22"/>
  <c r="J21" i="24"/>
  <c r="AG21" i="24"/>
  <c r="I20" i="24"/>
  <c r="AG20" i="24" s="1"/>
  <c r="AF41" i="26"/>
  <c r="H52" i="26"/>
  <c r="AB42" i="27"/>
  <c r="AA41" i="27"/>
  <c r="AA52" i="27" s="1"/>
  <c r="U48" i="30"/>
  <c r="T47" i="30"/>
  <c r="AH24" i="28"/>
  <c r="J23" i="28"/>
  <c r="AH23" i="28" s="1"/>
  <c r="Y60" i="35"/>
  <c r="AA47" i="31"/>
  <c r="AB48" i="31"/>
  <c r="O33" i="35"/>
  <c r="P34" i="35"/>
  <c r="P33" i="35" s="1"/>
  <c r="V21" i="38"/>
  <c r="V20" i="38" s="1"/>
  <c r="V32" i="38" s="1"/>
  <c r="V37" i="38" s="1"/>
  <c r="U20" i="38"/>
  <c r="U32" i="38" s="1"/>
  <c r="U37" i="38" s="1"/>
  <c r="U47" i="37"/>
  <c r="V48" i="37"/>
  <c r="V47" i="37" s="1"/>
  <c r="V18" i="44"/>
  <c r="Q18" i="44"/>
  <c r="T18" i="44"/>
  <c r="O18" i="44"/>
  <c r="U18" i="44" s="1"/>
  <c r="Z100" i="11"/>
  <c r="D103" i="7"/>
  <c r="AC103" i="7" s="1"/>
  <c r="S15" i="41"/>
  <c r="M20" i="41"/>
  <c r="S20" i="41" s="1"/>
  <c r="W19" i="47"/>
  <c r="O19" i="47"/>
  <c r="U19" i="47" s="1"/>
  <c r="T19" i="47"/>
  <c r="H37" i="28"/>
  <c r="AF32" i="28"/>
  <c r="I8" i="37"/>
  <c r="P117" i="46"/>
  <c r="G12" i="71"/>
  <c r="I32" i="69"/>
  <c r="S29" i="69"/>
  <c r="H20" i="9" l="1"/>
  <c r="K20" i="9" s="1"/>
  <c r="K324" i="13"/>
  <c r="C63" i="7"/>
  <c r="F22" i="7"/>
  <c r="L22" i="7" s="1"/>
  <c r="L22" i="11"/>
  <c r="E23" i="10"/>
  <c r="AI23" i="10" s="1"/>
  <c r="F32" i="69"/>
  <c r="H37" i="11"/>
  <c r="T119" i="13"/>
  <c r="G37" i="12"/>
  <c r="Q119" i="13"/>
  <c r="AG119" i="13"/>
  <c r="S14" i="12"/>
  <c r="U37" i="14"/>
  <c r="O323" i="13"/>
  <c r="H74" i="12"/>
  <c r="I74" i="11"/>
  <c r="O26" i="39"/>
  <c r="Q27" i="39"/>
  <c r="AO34" i="17"/>
  <c r="AH34" i="17"/>
  <c r="I20" i="8"/>
  <c r="AG41" i="37"/>
  <c r="I52" i="37"/>
  <c r="AI41" i="37"/>
  <c r="V64" i="41"/>
  <c r="T64" i="41"/>
  <c r="H61" i="11"/>
  <c r="G61" i="12"/>
  <c r="T317" i="13"/>
  <c r="AG317" i="13"/>
  <c r="Q317" i="13"/>
  <c r="AG276" i="13"/>
  <c r="T276" i="13"/>
  <c r="N281" i="13"/>
  <c r="Q276" i="13"/>
  <c r="K83" i="41"/>
  <c r="E95" i="11"/>
  <c r="D95" i="12"/>
  <c r="Z41" i="17"/>
  <c r="Z52" i="18"/>
  <c r="Z52" i="17" s="1"/>
  <c r="AO24" i="17"/>
  <c r="AH24" i="17"/>
  <c r="AG52" i="29"/>
  <c r="AI52" i="29"/>
  <c r="I62" i="29"/>
  <c r="T71" i="41"/>
  <c r="V71" i="41"/>
  <c r="Q71" i="41"/>
  <c r="P60" i="26"/>
  <c r="L59" i="47"/>
  <c r="F116" i="11"/>
  <c r="R57" i="47"/>
  <c r="R60" i="47" s="1"/>
  <c r="L60" i="47"/>
  <c r="E116" i="12"/>
  <c r="H56" i="51"/>
  <c r="N56" i="51"/>
  <c r="E53" i="51"/>
  <c r="AP50" i="17"/>
  <c r="U127" i="10"/>
  <c r="U16" i="9"/>
  <c r="X123" i="42"/>
  <c r="O123" i="42"/>
  <c r="U123" i="42" s="1"/>
  <c r="Q123" i="42"/>
  <c r="T123" i="42"/>
  <c r="U52" i="38"/>
  <c r="U60" i="38" s="1"/>
  <c r="AG193" i="13"/>
  <c r="N197" i="13"/>
  <c r="O193" i="13"/>
  <c r="T193" i="13"/>
  <c r="V42" i="41"/>
  <c r="T42" i="41"/>
  <c r="Q42" i="41"/>
  <c r="S94" i="10"/>
  <c r="AA52" i="31"/>
  <c r="AA60" i="31" s="1"/>
  <c r="AM14" i="17"/>
  <c r="AR14" i="17" s="1"/>
  <c r="AF14" i="17"/>
  <c r="AI33" i="30"/>
  <c r="AG33" i="30"/>
  <c r="K34" i="12"/>
  <c r="V126" i="22"/>
  <c r="Q126" i="22"/>
  <c r="G153" i="51"/>
  <c r="M153" i="51"/>
  <c r="L153" i="51"/>
  <c r="AB23" i="38"/>
  <c r="AC24" i="38"/>
  <c r="AC23" i="38" s="1"/>
  <c r="U13" i="29"/>
  <c r="T13" i="17"/>
  <c r="L41" i="10" s="1"/>
  <c r="AD41" i="10" s="1"/>
  <c r="T8" i="29"/>
  <c r="T32" i="29" s="1"/>
  <c r="T37" i="29" s="1"/>
  <c r="T60" i="29" s="1"/>
  <c r="K45" i="18"/>
  <c r="K45" i="17" s="1"/>
  <c r="AH45" i="18"/>
  <c r="J45" i="17"/>
  <c r="O119" i="11"/>
  <c r="H119" i="10"/>
  <c r="AL119" i="10" s="1"/>
  <c r="I121" i="7"/>
  <c r="O121" i="7" s="1"/>
  <c r="L19" i="39"/>
  <c r="AG47" i="30"/>
  <c r="AI47" i="30"/>
  <c r="AC74" i="12"/>
  <c r="K75" i="10"/>
  <c r="K73" i="12"/>
  <c r="AH35" i="30"/>
  <c r="J33" i="30"/>
  <c r="AH33" i="30" s="1"/>
  <c r="O171" i="46"/>
  <c r="U171" i="46" s="1"/>
  <c r="U169" i="46"/>
  <c r="N87" i="45"/>
  <c r="V85" i="45"/>
  <c r="T85" i="45"/>
  <c r="Q85" i="45"/>
  <c r="O70" i="41"/>
  <c r="U70" i="41" s="1"/>
  <c r="U118" i="42"/>
  <c r="V32" i="41"/>
  <c r="N34" i="41"/>
  <c r="T32" i="41"/>
  <c r="U18" i="13"/>
  <c r="U72" i="20"/>
  <c r="P72" i="20"/>
  <c r="AG285" i="13"/>
  <c r="Q285" i="13"/>
  <c r="H50" i="11"/>
  <c r="T285" i="13"/>
  <c r="M50" i="12"/>
  <c r="G50" i="12"/>
  <c r="Q328" i="55"/>
  <c r="O341" i="55"/>
  <c r="U7" i="44"/>
  <c r="J41" i="66"/>
  <c r="AH42" i="66"/>
  <c r="P37" i="35"/>
  <c r="P60" i="35" s="1"/>
  <c r="R19" i="21"/>
  <c r="L20" i="21"/>
  <c r="R20" i="21" s="1"/>
  <c r="AG64" i="13"/>
  <c r="O64" i="13"/>
  <c r="N70" i="13"/>
  <c r="Q64" i="13"/>
  <c r="T64" i="13"/>
  <c r="P13" i="33"/>
  <c r="O13" i="17"/>
  <c r="S41" i="10" s="1"/>
  <c r="O8" i="33"/>
  <c r="O32" i="33" s="1"/>
  <c r="O37" i="33" s="1"/>
  <c r="O60" i="33" s="1"/>
  <c r="N112" i="51"/>
  <c r="H112" i="51"/>
  <c r="G57" i="27"/>
  <c r="G60" i="27"/>
  <c r="G61" i="27"/>
  <c r="AE37" i="27"/>
  <c r="T83" i="22"/>
  <c r="N84" i="22"/>
  <c r="V83" i="22"/>
  <c r="N54" i="21"/>
  <c r="Q83" i="22"/>
  <c r="AJ23" i="17"/>
  <c r="AK23" i="17"/>
  <c r="I7" i="54"/>
  <c r="N7" i="54"/>
  <c r="J7" i="54"/>
  <c r="M7" i="54"/>
  <c r="C7" i="54"/>
  <c r="K7" i="54"/>
  <c r="D7" i="54"/>
  <c r="L7" i="54"/>
  <c r="G7" i="54"/>
  <c r="E7" i="54"/>
  <c r="H7" i="54"/>
  <c r="F7" i="54"/>
  <c r="U104" i="46"/>
  <c r="S16" i="43"/>
  <c r="M67" i="43"/>
  <c r="AG23" i="34"/>
  <c r="AI23" i="34"/>
  <c r="AG314" i="13"/>
  <c r="O314" i="13"/>
  <c r="S62" i="12"/>
  <c r="G62" i="12"/>
  <c r="T314" i="13"/>
  <c r="V108" i="22"/>
  <c r="T108" i="22"/>
  <c r="N74" i="21"/>
  <c r="T74" i="21" s="1"/>
  <c r="O108" i="22"/>
  <c r="P52" i="36"/>
  <c r="P60" i="36" s="1"/>
  <c r="U14" i="41"/>
  <c r="R32" i="39"/>
  <c r="E47" i="12"/>
  <c r="O40" i="11"/>
  <c r="AI123" i="10"/>
  <c r="AG8" i="30"/>
  <c r="I32" i="30"/>
  <c r="AI8" i="30"/>
  <c r="R32" i="17"/>
  <c r="AF32" i="33"/>
  <c r="H37" i="33"/>
  <c r="O60" i="27"/>
  <c r="P24" i="17"/>
  <c r="P23" i="18"/>
  <c r="P23" i="17" s="1"/>
  <c r="Q24" i="18"/>
  <c r="AJ51" i="10"/>
  <c r="U7" i="42"/>
  <c r="O13" i="42"/>
  <c r="O7" i="41"/>
  <c r="U115" i="42"/>
  <c r="O67" i="41"/>
  <c r="U67" i="41" s="1"/>
  <c r="N52" i="40"/>
  <c r="V50" i="40"/>
  <c r="Q50" i="40"/>
  <c r="T50" i="40"/>
  <c r="O15" i="10"/>
  <c r="G76" i="12"/>
  <c r="M77" i="12"/>
  <c r="T23" i="14"/>
  <c r="N33" i="14"/>
  <c r="G69" i="12"/>
  <c r="H69" i="11"/>
  <c r="N321" i="13"/>
  <c r="Q23" i="14"/>
  <c r="AB23" i="14"/>
  <c r="AH14" i="12"/>
  <c r="J26" i="8"/>
  <c r="J25" i="8" s="1"/>
  <c r="I25" i="8"/>
  <c r="X71" i="42"/>
  <c r="O71" i="42"/>
  <c r="N73" i="42"/>
  <c r="T71" i="42"/>
  <c r="Q71" i="42"/>
  <c r="AH36" i="37"/>
  <c r="J33" i="37"/>
  <c r="AH33" i="37" s="1"/>
  <c r="AF52" i="24"/>
  <c r="H62" i="24"/>
  <c r="AD71" i="10"/>
  <c r="J8" i="33"/>
  <c r="R12" i="39"/>
  <c r="Q13" i="39"/>
  <c r="T21" i="21"/>
  <c r="N23" i="21"/>
  <c r="T23" i="21" s="1"/>
  <c r="P125" i="22"/>
  <c r="N181" i="13"/>
  <c r="T160" i="13"/>
  <c r="Q160" i="13"/>
  <c r="AG160" i="13"/>
  <c r="J23" i="66"/>
  <c r="AH23" i="66" s="1"/>
  <c r="AH24" i="66"/>
  <c r="AH24" i="33"/>
  <c r="J23" i="33"/>
  <c r="AH23" i="33" s="1"/>
  <c r="L72" i="10"/>
  <c r="AD72" i="10" s="1"/>
  <c r="AD71" i="12"/>
  <c r="O116" i="42"/>
  <c r="U116" i="42" s="1"/>
  <c r="O65" i="41"/>
  <c r="U113" i="42"/>
  <c r="O48" i="22"/>
  <c r="S58" i="10"/>
  <c r="AE58" i="10" s="1"/>
  <c r="AE57" i="12"/>
  <c r="AC21" i="27"/>
  <c r="AC20" i="27" s="1"/>
  <c r="AB20" i="27"/>
  <c r="AM29" i="17"/>
  <c r="AR29" i="17" s="1"/>
  <c r="AF29" i="17"/>
  <c r="AG44" i="34"/>
  <c r="J44" i="34"/>
  <c r="AH44" i="34" s="1"/>
  <c r="AI44" i="34"/>
  <c r="S8" i="17"/>
  <c r="S32" i="18"/>
  <c r="C25" i="56"/>
  <c r="I25" i="56" s="1"/>
  <c r="P73" i="7"/>
  <c r="M33" i="7"/>
  <c r="AK133" i="10"/>
  <c r="G150" i="10"/>
  <c r="U20" i="44"/>
  <c r="O23" i="44"/>
  <c r="I20" i="17"/>
  <c r="AG20" i="18"/>
  <c r="M123" i="11"/>
  <c r="F123" i="10"/>
  <c r="G125" i="7"/>
  <c r="M125" i="7" s="1"/>
  <c r="T41" i="46"/>
  <c r="AA41" i="46"/>
  <c r="Q41" i="46"/>
  <c r="AC48" i="26"/>
  <c r="AB47" i="26"/>
  <c r="AB52" i="26" s="1"/>
  <c r="Q14" i="11"/>
  <c r="E7" i="8"/>
  <c r="AH8" i="37"/>
  <c r="AJ154" i="12"/>
  <c r="G160" i="7"/>
  <c r="M160" i="7" s="1"/>
  <c r="M154" i="11"/>
  <c r="AC49" i="25"/>
  <c r="AC49" i="17" s="1"/>
  <c r="AB49" i="17"/>
  <c r="E62" i="51"/>
  <c r="N62" i="51" s="1"/>
  <c r="P62" i="7"/>
  <c r="D13" i="56"/>
  <c r="D12" i="56" s="1"/>
  <c r="V10" i="41"/>
  <c r="T10" i="41"/>
  <c r="U60" i="25"/>
  <c r="C98" i="10"/>
  <c r="C100" i="7"/>
  <c r="F26" i="11"/>
  <c r="L272" i="13"/>
  <c r="R271" i="13"/>
  <c r="E26" i="12"/>
  <c r="M318" i="13"/>
  <c r="S318" i="13" s="1"/>
  <c r="S299" i="13"/>
  <c r="G60" i="11"/>
  <c r="F60" i="12"/>
  <c r="AK138" i="10"/>
  <c r="AE150" i="10"/>
  <c r="R73" i="41"/>
  <c r="L77" i="41"/>
  <c r="AH9" i="38"/>
  <c r="J8" i="38"/>
  <c r="S23" i="47"/>
  <c r="F120" i="12"/>
  <c r="R120" i="12"/>
  <c r="X87" i="42"/>
  <c r="O87" i="42"/>
  <c r="U87" i="42" s="1"/>
  <c r="Q87" i="42"/>
  <c r="T87" i="42"/>
  <c r="J41" i="38"/>
  <c r="M34" i="39"/>
  <c r="AH42" i="38"/>
  <c r="AS18" i="17"/>
  <c r="AH9" i="36"/>
  <c r="J8" i="36"/>
  <c r="AA8" i="17"/>
  <c r="E126" i="51"/>
  <c r="P126" i="7"/>
  <c r="K60" i="34"/>
  <c r="K57" i="34"/>
  <c r="P32" i="29"/>
  <c r="P37" i="29" s="1"/>
  <c r="P60" i="29" s="1"/>
  <c r="U26" i="14"/>
  <c r="N70" i="12" s="1"/>
  <c r="I70" i="11"/>
  <c r="H70" i="12"/>
  <c r="H109" i="51"/>
  <c r="N109" i="51"/>
  <c r="L61" i="11"/>
  <c r="E62" i="10"/>
  <c r="Q61" i="12"/>
  <c r="F61" i="7"/>
  <c r="L61" i="7" s="1"/>
  <c r="F11" i="9"/>
  <c r="AD68" i="12"/>
  <c r="AE113" i="12"/>
  <c r="AK113" i="12" s="1"/>
  <c r="S113" i="10"/>
  <c r="AE113" i="10" s="1"/>
  <c r="AA37" i="35"/>
  <c r="AA60" i="35" s="1"/>
  <c r="O171" i="20"/>
  <c r="U17" i="44"/>
  <c r="O19" i="44"/>
  <c r="U19" i="44" s="1"/>
  <c r="AH22" i="31"/>
  <c r="J22" i="17"/>
  <c r="J20" i="31"/>
  <c r="AH20" i="31" s="1"/>
  <c r="Q13" i="20"/>
  <c r="T13" i="20"/>
  <c r="V13" i="20"/>
  <c r="M56" i="11"/>
  <c r="F57" i="10"/>
  <c r="R56" i="12"/>
  <c r="G56" i="7"/>
  <c r="M56" i="7" s="1"/>
  <c r="X35" i="42"/>
  <c r="O35" i="42"/>
  <c r="N33" i="41"/>
  <c r="Q35" i="42"/>
  <c r="T35" i="42"/>
  <c r="AL46" i="17"/>
  <c r="AQ46" i="17" s="1"/>
  <c r="AE46" i="17"/>
  <c r="E105" i="10"/>
  <c r="F107" i="7"/>
  <c r="L107" i="7" s="1"/>
  <c r="Q10" i="8"/>
  <c r="O42" i="40"/>
  <c r="U42" i="40" s="1"/>
  <c r="U38" i="40"/>
  <c r="U131" i="20"/>
  <c r="O152" i="20"/>
  <c r="U152" i="20" s="1"/>
  <c r="AC114" i="12"/>
  <c r="U44" i="40"/>
  <c r="O46" i="40"/>
  <c r="M60" i="18"/>
  <c r="M37" i="17"/>
  <c r="S51" i="41"/>
  <c r="G62" i="35"/>
  <c r="AE52" i="35"/>
  <c r="AF10" i="17"/>
  <c r="AM10" i="17"/>
  <c r="D114" i="7"/>
  <c r="O279" i="13"/>
  <c r="U279" i="13" s="1"/>
  <c r="U278" i="13"/>
  <c r="N6" i="8"/>
  <c r="C92" i="11"/>
  <c r="U170" i="13"/>
  <c r="O173" i="13"/>
  <c r="U173" i="13" s="1"/>
  <c r="U52" i="37"/>
  <c r="AB32" i="23"/>
  <c r="AB37" i="23" s="1"/>
  <c r="AB60" i="23" s="1"/>
  <c r="AB23" i="29"/>
  <c r="AC24" i="29"/>
  <c r="AC23" i="29" s="1"/>
  <c r="I327" i="13"/>
  <c r="I325" i="13"/>
  <c r="N45" i="12"/>
  <c r="I45" i="11"/>
  <c r="H45" i="12"/>
  <c r="U201" i="13"/>
  <c r="N54" i="7"/>
  <c r="AJ127" i="12"/>
  <c r="AE70" i="12"/>
  <c r="M71" i="10"/>
  <c r="AE71" i="10" s="1"/>
  <c r="S97" i="46"/>
  <c r="L114" i="12"/>
  <c r="AC37" i="30"/>
  <c r="AH9" i="23"/>
  <c r="J8" i="23"/>
  <c r="J9" i="17"/>
  <c r="T79" i="22"/>
  <c r="V79" i="22"/>
  <c r="Q79" i="22"/>
  <c r="O79" i="22"/>
  <c r="U79" i="22" s="1"/>
  <c r="AC47" i="25"/>
  <c r="J33" i="29"/>
  <c r="AH33" i="29" s="1"/>
  <c r="AD69" i="10"/>
  <c r="AI41" i="23"/>
  <c r="I52" i="23"/>
  <c r="AG41" i="23"/>
  <c r="H27" i="11"/>
  <c r="H27" i="12"/>
  <c r="P39" i="7"/>
  <c r="E39" i="51"/>
  <c r="AB35" i="25"/>
  <c r="AA35" i="17"/>
  <c r="AA33" i="25"/>
  <c r="AA37" i="25" s="1"/>
  <c r="AA60" i="25" s="1"/>
  <c r="N46" i="20"/>
  <c r="C96" i="10"/>
  <c r="C98" i="7"/>
  <c r="AC38" i="10"/>
  <c r="AS11" i="17"/>
  <c r="AE104" i="12"/>
  <c r="M97" i="12"/>
  <c r="AO15" i="17"/>
  <c r="AH15" i="17"/>
  <c r="H43" i="10"/>
  <c r="I42" i="7"/>
  <c r="U21" i="41"/>
  <c r="T85" i="43"/>
  <c r="Z85" i="43"/>
  <c r="Q85" i="43"/>
  <c r="AF48" i="17"/>
  <c r="AM48" i="17"/>
  <c r="V10" i="34"/>
  <c r="V8" i="34" s="1"/>
  <c r="V32" i="34" s="1"/>
  <c r="V37" i="34" s="1"/>
  <c r="V60" i="34" s="1"/>
  <c r="U8" i="34"/>
  <c r="U32" i="34" s="1"/>
  <c r="U37" i="34" s="1"/>
  <c r="U60" i="34" s="1"/>
  <c r="T15" i="17"/>
  <c r="L43" i="10" s="1"/>
  <c r="AD43" i="10" s="1"/>
  <c r="U15" i="18"/>
  <c r="T8" i="18"/>
  <c r="V10" i="33"/>
  <c r="V8" i="33" s="1"/>
  <c r="V32" i="33" s="1"/>
  <c r="V37" i="33" s="1"/>
  <c r="U8" i="33"/>
  <c r="U32" i="33" s="1"/>
  <c r="U37" i="33" s="1"/>
  <c r="L74" i="7"/>
  <c r="F73" i="7"/>
  <c r="L73" i="7" s="1"/>
  <c r="P41" i="26"/>
  <c r="P52" i="26" s="1"/>
  <c r="P43" i="17"/>
  <c r="J31" i="9"/>
  <c r="T13" i="22"/>
  <c r="V13" i="22"/>
  <c r="Q13" i="22"/>
  <c r="AD19" i="12"/>
  <c r="AD14" i="12" s="1"/>
  <c r="L20" i="10"/>
  <c r="L14" i="12"/>
  <c r="U257" i="13"/>
  <c r="AF32" i="23"/>
  <c r="H37" i="23"/>
  <c r="U27" i="45"/>
  <c r="T104" i="12"/>
  <c r="O103" i="45"/>
  <c r="O109" i="45"/>
  <c r="O72" i="41"/>
  <c r="U72" i="41" s="1"/>
  <c r="U120" i="42"/>
  <c r="U283" i="13"/>
  <c r="O285" i="13"/>
  <c r="I32" i="37"/>
  <c r="AG8" i="37"/>
  <c r="AI8" i="37"/>
  <c r="H62" i="37"/>
  <c r="AF52" i="37"/>
  <c r="T8" i="21"/>
  <c r="AG33" i="34"/>
  <c r="AI33" i="34"/>
  <c r="R60" i="23"/>
  <c r="F61" i="23"/>
  <c r="F64" i="23" s="1"/>
  <c r="S35" i="46"/>
  <c r="M64" i="46"/>
  <c r="S64" i="46" s="1"/>
  <c r="O48" i="38"/>
  <c r="N47" i="38"/>
  <c r="N48" i="17"/>
  <c r="T37" i="14"/>
  <c r="N323" i="13"/>
  <c r="G74" i="12"/>
  <c r="H74" i="11"/>
  <c r="AB37" i="14"/>
  <c r="Q37" i="14"/>
  <c r="Z95" i="11"/>
  <c r="O8" i="8"/>
  <c r="D98" i="7" s="1"/>
  <c r="AC98" i="7" s="1"/>
  <c r="D92" i="11"/>
  <c r="AB23" i="34"/>
  <c r="AC24" i="34"/>
  <c r="AC23" i="34" s="1"/>
  <c r="N75" i="11"/>
  <c r="G76" i="10"/>
  <c r="AK76" i="10" s="1"/>
  <c r="H75" i="7"/>
  <c r="U34" i="42"/>
  <c r="O36" i="42"/>
  <c r="U36" i="42" s="1"/>
  <c r="O32" i="41"/>
  <c r="AF52" i="23"/>
  <c r="H62" i="23"/>
  <c r="J50" i="17"/>
  <c r="P35" i="45"/>
  <c r="V26" i="45"/>
  <c r="AB47" i="28"/>
  <c r="AB52" i="28" s="1"/>
  <c r="AC48" i="28"/>
  <c r="AC47" i="28" s="1"/>
  <c r="AC52" i="28" s="1"/>
  <c r="G32" i="18"/>
  <c r="AE8" i="18"/>
  <c r="G8" i="17"/>
  <c r="L318" i="13"/>
  <c r="R318" i="13" s="1"/>
  <c r="R299" i="13"/>
  <c r="F60" i="11"/>
  <c r="E60" i="12"/>
  <c r="J30" i="8"/>
  <c r="I52" i="66"/>
  <c r="AI41" i="66"/>
  <c r="AG41" i="66"/>
  <c r="U126" i="13"/>
  <c r="O129" i="13"/>
  <c r="U249" i="13"/>
  <c r="O254" i="13"/>
  <c r="AA32" i="36"/>
  <c r="AA37" i="36" s="1"/>
  <c r="AA60" i="36" s="1"/>
  <c r="V9" i="22"/>
  <c r="O9" i="22"/>
  <c r="Q9" i="22"/>
  <c r="T9" i="22"/>
  <c r="N9" i="21"/>
  <c r="N13" i="21" s="1"/>
  <c r="AA96" i="46"/>
  <c r="O96" i="46"/>
  <c r="U96" i="46" s="1"/>
  <c r="T96" i="46"/>
  <c r="Q440" i="55"/>
  <c r="O453" i="55"/>
  <c r="Q453" i="55" s="1"/>
  <c r="AA117" i="46"/>
  <c r="N157" i="46"/>
  <c r="T117" i="46"/>
  <c r="Z7" i="43"/>
  <c r="Q7" i="43"/>
  <c r="T7" i="43"/>
  <c r="O7" i="43"/>
  <c r="N16" i="43"/>
  <c r="N88" i="43"/>
  <c r="N87" i="43"/>
  <c r="L37" i="11"/>
  <c r="E38" i="10"/>
  <c r="F37" i="7"/>
  <c r="S45" i="47"/>
  <c r="R124" i="12"/>
  <c r="M56" i="47"/>
  <c r="O52" i="36"/>
  <c r="O72" i="11"/>
  <c r="I72" i="7"/>
  <c r="H73" i="10"/>
  <c r="K49" i="12"/>
  <c r="L49" i="11"/>
  <c r="E50" i="10"/>
  <c r="F49" i="7"/>
  <c r="F47" i="11"/>
  <c r="Q187" i="55"/>
  <c r="O200" i="55"/>
  <c r="N175" i="13"/>
  <c r="T165" i="13"/>
  <c r="Q165" i="13"/>
  <c r="AG165" i="13"/>
  <c r="AF52" i="66"/>
  <c r="H62" i="66"/>
  <c r="O32" i="34"/>
  <c r="O37" i="34" s="1"/>
  <c r="O60" i="34" s="1"/>
  <c r="H26" i="10"/>
  <c r="AL26" i="10" s="1"/>
  <c r="I25" i="7"/>
  <c r="O25" i="7" s="1"/>
  <c r="O25" i="11"/>
  <c r="V52" i="38"/>
  <c r="V60" i="38" s="1"/>
  <c r="O23" i="17"/>
  <c r="S20" i="10" s="1"/>
  <c r="S15" i="10" s="1"/>
  <c r="AG189" i="13"/>
  <c r="Q189" i="13"/>
  <c r="G41" i="12"/>
  <c r="T189" i="13"/>
  <c r="P61" i="7"/>
  <c r="E61" i="51"/>
  <c r="E58" i="7"/>
  <c r="S197" i="13"/>
  <c r="M198" i="13"/>
  <c r="X21" i="8"/>
  <c r="U75" i="7"/>
  <c r="V21" i="17"/>
  <c r="T67" i="41"/>
  <c r="V67" i="41"/>
  <c r="Q67" i="41"/>
  <c r="AF32" i="27"/>
  <c r="H37" i="27"/>
  <c r="G78" i="10"/>
  <c r="H77" i="7"/>
  <c r="N77" i="11"/>
  <c r="H76" i="11"/>
  <c r="K77" i="11"/>
  <c r="M48" i="41"/>
  <c r="S48" i="41" s="1"/>
  <c r="S73" i="42"/>
  <c r="U102" i="46"/>
  <c r="Q14" i="39"/>
  <c r="J115" i="7"/>
  <c r="I113" i="10"/>
  <c r="AM113" i="10" s="1"/>
  <c r="AK14" i="10"/>
  <c r="E29" i="7"/>
  <c r="D30" i="10"/>
  <c r="Q29" i="11"/>
  <c r="E28" i="11"/>
  <c r="AI54" i="17"/>
  <c r="AG54" i="17"/>
  <c r="H154" i="11"/>
  <c r="AN54" i="17"/>
  <c r="AS54" i="17" s="1"/>
  <c r="AG17" i="17"/>
  <c r="AN17" i="17"/>
  <c r="AS17" i="17" s="1"/>
  <c r="G45" i="10"/>
  <c r="AK45" i="10" s="1"/>
  <c r="H44" i="7"/>
  <c r="F120" i="11"/>
  <c r="G62" i="36"/>
  <c r="AE52" i="36"/>
  <c r="J13" i="29"/>
  <c r="AH13" i="29" s="1"/>
  <c r="AG13" i="29"/>
  <c r="AI13" i="29"/>
  <c r="I13" i="17"/>
  <c r="Q43" i="12"/>
  <c r="E43" i="12"/>
  <c r="R198" i="13"/>
  <c r="F43" i="11"/>
  <c r="O272" i="55"/>
  <c r="C285" i="55"/>
  <c r="D285" i="55" s="1"/>
  <c r="E285" i="55" s="1"/>
  <c r="F285" i="55" s="1"/>
  <c r="G285" i="55" s="1"/>
  <c r="H285" i="55" s="1"/>
  <c r="I285" i="55" s="1"/>
  <c r="J285" i="55" s="1"/>
  <c r="K285" i="55" s="1"/>
  <c r="L285" i="55" s="1"/>
  <c r="M285" i="55" s="1"/>
  <c r="N285" i="55" s="1"/>
  <c r="AH43" i="32"/>
  <c r="J41" i="32"/>
  <c r="AC34" i="26"/>
  <c r="AB33" i="26"/>
  <c r="AB34" i="17"/>
  <c r="E124" i="51"/>
  <c r="P124" i="7"/>
  <c r="T23" i="41"/>
  <c r="V23" i="41"/>
  <c r="J21" i="17"/>
  <c r="K21" i="18"/>
  <c r="AH21" i="18"/>
  <c r="J20" i="18"/>
  <c r="U206" i="13"/>
  <c r="O207" i="13"/>
  <c r="U207" i="13" s="1"/>
  <c r="J52" i="7"/>
  <c r="I53" i="10"/>
  <c r="AM53" i="10" s="1"/>
  <c r="AC42" i="32"/>
  <c r="AC41" i="32" s="1"/>
  <c r="AC52" i="32" s="1"/>
  <c r="AB41" i="32"/>
  <c r="AB52" i="32" s="1"/>
  <c r="G57" i="31"/>
  <c r="G60" i="31"/>
  <c r="AE37" i="31"/>
  <c r="G61" i="31"/>
  <c r="U26" i="46"/>
  <c r="AC42" i="66"/>
  <c r="AC41" i="66" s="1"/>
  <c r="AC52" i="66" s="1"/>
  <c r="AB41" i="66"/>
  <c r="AB52" i="66" s="1"/>
  <c r="X112" i="42"/>
  <c r="T112" i="42"/>
  <c r="N133" i="42"/>
  <c r="AC24" i="66"/>
  <c r="AC23" i="66" s="1"/>
  <c r="AB23" i="66"/>
  <c r="P215" i="55"/>
  <c r="R228" i="55" s="1"/>
  <c r="F60" i="29"/>
  <c r="F61" i="29"/>
  <c r="AJ37" i="29"/>
  <c r="F57" i="29"/>
  <c r="AA147" i="46"/>
  <c r="O147" i="46"/>
  <c r="T147" i="46"/>
  <c r="N153" i="46"/>
  <c r="M57" i="11"/>
  <c r="F58" i="10"/>
  <c r="AJ58" i="10" s="1"/>
  <c r="G11" i="8"/>
  <c r="X11" i="8" s="1"/>
  <c r="G57" i="7"/>
  <c r="M57" i="7" s="1"/>
  <c r="U10" i="42"/>
  <c r="O10" i="41"/>
  <c r="U10" i="41" s="1"/>
  <c r="V63" i="41"/>
  <c r="T63" i="41"/>
  <c r="V60" i="25"/>
  <c r="Q14" i="18"/>
  <c r="Q14" i="17" s="1"/>
  <c r="U42" i="10" s="1"/>
  <c r="AG42" i="10" s="1"/>
  <c r="AM42" i="10" s="1"/>
  <c r="P14" i="17"/>
  <c r="T42" i="10" s="1"/>
  <c r="O190" i="20"/>
  <c r="U190" i="20" s="1"/>
  <c r="U68" i="46"/>
  <c r="P68" i="46"/>
  <c r="R67" i="43"/>
  <c r="L86" i="43"/>
  <c r="AC22" i="26"/>
  <c r="AB22" i="17"/>
  <c r="AB20" i="26"/>
  <c r="AB32" i="26" s="1"/>
  <c r="AB37" i="26" s="1"/>
  <c r="AB60" i="26" s="1"/>
  <c r="Q268" i="13"/>
  <c r="O268" i="13"/>
  <c r="U268" i="13" s="1"/>
  <c r="T268" i="13"/>
  <c r="AG268" i="13"/>
  <c r="I33" i="11"/>
  <c r="H33" i="12"/>
  <c r="U78" i="13"/>
  <c r="O37" i="38"/>
  <c r="U62" i="21"/>
  <c r="O64" i="21"/>
  <c r="C87" i="7"/>
  <c r="C88" i="7" s="1"/>
  <c r="S70" i="42"/>
  <c r="M78" i="42"/>
  <c r="M47" i="41"/>
  <c r="U52" i="23"/>
  <c r="J28" i="17"/>
  <c r="K28" i="18"/>
  <c r="K28" i="17" s="1"/>
  <c r="AH28" i="18"/>
  <c r="U73" i="40"/>
  <c r="H94" i="12"/>
  <c r="I94" i="11"/>
  <c r="K87" i="12"/>
  <c r="AF13" i="12"/>
  <c r="AL13" i="12" s="1"/>
  <c r="N14" i="10"/>
  <c r="AF14" i="10" s="1"/>
  <c r="U25" i="42"/>
  <c r="O25" i="41"/>
  <c r="U60" i="24"/>
  <c r="F68" i="7"/>
  <c r="L68" i="7" s="1"/>
  <c r="L69" i="7"/>
  <c r="U12" i="14"/>
  <c r="I66" i="11"/>
  <c r="H66" i="12"/>
  <c r="AL66" i="12" s="1"/>
  <c r="R509" i="55"/>
  <c r="Q496" i="55"/>
  <c r="AE37" i="34"/>
  <c r="G60" i="34"/>
  <c r="G57" i="34"/>
  <c r="G61" i="34"/>
  <c r="O60" i="29"/>
  <c r="Q47" i="11"/>
  <c r="E8" i="9"/>
  <c r="O13" i="40"/>
  <c r="U7" i="40"/>
  <c r="T60" i="33"/>
  <c r="AE16" i="10"/>
  <c r="O60" i="26"/>
  <c r="F32" i="10"/>
  <c r="G31" i="7"/>
  <c r="M31" i="7" s="1"/>
  <c r="M31" i="11"/>
  <c r="S16" i="46"/>
  <c r="M66" i="46"/>
  <c r="R112" i="12"/>
  <c r="O189" i="20"/>
  <c r="U189" i="20" s="1"/>
  <c r="T19" i="44"/>
  <c r="V19" i="44"/>
  <c r="Q19" i="44"/>
  <c r="G61" i="37"/>
  <c r="G60" i="37"/>
  <c r="AE37" i="37"/>
  <c r="T69" i="21"/>
  <c r="N71" i="21"/>
  <c r="T71" i="21" s="1"/>
  <c r="AG19" i="18"/>
  <c r="AJ19" i="18"/>
  <c r="I19" i="17"/>
  <c r="AM8" i="10"/>
  <c r="D95" i="10"/>
  <c r="E97" i="7"/>
  <c r="F29" i="9"/>
  <c r="F25" i="9" s="1"/>
  <c r="F31" i="9" s="1"/>
  <c r="F48" i="8" s="1"/>
  <c r="O41" i="42"/>
  <c r="U38" i="42"/>
  <c r="O36" i="41"/>
  <c r="AG47" i="66"/>
  <c r="AI47" i="66"/>
  <c r="O300" i="55"/>
  <c r="C313" i="55"/>
  <c r="D313" i="55" s="1"/>
  <c r="E313" i="55" s="1"/>
  <c r="F313" i="55" s="1"/>
  <c r="G313" i="55" s="1"/>
  <c r="H313" i="55" s="1"/>
  <c r="I313" i="55" s="1"/>
  <c r="J313" i="55" s="1"/>
  <c r="K313" i="55" s="1"/>
  <c r="L313" i="55" s="1"/>
  <c r="M313" i="55" s="1"/>
  <c r="N313" i="55" s="1"/>
  <c r="N66" i="11"/>
  <c r="H66" i="7"/>
  <c r="N66" i="7" s="1"/>
  <c r="G67" i="10"/>
  <c r="AK67" i="10" s="1"/>
  <c r="U51" i="13"/>
  <c r="T46" i="40"/>
  <c r="Q46" i="40"/>
  <c r="M93" i="12"/>
  <c r="V46" i="40"/>
  <c r="S65" i="22"/>
  <c r="M49" i="21"/>
  <c r="P83" i="41"/>
  <c r="I95" i="12"/>
  <c r="J95" i="11"/>
  <c r="P136" i="42"/>
  <c r="T279" i="13"/>
  <c r="Q279" i="13"/>
  <c r="AG279" i="13"/>
  <c r="C92" i="12"/>
  <c r="C128" i="12" s="1"/>
  <c r="C152" i="12" s="1"/>
  <c r="C156" i="12" s="1"/>
  <c r="AE9" i="10"/>
  <c r="T192" i="20"/>
  <c r="V52" i="37"/>
  <c r="AC8" i="23"/>
  <c r="AC32" i="23" s="1"/>
  <c r="AC37" i="23" s="1"/>
  <c r="V50" i="17"/>
  <c r="AF32" i="24"/>
  <c r="H37" i="24"/>
  <c r="R481" i="55"/>
  <c r="AG8" i="23"/>
  <c r="AI8" i="23"/>
  <c r="I32" i="23"/>
  <c r="AM38" i="12"/>
  <c r="K29" i="39"/>
  <c r="AF47" i="35"/>
  <c r="H52" i="35"/>
  <c r="Z12" i="43"/>
  <c r="O12" i="43"/>
  <c r="U12" i="43" s="1"/>
  <c r="Q12" i="43"/>
  <c r="T12" i="43"/>
  <c r="AN12" i="17"/>
  <c r="AS12" i="17" s="1"/>
  <c r="AG12" i="17"/>
  <c r="U78" i="22"/>
  <c r="AB36" i="18"/>
  <c r="AB44" i="18"/>
  <c r="AB44" i="17" s="1"/>
  <c r="Z96" i="10" s="1"/>
  <c r="G64" i="11"/>
  <c r="M65" i="11"/>
  <c r="G65" i="7"/>
  <c r="F66" i="10"/>
  <c r="T27" i="12"/>
  <c r="AE27" i="12"/>
  <c r="AK27" i="12" s="1"/>
  <c r="S28" i="10"/>
  <c r="AE28" i="10" s="1"/>
  <c r="AA47" i="17"/>
  <c r="Q340" i="55"/>
  <c r="S47" i="17"/>
  <c r="N32" i="17"/>
  <c r="M40" i="7"/>
  <c r="F38" i="10"/>
  <c r="G37" i="7"/>
  <c r="M37" i="7" s="1"/>
  <c r="M37" i="11"/>
  <c r="K30" i="12"/>
  <c r="E29" i="12"/>
  <c r="AH48" i="30"/>
  <c r="J47" i="30"/>
  <c r="AH47" i="30" s="1"/>
  <c r="O52" i="18"/>
  <c r="N132" i="42"/>
  <c r="T126" i="42"/>
  <c r="N73" i="41"/>
  <c r="X126" i="42"/>
  <c r="Q126" i="42"/>
  <c r="T23" i="10"/>
  <c r="AF22" i="12"/>
  <c r="AB87" i="10"/>
  <c r="V88" i="10"/>
  <c r="F38" i="12"/>
  <c r="S130" i="13"/>
  <c r="G38" i="11"/>
  <c r="L38" i="12"/>
  <c r="AH9" i="30"/>
  <c r="J8" i="30"/>
  <c r="O45" i="43"/>
  <c r="T45" i="43"/>
  <c r="Q45" i="43"/>
  <c r="Z45" i="43"/>
  <c r="N48" i="43"/>
  <c r="N13" i="7"/>
  <c r="K13" i="7"/>
  <c r="AC120" i="12"/>
  <c r="AI120" i="12" s="1"/>
  <c r="Q120" i="10"/>
  <c r="AC120" i="10" s="1"/>
  <c r="N67" i="11"/>
  <c r="G68" i="10"/>
  <c r="AK68" i="10" s="1"/>
  <c r="H67" i="7"/>
  <c r="N67" i="7" s="1"/>
  <c r="K69" i="10"/>
  <c r="O13" i="11"/>
  <c r="I13" i="7"/>
  <c r="O13" i="7" s="1"/>
  <c r="H14" i="10"/>
  <c r="AL14" i="10" s="1"/>
  <c r="C12" i="8"/>
  <c r="C18" i="8" s="1"/>
  <c r="C63" i="11"/>
  <c r="C88" i="11" s="1"/>
  <c r="V25" i="41"/>
  <c r="T25" i="41"/>
  <c r="AH43" i="31"/>
  <c r="J41" i="31"/>
  <c r="AC15" i="18"/>
  <c r="AB15" i="17"/>
  <c r="U120" i="46"/>
  <c r="P120" i="46"/>
  <c r="AA120" i="46" s="1"/>
  <c r="E49" i="51"/>
  <c r="F20" i="50"/>
  <c r="P49" i="7"/>
  <c r="E47" i="7"/>
  <c r="Q19" i="41"/>
  <c r="V19" i="41"/>
  <c r="T19" i="41"/>
  <c r="X20" i="8"/>
  <c r="G19" i="8"/>
  <c r="U27" i="18"/>
  <c r="T27" i="17"/>
  <c r="AG33" i="66"/>
  <c r="AI33" i="66"/>
  <c r="P26" i="17"/>
  <c r="T21" i="10" s="1"/>
  <c r="AF21" i="10" s="1"/>
  <c r="Q26" i="18"/>
  <c r="Q26" i="17" s="1"/>
  <c r="U21" i="10" s="1"/>
  <c r="AG21" i="10" s="1"/>
  <c r="AA14" i="46"/>
  <c r="Q14" i="46"/>
  <c r="T14" i="46"/>
  <c r="O14" i="46"/>
  <c r="U14" i="46" s="1"/>
  <c r="AC21" i="66"/>
  <c r="AC20" i="66" s="1"/>
  <c r="AC32" i="66" s="1"/>
  <c r="AC37" i="66" s="1"/>
  <c r="AB20" i="66"/>
  <c r="AB32" i="66" s="1"/>
  <c r="AB37" i="66" s="1"/>
  <c r="AB60" i="66" s="1"/>
  <c r="AF8" i="31"/>
  <c r="H32" i="31"/>
  <c r="U37" i="22"/>
  <c r="O39" i="22"/>
  <c r="K8" i="17"/>
  <c r="U100" i="22"/>
  <c r="O102" i="22"/>
  <c r="U102" i="22" s="1"/>
  <c r="O69" i="21"/>
  <c r="D20" i="56"/>
  <c r="AC35" i="7"/>
  <c r="Q57" i="13"/>
  <c r="O57" i="13"/>
  <c r="U57" i="13" s="1"/>
  <c r="T57" i="13"/>
  <c r="AG57" i="13"/>
  <c r="AH42" i="30"/>
  <c r="J41" i="30"/>
  <c r="AE48" i="17"/>
  <c r="AL48" i="17"/>
  <c r="AQ48" i="17" s="1"/>
  <c r="H19" i="56"/>
  <c r="L19" i="56" s="1"/>
  <c r="K19" i="56"/>
  <c r="X41" i="42"/>
  <c r="T41" i="42"/>
  <c r="Q41" i="42"/>
  <c r="Q35" i="11"/>
  <c r="E12" i="8"/>
  <c r="K43" i="18"/>
  <c r="Q113" i="20"/>
  <c r="AF9" i="12"/>
  <c r="AL9" i="12" s="1"/>
  <c r="N10" i="10"/>
  <c r="AF10" i="10" s="1"/>
  <c r="AM118" i="12"/>
  <c r="J118" i="11"/>
  <c r="R29" i="39"/>
  <c r="J28" i="39"/>
  <c r="T42" i="13"/>
  <c r="AG42" i="13"/>
  <c r="AD49" i="10"/>
  <c r="AE7" i="12"/>
  <c r="AK7" i="12" s="1"/>
  <c r="AF43" i="18"/>
  <c r="H43" i="17"/>
  <c r="Q120" i="11"/>
  <c r="D120" i="10"/>
  <c r="AH120" i="10" s="1"/>
  <c r="E122" i="7"/>
  <c r="AF8" i="29"/>
  <c r="H32" i="29"/>
  <c r="AH57" i="10"/>
  <c r="N108" i="11"/>
  <c r="G108" i="10"/>
  <c r="AK108" i="10" s="1"/>
  <c r="H110" i="7"/>
  <c r="N110" i="7" s="1"/>
  <c r="U23" i="40"/>
  <c r="O27" i="40"/>
  <c r="U27" i="40" s="1"/>
  <c r="AC30" i="18"/>
  <c r="AC30" i="17" s="1"/>
  <c r="AB30" i="17"/>
  <c r="F39" i="56"/>
  <c r="I39" i="56"/>
  <c r="U114" i="42"/>
  <c r="O66" i="41"/>
  <c r="U66" i="41" s="1"/>
  <c r="I47" i="35"/>
  <c r="AI48" i="35"/>
  <c r="AG48" i="35"/>
  <c r="J48" i="35"/>
  <c r="V42" i="31"/>
  <c r="V41" i="31" s="1"/>
  <c r="V52" i="31" s="1"/>
  <c r="V60" i="31" s="1"/>
  <c r="U41" i="31"/>
  <c r="U52" i="31" s="1"/>
  <c r="U60" i="31" s="1"/>
  <c r="AI33" i="24"/>
  <c r="AG33" i="24"/>
  <c r="X8" i="8"/>
  <c r="F21" i="10"/>
  <c r="AJ21" i="10" s="1"/>
  <c r="G20" i="7"/>
  <c r="M20" i="7" s="1"/>
  <c r="J8" i="28"/>
  <c r="AH12" i="24"/>
  <c r="J12" i="17"/>
  <c r="M45" i="14"/>
  <c r="S16" i="14"/>
  <c r="F64" i="12"/>
  <c r="AS16" i="17"/>
  <c r="U300" i="13"/>
  <c r="F34" i="12"/>
  <c r="G34" i="11"/>
  <c r="S100" i="13"/>
  <c r="K39" i="12"/>
  <c r="E39" i="12"/>
  <c r="F39" i="11"/>
  <c r="R186" i="13"/>
  <c r="R218" i="13" s="1"/>
  <c r="AG32" i="66"/>
  <c r="AI32" i="66"/>
  <c r="I37" i="66"/>
  <c r="H19" i="8"/>
  <c r="L20" i="8"/>
  <c r="N60" i="18"/>
  <c r="N37" i="17"/>
  <c r="AJ41" i="10"/>
  <c r="AJ37" i="12"/>
  <c r="AH21" i="24"/>
  <c r="J20" i="24"/>
  <c r="AH20" i="24" s="1"/>
  <c r="AH41" i="25"/>
  <c r="N125" i="12"/>
  <c r="N127" i="10"/>
  <c r="AF127" i="12"/>
  <c r="AF125" i="12" s="1"/>
  <c r="AJ37" i="10"/>
  <c r="AG275" i="13"/>
  <c r="O275" i="13"/>
  <c r="U275" i="13" s="1"/>
  <c r="T275" i="13"/>
  <c r="T97" i="13"/>
  <c r="Q97" i="13"/>
  <c r="AG97" i="13"/>
  <c r="N100" i="13"/>
  <c r="G16" i="56"/>
  <c r="J16" i="56"/>
  <c r="W21" i="17"/>
  <c r="W20" i="18"/>
  <c r="W20" i="17" s="1"/>
  <c r="Q36" i="21"/>
  <c r="T36" i="21"/>
  <c r="AF32" i="36"/>
  <c r="H37" i="36"/>
  <c r="AH42" i="33"/>
  <c r="J41" i="33"/>
  <c r="V11" i="18"/>
  <c r="V11" i="17" s="1"/>
  <c r="U11" i="17"/>
  <c r="AG23" i="37"/>
  <c r="AI23" i="37"/>
  <c r="N70" i="42"/>
  <c r="X59" i="42"/>
  <c r="O59" i="42"/>
  <c r="Q59" i="42"/>
  <c r="T59" i="42"/>
  <c r="S95" i="12"/>
  <c r="S96" i="10" s="1"/>
  <c r="O117" i="11"/>
  <c r="H117" i="10"/>
  <c r="AL117" i="10" s="1"/>
  <c r="I119" i="7"/>
  <c r="O119" i="7" s="1"/>
  <c r="N8" i="17"/>
  <c r="U47" i="30"/>
  <c r="V48" i="30"/>
  <c r="V47" i="30" s="1"/>
  <c r="V31" i="22"/>
  <c r="N26" i="21"/>
  <c r="T31" i="22"/>
  <c r="Q31" i="22"/>
  <c r="C397" i="55"/>
  <c r="D397" i="55" s="1"/>
  <c r="E397" i="55" s="1"/>
  <c r="F397" i="55" s="1"/>
  <c r="G397" i="55" s="1"/>
  <c r="H397" i="55" s="1"/>
  <c r="I397" i="55" s="1"/>
  <c r="J397" i="55" s="1"/>
  <c r="K397" i="55" s="1"/>
  <c r="L397" i="55" s="1"/>
  <c r="M397" i="55" s="1"/>
  <c r="N397" i="55" s="1"/>
  <c r="O384" i="55"/>
  <c r="P12" i="54"/>
  <c r="Q12" i="54" s="1"/>
  <c r="E22" i="56"/>
  <c r="P53" i="7"/>
  <c r="L30" i="11"/>
  <c r="F30" i="7"/>
  <c r="L30" i="7" s="1"/>
  <c r="E31" i="10"/>
  <c r="F29" i="11"/>
  <c r="AM54" i="12"/>
  <c r="J54" i="11"/>
  <c r="I53" i="12"/>
  <c r="AM53" i="12" s="1"/>
  <c r="AA32" i="46"/>
  <c r="O32" i="46"/>
  <c r="T32" i="46"/>
  <c r="O37" i="25"/>
  <c r="O60" i="25" s="1"/>
  <c r="V53" i="40"/>
  <c r="O53" i="40"/>
  <c r="N61" i="40"/>
  <c r="Q53" i="40"/>
  <c r="T53" i="40"/>
  <c r="T52" i="30"/>
  <c r="T60" i="30" s="1"/>
  <c r="P9" i="17"/>
  <c r="T37" i="10" s="1"/>
  <c r="H55" i="11"/>
  <c r="Q228" i="13"/>
  <c r="G55" i="12"/>
  <c r="T228" i="13"/>
  <c r="S55" i="12"/>
  <c r="N243" i="13"/>
  <c r="AG228" i="13"/>
  <c r="P134" i="46"/>
  <c r="AA134" i="46" s="1"/>
  <c r="U134" i="46"/>
  <c r="X36" i="42"/>
  <c r="T36" i="42"/>
  <c r="Q36" i="42"/>
  <c r="O27" i="39"/>
  <c r="Q28" i="39"/>
  <c r="N51" i="11"/>
  <c r="H51" i="7"/>
  <c r="N51" i="7" s="1"/>
  <c r="G52" i="10"/>
  <c r="O35" i="45"/>
  <c r="AF32" i="37"/>
  <c r="H37" i="37"/>
  <c r="U36" i="36"/>
  <c r="T33" i="36"/>
  <c r="T37" i="36" s="1"/>
  <c r="I125" i="11"/>
  <c r="O127" i="11"/>
  <c r="T129" i="13"/>
  <c r="Q129" i="13"/>
  <c r="AG129" i="13"/>
  <c r="N130" i="13"/>
  <c r="G57" i="26"/>
  <c r="G60" i="26"/>
  <c r="AE37" i="26"/>
  <c r="G61" i="26"/>
  <c r="AF47" i="18"/>
  <c r="H47" i="17"/>
  <c r="AH11" i="30"/>
  <c r="J11" i="17"/>
  <c r="M36" i="7"/>
  <c r="AI66" i="10"/>
  <c r="E65" i="10"/>
  <c r="AG49" i="17"/>
  <c r="AN49" i="17"/>
  <c r="AS49" i="17" s="1"/>
  <c r="AA25" i="46"/>
  <c r="T25" i="46"/>
  <c r="Q25" i="46"/>
  <c r="AH25" i="34"/>
  <c r="J23" i="34"/>
  <c r="AH23" i="34" s="1"/>
  <c r="O292" i="13"/>
  <c r="S228" i="13"/>
  <c r="R55" i="12"/>
  <c r="F55" i="12"/>
  <c r="G55" i="11"/>
  <c r="M243" i="13"/>
  <c r="S243" i="13" s="1"/>
  <c r="W42" i="47"/>
  <c r="O42" i="47"/>
  <c r="Q42" i="47"/>
  <c r="N45" i="47"/>
  <c r="T42" i="47"/>
  <c r="AG8" i="28"/>
  <c r="AI8" i="28"/>
  <c r="I32" i="28"/>
  <c r="AM74" i="12"/>
  <c r="AG73" i="12"/>
  <c r="AM73" i="12" s="1"/>
  <c r="X138" i="12"/>
  <c r="X151" i="12" s="1"/>
  <c r="X152" i="12" s="1"/>
  <c r="X31" i="12"/>
  <c r="L31" i="12" s="1"/>
  <c r="K117" i="20"/>
  <c r="F42" i="18"/>
  <c r="K18" i="19"/>
  <c r="AG32" i="26"/>
  <c r="I37" i="26"/>
  <c r="AI32" i="26"/>
  <c r="U91" i="13"/>
  <c r="O97" i="13"/>
  <c r="T304" i="13"/>
  <c r="AG304" i="13"/>
  <c r="Q74" i="40"/>
  <c r="J154" i="11"/>
  <c r="AG154" i="12"/>
  <c r="V74" i="40"/>
  <c r="P32" i="34"/>
  <c r="P37" i="34" s="1"/>
  <c r="P60" i="34" s="1"/>
  <c r="T29" i="14"/>
  <c r="M71" i="12" s="1"/>
  <c r="H71" i="11"/>
  <c r="G71" i="12"/>
  <c r="AB29" i="14"/>
  <c r="W71" i="12" s="1"/>
  <c r="AM86" i="12"/>
  <c r="J86" i="11"/>
  <c r="I87" i="12"/>
  <c r="AM87" i="12" s="1"/>
  <c r="N19" i="39"/>
  <c r="K18" i="39"/>
  <c r="N18" i="39" s="1"/>
  <c r="W73" i="10"/>
  <c r="AC73" i="10" s="1"/>
  <c r="AI73" i="10" s="1"/>
  <c r="AC72" i="12"/>
  <c r="AI72" i="12" s="1"/>
  <c r="D59" i="10"/>
  <c r="R28" i="12"/>
  <c r="R30" i="10"/>
  <c r="R29" i="10" s="1"/>
  <c r="V20" i="17"/>
  <c r="U20" i="13"/>
  <c r="I15" i="11"/>
  <c r="H15" i="12"/>
  <c r="U72" i="43"/>
  <c r="I22" i="8"/>
  <c r="T77" i="7" s="1"/>
  <c r="O322" i="13"/>
  <c r="H77" i="12"/>
  <c r="U38" i="14"/>
  <c r="I77" i="11"/>
  <c r="Q6" i="39"/>
  <c r="L4" i="39"/>
  <c r="R35" i="41"/>
  <c r="V42" i="33"/>
  <c r="V41" i="33" s="1"/>
  <c r="U41" i="33"/>
  <c r="S83" i="22"/>
  <c r="M84" i="22"/>
  <c r="S84" i="22" s="1"/>
  <c r="M54" i="21"/>
  <c r="U62" i="41"/>
  <c r="AH17" i="23"/>
  <c r="J17" i="17"/>
  <c r="R31" i="39"/>
  <c r="J30" i="39"/>
  <c r="R73" i="21"/>
  <c r="L87" i="21"/>
  <c r="Q27" i="10"/>
  <c r="Q22" i="10" s="1"/>
  <c r="Q21" i="12"/>
  <c r="AH24" i="26"/>
  <c r="J23" i="26"/>
  <c r="AH23" i="26" s="1"/>
  <c r="T133" i="22"/>
  <c r="I46" i="18"/>
  <c r="Z47" i="43"/>
  <c r="Q47" i="43"/>
  <c r="O47" i="43"/>
  <c r="U47" i="43" s="1"/>
  <c r="T47" i="43"/>
  <c r="AA32" i="32"/>
  <c r="AA37" i="32" s="1"/>
  <c r="AA60" i="32" s="1"/>
  <c r="D97" i="7"/>
  <c r="G68" i="11"/>
  <c r="M68" i="11" s="1"/>
  <c r="M69" i="11"/>
  <c r="F70" i="10"/>
  <c r="G69" i="7"/>
  <c r="O13" i="19"/>
  <c r="U4" i="19"/>
  <c r="J10" i="18"/>
  <c r="M31" i="21"/>
  <c r="T88" i="22"/>
  <c r="V88" i="22"/>
  <c r="N90" i="22"/>
  <c r="N57" i="21"/>
  <c r="Q88" i="22"/>
  <c r="AO51" i="17"/>
  <c r="AH51" i="17"/>
  <c r="N127" i="11"/>
  <c r="K127" i="11"/>
  <c r="H125" i="11"/>
  <c r="AG33" i="35"/>
  <c r="AI33" i="35"/>
  <c r="AA56" i="46"/>
  <c r="O56" i="46"/>
  <c r="U56" i="46" s="1"/>
  <c r="Q56" i="46"/>
  <c r="T56" i="46"/>
  <c r="K31" i="39"/>
  <c r="AF47" i="36"/>
  <c r="H52" i="36"/>
  <c r="U111" i="42"/>
  <c r="O63" i="41"/>
  <c r="U63" i="41" s="1"/>
  <c r="M124" i="10"/>
  <c r="T72" i="46"/>
  <c r="V60" i="37"/>
  <c r="P129" i="46"/>
  <c r="AA129" i="46" s="1"/>
  <c r="U129" i="46"/>
  <c r="V52" i="41"/>
  <c r="Q52" i="41"/>
  <c r="T52" i="41"/>
  <c r="O51" i="22"/>
  <c r="U49" i="22"/>
  <c r="N34" i="10"/>
  <c r="AF34" i="10" s="1"/>
  <c r="AF33" i="12"/>
  <c r="U95" i="22"/>
  <c r="N8" i="7"/>
  <c r="K8" i="7"/>
  <c r="AP27" i="17"/>
  <c r="I27" i="10"/>
  <c r="J26" i="7"/>
  <c r="J16" i="17"/>
  <c r="P22" i="17"/>
  <c r="G127" i="7"/>
  <c r="M127" i="7" s="1"/>
  <c r="M129" i="7"/>
  <c r="W20" i="47"/>
  <c r="O20" i="47"/>
  <c r="T20" i="47"/>
  <c r="N61" i="47"/>
  <c r="N23" i="47"/>
  <c r="P95" i="10"/>
  <c r="AB94" i="12"/>
  <c r="P92" i="12"/>
  <c r="T66" i="21"/>
  <c r="N68" i="21"/>
  <c r="N42" i="21"/>
  <c r="T42" i="21" s="1"/>
  <c r="T41" i="21"/>
  <c r="AK12" i="12"/>
  <c r="J47" i="26"/>
  <c r="AH47" i="26" s="1"/>
  <c r="AK11" i="10"/>
  <c r="U14" i="21"/>
  <c r="Z35" i="11"/>
  <c r="D12" i="8"/>
  <c r="AC32" i="29"/>
  <c r="AC37" i="29" s="1"/>
  <c r="E54" i="10"/>
  <c r="D48" i="10"/>
  <c r="U19" i="42"/>
  <c r="O19" i="41"/>
  <c r="U19" i="41" s="1"/>
  <c r="M50" i="13"/>
  <c r="S37" i="43"/>
  <c r="AH34" i="66"/>
  <c r="J33" i="66"/>
  <c r="AH33" i="66" s="1"/>
  <c r="S175" i="46"/>
  <c r="AA32" i="66"/>
  <c r="AA37" i="66" s="1"/>
  <c r="AA60" i="66" s="1"/>
  <c r="AH24" i="38"/>
  <c r="J23" i="38"/>
  <c r="AH23" i="38" s="1"/>
  <c r="AP9" i="17"/>
  <c r="I37" i="10"/>
  <c r="AI9" i="17"/>
  <c r="J36" i="7"/>
  <c r="I23" i="11"/>
  <c r="I23" i="12"/>
  <c r="AL23" i="12"/>
  <c r="R24" i="39"/>
  <c r="AS31" i="17"/>
  <c r="AF32" i="34"/>
  <c r="H37" i="34"/>
  <c r="P92" i="43"/>
  <c r="P86" i="40"/>
  <c r="P139" i="42"/>
  <c r="P141" i="42" s="1"/>
  <c r="P89" i="43"/>
  <c r="AA32" i="27"/>
  <c r="AA37" i="27" s="1"/>
  <c r="AA60" i="27" s="1"/>
  <c r="AE47" i="18"/>
  <c r="G47" i="17"/>
  <c r="AH48" i="66"/>
  <c r="J47" i="66"/>
  <c r="AH47" i="66" s="1"/>
  <c r="AH42" i="37"/>
  <c r="U136" i="22"/>
  <c r="J48" i="18"/>
  <c r="E37" i="51"/>
  <c r="E35" i="7"/>
  <c r="P37" i="7"/>
  <c r="W51" i="47"/>
  <c r="T51" i="47"/>
  <c r="L63" i="40"/>
  <c r="O10" i="55"/>
  <c r="Q10" i="55" s="1"/>
  <c r="O97" i="46"/>
  <c r="U95" i="46"/>
  <c r="O63" i="22"/>
  <c r="T63" i="22"/>
  <c r="V63" i="22"/>
  <c r="N65" i="22"/>
  <c r="N66" i="22" s="1"/>
  <c r="H10" i="10"/>
  <c r="AL10" i="10" s="1"/>
  <c r="I9" i="7"/>
  <c r="O9" i="7" s="1"/>
  <c r="O9" i="11"/>
  <c r="J47" i="11"/>
  <c r="H118" i="10"/>
  <c r="AL118" i="10" s="1"/>
  <c r="O118" i="11"/>
  <c r="I120" i="7"/>
  <c r="O120" i="7" s="1"/>
  <c r="O42" i="13"/>
  <c r="T19" i="12" s="1"/>
  <c r="U40" i="13"/>
  <c r="H20" i="12"/>
  <c r="AL20" i="12" s="1"/>
  <c r="I20" i="11"/>
  <c r="Z116" i="11"/>
  <c r="O10" i="9"/>
  <c r="D118" i="7" s="1"/>
  <c r="O119" i="42"/>
  <c r="U119" i="42" s="1"/>
  <c r="M48" i="7"/>
  <c r="O224" i="13"/>
  <c r="O30" i="42"/>
  <c r="O33" i="42" s="1"/>
  <c r="U28" i="42"/>
  <c r="O52" i="28"/>
  <c r="O60" i="28" s="1"/>
  <c r="R44" i="17"/>
  <c r="S44" i="18"/>
  <c r="M46" i="10"/>
  <c r="AE46" i="10" s="1"/>
  <c r="AE45" i="12"/>
  <c r="P47" i="23"/>
  <c r="AH54" i="10"/>
  <c r="I108" i="12"/>
  <c r="I108" i="11"/>
  <c r="AL108" i="12"/>
  <c r="AA20" i="46"/>
  <c r="O20" i="46"/>
  <c r="U20" i="46" s="1"/>
  <c r="T20" i="46"/>
  <c r="O412" i="55"/>
  <c r="C425" i="55"/>
  <c r="D425" i="55" s="1"/>
  <c r="E425" i="55" s="1"/>
  <c r="F425" i="55" s="1"/>
  <c r="G425" i="55" s="1"/>
  <c r="H425" i="55" s="1"/>
  <c r="I425" i="55" s="1"/>
  <c r="J425" i="55" s="1"/>
  <c r="K425" i="55" s="1"/>
  <c r="L425" i="55" s="1"/>
  <c r="M425" i="55" s="1"/>
  <c r="N425" i="55" s="1"/>
  <c r="X23" i="17"/>
  <c r="V20" i="10" s="1"/>
  <c r="J8" i="34"/>
  <c r="S55" i="42"/>
  <c r="M43" i="41"/>
  <c r="S43" i="41" s="1"/>
  <c r="I32" i="32"/>
  <c r="N270" i="13"/>
  <c r="M39" i="21"/>
  <c r="AF19" i="17"/>
  <c r="AM19" i="17"/>
  <c r="AR19" i="17" s="1"/>
  <c r="I32" i="34"/>
  <c r="F49" i="12"/>
  <c r="S281" i="13"/>
  <c r="M287" i="13"/>
  <c r="S287" i="13" s="1"/>
  <c r="G49" i="11"/>
  <c r="M59" i="10"/>
  <c r="N35" i="46"/>
  <c r="AR13" i="17"/>
  <c r="T74" i="20"/>
  <c r="AJ22" i="12"/>
  <c r="AD127" i="10"/>
  <c r="AD125" i="10" s="1"/>
  <c r="L125" i="10"/>
  <c r="AC9" i="36"/>
  <c r="AC8" i="36" s="1"/>
  <c r="AB8" i="36"/>
  <c r="AF72" i="12"/>
  <c r="AL72" i="12" s="1"/>
  <c r="N73" i="10"/>
  <c r="AF73" i="10" s="1"/>
  <c r="T15" i="21"/>
  <c r="Q15" i="21"/>
  <c r="AF32" i="26"/>
  <c r="H37" i="26"/>
  <c r="X60" i="42"/>
  <c r="O60" i="42"/>
  <c r="U60" i="42" s="1"/>
  <c r="Q60" i="42"/>
  <c r="T60" i="42"/>
  <c r="S31" i="9"/>
  <c r="Y31" i="9" s="1"/>
  <c r="Y26" i="9"/>
  <c r="AH8" i="35"/>
  <c r="Q207" i="13"/>
  <c r="T207" i="13"/>
  <c r="AG207" i="13"/>
  <c r="AD123" i="12"/>
  <c r="AJ123" i="12" s="1"/>
  <c r="R123" i="10"/>
  <c r="AD123" i="10" s="1"/>
  <c r="AF32" i="35"/>
  <c r="H37" i="35"/>
  <c r="K27" i="10"/>
  <c r="AC26" i="12"/>
  <c r="AC21" i="12" s="1"/>
  <c r="K21" i="12"/>
  <c r="AH24" i="30"/>
  <c r="J23" i="30"/>
  <c r="AH23" i="30" s="1"/>
  <c r="H6" i="8"/>
  <c r="N7" i="11"/>
  <c r="K7" i="11"/>
  <c r="V52" i="23"/>
  <c r="P116" i="12"/>
  <c r="T99" i="22"/>
  <c r="V99" i="22"/>
  <c r="Q99" i="22"/>
  <c r="AG8" i="36"/>
  <c r="I32" i="36"/>
  <c r="AI8" i="36"/>
  <c r="AI70" i="10"/>
  <c r="E69" i="10"/>
  <c r="H12" i="7"/>
  <c r="N12" i="11"/>
  <c r="K12" i="11"/>
  <c r="G13" i="10"/>
  <c r="AK13" i="10" s="1"/>
  <c r="K10" i="7"/>
  <c r="N10" i="7"/>
  <c r="R157" i="46"/>
  <c r="L158" i="46"/>
  <c r="U8" i="22"/>
  <c r="O8" i="21"/>
  <c r="O13" i="22"/>
  <c r="P37" i="25"/>
  <c r="P60" i="25" s="1"/>
  <c r="U89" i="22"/>
  <c r="O58" i="21"/>
  <c r="U58" i="21" s="1"/>
  <c r="AP49" i="17"/>
  <c r="AI49" i="17"/>
  <c r="AG112" i="13"/>
  <c r="T112" i="13"/>
  <c r="Q112" i="13"/>
  <c r="O112" i="13"/>
  <c r="S37" i="12"/>
  <c r="AC48" i="33"/>
  <c r="AC47" i="33" s="1"/>
  <c r="AB47" i="33"/>
  <c r="V44" i="30"/>
  <c r="V41" i="30" s="1"/>
  <c r="U41" i="30"/>
  <c r="U52" i="30" s="1"/>
  <c r="U60" i="30" s="1"/>
  <c r="U36" i="14"/>
  <c r="H75" i="12"/>
  <c r="AL75" i="12" s="1"/>
  <c r="I75" i="11"/>
  <c r="I21" i="9"/>
  <c r="Q9" i="17"/>
  <c r="U37" i="10" s="1"/>
  <c r="O113" i="11"/>
  <c r="T7" i="9"/>
  <c r="P49" i="17"/>
  <c r="Q49" i="18"/>
  <c r="P47" i="18"/>
  <c r="S47" i="12"/>
  <c r="AE51" i="12"/>
  <c r="AK51" i="12" s="1"/>
  <c r="S52" i="10"/>
  <c r="H107" i="51"/>
  <c r="N107" i="51"/>
  <c r="AG52" i="27"/>
  <c r="AI52" i="27"/>
  <c r="I62" i="27"/>
  <c r="H125" i="12"/>
  <c r="AL125" i="12" s="1"/>
  <c r="AI47" i="32"/>
  <c r="AG47" i="32"/>
  <c r="L23" i="39"/>
  <c r="M75" i="20"/>
  <c r="S46" i="20"/>
  <c r="V160" i="46"/>
  <c r="W160" i="46" s="1"/>
  <c r="K172" i="46"/>
  <c r="AJ16" i="10"/>
  <c r="AH41" i="35"/>
  <c r="AC48" i="30"/>
  <c r="AC47" i="30" s="1"/>
  <c r="AB47" i="30"/>
  <c r="F64" i="7"/>
  <c r="L65" i="7"/>
  <c r="O217" i="13"/>
  <c r="U217" i="13" s="1"/>
  <c r="U212" i="13"/>
  <c r="N6" i="9"/>
  <c r="C111" i="11"/>
  <c r="X32" i="42"/>
  <c r="O32" i="42"/>
  <c r="Q32" i="42"/>
  <c r="T32" i="42"/>
  <c r="N30" i="41"/>
  <c r="J32" i="66"/>
  <c r="AH8" i="66"/>
  <c r="O60" i="36"/>
  <c r="W138" i="12"/>
  <c r="W151" i="12" s="1"/>
  <c r="W152" i="12" s="1"/>
  <c r="W31" i="12"/>
  <c r="V47" i="18"/>
  <c r="W48" i="18"/>
  <c r="AB41" i="25"/>
  <c r="AC42" i="25"/>
  <c r="AC41" i="25" s="1"/>
  <c r="AC52" i="25" s="1"/>
  <c r="AH8" i="32"/>
  <c r="X84" i="42"/>
  <c r="N97" i="42"/>
  <c r="O84" i="42"/>
  <c r="T84" i="42"/>
  <c r="Z97" i="11"/>
  <c r="O10" i="8"/>
  <c r="D100" i="7" s="1"/>
  <c r="AC100" i="7" s="1"/>
  <c r="AC52" i="38"/>
  <c r="G60" i="23"/>
  <c r="G61" i="23"/>
  <c r="AE37" i="23"/>
  <c r="J325" i="13"/>
  <c r="J327" i="13"/>
  <c r="AE319" i="13"/>
  <c r="O37" i="35"/>
  <c r="O60" i="35" s="1"/>
  <c r="M19" i="21"/>
  <c r="S21" i="22"/>
  <c r="U27" i="14"/>
  <c r="O29" i="14"/>
  <c r="AH42" i="34"/>
  <c r="J41" i="34"/>
  <c r="H57" i="25"/>
  <c r="H60" i="25"/>
  <c r="H61" i="25"/>
  <c r="AF37" i="25"/>
  <c r="W87" i="10"/>
  <c r="H87" i="10"/>
  <c r="AL87" i="10" s="1"/>
  <c r="I86" i="7"/>
  <c r="O86" i="7" s="1"/>
  <c r="R87" i="10"/>
  <c r="R88" i="10" s="1"/>
  <c r="M87" i="10"/>
  <c r="AE87" i="10" s="1"/>
  <c r="AK87" i="10" s="1"/>
  <c r="O86" i="11"/>
  <c r="AA61" i="46"/>
  <c r="O61" i="46"/>
  <c r="U61" i="46" s="1"/>
  <c r="Q61" i="46"/>
  <c r="T61" i="46"/>
  <c r="O52" i="23"/>
  <c r="O60" i="23" s="1"/>
  <c r="O41" i="17"/>
  <c r="AP26" i="17"/>
  <c r="J8" i="8"/>
  <c r="AG47" i="25"/>
  <c r="AI47" i="25"/>
  <c r="L9" i="39"/>
  <c r="O8" i="17"/>
  <c r="K35" i="39"/>
  <c r="K34" i="39" s="1"/>
  <c r="AF47" i="38"/>
  <c r="E37" i="17"/>
  <c r="E60" i="18"/>
  <c r="E57" i="18"/>
  <c r="E57" i="17" s="1"/>
  <c r="S59" i="21"/>
  <c r="M61" i="21"/>
  <c r="U15" i="14"/>
  <c r="H67" i="12"/>
  <c r="AL67" i="12" s="1"/>
  <c r="I67" i="11"/>
  <c r="Q311" i="13"/>
  <c r="T311" i="13"/>
  <c r="AG311" i="13"/>
  <c r="AA60" i="33"/>
  <c r="U23" i="22"/>
  <c r="O25" i="22"/>
  <c r="U25" i="22" s="1"/>
  <c r="O21" i="21"/>
  <c r="Q294" i="13"/>
  <c r="T294" i="13"/>
  <c r="O294" i="13"/>
  <c r="U294" i="13" s="1"/>
  <c r="AG294" i="13"/>
  <c r="AJ46" i="10"/>
  <c r="U112" i="42"/>
  <c r="U35" i="14"/>
  <c r="I20" i="9"/>
  <c r="I19" i="9" s="1"/>
  <c r="U274" i="13"/>
  <c r="O276" i="13"/>
  <c r="T65" i="41"/>
  <c r="Q65" i="41"/>
  <c r="V65" i="41"/>
  <c r="N68" i="41"/>
  <c r="AG41" i="36"/>
  <c r="AI41" i="36"/>
  <c r="AC29" i="7"/>
  <c r="D28" i="7"/>
  <c r="AC28" i="7" s="1"/>
  <c r="Q94" i="12"/>
  <c r="AC94" i="12" s="1"/>
  <c r="K95" i="10"/>
  <c r="R12" i="44"/>
  <c r="L16" i="44"/>
  <c r="AG33" i="33"/>
  <c r="AI33" i="33"/>
  <c r="AH21" i="29"/>
  <c r="J20" i="29"/>
  <c r="AH20" i="29" s="1"/>
  <c r="R39" i="21"/>
  <c r="L62" i="11"/>
  <c r="F10" i="9"/>
  <c r="F62" i="7"/>
  <c r="L62" i="7" s="1"/>
  <c r="E63" i="10"/>
  <c r="AI63" i="10" s="1"/>
  <c r="Q23" i="44"/>
  <c r="N24" i="44"/>
  <c r="T23" i="44"/>
  <c r="V23" i="44"/>
  <c r="R425" i="55"/>
  <c r="N16" i="46"/>
  <c r="X92" i="42"/>
  <c r="O92" i="42"/>
  <c r="U92" i="42" s="1"/>
  <c r="Q92" i="42"/>
  <c r="T92" i="42"/>
  <c r="AC9" i="32"/>
  <c r="AC8" i="32" s="1"/>
  <c r="AB8" i="32"/>
  <c r="AJ69" i="12"/>
  <c r="F68" i="12"/>
  <c r="AJ68" i="12" s="1"/>
  <c r="AK60" i="10"/>
  <c r="N100" i="10"/>
  <c r="AF100" i="10" s="1"/>
  <c r="AL100" i="10"/>
  <c r="AB60" i="37"/>
  <c r="V32" i="27"/>
  <c r="V37" i="27" s="1"/>
  <c r="V60" i="27" s="1"/>
  <c r="G22" i="12"/>
  <c r="AG254" i="13"/>
  <c r="H22" i="11"/>
  <c r="T254" i="13"/>
  <c r="T144" i="46"/>
  <c r="X105" i="42"/>
  <c r="Q105" i="42"/>
  <c r="O105" i="42"/>
  <c r="T105" i="42"/>
  <c r="N108" i="42"/>
  <c r="R13" i="21"/>
  <c r="L24" i="21"/>
  <c r="S152" i="7"/>
  <c r="Y30" i="8"/>
  <c r="AN22" i="17"/>
  <c r="AS22" i="17" s="1"/>
  <c r="AG22" i="17"/>
  <c r="AM62" i="10"/>
  <c r="M116" i="10"/>
  <c r="Z66" i="43"/>
  <c r="Q66" i="43"/>
  <c r="T66" i="43"/>
  <c r="X66" i="43"/>
  <c r="O66" i="43"/>
  <c r="U66" i="43" s="1"/>
  <c r="U60" i="37"/>
  <c r="J121" i="11"/>
  <c r="AM121" i="12"/>
  <c r="U82" i="42"/>
  <c r="O52" i="41"/>
  <c r="U52" i="41" s="1"/>
  <c r="AM20" i="17"/>
  <c r="AR20" i="17" s="1"/>
  <c r="AF20" i="17"/>
  <c r="AG87" i="10"/>
  <c r="AA67" i="46"/>
  <c r="O67" i="46"/>
  <c r="U67" i="46" s="1"/>
  <c r="Q67" i="46"/>
  <c r="T67" i="46"/>
  <c r="AH24" i="37"/>
  <c r="J23" i="37"/>
  <c r="AH23" i="37" s="1"/>
  <c r="AB37" i="28"/>
  <c r="AB60" i="28" s="1"/>
  <c r="U45" i="22"/>
  <c r="O36" i="21"/>
  <c r="AK9" i="10"/>
  <c r="G8" i="10"/>
  <c r="Z27" i="43"/>
  <c r="O27" i="43"/>
  <c r="U27" i="43" s="1"/>
  <c r="Q27" i="43"/>
  <c r="T27" i="43"/>
  <c r="AB21" i="17"/>
  <c r="AJ127" i="10"/>
  <c r="F125" i="10"/>
  <c r="AJ125" i="10" s="1"/>
  <c r="AM122" i="10"/>
  <c r="C116" i="7"/>
  <c r="C35" i="56" s="1"/>
  <c r="C114" i="10"/>
  <c r="I8" i="29"/>
  <c r="AE12" i="12"/>
  <c r="M13" i="10"/>
  <c r="AE13" i="10" s="1"/>
  <c r="I137" i="42"/>
  <c r="I138" i="42"/>
  <c r="I136" i="42"/>
  <c r="AB32" i="29"/>
  <c r="AB37" i="29" s="1"/>
  <c r="AB60" i="29" s="1"/>
  <c r="V34" i="22"/>
  <c r="O34" i="22"/>
  <c r="Q34" i="22"/>
  <c r="T34" i="22"/>
  <c r="N29" i="21"/>
  <c r="L56" i="7"/>
  <c r="F53" i="7"/>
  <c r="L53" i="7" s="1"/>
  <c r="J47" i="12"/>
  <c r="AB49" i="12"/>
  <c r="J50" i="10"/>
  <c r="U107" i="13"/>
  <c r="N37" i="12"/>
  <c r="Z20" i="43"/>
  <c r="T20" i="43"/>
  <c r="O20" i="43"/>
  <c r="N37" i="43"/>
  <c r="N78" i="11"/>
  <c r="G79" i="10"/>
  <c r="AK79" i="10" s="1"/>
  <c r="H78" i="7"/>
  <c r="N78" i="7" s="1"/>
  <c r="AI13" i="31"/>
  <c r="AG13" i="31"/>
  <c r="J13" i="31"/>
  <c r="J13" i="17" s="1"/>
  <c r="I8" i="31"/>
  <c r="N23" i="11"/>
  <c r="G24" i="10"/>
  <c r="AK24" i="10" s="1"/>
  <c r="H23" i="7"/>
  <c r="N23" i="7" s="1"/>
  <c r="R47" i="41"/>
  <c r="L50" i="41"/>
  <c r="U8" i="20"/>
  <c r="O13" i="20"/>
  <c r="U13" i="20" s="1"/>
  <c r="N296" i="13"/>
  <c r="AA77" i="46"/>
  <c r="N82" i="46"/>
  <c r="T77" i="46"/>
  <c r="O77" i="46"/>
  <c r="V15" i="41"/>
  <c r="T15" i="41"/>
  <c r="G57" i="35"/>
  <c r="G60" i="35"/>
  <c r="AE37" i="35"/>
  <c r="G61" i="35"/>
  <c r="AI41" i="30"/>
  <c r="AG41" i="30"/>
  <c r="I52" i="30"/>
  <c r="AC9" i="27"/>
  <c r="AC8" i="27" s="1"/>
  <c r="AC32" i="27" s="1"/>
  <c r="AC37" i="27" s="1"/>
  <c r="AB8" i="27"/>
  <c r="R3" i="39"/>
  <c r="AG8" i="24"/>
  <c r="I32" i="24"/>
  <c r="AI8" i="24"/>
  <c r="M78" i="41"/>
  <c r="S64" i="41"/>
  <c r="R31" i="21"/>
  <c r="L35" i="21"/>
  <c r="R35" i="21" s="1"/>
  <c r="Q58" i="20"/>
  <c r="O15" i="40"/>
  <c r="U15" i="40" s="1"/>
  <c r="T15" i="40"/>
  <c r="V15" i="40"/>
  <c r="J47" i="27"/>
  <c r="AH47" i="27" s="1"/>
  <c r="Q41" i="17"/>
  <c r="U69" i="41"/>
  <c r="O71" i="41"/>
  <c r="U71" i="41" s="1"/>
  <c r="AJ49" i="10"/>
  <c r="X30" i="42"/>
  <c r="T30" i="42"/>
  <c r="N28" i="41"/>
  <c r="Q30" i="42"/>
  <c r="Z76" i="43"/>
  <c r="T76" i="43"/>
  <c r="Q76" i="43"/>
  <c r="O76" i="43"/>
  <c r="U76" i="43" s="1"/>
  <c r="P52" i="28"/>
  <c r="Q101" i="45"/>
  <c r="V101" i="45"/>
  <c r="T101" i="45"/>
  <c r="AA42" i="17"/>
  <c r="Y94" i="10" s="1"/>
  <c r="AK44" i="17"/>
  <c r="AJ44" i="17"/>
  <c r="Q312" i="55"/>
  <c r="U113" i="22"/>
  <c r="O79" i="21"/>
  <c r="U79" i="21" s="1"/>
  <c r="N211" i="13"/>
  <c r="O23" i="47"/>
  <c r="O114" i="55"/>
  <c r="Q114" i="55" s="1"/>
  <c r="Q101" i="55"/>
  <c r="T27" i="40"/>
  <c r="V27" i="40"/>
  <c r="Q27" i="40"/>
  <c r="F73" i="12"/>
  <c r="AH44" i="10"/>
  <c r="O57" i="55"/>
  <c r="Q44" i="55"/>
  <c r="J30" i="17"/>
  <c r="J22" i="10"/>
  <c r="AB27" i="10"/>
  <c r="AB22" i="10" s="1"/>
  <c r="S43" i="40"/>
  <c r="M63" i="40"/>
  <c r="AC24" i="27"/>
  <c r="AC23" i="27" s="1"/>
  <c r="AB23" i="27"/>
  <c r="J33" i="36"/>
  <c r="AH33" i="36" s="1"/>
  <c r="AA44" i="18"/>
  <c r="AG41" i="24"/>
  <c r="I52" i="24"/>
  <c r="AI41" i="24"/>
  <c r="T113" i="20"/>
  <c r="V113" i="20"/>
  <c r="I43" i="18"/>
  <c r="S132" i="42"/>
  <c r="H64" i="11"/>
  <c r="N65" i="11"/>
  <c r="H65" i="7"/>
  <c r="G66" i="10"/>
  <c r="V58" i="20"/>
  <c r="M157" i="46"/>
  <c r="S157" i="46" s="1"/>
  <c r="S117" i="46"/>
  <c r="R114" i="12"/>
  <c r="R114" i="10" s="1"/>
  <c r="AE10" i="17"/>
  <c r="AL10" i="17"/>
  <c r="AQ10" i="17" s="1"/>
  <c r="S39" i="41"/>
  <c r="G57" i="33"/>
  <c r="AE37" i="33"/>
  <c r="G61" i="33"/>
  <c r="G60" i="33"/>
  <c r="AG41" i="25"/>
  <c r="AI41" i="25"/>
  <c r="I52" i="25"/>
  <c r="AG41" i="34"/>
  <c r="AI41" i="34"/>
  <c r="I52" i="34"/>
  <c r="AF15" i="12"/>
  <c r="N16" i="10"/>
  <c r="AH41" i="28"/>
  <c r="J52" i="28"/>
  <c r="I29" i="17"/>
  <c r="J29" i="18"/>
  <c r="AG29" i="18"/>
  <c r="J32" i="25"/>
  <c r="AH8" i="25"/>
  <c r="AN21" i="17"/>
  <c r="AS21" i="17" s="1"/>
  <c r="AG21" i="17"/>
  <c r="G49" i="10"/>
  <c r="H48" i="7"/>
  <c r="M49" i="10"/>
  <c r="O41" i="46"/>
  <c r="U41" i="46" s="1"/>
  <c r="U40" i="46"/>
  <c r="U33" i="32"/>
  <c r="U37" i="32" s="1"/>
  <c r="U60" i="32" s="1"/>
  <c r="V34" i="32"/>
  <c r="V33" i="32" s="1"/>
  <c r="V37" i="32" s="1"/>
  <c r="V60" i="32" s="1"/>
  <c r="S108" i="42"/>
  <c r="M60" i="41"/>
  <c r="M109" i="42"/>
  <c r="S109" i="42" s="1"/>
  <c r="V60" i="24"/>
  <c r="S32" i="47"/>
  <c r="M35" i="47"/>
  <c r="I109" i="10"/>
  <c r="AM109" i="10" s="1"/>
  <c r="J111" i="7"/>
  <c r="F23" i="10"/>
  <c r="G22" i="7"/>
  <c r="M22" i="11"/>
  <c r="G57" i="25"/>
  <c r="G60" i="25"/>
  <c r="AE37" i="25"/>
  <c r="G61" i="25"/>
  <c r="O54" i="11"/>
  <c r="I54" i="7"/>
  <c r="H55" i="10"/>
  <c r="AC48" i="31"/>
  <c r="AC47" i="31" s="1"/>
  <c r="AB47" i="31"/>
  <c r="AC42" i="27"/>
  <c r="AC41" i="27" s="1"/>
  <c r="AC52" i="27" s="1"/>
  <c r="AB41" i="27"/>
  <c r="AB52" i="27" s="1"/>
  <c r="O73" i="20"/>
  <c r="U73" i="20" s="1"/>
  <c r="U28" i="45"/>
  <c r="N104" i="12"/>
  <c r="AC24" i="32"/>
  <c r="AC23" i="32" s="1"/>
  <c r="AB23" i="32"/>
  <c r="AH48" i="29"/>
  <c r="J47" i="29"/>
  <c r="AH47" i="29" s="1"/>
  <c r="AJ7" i="12"/>
  <c r="Z64" i="43"/>
  <c r="O64" i="43"/>
  <c r="U64" i="43" s="1"/>
  <c r="Q64" i="43"/>
  <c r="T64" i="43"/>
  <c r="O15" i="43"/>
  <c r="U15" i="43" s="1"/>
  <c r="Q15" i="43"/>
  <c r="T15" i="43"/>
  <c r="Z15" i="43"/>
  <c r="E74" i="10"/>
  <c r="O58" i="20"/>
  <c r="J49" i="17"/>
  <c r="AC42" i="31"/>
  <c r="AC41" i="31" s="1"/>
  <c r="AC52" i="31" s="1"/>
  <c r="AB41" i="31"/>
  <c r="AB52" i="31" s="1"/>
  <c r="AB60" i="31" s="1"/>
  <c r="AK15" i="12"/>
  <c r="V72" i="41"/>
  <c r="T72" i="41"/>
  <c r="R59" i="21"/>
  <c r="L61" i="21"/>
  <c r="R61" i="21" s="1"/>
  <c r="P32" i="18"/>
  <c r="I25" i="17"/>
  <c r="I23" i="18"/>
  <c r="AG25" i="18"/>
  <c r="AF113" i="12"/>
  <c r="T113" i="10"/>
  <c r="AF113" i="10" s="1"/>
  <c r="AJ43" i="10"/>
  <c r="AH24" i="27"/>
  <c r="J23" i="27"/>
  <c r="AH23" i="27" s="1"/>
  <c r="AF8" i="12"/>
  <c r="N9" i="10"/>
  <c r="O28" i="47"/>
  <c r="Z25" i="43"/>
  <c r="O25" i="43"/>
  <c r="U25" i="43" s="1"/>
  <c r="Q25" i="43"/>
  <c r="T25" i="43"/>
  <c r="U121" i="42"/>
  <c r="O126" i="42"/>
  <c r="Z14" i="11"/>
  <c r="D7" i="8"/>
  <c r="D63" i="11"/>
  <c r="U12" i="46"/>
  <c r="R18" i="39"/>
  <c r="M7" i="11"/>
  <c r="G6" i="8"/>
  <c r="O10" i="11"/>
  <c r="H11" i="10"/>
  <c r="I10" i="7"/>
  <c r="O10" i="7" s="1"/>
  <c r="T52" i="22"/>
  <c r="V52" i="22"/>
  <c r="Q52" i="22"/>
  <c r="M15" i="7"/>
  <c r="AF52" i="32"/>
  <c r="H62" i="32"/>
  <c r="O25" i="46"/>
  <c r="U25" i="46" s="1"/>
  <c r="U17" i="46"/>
  <c r="AG77" i="10"/>
  <c r="AM77" i="10" s="1"/>
  <c r="AM78" i="10"/>
  <c r="M67" i="7"/>
  <c r="R27" i="10"/>
  <c r="R22" i="10" s="1"/>
  <c r="R21" i="12"/>
  <c r="S97" i="42"/>
  <c r="M54" i="41"/>
  <c r="S54" i="41" s="1"/>
  <c r="AB35" i="12"/>
  <c r="AH35" i="12" s="1"/>
  <c r="U302" i="13"/>
  <c r="O304" i="13"/>
  <c r="U304" i="13" s="1"/>
  <c r="AD97" i="12"/>
  <c r="L33" i="39"/>
  <c r="AI47" i="37"/>
  <c r="AG47" i="37"/>
  <c r="C97" i="10"/>
  <c r="C99" i="7"/>
  <c r="N72" i="11"/>
  <c r="H72" i="7"/>
  <c r="N72" i="7" s="1"/>
  <c r="G73" i="10"/>
  <c r="Q58" i="11"/>
  <c r="E9" i="9"/>
  <c r="T31" i="12"/>
  <c r="S32" i="10"/>
  <c r="S29" i="12"/>
  <c r="AA112" i="46"/>
  <c r="O112" i="46"/>
  <c r="U112" i="46" s="1"/>
  <c r="T112" i="46"/>
  <c r="J26" i="17"/>
  <c r="AE23" i="18"/>
  <c r="G23" i="17"/>
  <c r="AA150" i="46"/>
  <c r="T150" i="46"/>
  <c r="T173" i="46" s="1"/>
  <c r="O150" i="46"/>
  <c r="U150" i="46" s="1"/>
  <c r="Q150" i="46"/>
  <c r="V7" i="41"/>
  <c r="T7" i="41"/>
  <c r="N13" i="41"/>
  <c r="AH49" i="25"/>
  <c r="J47" i="25"/>
  <c r="AH47" i="25" s="1"/>
  <c r="U15" i="22"/>
  <c r="O15" i="21"/>
  <c r="U15" i="21" s="1"/>
  <c r="O32" i="18"/>
  <c r="AL115" i="12"/>
  <c r="I115" i="12"/>
  <c r="I115" i="11"/>
  <c r="O115" i="11" s="1"/>
  <c r="AI33" i="37"/>
  <c r="AG33" i="37"/>
  <c r="G60" i="28"/>
  <c r="AE37" i="28"/>
  <c r="G61" i="28"/>
  <c r="G57" i="28"/>
  <c r="Q356" i="55"/>
  <c r="O369" i="55"/>
  <c r="AC9" i="33"/>
  <c r="AC8" i="33" s="1"/>
  <c r="AC32" i="33" s="1"/>
  <c r="AC37" i="33" s="1"/>
  <c r="AB8" i="33"/>
  <c r="AB32" i="33" s="1"/>
  <c r="AB37" i="33" s="1"/>
  <c r="AB60" i="33" s="1"/>
  <c r="O88" i="22"/>
  <c r="G125" i="12"/>
  <c r="AF41" i="34"/>
  <c r="H52" i="34"/>
  <c r="W13" i="18"/>
  <c r="W13" i="17" s="1"/>
  <c r="O41" i="10" s="1"/>
  <c r="AG41" i="10" s="1"/>
  <c r="H57" i="11"/>
  <c r="AK57" i="12"/>
  <c r="L26" i="12"/>
  <c r="S264" i="13"/>
  <c r="M271" i="13"/>
  <c r="L122" i="11"/>
  <c r="E122" i="10"/>
  <c r="F124" i="7"/>
  <c r="L124" i="7" s="1"/>
  <c r="D96" i="12"/>
  <c r="E96" i="11"/>
  <c r="K34" i="44"/>
  <c r="P132" i="22"/>
  <c r="U132" i="22"/>
  <c r="O133" i="22"/>
  <c r="O48" i="13"/>
  <c r="Q48" i="13"/>
  <c r="AG48" i="13"/>
  <c r="T48" i="13"/>
  <c r="N49" i="13"/>
  <c r="N50" i="13" s="1"/>
  <c r="M86" i="21"/>
  <c r="S86" i="21" s="1"/>
  <c r="S122" i="22"/>
  <c r="E19" i="7"/>
  <c r="N59" i="7"/>
  <c r="Q112" i="10"/>
  <c r="N23" i="39"/>
  <c r="K22" i="39"/>
  <c r="N22" i="39" s="1"/>
  <c r="AJ71" i="10"/>
  <c r="I32" i="35"/>
  <c r="AG8" i="35"/>
  <c r="AI8" i="35"/>
  <c r="O31" i="22"/>
  <c r="U32" i="27"/>
  <c r="U37" i="27" s="1"/>
  <c r="U60" i="27" s="1"/>
  <c r="AG48" i="36"/>
  <c r="AI48" i="36"/>
  <c r="I47" i="36"/>
  <c r="J48" i="36"/>
  <c r="O6" i="54"/>
  <c r="Q6" i="54" s="1"/>
  <c r="V40" i="41"/>
  <c r="T40" i="41"/>
  <c r="AC36" i="18"/>
  <c r="S10" i="44"/>
  <c r="R96" i="12"/>
  <c r="R97" i="10" s="1"/>
  <c r="M12" i="44"/>
  <c r="O121" i="11"/>
  <c r="I123" i="7"/>
  <c r="O123" i="7" s="1"/>
  <c r="H121" i="10"/>
  <c r="AL121" i="10" s="1"/>
  <c r="AG8" i="27"/>
  <c r="I32" i="27"/>
  <c r="AI8" i="27"/>
  <c r="AH31" i="26"/>
  <c r="J31" i="17"/>
  <c r="V18" i="41"/>
  <c r="T18" i="41"/>
  <c r="AG8" i="38"/>
  <c r="AI8" i="38"/>
  <c r="I32" i="38"/>
  <c r="AC37" i="28"/>
  <c r="J27" i="17"/>
  <c r="AC20" i="18"/>
  <c r="AC21" i="17"/>
  <c r="N25" i="39"/>
  <c r="K24" i="39"/>
  <c r="N24" i="39" s="1"/>
  <c r="L59" i="10"/>
  <c r="M181" i="13"/>
  <c r="V136" i="22"/>
  <c r="W31" i="47"/>
  <c r="O31" i="47"/>
  <c r="Q31" i="47"/>
  <c r="T31" i="47"/>
  <c r="N32" i="47"/>
  <c r="N58" i="47"/>
  <c r="N135" i="42"/>
  <c r="J41" i="36"/>
  <c r="T29" i="17"/>
  <c r="L57" i="10" s="1"/>
  <c r="U29" i="18"/>
  <c r="M110" i="10"/>
  <c r="AE110" i="10" s="1"/>
  <c r="AE110" i="12"/>
  <c r="N33" i="39"/>
  <c r="K32" i="39"/>
  <c r="N32" i="39" s="1"/>
  <c r="U47" i="28"/>
  <c r="U52" i="28" s="1"/>
  <c r="U60" i="28" s="1"/>
  <c r="V48" i="28"/>
  <c r="V47" i="28" s="1"/>
  <c r="V52" i="28" s="1"/>
  <c r="V60" i="28" s="1"/>
  <c r="AG32" i="25"/>
  <c r="I37" i="25"/>
  <c r="AI32" i="25"/>
  <c r="F104" i="12"/>
  <c r="AJ104" i="12" s="1"/>
  <c r="G104" i="11"/>
  <c r="M102" i="45"/>
  <c r="M104" i="45"/>
  <c r="S38" i="45"/>
  <c r="H62" i="33"/>
  <c r="AF52" i="33"/>
  <c r="U39" i="14"/>
  <c r="H78" i="12"/>
  <c r="AL78" i="12" s="1"/>
  <c r="I78" i="11"/>
  <c r="T40" i="47"/>
  <c r="S123" i="12"/>
  <c r="G123" i="12"/>
  <c r="H123" i="11"/>
  <c r="V74" i="41"/>
  <c r="T74" i="41"/>
  <c r="Q74" i="41"/>
  <c r="R20" i="39"/>
  <c r="Q21" i="39"/>
  <c r="P41" i="25"/>
  <c r="P52" i="25" s="1"/>
  <c r="P42" i="17"/>
  <c r="G76" i="7"/>
  <c r="M76" i="7" s="1"/>
  <c r="M77" i="7"/>
  <c r="T39" i="22"/>
  <c r="N41" i="22"/>
  <c r="V39" i="22"/>
  <c r="Q39" i="22"/>
  <c r="N32" i="21"/>
  <c r="AG10" i="18"/>
  <c r="I10" i="17"/>
  <c r="I8" i="18"/>
  <c r="AJ10" i="18"/>
  <c r="AA125" i="46"/>
  <c r="O125" i="46"/>
  <c r="U125" i="46" s="1"/>
  <c r="T125" i="46"/>
  <c r="Z17" i="43"/>
  <c r="N19" i="43"/>
  <c r="Q17" i="43"/>
  <c r="T17" i="43"/>
  <c r="O17" i="43"/>
  <c r="R78" i="42"/>
  <c r="L99" i="42"/>
  <c r="U293" i="13"/>
  <c r="O39" i="12"/>
  <c r="AF186" i="13"/>
  <c r="J39" i="11"/>
  <c r="I39" i="12"/>
  <c r="P218" i="13"/>
  <c r="AD13" i="10"/>
  <c r="AD8" i="10" s="1"/>
  <c r="L8" i="10"/>
  <c r="AH38" i="10"/>
  <c r="D36" i="10"/>
  <c r="O51" i="47"/>
  <c r="U51" i="47" s="1"/>
  <c r="U47" i="47"/>
  <c r="N152" i="51"/>
  <c r="H152" i="51"/>
  <c r="N97" i="46"/>
  <c r="AM50" i="10"/>
  <c r="K328" i="13"/>
  <c r="R62" i="11"/>
  <c r="AB41" i="24"/>
  <c r="AB52" i="24" s="1"/>
  <c r="AC42" i="24"/>
  <c r="U93" i="10"/>
  <c r="U8" i="18"/>
  <c r="S88" i="10"/>
  <c r="AF32" i="38"/>
  <c r="H37" i="38"/>
  <c r="T64" i="21"/>
  <c r="L76" i="12"/>
  <c r="AD77" i="12"/>
  <c r="L78" i="10"/>
  <c r="AH21" i="38"/>
  <c r="J20" i="38"/>
  <c r="AH20" i="38" s="1"/>
  <c r="AA32" i="34"/>
  <c r="AA37" i="34" s="1"/>
  <c r="AA60" i="34" s="1"/>
  <c r="T155" i="20"/>
  <c r="N25" i="19"/>
  <c r="V155" i="20"/>
  <c r="AF52" i="30"/>
  <c r="H62" i="30"/>
  <c r="AH42" i="26"/>
  <c r="J41" i="26"/>
  <c r="U19" i="17"/>
  <c r="V19" i="18"/>
  <c r="V19" i="17" s="1"/>
  <c r="M31" i="41"/>
  <c r="S13" i="22"/>
  <c r="M26" i="22"/>
  <c r="U22" i="42"/>
  <c r="O22" i="41"/>
  <c r="U22" i="41" s="1"/>
  <c r="N20" i="39"/>
  <c r="AC70" i="12"/>
  <c r="W71" i="10"/>
  <c r="W68" i="12"/>
  <c r="W87" i="12" s="1"/>
  <c r="M74" i="11"/>
  <c r="L74" i="12"/>
  <c r="G73" i="11"/>
  <c r="M73" i="11" s="1"/>
  <c r="G74" i="7"/>
  <c r="F75" i="10"/>
  <c r="P43" i="7"/>
  <c r="E43" i="51"/>
  <c r="AH22" i="32"/>
  <c r="J20" i="32"/>
  <c r="AH20" i="32" s="1"/>
  <c r="Z25" i="18"/>
  <c r="Y25" i="17"/>
  <c r="Y23" i="18"/>
  <c r="U38" i="47"/>
  <c r="P38" i="47"/>
  <c r="V41" i="35"/>
  <c r="AH36" i="24"/>
  <c r="J33" i="24"/>
  <c r="AH33" i="24" s="1"/>
  <c r="P56" i="21"/>
  <c r="D58" i="7"/>
  <c r="AC60" i="7"/>
  <c r="X50" i="42"/>
  <c r="O50" i="42"/>
  <c r="Q50" i="42"/>
  <c r="T50" i="42"/>
  <c r="N55" i="42"/>
  <c r="AF52" i="25"/>
  <c r="H62" i="25"/>
  <c r="T144" i="20"/>
  <c r="V144" i="20"/>
  <c r="AA43" i="18"/>
  <c r="AA43" i="17" s="1"/>
  <c r="Y95" i="10" s="1"/>
  <c r="T242" i="13"/>
  <c r="H56" i="11"/>
  <c r="AG242" i="13"/>
  <c r="G56" i="12"/>
  <c r="G11" i="9"/>
  <c r="X11" i="9" s="1"/>
  <c r="F62" i="10"/>
  <c r="G61" i="7"/>
  <c r="M61" i="7" s="1"/>
  <c r="R61" i="12"/>
  <c r="M61" i="11"/>
  <c r="AC47" i="18"/>
  <c r="AJ32" i="17"/>
  <c r="AK32" i="17"/>
  <c r="AS30" i="17"/>
  <c r="M77" i="41"/>
  <c r="S77" i="41" s="1"/>
  <c r="S73" i="41"/>
  <c r="I32" i="33"/>
  <c r="Q452" i="55"/>
  <c r="AF37" i="28"/>
  <c r="H60" i="28"/>
  <c r="H61" i="28"/>
  <c r="H57" i="28"/>
  <c r="O16" i="14"/>
  <c r="I65" i="11"/>
  <c r="H65" i="12"/>
  <c r="AL65" i="12" s="1"/>
  <c r="U9" i="14"/>
  <c r="L17" i="39"/>
  <c r="AG47" i="29"/>
  <c r="AI47" i="29"/>
  <c r="O161" i="46"/>
  <c r="N163" i="46"/>
  <c r="T163" i="46" s="1"/>
  <c r="T161" i="46"/>
  <c r="U123" i="46"/>
  <c r="P123" i="46"/>
  <c r="AA123" i="46" s="1"/>
  <c r="T25" i="22"/>
  <c r="V25" i="22"/>
  <c r="AF52" i="26"/>
  <c r="H62" i="26"/>
  <c r="F34" i="7"/>
  <c r="L34" i="7" s="1"/>
  <c r="L34" i="11"/>
  <c r="E35" i="10"/>
  <c r="AN45" i="17"/>
  <c r="AS45" i="17" s="1"/>
  <c r="AG45" i="17"/>
  <c r="AM46" i="17"/>
  <c r="AR46" i="17" s="1"/>
  <c r="AF46" i="17"/>
  <c r="K15" i="11"/>
  <c r="N15" i="11"/>
  <c r="G16" i="10"/>
  <c r="H15" i="7"/>
  <c r="R38" i="10"/>
  <c r="AD38" i="10" s="1"/>
  <c r="AA36" i="46"/>
  <c r="O36" i="46"/>
  <c r="U36" i="46" s="1"/>
  <c r="T36" i="46"/>
  <c r="S105" i="10"/>
  <c r="S97" i="12"/>
  <c r="S98" i="10" s="1"/>
  <c r="J25" i="18"/>
  <c r="U15" i="19"/>
  <c r="AL113" i="12"/>
  <c r="O85" i="45"/>
  <c r="U66" i="45"/>
  <c r="T110" i="12"/>
  <c r="T110" i="10" s="1"/>
  <c r="V70" i="41"/>
  <c r="T70" i="41"/>
  <c r="Q70" i="41"/>
  <c r="AH41" i="29"/>
  <c r="J52" i="29"/>
  <c r="O8" i="11"/>
  <c r="H9" i="10"/>
  <c r="I8" i="7"/>
  <c r="AC19" i="7"/>
  <c r="D14" i="7"/>
  <c r="D98" i="10"/>
  <c r="AH98" i="10" s="1"/>
  <c r="E100" i="7"/>
  <c r="N175" i="46"/>
  <c r="S13" i="21"/>
  <c r="AJ13" i="10"/>
  <c r="F8" i="10"/>
  <c r="AD87" i="10"/>
  <c r="AJ87" i="10" s="1"/>
  <c r="Q16" i="46"/>
  <c r="U112" i="12"/>
  <c r="W84" i="46"/>
  <c r="P66" i="46"/>
  <c r="AF37" i="66"/>
  <c r="H61" i="66"/>
  <c r="H60" i="66"/>
  <c r="H57" i="66"/>
  <c r="S30" i="17"/>
  <c r="S32" i="23"/>
  <c r="S37" i="23" s="1"/>
  <c r="S60" i="23" s="1"/>
  <c r="N9" i="7"/>
  <c r="K9" i="7"/>
  <c r="F87" i="11"/>
  <c r="L87" i="11" s="1"/>
  <c r="L64" i="11"/>
  <c r="V10" i="30"/>
  <c r="V10" i="17" s="1"/>
  <c r="U10" i="17"/>
  <c r="M38" i="10" s="1"/>
  <c r="G62" i="11"/>
  <c r="AI37" i="12"/>
  <c r="E35" i="12"/>
  <c r="AC112" i="10"/>
  <c r="K111" i="10"/>
  <c r="H23" i="17"/>
  <c r="AF23" i="18"/>
  <c r="Y16" i="9"/>
  <c r="H129" i="7"/>
  <c r="G127" i="10"/>
  <c r="AB40" i="10"/>
  <c r="AB36" i="10" s="1"/>
  <c r="J36" i="10"/>
  <c r="Z63" i="43"/>
  <c r="T63" i="43"/>
  <c r="Q63" i="43"/>
  <c r="AH41" i="27"/>
  <c r="J52" i="27"/>
  <c r="O165" i="13"/>
  <c r="U162" i="13"/>
  <c r="N21" i="22"/>
  <c r="O19" i="22"/>
  <c r="Q19" i="22"/>
  <c r="N22" i="22"/>
  <c r="V19" i="22"/>
  <c r="T19" i="22"/>
  <c r="AH49" i="37"/>
  <c r="J47" i="37"/>
  <c r="AH47" i="37" s="1"/>
  <c r="M73" i="10"/>
  <c r="AE73" i="10" s="1"/>
  <c r="AE72" i="12"/>
  <c r="AK72" i="12" s="1"/>
  <c r="V31" i="18"/>
  <c r="V31" i="17" s="1"/>
  <c r="U31" i="17"/>
  <c r="AB61" i="12"/>
  <c r="P62" i="10"/>
  <c r="P58" i="12"/>
  <c r="P63" i="12" s="1"/>
  <c r="P88" i="12" s="1"/>
  <c r="V37" i="66"/>
  <c r="V60" i="66" s="1"/>
  <c r="P46" i="17"/>
  <c r="P41" i="23"/>
  <c r="AE25" i="17"/>
  <c r="AL25" i="17"/>
  <c r="AQ25" i="17" s="1"/>
  <c r="R56" i="47"/>
  <c r="F124" i="11"/>
  <c r="E124" i="12"/>
  <c r="N24" i="42"/>
  <c r="X13" i="42"/>
  <c r="T13" i="42"/>
  <c r="Q13" i="42"/>
  <c r="AB52" i="30"/>
  <c r="F110" i="12"/>
  <c r="AJ110" i="12" s="1"/>
  <c r="S87" i="45"/>
  <c r="G110" i="11"/>
  <c r="AG48" i="38"/>
  <c r="I47" i="38"/>
  <c r="AI48" i="38"/>
  <c r="J48" i="38"/>
  <c r="J35" i="17"/>
  <c r="AN27" i="17"/>
  <c r="AS27" i="17" s="1"/>
  <c r="AG27" i="17"/>
  <c r="U17" i="14"/>
  <c r="O23" i="14"/>
  <c r="R63" i="11"/>
  <c r="R88" i="11" s="1"/>
  <c r="K327" i="13"/>
  <c r="K325" i="13"/>
  <c r="C12" i="56"/>
  <c r="I18" i="56"/>
  <c r="AH54" i="28"/>
  <c r="J54" i="17"/>
  <c r="AJ71" i="12"/>
  <c r="X116" i="42"/>
  <c r="T116" i="42"/>
  <c r="Q116" i="42"/>
  <c r="O15" i="39"/>
  <c r="Q16" i="39"/>
  <c r="L14" i="39"/>
  <c r="G9" i="56"/>
  <c r="J9" i="56"/>
  <c r="P60" i="27"/>
  <c r="I23" i="19"/>
  <c r="I24" i="19" s="1"/>
  <c r="D37" i="17"/>
  <c r="D60" i="17" s="1"/>
  <c r="D57" i="18"/>
  <c r="D60" i="18"/>
  <c r="S52" i="22"/>
  <c r="M85" i="22"/>
  <c r="S85" i="22" s="1"/>
  <c r="AH34" i="33"/>
  <c r="J33" i="33"/>
  <c r="AH33" i="33" s="1"/>
  <c r="AG41" i="32"/>
  <c r="I52" i="32"/>
  <c r="AI41" i="32"/>
  <c r="AN15" i="17"/>
  <c r="AS15" i="17" s="1"/>
  <c r="AG15" i="17"/>
  <c r="AI15" i="17"/>
  <c r="G43" i="10"/>
  <c r="H42" i="7"/>
  <c r="S24" i="42"/>
  <c r="V24" i="17"/>
  <c r="H42" i="51"/>
  <c r="N42" i="51"/>
  <c r="AG74" i="13"/>
  <c r="T74" i="13"/>
  <c r="H31" i="11"/>
  <c r="Q74" i="13"/>
  <c r="G31" i="12"/>
  <c r="U11" i="46"/>
  <c r="O16" i="46"/>
  <c r="V12" i="41"/>
  <c r="Q12" i="41"/>
  <c r="T12" i="41"/>
  <c r="U27" i="42"/>
  <c r="O27" i="41"/>
  <c r="U27" i="41" s="1"/>
  <c r="K60" i="37"/>
  <c r="K57" i="37"/>
  <c r="D20" i="10"/>
  <c r="R66" i="46"/>
  <c r="L86" i="46"/>
  <c r="M52" i="38"/>
  <c r="M112" i="12"/>
  <c r="L25" i="39"/>
  <c r="AG47" i="33"/>
  <c r="AI47" i="33"/>
  <c r="D28" i="12"/>
  <c r="AA159" i="46"/>
  <c r="O159" i="46"/>
  <c r="U159" i="46" s="1"/>
  <c r="T159" i="46"/>
  <c r="J20" i="35"/>
  <c r="AH20" i="35" s="1"/>
  <c r="AH21" i="35"/>
  <c r="U105" i="13"/>
  <c r="O119" i="13"/>
  <c r="AA119" i="46"/>
  <c r="S107" i="22"/>
  <c r="M73" i="21"/>
  <c r="U46" i="47"/>
  <c r="N116" i="12"/>
  <c r="N124" i="12"/>
  <c r="P8" i="28"/>
  <c r="P32" i="28" s="1"/>
  <c r="P37" i="28" s="1"/>
  <c r="P16" i="17"/>
  <c r="S13" i="41"/>
  <c r="M24" i="41"/>
  <c r="AH9" i="27"/>
  <c r="J8" i="27"/>
  <c r="C24" i="56"/>
  <c r="C26" i="56" s="1"/>
  <c r="U18" i="42"/>
  <c r="O18" i="41"/>
  <c r="U18" i="41" s="1"/>
  <c r="L21" i="8"/>
  <c r="S75" i="7"/>
  <c r="S32" i="21"/>
  <c r="M34" i="21"/>
  <c r="S34" i="21" s="1"/>
  <c r="AD52" i="10"/>
  <c r="AJ52" i="10" s="1"/>
  <c r="R48" i="10"/>
  <c r="AM59" i="12"/>
  <c r="J59" i="11"/>
  <c r="I58" i="12"/>
  <c r="AM58" i="12" s="1"/>
  <c r="N20" i="41"/>
  <c r="AC52" i="33"/>
  <c r="AB20" i="17"/>
  <c r="I52" i="38"/>
  <c r="AG41" i="38"/>
  <c r="AI41" i="38"/>
  <c r="U97" i="22"/>
  <c r="O66" i="21"/>
  <c r="O99" i="22"/>
  <c r="U99" i="22" s="1"/>
  <c r="J19" i="11"/>
  <c r="AF58" i="13"/>
  <c r="I19" i="12"/>
  <c r="P59" i="13"/>
  <c r="AH9" i="29"/>
  <c r="J8" i="29"/>
  <c r="L3" i="39"/>
  <c r="Q4" i="39" s="1"/>
  <c r="I47" i="18"/>
  <c r="AG48" i="18"/>
  <c r="I48" i="17"/>
  <c r="V55" i="22"/>
  <c r="T55" i="22"/>
  <c r="AE23" i="10"/>
  <c r="U11" i="42"/>
  <c r="O11" i="41"/>
  <c r="U11" i="41" s="1"/>
  <c r="AC57" i="10"/>
  <c r="AC54" i="10" s="1"/>
  <c r="K54" i="10"/>
  <c r="U67" i="45"/>
  <c r="N110" i="12"/>
  <c r="AI41" i="10"/>
  <c r="O81" i="42"/>
  <c r="U79" i="42"/>
  <c r="AB32" i="38"/>
  <c r="AB37" i="38" s="1"/>
  <c r="AB60" i="38" s="1"/>
  <c r="O257" i="55"/>
  <c r="Q244" i="55"/>
  <c r="K18" i="56"/>
  <c r="H18" i="56"/>
  <c r="L18" i="56" s="1"/>
  <c r="V48" i="35"/>
  <c r="V47" i="35" s="1"/>
  <c r="U47" i="35"/>
  <c r="Q10" i="18"/>
  <c r="Q10" i="17" s="1"/>
  <c r="U38" i="10" s="1"/>
  <c r="AG38" i="10" s="1"/>
  <c r="AM38" i="10" s="1"/>
  <c r="P10" i="17"/>
  <c r="O40" i="47"/>
  <c r="U36" i="47"/>
  <c r="F77" i="10"/>
  <c r="T102" i="22"/>
  <c r="V102" i="22"/>
  <c r="AB8" i="18"/>
  <c r="U15" i="42"/>
  <c r="O15" i="41"/>
  <c r="U15" i="41" s="1"/>
  <c r="T152" i="20"/>
  <c r="V152" i="20"/>
  <c r="J44" i="37"/>
  <c r="AH44" i="37" s="1"/>
  <c r="AI44" i="37"/>
  <c r="AG44" i="37"/>
  <c r="AH9" i="24"/>
  <c r="J8" i="24"/>
  <c r="O33" i="17"/>
  <c r="N173" i="46"/>
  <c r="Q468" i="55"/>
  <c r="O481" i="55"/>
  <c r="Q481" i="55" s="1"/>
  <c r="AG69" i="10"/>
  <c r="AM70" i="10"/>
  <c r="AH26" i="12"/>
  <c r="D21" i="12"/>
  <c r="O29" i="66"/>
  <c r="O32" i="66" s="1"/>
  <c r="O37" i="66" s="1"/>
  <c r="O60" i="66" s="1"/>
  <c r="N29" i="17"/>
  <c r="H32" i="18"/>
  <c r="AF8" i="18"/>
  <c r="AF32" i="18" s="1"/>
  <c r="H8" i="17"/>
  <c r="N20" i="11"/>
  <c r="H8" i="8"/>
  <c r="U41" i="41"/>
  <c r="O42" i="41"/>
  <c r="U42" i="41" s="1"/>
  <c r="AE37" i="10"/>
  <c r="T68" i="12"/>
  <c r="T87" i="12" s="1"/>
  <c r="T70" i="10"/>
  <c r="T69" i="10" s="1"/>
  <c r="K113" i="11"/>
  <c r="N113" i="11"/>
  <c r="S7" i="9"/>
  <c r="N33" i="42"/>
  <c r="W34" i="18"/>
  <c r="AC10" i="34"/>
  <c r="AB8" i="34"/>
  <c r="AB32" i="34" s="1"/>
  <c r="AB37" i="34" s="1"/>
  <c r="AB60" i="34" s="1"/>
  <c r="Z43" i="17"/>
  <c r="X95" i="10" s="1"/>
  <c r="X93" i="10" s="1"/>
  <c r="X128" i="10" s="1"/>
  <c r="X151" i="10" s="1"/>
  <c r="Z63" i="40"/>
  <c r="J93" i="11"/>
  <c r="I93" i="12"/>
  <c r="P78" i="40"/>
  <c r="AI41" i="26"/>
  <c r="I52" i="26"/>
  <c r="AG41" i="26"/>
  <c r="O149" i="13"/>
  <c r="U149" i="13" s="1"/>
  <c r="T149" i="13"/>
  <c r="AG149" i="13"/>
  <c r="AK45" i="12"/>
  <c r="V17" i="17"/>
  <c r="N45" i="10" s="1"/>
  <c r="AF45" i="10" s="1"/>
  <c r="W17" i="18"/>
  <c r="W17" i="17" s="1"/>
  <c r="O45" i="10" s="1"/>
  <c r="AG45" i="10" s="1"/>
  <c r="AM45" i="10" s="1"/>
  <c r="V22" i="41"/>
  <c r="T22" i="41"/>
  <c r="AK70" i="12"/>
  <c r="G61" i="24"/>
  <c r="AE37" i="24"/>
  <c r="G57" i="24"/>
  <c r="G60" i="24"/>
  <c r="AI64" i="12"/>
  <c r="E87" i="12"/>
  <c r="AG14" i="18"/>
  <c r="I14" i="17"/>
  <c r="AJ14" i="18"/>
  <c r="L6" i="39"/>
  <c r="O60" i="32"/>
  <c r="AF37" i="32"/>
  <c r="H60" i="32"/>
  <c r="H61" i="32"/>
  <c r="H57" i="32"/>
  <c r="AA36" i="17"/>
  <c r="Y141" i="12" s="1"/>
  <c r="AA33" i="18"/>
  <c r="AA33" i="17" s="1"/>
  <c r="U266" i="13"/>
  <c r="O270" i="13"/>
  <c r="O164" i="46"/>
  <c r="T164" i="46"/>
  <c r="N168" i="46"/>
  <c r="T168" i="46" s="1"/>
  <c r="U142" i="20"/>
  <c r="O144" i="20"/>
  <c r="O155" i="20" s="1"/>
  <c r="K15" i="10"/>
  <c r="O113" i="20"/>
  <c r="Q112" i="11"/>
  <c r="P6" i="9"/>
  <c r="T16" i="14"/>
  <c r="G64" i="12"/>
  <c r="N45" i="14"/>
  <c r="AE43" i="17"/>
  <c r="AL43" i="17"/>
  <c r="AQ43" i="17" s="1"/>
  <c r="Q7" i="8"/>
  <c r="U59" i="41"/>
  <c r="J119" i="11"/>
  <c r="AM119" i="12"/>
  <c r="AE37" i="38"/>
  <c r="G60" i="38"/>
  <c r="G61" i="38"/>
  <c r="G57" i="38"/>
  <c r="U38" i="13"/>
  <c r="G60" i="36"/>
  <c r="AE37" i="36"/>
  <c r="G57" i="36"/>
  <c r="G61" i="36"/>
  <c r="T322" i="13"/>
  <c r="Q322" i="13"/>
  <c r="AG322" i="13"/>
  <c r="O311" i="13"/>
  <c r="U311" i="13" s="1"/>
  <c r="U305" i="13"/>
  <c r="C215" i="55"/>
  <c r="O210" i="55"/>
  <c r="Q210" i="55" s="1"/>
  <c r="D9" i="8"/>
  <c r="Z28" i="11"/>
  <c r="AB23" i="24"/>
  <c r="AB32" i="24" s="1"/>
  <c r="AB37" i="24" s="1"/>
  <c r="AB60" i="24" s="1"/>
  <c r="AC24" i="24"/>
  <c r="AB24" i="17"/>
  <c r="O60" i="37"/>
  <c r="V48" i="33"/>
  <c r="V47" i="33" s="1"/>
  <c r="U47" i="33"/>
  <c r="L94" i="12"/>
  <c r="AD93" i="12"/>
  <c r="U33" i="23"/>
  <c r="U37" i="23" s="1"/>
  <c r="U60" i="23" s="1"/>
  <c r="V34" i="23"/>
  <c r="V33" i="23" s="1"/>
  <c r="V37" i="23" s="1"/>
  <c r="V60" i="23" s="1"/>
  <c r="AA60" i="46"/>
  <c r="T60" i="46"/>
  <c r="O60" i="46"/>
  <c r="T51" i="12"/>
  <c r="I51" i="11"/>
  <c r="U286" i="13"/>
  <c r="H51" i="12"/>
  <c r="O101" i="45"/>
  <c r="U101" i="45" s="1"/>
  <c r="U99" i="45"/>
  <c r="I62" i="28"/>
  <c r="AI52" i="28"/>
  <c r="AG52" i="28"/>
  <c r="K48" i="17"/>
  <c r="K47" i="18"/>
  <c r="K47" i="17" s="1"/>
  <c r="AB33" i="35"/>
  <c r="AB37" i="35" s="1"/>
  <c r="AB60" i="35" s="1"/>
  <c r="AC34" i="35"/>
  <c r="AC33" i="35" s="1"/>
  <c r="AC37" i="35" s="1"/>
  <c r="M12" i="7"/>
  <c r="G7" i="7"/>
  <c r="S70" i="13"/>
  <c r="G30" i="11"/>
  <c r="F30" i="12"/>
  <c r="M101" i="13"/>
  <c r="S101" i="13" s="1"/>
  <c r="AF10" i="12"/>
  <c r="AL10" i="12" s="1"/>
  <c r="N11" i="10"/>
  <c r="AF11" i="10" s="1"/>
  <c r="AC87" i="10"/>
  <c r="AI87" i="10" s="1"/>
  <c r="Q88" i="10"/>
  <c r="V14" i="18"/>
  <c r="V14" i="17" s="1"/>
  <c r="U14" i="17"/>
  <c r="T217" i="13"/>
  <c r="AG217" i="13"/>
  <c r="Q217" i="13"/>
  <c r="AC24" i="36"/>
  <c r="AC23" i="36" s="1"/>
  <c r="AB23" i="36"/>
  <c r="U46" i="18"/>
  <c r="T46" i="17"/>
  <c r="L98" i="10" s="1"/>
  <c r="AD98" i="10" s="1"/>
  <c r="AD62" i="12"/>
  <c r="AJ62" i="12" s="1"/>
  <c r="R63" i="10"/>
  <c r="AD63" i="10" s="1"/>
  <c r="AF25" i="17"/>
  <c r="AM25" i="17"/>
  <c r="AR25" i="17" s="1"/>
  <c r="R35" i="39"/>
  <c r="J34" i="39"/>
  <c r="G104" i="12"/>
  <c r="AK104" i="12" s="1"/>
  <c r="N102" i="45"/>
  <c r="T38" i="45"/>
  <c r="H104" i="11"/>
  <c r="N104" i="45"/>
  <c r="Q110" i="45"/>
  <c r="AE37" i="66"/>
  <c r="G57" i="66"/>
  <c r="G60" i="66"/>
  <c r="G61" i="66"/>
  <c r="AA53" i="46"/>
  <c r="O53" i="46"/>
  <c r="U53" i="46" s="1"/>
  <c r="Q53" i="46"/>
  <c r="T53" i="46"/>
  <c r="AM40" i="12"/>
  <c r="J40" i="11"/>
  <c r="R58" i="13"/>
  <c r="E19" i="12"/>
  <c r="F19" i="11"/>
  <c r="L59" i="13"/>
  <c r="S62" i="11"/>
  <c r="L60" i="18"/>
  <c r="L37" i="17"/>
  <c r="L60" i="17" s="1"/>
  <c r="U48" i="36"/>
  <c r="T47" i="36"/>
  <c r="T52" i="36" s="1"/>
  <c r="T48" i="17"/>
  <c r="L112" i="10" s="1"/>
  <c r="V42" i="26"/>
  <c r="V41" i="26" s="1"/>
  <c r="V52" i="26" s="1"/>
  <c r="V60" i="26" s="1"/>
  <c r="U41" i="26"/>
  <c r="U52" i="26" s="1"/>
  <c r="U60" i="26" s="1"/>
  <c r="O189" i="13"/>
  <c r="U187" i="13"/>
  <c r="U37" i="66"/>
  <c r="U60" i="66" s="1"/>
  <c r="AC124" i="12"/>
  <c r="Q124" i="10"/>
  <c r="AC124" i="10" s="1"/>
  <c r="U47" i="40"/>
  <c r="O50" i="40"/>
  <c r="AC52" i="30"/>
  <c r="U134" i="20"/>
  <c r="AB42" i="18"/>
  <c r="L117" i="20"/>
  <c r="R117" i="20" s="1"/>
  <c r="G42" i="18"/>
  <c r="R75" i="20"/>
  <c r="L22" i="8"/>
  <c r="S77" i="7"/>
  <c r="P37" i="23"/>
  <c r="S114" i="12"/>
  <c r="S114" i="10" s="1"/>
  <c r="G57" i="30"/>
  <c r="G60" i="30"/>
  <c r="AE37" i="30"/>
  <c r="G61" i="30"/>
  <c r="N36" i="22"/>
  <c r="E14" i="56"/>
  <c r="E30" i="51"/>
  <c r="P30" i="7"/>
  <c r="U131" i="13"/>
  <c r="O160" i="13"/>
  <c r="U25" i="21"/>
  <c r="M71" i="11"/>
  <c r="G71" i="7"/>
  <c r="M71" i="7" s="1"/>
  <c r="F72" i="10"/>
  <c r="O144" i="46"/>
  <c r="U144" i="46" s="1"/>
  <c r="R125" i="22"/>
  <c r="O52" i="22"/>
  <c r="U239" i="13"/>
  <c r="T57" i="12"/>
  <c r="H57" i="12"/>
  <c r="AB112" i="10"/>
  <c r="L41" i="12"/>
  <c r="G41" i="11"/>
  <c r="T258" i="13"/>
  <c r="AG258" i="13"/>
  <c r="O258" i="13"/>
  <c r="N264" i="13"/>
  <c r="AC122" i="12"/>
  <c r="AI122" i="12" s="1"/>
  <c r="Q122" i="10"/>
  <c r="AC122" i="10" s="1"/>
  <c r="AG41" i="33"/>
  <c r="AI41" i="33"/>
  <c r="I52" i="33"/>
  <c r="O74" i="13"/>
  <c r="U72" i="13"/>
  <c r="U12" i="42"/>
  <c r="O12" i="41"/>
  <c r="U12" i="41" s="1"/>
  <c r="V27" i="41"/>
  <c r="Q27" i="41"/>
  <c r="T27" i="41"/>
  <c r="V120" i="22"/>
  <c r="N122" i="22"/>
  <c r="O120" i="22"/>
  <c r="Q120" i="22"/>
  <c r="T120" i="22"/>
  <c r="O143" i="55"/>
  <c r="Q130" i="55"/>
  <c r="N99" i="10"/>
  <c r="AF99" i="10" s="1"/>
  <c r="AL99" i="10"/>
  <c r="X72" i="42"/>
  <c r="O72" i="42"/>
  <c r="U72" i="42" s="1"/>
  <c r="T72" i="42"/>
  <c r="J47" i="33"/>
  <c r="AH47" i="33" s="1"/>
  <c r="AH48" i="33"/>
  <c r="AB30" i="12"/>
  <c r="AH30" i="12" s="1"/>
  <c r="J31" i="10"/>
  <c r="AB31" i="10" s="1"/>
  <c r="AH31" i="10" s="1"/>
  <c r="J29" i="12"/>
  <c r="Q158" i="55"/>
  <c r="O171" i="55"/>
  <c r="H37" i="30"/>
  <c r="AF32" i="30"/>
  <c r="U43" i="42"/>
  <c r="O40" i="41"/>
  <c r="U40" i="41" s="1"/>
  <c r="O104" i="22"/>
  <c r="T104" i="22"/>
  <c r="V104" i="22"/>
  <c r="N107" i="22"/>
  <c r="O43" i="14"/>
  <c r="U43" i="14" s="1"/>
  <c r="AM39" i="10"/>
  <c r="V9" i="44"/>
  <c r="O9" i="44"/>
  <c r="Q9" i="44"/>
  <c r="T9" i="44"/>
  <c r="N10" i="44"/>
  <c r="AA60" i="26"/>
  <c r="N135" i="7"/>
  <c r="H152" i="7"/>
  <c r="O135" i="7"/>
  <c r="K135" i="7"/>
  <c r="T51" i="22"/>
  <c r="V51" i="22"/>
  <c r="N38" i="21"/>
  <c r="N39" i="21" s="1"/>
  <c r="Q51" i="22"/>
  <c r="R54" i="21"/>
  <c r="L55" i="21"/>
  <c r="R55" i="21" s="1"/>
  <c r="R132" i="42"/>
  <c r="L133" i="42"/>
  <c r="R133" i="42" s="1"/>
  <c r="AS35" i="17"/>
  <c r="O59" i="11"/>
  <c r="I59" i="7"/>
  <c r="H60" i="10"/>
  <c r="AB52" i="33"/>
  <c r="AN28" i="17"/>
  <c r="AS28" i="17" s="1"/>
  <c r="AG28" i="17"/>
  <c r="P10" i="9"/>
  <c r="Q116" i="11"/>
  <c r="O46" i="20"/>
  <c r="AL12" i="10"/>
  <c r="AE127" i="12"/>
  <c r="AE125" i="12" s="1"/>
  <c r="M125" i="12"/>
  <c r="M127" i="10"/>
  <c r="AI41" i="31"/>
  <c r="AG41" i="31"/>
  <c r="I52" i="31"/>
  <c r="O55" i="22"/>
  <c r="U55" i="22" s="1"/>
  <c r="U54" i="22"/>
  <c r="O41" i="21"/>
  <c r="U11" i="13"/>
  <c r="N12" i="12"/>
  <c r="H12" i="12"/>
  <c r="I12" i="11"/>
  <c r="I7" i="11" s="1"/>
  <c r="P132" i="46"/>
  <c r="AA132" i="46" s="1"/>
  <c r="U132" i="46"/>
  <c r="V11" i="41"/>
  <c r="T11" i="41"/>
  <c r="X81" i="42"/>
  <c r="T81" i="42"/>
  <c r="Q81" i="42"/>
  <c r="N51" i="41"/>
  <c r="N98" i="42"/>
  <c r="T13" i="40"/>
  <c r="V13" i="40"/>
  <c r="N43" i="40"/>
  <c r="Q13" i="40"/>
  <c r="AC32" i="38"/>
  <c r="AC37" i="38" s="1"/>
  <c r="O16" i="11"/>
  <c r="I16" i="7"/>
  <c r="O16" i="7" s="1"/>
  <c r="H17" i="10"/>
  <c r="AL17" i="10" s="1"/>
  <c r="K33" i="11"/>
  <c r="H33" i="7"/>
  <c r="N33" i="11"/>
  <c r="G34" i="10"/>
  <c r="AK34" i="10" s="1"/>
  <c r="U127" i="42"/>
  <c r="O74" i="41"/>
  <c r="U74" i="41" s="1"/>
  <c r="Y13" i="19"/>
  <c r="Z14" i="19"/>
  <c r="T13" i="19"/>
  <c r="U10" i="19"/>
  <c r="J19" i="18"/>
  <c r="F46" i="12"/>
  <c r="L46" i="12"/>
  <c r="S211" i="13"/>
  <c r="G46" i="11"/>
  <c r="V36" i="41"/>
  <c r="T36" i="41"/>
  <c r="N39" i="41"/>
  <c r="V42" i="40"/>
  <c r="T42" i="40"/>
  <c r="Q42" i="40"/>
  <c r="AH33" i="35"/>
  <c r="M19" i="12"/>
  <c r="AC114" i="10"/>
  <c r="J20" i="36"/>
  <c r="AH20" i="36" s="1"/>
  <c r="Q34" i="18"/>
  <c r="P33" i="18"/>
  <c r="P33" i="17" s="1"/>
  <c r="P34" i="17"/>
  <c r="T75" i="10" s="1"/>
  <c r="T74" i="10" s="1"/>
  <c r="AG49" i="12"/>
  <c r="O47" i="12"/>
  <c r="O50" i="10"/>
  <c r="AG50" i="10" s="1"/>
  <c r="D27" i="10"/>
  <c r="Q26" i="11"/>
  <c r="E26" i="7"/>
  <c r="E21" i="11"/>
  <c r="E63" i="11" s="1"/>
  <c r="F113" i="10"/>
  <c r="AJ113" i="10" s="1"/>
  <c r="G115" i="7"/>
  <c r="M115" i="7" s="1"/>
  <c r="W9" i="18"/>
  <c r="V9" i="17"/>
  <c r="N37" i="10" s="1"/>
  <c r="M124" i="22"/>
  <c r="S124" i="22" s="1"/>
  <c r="U34" i="17"/>
  <c r="Q173" i="13"/>
  <c r="AG173" i="13"/>
  <c r="T173" i="13"/>
  <c r="G37" i="29"/>
  <c r="AE32" i="29"/>
  <c r="AB9" i="17"/>
  <c r="K36" i="18"/>
  <c r="P22" i="19"/>
  <c r="K64" i="18" s="1"/>
  <c r="K65" i="18" s="1"/>
  <c r="Y19" i="19"/>
  <c r="H52" i="38"/>
  <c r="N45" i="11"/>
  <c r="G46" i="10"/>
  <c r="AK46" i="10" s="1"/>
  <c r="H45" i="7"/>
  <c r="K45" i="11"/>
  <c r="K138" i="42"/>
  <c r="K84" i="41"/>
  <c r="K137" i="42"/>
  <c r="K136" i="42"/>
  <c r="AK55" i="10"/>
  <c r="AJ125" i="12"/>
  <c r="N12" i="39"/>
  <c r="N70" i="11"/>
  <c r="H70" i="7"/>
  <c r="N70" i="7" s="1"/>
  <c r="G71" i="10"/>
  <c r="AK71" i="10" s="1"/>
  <c r="AA71" i="46"/>
  <c r="O71" i="46"/>
  <c r="U71" i="46" s="1"/>
  <c r="Q71" i="46"/>
  <c r="T71" i="46"/>
  <c r="AB60" i="30"/>
  <c r="AN9" i="17"/>
  <c r="AS9" i="17" s="1"/>
  <c r="H36" i="7"/>
  <c r="G37" i="10"/>
  <c r="AG9" i="17"/>
  <c r="O83" i="22"/>
  <c r="L47" i="14"/>
  <c r="R45" i="14"/>
  <c r="J14" i="18"/>
  <c r="U7" i="19"/>
  <c r="V66" i="41"/>
  <c r="T66" i="41"/>
  <c r="Q66" i="41"/>
  <c r="AB47" i="25"/>
  <c r="AB47" i="17" s="1"/>
  <c r="AA127" i="46"/>
  <c r="O127" i="46"/>
  <c r="U127" i="46" s="1"/>
  <c r="T127" i="46"/>
  <c r="P60" i="32"/>
  <c r="Z58" i="11"/>
  <c r="D9" i="9"/>
  <c r="D18" i="9" s="1"/>
  <c r="Z114" i="11"/>
  <c r="O8" i="9"/>
  <c r="D116" i="7" s="1"/>
  <c r="O47" i="66"/>
  <c r="O52" i="66" s="1"/>
  <c r="P48" i="66"/>
  <c r="P47" i="66" s="1"/>
  <c r="P52" i="66" s="1"/>
  <c r="AH42" i="23"/>
  <c r="J41" i="23"/>
  <c r="AH8" i="26"/>
  <c r="J32" i="26"/>
  <c r="U231" i="13"/>
  <c r="O242" i="13"/>
  <c r="J41" i="24"/>
  <c r="AH42" i="24"/>
  <c r="AH112" i="12"/>
  <c r="AS24" i="17"/>
  <c r="X19" i="9"/>
  <c r="S32" i="69"/>
  <c r="V32" i="69" s="1"/>
  <c r="G32" i="69"/>
  <c r="H19" i="9" l="1"/>
  <c r="K19" i="9" s="1"/>
  <c r="L20" i="9"/>
  <c r="S74" i="7"/>
  <c r="T39" i="21"/>
  <c r="Q39" i="21"/>
  <c r="O37" i="42"/>
  <c r="U33" i="42"/>
  <c r="E88" i="11"/>
  <c r="Q63" i="11"/>
  <c r="U155" i="20"/>
  <c r="O25" i="19"/>
  <c r="O7" i="11"/>
  <c r="I6" i="8"/>
  <c r="T50" i="13"/>
  <c r="Q50" i="13"/>
  <c r="AG50" i="13"/>
  <c r="N58" i="13"/>
  <c r="AO13" i="17"/>
  <c r="AH13" i="17"/>
  <c r="H41" i="10"/>
  <c r="I40" i="7"/>
  <c r="AI94" i="12"/>
  <c r="T20" i="10"/>
  <c r="T15" i="10" s="1"/>
  <c r="T14" i="12"/>
  <c r="V66" i="22"/>
  <c r="T66" i="22"/>
  <c r="Q66" i="22"/>
  <c r="N85" i="22"/>
  <c r="L32" i="10"/>
  <c r="AD31" i="12"/>
  <c r="AJ31" i="12" s="1"/>
  <c r="T13" i="21"/>
  <c r="Q13" i="21"/>
  <c r="H56" i="12"/>
  <c r="U242" i="13"/>
  <c r="I56" i="11"/>
  <c r="W8" i="18"/>
  <c r="W9" i="17"/>
  <c r="O37" i="10" s="1"/>
  <c r="AF52" i="38"/>
  <c r="U46" i="20"/>
  <c r="Q98" i="42"/>
  <c r="X98" i="42"/>
  <c r="T98" i="42"/>
  <c r="V51" i="41"/>
  <c r="T51" i="41"/>
  <c r="Q51" i="41"/>
  <c r="T264" i="13"/>
  <c r="AG264" i="13"/>
  <c r="M26" i="12"/>
  <c r="Q264" i="13"/>
  <c r="N271" i="13"/>
  <c r="I57" i="11"/>
  <c r="I14" i="56"/>
  <c r="F14" i="56"/>
  <c r="E13" i="56"/>
  <c r="V48" i="36"/>
  <c r="V47" i="36" s="1"/>
  <c r="V52" i="36" s="1"/>
  <c r="U47" i="36"/>
  <c r="U52" i="36" s="1"/>
  <c r="R94" i="12"/>
  <c r="L95" i="10"/>
  <c r="U164" i="46"/>
  <c r="O168" i="46"/>
  <c r="U168" i="46" s="1"/>
  <c r="P84" i="40"/>
  <c r="P80" i="40"/>
  <c r="P81" i="40" s="1"/>
  <c r="Q34" i="17"/>
  <c r="U75" i="10" s="1"/>
  <c r="U74" i="10" s="1"/>
  <c r="U88" i="10" s="1"/>
  <c r="Q33" i="18"/>
  <c r="Q33" i="17" s="1"/>
  <c r="U270" i="13"/>
  <c r="T26" i="12"/>
  <c r="G21" i="10"/>
  <c r="AK21" i="10" s="1"/>
  <c r="L8" i="8"/>
  <c r="H20" i="7"/>
  <c r="N20" i="7" s="1"/>
  <c r="K329" i="13"/>
  <c r="AH21" i="12"/>
  <c r="U66" i="21"/>
  <c r="O68" i="21"/>
  <c r="U68" i="21" s="1"/>
  <c r="L124" i="11"/>
  <c r="E124" i="10"/>
  <c r="AI124" i="10" s="1"/>
  <c r="F126" i="7"/>
  <c r="L126" i="7" s="1"/>
  <c r="O175" i="13"/>
  <c r="U175" i="13" s="1"/>
  <c r="U165" i="13"/>
  <c r="J14" i="17"/>
  <c r="AH14" i="18"/>
  <c r="AH27" i="10"/>
  <c r="D22" i="10"/>
  <c r="AH22" i="10" s="1"/>
  <c r="N13" i="10"/>
  <c r="AF13" i="10" s="1"/>
  <c r="AF12" i="12"/>
  <c r="M125" i="10"/>
  <c r="AE127" i="10"/>
  <c r="AE125" i="10" s="1"/>
  <c r="U9" i="44"/>
  <c r="O10" i="44"/>
  <c r="U74" i="13"/>
  <c r="I31" i="11"/>
  <c r="H31" i="12"/>
  <c r="H41" i="12"/>
  <c r="U189" i="13"/>
  <c r="V46" i="18"/>
  <c r="V46" i="17" s="1"/>
  <c r="U46" i="17"/>
  <c r="M7" i="7"/>
  <c r="T45" i="14"/>
  <c r="N47" i="14"/>
  <c r="Q45" i="14"/>
  <c r="AB45" i="14"/>
  <c r="O6" i="39"/>
  <c r="Q7" i="39"/>
  <c r="AM93" i="12"/>
  <c r="T88" i="10"/>
  <c r="AF59" i="13"/>
  <c r="P324" i="13"/>
  <c r="P319" i="13"/>
  <c r="J59" i="7"/>
  <c r="J58" i="7" s="1"/>
  <c r="I60" i="10"/>
  <c r="J58" i="11"/>
  <c r="M60" i="38"/>
  <c r="G62" i="38"/>
  <c r="M52" i="17"/>
  <c r="H31" i="7"/>
  <c r="G32" i="10"/>
  <c r="K31" i="11"/>
  <c r="N31" i="11"/>
  <c r="AO35" i="17"/>
  <c r="AH35" i="17"/>
  <c r="I21" i="8"/>
  <c r="T75" i="7" s="1"/>
  <c r="AB58" i="12"/>
  <c r="AH58" i="12" s="1"/>
  <c r="AH61" i="12"/>
  <c r="J62" i="27"/>
  <c r="AH52" i="27"/>
  <c r="N129" i="7"/>
  <c r="H127" i="7"/>
  <c r="N127" i="7" s="1"/>
  <c r="U16" i="14"/>
  <c r="H64" i="12"/>
  <c r="AI70" i="12"/>
  <c r="O296" i="13"/>
  <c r="U296" i="13" s="1"/>
  <c r="T32" i="21"/>
  <c r="N34" i="21"/>
  <c r="Q32" i="21"/>
  <c r="AE123" i="12"/>
  <c r="S123" i="10"/>
  <c r="AE123" i="10" s="1"/>
  <c r="AH41" i="36"/>
  <c r="AO31" i="17"/>
  <c r="AH31" i="17"/>
  <c r="Q96" i="11"/>
  <c r="P9" i="8"/>
  <c r="AK127" i="12"/>
  <c r="O32" i="17"/>
  <c r="O37" i="18"/>
  <c r="AL11" i="10"/>
  <c r="AO49" i="17"/>
  <c r="AH49" i="17"/>
  <c r="AF16" i="10"/>
  <c r="T28" i="41"/>
  <c r="Q28" i="41"/>
  <c r="V28" i="41"/>
  <c r="O82" i="46"/>
  <c r="U82" i="46" s="1"/>
  <c r="U77" i="46"/>
  <c r="U36" i="21"/>
  <c r="R24" i="21"/>
  <c r="AB32" i="32"/>
  <c r="AB37" i="32" s="1"/>
  <c r="AB60" i="32" s="1"/>
  <c r="L56" i="21"/>
  <c r="R56" i="21" s="1"/>
  <c r="T68" i="41"/>
  <c r="V68" i="41"/>
  <c r="Q68" i="41"/>
  <c r="O97" i="42"/>
  <c r="U84" i="42"/>
  <c r="W47" i="18"/>
  <c r="W47" i="17" s="1"/>
  <c r="W48" i="17"/>
  <c r="O112" i="10" s="1"/>
  <c r="K176" i="46"/>
  <c r="E114" i="11"/>
  <c r="D114" i="12"/>
  <c r="W173" i="46"/>
  <c r="K180" i="46"/>
  <c r="K174" i="46"/>
  <c r="K177" i="46" s="1"/>
  <c r="AL127" i="12"/>
  <c r="V52" i="30"/>
  <c r="N12" i="7"/>
  <c r="K12" i="7"/>
  <c r="S39" i="21"/>
  <c r="U63" i="22"/>
  <c r="O65" i="22"/>
  <c r="O66" i="22" s="1"/>
  <c r="H62" i="36"/>
  <c r="AF52" i="36"/>
  <c r="T90" i="22"/>
  <c r="N92" i="22"/>
  <c r="V90" i="22"/>
  <c r="Q90" i="22"/>
  <c r="AJ70" i="10"/>
  <c r="F69" i="10"/>
  <c r="AJ69" i="10" s="1"/>
  <c r="O299" i="13"/>
  <c r="U292" i="13"/>
  <c r="E88" i="10"/>
  <c r="AI65" i="10"/>
  <c r="H57" i="36"/>
  <c r="H60" i="36"/>
  <c r="AF37" i="36"/>
  <c r="H61" i="36"/>
  <c r="E40" i="10"/>
  <c r="L39" i="11"/>
  <c r="F39" i="7"/>
  <c r="L39" i="7" s="1"/>
  <c r="U39" i="22"/>
  <c r="O41" i="22"/>
  <c r="U41" i="22" s="1"/>
  <c r="O32" i="21"/>
  <c r="AC15" i="17"/>
  <c r="AC8" i="18"/>
  <c r="G64" i="7"/>
  <c r="M65" i="7"/>
  <c r="N29" i="39"/>
  <c r="K28" i="39"/>
  <c r="N28" i="39" s="1"/>
  <c r="AE8" i="10"/>
  <c r="O95" i="12"/>
  <c r="AP28" i="17"/>
  <c r="I28" i="10"/>
  <c r="AM28" i="10" s="1"/>
  <c r="J7" i="9"/>
  <c r="J27" i="7"/>
  <c r="T153" i="46"/>
  <c r="Q153" i="46"/>
  <c r="AA153" i="46"/>
  <c r="N112" i="12"/>
  <c r="AO21" i="17"/>
  <c r="AH21" i="17"/>
  <c r="N49" i="10"/>
  <c r="I48" i="7"/>
  <c r="H49" i="10"/>
  <c r="AH41" i="32"/>
  <c r="J52" i="32"/>
  <c r="AG13" i="17"/>
  <c r="AN13" i="17"/>
  <c r="AS13" i="17" s="1"/>
  <c r="AI13" i="17"/>
  <c r="H40" i="7"/>
  <c r="N40" i="7" s="1"/>
  <c r="G41" i="10"/>
  <c r="N76" i="11"/>
  <c r="K76" i="11"/>
  <c r="U7" i="43"/>
  <c r="O16" i="43"/>
  <c r="O87" i="43"/>
  <c r="O88" i="43"/>
  <c r="N75" i="7"/>
  <c r="K75" i="7"/>
  <c r="O47" i="38"/>
  <c r="P48" i="38"/>
  <c r="O48" i="17"/>
  <c r="I50" i="11"/>
  <c r="U285" i="13"/>
  <c r="N50" i="12"/>
  <c r="H50" i="12"/>
  <c r="AC35" i="25"/>
  <c r="AB35" i="17"/>
  <c r="AB33" i="25"/>
  <c r="AB37" i="25" s="1"/>
  <c r="AG52" i="23"/>
  <c r="AI52" i="23"/>
  <c r="I62" i="23"/>
  <c r="H46" i="10"/>
  <c r="I45" i="7"/>
  <c r="O45" i="7" s="1"/>
  <c r="AR10" i="17"/>
  <c r="V33" i="41"/>
  <c r="T33" i="41"/>
  <c r="Q33" i="41"/>
  <c r="AC61" i="12"/>
  <c r="AI61" i="12" s="1"/>
  <c r="Q62" i="10"/>
  <c r="AC62" i="10" s="1"/>
  <c r="J32" i="36"/>
  <c r="AH8" i="36"/>
  <c r="AH41" i="38"/>
  <c r="R60" i="12"/>
  <c r="G60" i="7"/>
  <c r="F61" i="10"/>
  <c r="M60" i="11"/>
  <c r="G58" i="11"/>
  <c r="AB33" i="14"/>
  <c r="T33" i="14"/>
  <c r="O20" i="41"/>
  <c r="U20" i="41" s="1"/>
  <c r="S67" i="43"/>
  <c r="M86" i="43"/>
  <c r="AE50" i="12"/>
  <c r="M51" i="10"/>
  <c r="AE51" i="10" s="1"/>
  <c r="R128" i="11"/>
  <c r="S61" i="12"/>
  <c r="H11" i="9"/>
  <c r="G62" i="10"/>
  <c r="H61" i="7"/>
  <c r="N61" i="11"/>
  <c r="K61" i="11"/>
  <c r="M46" i="11"/>
  <c r="G46" i="7"/>
  <c r="M46" i="7" s="1"/>
  <c r="F47" i="10"/>
  <c r="O59" i="7"/>
  <c r="J37" i="26"/>
  <c r="AH32" i="26"/>
  <c r="AK37" i="10"/>
  <c r="Q21" i="11"/>
  <c r="E6" i="9"/>
  <c r="E18" i="9" s="1"/>
  <c r="V10" i="44"/>
  <c r="T10" i="44"/>
  <c r="Q10" i="44"/>
  <c r="S96" i="12"/>
  <c r="S97" i="10" s="1"/>
  <c r="N12" i="44"/>
  <c r="E21" i="7"/>
  <c r="E26" i="51"/>
  <c r="P26" i="7"/>
  <c r="I12" i="7"/>
  <c r="O12" i="7" s="1"/>
  <c r="H13" i="10"/>
  <c r="AL13" i="10" s="1"/>
  <c r="O12" i="11"/>
  <c r="I41" i="10"/>
  <c r="AM41" i="10" s="1"/>
  <c r="J40" i="7"/>
  <c r="K40" i="7" s="1"/>
  <c r="M30" i="11"/>
  <c r="G30" i="7"/>
  <c r="M30" i="7" s="1"/>
  <c r="F31" i="10"/>
  <c r="G29" i="11"/>
  <c r="J52" i="23"/>
  <c r="AH41" i="23"/>
  <c r="K36" i="17"/>
  <c r="W36" i="18"/>
  <c r="W36" i="17" s="1"/>
  <c r="O141" i="12" s="1"/>
  <c r="K33" i="18"/>
  <c r="AL12" i="12"/>
  <c r="O107" i="22"/>
  <c r="U104" i="22"/>
  <c r="J30" i="10"/>
  <c r="AB29" i="12"/>
  <c r="J28" i="12"/>
  <c r="J63" i="12" s="1"/>
  <c r="J88" i="12" s="1"/>
  <c r="N86" i="21"/>
  <c r="T122" i="22"/>
  <c r="V122" i="22"/>
  <c r="Q122" i="22"/>
  <c r="O264" i="13"/>
  <c r="U258" i="13"/>
  <c r="AF57" i="12"/>
  <c r="AL57" i="12" s="1"/>
  <c r="T58" i="10"/>
  <c r="AF58" i="10" s="1"/>
  <c r="U113" i="20"/>
  <c r="J43" i="18"/>
  <c r="N110" i="10"/>
  <c r="AF110" i="10" s="1"/>
  <c r="AF110" i="12"/>
  <c r="AI52" i="32"/>
  <c r="AG52" i="32"/>
  <c r="I62" i="32"/>
  <c r="AB62" i="10"/>
  <c r="P59" i="10"/>
  <c r="P64" i="10" s="1"/>
  <c r="P89" i="10" s="1"/>
  <c r="AK127" i="10"/>
  <c r="G125" i="10"/>
  <c r="AK125" i="10" s="1"/>
  <c r="H8" i="10"/>
  <c r="AH41" i="24"/>
  <c r="J52" i="24"/>
  <c r="N45" i="7"/>
  <c r="K45" i="7"/>
  <c r="AF37" i="10"/>
  <c r="Q39" i="41"/>
  <c r="V39" i="41"/>
  <c r="T39" i="41"/>
  <c r="AH19" i="18"/>
  <c r="J19" i="17"/>
  <c r="AI52" i="33"/>
  <c r="AG52" i="33"/>
  <c r="U52" i="22"/>
  <c r="O52" i="40"/>
  <c r="U52" i="40" s="1"/>
  <c r="U50" i="40"/>
  <c r="G97" i="12"/>
  <c r="Q104" i="45"/>
  <c r="N105" i="45"/>
  <c r="H97" i="11"/>
  <c r="C228" i="55"/>
  <c r="D228" i="55" s="1"/>
  <c r="E228" i="55" s="1"/>
  <c r="F228" i="55" s="1"/>
  <c r="G228" i="55" s="1"/>
  <c r="H228" i="55" s="1"/>
  <c r="I228" i="55" s="1"/>
  <c r="J228" i="55" s="1"/>
  <c r="K228" i="55" s="1"/>
  <c r="L228" i="55" s="1"/>
  <c r="M228" i="55" s="1"/>
  <c r="N228" i="55" s="1"/>
  <c r="O215" i="55"/>
  <c r="AK64" i="12"/>
  <c r="V34" i="17"/>
  <c r="AF8" i="17"/>
  <c r="AM8" i="17"/>
  <c r="P60" i="28"/>
  <c r="P144" i="46"/>
  <c r="R86" i="46"/>
  <c r="E112" i="12"/>
  <c r="F112" i="11"/>
  <c r="N42" i="7"/>
  <c r="K42" i="7"/>
  <c r="M62" i="11"/>
  <c r="F63" i="10"/>
  <c r="AJ63" i="10" s="1"/>
  <c r="G10" i="9"/>
  <c r="X10" i="9" s="1"/>
  <c r="G62" i="7"/>
  <c r="M62" i="7" s="1"/>
  <c r="AG112" i="12"/>
  <c r="U112" i="10"/>
  <c r="U85" i="45"/>
  <c r="O87" i="45"/>
  <c r="O163" i="46"/>
  <c r="U163" i="46" s="1"/>
  <c r="U161" i="46"/>
  <c r="AC58" i="7"/>
  <c r="D23" i="56"/>
  <c r="F74" i="10"/>
  <c r="J52" i="26"/>
  <c r="AH41" i="26"/>
  <c r="H61" i="38"/>
  <c r="H57" i="38"/>
  <c r="AF37" i="38"/>
  <c r="H60" i="38"/>
  <c r="AF218" i="13"/>
  <c r="F97" i="12"/>
  <c r="AJ97" i="12" s="1"/>
  <c r="M105" i="45"/>
  <c r="G97" i="11"/>
  <c r="AO27" i="17"/>
  <c r="AH27" i="17"/>
  <c r="U31" i="22"/>
  <c r="O26" i="21"/>
  <c r="O36" i="22"/>
  <c r="J96" i="12"/>
  <c r="U88" i="22"/>
  <c r="O90" i="22"/>
  <c r="O57" i="21"/>
  <c r="D88" i="11"/>
  <c r="Z63" i="11"/>
  <c r="U58" i="20"/>
  <c r="O74" i="20"/>
  <c r="U74" i="20" s="1"/>
  <c r="S35" i="47"/>
  <c r="R122" i="12"/>
  <c r="F122" i="12"/>
  <c r="G122" i="11"/>
  <c r="N64" i="11"/>
  <c r="AC32" i="32"/>
  <c r="AC37" i="32" s="1"/>
  <c r="S61" i="21"/>
  <c r="L8" i="39"/>
  <c r="Q10" i="39"/>
  <c r="U29" i="14"/>
  <c r="N71" i="12" s="1"/>
  <c r="I71" i="11"/>
  <c r="H71" i="12"/>
  <c r="T97" i="42"/>
  <c r="Q97" i="42"/>
  <c r="N54" i="41"/>
  <c r="X97" i="42"/>
  <c r="V47" i="17"/>
  <c r="F87" i="7"/>
  <c r="L64" i="7"/>
  <c r="U36" i="10"/>
  <c r="L160" i="46"/>
  <c r="R158" i="46"/>
  <c r="L49" i="12"/>
  <c r="M49" i="11"/>
  <c r="G49" i="7"/>
  <c r="F50" i="10"/>
  <c r="G47" i="11"/>
  <c r="S26" i="12"/>
  <c r="T270" i="13"/>
  <c r="AG270" i="13"/>
  <c r="Q270" i="13"/>
  <c r="Q412" i="55"/>
  <c r="O425" i="55"/>
  <c r="Q425" i="55" s="1"/>
  <c r="O20" i="11"/>
  <c r="I8" i="8"/>
  <c r="J23" i="11"/>
  <c r="AM23" i="12"/>
  <c r="I21" i="12"/>
  <c r="H7" i="7"/>
  <c r="U51" i="22"/>
  <c r="O38" i="21"/>
  <c r="U38" i="21" s="1"/>
  <c r="K125" i="11"/>
  <c r="N125" i="11"/>
  <c r="R87" i="21"/>
  <c r="L88" i="21"/>
  <c r="R88" i="21" s="1"/>
  <c r="O64" i="41"/>
  <c r="O85" i="43"/>
  <c r="U85" i="43" s="1"/>
  <c r="O45" i="47"/>
  <c r="U42" i="47"/>
  <c r="O125" i="11"/>
  <c r="U32" i="46"/>
  <c r="O35" i="46"/>
  <c r="T26" i="21"/>
  <c r="Q26" i="21"/>
  <c r="N31" i="21"/>
  <c r="J52" i="25"/>
  <c r="AJ64" i="12"/>
  <c r="F87" i="12"/>
  <c r="AG47" i="35"/>
  <c r="L29" i="39"/>
  <c r="AI47" i="35"/>
  <c r="I52" i="35"/>
  <c r="E122" i="51"/>
  <c r="N122" i="51" s="1"/>
  <c r="P122" i="7"/>
  <c r="J52" i="30"/>
  <c r="AH41" i="30"/>
  <c r="U69" i="21"/>
  <c r="O71" i="21"/>
  <c r="U71" i="21" s="1"/>
  <c r="E21" i="56"/>
  <c r="P11" i="54"/>
  <c r="P47" i="7"/>
  <c r="J52" i="31"/>
  <c r="AH41" i="31"/>
  <c r="U45" i="43"/>
  <c r="O48" i="43"/>
  <c r="U48" i="43" s="1"/>
  <c r="AH87" i="10"/>
  <c r="AB88" i="10"/>
  <c r="AH88" i="10" s="1"/>
  <c r="T132" i="42"/>
  <c r="X132" i="42"/>
  <c r="Q132" i="42"/>
  <c r="M94" i="12"/>
  <c r="AE93" i="12"/>
  <c r="AO28" i="17"/>
  <c r="AH28" i="17"/>
  <c r="O72" i="46"/>
  <c r="U72" i="46" s="1"/>
  <c r="AG175" i="13"/>
  <c r="Q175" i="13"/>
  <c r="T175" i="13"/>
  <c r="K47" i="12"/>
  <c r="K50" i="10"/>
  <c r="AC49" i="12"/>
  <c r="F35" i="11"/>
  <c r="U9" i="22"/>
  <c r="O9" i="21"/>
  <c r="U9" i="21" s="1"/>
  <c r="AE8" i="17"/>
  <c r="AL8" i="17"/>
  <c r="AQ8" i="17" s="1"/>
  <c r="AO50" i="17"/>
  <c r="AH50" i="17"/>
  <c r="T127" i="10"/>
  <c r="T125" i="10" s="1"/>
  <c r="T16" i="9"/>
  <c r="H60" i="23"/>
  <c r="H61" i="23"/>
  <c r="AF37" i="23"/>
  <c r="N39" i="51"/>
  <c r="H39" i="51"/>
  <c r="AO9" i="17"/>
  <c r="AH9" i="17"/>
  <c r="I36" i="7"/>
  <c r="H37" i="10"/>
  <c r="N46" i="10"/>
  <c r="AF46" i="10" s="1"/>
  <c r="AF45" i="12"/>
  <c r="F100" i="7"/>
  <c r="L100" i="7" s="1"/>
  <c r="E98" i="10"/>
  <c r="AI98" i="10" s="1"/>
  <c r="U35" i="42"/>
  <c r="O33" i="41"/>
  <c r="U33" i="41" s="1"/>
  <c r="AI62" i="10"/>
  <c r="AH8" i="38"/>
  <c r="J32" i="38"/>
  <c r="AJ123" i="10"/>
  <c r="U65" i="41"/>
  <c r="O68" i="41"/>
  <c r="U68" i="41" s="1"/>
  <c r="D63" i="12"/>
  <c r="J52" i="66"/>
  <c r="AH41" i="66"/>
  <c r="K74" i="10"/>
  <c r="AC75" i="10"/>
  <c r="AO45" i="17"/>
  <c r="AH45" i="17"/>
  <c r="U52" i="35"/>
  <c r="U60" i="35" s="1"/>
  <c r="Q116" i="12"/>
  <c r="J95" i="12"/>
  <c r="D92" i="12"/>
  <c r="T74" i="7"/>
  <c r="I19" i="8"/>
  <c r="I30" i="8" s="1"/>
  <c r="V43" i="40"/>
  <c r="T43" i="40"/>
  <c r="Q43" i="40"/>
  <c r="O42" i="21"/>
  <c r="U42" i="21" s="1"/>
  <c r="U41" i="21"/>
  <c r="N152" i="7"/>
  <c r="V152" i="7"/>
  <c r="K152" i="7"/>
  <c r="O152" i="7"/>
  <c r="G41" i="7"/>
  <c r="M41" i="7" s="1"/>
  <c r="F42" i="10"/>
  <c r="M41" i="11"/>
  <c r="U160" i="13"/>
  <c r="O181" i="13"/>
  <c r="R59" i="13"/>
  <c r="L324" i="13"/>
  <c r="L319" i="13"/>
  <c r="N104" i="11"/>
  <c r="I119" i="10"/>
  <c r="AM119" i="10" s="1"/>
  <c r="J121" i="7"/>
  <c r="U144" i="20"/>
  <c r="AB43" i="18"/>
  <c r="AB43" i="17" s="1"/>
  <c r="Z95" i="10" s="1"/>
  <c r="Y31" i="12"/>
  <c r="Y138" i="12"/>
  <c r="Y151" i="12" s="1"/>
  <c r="Y152" i="12" s="1"/>
  <c r="AG14" i="17"/>
  <c r="AN14" i="17"/>
  <c r="AS14" i="17" s="1"/>
  <c r="AI14" i="17"/>
  <c r="W34" i="17"/>
  <c r="O75" i="10" s="1"/>
  <c r="J32" i="24"/>
  <c r="AH8" i="24"/>
  <c r="U40" i="47"/>
  <c r="T123" i="12"/>
  <c r="H123" i="12"/>
  <c r="I123" i="11"/>
  <c r="AG48" i="17"/>
  <c r="AN48" i="17"/>
  <c r="AS48" i="17" s="1"/>
  <c r="N124" i="10"/>
  <c r="J47" i="38"/>
  <c r="AH47" i="38" s="1"/>
  <c r="AH48" i="38"/>
  <c r="Q22" i="22"/>
  <c r="T22" i="22"/>
  <c r="V22" i="22"/>
  <c r="U48" i="17"/>
  <c r="P100" i="7"/>
  <c r="E100" i="51"/>
  <c r="P21" i="54"/>
  <c r="J62" i="29"/>
  <c r="AH52" i="29"/>
  <c r="P89" i="21"/>
  <c r="P127" i="22" s="1"/>
  <c r="Y23" i="17"/>
  <c r="W20" i="10" s="1"/>
  <c r="M74" i="7"/>
  <c r="G73" i="7"/>
  <c r="M73" i="7" s="1"/>
  <c r="I35" i="12"/>
  <c r="R99" i="42"/>
  <c r="L134" i="42"/>
  <c r="S102" i="45"/>
  <c r="S108" i="45" s="1"/>
  <c r="M106" i="45"/>
  <c r="M108" i="45"/>
  <c r="M110" i="45" s="1"/>
  <c r="M186" i="13"/>
  <c r="S181" i="13"/>
  <c r="S12" i="44"/>
  <c r="M16" i="44"/>
  <c r="G58" i="10"/>
  <c r="AK58" i="10" s="1"/>
  <c r="N57" i="11"/>
  <c r="H11" i="8"/>
  <c r="L11" i="8" s="1"/>
  <c r="H57" i="7"/>
  <c r="N57" i="7" s="1"/>
  <c r="S28" i="12"/>
  <c r="S30" i="10"/>
  <c r="S29" i="10" s="1"/>
  <c r="D18" i="8"/>
  <c r="U28" i="47"/>
  <c r="AH32" i="25"/>
  <c r="J37" i="25"/>
  <c r="AA62" i="18"/>
  <c r="AA44" i="17"/>
  <c r="Y96" i="10" s="1"/>
  <c r="AH30" i="17"/>
  <c r="AO30" i="17"/>
  <c r="N62" i="10"/>
  <c r="T82" i="46"/>
  <c r="AA82" i="46"/>
  <c r="Q82" i="46"/>
  <c r="AB50" i="10"/>
  <c r="J48" i="10"/>
  <c r="U34" i="22"/>
  <c r="O29" i="21"/>
  <c r="U29" i="21" s="1"/>
  <c r="AG8" i="29"/>
  <c r="AI8" i="29"/>
  <c r="I32" i="29"/>
  <c r="X108" i="42"/>
  <c r="T108" i="42"/>
  <c r="N60" i="41"/>
  <c r="Q108" i="42"/>
  <c r="N109" i="42"/>
  <c r="G23" i="10"/>
  <c r="H22" i="7"/>
  <c r="N22" i="11"/>
  <c r="V24" i="44"/>
  <c r="Q24" i="44"/>
  <c r="T24" i="44"/>
  <c r="Q95" i="10"/>
  <c r="Q93" i="10" s="1"/>
  <c r="Q92" i="12"/>
  <c r="W29" i="12"/>
  <c r="W32" i="10"/>
  <c r="K31" i="12"/>
  <c r="U32" i="42"/>
  <c r="O30" i="41"/>
  <c r="U30" i="41" s="1"/>
  <c r="P52" i="18"/>
  <c r="Q8" i="18"/>
  <c r="AB116" i="12"/>
  <c r="P116" i="10"/>
  <c r="P111" i="12"/>
  <c r="P128" i="12" s="1"/>
  <c r="P152" i="12" s="1"/>
  <c r="P156" i="12" s="1"/>
  <c r="I37" i="32"/>
  <c r="AG32" i="32"/>
  <c r="AI32" i="32"/>
  <c r="U30" i="42"/>
  <c r="O28" i="41"/>
  <c r="U28" i="41" s="1"/>
  <c r="U97" i="46"/>
  <c r="N114" i="12"/>
  <c r="E20" i="56"/>
  <c r="P10" i="54"/>
  <c r="P35" i="7"/>
  <c r="AL47" i="17"/>
  <c r="AQ47" i="17" s="1"/>
  <c r="AE47" i="17"/>
  <c r="O23" i="11"/>
  <c r="H24" i="10"/>
  <c r="AL24" i="10" s="1"/>
  <c r="I23" i="7"/>
  <c r="O23" i="7" s="1"/>
  <c r="AH94" i="12"/>
  <c r="N31" i="39"/>
  <c r="K30" i="39"/>
  <c r="N30" i="39" s="1"/>
  <c r="M55" i="21"/>
  <c r="S55" i="21" s="1"/>
  <c r="S54" i="21"/>
  <c r="O4" i="39"/>
  <c r="Q5" i="39"/>
  <c r="I87" i="10"/>
  <c r="J86" i="7"/>
  <c r="J87" i="11"/>
  <c r="AI37" i="26"/>
  <c r="I60" i="26"/>
  <c r="AG37" i="26"/>
  <c r="P7" i="15" s="1"/>
  <c r="I61" i="26"/>
  <c r="T60" i="36"/>
  <c r="T243" i="13"/>
  <c r="L11" i="5" s="1"/>
  <c r="M11" i="5" s="1"/>
  <c r="AG243" i="13"/>
  <c r="Q243" i="13"/>
  <c r="K16" i="56"/>
  <c r="H16" i="56"/>
  <c r="L16" i="56" s="1"/>
  <c r="K40" i="10"/>
  <c r="AC39" i="12"/>
  <c r="AI39" i="12" s="1"/>
  <c r="K35" i="12"/>
  <c r="AF32" i="31"/>
  <c r="H37" i="31"/>
  <c r="AH8" i="30"/>
  <c r="J32" i="30"/>
  <c r="AH40" i="10"/>
  <c r="G87" i="11"/>
  <c r="M64" i="11"/>
  <c r="Q300" i="55"/>
  <c r="O313" i="55"/>
  <c r="Q313" i="55" s="1"/>
  <c r="P18" i="54"/>
  <c r="E97" i="51"/>
  <c r="P97" i="7"/>
  <c r="R112" i="10"/>
  <c r="AD112" i="12"/>
  <c r="O66" i="11"/>
  <c r="I66" i="7"/>
  <c r="O66" i="7" s="1"/>
  <c r="H67" i="10"/>
  <c r="AL67" i="10" s="1"/>
  <c r="U147" i="46"/>
  <c r="U173" i="46" s="1"/>
  <c r="O153" i="46"/>
  <c r="U153" i="46" s="1"/>
  <c r="N44" i="7"/>
  <c r="K44" i="7"/>
  <c r="E9" i="8"/>
  <c r="E18" i="8" s="1"/>
  <c r="Q28" i="11"/>
  <c r="H76" i="7"/>
  <c r="N77" i="7"/>
  <c r="K77" i="7"/>
  <c r="M41" i="12"/>
  <c r="H41" i="11"/>
  <c r="AL73" i="10"/>
  <c r="L37" i="7"/>
  <c r="AG52" i="66"/>
  <c r="AI52" i="66"/>
  <c r="I62" i="66"/>
  <c r="K74" i="11"/>
  <c r="N74" i="11"/>
  <c r="M74" i="12"/>
  <c r="H73" i="11"/>
  <c r="H74" i="7"/>
  <c r="G75" i="10"/>
  <c r="N26" i="22"/>
  <c r="O23" i="41"/>
  <c r="U23" i="41" s="1"/>
  <c r="AH8" i="23"/>
  <c r="J32" i="23"/>
  <c r="C128" i="11"/>
  <c r="C152" i="11" s="1"/>
  <c r="N93" i="12"/>
  <c r="U46" i="40"/>
  <c r="AE77" i="12"/>
  <c r="N77" i="12"/>
  <c r="M78" i="10"/>
  <c r="M76" i="12"/>
  <c r="T52" i="40"/>
  <c r="V52" i="40"/>
  <c r="Q52" i="40"/>
  <c r="H62" i="11"/>
  <c r="G30" i="12"/>
  <c r="H30" i="11"/>
  <c r="T70" i="13"/>
  <c r="AG70" i="13"/>
  <c r="Q70" i="13"/>
  <c r="N101" i="13"/>
  <c r="O32" i="44"/>
  <c r="H50" i="7"/>
  <c r="K50" i="11"/>
  <c r="G51" i="10"/>
  <c r="AK51" i="10" s="1"/>
  <c r="N50" i="11"/>
  <c r="G110" i="12"/>
  <c r="AK110" i="12" s="1"/>
  <c r="T87" i="45"/>
  <c r="H110" i="11"/>
  <c r="V87" i="45"/>
  <c r="Q87" i="45"/>
  <c r="AC73" i="12"/>
  <c r="AI73" i="12" s="1"/>
  <c r="AI74" i="12"/>
  <c r="AC34" i="12"/>
  <c r="AI34" i="12" s="1"/>
  <c r="K35" i="10"/>
  <c r="AC35" i="10" s="1"/>
  <c r="N53" i="51"/>
  <c r="H53" i="51"/>
  <c r="P8" i="8"/>
  <c r="Q95" i="11"/>
  <c r="E92" i="11"/>
  <c r="O74" i="11"/>
  <c r="I73" i="11"/>
  <c r="O73" i="11" s="1"/>
  <c r="N74" i="12"/>
  <c r="H75" i="10"/>
  <c r="I74" i="7"/>
  <c r="G60" i="29"/>
  <c r="AE37" i="29"/>
  <c r="G61" i="29"/>
  <c r="G57" i="29"/>
  <c r="D35" i="56"/>
  <c r="AC116" i="7"/>
  <c r="U83" i="22"/>
  <c r="O84" i="22"/>
  <c r="U84" i="22" s="1"/>
  <c r="O54" i="21"/>
  <c r="AG47" i="12"/>
  <c r="AM47" i="12" s="1"/>
  <c r="AM49" i="12"/>
  <c r="K33" i="7"/>
  <c r="N33" i="7"/>
  <c r="AL60" i="10"/>
  <c r="G42" i="17"/>
  <c r="AE42" i="18"/>
  <c r="L19" i="11"/>
  <c r="E20" i="10"/>
  <c r="F19" i="7"/>
  <c r="F14" i="11"/>
  <c r="H32" i="17"/>
  <c r="AM69" i="10"/>
  <c r="O135" i="42"/>
  <c r="AM19" i="12"/>
  <c r="I14" i="12"/>
  <c r="AG52" i="38"/>
  <c r="AI52" i="38"/>
  <c r="N116" i="10"/>
  <c r="H37" i="12"/>
  <c r="U119" i="13"/>
  <c r="I37" i="11"/>
  <c r="D15" i="10"/>
  <c r="P52" i="23"/>
  <c r="P41" i="17"/>
  <c r="AM23" i="17"/>
  <c r="AF23" i="17"/>
  <c r="X55" i="42"/>
  <c r="T55" i="42"/>
  <c r="N43" i="41"/>
  <c r="Q55" i="42"/>
  <c r="AD78" i="10"/>
  <c r="L77" i="10"/>
  <c r="AA97" i="46"/>
  <c r="T97" i="46"/>
  <c r="N158" i="46"/>
  <c r="Q97" i="46"/>
  <c r="M114" i="12"/>
  <c r="V41" i="22"/>
  <c r="T41" i="22"/>
  <c r="Q41" i="22"/>
  <c r="O78" i="11"/>
  <c r="H79" i="10"/>
  <c r="AL79" i="10" s="1"/>
  <c r="I78" i="7"/>
  <c r="O78" i="7" s="1"/>
  <c r="F105" i="10"/>
  <c r="G107" i="7"/>
  <c r="M107" i="7" s="1"/>
  <c r="M104" i="11"/>
  <c r="W32" i="47"/>
  <c r="T32" i="47"/>
  <c r="Q32" i="47"/>
  <c r="N35" i="47"/>
  <c r="I37" i="38"/>
  <c r="AG32" i="38"/>
  <c r="AI32" i="38"/>
  <c r="AG32" i="27"/>
  <c r="I37" i="27"/>
  <c r="AI32" i="27"/>
  <c r="U48" i="13"/>
  <c r="O49" i="13"/>
  <c r="U49" i="13" s="1"/>
  <c r="AI122" i="10"/>
  <c r="X6" i="8"/>
  <c r="N7" i="12"/>
  <c r="AF104" i="12"/>
  <c r="N97" i="12"/>
  <c r="I62" i="34"/>
  <c r="AI52" i="34"/>
  <c r="AG52" i="34"/>
  <c r="AG43" i="18"/>
  <c r="I43" i="17"/>
  <c r="Q37" i="43"/>
  <c r="Z37" i="43"/>
  <c r="AB47" i="12"/>
  <c r="AH47" i="12" s="1"/>
  <c r="AH49" i="12"/>
  <c r="J32" i="32"/>
  <c r="S75" i="20"/>
  <c r="M117" i="20"/>
  <c r="S117" i="20" s="1"/>
  <c r="H42" i="18"/>
  <c r="Q49" i="17"/>
  <c r="Q47" i="18"/>
  <c r="S38" i="10"/>
  <c r="U224" i="13"/>
  <c r="O228" i="13"/>
  <c r="O173" i="46"/>
  <c r="N37" i="51"/>
  <c r="H37" i="51"/>
  <c r="E35" i="51"/>
  <c r="H61" i="34"/>
  <c r="AF37" i="34"/>
  <c r="H60" i="34"/>
  <c r="H57" i="34"/>
  <c r="K36" i="7"/>
  <c r="AI54" i="10"/>
  <c r="P93" i="10"/>
  <c r="AB95" i="10"/>
  <c r="M35" i="21"/>
  <c r="S35" i="21" s="1"/>
  <c r="S31" i="21"/>
  <c r="O18" i="8"/>
  <c r="O31" i="8" s="1"/>
  <c r="AG46" i="18"/>
  <c r="I46" i="17"/>
  <c r="G105" i="10" s="1"/>
  <c r="R30" i="39"/>
  <c r="AM154" i="12"/>
  <c r="J160" i="7"/>
  <c r="K154" i="11"/>
  <c r="I37" i="28"/>
  <c r="AG32" i="28"/>
  <c r="AI32" i="28"/>
  <c r="V36" i="36"/>
  <c r="V33" i="36" s="1"/>
  <c r="V37" i="36" s="1"/>
  <c r="V60" i="36" s="1"/>
  <c r="U33" i="36"/>
  <c r="U37" i="36" s="1"/>
  <c r="U60" i="36" s="1"/>
  <c r="S56" i="10"/>
  <c r="AE55" i="12"/>
  <c r="I22" i="56"/>
  <c r="F22" i="56"/>
  <c r="T100" i="13"/>
  <c r="H34" i="11"/>
  <c r="G34" i="12"/>
  <c r="Q100" i="13"/>
  <c r="AG100" i="13"/>
  <c r="H30" i="8"/>
  <c r="L19" i="8"/>
  <c r="S45" i="14"/>
  <c r="M47" i="14"/>
  <c r="V27" i="18"/>
  <c r="U27" i="17"/>
  <c r="K88" i="10"/>
  <c r="AF23" i="10"/>
  <c r="I37" i="23"/>
  <c r="AG32" i="23"/>
  <c r="AI32" i="23"/>
  <c r="AC9" i="17"/>
  <c r="AH95" i="10"/>
  <c r="S66" i="46"/>
  <c r="M86" i="46"/>
  <c r="AC87" i="12"/>
  <c r="S47" i="41"/>
  <c r="M50" i="41"/>
  <c r="X133" i="42"/>
  <c r="T133" i="42"/>
  <c r="Q133" i="42"/>
  <c r="O285" i="55"/>
  <c r="Q272" i="55"/>
  <c r="G77" i="10"/>
  <c r="O72" i="7"/>
  <c r="AI38" i="10"/>
  <c r="AE32" i="18"/>
  <c r="G32" i="17"/>
  <c r="G73" i="12"/>
  <c r="S133" i="42"/>
  <c r="O42" i="7"/>
  <c r="C94" i="10"/>
  <c r="C93" i="10" s="1"/>
  <c r="C96" i="7"/>
  <c r="C95" i="7" s="1"/>
  <c r="N18" i="8"/>
  <c r="K105" i="10"/>
  <c r="AC105" i="10" s="1"/>
  <c r="AI105" i="10" s="1"/>
  <c r="AH22" i="17"/>
  <c r="AO22" i="17"/>
  <c r="R77" i="41"/>
  <c r="L78" i="41"/>
  <c r="R78" i="41" s="1"/>
  <c r="AI26" i="12"/>
  <c r="E21" i="12"/>
  <c r="J32" i="33"/>
  <c r="AH8" i="33"/>
  <c r="Q24" i="17"/>
  <c r="Q23" i="18"/>
  <c r="Q23" i="17" s="1"/>
  <c r="U20" i="10" s="1"/>
  <c r="AE62" i="12"/>
  <c r="AK62" i="12" s="1"/>
  <c r="S63" i="10"/>
  <c r="AE63" i="10" s="1"/>
  <c r="O117" i="46"/>
  <c r="O7" i="54"/>
  <c r="T54" i="21"/>
  <c r="Q54" i="21"/>
  <c r="N55" i="21"/>
  <c r="U64" i="13"/>
  <c r="O70" i="13"/>
  <c r="V34" i="41"/>
  <c r="T34" i="41"/>
  <c r="Q34" i="41"/>
  <c r="AP45" i="17"/>
  <c r="U9" i="8"/>
  <c r="H73" i="12"/>
  <c r="T107" i="22"/>
  <c r="V107" i="22"/>
  <c r="N73" i="21"/>
  <c r="Q107" i="22"/>
  <c r="N123" i="22"/>
  <c r="L42" i="10"/>
  <c r="AD42" i="10" s="1"/>
  <c r="AD41" i="12"/>
  <c r="AJ41" i="12" s="1"/>
  <c r="AD112" i="10"/>
  <c r="AI19" i="12"/>
  <c r="E14" i="12"/>
  <c r="AP47" i="17"/>
  <c r="AI47" i="17"/>
  <c r="AC23" i="24"/>
  <c r="AC24" i="17"/>
  <c r="E114" i="7"/>
  <c r="D112" i="10"/>
  <c r="AI87" i="12"/>
  <c r="I62" i="26"/>
  <c r="AI52" i="26"/>
  <c r="AG52" i="26"/>
  <c r="X33" i="42"/>
  <c r="Q33" i="42"/>
  <c r="T33" i="42"/>
  <c r="N37" i="42"/>
  <c r="AB8" i="17"/>
  <c r="AG47" i="18"/>
  <c r="I47" i="17"/>
  <c r="AH8" i="27"/>
  <c r="J32" i="27"/>
  <c r="U16" i="46"/>
  <c r="T112" i="12"/>
  <c r="H9" i="56"/>
  <c r="K9" i="56"/>
  <c r="I154" i="11"/>
  <c r="AO54" i="17"/>
  <c r="AH54" i="17"/>
  <c r="O33" i="14"/>
  <c r="U33" i="14" s="1"/>
  <c r="O321" i="13"/>
  <c r="U321" i="13" s="1"/>
  <c r="U23" i="14"/>
  <c r="I69" i="11"/>
  <c r="H69" i="12"/>
  <c r="L35" i="39"/>
  <c r="AG47" i="38"/>
  <c r="AI47" i="38"/>
  <c r="O21" i="22"/>
  <c r="U19" i="22"/>
  <c r="O22" i="22"/>
  <c r="U22" i="22" s="1"/>
  <c r="D10" i="56"/>
  <c r="D24" i="56" s="1"/>
  <c r="D26" i="56" s="1"/>
  <c r="AC14" i="7"/>
  <c r="D63" i="7"/>
  <c r="J23" i="18"/>
  <c r="AH25" i="18"/>
  <c r="J25" i="17"/>
  <c r="Q18" i="39"/>
  <c r="L16" i="39"/>
  <c r="H56" i="7"/>
  <c r="N56" i="7" s="1"/>
  <c r="G57" i="10"/>
  <c r="N56" i="11"/>
  <c r="S56" i="12"/>
  <c r="S53" i="12" s="1"/>
  <c r="AA25" i="18"/>
  <c r="Z25" i="17"/>
  <c r="Z23" i="18"/>
  <c r="L73" i="12"/>
  <c r="L87" i="12" s="1"/>
  <c r="AD87" i="12" s="1"/>
  <c r="L75" i="10"/>
  <c r="AD74" i="12"/>
  <c r="M125" i="22"/>
  <c r="S26" i="22"/>
  <c r="AD76" i="12"/>
  <c r="AJ76" i="12" s="1"/>
  <c r="AJ77" i="12"/>
  <c r="U32" i="18"/>
  <c r="AH36" i="10"/>
  <c r="J39" i="7"/>
  <c r="I40" i="10"/>
  <c r="J35" i="11"/>
  <c r="O19" i="43"/>
  <c r="U19" i="43" s="1"/>
  <c r="U17" i="43"/>
  <c r="J47" i="36"/>
  <c r="AH47" i="36" s="1"/>
  <c r="AH48" i="36"/>
  <c r="AG32" i="35"/>
  <c r="I37" i="35"/>
  <c r="AI32" i="35"/>
  <c r="E19" i="51"/>
  <c r="P19" i="7"/>
  <c r="E14" i="7"/>
  <c r="U133" i="22"/>
  <c r="J46" i="18"/>
  <c r="AE23" i="17"/>
  <c r="AL23" i="17"/>
  <c r="AQ23" i="17" s="1"/>
  <c r="U31" i="12"/>
  <c r="T32" i="10"/>
  <c r="T29" i="12"/>
  <c r="O73" i="41"/>
  <c r="U126" i="42"/>
  <c r="O132" i="42"/>
  <c r="U132" i="42" s="1"/>
  <c r="AF9" i="10"/>
  <c r="AF8" i="10" s="1"/>
  <c r="N8" i="10"/>
  <c r="I23" i="17"/>
  <c r="AG23" i="18"/>
  <c r="AL55" i="10"/>
  <c r="AE49" i="10"/>
  <c r="AK49" i="10" s="1"/>
  <c r="J29" i="17"/>
  <c r="AH29" i="18"/>
  <c r="AA41" i="18"/>
  <c r="Q296" i="13"/>
  <c r="T296" i="13"/>
  <c r="AG296" i="13"/>
  <c r="N299" i="13"/>
  <c r="I32" i="31"/>
  <c r="AG8" i="31"/>
  <c r="AI8" i="31"/>
  <c r="U20" i="43"/>
  <c r="U37" i="43" s="1"/>
  <c r="O37" i="43"/>
  <c r="U105" i="42"/>
  <c r="O108" i="42"/>
  <c r="AK22" i="12"/>
  <c r="U276" i="13"/>
  <c r="O281" i="13"/>
  <c r="J20" i="7"/>
  <c r="I21" i="10"/>
  <c r="AM21" i="10" s="1"/>
  <c r="S19" i="21"/>
  <c r="M20" i="21"/>
  <c r="O23" i="39"/>
  <c r="L22" i="39"/>
  <c r="Q24" i="39"/>
  <c r="O75" i="11"/>
  <c r="H76" i="10"/>
  <c r="AL76" i="10" s="1"/>
  <c r="I75" i="7"/>
  <c r="O75" i="7" s="1"/>
  <c r="U112" i="13"/>
  <c r="T37" i="12"/>
  <c r="AG32" i="36"/>
  <c r="I37" i="36"/>
  <c r="AI32" i="36"/>
  <c r="AC27" i="10"/>
  <c r="AC22" i="10" s="1"/>
  <c r="K22" i="10"/>
  <c r="F47" i="12"/>
  <c r="U42" i="13"/>
  <c r="O50" i="13"/>
  <c r="AH48" i="18"/>
  <c r="J47" i="18"/>
  <c r="J48" i="17"/>
  <c r="AI57" i="10"/>
  <c r="W23" i="47"/>
  <c r="T23" i="47"/>
  <c r="G120" i="12"/>
  <c r="S120" i="12"/>
  <c r="AH10" i="18"/>
  <c r="J10" i="17"/>
  <c r="J8" i="18"/>
  <c r="AC97" i="7"/>
  <c r="D95" i="7"/>
  <c r="I76" i="11"/>
  <c r="O76" i="11" s="1"/>
  <c r="O77" i="11"/>
  <c r="H78" i="10"/>
  <c r="I77" i="7"/>
  <c r="AL15" i="12"/>
  <c r="W72" i="10"/>
  <c r="AC72" i="10" s="1"/>
  <c r="AI72" i="10" s="1"/>
  <c r="AC71" i="12"/>
  <c r="AI71" i="12" s="1"/>
  <c r="Q18" i="19"/>
  <c r="F36" i="18"/>
  <c r="K22" i="19"/>
  <c r="Q22" i="19" s="1"/>
  <c r="F56" i="10"/>
  <c r="M55" i="11"/>
  <c r="G55" i="7"/>
  <c r="G53" i="11"/>
  <c r="AO11" i="17"/>
  <c r="AH11" i="17"/>
  <c r="T130" i="13"/>
  <c r="G38" i="12"/>
  <c r="M38" i="12"/>
  <c r="H38" i="11"/>
  <c r="AG130" i="13"/>
  <c r="Q130" i="13"/>
  <c r="AF37" i="37"/>
  <c r="H60" i="37"/>
  <c r="H61" i="37"/>
  <c r="Q61" i="40"/>
  <c r="T61" i="40"/>
  <c r="V61" i="40"/>
  <c r="I55" i="10"/>
  <c r="J54" i="7"/>
  <c r="J53" i="7" s="1"/>
  <c r="J53" i="11"/>
  <c r="U59" i="42"/>
  <c r="O70" i="42"/>
  <c r="T95" i="12"/>
  <c r="T96" i="10" s="1"/>
  <c r="AG37" i="66"/>
  <c r="P20" i="15" s="1"/>
  <c r="AI37" i="66"/>
  <c r="I61" i="66"/>
  <c r="I60" i="66"/>
  <c r="F35" i="10"/>
  <c r="G34" i="7"/>
  <c r="M34" i="7" s="1"/>
  <c r="M34" i="11"/>
  <c r="AO12" i="17"/>
  <c r="AH12" i="17"/>
  <c r="AF43" i="17"/>
  <c r="AM43" i="17"/>
  <c r="AR43" i="17" s="1"/>
  <c r="R7" i="8"/>
  <c r="R28" i="39"/>
  <c r="G30" i="8"/>
  <c r="X30" i="8" s="1"/>
  <c r="X19" i="8"/>
  <c r="H49" i="51"/>
  <c r="N49" i="51"/>
  <c r="E47" i="51"/>
  <c r="N31" i="41"/>
  <c r="L39" i="10"/>
  <c r="AD38" i="12"/>
  <c r="AJ38" i="10"/>
  <c r="AB36" i="17"/>
  <c r="Z141" i="12" s="1"/>
  <c r="AB33" i="18"/>
  <c r="AB33" i="17" s="1"/>
  <c r="S49" i="21"/>
  <c r="M50" i="21"/>
  <c r="S50" i="21" s="1"/>
  <c r="O94" i="11"/>
  <c r="S78" i="42"/>
  <c r="M99" i="42"/>
  <c r="AL33" i="12"/>
  <c r="AC22" i="17"/>
  <c r="AC20" i="26"/>
  <c r="AC32" i="26" s="1"/>
  <c r="H124" i="51"/>
  <c r="N124" i="51"/>
  <c r="F43" i="7"/>
  <c r="L43" i="7" s="1"/>
  <c r="E44" i="10"/>
  <c r="E36" i="10" s="1"/>
  <c r="L43" i="11"/>
  <c r="D29" i="10"/>
  <c r="AF37" i="27"/>
  <c r="H57" i="27"/>
  <c r="H60" i="27"/>
  <c r="H61" i="27"/>
  <c r="S198" i="13"/>
  <c r="F43" i="12"/>
  <c r="G43" i="11"/>
  <c r="R43" i="12"/>
  <c r="U254" i="13"/>
  <c r="H22" i="12"/>
  <c r="I22" i="11"/>
  <c r="U87" i="7"/>
  <c r="AG323" i="13"/>
  <c r="T323" i="13"/>
  <c r="Q323" i="13"/>
  <c r="U60" i="33"/>
  <c r="AR48" i="17"/>
  <c r="I27" i="11"/>
  <c r="AD56" i="12"/>
  <c r="AJ56" i="12" s="1"/>
  <c r="R57" i="10"/>
  <c r="AC47" i="26"/>
  <c r="AC52" i="26" s="1"/>
  <c r="AC48" i="17"/>
  <c r="AN20" i="17"/>
  <c r="AS20" i="17" s="1"/>
  <c r="AG20" i="17"/>
  <c r="S32" i="17"/>
  <c r="T181" i="13"/>
  <c r="N186" i="13"/>
  <c r="N218" i="13" s="1"/>
  <c r="AG181" i="13"/>
  <c r="Q181" i="13"/>
  <c r="L69" i="10"/>
  <c r="X73" i="42"/>
  <c r="T73" i="42"/>
  <c r="N48" i="41"/>
  <c r="Q73" i="42"/>
  <c r="I37" i="30"/>
  <c r="AG32" i="30"/>
  <c r="AI32" i="30"/>
  <c r="U108" i="22"/>
  <c r="O74" i="21"/>
  <c r="U74" i="21" s="1"/>
  <c r="T62" i="12"/>
  <c r="H62" i="12"/>
  <c r="U314" i="13"/>
  <c r="Q10" i="9"/>
  <c r="L116" i="11"/>
  <c r="U323" i="13"/>
  <c r="R47" i="14"/>
  <c r="R51" i="14" s="1"/>
  <c r="L51" i="14"/>
  <c r="Q38" i="21"/>
  <c r="T38" i="21"/>
  <c r="N30" i="51"/>
  <c r="H30" i="51"/>
  <c r="E29" i="51"/>
  <c r="N106" i="45"/>
  <c r="T102" i="45"/>
  <c r="T108" i="45" s="1"/>
  <c r="N108" i="45"/>
  <c r="N110" i="45" s="1"/>
  <c r="L30" i="12"/>
  <c r="F29" i="12"/>
  <c r="AP48" i="17"/>
  <c r="AI48" i="17"/>
  <c r="O51" i="11"/>
  <c r="H52" i="10"/>
  <c r="I51" i="7"/>
  <c r="O51" i="7" s="1"/>
  <c r="F97" i="7"/>
  <c r="L97" i="7" s="1"/>
  <c r="E95" i="10"/>
  <c r="H115" i="7"/>
  <c r="N115" i="7" s="1"/>
  <c r="Y7" i="9"/>
  <c r="G113" i="10"/>
  <c r="AK113" i="10" s="1"/>
  <c r="P29" i="66"/>
  <c r="O29" i="17"/>
  <c r="U81" i="42"/>
  <c r="O51" i="41"/>
  <c r="O98" i="42"/>
  <c r="U98" i="42" s="1"/>
  <c r="I20" i="10"/>
  <c r="J19" i="7"/>
  <c r="J14" i="11"/>
  <c r="O14" i="39"/>
  <c r="Q15" i="39"/>
  <c r="T24" i="42"/>
  <c r="X24" i="42"/>
  <c r="Q24" i="42"/>
  <c r="V21" i="22"/>
  <c r="Q21" i="22"/>
  <c r="T21" i="22"/>
  <c r="N19" i="21"/>
  <c r="AJ8" i="10"/>
  <c r="N15" i="7"/>
  <c r="K15" i="7"/>
  <c r="AI35" i="10"/>
  <c r="AG8" i="18"/>
  <c r="I32" i="18"/>
  <c r="I8" i="17"/>
  <c r="AI8" i="17" s="1"/>
  <c r="AC52" i="18"/>
  <c r="AG47" i="36"/>
  <c r="AI47" i="36"/>
  <c r="L31" i="39"/>
  <c r="F26" i="12"/>
  <c r="G26" i="11"/>
  <c r="S271" i="13"/>
  <c r="M272" i="13"/>
  <c r="H62" i="34"/>
  <c r="AF52" i="34"/>
  <c r="T13" i="41"/>
  <c r="N24" i="41"/>
  <c r="V13" i="41"/>
  <c r="Q13" i="41"/>
  <c r="AF7" i="12"/>
  <c r="AN25" i="17"/>
  <c r="AS25" i="17" s="1"/>
  <c r="AG25" i="17"/>
  <c r="AI25" i="17"/>
  <c r="O54" i="7"/>
  <c r="M22" i="7"/>
  <c r="N48" i="7"/>
  <c r="AN29" i="17"/>
  <c r="AS29" i="17" s="1"/>
  <c r="AG29" i="17"/>
  <c r="U23" i="47"/>
  <c r="T120" i="12"/>
  <c r="H120" i="12"/>
  <c r="Y93" i="10"/>
  <c r="Y128" i="10" s="1"/>
  <c r="Y151" i="10" s="1"/>
  <c r="AB32" i="27"/>
  <c r="AB37" i="27" s="1"/>
  <c r="AB60" i="27" s="1"/>
  <c r="AH13" i="31"/>
  <c r="J8" i="31"/>
  <c r="T37" i="43"/>
  <c r="AU37" i="17"/>
  <c r="E60" i="17"/>
  <c r="AU60" i="17" s="1"/>
  <c r="C114" i="7"/>
  <c r="C112" i="10"/>
  <c r="C111" i="10" s="1"/>
  <c r="N18" i="9"/>
  <c r="H7" i="12"/>
  <c r="O126" i="22"/>
  <c r="AB32" i="36"/>
  <c r="AB37" i="36" s="1"/>
  <c r="AB60" i="36" s="1"/>
  <c r="I37" i="34"/>
  <c r="AG32" i="34"/>
  <c r="AI32" i="34"/>
  <c r="J32" i="34"/>
  <c r="AH8" i="34"/>
  <c r="T44" i="18"/>
  <c r="S44" i="17"/>
  <c r="V65" i="22"/>
  <c r="T65" i="22"/>
  <c r="N49" i="21"/>
  <c r="Q65" i="22"/>
  <c r="I36" i="10"/>
  <c r="AO16" i="17"/>
  <c r="AH16" i="17"/>
  <c r="U52" i="33"/>
  <c r="I62" i="33" s="1"/>
  <c r="H16" i="10"/>
  <c r="O15" i="11"/>
  <c r="I15" i="7"/>
  <c r="P17" i="55"/>
  <c r="AI42" i="18"/>
  <c r="R42" i="18"/>
  <c r="F42" i="17"/>
  <c r="F41" i="18"/>
  <c r="F53" i="12"/>
  <c r="AK55" i="12"/>
  <c r="G53" i="12"/>
  <c r="U53" i="40"/>
  <c r="O61" i="40"/>
  <c r="U61" i="40" s="1"/>
  <c r="Q384" i="55"/>
  <c r="O397" i="55"/>
  <c r="L34" i="12"/>
  <c r="G39" i="56"/>
  <c r="J39" i="56"/>
  <c r="AP8" i="17"/>
  <c r="T48" i="43"/>
  <c r="Q48" i="43"/>
  <c r="Z48" i="43"/>
  <c r="G38" i="7"/>
  <c r="F39" i="10"/>
  <c r="M38" i="11"/>
  <c r="N19" i="12"/>
  <c r="O39" i="41"/>
  <c r="U36" i="41"/>
  <c r="I33" i="7"/>
  <c r="O33" i="7" s="1"/>
  <c r="O33" i="11"/>
  <c r="H34" i="10"/>
  <c r="AL34" i="10" s="1"/>
  <c r="L93" i="43"/>
  <c r="L92" i="43"/>
  <c r="L89" i="43"/>
  <c r="R86" i="43"/>
  <c r="R92" i="43" s="1"/>
  <c r="J20" i="17"/>
  <c r="AH20" i="18"/>
  <c r="F19" i="50"/>
  <c r="F25" i="50" s="1"/>
  <c r="F27" i="50" s="1"/>
  <c r="P29" i="7"/>
  <c r="E28" i="7"/>
  <c r="L47" i="11"/>
  <c r="F8" i="9"/>
  <c r="T157" i="46"/>
  <c r="E58" i="12"/>
  <c r="U32" i="41"/>
  <c r="O34" i="41"/>
  <c r="U34" i="41" s="1"/>
  <c r="Z92" i="11"/>
  <c r="D128" i="11"/>
  <c r="N75" i="20"/>
  <c r="V46" i="20"/>
  <c r="T46" i="20"/>
  <c r="Q46" i="20"/>
  <c r="H27" i="7"/>
  <c r="G28" i="10"/>
  <c r="AK28" i="10" s="1"/>
  <c r="H7" i="9"/>
  <c r="L7" i="9" s="1"/>
  <c r="N27" i="11"/>
  <c r="K27" i="11"/>
  <c r="L114" i="10"/>
  <c r="AD114" i="10" s="1"/>
  <c r="AD114" i="12"/>
  <c r="L111" i="12"/>
  <c r="O211" i="13"/>
  <c r="M55" i="41"/>
  <c r="S55" i="41" s="1"/>
  <c r="N126" i="51"/>
  <c r="H126" i="51"/>
  <c r="M57" i="47"/>
  <c r="L328" i="13"/>
  <c r="R272" i="13"/>
  <c r="O24" i="44"/>
  <c r="U24" i="44" s="1"/>
  <c r="U23" i="44"/>
  <c r="U71" i="42"/>
  <c r="O73" i="42"/>
  <c r="T321" i="13"/>
  <c r="AG321" i="13"/>
  <c r="Q321" i="13"/>
  <c r="O13" i="41"/>
  <c r="U7" i="41"/>
  <c r="V84" i="22"/>
  <c r="T84" i="22"/>
  <c r="Q84" i="22"/>
  <c r="Q72" i="20"/>
  <c r="P73" i="20"/>
  <c r="V72" i="20"/>
  <c r="O19" i="39"/>
  <c r="L18" i="39"/>
  <c r="Q20" i="39"/>
  <c r="H49" i="11"/>
  <c r="T281" i="13"/>
  <c r="N287" i="13"/>
  <c r="G49" i="12"/>
  <c r="AG281" i="13"/>
  <c r="Q281" i="13"/>
  <c r="T47" i="17"/>
  <c r="H57" i="30"/>
  <c r="H60" i="30"/>
  <c r="H61" i="30"/>
  <c r="AF37" i="30"/>
  <c r="N36" i="7"/>
  <c r="D116" i="10"/>
  <c r="E118" i="7"/>
  <c r="O122" i="22"/>
  <c r="O123" i="22" s="1"/>
  <c r="U120" i="22"/>
  <c r="P60" i="23"/>
  <c r="AF51" i="12"/>
  <c r="AL51" i="12" s="1"/>
  <c r="T47" i="12"/>
  <c r="T52" i="10"/>
  <c r="J32" i="29"/>
  <c r="AH8" i="29"/>
  <c r="T20" i="41"/>
  <c r="Q20" i="41"/>
  <c r="V20" i="41"/>
  <c r="S24" i="41"/>
  <c r="S73" i="21"/>
  <c r="M87" i="21"/>
  <c r="O25" i="39"/>
  <c r="L24" i="39"/>
  <c r="Q26" i="39"/>
  <c r="G112" i="7"/>
  <c r="M112" i="7" s="1"/>
  <c r="M110" i="11"/>
  <c r="F110" i="10"/>
  <c r="AJ110" i="10" s="1"/>
  <c r="AI124" i="12"/>
  <c r="I7" i="7"/>
  <c r="O8" i="7"/>
  <c r="AK16" i="10"/>
  <c r="AG32" i="33"/>
  <c r="I37" i="33"/>
  <c r="AI32" i="33"/>
  <c r="R62" i="10"/>
  <c r="AD62" i="10" s="1"/>
  <c r="AJ62" i="10" s="1"/>
  <c r="AD61" i="12"/>
  <c r="AJ61" i="12" s="1"/>
  <c r="U50" i="42"/>
  <c r="O55" i="42"/>
  <c r="V52" i="35"/>
  <c r="V60" i="35" s="1"/>
  <c r="M35" i="41"/>
  <c r="S35" i="41" s="1"/>
  <c r="S31" i="41"/>
  <c r="AC41" i="24"/>
  <c r="AC42" i="17"/>
  <c r="AA94" i="10" s="1"/>
  <c r="AA93" i="10" s="1"/>
  <c r="AA128" i="10" s="1"/>
  <c r="AA151" i="10" s="1"/>
  <c r="AN10" i="17"/>
  <c r="AS10" i="17" s="1"/>
  <c r="AG10" i="17"/>
  <c r="AI10" i="17"/>
  <c r="N123" i="11"/>
  <c r="G123" i="10"/>
  <c r="AK123" i="10" s="1"/>
  <c r="H125" i="7"/>
  <c r="N125" i="7" s="1"/>
  <c r="I60" i="25"/>
  <c r="AG37" i="25"/>
  <c r="P6" i="15" s="1"/>
  <c r="I61" i="25"/>
  <c r="AI37" i="25"/>
  <c r="U29" i="17"/>
  <c r="M57" i="10" s="1"/>
  <c r="V29" i="18"/>
  <c r="V29" i="17" s="1"/>
  <c r="N57" i="10" s="1"/>
  <c r="U31" i="47"/>
  <c r="O32" i="47"/>
  <c r="U32" i="47" s="1"/>
  <c r="O58" i="47"/>
  <c r="V132" i="22"/>
  <c r="P133" i="22"/>
  <c r="J115" i="11"/>
  <c r="AM115" i="12"/>
  <c r="AH26" i="17"/>
  <c r="AO26" i="17"/>
  <c r="AJ23" i="10"/>
  <c r="S60" i="41"/>
  <c r="M61" i="41"/>
  <c r="S61" i="41" s="1"/>
  <c r="AH52" i="28"/>
  <c r="J62" i="28"/>
  <c r="AI52" i="25"/>
  <c r="I62" i="25"/>
  <c r="AG52" i="25"/>
  <c r="G65" i="10"/>
  <c r="AK66" i="10"/>
  <c r="G93" i="11"/>
  <c r="M78" i="40"/>
  <c r="F93" i="12"/>
  <c r="S63" i="40"/>
  <c r="S78" i="40" s="1"/>
  <c r="AG211" i="13"/>
  <c r="H46" i="11"/>
  <c r="T211" i="13"/>
  <c r="Q211" i="13"/>
  <c r="M46" i="12"/>
  <c r="G46" i="12"/>
  <c r="AK8" i="10"/>
  <c r="AA16" i="46"/>
  <c r="T16" i="46"/>
  <c r="S112" i="12"/>
  <c r="N66" i="46"/>
  <c r="Q66" i="46" s="1"/>
  <c r="R16" i="44"/>
  <c r="L30" i="44"/>
  <c r="L31" i="44"/>
  <c r="L33" i="44" s="1"/>
  <c r="I52" i="36"/>
  <c r="O67" i="11"/>
  <c r="H68" i="10"/>
  <c r="AL68" i="10" s="1"/>
  <c r="I67" i="7"/>
  <c r="O67" i="7" s="1"/>
  <c r="AB52" i="25"/>
  <c r="J37" i="66"/>
  <c r="AH32" i="66"/>
  <c r="AL8" i="12"/>
  <c r="U13" i="22"/>
  <c r="O26" i="22"/>
  <c r="H57" i="35"/>
  <c r="H60" i="35"/>
  <c r="H61" i="35"/>
  <c r="AF37" i="35"/>
  <c r="H57" i="26"/>
  <c r="H60" i="26"/>
  <c r="H61" i="26"/>
  <c r="AF37" i="26"/>
  <c r="AC32" i="36"/>
  <c r="AC37" i="36" s="1"/>
  <c r="AA35" i="46"/>
  <c r="N64" i="46"/>
  <c r="T35" i="46"/>
  <c r="Q35" i="46"/>
  <c r="V15" i="10"/>
  <c r="V64" i="10" s="1"/>
  <c r="V89" i="10" s="1"/>
  <c r="V153" i="10" s="1"/>
  <c r="AB20" i="10"/>
  <c r="AB15" i="10" s="1"/>
  <c r="O108" i="11"/>
  <c r="H108" i="10"/>
  <c r="AL108" i="10" s="1"/>
  <c r="I110" i="7"/>
  <c r="O110" i="7" s="1"/>
  <c r="L78" i="40"/>
  <c r="R63" i="40"/>
  <c r="R78" i="40" s="1"/>
  <c r="F93" i="11"/>
  <c r="E93" i="12"/>
  <c r="J41" i="37"/>
  <c r="S50" i="13"/>
  <c r="M58" i="13"/>
  <c r="U13" i="19"/>
  <c r="AO17" i="17"/>
  <c r="AH17" i="17"/>
  <c r="I44" i="7"/>
  <c r="O44" i="7" s="1"/>
  <c r="H45" i="10"/>
  <c r="AL45" i="10" s="1"/>
  <c r="V52" i="33"/>
  <c r="V60" i="33" s="1"/>
  <c r="H76" i="12"/>
  <c r="N71" i="11"/>
  <c r="G72" i="10"/>
  <c r="H71" i="7"/>
  <c r="N71" i="7" s="1"/>
  <c r="AD55" i="12"/>
  <c r="AD53" i="12" s="1"/>
  <c r="R56" i="10"/>
  <c r="R53" i="12"/>
  <c r="AF47" i="17"/>
  <c r="AM47" i="17"/>
  <c r="AR47" i="17" s="1"/>
  <c r="O38" i="45"/>
  <c r="U35" i="45"/>
  <c r="L29" i="11"/>
  <c r="F29" i="7"/>
  <c r="E30" i="10"/>
  <c r="F28" i="11"/>
  <c r="X70" i="42"/>
  <c r="T70" i="42"/>
  <c r="N78" i="42"/>
  <c r="N47" i="41"/>
  <c r="Q70" i="42"/>
  <c r="J52" i="33"/>
  <c r="AH41" i="33"/>
  <c r="AF127" i="10"/>
  <c r="AF125" i="10" s="1"/>
  <c r="N125" i="10"/>
  <c r="AH8" i="28"/>
  <c r="J32" i="28"/>
  <c r="AH48" i="35"/>
  <c r="J47" i="35"/>
  <c r="W43" i="18"/>
  <c r="W43" i="17" s="1"/>
  <c r="O95" i="10" s="1"/>
  <c r="AG95" i="10" s="1"/>
  <c r="AJ43" i="18"/>
  <c r="H68" i="18"/>
  <c r="O68" i="18" s="1"/>
  <c r="L68" i="18"/>
  <c r="R68" i="18" s="1"/>
  <c r="K43" i="17"/>
  <c r="U175" i="46"/>
  <c r="AE37" i="12"/>
  <c r="C157" i="11"/>
  <c r="E28" i="12"/>
  <c r="AF27" i="12"/>
  <c r="AL27" i="12" s="1"/>
  <c r="T28" i="10"/>
  <c r="AF28" i="10" s="1"/>
  <c r="H62" i="35"/>
  <c r="AF52" i="35"/>
  <c r="AN19" i="17"/>
  <c r="AS19" i="17" s="1"/>
  <c r="AI19" i="17"/>
  <c r="AG19" i="17"/>
  <c r="U13" i="40"/>
  <c r="O43" i="40"/>
  <c r="C158" i="7"/>
  <c r="P158" i="7" s="1"/>
  <c r="P87" i="7"/>
  <c r="L120" i="11"/>
  <c r="E120" i="10"/>
  <c r="AI120" i="10" s="1"/>
  <c r="F122" i="7"/>
  <c r="L122" i="7" s="1"/>
  <c r="E23" i="56"/>
  <c r="P58" i="7"/>
  <c r="P13" i="54"/>
  <c r="L49" i="7"/>
  <c r="F47" i="7"/>
  <c r="L47" i="7" s="1"/>
  <c r="S56" i="47"/>
  <c r="G124" i="11"/>
  <c r="F124" i="12"/>
  <c r="Q9" i="21"/>
  <c r="T9" i="21"/>
  <c r="O130" i="13"/>
  <c r="U129" i="13"/>
  <c r="L60" i="11"/>
  <c r="F58" i="11"/>
  <c r="Q60" i="12"/>
  <c r="F60" i="7"/>
  <c r="E61" i="10"/>
  <c r="T105" i="10"/>
  <c r="T97" i="12"/>
  <c r="T98" i="10" s="1"/>
  <c r="L15" i="10"/>
  <c r="T8" i="17"/>
  <c r="T32" i="18"/>
  <c r="M158" i="46"/>
  <c r="O18" i="9"/>
  <c r="O32" i="9" s="1"/>
  <c r="O70" i="11"/>
  <c r="H71" i="10"/>
  <c r="I70" i="7"/>
  <c r="O70" i="7" s="1"/>
  <c r="AD120" i="12"/>
  <c r="R120" i="10"/>
  <c r="AD120" i="10" s="1"/>
  <c r="L26" i="11"/>
  <c r="F26" i="7"/>
  <c r="E27" i="10"/>
  <c r="F21" i="11"/>
  <c r="J32" i="37"/>
  <c r="N69" i="11"/>
  <c r="H68" i="11"/>
  <c r="H69" i="7"/>
  <c r="G70" i="10"/>
  <c r="K69" i="11"/>
  <c r="U13" i="42"/>
  <c r="O24" i="42"/>
  <c r="V13" i="29"/>
  <c r="U13" i="17"/>
  <c r="M41" i="10" s="1"/>
  <c r="AE41" i="10" s="1"/>
  <c r="U8" i="29"/>
  <c r="U32" i="29" s="1"/>
  <c r="U37" i="29" s="1"/>
  <c r="U60" i="29" s="1"/>
  <c r="O197" i="13"/>
  <c r="U193" i="13"/>
  <c r="J129" i="7"/>
  <c r="V16" i="9"/>
  <c r="I127" i="10"/>
  <c r="M20" i="10"/>
  <c r="AE19" i="12"/>
  <c r="AE14" i="12" s="1"/>
  <c r="M14" i="12"/>
  <c r="D32" i="9"/>
  <c r="D34" i="9"/>
  <c r="O34" i="9"/>
  <c r="AI52" i="31"/>
  <c r="I62" i="31"/>
  <c r="AG52" i="31"/>
  <c r="G29" i="9"/>
  <c r="AJ72" i="10"/>
  <c r="AB41" i="18"/>
  <c r="AB42" i="17"/>
  <c r="Z94" i="10" s="1"/>
  <c r="Z93" i="10" s="1"/>
  <c r="Z128" i="10" s="1"/>
  <c r="Z151" i="10" s="1"/>
  <c r="AD46" i="12"/>
  <c r="L47" i="10"/>
  <c r="AD47" i="10" s="1"/>
  <c r="AJ46" i="12"/>
  <c r="T36" i="22"/>
  <c r="V36" i="22"/>
  <c r="N42" i="22"/>
  <c r="Q36" i="22"/>
  <c r="R34" i="39"/>
  <c r="AC8" i="34"/>
  <c r="AC32" i="34" s="1"/>
  <c r="AC37" i="34" s="1"/>
  <c r="AC10" i="17"/>
  <c r="M112" i="10"/>
  <c r="M111" i="12"/>
  <c r="AE112" i="12"/>
  <c r="I64" i="11"/>
  <c r="I65" i="7"/>
  <c r="O65" i="11"/>
  <c r="H66" i="10"/>
  <c r="P40" i="47"/>
  <c r="W38" i="47"/>
  <c r="N43" i="51"/>
  <c r="H43" i="51"/>
  <c r="W69" i="10"/>
  <c r="W88" i="10" s="1"/>
  <c r="AC71" i="10"/>
  <c r="O40" i="10"/>
  <c r="AG40" i="10" s="1"/>
  <c r="AG39" i="12"/>
  <c r="AG35" i="12" s="1"/>
  <c r="O35" i="12"/>
  <c r="Z19" i="43"/>
  <c r="Q19" i="43"/>
  <c r="T19" i="43"/>
  <c r="AK123" i="12"/>
  <c r="L54" i="10"/>
  <c r="AD57" i="10"/>
  <c r="AJ57" i="10" s="1"/>
  <c r="AC36" i="17"/>
  <c r="AA141" i="12" s="1"/>
  <c r="AC33" i="18"/>
  <c r="T49" i="13"/>
  <c r="Q49" i="13"/>
  <c r="AG49" i="13"/>
  <c r="L21" i="12"/>
  <c r="AD26" i="12"/>
  <c r="AD21" i="12" s="1"/>
  <c r="L27" i="10"/>
  <c r="AK125" i="12"/>
  <c r="AK73" i="10"/>
  <c r="O33" i="39"/>
  <c r="L32" i="39"/>
  <c r="Q34" i="39"/>
  <c r="O175" i="46"/>
  <c r="P37" i="18"/>
  <c r="H64" i="7"/>
  <c r="N65" i="7"/>
  <c r="I62" i="24"/>
  <c r="AI52" i="24"/>
  <c r="AG52" i="24"/>
  <c r="AG32" i="24"/>
  <c r="I37" i="24"/>
  <c r="AI32" i="24"/>
  <c r="AG52" i="30"/>
  <c r="I62" i="30"/>
  <c r="AI52" i="30"/>
  <c r="R50" i="41"/>
  <c r="L56" i="41"/>
  <c r="N38" i="10"/>
  <c r="AF37" i="12"/>
  <c r="T29" i="21"/>
  <c r="Q29" i="21"/>
  <c r="I121" i="10"/>
  <c r="AM121" i="10" s="1"/>
  <c r="J123" i="7"/>
  <c r="V8" i="30"/>
  <c r="V32" i="30" s="1"/>
  <c r="V37" i="30" s="1"/>
  <c r="V60" i="30" s="1"/>
  <c r="U21" i="21"/>
  <c r="O23" i="21"/>
  <c r="U23" i="21" s="1"/>
  <c r="J52" i="34"/>
  <c r="AH41" i="34"/>
  <c r="V48" i="17"/>
  <c r="V30" i="41"/>
  <c r="T30" i="41"/>
  <c r="Q30" i="41"/>
  <c r="S48" i="10"/>
  <c r="AE52" i="10"/>
  <c r="H113" i="10"/>
  <c r="AL113" i="10" s="1"/>
  <c r="I115" i="7"/>
  <c r="O115" i="7" s="1"/>
  <c r="U8" i="21"/>
  <c r="O13" i="21"/>
  <c r="L6" i="8"/>
  <c r="K6" i="8"/>
  <c r="J32" i="35"/>
  <c r="J108" i="11"/>
  <c r="AM108" i="12"/>
  <c r="D36" i="56"/>
  <c r="AC118" i="7"/>
  <c r="Q68" i="21"/>
  <c r="T68" i="21"/>
  <c r="U20" i="47"/>
  <c r="O61" i="47"/>
  <c r="T57" i="21"/>
  <c r="N59" i="21"/>
  <c r="Q57" i="21"/>
  <c r="G68" i="7"/>
  <c r="M68" i="7" s="1"/>
  <c r="M69" i="7"/>
  <c r="AE71" i="12"/>
  <c r="AK71" i="12" s="1"/>
  <c r="M72" i="10"/>
  <c r="AE72" i="10" s="1"/>
  <c r="U97" i="13"/>
  <c r="O100" i="13"/>
  <c r="X29" i="12"/>
  <c r="X32" i="10"/>
  <c r="W45" i="47"/>
  <c r="T45" i="47"/>
  <c r="Q45" i="47"/>
  <c r="S124" i="12"/>
  <c r="N56" i="47"/>
  <c r="N57" i="47" s="1"/>
  <c r="AK52" i="10"/>
  <c r="G56" i="10"/>
  <c r="H55" i="7"/>
  <c r="N55" i="11"/>
  <c r="K55" i="11"/>
  <c r="H53" i="11"/>
  <c r="O317" i="13"/>
  <c r="AF32" i="29"/>
  <c r="H37" i="29"/>
  <c r="I118" i="10"/>
  <c r="AM118" i="10" s="1"/>
  <c r="J120" i="7"/>
  <c r="AJ8" i="18"/>
  <c r="T175" i="46"/>
  <c r="N32" i="8"/>
  <c r="N38" i="8"/>
  <c r="C32" i="8"/>
  <c r="N36" i="8"/>
  <c r="C35" i="8"/>
  <c r="C31" i="8"/>
  <c r="AJ38" i="12"/>
  <c r="T73" i="41"/>
  <c r="N77" i="41"/>
  <c r="N78" i="41" s="1"/>
  <c r="V73" i="41"/>
  <c r="Q73" i="41"/>
  <c r="AC30" i="12"/>
  <c r="AI30" i="12" s="1"/>
  <c r="K31" i="10"/>
  <c r="AC31" i="10" s="1"/>
  <c r="AI31" i="10" s="1"/>
  <c r="K29" i="12"/>
  <c r="F65" i="10"/>
  <c r="AJ66" i="10"/>
  <c r="AF37" i="24"/>
  <c r="H57" i="24"/>
  <c r="H60" i="24"/>
  <c r="H61" i="24"/>
  <c r="M8" i="10"/>
  <c r="N62" i="40"/>
  <c r="N63" i="40" s="1"/>
  <c r="U41" i="42"/>
  <c r="T93" i="12"/>
  <c r="U25" i="41"/>
  <c r="O31" i="41"/>
  <c r="U64" i="21"/>
  <c r="Q68" i="46"/>
  <c r="P72" i="46"/>
  <c r="P86" i="46" s="1"/>
  <c r="AA68" i="46"/>
  <c r="K21" i="17"/>
  <c r="K20" i="18"/>
  <c r="AC33" i="26"/>
  <c r="AC34" i="17"/>
  <c r="Q44" i="10"/>
  <c r="AC43" i="12"/>
  <c r="AI43" i="12" s="1"/>
  <c r="Q35" i="12"/>
  <c r="N154" i="11"/>
  <c r="AK154" i="12"/>
  <c r="H160" i="7"/>
  <c r="N160" i="7" s="1"/>
  <c r="V7" i="9"/>
  <c r="N61" i="51"/>
  <c r="H61" i="51"/>
  <c r="E58" i="51"/>
  <c r="E48" i="10"/>
  <c r="R124" i="10"/>
  <c r="AD124" i="10" s="1"/>
  <c r="AD124" i="12"/>
  <c r="Z16" i="43"/>
  <c r="T16" i="43"/>
  <c r="N67" i="43"/>
  <c r="Q16" i="43"/>
  <c r="P38" i="45"/>
  <c r="Q35" i="45"/>
  <c r="V35" i="45"/>
  <c r="N47" i="17"/>
  <c r="N52" i="38"/>
  <c r="H62" i="38" s="1"/>
  <c r="I37" i="37"/>
  <c r="AG32" i="37"/>
  <c r="AI32" i="37"/>
  <c r="U15" i="17"/>
  <c r="M43" i="10" s="1"/>
  <c r="AE43" i="10" s="1"/>
  <c r="AK43" i="10" s="1"/>
  <c r="V15" i="18"/>
  <c r="V15" i="17" s="1"/>
  <c r="N43" i="10" s="1"/>
  <c r="AF43" i="10" s="1"/>
  <c r="AL43" i="10" s="1"/>
  <c r="M98" i="10"/>
  <c r="AE98" i="10" s="1"/>
  <c r="AE97" i="12"/>
  <c r="AL45" i="12"/>
  <c r="D34" i="56"/>
  <c r="AC114" i="7"/>
  <c r="D113" i="7"/>
  <c r="AC113" i="7" s="1"/>
  <c r="M60" i="17"/>
  <c r="U171" i="20"/>
  <c r="O192" i="20"/>
  <c r="U192" i="20" s="1"/>
  <c r="AF70" i="12"/>
  <c r="AL70" i="12" s="1"/>
  <c r="N71" i="10"/>
  <c r="AF71" i="10" s="1"/>
  <c r="AJ120" i="12"/>
  <c r="G120" i="11"/>
  <c r="F58" i="12"/>
  <c r="AK150" i="10"/>
  <c r="U48" i="22"/>
  <c r="O37" i="21"/>
  <c r="U37" i="21" s="1"/>
  <c r="M69" i="12"/>
  <c r="G68" i="12"/>
  <c r="G87" i="12" s="1"/>
  <c r="H57" i="33"/>
  <c r="AF37" i="33"/>
  <c r="H61" i="33"/>
  <c r="H60" i="33"/>
  <c r="P13" i="17"/>
  <c r="T41" i="10" s="1"/>
  <c r="P8" i="33"/>
  <c r="AK50" i="12"/>
  <c r="N198" i="13"/>
  <c r="AG197" i="13"/>
  <c r="T197" i="13"/>
  <c r="Q197" i="13"/>
  <c r="U125" i="10"/>
  <c r="AG127" i="10"/>
  <c r="AG125" i="10" s="1"/>
  <c r="AG52" i="37"/>
  <c r="AI52" i="37"/>
  <c r="I62" i="37"/>
  <c r="G38" i="10"/>
  <c r="H37" i="7"/>
  <c r="N37" i="11"/>
  <c r="K37" i="11"/>
  <c r="L19" i="9" l="1"/>
  <c r="W33" i="18"/>
  <c r="W33" i="17" s="1"/>
  <c r="V78" i="41"/>
  <c r="T78" i="41"/>
  <c r="Q78" i="41"/>
  <c r="U123" i="22"/>
  <c r="O124" i="22"/>
  <c r="AH87" i="46"/>
  <c r="I112" i="12"/>
  <c r="J112" i="11"/>
  <c r="G93" i="12"/>
  <c r="H93" i="11"/>
  <c r="N78" i="40"/>
  <c r="V63" i="40"/>
  <c r="T63" i="40"/>
  <c r="T78" i="40" s="1"/>
  <c r="Q63" i="40"/>
  <c r="U66" i="22"/>
  <c r="O85" i="22"/>
  <c r="U85" i="22" s="1"/>
  <c r="AG218" i="13"/>
  <c r="Q218" i="13"/>
  <c r="M105" i="10"/>
  <c r="AE105" i="10" s="1"/>
  <c r="AK105" i="10" s="1"/>
  <c r="N60" i="47"/>
  <c r="H116" i="11"/>
  <c r="T57" i="47"/>
  <c r="T60" i="47" s="1"/>
  <c r="G116" i="12"/>
  <c r="N59" i="47"/>
  <c r="E31" i="8"/>
  <c r="E35" i="8"/>
  <c r="N53" i="11"/>
  <c r="H10" i="8"/>
  <c r="P60" i="18"/>
  <c r="AI71" i="10"/>
  <c r="AC69" i="10"/>
  <c r="O65" i="7"/>
  <c r="I64" i="7"/>
  <c r="K129" i="7"/>
  <c r="J127" i="7"/>
  <c r="K127" i="7" s="1"/>
  <c r="L26" i="7"/>
  <c r="F21" i="7"/>
  <c r="L21" i="7" s="1"/>
  <c r="M160" i="46"/>
  <c r="S158" i="46"/>
  <c r="L60" i="7"/>
  <c r="F58" i="7"/>
  <c r="L58" i="7" s="1"/>
  <c r="AJ124" i="12"/>
  <c r="E29" i="10"/>
  <c r="AD56" i="10"/>
  <c r="AD54" i="10" s="1"/>
  <c r="R54" i="10"/>
  <c r="S112" i="10"/>
  <c r="U55" i="42"/>
  <c r="O43" i="41"/>
  <c r="U43" i="41" s="1"/>
  <c r="O24" i="41"/>
  <c r="U13" i="41"/>
  <c r="F41" i="17"/>
  <c r="F52" i="18"/>
  <c r="AI41" i="18"/>
  <c r="C34" i="56"/>
  <c r="C33" i="56" s="1"/>
  <c r="C113" i="7"/>
  <c r="I120" i="11"/>
  <c r="AJ26" i="12"/>
  <c r="F21" i="12"/>
  <c r="Q19" i="21"/>
  <c r="T19" i="21"/>
  <c r="N20" i="21"/>
  <c r="I62" i="11"/>
  <c r="AD43" i="12"/>
  <c r="R44" i="10"/>
  <c r="R35" i="12"/>
  <c r="N38" i="11"/>
  <c r="H38" i="7"/>
  <c r="G39" i="10"/>
  <c r="K38" i="11"/>
  <c r="AH10" i="17"/>
  <c r="AO10" i="17"/>
  <c r="AH48" i="17"/>
  <c r="AO48" i="17"/>
  <c r="I49" i="11"/>
  <c r="H49" i="12"/>
  <c r="U281" i="13"/>
  <c r="O287" i="13"/>
  <c r="U287" i="13" s="1"/>
  <c r="I60" i="35"/>
  <c r="AG37" i="35"/>
  <c r="P16" i="15" s="1"/>
  <c r="I61" i="35"/>
  <c r="AI37" i="35"/>
  <c r="S125" i="22"/>
  <c r="AH23" i="18"/>
  <c r="J23" i="17"/>
  <c r="J37" i="27"/>
  <c r="AH32" i="27"/>
  <c r="E34" i="56"/>
  <c r="P22" i="54"/>
  <c r="Q22" i="54" s="1"/>
  <c r="E114" i="51"/>
  <c r="P114" i="7"/>
  <c r="H30" i="12"/>
  <c r="U70" i="13"/>
  <c r="I30" i="11"/>
  <c r="O101" i="13"/>
  <c r="U101" i="13" s="1"/>
  <c r="C128" i="10"/>
  <c r="C151" i="10" s="1"/>
  <c r="C153" i="10" s="1"/>
  <c r="M34" i="12"/>
  <c r="J37" i="32"/>
  <c r="AH32" i="32"/>
  <c r="AI37" i="38"/>
  <c r="I61" i="38"/>
  <c r="AG37" i="38"/>
  <c r="P19" i="15" s="1"/>
  <c r="I60" i="38"/>
  <c r="T158" i="46"/>
  <c r="N160" i="46"/>
  <c r="H38" i="10"/>
  <c r="O37" i="11"/>
  <c r="I37" i="7"/>
  <c r="O37" i="7" s="1"/>
  <c r="AE42" i="17"/>
  <c r="AL42" i="17"/>
  <c r="O74" i="7"/>
  <c r="I73" i="7"/>
  <c r="N110" i="11"/>
  <c r="G110" i="10"/>
  <c r="AK110" i="10" s="1"/>
  <c r="H112" i="7"/>
  <c r="K110" i="11"/>
  <c r="Q101" i="13"/>
  <c r="T101" i="13"/>
  <c r="O7" i="5" s="1"/>
  <c r="P7" i="5" s="1"/>
  <c r="AG101" i="13"/>
  <c r="T26" i="22"/>
  <c r="V26" i="22"/>
  <c r="Q26" i="22"/>
  <c r="H97" i="51"/>
  <c r="N97" i="51"/>
  <c r="AB111" i="12"/>
  <c r="AH116" i="12"/>
  <c r="W28" i="12"/>
  <c r="W63" i="12" s="1"/>
  <c r="W88" i="12" s="1"/>
  <c r="W156" i="12" s="1"/>
  <c r="W30" i="10"/>
  <c r="W29" i="10" s="1"/>
  <c r="N22" i="7"/>
  <c r="N21" i="54"/>
  <c r="L21" i="54"/>
  <c r="E21" i="54"/>
  <c r="J21" i="54"/>
  <c r="M21" i="54"/>
  <c r="F21" i="54"/>
  <c r="G21" i="54"/>
  <c r="H21" i="54"/>
  <c r="I21" i="54"/>
  <c r="K21" i="54"/>
  <c r="AC74" i="10"/>
  <c r="AI74" i="10" s="1"/>
  <c r="AI75" i="10"/>
  <c r="U35" i="46"/>
  <c r="O64" i="46"/>
  <c r="AM21" i="12"/>
  <c r="P329" i="13"/>
  <c r="AD49" i="12"/>
  <c r="L47" i="12"/>
  <c r="L50" i="10"/>
  <c r="O8" i="39"/>
  <c r="Q9" i="39"/>
  <c r="M122" i="11"/>
  <c r="F122" i="10"/>
  <c r="G124" i="7"/>
  <c r="M124" i="7" s="1"/>
  <c r="U57" i="21"/>
  <c r="O59" i="21"/>
  <c r="AL8" i="10"/>
  <c r="AB28" i="12"/>
  <c r="AH29" i="12"/>
  <c r="P37" i="48"/>
  <c r="AP36" i="17"/>
  <c r="M89" i="43"/>
  <c r="M93" i="43"/>
  <c r="S86" i="43"/>
  <c r="S92" i="43" s="1"/>
  <c r="M92" i="43"/>
  <c r="M60" i="7"/>
  <c r="G58" i="7"/>
  <c r="M58" i="7" s="1"/>
  <c r="AC8" i="17"/>
  <c r="M56" i="21"/>
  <c r="S56" i="21" s="1"/>
  <c r="O133" i="42"/>
  <c r="U133" i="42" s="1"/>
  <c r="O39" i="21"/>
  <c r="AL64" i="12"/>
  <c r="AH14" i="17"/>
  <c r="AO14" i="17"/>
  <c r="AD32" i="10"/>
  <c r="AJ32" i="10" s="1"/>
  <c r="N37" i="7"/>
  <c r="K37" i="7"/>
  <c r="K20" i="17"/>
  <c r="K32" i="18"/>
  <c r="AP21" i="17"/>
  <c r="O49" i="10"/>
  <c r="I49" i="10"/>
  <c r="J48" i="7"/>
  <c r="J47" i="7" s="1"/>
  <c r="T94" i="10"/>
  <c r="R56" i="41"/>
  <c r="L79" i="41"/>
  <c r="O64" i="11"/>
  <c r="AB52" i="18"/>
  <c r="AB52" i="17" s="1"/>
  <c r="AB41" i="17"/>
  <c r="G69" i="10"/>
  <c r="T32" i="17"/>
  <c r="Q58" i="12"/>
  <c r="Q63" i="12" s="1"/>
  <c r="Q88" i="12" s="1"/>
  <c r="AC60" i="12"/>
  <c r="Q61" i="10"/>
  <c r="G126" i="7"/>
  <c r="M126" i="7" s="1"/>
  <c r="F124" i="10"/>
  <c r="AJ124" i="10" s="1"/>
  <c r="M124" i="11"/>
  <c r="J62" i="33"/>
  <c r="AH52" i="33"/>
  <c r="L29" i="7"/>
  <c r="F28" i="7"/>
  <c r="L28" i="7" s="1"/>
  <c r="AH41" i="37"/>
  <c r="J52" i="37"/>
  <c r="U26" i="22"/>
  <c r="H46" i="7"/>
  <c r="G47" i="10"/>
  <c r="N46" i="11"/>
  <c r="K46" i="11"/>
  <c r="AK65" i="10"/>
  <c r="Q133" i="22"/>
  <c r="W46" i="18"/>
  <c r="W46" i="17" s="1"/>
  <c r="O98" i="10" s="1"/>
  <c r="AG98" i="10" s="1"/>
  <c r="K46" i="18"/>
  <c r="V133" i="22"/>
  <c r="Z128" i="11"/>
  <c r="D152" i="11"/>
  <c r="Z152" i="11" s="1"/>
  <c r="AJ42" i="17"/>
  <c r="AK42" i="17"/>
  <c r="P6" i="8"/>
  <c r="AL16" i="10"/>
  <c r="T49" i="21"/>
  <c r="U49" i="21" s="1"/>
  <c r="U46" i="21" s="1"/>
  <c r="Q49" i="21"/>
  <c r="N50" i="21"/>
  <c r="AF120" i="12"/>
  <c r="AL120" i="12" s="1"/>
  <c r="T120" i="10"/>
  <c r="AF120" i="10" s="1"/>
  <c r="T24" i="41"/>
  <c r="Q24" i="41"/>
  <c r="V24" i="41"/>
  <c r="O31" i="39"/>
  <c r="L30" i="39"/>
  <c r="Q32" i="39"/>
  <c r="AF62" i="12"/>
  <c r="AL62" i="12" s="1"/>
  <c r="T63" i="10"/>
  <c r="AF63" i="10" s="1"/>
  <c r="T48" i="41"/>
  <c r="V48" i="41"/>
  <c r="Q48" i="41"/>
  <c r="M43" i="11"/>
  <c r="G43" i="7"/>
  <c r="M43" i="7" s="1"/>
  <c r="F44" i="10"/>
  <c r="Z138" i="12"/>
  <c r="Z151" i="12" s="1"/>
  <c r="Z152" i="12" s="1"/>
  <c r="Z31" i="12"/>
  <c r="M39" i="10"/>
  <c r="AE38" i="12"/>
  <c r="AJ56" i="10"/>
  <c r="F54" i="10"/>
  <c r="AJ54" i="10" s="1"/>
  <c r="I76" i="7"/>
  <c r="O76" i="7" s="1"/>
  <c r="O77" i="7"/>
  <c r="AH47" i="18"/>
  <c r="J47" i="17"/>
  <c r="AO29" i="17"/>
  <c r="AH29" i="17"/>
  <c r="AD73" i="12"/>
  <c r="AJ73" i="12" s="1"/>
  <c r="AJ74" i="12"/>
  <c r="AC63" i="7"/>
  <c r="D88" i="7"/>
  <c r="M35" i="39"/>
  <c r="L34" i="39"/>
  <c r="Q35" i="39" s="1"/>
  <c r="Q36" i="39"/>
  <c r="O154" i="11"/>
  <c r="AL154" i="12"/>
  <c r="I160" i="7"/>
  <c r="O160" i="7" s="1"/>
  <c r="W27" i="18"/>
  <c r="W27" i="17" s="1"/>
  <c r="O27" i="10" s="1"/>
  <c r="X27" i="18"/>
  <c r="V27" i="17"/>
  <c r="N34" i="11"/>
  <c r="G35" i="10"/>
  <c r="K34" i="11"/>
  <c r="H34" i="7"/>
  <c r="W35" i="47"/>
  <c r="T35" i="47"/>
  <c r="S122" i="12"/>
  <c r="G122" i="12"/>
  <c r="H122" i="11"/>
  <c r="Q35" i="47"/>
  <c r="AM14" i="12"/>
  <c r="I63" i="12"/>
  <c r="H74" i="10"/>
  <c r="N94" i="12"/>
  <c r="AF93" i="12"/>
  <c r="G74" i="10"/>
  <c r="F18" i="54"/>
  <c r="N18" i="54"/>
  <c r="G18" i="54"/>
  <c r="H18" i="54"/>
  <c r="I18" i="54"/>
  <c r="J18" i="54"/>
  <c r="C18" i="54"/>
  <c r="O18" i="54" s="1"/>
  <c r="Q18" i="54" s="1"/>
  <c r="K18" i="54"/>
  <c r="M18" i="54"/>
  <c r="E18" i="54"/>
  <c r="D18" i="54"/>
  <c r="L18" i="54"/>
  <c r="AH32" i="30"/>
  <c r="J37" i="30"/>
  <c r="Q32" i="18"/>
  <c r="Q8" i="17"/>
  <c r="AK23" i="10"/>
  <c r="S78" i="41"/>
  <c r="W15" i="10"/>
  <c r="W64" i="10" s="1"/>
  <c r="W89" i="10" s="1"/>
  <c r="W153" i="10" s="1"/>
  <c r="AC20" i="10"/>
  <c r="AC15" i="10" s="1"/>
  <c r="N100" i="51"/>
  <c r="H100" i="51"/>
  <c r="AF123" i="12"/>
  <c r="AL123" i="12" s="1"/>
  <c r="T123" i="10"/>
  <c r="AF123" i="10" s="1"/>
  <c r="H107" i="7"/>
  <c r="N107" i="7" s="1"/>
  <c r="AJ42" i="10"/>
  <c r="J92" i="12"/>
  <c r="J128" i="12" s="1"/>
  <c r="J96" i="10"/>
  <c r="AB96" i="10" s="1"/>
  <c r="AB95" i="12"/>
  <c r="J37" i="38"/>
  <c r="AH32" i="38"/>
  <c r="AJ87" i="12"/>
  <c r="T54" i="41"/>
  <c r="Q54" i="41"/>
  <c r="V54" i="41"/>
  <c r="O92" i="22"/>
  <c r="U92" i="22" s="1"/>
  <c r="U90" i="22"/>
  <c r="L112" i="11"/>
  <c r="Q6" i="9"/>
  <c r="N97" i="11"/>
  <c r="S10" i="8"/>
  <c r="AL9" i="10"/>
  <c r="AB30" i="10"/>
  <c r="J29" i="10"/>
  <c r="J64" i="10" s="1"/>
  <c r="J89" i="10" s="1"/>
  <c r="J57" i="26"/>
  <c r="AH37" i="26"/>
  <c r="J61" i="26"/>
  <c r="J60" i="26"/>
  <c r="N61" i="7"/>
  <c r="K61" i="7"/>
  <c r="R61" i="10"/>
  <c r="AD60" i="12"/>
  <c r="R58" i="12"/>
  <c r="AB60" i="25"/>
  <c r="P47" i="38"/>
  <c r="P48" i="17"/>
  <c r="N111" i="12"/>
  <c r="AF112" i="12"/>
  <c r="N112" i="10"/>
  <c r="H60" i="12"/>
  <c r="I60" i="11"/>
  <c r="U299" i="13"/>
  <c r="O318" i="13"/>
  <c r="AH114" i="12"/>
  <c r="D111" i="12"/>
  <c r="AH111" i="12" s="1"/>
  <c r="T34" i="21"/>
  <c r="Q34" i="21"/>
  <c r="O57" i="11"/>
  <c r="H58" i="10"/>
  <c r="AL58" i="10" s="1"/>
  <c r="I11" i="8"/>
  <c r="I57" i="7"/>
  <c r="O57" i="7" s="1"/>
  <c r="N55" i="41"/>
  <c r="O75" i="20"/>
  <c r="V42" i="22"/>
  <c r="T42" i="22"/>
  <c r="Q42" i="22"/>
  <c r="D33" i="9"/>
  <c r="U197" i="13"/>
  <c r="O198" i="13"/>
  <c r="H68" i="7"/>
  <c r="N69" i="7"/>
  <c r="K69" i="7"/>
  <c r="F9" i="9"/>
  <c r="L58" i="11"/>
  <c r="AH47" i="35"/>
  <c r="J52" i="35"/>
  <c r="O7" i="7"/>
  <c r="O24" i="39"/>
  <c r="Q25" i="39"/>
  <c r="G47" i="12"/>
  <c r="Q73" i="20"/>
  <c r="V73" i="20"/>
  <c r="P74" i="20"/>
  <c r="U39" i="41"/>
  <c r="R42" i="17"/>
  <c r="J94" i="10" s="1"/>
  <c r="R41" i="18"/>
  <c r="S42" i="18"/>
  <c r="I60" i="34"/>
  <c r="AG37" i="34"/>
  <c r="P15" i="15" s="1"/>
  <c r="I61" i="34"/>
  <c r="AI37" i="34"/>
  <c r="J7" i="8"/>
  <c r="P29" i="17"/>
  <c r="P32" i="66"/>
  <c r="P37" i="66" s="1"/>
  <c r="P60" i="66" s="1"/>
  <c r="H28" i="10"/>
  <c r="AL28" i="10" s="1"/>
  <c r="I7" i="9"/>
  <c r="I27" i="7"/>
  <c r="O27" i="7" s="1"/>
  <c r="O27" i="11"/>
  <c r="AJ43" i="12"/>
  <c r="S99" i="42"/>
  <c r="M134" i="42"/>
  <c r="AK38" i="12"/>
  <c r="H77" i="10"/>
  <c r="I60" i="36"/>
  <c r="AG37" i="36"/>
  <c r="P17" i="15" s="1"/>
  <c r="I61" i="36"/>
  <c r="AI37" i="36"/>
  <c r="O22" i="39"/>
  <c r="Q23" i="39"/>
  <c r="AG32" i="31"/>
  <c r="I37" i="31"/>
  <c r="AI32" i="31"/>
  <c r="J46" i="17"/>
  <c r="AH46" i="18"/>
  <c r="L74" i="10"/>
  <c r="AD75" i="10"/>
  <c r="H68" i="12"/>
  <c r="H87" i="12" s="1"/>
  <c r="AG47" i="17"/>
  <c r="O10" i="67" s="1"/>
  <c r="Q10" i="67" s="1"/>
  <c r="AN47" i="17"/>
  <c r="AS47" i="17" s="1"/>
  <c r="AC23" i="17"/>
  <c r="AA20" i="10" s="1"/>
  <c r="AA15" i="10" s="1"/>
  <c r="AC32" i="24"/>
  <c r="AC37" i="24" s="1"/>
  <c r="T55" i="21"/>
  <c r="Q55" i="21"/>
  <c r="U15" i="10"/>
  <c r="S50" i="41"/>
  <c r="M56" i="41"/>
  <c r="S56" i="41" s="1"/>
  <c r="M51" i="14"/>
  <c r="S47" i="14"/>
  <c r="S51" i="14" s="1"/>
  <c r="H35" i="51"/>
  <c r="N35" i="51"/>
  <c r="Q47" i="17"/>
  <c r="Q52" i="18"/>
  <c r="Q52" i="17" s="1"/>
  <c r="AR23" i="17"/>
  <c r="AL37" i="12"/>
  <c r="L14" i="11"/>
  <c r="F7" i="8"/>
  <c r="F63" i="11"/>
  <c r="AF74" i="12"/>
  <c r="N73" i="12"/>
  <c r="N75" i="10"/>
  <c r="N74" i="7"/>
  <c r="H73" i="7"/>
  <c r="K74" i="7"/>
  <c r="V74" i="7"/>
  <c r="N76" i="7"/>
  <c r="K76" i="7"/>
  <c r="X87" i="11"/>
  <c r="T109" i="42"/>
  <c r="Q109" i="42"/>
  <c r="X109" i="42"/>
  <c r="N59" i="10"/>
  <c r="O35" i="47"/>
  <c r="R134" i="42"/>
  <c r="L138" i="42"/>
  <c r="L84" i="41"/>
  <c r="L136" i="42"/>
  <c r="K44" i="18"/>
  <c r="AL37" i="10"/>
  <c r="K115" i="7"/>
  <c r="AE94" i="12"/>
  <c r="AK94" i="12" s="1"/>
  <c r="M95" i="10"/>
  <c r="S94" i="12"/>
  <c r="AH52" i="30"/>
  <c r="J62" i="30"/>
  <c r="I24" i="10"/>
  <c r="J23" i="7"/>
  <c r="J21" i="7" s="1"/>
  <c r="J21" i="11"/>
  <c r="J63" i="11" s="1"/>
  <c r="D19" i="71" s="1"/>
  <c r="AC95" i="10"/>
  <c r="AD122" i="12"/>
  <c r="AJ122" i="12" s="1"/>
  <c r="R122" i="10"/>
  <c r="AD122" i="10" s="1"/>
  <c r="AI112" i="12"/>
  <c r="N26" i="12"/>
  <c r="U264" i="13"/>
  <c r="O271" i="13"/>
  <c r="J62" i="23"/>
  <c r="AH52" i="23"/>
  <c r="O52" i="38"/>
  <c r="O47" i="17"/>
  <c r="AH52" i="32"/>
  <c r="J62" i="32"/>
  <c r="AG95" i="12"/>
  <c r="O92" i="12"/>
  <c r="O128" i="12" s="1"/>
  <c r="U32" i="21"/>
  <c r="O34" i="21"/>
  <c r="U34" i="21" s="1"/>
  <c r="P8" i="9"/>
  <c r="Q114" i="11"/>
  <c r="E111" i="11"/>
  <c r="Q111" i="11" s="1"/>
  <c r="J9" i="9"/>
  <c r="I41" i="11"/>
  <c r="N41" i="12"/>
  <c r="R95" i="10"/>
  <c r="R93" i="10" s="1"/>
  <c r="R92" i="12"/>
  <c r="V85" i="22"/>
  <c r="T85" i="22"/>
  <c r="Q85" i="22"/>
  <c r="O40" i="7"/>
  <c r="Q88" i="11"/>
  <c r="J104" i="11"/>
  <c r="Q38" i="45"/>
  <c r="I104" i="12"/>
  <c r="AM104" i="12" s="1"/>
  <c r="P104" i="45"/>
  <c r="P102" i="45"/>
  <c r="V38" i="45"/>
  <c r="Q72" i="46"/>
  <c r="AA72" i="46"/>
  <c r="H57" i="29"/>
  <c r="H60" i="29"/>
  <c r="AF37" i="29"/>
  <c r="H61" i="29"/>
  <c r="N55" i="7"/>
  <c r="K55" i="7"/>
  <c r="H53" i="7"/>
  <c r="U13" i="21"/>
  <c r="O32" i="39"/>
  <c r="Q33" i="39"/>
  <c r="X29" i="9"/>
  <c r="G25" i="9"/>
  <c r="N68" i="11"/>
  <c r="K68" i="11"/>
  <c r="V47" i="41"/>
  <c r="T47" i="41"/>
  <c r="N50" i="41"/>
  <c r="Q47" i="41"/>
  <c r="H29" i="9"/>
  <c r="AK72" i="10"/>
  <c r="AI93" i="12"/>
  <c r="AG52" i="36"/>
  <c r="AI52" i="36"/>
  <c r="I62" i="36"/>
  <c r="T287" i="13"/>
  <c r="L13" i="5" s="1"/>
  <c r="M13" i="5" s="1"/>
  <c r="AG287" i="13"/>
  <c r="Q287" i="13"/>
  <c r="H46" i="12"/>
  <c r="N46" i="12"/>
  <c r="I46" i="11"/>
  <c r="U211" i="13"/>
  <c r="N27" i="7"/>
  <c r="S27" i="7"/>
  <c r="P28" i="7"/>
  <c r="P9" i="54"/>
  <c r="AF19" i="12"/>
  <c r="AF14" i="12" s="1"/>
  <c r="N20" i="10"/>
  <c r="N14" i="12"/>
  <c r="U70" i="42"/>
  <c r="O47" i="41"/>
  <c r="O78" i="42"/>
  <c r="AI36" i="18"/>
  <c r="F33" i="18"/>
  <c r="I2" i="39"/>
  <c r="I36" i="39" s="1"/>
  <c r="R36" i="18"/>
  <c r="F36" i="17"/>
  <c r="P14" i="55"/>
  <c r="AE120" i="12"/>
  <c r="S120" i="10"/>
  <c r="AE120" i="10" s="1"/>
  <c r="U50" i="13"/>
  <c r="O58" i="13"/>
  <c r="N318" i="13"/>
  <c r="G60" i="12"/>
  <c r="T299" i="13"/>
  <c r="H60" i="11"/>
  <c r="AG299" i="13"/>
  <c r="Q299" i="13"/>
  <c r="U32" i="17"/>
  <c r="AC47" i="17"/>
  <c r="I69" i="7"/>
  <c r="O69" i="11"/>
  <c r="H70" i="10"/>
  <c r="I68" i="11"/>
  <c r="O68" i="11" s="1"/>
  <c r="T123" i="22"/>
  <c r="V123" i="22"/>
  <c r="Q123" i="22"/>
  <c r="N124" i="22"/>
  <c r="I97" i="10"/>
  <c r="AM97" i="10" s="1"/>
  <c r="J99" i="7"/>
  <c r="G22" i="56"/>
  <c r="J22" i="56"/>
  <c r="AN46" i="17"/>
  <c r="AS46" i="17" s="1"/>
  <c r="AG46" i="17"/>
  <c r="N98" i="10"/>
  <c r="AF98" i="10" s="1"/>
  <c r="AF97" i="12"/>
  <c r="L19" i="7"/>
  <c r="F14" i="7"/>
  <c r="AH32" i="23"/>
  <c r="J37" i="23"/>
  <c r="N73" i="11"/>
  <c r="K73" i="11"/>
  <c r="F35" i="7"/>
  <c r="L35" i="7" s="1"/>
  <c r="AF37" i="31"/>
  <c r="H57" i="31"/>
  <c r="H60" i="31"/>
  <c r="H61" i="31"/>
  <c r="D86" i="51"/>
  <c r="J87" i="7"/>
  <c r="S16" i="44"/>
  <c r="M30" i="44"/>
  <c r="M31" i="44"/>
  <c r="M33" i="44" s="1"/>
  <c r="Y29" i="12"/>
  <c r="Y32" i="10"/>
  <c r="R319" i="13"/>
  <c r="L327" i="13"/>
  <c r="S63" i="11"/>
  <c r="S88" i="11" s="1"/>
  <c r="L325" i="13"/>
  <c r="Q116" i="10"/>
  <c r="AC116" i="12"/>
  <c r="Q111" i="12"/>
  <c r="Q128" i="12" s="1"/>
  <c r="Q152" i="12" s="1"/>
  <c r="AH52" i="66"/>
  <c r="J62" i="66"/>
  <c r="O36" i="7"/>
  <c r="I129" i="7"/>
  <c r="H127" i="10"/>
  <c r="L35" i="11"/>
  <c r="F12" i="8"/>
  <c r="J62" i="31"/>
  <c r="AH52" i="31"/>
  <c r="S27" i="10"/>
  <c r="S22" i="10" s="1"/>
  <c r="S21" i="12"/>
  <c r="L172" i="46"/>
  <c r="R160" i="46"/>
  <c r="J97" i="10"/>
  <c r="AB97" i="10" s="1"/>
  <c r="AB96" i="12"/>
  <c r="AH96" i="12" s="1"/>
  <c r="R10" i="8"/>
  <c r="M97" i="11"/>
  <c r="U107" i="22"/>
  <c r="O73" i="21"/>
  <c r="M29" i="11"/>
  <c r="G29" i="7"/>
  <c r="F30" i="10"/>
  <c r="G28" i="11"/>
  <c r="L11" i="9"/>
  <c r="K11" i="9"/>
  <c r="J52" i="38"/>
  <c r="AC35" i="17"/>
  <c r="AC33" i="25"/>
  <c r="AC37" i="25" s="1"/>
  <c r="AC20" i="17"/>
  <c r="AM60" i="10"/>
  <c r="I59" i="10"/>
  <c r="AM59" i="10" s="1"/>
  <c r="AB47" i="14"/>
  <c r="N51" i="14"/>
  <c r="T47" i="14"/>
  <c r="T51" i="14" s="1"/>
  <c r="Q47" i="14"/>
  <c r="N31" i="12"/>
  <c r="M31" i="12"/>
  <c r="AD94" i="12"/>
  <c r="T271" i="13"/>
  <c r="Q271" i="13"/>
  <c r="AG271" i="13"/>
  <c r="G26" i="12"/>
  <c r="H26" i="11"/>
  <c r="N272" i="13"/>
  <c r="AE38" i="10"/>
  <c r="N58" i="51"/>
  <c r="H58" i="51"/>
  <c r="V77" i="41"/>
  <c r="Q77" i="41"/>
  <c r="T77" i="41"/>
  <c r="G54" i="10"/>
  <c r="X28" i="12"/>
  <c r="X63" i="12" s="1"/>
  <c r="X88" i="12" s="1"/>
  <c r="X156" i="12" s="1"/>
  <c r="X30" i="10"/>
  <c r="X29" i="10" s="1"/>
  <c r="N61" i="21"/>
  <c r="T59" i="21"/>
  <c r="Q59" i="21"/>
  <c r="AE112" i="10"/>
  <c r="AP43" i="17"/>
  <c r="U7" i="8"/>
  <c r="AI43" i="17"/>
  <c r="J37" i="28"/>
  <c r="AH32" i="28"/>
  <c r="T78" i="42"/>
  <c r="X78" i="42"/>
  <c r="Q78" i="42"/>
  <c r="U38" i="45"/>
  <c r="I104" i="11"/>
  <c r="O102" i="45"/>
  <c r="O104" i="45"/>
  <c r="H104" i="12"/>
  <c r="AL104" i="12" s="1"/>
  <c r="Q6" i="8"/>
  <c r="L93" i="11"/>
  <c r="AC52" i="24"/>
  <c r="AC41" i="17"/>
  <c r="S87" i="21"/>
  <c r="M88" i="21"/>
  <c r="S88" i="21" s="1"/>
  <c r="AH32" i="29"/>
  <c r="J37" i="29"/>
  <c r="O86" i="21"/>
  <c r="U86" i="21" s="1"/>
  <c r="U122" i="22"/>
  <c r="I17" i="55"/>
  <c r="I27" i="55" s="1"/>
  <c r="D17" i="55"/>
  <c r="D27" i="55" s="1"/>
  <c r="C17" i="55"/>
  <c r="K17" i="55"/>
  <c r="K27" i="55" s="1"/>
  <c r="E17" i="55"/>
  <c r="E27" i="55" s="1"/>
  <c r="L17" i="55"/>
  <c r="L27" i="55" s="1"/>
  <c r="M17" i="55"/>
  <c r="M27" i="55" s="1"/>
  <c r="F17" i="55"/>
  <c r="F27" i="55" s="1"/>
  <c r="N17" i="55"/>
  <c r="N27" i="55" s="1"/>
  <c r="H17" i="55"/>
  <c r="H27" i="55" s="1"/>
  <c r="G17" i="55"/>
  <c r="G27" i="55" s="1"/>
  <c r="J17" i="55"/>
  <c r="J27" i="55" s="1"/>
  <c r="AH8" i="31"/>
  <c r="J32" i="31"/>
  <c r="AC52" i="17"/>
  <c r="J14" i="7"/>
  <c r="L88" i="10"/>
  <c r="O22" i="11"/>
  <c r="I22" i="7"/>
  <c r="H23" i="10"/>
  <c r="AK120" i="12"/>
  <c r="H120" i="11"/>
  <c r="T38" i="10"/>
  <c r="S20" i="21"/>
  <c r="M24" i="21"/>
  <c r="U108" i="42"/>
  <c r="O60" i="41"/>
  <c r="O109" i="42"/>
  <c r="U109" i="42" s="1"/>
  <c r="O77" i="41"/>
  <c r="U77" i="41" s="1"/>
  <c r="U73" i="41"/>
  <c r="E10" i="56"/>
  <c r="P7" i="54"/>
  <c r="P14" i="7"/>
  <c r="E63" i="7"/>
  <c r="U8" i="17"/>
  <c r="Z23" i="17"/>
  <c r="X20" i="10" s="1"/>
  <c r="O16" i="39"/>
  <c r="Q17" i="39"/>
  <c r="L9" i="56"/>
  <c r="I61" i="23"/>
  <c r="AG37" i="23"/>
  <c r="P4" i="15" s="1"/>
  <c r="I60" i="23"/>
  <c r="AI37" i="23"/>
  <c r="AG37" i="28"/>
  <c r="P9" i="15" s="1"/>
  <c r="I60" i="28"/>
  <c r="AI37" i="28"/>
  <c r="I61" i="28"/>
  <c r="J35" i="7"/>
  <c r="AG37" i="27"/>
  <c r="P8" i="15" s="1"/>
  <c r="I61" i="27"/>
  <c r="I60" i="27"/>
  <c r="AI37" i="27"/>
  <c r="AD77" i="10"/>
  <c r="AJ77" i="10" s="1"/>
  <c r="AJ78" i="10"/>
  <c r="AI20" i="10"/>
  <c r="E15" i="10"/>
  <c r="G31" i="10"/>
  <c r="H29" i="11"/>
  <c r="N30" i="11"/>
  <c r="H30" i="7"/>
  <c r="K30" i="11"/>
  <c r="AE78" i="10"/>
  <c r="M77" i="10"/>
  <c r="AE74" i="12"/>
  <c r="M73" i="12"/>
  <c r="M75" i="10"/>
  <c r="AM87" i="10"/>
  <c r="I88" i="10"/>
  <c r="K10" i="54"/>
  <c r="D10" i="54"/>
  <c r="L10" i="54"/>
  <c r="I10" i="54"/>
  <c r="H10" i="54"/>
  <c r="M10" i="54"/>
  <c r="J10" i="54"/>
  <c r="C10" i="54"/>
  <c r="E10" i="54"/>
  <c r="G10" i="54"/>
  <c r="F10" i="54"/>
  <c r="N10" i="54"/>
  <c r="Q60" i="41"/>
  <c r="T60" i="41"/>
  <c r="V60" i="41"/>
  <c r="N61" i="41"/>
  <c r="O32" i="8"/>
  <c r="O33" i="8"/>
  <c r="D32" i="8"/>
  <c r="D31" i="8"/>
  <c r="AM35" i="12"/>
  <c r="J37" i="24"/>
  <c r="AH32" i="24"/>
  <c r="D88" i="12"/>
  <c r="AC47" i="12"/>
  <c r="AI47" i="12" s="1"/>
  <c r="AI49" i="12"/>
  <c r="AH52" i="25"/>
  <c r="J62" i="25"/>
  <c r="U45" i="47"/>
  <c r="T124" i="12"/>
  <c r="O56" i="47"/>
  <c r="I20" i="7"/>
  <c r="O20" i="7" s="1"/>
  <c r="H21" i="10"/>
  <c r="AL21" i="10" s="1"/>
  <c r="M47" i="11"/>
  <c r="G8" i="9"/>
  <c r="X8" i="9" s="1"/>
  <c r="AK97" i="12"/>
  <c r="AO19" i="17"/>
  <c r="AH19" i="17"/>
  <c r="E32" i="9"/>
  <c r="E36" i="9"/>
  <c r="AJ47" i="10"/>
  <c r="AE61" i="12"/>
  <c r="AK61" i="12" s="1"/>
  <c r="S62" i="10"/>
  <c r="AE62" i="10" s="1"/>
  <c r="AK62" i="10" s="1"/>
  <c r="U65" i="22"/>
  <c r="O49" i="21"/>
  <c r="O50" i="21" s="1"/>
  <c r="AG112" i="10"/>
  <c r="O111" i="10"/>
  <c r="O60" i="18"/>
  <c r="O37" i="17"/>
  <c r="J52" i="36"/>
  <c r="AC68" i="12"/>
  <c r="AI68" i="12" s="1"/>
  <c r="H32" i="10"/>
  <c r="I31" i="7"/>
  <c r="O31" i="7" s="1"/>
  <c r="O31" i="11"/>
  <c r="AG37" i="10"/>
  <c r="O36" i="10"/>
  <c r="U37" i="42"/>
  <c r="H61" i="12"/>
  <c r="U317" i="13"/>
  <c r="I61" i="11"/>
  <c r="H34" i="12"/>
  <c r="I34" i="11"/>
  <c r="U100" i="13"/>
  <c r="AC33" i="17"/>
  <c r="Q40" i="47"/>
  <c r="U123" i="12"/>
  <c r="I123" i="12"/>
  <c r="J123" i="11"/>
  <c r="P57" i="47"/>
  <c r="W40" i="47"/>
  <c r="M15" i="10"/>
  <c r="V13" i="17"/>
  <c r="N41" i="10" s="1"/>
  <c r="AF41" i="10" s="1"/>
  <c r="AL41" i="10" s="1"/>
  <c r="V8" i="29"/>
  <c r="V32" i="29" s="1"/>
  <c r="V37" i="29" s="1"/>
  <c r="V60" i="29" s="1"/>
  <c r="J37" i="37"/>
  <c r="AH32" i="37"/>
  <c r="AL71" i="10"/>
  <c r="H38" i="12"/>
  <c r="I38" i="11"/>
  <c r="N38" i="12"/>
  <c r="U130" i="13"/>
  <c r="D13" i="54"/>
  <c r="L13" i="54"/>
  <c r="H13" i="54"/>
  <c r="E13" i="54"/>
  <c r="I13" i="54"/>
  <c r="G13" i="54"/>
  <c r="J13" i="54"/>
  <c r="N13" i="54"/>
  <c r="M13" i="54"/>
  <c r="F13" i="54"/>
  <c r="C13" i="54"/>
  <c r="K13" i="54"/>
  <c r="J57" i="66"/>
  <c r="AH37" i="66"/>
  <c r="J61" i="66"/>
  <c r="J60" i="66"/>
  <c r="E96" i="12"/>
  <c r="L34" i="44"/>
  <c r="F96" i="11"/>
  <c r="R30" i="44"/>
  <c r="R34" i="44" s="1"/>
  <c r="AJ93" i="12"/>
  <c r="AG37" i="33"/>
  <c r="P14" i="15" s="1"/>
  <c r="I61" i="33"/>
  <c r="I60" i="33"/>
  <c r="AI37" i="33"/>
  <c r="E118" i="51"/>
  <c r="P118" i="7"/>
  <c r="E36" i="56"/>
  <c r="P24" i="54"/>
  <c r="H49" i="7"/>
  <c r="H47" i="11"/>
  <c r="M49" i="12"/>
  <c r="N49" i="11"/>
  <c r="G50" i="10"/>
  <c r="K49" i="11"/>
  <c r="U73" i="42"/>
  <c r="O48" i="41"/>
  <c r="U48" i="41" s="1"/>
  <c r="F116" i="12"/>
  <c r="G116" i="11"/>
  <c r="M60" i="47"/>
  <c r="S57" i="47"/>
  <c r="S60" i="47" s="1"/>
  <c r="M59" i="47"/>
  <c r="H39" i="56"/>
  <c r="L39" i="56" s="1"/>
  <c r="K39" i="56"/>
  <c r="U44" i="18"/>
  <c r="T44" i="17"/>
  <c r="AL7" i="12"/>
  <c r="M328" i="13"/>
  <c r="S272" i="13"/>
  <c r="AG8" i="17"/>
  <c r="AN8" i="17"/>
  <c r="AS8" i="17" s="1"/>
  <c r="I15" i="10"/>
  <c r="N29" i="51"/>
  <c r="H29" i="51"/>
  <c r="E28" i="51"/>
  <c r="AL22" i="12"/>
  <c r="AD39" i="10"/>
  <c r="AJ39" i="10" s="1"/>
  <c r="K53" i="11"/>
  <c r="J10" i="8"/>
  <c r="D130" i="7"/>
  <c r="D157" i="7" s="1"/>
  <c r="AC157" i="7" s="1"/>
  <c r="AC95" i="7"/>
  <c r="D32" i="56"/>
  <c r="D38" i="56" s="1"/>
  <c r="D40" i="56" s="1"/>
  <c r="T28" i="12"/>
  <c r="T30" i="10"/>
  <c r="T29" i="10" s="1"/>
  <c r="T112" i="10"/>
  <c r="AI14" i="12"/>
  <c r="E63" i="12"/>
  <c r="Q73" i="21"/>
  <c r="T73" i="21"/>
  <c r="N87" i="21"/>
  <c r="Q7" i="54"/>
  <c r="AH32" i="33"/>
  <c r="J37" i="33"/>
  <c r="AE32" i="17"/>
  <c r="AL32" i="17"/>
  <c r="AQ32" i="17" s="1"/>
  <c r="L30" i="8"/>
  <c r="AF42" i="18"/>
  <c r="H42" i="17"/>
  <c r="AG43" i="17"/>
  <c r="AN43" i="17"/>
  <c r="AS43" i="17" s="1"/>
  <c r="S7" i="8"/>
  <c r="AH15" i="10"/>
  <c r="D64" i="10"/>
  <c r="E128" i="11"/>
  <c r="Q92" i="11"/>
  <c r="M30" i="12"/>
  <c r="G29" i="12"/>
  <c r="AF77" i="12"/>
  <c r="N76" i="12"/>
  <c r="N78" i="10"/>
  <c r="G42" i="10"/>
  <c r="H41" i="7"/>
  <c r="N41" i="11"/>
  <c r="K41" i="11"/>
  <c r="M87" i="11"/>
  <c r="U87" i="11"/>
  <c r="I20" i="56"/>
  <c r="F20" i="56"/>
  <c r="I60" i="32"/>
  <c r="AI37" i="32"/>
  <c r="I61" i="32"/>
  <c r="AG37" i="32"/>
  <c r="P13" i="15" s="1"/>
  <c r="AB48" i="10"/>
  <c r="AH48" i="10" s="1"/>
  <c r="AH50" i="10"/>
  <c r="AM39" i="12"/>
  <c r="AC50" i="10"/>
  <c r="K48" i="10"/>
  <c r="G11" i="54"/>
  <c r="H11" i="54"/>
  <c r="I11" i="54"/>
  <c r="J11" i="54"/>
  <c r="C11" i="54"/>
  <c r="K11" i="54"/>
  <c r="D11" i="54"/>
  <c r="L11" i="54"/>
  <c r="E11" i="54"/>
  <c r="F11" i="54"/>
  <c r="M11" i="54"/>
  <c r="N11" i="54"/>
  <c r="AI52" i="35"/>
  <c r="I62" i="35"/>
  <c r="AG52" i="35"/>
  <c r="N35" i="21"/>
  <c r="T31" i="21"/>
  <c r="Q31" i="21"/>
  <c r="N7" i="7"/>
  <c r="K7" i="7"/>
  <c r="F48" i="10"/>
  <c r="O71" i="11"/>
  <c r="H72" i="10"/>
  <c r="I71" i="7"/>
  <c r="O71" i="7" s="1"/>
  <c r="H87" i="11"/>
  <c r="N87" i="11" s="1"/>
  <c r="H110" i="12"/>
  <c r="AL110" i="12" s="1"/>
  <c r="I110" i="11"/>
  <c r="U87" i="45"/>
  <c r="P157" i="46"/>
  <c r="U114" i="12"/>
  <c r="AA144" i="46"/>
  <c r="AH43" i="18"/>
  <c r="J43" i="17"/>
  <c r="K33" i="17"/>
  <c r="H26" i="51"/>
  <c r="N26" i="51"/>
  <c r="E21" i="51"/>
  <c r="G9" i="9"/>
  <c r="X9" i="9" s="1"/>
  <c r="M58" i="11"/>
  <c r="J37" i="36"/>
  <c r="AH32" i="36"/>
  <c r="AL46" i="10"/>
  <c r="AF50" i="12"/>
  <c r="AL50" i="12" s="1"/>
  <c r="N51" i="10"/>
  <c r="AF51" i="10" s="1"/>
  <c r="AK41" i="10"/>
  <c r="O48" i="7"/>
  <c r="K27" i="7"/>
  <c r="P325" i="13"/>
  <c r="P327" i="13"/>
  <c r="AF319" i="13"/>
  <c r="M21" i="12"/>
  <c r="M27" i="10"/>
  <c r="AE26" i="12"/>
  <c r="AE21" i="12" s="1"/>
  <c r="W8" i="17"/>
  <c r="W32" i="18"/>
  <c r="G43" i="12"/>
  <c r="T198" i="13"/>
  <c r="H43" i="11"/>
  <c r="Q198" i="13"/>
  <c r="S43" i="12"/>
  <c r="AG198" i="13"/>
  <c r="M120" i="11"/>
  <c r="F120" i="10"/>
  <c r="AJ120" i="10" s="1"/>
  <c r="G122" i="7"/>
  <c r="M122" i="7" s="1"/>
  <c r="Z67" i="43"/>
  <c r="T67" i="43"/>
  <c r="N86" i="43"/>
  <c r="Q67" i="43"/>
  <c r="AC44" i="10"/>
  <c r="AI44" i="10" s="1"/>
  <c r="Q36" i="10"/>
  <c r="T62" i="40"/>
  <c r="V62" i="40"/>
  <c r="Q62" i="40"/>
  <c r="D33" i="56"/>
  <c r="AG37" i="37"/>
  <c r="P18" i="15" s="1"/>
  <c r="I60" i="37"/>
  <c r="I61" i="37"/>
  <c r="AI37" i="37"/>
  <c r="AJ65" i="10"/>
  <c r="F88" i="10"/>
  <c r="H124" i="11"/>
  <c r="G124" i="12"/>
  <c r="W56" i="47"/>
  <c r="T56" i="47"/>
  <c r="Q56" i="47"/>
  <c r="J110" i="7"/>
  <c r="I108" i="10"/>
  <c r="AM108" i="10" s="1"/>
  <c r="AH52" i="34"/>
  <c r="J62" i="34"/>
  <c r="N64" i="7"/>
  <c r="H87" i="7"/>
  <c r="AA31" i="12"/>
  <c r="AA138" i="12"/>
  <c r="AA151" i="12" s="1"/>
  <c r="AA152" i="12" s="1"/>
  <c r="H65" i="10"/>
  <c r="AL66" i="10"/>
  <c r="AM127" i="10"/>
  <c r="I125" i="10"/>
  <c r="AM125" i="10" s="1"/>
  <c r="U24" i="42"/>
  <c r="L21" i="11"/>
  <c r="F6" i="9"/>
  <c r="F18" i="9" s="1"/>
  <c r="U43" i="40"/>
  <c r="T64" i="46"/>
  <c r="Q64" i="46"/>
  <c r="AA64" i="46"/>
  <c r="M47" i="10"/>
  <c r="AE47" i="10" s="1"/>
  <c r="AE46" i="12"/>
  <c r="AK46" i="12" s="1"/>
  <c r="N54" i="10"/>
  <c r="M79" i="41"/>
  <c r="T48" i="10"/>
  <c r="AF52" i="10"/>
  <c r="AL52" i="10" s="1"/>
  <c r="AK37" i="12"/>
  <c r="M38" i="7"/>
  <c r="AJ53" i="12"/>
  <c r="N36" i="9"/>
  <c r="N32" i="9"/>
  <c r="C39" i="9"/>
  <c r="C37" i="9"/>
  <c r="N33" i="9"/>
  <c r="C33" i="9"/>
  <c r="AG32" i="18"/>
  <c r="I32" i="17"/>
  <c r="AI95" i="10"/>
  <c r="F28" i="12"/>
  <c r="E116" i="10"/>
  <c r="F118" i="7"/>
  <c r="L118" i="7" s="1"/>
  <c r="I61" i="30"/>
  <c r="I60" i="30"/>
  <c r="AG37" i="30"/>
  <c r="P11" i="15" s="1"/>
  <c r="AI37" i="30"/>
  <c r="Q31" i="41"/>
  <c r="V31" i="41"/>
  <c r="N35" i="41"/>
  <c r="N79" i="41" s="1"/>
  <c r="T31" i="41"/>
  <c r="G97" i="7"/>
  <c r="M97" i="7" s="1"/>
  <c r="F95" i="10"/>
  <c r="K53" i="7"/>
  <c r="G10" i="8"/>
  <c r="X10" i="8" s="1"/>
  <c r="M53" i="11"/>
  <c r="H19" i="51"/>
  <c r="N19" i="51"/>
  <c r="E14" i="51"/>
  <c r="J12" i="8"/>
  <c r="AB25" i="18"/>
  <c r="AA25" i="17"/>
  <c r="AA23" i="18"/>
  <c r="AH25" i="17"/>
  <c r="AO25" i="17"/>
  <c r="O19" i="21"/>
  <c r="U21" i="22"/>
  <c r="T37" i="42"/>
  <c r="X37" i="42"/>
  <c r="Q37" i="42"/>
  <c r="O157" i="46"/>
  <c r="U117" i="46"/>
  <c r="T114" i="12"/>
  <c r="T114" i="10" s="1"/>
  <c r="L329" i="13"/>
  <c r="AI21" i="12"/>
  <c r="N35" i="8"/>
  <c r="N31" i="8"/>
  <c r="S86" i="46"/>
  <c r="F112" i="12"/>
  <c r="G112" i="11"/>
  <c r="K160" i="7"/>
  <c r="T55" i="12"/>
  <c r="H55" i="12"/>
  <c r="I55" i="11"/>
  <c r="O243" i="13"/>
  <c r="U243" i="13" s="1"/>
  <c r="U228" i="13"/>
  <c r="M114" i="10"/>
  <c r="AE114" i="10" s="1"/>
  <c r="AE114" i="12"/>
  <c r="V43" i="41"/>
  <c r="Q43" i="41"/>
  <c r="T43" i="41"/>
  <c r="AH20" i="10"/>
  <c r="AF32" i="17"/>
  <c r="AM32" i="17"/>
  <c r="AR32" i="17" s="1"/>
  <c r="N50" i="7"/>
  <c r="K50" i="7"/>
  <c r="N62" i="11"/>
  <c r="G63" i="10"/>
  <c r="AK63" i="10" s="1"/>
  <c r="H62" i="7"/>
  <c r="N62" i="7" s="1"/>
  <c r="H10" i="9"/>
  <c r="L10" i="9" s="1"/>
  <c r="AE76" i="12"/>
  <c r="AK76" i="12" s="1"/>
  <c r="AK77" i="12"/>
  <c r="AE41" i="12"/>
  <c r="AK41" i="12" s="1"/>
  <c r="M42" i="10"/>
  <c r="AE42" i="10" s="1"/>
  <c r="AC35" i="12"/>
  <c r="AI35" i="12" s="1"/>
  <c r="N114" i="10"/>
  <c r="AC31" i="12"/>
  <c r="AI31" i="12" s="1"/>
  <c r="K32" i="10"/>
  <c r="AC32" i="10" s="1"/>
  <c r="AI32" i="10" s="1"/>
  <c r="S186" i="13"/>
  <c r="L39" i="12"/>
  <c r="G39" i="11"/>
  <c r="F39" i="12"/>
  <c r="M218" i="13"/>
  <c r="S218" i="13" s="1"/>
  <c r="AG75" i="10"/>
  <c r="O74" i="10"/>
  <c r="O88" i="10" s="1"/>
  <c r="U181" i="13"/>
  <c r="O186" i="13"/>
  <c r="I21" i="56"/>
  <c r="F21" i="56"/>
  <c r="O78" i="41"/>
  <c r="U78" i="41" s="1"/>
  <c r="U64" i="41"/>
  <c r="M49" i="7"/>
  <c r="G47" i="7"/>
  <c r="M47" i="7" s="1"/>
  <c r="L87" i="7"/>
  <c r="F158" i="7"/>
  <c r="L158" i="7" s="1"/>
  <c r="AF71" i="12"/>
  <c r="AL71" i="12" s="1"/>
  <c r="N72" i="10"/>
  <c r="AF72" i="10" s="1"/>
  <c r="O42" i="22"/>
  <c r="U42" i="22" s="1"/>
  <c r="U36" i="22"/>
  <c r="AH52" i="26"/>
  <c r="J62" i="26"/>
  <c r="J62" i="24"/>
  <c r="AH52" i="24"/>
  <c r="T86" i="21"/>
  <c r="Q86" i="21"/>
  <c r="E11" i="56"/>
  <c r="P8" i="54"/>
  <c r="Q8" i="54" s="1"/>
  <c r="P21" i="7"/>
  <c r="AF49" i="10"/>
  <c r="K7" i="9"/>
  <c r="V92" i="22"/>
  <c r="T92" i="22"/>
  <c r="Q92" i="22"/>
  <c r="L89" i="21"/>
  <c r="N31" i="7"/>
  <c r="K31" i="7"/>
  <c r="U10" i="44"/>
  <c r="T96" i="12"/>
  <c r="T97" i="10" s="1"/>
  <c r="O12" i="44"/>
  <c r="V8" i="18"/>
  <c r="T27" i="10"/>
  <c r="T22" i="10" s="1"/>
  <c r="T21" i="12"/>
  <c r="I13" i="56"/>
  <c r="E12" i="56"/>
  <c r="I12" i="56" s="1"/>
  <c r="T56" i="12"/>
  <c r="I56" i="7"/>
  <c r="O56" i="7" s="1"/>
  <c r="O56" i="11"/>
  <c r="H57" i="10"/>
  <c r="N99" i="42"/>
  <c r="G19" i="12"/>
  <c r="T58" i="13"/>
  <c r="L6" i="5" s="1"/>
  <c r="M6" i="5" s="1"/>
  <c r="H19" i="11"/>
  <c r="N59" i="13"/>
  <c r="AG58" i="13"/>
  <c r="Q58" i="13"/>
  <c r="P32" i="33"/>
  <c r="P8" i="17"/>
  <c r="M68" i="12"/>
  <c r="M87" i="12" s="1"/>
  <c r="AE87" i="12" s="1"/>
  <c r="AK87" i="12" s="1"/>
  <c r="AE69" i="12"/>
  <c r="M70" i="10"/>
  <c r="N69" i="12"/>
  <c r="N52" i="17"/>
  <c r="N60" i="17" s="1"/>
  <c r="N60" i="38"/>
  <c r="O35" i="41"/>
  <c r="U35" i="41" s="1"/>
  <c r="U31" i="41"/>
  <c r="AC29" i="12"/>
  <c r="K30" i="10"/>
  <c r="K28" i="12"/>
  <c r="K63" i="12" s="1"/>
  <c r="K88" i="12" s="1"/>
  <c r="N37" i="8"/>
  <c r="S124" i="10"/>
  <c r="AE124" i="10" s="1"/>
  <c r="AE124" i="12"/>
  <c r="J37" i="35"/>
  <c r="AH32" i="35"/>
  <c r="AF38" i="10"/>
  <c r="I60" i="24"/>
  <c r="AG37" i="24"/>
  <c r="P5" i="15" s="1"/>
  <c r="I61" i="24"/>
  <c r="AI37" i="24"/>
  <c r="AD27" i="10"/>
  <c r="AD22" i="10" s="1"/>
  <c r="L22" i="10"/>
  <c r="AI27" i="10"/>
  <c r="E22" i="10"/>
  <c r="AI22" i="10" s="1"/>
  <c r="E59" i="10"/>
  <c r="I23" i="56"/>
  <c r="F23" i="56"/>
  <c r="L28" i="11"/>
  <c r="F9" i="8"/>
  <c r="G19" i="11"/>
  <c r="S58" i="13"/>
  <c r="F19" i="12"/>
  <c r="M59" i="13"/>
  <c r="T62" i="11"/>
  <c r="T66" i="46"/>
  <c r="AA66" i="46"/>
  <c r="N86" i="46"/>
  <c r="R6" i="8"/>
  <c r="M93" i="11"/>
  <c r="M54" i="10"/>
  <c r="AE57" i="10"/>
  <c r="AK57" i="10" s="1"/>
  <c r="O18" i="39"/>
  <c r="Q19" i="39"/>
  <c r="T75" i="20"/>
  <c r="I42" i="18"/>
  <c r="N117" i="20"/>
  <c r="AO20" i="17"/>
  <c r="AH20" i="17"/>
  <c r="AD34" i="12"/>
  <c r="AJ34" i="12" s="1"/>
  <c r="L35" i="10"/>
  <c r="AD35" i="10" s="1"/>
  <c r="AJ35" i="10" s="1"/>
  <c r="AJ55" i="12"/>
  <c r="O15" i="7"/>
  <c r="AH32" i="34"/>
  <c r="J37" i="34"/>
  <c r="G26" i="7"/>
  <c r="F27" i="10"/>
  <c r="M26" i="11"/>
  <c r="G21" i="11"/>
  <c r="U51" i="41"/>
  <c r="AD30" i="12"/>
  <c r="AJ30" i="12" s="1"/>
  <c r="L31" i="10"/>
  <c r="AD31" i="10" s="1"/>
  <c r="AJ31" i="10" s="1"/>
  <c r="L29" i="12"/>
  <c r="M39" i="12"/>
  <c r="M35" i="12" s="1"/>
  <c r="G39" i="12"/>
  <c r="H39" i="11"/>
  <c r="T186" i="13"/>
  <c r="AG186" i="13"/>
  <c r="Q186" i="13"/>
  <c r="AC37" i="26"/>
  <c r="N47" i="51"/>
  <c r="H47" i="51"/>
  <c r="AM55" i="10"/>
  <c r="I54" i="10"/>
  <c r="AM54" i="10" s="1"/>
  <c r="M55" i="7"/>
  <c r="G53" i="7"/>
  <c r="M53" i="7" s="1"/>
  <c r="AH8" i="18"/>
  <c r="AH32" i="18" s="1"/>
  <c r="J32" i="18"/>
  <c r="J8" i="17"/>
  <c r="AA41" i="17"/>
  <c r="AA52" i="18"/>
  <c r="AA52" i="17" s="1"/>
  <c r="AN23" i="17"/>
  <c r="AS23" i="17" s="1"/>
  <c r="AG23" i="17"/>
  <c r="AI23" i="17"/>
  <c r="U32" i="10"/>
  <c r="U29" i="12"/>
  <c r="O31" i="12"/>
  <c r="AM40" i="10"/>
  <c r="AE56" i="12"/>
  <c r="AK56" i="12" s="1"/>
  <c r="S57" i="10"/>
  <c r="AH112" i="10"/>
  <c r="L111" i="10"/>
  <c r="C130" i="7"/>
  <c r="C32" i="56"/>
  <c r="C38" i="56" s="1"/>
  <c r="C40" i="56" s="1"/>
  <c r="C41" i="56" s="1"/>
  <c r="S54" i="10"/>
  <c r="AE56" i="10"/>
  <c r="AE54" i="10" s="1"/>
  <c r="L105" i="10"/>
  <c r="AD105" i="10" s="1"/>
  <c r="AJ105" i="10" s="1"/>
  <c r="O218" i="13"/>
  <c r="U218" i="13" s="1"/>
  <c r="U54" i="21"/>
  <c r="O55" i="21"/>
  <c r="U55" i="21" s="1"/>
  <c r="E98" i="7"/>
  <c r="D96" i="10"/>
  <c r="AH96" i="10" s="1"/>
  <c r="O62" i="40"/>
  <c r="U62" i="40" s="1"/>
  <c r="AC40" i="10"/>
  <c r="AC36" i="10" s="1"/>
  <c r="AI36" i="10" s="1"/>
  <c r="K36" i="10"/>
  <c r="AB116" i="10"/>
  <c r="AB111" i="10" s="1"/>
  <c r="P111" i="10"/>
  <c r="P128" i="10" s="1"/>
  <c r="P151" i="10" s="1"/>
  <c r="I37" i="29"/>
  <c r="AG32" i="29"/>
  <c r="AI32" i="29"/>
  <c r="J61" i="25"/>
  <c r="J57" i="25"/>
  <c r="J60" i="25"/>
  <c r="AH37" i="25"/>
  <c r="O123" i="11"/>
  <c r="H123" i="10"/>
  <c r="AL123" i="10" s="1"/>
  <c r="I125" i="7"/>
  <c r="O125" i="7" s="1"/>
  <c r="D128" i="12"/>
  <c r="O29" i="39"/>
  <c r="L28" i="39"/>
  <c r="Q30" i="39"/>
  <c r="Z88" i="11"/>
  <c r="D157" i="11"/>
  <c r="Z157" i="11" s="1"/>
  <c r="U26" i="21"/>
  <c r="O31" i="21"/>
  <c r="AR8" i="17"/>
  <c r="Q215" i="55"/>
  <c r="O228" i="55"/>
  <c r="Q228" i="55" s="1"/>
  <c r="N56" i="41"/>
  <c r="AB59" i="10"/>
  <c r="AH59" i="10" s="1"/>
  <c r="AH62" i="10"/>
  <c r="AG141" i="12"/>
  <c r="AG138" i="12" s="1"/>
  <c r="AG151" i="12" s="1"/>
  <c r="O138" i="12"/>
  <c r="O151" i="12" s="1"/>
  <c r="V12" i="44"/>
  <c r="N16" i="44"/>
  <c r="T12" i="44"/>
  <c r="Q12" i="44"/>
  <c r="F59" i="10"/>
  <c r="H51" i="10"/>
  <c r="AL51" i="10" s="1"/>
  <c r="O50" i="11"/>
  <c r="I50" i="7"/>
  <c r="O50" i="7" s="1"/>
  <c r="O67" i="43"/>
  <c r="U16" i="43"/>
  <c r="M64" i="7"/>
  <c r="G87" i="7"/>
  <c r="U97" i="42"/>
  <c r="O54" i="41"/>
  <c r="U54" i="41" s="1"/>
  <c r="D97" i="10"/>
  <c r="AH97" i="10" s="1"/>
  <c r="E99" i="7"/>
  <c r="O45" i="14"/>
  <c r="J14" i="56"/>
  <c r="G14" i="56"/>
  <c r="F13" i="56"/>
  <c r="U47" i="17"/>
  <c r="J9" i="71" l="1"/>
  <c r="D21" i="71"/>
  <c r="G19" i="71"/>
  <c r="P153" i="10"/>
  <c r="T79" i="41"/>
  <c r="T83" i="41" s="1"/>
  <c r="N83" i="41"/>
  <c r="G95" i="12"/>
  <c r="H95" i="11"/>
  <c r="V79" i="41"/>
  <c r="Q79" i="41"/>
  <c r="Q83" i="41" s="1"/>
  <c r="J88" i="11"/>
  <c r="X63" i="11"/>
  <c r="Q156" i="12"/>
  <c r="P98" i="7"/>
  <c r="E98" i="51"/>
  <c r="P19" i="54"/>
  <c r="O55" i="41"/>
  <c r="U55" i="41" s="1"/>
  <c r="S59" i="13"/>
  <c r="M319" i="13"/>
  <c r="M324" i="13"/>
  <c r="AM75" i="10"/>
  <c r="AG74" i="10"/>
  <c r="AF114" i="10"/>
  <c r="I55" i="7"/>
  <c r="H56" i="10"/>
  <c r="O55" i="11"/>
  <c r="I53" i="11"/>
  <c r="C33" i="8"/>
  <c r="N33" i="8"/>
  <c r="AB25" i="17"/>
  <c r="AB23" i="18"/>
  <c r="AN32" i="17"/>
  <c r="AS32" i="17" s="1"/>
  <c r="AG32" i="17"/>
  <c r="AH116" i="10"/>
  <c r="H158" i="7"/>
  <c r="N87" i="7"/>
  <c r="G20" i="56"/>
  <c r="J20" i="56"/>
  <c r="N77" i="10"/>
  <c r="AF78" i="10"/>
  <c r="D89" i="10"/>
  <c r="J60" i="33"/>
  <c r="AH37" i="33"/>
  <c r="J57" i="33"/>
  <c r="F36" i="56"/>
  <c r="I36" i="56"/>
  <c r="O38" i="11"/>
  <c r="I38" i="7"/>
  <c r="H39" i="10"/>
  <c r="AG36" i="10"/>
  <c r="AM36" i="10" s="1"/>
  <c r="AM37" i="10"/>
  <c r="AE73" i="12"/>
  <c r="AK73" i="12" s="1"/>
  <c r="AK74" i="12"/>
  <c r="AI15" i="10"/>
  <c r="E64" i="10"/>
  <c r="N120" i="11"/>
  <c r="G120" i="10"/>
  <c r="AK120" i="10" s="1"/>
  <c r="H122" i="7"/>
  <c r="N122" i="7" s="1"/>
  <c r="J63" i="7"/>
  <c r="C19" i="71" s="1"/>
  <c r="O104" i="11"/>
  <c r="H105" i="10"/>
  <c r="I107" i="7"/>
  <c r="O107" i="7" s="1"/>
  <c r="J97" i="7"/>
  <c r="I95" i="10"/>
  <c r="AM95" i="10" s="1"/>
  <c r="V7" i="8"/>
  <c r="AJ94" i="12"/>
  <c r="L86" i="51"/>
  <c r="M86" i="51"/>
  <c r="N86" i="51"/>
  <c r="D87" i="51"/>
  <c r="AH37" i="23"/>
  <c r="J60" i="23"/>
  <c r="J61" i="23"/>
  <c r="J57" i="23"/>
  <c r="J9" i="54"/>
  <c r="J15" i="54" s="1"/>
  <c r="L9" i="54"/>
  <c r="L15" i="54" s="1"/>
  <c r="G9" i="54"/>
  <c r="G15" i="54" s="1"/>
  <c r="H9" i="54"/>
  <c r="H15" i="54" s="1"/>
  <c r="F9" i="54"/>
  <c r="F15" i="54" s="1"/>
  <c r="E9" i="54"/>
  <c r="E15" i="54" s="1"/>
  <c r="D9" i="54"/>
  <c r="D15" i="54" s="1"/>
  <c r="N9" i="54"/>
  <c r="N15" i="54" s="1"/>
  <c r="I9" i="54"/>
  <c r="I15" i="54" s="1"/>
  <c r="C9" i="54"/>
  <c r="M9" i="54"/>
  <c r="M15" i="54" s="1"/>
  <c r="K9" i="54"/>
  <c r="K15" i="54" s="1"/>
  <c r="AF41" i="12"/>
  <c r="AL41" i="12" s="1"/>
  <c r="N42" i="10"/>
  <c r="AF42" i="10" s="1"/>
  <c r="H69" i="18"/>
  <c r="O69" i="18" s="1"/>
  <c r="L69" i="18"/>
  <c r="R69" i="18" s="1"/>
  <c r="W44" i="18"/>
  <c r="W44" i="17" s="1"/>
  <c r="O96" i="10" s="1"/>
  <c r="AG96" i="10" s="1"/>
  <c r="K44" i="17"/>
  <c r="L63" i="11"/>
  <c r="F88" i="11"/>
  <c r="N68" i="7"/>
  <c r="K68" i="7"/>
  <c r="E112" i="10"/>
  <c r="F114" i="7"/>
  <c r="AE122" i="12"/>
  <c r="S122" i="10"/>
  <c r="AE122" i="10" s="1"/>
  <c r="O30" i="39"/>
  <c r="Q31" i="39"/>
  <c r="T50" i="21"/>
  <c r="U50" i="21" s="1"/>
  <c r="Q50" i="21"/>
  <c r="N56" i="21"/>
  <c r="AC58" i="12"/>
  <c r="AI58" i="12" s="1"/>
  <c r="AI60" i="12"/>
  <c r="I87" i="11"/>
  <c r="O87" i="11" s="1"/>
  <c r="AL38" i="10"/>
  <c r="N30" i="12"/>
  <c r="H29" i="12"/>
  <c r="J57" i="27"/>
  <c r="J61" i="27"/>
  <c r="J60" i="27"/>
  <c r="AH37" i="27"/>
  <c r="AD44" i="10"/>
  <c r="R36" i="10"/>
  <c r="N116" i="11"/>
  <c r="S10" i="9"/>
  <c r="AK93" i="12"/>
  <c r="T56" i="41"/>
  <c r="V56" i="41"/>
  <c r="Q56" i="41"/>
  <c r="U30" i="10"/>
  <c r="U29" i="10" s="1"/>
  <c r="U64" i="10" s="1"/>
  <c r="U89" i="10" s="1"/>
  <c r="U28" i="12"/>
  <c r="U63" i="12" s="1"/>
  <c r="U88" i="12" s="1"/>
  <c r="P20" i="54"/>
  <c r="E99" i="51"/>
  <c r="P99" i="7"/>
  <c r="O28" i="39"/>
  <c r="Q29" i="39"/>
  <c r="AG42" i="18"/>
  <c r="I42" i="17"/>
  <c r="AJ19" i="12"/>
  <c r="F14" i="12"/>
  <c r="V32" i="18"/>
  <c r="V8" i="17"/>
  <c r="F11" i="56"/>
  <c r="I11" i="56"/>
  <c r="AF114" i="12"/>
  <c r="H53" i="12"/>
  <c r="C38" i="9"/>
  <c r="C34" i="9"/>
  <c r="N34" i="9"/>
  <c r="AE43" i="12"/>
  <c r="S44" i="10"/>
  <c r="S35" i="12"/>
  <c r="O110" i="11"/>
  <c r="H110" i="10"/>
  <c r="AL110" i="10" s="1"/>
  <c r="I112" i="7"/>
  <c r="O112" i="7" s="1"/>
  <c r="O11" i="54"/>
  <c r="Q11" i="54" s="1"/>
  <c r="H35" i="10"/>
  <c r="O34" i="11"/>
  <c r="I34" i="7"/>
  <c r="O34" i="7" s="1"/>
  <c r="X15" i="10"/>
  <c r="X64" i="10" s="1"/>
  <c r="X89" i="10" s="1"/>
  <c r="X153" i="10" s="1"/>
  <c r="AD20" i="10"/>
  <c r="AD15" i="10" s="1"/>
  <c r="AK54" i="10"/>
  <c r="M32" i="10"/>
  <c r="AE32" i="10" s="1"/>
  <c r="AK32" i="10" s="1"/>
  <c r="AE31" i="12"/>
  <c r="AK31" i="12" s="1"/>
  <c r="M28" i="11"/>
  <c r="G9" i="8"/>
  <c r="X9" i="8" s="1"/>
  <c r="R326" i="13"/>
  <c r="R325" i="13"/>
  <c r="H22" i="56"/>
  <c r="L22" i="56" s="1"/>
  <c r="K22" i="56"/>
  <c r="U78" i="42"/>
  <c r="O99" i="42"/>
  <c r="L29" i="9"/>
  <c r="H25" i="9"/>
  <c r="X25" i="9"/>
  <c r="G31" i="9"/>
  <c r="X31" i="9" s="1"/>
  <c r="P88" i="40"/>
  <c r="P108" i="45"/>
  <c r="P110" i="45" s="1"/>
  <c r="P106" i="45"/>
  <c r="Q102" i="45"/>
  <c r="V102" i="45"/>
  <c r="H42" i="10"/>
  <c r="I41" i="7"/>
  <c r="O41" i="7" s="1"/>
  <c r="O41" i="11"/>
  <c r="O152" i="12"/>
  <c r="S95" i="10"/>
  <c r="S93" i="10" s="1"/>
  <c r="S92" i="12"/>
  <c r="F18" i="8"/>
  <c r="AD74" i="10"/>
  <c r="AJ75" i="10"/>
  <c r="M84" i="41"/>
  <c r="M138" i="42"/>
  <c r="S134" i="42"/>
  <c r="M136" i="42"/>
  <c r="J62" i="35"/>
  <c r="AH52" i="35"/>
  <c r="H43" i="12"/>
  <c r="T43" i="12"/>
  <c r="U198" i="13"/>
  <c r="I43" i="11"/>
  <c r="AK38" i="10"/>
  <c r="O60" i="11"/>
  <c r="H61" i="10"/>
  <c r="T60" i="12"/>
  <c r="I60" i="7"/>
  <c r="I58" i="11"/>
  <c r="Y27" i="18"/>
  <c r="X27" i="17"/>
  <c r="X32" i="18"/>
  <c r="I48" i="10"/>
  <c r="AM49" i="10"/>
  <c r="O73" i="7"/>
  <c r="J60" i="32"/>
  <c r="J57" i="32"/>
  <c r="AH37" i="32"/>
  <c r="J61" i="32"/>
  <c r="AH23" i="17"/>
  <c r="AO23" i="17"/>
  <c r="O120" i="11"/>
  <c r="H120" i="10"/>
  <c r="AL120" i="10" s="1"/>
  <c r="I122" i="7"/>
  <c r="U24" i="41"/>
  <c r="L10" i="8"/>
  <c r="U124" i="22"/>
  <c r="I60" i="29"/>
  <c r="I61" i="29"/>
  <c r="AI37" i="29"/>
  <c r="AG37" i="29"/>
  <c r="P10" i="15" s="1"/>
  <c r="J32" i="17"/>
  <c r="U67" i="43"/>
  <c r="O86" i="43"/>
  <c r="H39" i="7"/>
  <c r="N39" i="11"/>
  <c r="G40" i="10"/>
  <c r="H35" i="11"/>
  <c r="K39" i="11"/>
  <c r="M21" i="11"/>
  <c r="G6" i="9"/>
  <c r="AF69" i="12"/>
  <c r="N68" i="12"/>
  <c r="N87" i="12" s="1"/>
  <c r="AF87" i="12" s="1"/>
  <c r="AL87" i="12" s="1"/>
  <c r="N70" i="10"/>
  <c r="T59" i="13"/>
  <c r="N324" i="13"/>
  <c r="N319" i="13"/>
  <c r="AG59" i="13"/>
  <c r="Q59" i="13"/>
  <c r="U12" i="44"/>
  <c r="O16" i="44"/>
  <c r="F35" i="12"/>
  <c r="AF55" i="12"/>
  <c r="AL55" i="12" s="1"/>
  <c r="T53" i="12"/>
  <c r="T56" i="10"/>
  <c r="AK124" i="12"/>
  <c r="N93" i="43"/>
  <c r="T86" i="43"/>
  <c r="T92" i="43" s="1"/>
  <c r="N89" i="43"/>
  <c r="Z86" i="43"/>
  <c r="N92" i="43"/>
  <c r="Q86" i="43"/>
  <c r="M22" i="10"/>
  <c r="AE27" i="10"/>
  <c r="AE22" i="10" s="1"/>
  <c r="AH37" i="36"/>
  <c r="J60" i="36"/>
  <c r="J57" i="36"/>
  <c r="J61" i="36"/>
  <c r="AP33" i="17"/>
  <c r="AF76" i="12"/>
  <c r="AL76" i="12" s="1"/>
  <c r="AL77" i="12"/>
  <c r="AE53" i="12"/>
  <c r="AK53" i="12" s="1"/>
  <c r="G48" i="10"/>
  <c r="N118" i="51"/>
  <c r="H118" i="51"/>
  <c r="J116" i="11"/>
  <c r="I116" i="12"/>
  <c r="Q57" i="47"/>
  <c r="P59" i="47"/>
  <c r="P60" i="47"/>
  <c r="P90" i="40" s="1"/>
  <c r="N34" i="12"/>
  <c r="I124" i="11"/>
  <c r="U56" i="47"/>
  <c r="H124" i="12"/>
  <c r="K326" i="13"/>
  <c r="AE77" i="10"/>
  <c r="AK77" i="10" s="1"/>
  <c r="AK78" i="10"/>
  <c r="U60" i="41"/>
  <c r="O61" i="41"/>
  <c r="U61" i="41" s="1"/>
  <c r="AK56" i="10"/>
  <c r="AG272" i="13"/>
  <c r="Q272" i="13"/>
  <c r="N328" i="13"/>
  <c r="T272" i="13"/>
  <c r="L12" i="5" s="1"/>
  <c r="M12" i="5" s="1"/>
  <c r="AF31" i="12"/>
  <c r="AL31" i="12" s="1"/>
  <c r="N32" i="10"/>
  <c r="F29" i="10"/>
  <c r="F98" i="10"/>
  <c r="AJ98" i="10" s="1"/>
  <c r="G100" i="7"/>
  <c r="M100" i="7" s="1"/>
  <c r="L14" i="7"/>
  <c r="F63" i="7"/>
  <c r="H69" i="10"/>
  <c r="O50" i="41"/>
  <c r="U47" i="41"/>
  <c r="I97" i="12"/>
  <c r="J97" i="11"/>
  <c r="P105" i="45"/>
  <c r="AG92" i="12"/>
  <c r="AM95" i="12"/>
  <c r="AE95" i="10"/>
  <c r="S42" i="17"/>
  <c r="K94" i="10" s="1"/>
  <c r="S41" i="18"/>
  <c r="T42" i="18"/>
  <c r="AD95" i="10"/>
  <c r="AJ95" i="10" s="1"/>
  <c r="H58" i="12"/>
  <c r="AD58" i="12"/>
  <c r="AJ58" i="12" s="1"/>
  <c r="AJ60" i="12"/>
  <c r="AG27" i="10"/>
  <c r="O22" i="10"/>
  <c r="AK47" i="10"/>
  <c r="AG49" i="10"/>
  <c r="AG48" i="10" s="1"/>
  <c r="O48" i="10"/>
  <c r="AI40" i="10"/>
  <c r="AD50" i="10"/>
  <c r="L48" i="10"/>
  <c r="T160" i="46"/>
  <c r="N172" i="46"/>
  <c r="N174" i="46" s="1"/>
  <c r="N177" i="46" s="1"/>
  <c r="O62" i="11"/>
  <c r="H63" i="10"/>
  <c r="AL63" i="10" s="1"/>
  <c r="I10" i="9"/>
  <c r="I62" i="7"/>
  <c r="O62" i="7" s="1"/>
  <c r="J13" i="56"/>
  <c r="F12" i="56"/>
  <c r="J12" i="56" s="1"/>
  <c r="O35" i="21"/>
  <c r="U35" i="21" s="1"/>
  <c r="U31" i="21"/>
  <c r="G35" i="12"/>
  <c r="F94" i="10"/>
  <c r="G96" i="7"/>
  <c r="M19" i="11"/>
  <c r="F20" i="10"/>
  <c r="G19" i="7"/>
  <c r="G14" i="11"/>
  <c r="M69" i="10"/>
  <c r="AE70" i="10"/>
  <c r="G20" i="10"/>
  <c r="H19" i="7"/>
  <c r="N19" i="11"/>
  <c r="H14" i="11"/>
  <c r="K19" i="11"/>
  <c r="T57" i="10"/>
  <c r="AF57" i="10" s="1"/>
  <c r="AL57" i="10" s="1"/>
  <c r="AF56" i="12"/>
  <c r="AL56" i="12" s="1"/>
  <c r="J21" i="56"/>
  <c r="G21" i="56"/>
  <c r="F40" i="10"/>
  <c r="M39" i="11"/>
  <c r="G39" i="7"/>
  <c r="G35" i="11"/>
  <c r="U19" i="21"/>
  <c r="O20" i="21"/>
  <c r="H14" i="51"/>
  <c r="N14" i="51"/>
  <c r="E63" i="51"/>
  <c r="S79" i="41"/>
  <c r="S83" i="41" s="1"/>
  <c r="M83" i="41"/>
  <c r="G95" i="11"/>
  <c r="F95" i="12"/>
  <c r="N124" i="11"/>
  <c r="H126" i="7"/>
  <c r="G124" i="10"/>
  <c r="AK124" i="10" s="1"/>
  <c r="K124" i="11"/>
  <c r="G44" i="10"/>
  <c r="N43" i="11"/>
  <c r="H43" i="7"/>
  <c r="K43" i="11"/>
  <c r="AO43" i="17"/>
  <c r="AH43" i="17"/>
  <c r="T7" i="8"/>
  <c r="G28" i="12"/>
  <c r="H97" i="7"/>
  <c r="N97" i="7" s="1"/>
  <c r="G95" i="10"/>
  <c r="Y7" i="8"/>
  <c r="T87" i="21"/>
  <c r="Q87" i="21"/>
  <c r="N88" i="21"/>
  <c r="Q9" i="8"/>
  <c r="L96" i="11"/>
  <c r="O13" i="54"/>
  <c r="Q13" i="54" s="1"/>
  <c r="K123" i="11"/>
  <c r="I123" i="10"/>
  <c r="J125" i="7"/>
  <c r="K125" i="7" s="1"/>
  <c r="H62" i="10"/>
  <c r="O61" i="11"/>
  <c r="T61" i="12"/>
  <c r="I11" i="9"/>
  <c r="I61" i="7"/>
  <c r="O61" i="7" s="1"/>
  <c r="T124" i="10"/>
  <c r="AF124" i="10" s="1"/>
  <c r="AF124" i="12"/>
  <c r="T61" i="41"/>
  <c r="Q61" i="41"/>
  <c r="V61" i="41"/>
  <c r="O10" i="54"/>
  <c r="Q10" i="54" s="1"/>
  <c r="P63" i="7"/>
  <c r="E88" i="7"/>
  <c r="E46" i="8"/>
  <c r="M45" i="8" s="1"/>
  <c r="J37" i="31"/>
  <c r="AH32" i="31"/>
  <c r="M111" i="10"/>
  <c r="N26" i="11"/>
  <c r="K26" i="11"/>
  <c r="G27" i="10"/>
  <c r="H26" i="7"/>
  <c r="H21" i="11"/>
  <c r="K21" i="11" s="1"/>
  <c r="M29" i="7"/>
  <c r="G28" i="7"/>
  <c r="M28" i="7" s="1"/>
  <c r="Y28" i="12"/>
  <c r="Y63" i="12" s="1"/>
  <c r="Y88" i="12" s="1"/>
  <c r="Y156" i="12" s="1"/>
  <c r="Y30" i="10"/>
  <c r="Y29" i="10" s="1"/>
  <c r="N60" i="11"/>
  <c r="G61" i="10"/>
  <c r="H60" i="7"/>
  <c r="S60" i="12"/>
  <c r="K60" i="11"/>
  <c r="H58" i="11"/>
  <c r="D14" i="55"/>
  <c r="D15" i="55" s="1"/>
  <c r="I14" i="55"/>
  <c r="I15" i="55" s="1"/>
  <c r="G14" i="55"/>
  <c r="G15" i="55" s="1"/>
  <c r="F14" i="55"/>
  <c r="F15" i="55" s="1"/>
  <c r="L14" i="55"/>
  <c r="L15" i="55" s="1"/>
  <c r="C14" i="55"/>
  <c r="K14" i="55"/>
  <c r="K15" i="55" s="1"/>
  <c r="H14" i="55"/>
  <c r="H15" i="55" s="1"/>
  <c r="N14" i="55"/>
  <c r="N15" i="55" s="1"/>
  <c r="M14" i="55"/>
  <c r="M15" i="55" s="1"/>
  <c r="J14" i="55"/>
  <c r="J15" i="55" s="1"/>
  <c r="E14" i="55"/>
  <c r="E15" i="55" s="1"/>
  <c r="T50" i="41"/>
  <c r="V50" i="41"/>
  <c r="Q50" i="41"/>
  <c r="H26" i="12"/>
  <c r="I26" i="11"/>
  <c r="U271" i="13"/>
  <c r="O272" i="13"/>
  <c r="N73" i="7"/>
  <c r="K73" i="7"/>
  <c r="R41" i="17"/>
  <c r="R52" i="18"/>
  <c r="R52" i="17" s="1"/>
  <c r="AF112" i="10"/>
  <c r="N111" i="10"/>
  <c r="AD61" i="10"/>
  <c r="R59" i="10"/>
  <c r="AB29" i="10"/>
  <c r="AH30" i="10"/>
  <c r="J60" i="38"/>
  <c r="J57" i="38"/>
  <c r="J61" i="38"/>
  <c r="AH37" i="38"/>
  <c r="I88" i="12"/>
  <c r="AC88" i="7"/>
  <c r="AJ46" i="18"/>
  <c r="H70" i="18"/>
  <c r="O70" i="18" s="1"/>
  <c r="L70" i="18"/>
  <c r="R70" i="18" s="1"/>
  <c r="K46" i="17"/>
  <c r="N46" i="7"/>
  <c r="K46" i="7"/>
  <c r="O61" i="21"/>
  <c r="U61" i="21" s="1"/>
  <c r="U59" i="21"/>
  <c r="O21" i="54"/>
  <c r="Q21" i="54" s="1"/>
  <c r="AQ42" i="17"/>
  <c r="AE34" i="12"/>
  <c r="AK34" i="12" s="1"/>
  <c r="M35" i="10"/>
  <c r="AE35" i="10" s="1"/>
  <c r="AK35" i="10" s="1"/>
  <c r="O64" i="7"/>
  <c r="M87" i="7"/>
  <c r="G158" i="7"/>
  <c r="M158" i="7" s="1"/>
  <c r="M40" i="10"/>
  <c r="AE40" i="10" s="1"/>
  <c r="AE39" i="12"/>
  <c r="AE35" i="12" s="1"/>
  <c r="AJ27" i="10"/>
  <c r="F22" i="10"/>
  <c r="AJ22" i="10" s="1"/>
  <c r="H112" i="11"/>
  <c r="G112" i="12"/>
  <c r="T86" i="46"/>
  <c r="AA86" i="46"/>
  <c r="AC30" i="10"/>
  <c r="K29" i="10"/>
  <c r="K64" i="10" s="1"/>
  <c r="K89" i="10" s="1"/>
  <c r="AE68" i="12"/>
  <c r="AK68" i="12" s="1"/>
  <c r="AK69" i="12"/>
  <c r="L40" i="10"/>
  <c r="AD39" i="12"/>
  <c r="AD35" i="12" s="1"/>
  <c r="L35" i="12"/>
  <c r="M112" i="11"/>
  <c r="R6" i="9"/>
  <c r="T35" i="41"/>
  <c r="V35" i="41"/>
  <c r="Q35" i="41"/>
  <c r="AI116" i="10"/>
  <c r="O63" i="40"/>
  <c r="V44" i="18"/>
  <c r="V44" i="17" s="1"/>
  <c r="U44" i="17"/>
  <c r="M47" i="12"/>
  <c r="AE49" i="12"/>
  <c r="M50" i="10"/>
  <c r="J61" i="37"/>
  <c r="AH37" i="37"/>
  <c r="J57" i="37"/>
  <c r="J60" i="37"/>
  <c r="J60" i="24"/>
  <c r="J61" i="24"/>
  <c r="AH37" i="24"/>
  <c r="J57" i="24"/>
  <c r="K30" i="7"/>
  <c r="N30" i="7"/>
  <c r="M89" i="21"/>
  <c r="S24" i="21"/>
  <c r="AL23" i="10"/>
  <c r="J60" i="29"/>
  <c r="AH37" i="29"/>
  <c r="J61" i="29"/>
  <c r="J57" i="29"/>
  <c r="F96" i="7"/>
  <c r="E94" i="10"/>
  <c r="AK26" i="12"/>
  <c r="G21" i="12"/>
  <c r="AC111" i="12"/>
  <c r="AI116" i="12"/>
  <c r="I68" i="7"/>
  <c r="O68" i="7" s="1"/>
  <c r="O69" i="7"/>
  <c r="I37" i="39"/>
  <c r="K37" i="48"/>
  <c r="AK36" i="17"/>
  <c r="AJ36" i="17"/>
  <c r="J6" i="9"/>
  <c r="AO46" i="17"/>
  <c r="AH46" i="17"/>
  <c r="J18" i="8"/>
  <c r="AB94" i="10"/>
  <c r="AB93" i="10" s="1"/>
  <c r="AB128" i="10" s="1"/>
  <c r="AB151" i="10" s="1"/>
  <c r="J93" i="10"/>
  <c r="J128" i="10" s="1"/>
  <c r="J151" i="10" s="1"/>
  <c r="U75" i="20"/>
  <c r="O117" i="20"/>
  <c r="J42" i="18"/>
  <c r="AB92" i="12"/>
  <c r="AH95" i="12"/>
  <c r="Q37" i="18"/>
  <c r="Q32" i="17"/>
  <c r="N34" i="7"/>
  <c r="K34" i="7"/>
  <c r="AO47" i="17"/>
  <c r="AH47" i="17"/>
  <c r="AE39" i="10"/>
  <c r="O125" i="22"/>
  <c r="L83" i="41"/>
  <c r="R79" i="41"/>
  <c r="R83" i="41" s="1"/>
  <c r="E95" i="12"/>
  <c r="F95" i="11"/>
  <c r="S128" i="11"/>
  <c r="K32" i="17"/>
  <c r="K37" i="18"/>
  <c r="AJ32" i="18"/>
  <c r="AD47" i="12"/>
  <c r="AJ47" i="12" s="1"/>
  <c r="AJ49" i="12"/>
  <c r="N114" i="51"/>
  <c r="H114" i="51"/>
  <c r="H47" i="12"/>
  <c r="N38" i="7"/>
  <c r="K38" i="7"/>
  <c r="T20" i="21"/>
  <c r="Q20" i="21"/>
  <c r="N24" i="21"/>
  <c r="U6" i="9"/>
  <c r="K112" i="11"/>
  <c r="AG31" i="12"/>
  <c r="AM31" i="12" s="1"/>
  <c r="O32" i="10"/>
  <c r="O29" i="12"/>
  <c r="AO8" i="17"/>
  <c r="AH8" i="17"/>
  <c r="L30" i="10"/>
  <c r="AD29" i="12"/>
  <c r="L28" i="12"/>
  <c r="L63" i="12" s="1"/>
  <c r="L88" i="12" s="1"/>
  <c r="M26" i="7"/>
  <c r="G21" i="7"/>
  <c r="M21" i="7" s="1"/>
  <c r="AC28" i="12"/>
  <c r="AI29" i="12"/>
  <c r="AK19" i="12"/>
  <c r="G14" i="12"/>
  <c r="N39" i="12"/>
  <c r="U186" i="13"/>
  <c r="I39" i="11"/>
  <c r="H39" i="12"/>
  <c r="H35" i="12" s="1"/>
  <c r="AJ112" i="12"/>
  <c r="AL65" i="10"/>
  <c r="H88" i="10"/>
  <c r="AK43" i="12"/>
  <c r="AL72" i="10"/>
  <c r="I29" i="9"/>
  <c r="I25" i="9" s="1"/>
  <c r="I31" i="9" s="1"/>
  <c r="T87" i="7" s="1"/>
  <c r="M29" i="12"/>
  <c r="M31" i="10"/>
  <c r="AE31" i="10" s="1"/>
  <c r="AE30" i="12"/>
  <c r="AK30" i="12" s="1"/>
  <c r="R10" i="9"/>
  <c r="M116" i="11"/>
  <c r="N47" i="11"/>
  <c r="H8" i="9"/>
  <c r="L8" i="9" s="1"/>
  <c r="K47" i="11"/>
  <c r="K96" i="12"/>
  <c r="AG123" i="12"/>
  <c r="AM123" i="12" s="1"/>
  <c r="U123" i="10"/>
  <c r="AG123" i="10" s="1"/>
  <c r="P15" i="54"/>
  <c r="O22" i="7"/>
  <c r="O87" i="21"/>
  <c r="U73" i="21"/>
  <c r="AL127" i="10"/>
  <c r="H125" i="10"/>
  <c r="AL125" i="10" s="1"/>
  <c r="AC116" i="10"/>
  <c r="AC111" i="10" s="1"/>
  <c r="Q111" i="10"/>
  <c r="Q128" i="10" s="1"/>
  <c r="Q151" i="10" s="1"/>
  <c r="F96" i="12"/>
  <c r="G96" i="11"/>
  <c r="M34" i="44"/>
  <c r="S30" i="44"/>
  <c r="S34" i="44" s="1"/>
  <c r="T124" i="22"/>
  <c r="V124" i="22"/>
  <c r="Q124" i="22"/>
  <c r="G58" i="12"/>
  <c r="S36" i="18"/>
  <c r="R36" i="17"/>
  <c r="J141" i="12" s="1"/>
  <c r="R33" i="18"/>
  <c r="O46" i="11"/>
  <c r="H47" i="10"/>
  <c r="AL47" i="10" s="1"/>
  <c r="I46" i="7"/>
  <c r="O46" i="7" s="1"/>
  <c r="K104" i="11"/>
  <c r="J107" i="7"/>
  <c r="K107" i="7" s="1"/>
  <c r="AF26" i="12"/>
  <c r="AF21" i="12" s="1"/>
  <c r="N27" i="10"/>
  <c r="N21" i="12"/>
  <c r="U35" i="47"/>
  <c r="T122" i="12"/>
  <c r="H122" i="12"/>
  <c r="I122" i="11"/>
  <c r="O57" i="47"/>
  <c r="K87" i="11"/>
  <c r="N74" i="10"/>
  <c r="AF75" i="10"/>
  <c r="T55" i="41"/>
  <c r="Q55" i="41"/>
  <c r="V55" i="41"/>
  <c r="H100" i="7"/>
  <c r="N100" i="7" s="1"/>
  <c r="Y10" i="8"/>
  <c r="G98" i="10"/>
  <c r="AK98" i="10" s="1"/>
  <c r="AH37" i="30"/>
  <c r="J61" i="30"/>
  <c r="J60" i="30"/>
  <c r="J57" i="30"/>
  <c r="Z29" i="12"/>
  <c r="Z32" i="10"/>
  <c r="E96" i="7"/>
  <c r="D94" i="10"/>
  <c r="P18" i="8"/>
  <c r="AP20" i="17"/>
  <c r="J8" i="9"/>
  <c r="K8" i="9" s="1"/>
  <c r="P38" i="48"/>
  <c r="I141" i="12"/>
  <c r="J141" i="11"/>
  <c r="P44" i="48"/>
  <c r="P49" i="48"/>
  <c r="I35" i="11"/>
  <c r="I49" i="7"/>
  <c r="H50" i="10"/>
  <c r="O49" i="11"/>
  <c r="N49" i="12"/>
  <c r="I47" i="11"/>
  <c r="AC88" i="10"/>
  <c r="AI88" i="10" s="1"/>
  <c r="AI69" i="10"/>
  <c r="S116" i="12"/>
  <c r="Q86" i="46"/>
  <c r="H14" i="56"/>
  <c r="K14" i="56"/>
  <c r="G13" i="56"/>
  <c r="C153" i="7"/>
  <c r="N34" i="8" s="1"/>
  <c r="C157" i="7"/>
  <c r="J60" i="34"/>
  <c r="J57" i="34"/>
  <c r="AH37" i="34"/>
  <c r="J61" i="34"/>
  <c r="J57" i="35"/>
  <c r="J60" i="35"/>
  <c r="J61" i="35"/>
  <c r="AH37" i="35"/>
  <c r="U157" i="46"/>
  <c r="O158" i="46"/>
  <c r="AA23" i="17"/>
  <c r="Y20" i="10" s="1"/>
  <c r="F36" i="9"/>
  <c r="F32" i="9"/>
  <c r="N21" i="51"/>
  <c r="H21" i="51"/>
  <c r="U114" i="10"/>
  <c r="AG114" i="12"/>
  <c r="T35" i="21"/>
  <c r="Q35" i="21"/>
  <c r="N41" i="7"/>
  <c r="K41" i="7"/>
  <c r="AF42" i="17"/>
  <c r="AM42" i="17"/>
  <c r="AR42" i="17" s="1"/>
  <c r="E88" i="12"/>
  <c r="R116" i="12"/>
  <c r="N49" i="7"/>
  <c r="K49" i="7"/>
  <c r="H47" i="7"/>
  <c r="N47" i="7" s="1"/>
  <c r="J62" i="36"/>
  <c r="AH52" i="36"/>
  <c r="AL49" i="10"/>
  <c r="M74" i="10"/>
  <c r="AE75" i="10"/>
  <c r="N29" i="11"/>
  <c r="H29" i="7"/>
  <c r="K29" i="11"/>
  <c r="G30" i="10"/>
  <c r="H28" i="11"/>
  <c r="F10" i="56"/>
  <c r="I10" i="56"/>
  <c r="E24" i="56"/>
  <c r="C27" i="55"/>
  <c r="O27" i="55" s="1"/>
  <c r="Q27" i="55" s="1"/>
  <c r="O17" i="55"/>
  <c r="Q17" i="55" s="1"/>
  <c r="I97" i="11"/>
  <c r="O105" i="45"/>
  <c r="H97" i="12"/>
  <c r="AL97" i="12" s="1"/>
  <c r="AH37" i="28"/>
  <c r="J57" i="28"/>
  <c r="J60" i="28"/>
  <c r="J61" i="28"/>
  <c r="T61" i="21"/>
  <c r="Q61" i="21"/>
  <c r="AH52" i="38"/>
  <c r="J62" i="38"/>
  <c r="R172" i="46"/>
  <c r="L176" i="46"/>
  <c r="F114" i="11"/>
  <c r="E114" i="12"/>
  <c r="L174" i="46"/>
  <c r="L177" i="46" s="1"/>
  <c r="O129" i="7"/>
  <c r="I127" i="7"/>
  <c r="O127" i="7" s="1"/>
  <c r="T318" i="13"/>
  <c r="O14" i="5" s="1"/>
  <c r="P14" i="5" s="1"/>
  <c r="Q318" i="13"/>
  <c r="AG318" i="13"/>
  <c r="I38" i="39"/>
  <c r="N15" i="10"/>
  <c r="AF46" i="12"/>
  <c r="N47" i="10"/>
  <c r="AF47" i="10" s="1"/>
  <c r="E116" i="7"/>
  <c r="D114" i="10"/>
  <c r="P18" i="9"/>
  <c r="AM24" i="10"/>
  <c r="I22" i="10"/>
  <c r="AG37" i="31"/>
  <c r="P12" i="15" s="1"/>
  <c r="I61" i="31"/>
  <c r="I60" i="31"/>
  <c r="AI37" i="31"/>
  <c r="N122" i="11"/>
  <c r="G122" i="10"/>
  <c r="AK122" i="10" s="1"/>
  <c r="H124" i="7"/>
  <c r="K122" i="11"/>
  <c r="G88" i="10"/>
  <c r="AH52" i="37"/>
  <c r="J62" i="37"/>
  <c r="AJ122" i="10"/>
  <c r="N112" i="7"/>
  <c r="K112" i="7"/>
  <c r="H31" i="10"/>
  <c r="I30" i="7"/>
  <c r="O30" i="7" s="1"/>
  <c r="O30" i="11"/>
  <c r="I29" i="11"/>
  <c r="F34" i="56"/>
  <c r="I34" i="56"/>
  <c r="AI52" i="18"/>
  <c r="F52" i="17"/>
  <c r="P27" i="55"/>
  <c r="S160" i="46"/>
  <c r="M172" i="46"/>
  <c r="W57" i="47"/>
  <c r="T218" i="13"/>
  <c r="L10" i="5" s="1"/>
  <c r="M10" i="5" s="1"/>
  <c r="AM112" i="12"/>
  <c r="O47" i="14"/>
  <c r="U45" i="14"/>
  <c r="V16" i="44"/>
  <c r="T16" i="44"/>
  <c r="N30" i="44"/>
  <c r="U128" i="11" s="1"/>
  <c r="N31" i="44"/>
  <c r="N33" i="44" s="1"/>
  <c r="Q16" i="44"/>
  <c r="G23" i="56"/>
  <c r="J23" i="56"/>
  <c r="P37" i="33"/>
  <c r="J61" i="33" s="1"/>
  <c r="P32" i="17"/>
  <c r="T99" i="42"/>
  <c r="X99" i="42"/>
  <c r="Q99" i="42"/>
  <c r="N134" i="42"/>
  <c r="G44" i="18"/>
  <c r="R89" i="21"/>
  <c r="L18" i="19"/>
  <c r="L127" i="22"/>
  <c r="AA32" i="10"/>
  <c r="AA29" i="12"/>
  <c r="Q64" i="10"/>
  <c r="Q89" i="10" s="1"/>
  <c r="Q153" i="10" s="1"/>
  <c r="W37" i="18"/>
  <c r="W32" i="17"/>
  <c r="P158" i="46"/>
  <c r="Q157" i="46"/>
  <c r="AA157" i="46"/>
  <c r="AC48" i="10"/>
  <c r="AI48" i="10" s="1"/>
  <c r="AI50" i="10"/>
  <c r="AK42" i="10"/>
  <c r="Q128" i="11"/>
  <c r="D153" i="7"/>
  <c r="D161" i="7" s="1"/>
  <c r="AC161" i="7" s="1"/>
  <c r="AC130" i="7"/>
  <c r="H28" i="51"/>
  <c r="N28" i="51"/>
  <c r="E24" i="54"/>
  <c r="J24" i="54"/>
  <c r="G24" i="54"/>
  <c r="K24" i="54"/>
  <c r="I24" i="54"/>
  <c r="H24" i="54"/>
  <c r="M24" i="54"/>
  <c r="D24" i="54"/>
  <c r="F24" i="54"/>
  <c r="L24" i="54"/>
  <c r="C24" i="54"/>
  <c r="O24" i="54" s="1"/>
  <c r="Q24" i="54" s="1"/>
  <c r="N24" i="54"/>
  <c r="N39" i="10"/>
  <c r="AF38" i="12"/>
  <c r="N35" i="12"/>
  <c r="AK31" i="10"/>
  <c r="U102" i="45"/>
  <c r="U108" i="45" s="1"/>
  <c r="O106" i="45"/>
  <c r="O108" i="45"/>
  <c r="O110" i="45" s="1"/>
  <c r="Y87" i="7"/>
  <c r="K87" i="7"/>
  <c r="J158" i="7"/>
  <c r="K158" i="7" s="1"/>
  <c r="I19" i="11"/>
  <c r="H19" i="12"/>
  <c r="U58" i="13"/>
  <c r="O59" i="13"/>
  <c r="AI33" i="18"/>
  <c r="F33" i="17"/>
  <c r="F37" i="18"/>
  <c r="AL46" i="12"/>
  <c r="N53" i="7"/>
  <c r="O52" i="17"/>
  <c r="O60" i="17" s="1"/>
  <c r="I62" i="38"/>
  <c r="O60" i="38"/>
  <c r="AF73" i="12"/>
  <c r="AL73" i="12" s="1"/>
  <c r="AL74" i="12"/>
  <c r="AG20" i="10"/>
  <c r="Q74" i="20"/>
  <c r="P75" i="20"/>
  <c r="V74" i="20"/>
  <c r="U318" i="13"/>
  <c r="P52" i="38"/>
  <c r="P47" i="17"/>
  <c r="N95" i="10"/>
  <c r="T94" i="12"/>
  <c r="AK122" i="12"/>
  <c r="AJ44" i="10"/>
  <c r="AC61" i="10"/>
  <c r="Q59" i="10"/>
  <c r="O56" i="21"/>
  <c r="U56" i="21" s="1"/>
  <c r="U39" i="21"/>
  <c r="AB63" i="12"/>
  <c r="AH28" i="12"/>
  <c r="U64" i="46"/>
  <c r="O66" i="46"/>
  <c r="N125" i="22"/>
  <c r="R63" i="12"/>
  <c r="R88" i="12" s="1"/>
  <c r="M329" i="13"/>
  <c r="AJ21" i="12"/>
  <c r="AJ41" i="17"/>
  <c r="AK41" i="17"/>
  <c r="S6" i="8"/>
  <c r="N93" i="11"/>
  <c r="K93" i="11"/>
  <c r="I9" i="71" l="1"/>
  <c r="C21" i="71"/>
  <c r="M9" i="71"/>
  <c r="G21" i="71"/>
  <c r="D25" i="71"/>
  <c r="J11" i="71"/>
  <c r="I8" i="9"/>
  <c r="O47" i="11"/>
  <c r="AP32" i="17"/>
  <c r="AI32" i="17"/>
  <c r="AE50" i="10"/>
  <c r="M48" i="10"/>
  <c r="AK112" i="12"/>
  <c r="AL26" i="12"/>
  <c r="H21" i="12"/>
  <c r="V125" i="22"/>
  <c r="T125" i="22"/>
  <c r="Q125" i="22"/>
  <c r="I29" i="7"/>
  <c r="O29" i="11"/>
  <c r="H30" i="10"/>
  <c r="I28" i="11"/>
  <c r="P32" i="9"/>
  <c r="P36" i="9"/>
  <c r="E39" i="9"/>
  <c r="E37" i="9"/>
  <c r="P33" i="9"/>
  <c r="E33" i="9"/>
  <c r="L114" i="11"/>
  <c r="Q8" i="9"/>
  <c r="F111" i="11"/>
  <c r="L111" i="11" s="1"/>
  <c r="I24" i="56"/>
  <c r="E26" i="56"/>
  <c r="AE74" i="10"/>
  <c r="AK74" i="10" s="1"/>
  <c r="AK75" i="10"/>
  <c r="S116" i="10"/>
  <c r="AE116" i="12"/>
  <c r="S111" i="12"/>
  <c r="AF49" i="12"/>
  <c r="N47" i="12"/>
  <c r="N50" i="10"/>
  <c r="X141" i="11"/>
  <c r="J138" i="11"/>
  <c r="P17" i="54"/>
  <c r="P96" i="7"/>
  <c r="E96" i="51"/>
  <c r="E95" i="7"/>
  <c r="AF27" i="10"/>
  <c r="AF22" i="10" s="1"/>
  <c r="N22" i="10"/>
  <c r="AK14" i="12"/>
  <c r="G63" i="12"/>
  <c r="AD30" i="10"/>
  <c r="L29" i="10"/>
  <c r="AE47" i="12"/>
  <c r="AK47" i="12" s="1"/>
  <c r="AK49" i="12"/>
  <c r="AD40" i="10"/>
  <c r="AD36" i="10" s="1"/>
  <c r="L36" i="10"/>
  <c r="N112" i="11"/>
  <c r="S6" i="9"/>
  <c r="I87" i="7"/>
  <c r="T62" i="10"/>
  <c r="AF62" i="10" s="1"/>
  <c r="AF61" i="12"/>
  <c r="AL61" i="12" s="1"/>
  <c r="F99" i="7"/>
  <c r="L99" i="7" s="1"/>
  <c r="E97" i="10"/>
  <c r="AJ20" i="10"/>
  <c r="F15" i="10"/>
  <c r="AF32" i="10"/>
  <c r="AL32" i="10" s="1"/>
  <c r="U116" i="12"/>
  <c r="AF68" i="12"/>
  <c r="AL68" i="12" s="1"/>
  <c r="AL69" i="12"/>
  <c r="N39" i="7"/>
  <c r="H35" i="7"/>
  <c r="K39" i="7"/>
  <c r="AM48" i="10"/>
  <c r="AF60" i="12"/>
  <c r="T58" i="12"/>
  <c r="T61" i="10"/>
  <c r="F46" i="8"/>
  <c r="F35" i="8"/>
  <c r="F31" i="8"/>
  <c r="U99" i="42"/>
  <c r="O134" i="42"/>
  <c r="AE44" i="10"/>
  <c r="AE36" i="10" s="1"/>
  <c r="S36" i="10"/>
  <c r="AG42" i="17"/>
  <c r="AN42" i="17"/>
  <c r="AS42" i="17" s="1"/>
  <c r="F20" i="54"/>
  <c r="D20" i="54"/>
  <c r="N20" i="54"/>
  <c r="G20" i="54"/>
  <c r="L20" i="54"/>
  <c r="H20" i="54"/>
  <c r="J20" i="54"/>
  <c r="E20" i="54"/>
  <c r="I20" i="54"/>
  <c r="K20" i="54"/>
  <c r="M20" i="54"/>
  <c r="C20" i="54"/>
  <c r="Y10" i="9"/>
  <c r="H118" i="7"/>
  <c r="G116" i="10"/>
  <c r="AP44" i="17"/>
  <c r="U8" i="8"/>
  <c r="AM74" i="10"/>
  <c r="AG88" i="10"/>
  <c r="AM88" i="10" s="1"/>
  <c r="F19" i="54"/>
  <c r="M19" i="54"/>
  <c r="G19" i="54"/>
  <c r="D19" i="54"/>
  <c r="N19" i="54"/>
  <c r="K19" i="54"/>
  <c r="L19" i="54"/>
  <c r="H19" i="54"/>
  <c r="I19" i="54"/>
  <c r="C19" i="54"/>
  <c r="O19" i="54" s="1"/>
  <c r="Q19" i="54" s="1"/>
  <c r="J19" i="54"/>
  <c r="E19" i="54"/>
  <c r="N95" i="11"/>
  <c r="K95" i="11"/>
  <c r="AK33" i="17"/>
  <c r="AJ33" i="17"/>
  <c r="S172" i="46"/>
  <c r="M176" i="46"/>
  <c r="F114" i="12"/>
  <c r="G114" i="11"/>
  <c r="M174" i="46"/>
  <c r="M177" i="46" s="1"/>
  <c r="AI114" i="12"/>
  <c r="E111" i="12"/>
  <c r="AI111" i="12" s="1"/>
  <c r="G118" i="7"/>
  <c r="M118" i="7" s="1"/>
  <c r="F116" i="10"/>
  <c r="AD28" i="12"/>
  <c r="AJ29" i="12"/>
  <c r="AB128" i="12"/>
  <c r="AH92" i="12"/>
  <c r="AK21" i="12"/>
  <c r="N329" i="13"/>
  <c r="N14" i="11"/>
  <c r="H7" i="8"/>
  <c r="H63" i="11"/>
  <c r="K14" i="11"/>
  <c r="P60" i="38"/>
  <c r="P52" i="17"/>
  <c r="U66" i="46"/>
  <c r="O86" i="46"/>
  <c r="AC59" i="10"/>
  <c r="AI59" i="10" s="1"/>
  <c r="AI61" i="10"/>
  <c r="U59" i="13"/>
  <c r="O319" i="13"/>
  <c r="O324" i="13"/>
  <c r="AF39" i="10"/>
  <c r="AC153" i="7"/>
  <c r="O35" i="9"/>
  <c r="O34" i="8"/>
  <c r="R18" i="19"/>
  <c r="G36" i="18"/>
  <c r="L22" i="19"/>
  <c r="R22" i="19" s="1"/>
  <c r="P60" i="33"/>
  <c r="P37" i="17"/>
  <c r="P60" i="17" s="1"/>
  <c r="AH114" i="10"/>
  <c r="D111" i="10"/>
  <c r="AH111" i="10" s="1"/>
  <c r="R116" i="10"/>
  <c r="AD116" i="12"/>
  <c r="R111" i="12"/>
  <c r="R128" i="12" s="1"/>
  <c r="R152" i="12" s="1"/>
  <c r="R156" i="12" s="1"/>
  <c r="AM141" i="12"/>
  <c r="I138" i="12"/>
  <c r="O59" i="47"/>
  <c r="O60" i="47"/>
  <c r="H116" i="12"/>
  <c r="I116" i="11"/>
  <c r="U57" i="47"/>
  <c r="U60" i="47" s="1"/>
  <c r="R33" i="17"/>
  <c r="R37" i="18"/>
  <c r="N89" i="21"/>
  <c r="N127" i="22" s="1"/>
  <c r="V127" i="22" s="1"/>
  <c r="T24" i="21"/>
  <c r="Q24" i="21"/>
  <c r="L95" i="11"/>
  <c r="F92" i="11"/>
  <c r="AH42" i="18"/>
  <c r="J42" i="17"/>
  <c r="K38" i="48"/>
  <c r="K44" i="48"/>
  <c r="E141" i="11"/>
  <c r="D141" i="12"/>
  <c r="K49" i="48"/>
  <c r="D162" i="7"/>
  <c r="O14" i="55"/>
  <c r="Q14" i="55" s="1"/>
  <c r="C15" i="55"/>
  <c r="AE60" i="12"/>
  <c r="S58" i="12"/>
  <c r="S63" i="12" s="1"/>
  <c r="S88" i="12" s="1"/>
  <c r="S156" i="12" s="1"/>
  <c r="S61" i="10"/>
  <c r="AH37" i="31"/>
  <c r="J61" i="31"/>
  <c r="J60" i="31"/>
  <c r="J57" i="31"/>
  <c r="T88" i="21"/>
  <c r="Q88" i="21"/>
  <c r="H95" i="10"/>
  <c r="I97" i="7"/>
  <c r="O97" i="7" s="1"/>
  <c r="N63" i="51"/>
  <c r="H63" i="51"/>
  <c r="E88" i="51"/>
  <c r="AJ40" i="10"/>
  <c r="F36" i="10"/>
  <c r="AJ36" i="10" s="1"/>
  <c r="N19" i="7"/>
  <c r="H14" i="7"/>
  <c r="K19" i="7"/>
  <c r="H124" i="10"/>
  <c r="AL124" i="10" s="1"/>
  <c r="O124" i="11"/>
  <c r="I126" i="7"/>
  <c r="O126" i="7" s="1"/>
  <c r="K116" i="11"/>
  <c r="U10" i="9"/>
  <c r="U86" i="43"/>
  <c r="U92" i="43" s="1"/>
  <c r="O92" i="43"/>
  <c r="O93" i="43"/>
  <c r="O89" i="43"/>
  <c r="X32" i="17"/>
  <c r="X37" i="18"/>
  <c r="H59" i="10"/>
  <c r="S128" i="12"/>
  <c r="S152" i="12" s="1"/>
  <c r="AL38" i="12"/>
  <c r="T56" i="21"/>
  <c r="Q56" i="21"/>
  <c r="L114" i="7"/>
  <c r="O9" i="54"/>
  <c r="Q9" i="54" s="1"/>
  <c r="C15" i="54"/>
  <c r="K97" i="7"/>
  <c r="O38" i="7"/>
  <c r="N98" i="51"/>
  <c r="H98" i="51"/>
  <c r="M95" i="12"/>
  <c r="K42" i="18"/>
  <c r="P117" i="20"/>
  <c r="V117" i="20" s="1"/>
  <c r="Q75" i="20"/>
  <c r="V75" i="20"/>
  <c r="G34" i="56"/>
  <c r="J34" i="56"/>
  <c r="O160" i="46"/>
  <c r="U158" i="46"/>
  <c r="AH94" i="10"/>
  <c r="D93" i="10"/>
  <c r="J31" i="8"/>
  <c r="H96" i="7"/>
  <c r="G94" i="10"/>
  <c r="Y6" i="8"/>
  <c r="P160" i="46"/>
  <c r="Q158" i="46"/>
  <c r="AA158" i="46"/>
  <c r="O51" i="14"/>
  <c r="U47" i="14"/>
  <c r="U51" i="14" s="1"/>
  <c r="AJ52" i="17"/>
  <c r="F62" i="17"/>
  <c r="AK52" i="17"/>
  <c r="E35" i="56"/>
  <c r="P23" i="54"/>
  <c r="E116" i="51"/>
  <c r="P116" i="7"/>
  <c r="E113" i="7"/>
  <c r="P113" i="7" s="1"/>
  <c r="R176" i="46"/>
  <c r="R174" i="46"/>
  <c r="R177" i="46" s="1"/>
  <c r="J10" i="56"/>
  <c r="G10" i="56"/>
  <c r="F24" i="56"/>
  <c r="H48" i="10"/>
  <c r="P41" i="48"/>
  <c r="Z30" i="10"/>
  <c r="Z29" i="10" s="1"/>
  <c r="Z28" i="12"/>
  <c r="Z63" i="12" s="1"/>
  <c r="Z88" i="12" s="1"/>
  <c r="Z156" i="12" s="1"/>
  <c r="O122" i="11"/>
  <c r="H122" i="10"/>
  <c r="I124" i="7"/>
  <c r="O124" i="7" s="1"/>
  <c r="J138" i="12"/>
  <c r="J151" i="12" s="1"/>
  <c r="J152" i="12" s="1"/>
  <c r="J156" i="12" s="1"/>
  <c r="AB141" i="12"/>
  <c r="AB138" i="12" s="1"/>
  <c r="AB151" i="12" s="1"/>
  <c r="U87" i="21"/>
  <c r="O88" i="21"/>
  <c r="U88" i="21" s="1"/>
  <c r="AC96" i="12"/>
  <c r="AI96" i="12" s="1"/>
  <c r="K97" i="10"/>
  <c r="AC97" i="10" s="1"/>
  <c r="AE29" i="12"/>
  <c r="M30" i="10"/>
  <c r="M28" i="12"/>
  <c r="M63" i="12" s="1"/>
  <c r="M88" i="12" s="1"/>
  <c r="K95" i="12"/>
  <c r="E92" i="12"/>
  <c r="AK39" i="10"/>
  <c r="AH29" i="10"/>
  <c r="AB64" i="10"/>
  <c r="K60" i="7"/>
  <c r="N60" i="7"/>
  <c r="H58" i="7"/>
  <c r="H6" i="9"/>
  <c r="K6" i="9" s="1"/>
  <c r="N21" i="11"/>
  <c r="AL62" i="10"/>
  <c r="N126" i="7"/>
  <c r="K126" i="7"/>
  <c r="H21" i="56"/>
  <c r="L21" i="56" s="1"/>
  <c r="K21" i="56"/>
  <c r="G15" i="10"/>
  <c r="F88" i="7"/>
  <c r="L63" i="7"/>
  <c r="T54" i="10"/>
  <c r="AF56" i="10"/>
  <c r="AF54" i="10" s="1"/>
  <c r="X6" i="9"/>
  <c r="G18" i="9"/>
  <c r="H28" i="12"/>
  <c r="AI112" i="10"/>
  <c r="E89" i="10"/>
  <c r="N158" i="7"/>
  <c r="C168" i="7"/>
  <c r="C161" i="7"/>
  <c r="AI46" i="17"/>
  <c r="AP46" i="17"/>
  <c r="P326" i="13"/>
  <c r="AE69" i="10"/>
  <c r="AK70" i="10"/>
  <c r="M96" i="7"/>
  <c r="N176" i="46"/>
  <c r="T172" i="46"/>
  <c r="T176" i="46" s="1"/>
  <c r="G114" i="12"/>
  <c r="AK114" i="12" s="1"/>
  <c r="H114" i="11"/>
  <c r="H111" i="11" s="1"/>
  <c r="N35" i="10"/>
  <c r="AF35" i="10" s="1"/>
  <c r="AL35" i="10" s="1"/>
  <c r="AF34" i="12"/>
  <c r="AL34" i="12" s="1"/>
  <c r="N325" i="13"/>
  <c r="T319" i="13"/>
  <c r="N327" i="13"/>
  <c r="AG319" i="13"/>
  <c r="Q319" i="13"/>
  <c r="Z27" i="18"/>
  <c r="Y27" i="17"/>
  <c r="Y32" i="18"/>
  <c r="G11" i="56"/>
  <c r="J11" i="56"/>
  <c r="R64" i="10"/>
  <c r="R89" i="10" s="1"/>
  <c r="N29" i="12"/>
  <c r="AF30" i="12"/>
  <c r="AL30" i="12" s="1"/>
  <c r="N31" i="10"/>
  <c r="AF31" i="10" s="1"/>
  <c r="N105" i="10"/>
  <c r="AF105" i="10" s="1"/>
  <c r="AL105" i="10" s="1"/>
  <c r="O53" i="11"/>
  <c r="I10" i="8"/>
  <c r="X88" i="11"/>
  <c r="I158" i="12"/>
  <c r="AL19" i="12"/>
  <c r="H14" i="12"/>
  <c r="AE44" i="18"/>
  <c r="G44" i="17"/>
  <c r="G41" i="18"/>
  <c r="L326" i="13"/>
  <c r="O49" i="7"/>
  <c r="I47" i="7"/>
  <c r="O47" i="7" s="1"/>
  <c r="S33" i="18"/>
  <c r="S36" i="17"/>
  <c r="K141" i="12" s="1"/>
  <c r="T36" i="18"/>
  <c r="AC63" i="12"/>
  <c r="AI28" i="12"/>
  <c r="H44" i="18"/>
  <c r="S89" i="21"/>
  <c r="M18" i="19"/>
  <c r="M127" i="22"/>
  <c r="G59" i="10"/>
  <c r="W37" i="17"/>
  <c r="T134" i="42"/>
  <c r="N138" i="42"/>
  <c r="N136" i="42"/>
  <c r="N84" i="41"/>
  <c r="X134" i="42"/>
  <c r="Q134" i="42"/>
  <c r="F62" i="18"/>
  <c r="N124" i="7"/>
  <c r="K124" i="7"/>
  <c r="G29" i="10"/>
  <c r="AG114" i="10"/>
  <c r="K13" i="56"/>
  <c r="G12" i="56"/>
  <c r="K12" i="56" s="1"/>
  <c r="I12" i="8"/>
  <c r="O35" i="11"/>
  <c r="AF122" i="12"/>
  <c r="AL122" i="12" s="1"/>
  <c r="T122" i="10"/>
  <c r="AF122" i="10" s="1"/>
  <c r="I105" i="10"/>
  <c r="L96" i="12"/>
  <c r="O39" i="11"/>
  <c r="I39" i="7"/>
  <c r="O39" i="7" s="1"/>
  <c r="H40" i="10"/>
  <c r="H36" i="10" s="1"/>
  <c r="AG32" i="10"/>
  <c r="AM32" i="10" s="1"/>
  <c r="J18" i="9"/>
  <c r="F112" i="10"/>
  <c r="G114" i="7"/>
  <c r="AC29" i="10"/>
  <c r="AI30" i="10"/>
  <c r="AD59" i="10"/>
  <c r="AJ59" i="10" s="1"/>
  <c r="AJ61" i="10"/>
  <c r="U272" i="13"/>
  <c r="O328" i="13"/>
  <c r="AK27" i="10"/>
  <c r="G22" i="10"/>
  <c r="AK22" i="10" s="1"/>
  <c r="M26" i="56"/>
  <c r="P88" i="7"/>
  <c r="AM123" i="10"/>
  <c r="T128" i="11"/>
  <c r="U20" i="21"/>
  <c r="O24" i="21"/>
  <c r="M88" i="10"/>
  <c r="AG22" i="10"/>
  <c r="AM22" i="10" s="1"/>
  <c r="AM27" i="10"/>
  <c r="U42" i="18"/>
  <c r="T41" i="18"/>
  <c r="T42" i="17"/>
  <c r="L94" i="10" s="1"/>
  <c r="K97" i="11"/>
  <c r="U10" i="8"/>
  <c r="J92" i="11"/>
  <c r="AF53" i="12"/>
  <c r="AH32" i="17"/>
  <c r="AO32" i="17"/>
  <c r="I43" i="7"/>
  <c r="O43" i="7" s="1"/>
  <c r="O43" i="11"/>
  <c r="H44" i="10"/>
  <c r="N35" i="9"/>
  <c r="G36" i="56"/>
  <c r="J36" i="56"/>
  <c r="AF77" i="10"/>
  <c r="AL77" i="10" s="1"/>
  <c r="AL78" i="10"/>
  <c r="T63" i="11"/>
  <c r="T88" i="11" s="1"/>
  <c r="M325" i="13"/>
  <c r="S319" i="13"/>
  <c r="M327" i="13"/>
  <c r="M96" i="11"/>
  <c r="R9" i="8"/>
  <c r="AG29" i="12"/>
  <c r="O30" i="10"/>
  <c r="O28" i="12"/>
  <c r="O63" i="12" s="1"/>
  <c r="O88" i="12" s="1"/>
  <c r="O156" i="12" s="1"/>
  <c r="L96" i="7"/>
  <c r="N26" i="7"/>
  <c r="K26" i="7"/>
  <c r="H21" i="7"/>
  <c r="T95" i="10"/>
  <c r="T93" i="10" s="1"/>
  <c r="T92" i="12"/>
  <c r="AF94" i="12"/>
  <c r="O97" i="11"/>
  <c r="T10" i="8"/>
  <c r="U125" i="22"/>
  <c r="Q60" i="18"/>
  <c r="Q37" i="17"/>
  <c r="Q60" i="17" s="1"/>
  <c r="AK95" i="10"/>
  <c r="N43" i="7"/>
  <c r="K43" i="7"/>
  <c r="L95" i="12"/>
  <c r="F92" i="12"/>
  <c r="AK35" i="12"/>
  <c r="J153" i="10"/>
  <c r="S41" i="17"/>
  <c r="S52" i="18"/>
  <c r="S52" i="17" s="1"/>
  <c r="AM97" i="12"/>
  <c r="I92" i="12"/>
  <c r="AJ35" i="12"/>
  <c r="H12" i="8"/>
  <c r="N35" i="11"/>
  <c r="K35" i="11"/>
  <c r="O122" i="7"/>
  <c r="V32" i="17"/>
  <c r="K47" i="7"/>
  <c r="Y63" i="7"/>
  <c r="J88" i="7"/>
  <c r="AL56" i="10"/>
  <c r="H54" i="10"/>
  <c r="AL54" i="10" s="1"/>
  <c r="K23" i="56"/>
  <c r="H23" i="56"/>
  <c r="L23" i="56" s="1"/>
  <c r="AL31" i="10"/>
  <c r="N28" i="11"/>
  <c r="H9" i="8"/>
  <c r="L9" i="8" s="1"/>
  <c r="K28" i="11"/>
  <c r="AB88" i="12"/>
  <c r="AH63" i="12"/>
  <c r="I19" i="7"/>
  <c r="H20" i="10"/>
  <c r="O19" i="11"/>
  <c r="I14" i="11"/>
  <c r="AG15" i="10"/>
  <c r="AM20" i="10"/>
  <c r="F60" i="18"/>
  <c r="F61" i="18"/>
  <c r="F57" i="18"/>
  <c r="P15" i="55"/>
  <c r="R28" i="55" s="1"/>
  <c r="F37" i="17"/>
  <c r="K23" i="19"/>
  <c r="AA30" i="10"/>
  <c r="AA29" i="10" s="1"/>
  <c r="AA64" i="10" s="1"/>
  <c r="AA89" i="10" s="1"/>
  <c r="AA153" i="10" s="1"/>
  <c r="AA28" i="12"/>
  <c r="AA63" i="12" s="1"/>
  <c r="AA88" i="12" s="1"/>
  <c r="AA156" i="12" s="1"/>
  <c r="G96" i="12"/>
  <c r="H96" i="11"/>
  <c r="N34" i="44"/>
  <c r="Q30" i="44"/>
  <c r="V30" i="44"/>
  <c r="T30" i="44"/>
  <c r="T34" i="44" s="1"/>
  <c r="N29" i="7"/>
  <c r="K29" i="7"/>
  <c r="H28" i="7"/>
  <c r="Y15" i="10"/>
  <c r="Y64" i="10" s="1"/>
  <c r="Y89" i="10" s="1"/>
  <c r="Y153" i="10" s="1"/>
  <c r="AE20" i="10"/>
  <c r="AE15" i="10" s="1"/>
  <c r="L14" i="56"/>
  <c r="H13" i="56"/>
  <c r="P31" i="8"/>
  <c r="P35" i="8"/>
  <c r="P36" i="8"/>
  <c r="P32" i="8"/>
  <c r="P38" i="8"/>
  <c r="E32" i="8"/>
  <c r="AF74" i="10"/>
  <c r="AL74" i="10" s="1"/>
  <c r="AL75" i="10"/>
  <c r="AF39" i="12"/>
  <c r="AL39" i="12" s="1"/>
  <c r="N40" i="10"/>
  <c r="AF40" i="10" s="1"/>
  <c r="K37" i="17"/>
  <c r="P23" i="19"/>
  <c r="P24" i="19" s="1"/>
  <c r="K63" i="18"/>
  <c r="M36" i="10"/>
  <c r="I93" i="11"/>
  <c r="O78" i="40"/>
  <c r="U63" i="40"/>
  <c r="U78" i="40" s="1"/>
  <c r="H93" i="12"/>
  <c r="T174" i="46"/>
  <c r="T177" i="46" s="1"/>
  <c r="H27" i="10"/>
  <c r="I26" i="7"/>
  <c r="O26" i="11"/>
  <c r="I21" i="11"/>
  <c r="M95" i="11"/>
  <c r="G92" i="11"/>
  <c r="M35" i="11"/>
  <c r="G12" i="8"/>
  <c r="X12" i="8" s="1"/>
  <c r="M14" i="11"/>
  <c r="G7" i="8"/>
  <c r="G63" i="11"/>
  <c r="AK39" i="12"/>
  <c r="AD48" i="10"/>
  <c r="AJ48" i="10" s="1"/>
  <c r="AJ50" i="10"/>
  <c r="AC94" i="10"/>
  <c r="AI94" i="10" s="1"/>
  <c r="I64" i="10"/>
  <c r="AJ39" i="12"/>
  <c r="N69" i="10"/>
  <c r="N88" i="10" s="1"/>
  <c r="AF70" i="10"/>
  <c r="AK40" i="10"/>
  <c r="G36" i="10"/>
  <c r="O58" i="11"/>
  <c r="I9" i="9"/>
  <c r="AF43" i="12"/>
  <c r="AL43" i="12" s="1"/>
  <c r="T44" i="10"/>
  <c r="T35" i="12"/>
  <c r="T63" i="12" s="1"/>
  <c r="T88" i="12" s="1"/>
  <c r="AL42" i="10"/>
  <c r="L25" i="9"/>
  <c r="H31" i="9"/>
  <c r="AJ14" i="12"/>
  <c r="F63" i="12"/>
  <c r="L88" i="11"/>
  <c r="AB23" i="17"/>
  <c r="Z20" i="10" s="1"/>
  <c r="O55" i="7"/>
  <c r="I53" i="7"/>
  <c r="O53" i="7" s="1"/>
  <c r="J114" i="7"/>
  <c r="V6" i="9"/>
  <c r="I112" i="10"/>
  <c r="N58" i="11"/>
  <c r="H9" i="9"/>
  <c r="K58" i="11"/>
  <c r="AK44" i="10"/>
  <c r="M39" i="7"/>
  <c r="G35" i="7"/>
  <c r="M35" i="7" s="1"/>
  <c r="M19" i="7"/>
  <c r="G14" i="7"/>
  <c r="U50" i="41"/>
  <c r="O56" i="41"/>
  <c r="AL124" i="12"/>
  <c r="U16" i="44"/>
  <c r="O30" i="44"/>
  <c r="O31" i="44"/>
  <c r="O33" i="44" s="1"/>
  <c r="O60" i="7"/>
  <c r="I58" i="7"/>
  <c r="O58" i="7" s="1"/>
  <c r="AD88" i="10"/>
  <c r="AJ88" i="10" s="1"/>
  <c r="AJ74" i="10"/>
  <c r="AL53" i="12"/>
  <c r="H99" i="51"/>
  <c r="N99" i="51"/>
  <c r="L87" i="51"/>
  <c r="M87" i="51"/>
  <c r="G87" i="51"/>
  <c r="D88" i="51"/>
  <c r="N87" i="51"/>
  <c r="H87" i="51"/>
  <c r="H20" i="56"/>
  <c r="L20" i="56" s="1"/>
  <c r="K20" i="56"/>
  <c r="I11" i="71" l="1"/>
  <c r="C25" i="71"/>
  <c r="P21" i="71"/>
  <c r="P22" i="71" s="1"/>
  <c r="G25" i="71"/>
  <c r="M11" i="71"/>
  <c r="X7" i="8"/>
  <c r="G18" i="8"/>
  <c r="AK36" i="10"/>
  <c r="M92" i="11"/>
  <c r="E33" i="8"/>
  <c r="P33" i="8"/>
  <c r="P37" i="8"/>
  <c r="P42" i="8"/>
  <c r="AH88" i="12"/>
  <c r="H98" i="10"/>
  <c r="AL98" i="10" s="1"/>
  <c r="I100" i="7"/>
  <c r="O100" i="7" s="1"/>
  <c r="U41" i="18"/>
  <c r="V42" i="18"/>
  <c r="U42" i="17"/>
  <c r="M94" i="10" s="1"/>
  <c r="AJ112" i="10"/>
  <c r="L97" i="10"/>
  <c r="AD97" i="10" s="1"/>
  <c r="AD96" i="12"/>
  <c r="AJ96" i="12" s="1"/>
  <c r="U36" i="18"/>
  <c r="T36" i="17"/>
  <c r="L141" i="12" s="1"/>
  <c r="T33" i="18"/>
  <c r="Y32" i="17"/>
  <c r="Y37" i="18"/>
  <c r="I35" i="7"/>
  <c r="O35" i="7" s="1"/>
  <c r="N88" i="51"/>
  <c r="H88" i="51"/>
  <c r="O87" i="7"/>
  <c r="I158" i="7"/>
  <c r="O158" i="7" s="1"/>
  <c r="H96" i="51"/>
  <c r="N96" i="51"/>
  <c r="E95" i="51"/>
  <c r="AF47" i="12"/>
  <c r="AL47" i="12" s="1"/>
  <c r="AL49" i="12"/>
  <c r="E42" i="9"/>
  <c r="E38" i="9"/>
  <c r="E34" i="9"/>
  <c r="P34" i="9"/>
  <c r="M14" i="7"/>
  <c r="G63" i="7"/>
  <c r="I89" i="10"/>
  <c r="L9" i="9"/>
  <c r="K9" i="9"/>
  <c r="AF69" i="10"/>
  <c r="AL70" i="10"/>
  <c r="AL93" i="12"/>
  <c r="L13" i="56"/>
  <c r="H12" i="56"/>
  <c r="L12" i="56" s="1"/>
  <c r="AM15" i="10"/>
  <c r="K36" i="56"/>
  <c r="H36" i="56"/>
  <c r="L36" i="56" s="1"/>
  <c r="J32" i="9"/>
  <c r="X92" i="7" s="1"/>
  <c r="Y92" i="7" s="1"/>
  <c r="AC141" i="12"/>
  <c r="AC138" i="12" s="1"/>
  <c r="AC151" i="12" s="1"/>
  <c r="K138" i="12"/>
  <c r="K151" i="12" s="1"/>
  <c r="G41" i="17"/>
  <c r="G52" i="18"/>
  <c r="AE41" i="18"/>
  <c r="AE30" i="10"/>
  <c r="M29" i="10"/>
  <c r="M64" i="10" s="1"/>
  <c r="M89" i="10" s="1"/>
  <c r="N116" i="51"/>
  <c r="H116" i="51"/>
  <c r="E113" i="51"/>
  <c r="U63" i="7"/>
  <c r="AH93" i="10"/>
  <c r="D128" i="10"/>
  <c r="L92" i="11"/>
  <c r="F128" i="11"/>
  <c r="AB152" i="12"/>
  <c r="AB156" i="12" s="1"/>
  <c r="AH128" i="12"/>
  <c r="O20" i="54"/>
  <c r="Q20" i="54" s="1"/>
  <c r="G112" i="10"/>
  <c r="H114" i="7"/>
  <c r="Y6" i="9"/>
  <c r="L64" i="10"/>
  <c r="L89" i="10" s="1"/>
  <c r="E114" i="10"/>
  <c r="F116" i="7"/>
  <c r="Q18" i="9"/>
  <c r="I9" i="8"/>
  <c r="O28" i="11"/>
  <c r="O93" i="11"/>
  <c r="T6" i="8"/>
  <c r="D154" i="51"/>
  <c r="L88" i="51"/>
  <c r="G88" i="51"/>
  <c r="M88" i="51"/>
  <c r="D156" i="51"/>
  <c r="G156" i="51" s="1"/>
  <c r="U56" i="41"/>
  <c r="O79" i="41"/>
  <c r="Z15" i="10"/>
  <c r="Z64" i="10" s="1"/>
  <c r="Z89" i="10" s="1"/>
  <c r="Z153" i="10" s="1"/>
  <c r="AF20" i="10"/>
  <c r="AF15" i="10" s="1"/>
  <c r="AP37" i="17"/>
  <c r="Q23" i="19"/>
  <c r="K24" i="19"/>
  <c r="Q24" i="19" s="1"/>
  <c r="AF95" i="10"/>
  <c r="AL94" i="12"/>
  <c r="O105" i="10"/>
  <c r="AG105" i="10" s="1"/>
  <c r="AM105" i="10"/>
  <c r="S33" i="17"/>
  <c r="S37" i="18"/>
  <c r="AL44" i="17"/>
  <c r="AQ44" i="17" s="1"/>
  <c r="AE44" i="17"/>
  <c r="AF29" i="12"/>
  <c r="N30" i="10"/>
  <c r="N28" i="12"/>
  <c r="N63" i="12" s="1"/>
  <c r="N88" i="12" s="1"/>
  <c r="AA27" i="18"/>
  <c r="Z27" i="17"/>
  <c r="Z32" i="18"/>
  <c r="L88" i="7"/>
  <c r="AE28" i="12"/>
  <c r="AK29" i="12"/>
  <c r="AL122" i="10"/>
  <c r="J24" i="56"/>
  <c r="F26" i="56"/>
  <c r="F23" i="54"/>
  <c r="D23" i="54"/>
  <c r="N23" i="54"/>
  <c r="L23" i="54"/>
  <c r="G23" i="54"/>
  <c r="E23" i="54"/>
  <c r="H23" i="54"/>
  <c r="M23" i="54"/>
  <c r="I23" i="54"/>
  <c r="J23" i="54"/>
  <c r="C23" i="54"/>
  <c r="K23" i="54"/>
  <c r="D138" i="12"/>
  <c r="AH141" i="12"/>
  <c r="AD111" i="12"/>
  <c r="AJ116" i="12"/>
  <c r="AE36" i="18"/>
  <c r="J2" i="39"/>
  <c r="G36" i="17"/>
  <c r="G33" i="18"/>
  <c r="U319" i="13"/>
  <c r="O327" i="13"/>
  <c r="O325" i="13"/>
  <c r="R8" i="9"/>
  <c r="M114" i="11"/>
  <c r="G111" i="11"/>
  <c r="M111" i="11" s="1"/>
  <c r="AL39" i="10"/>
  <c r="O138" i="42"/>
  <c r="O84" i="41"/>
  <c r="U134" i="42"/>
  <c r="O136" i="42"/>
  <c r="N35" i="7"/>
  <c r="K35" i="7"/>
  <c r="AJ15" i="10"/>
  <c r="F64" i="10"/>
  <c r="AD29" i="10"/>
  <c r="AJ30" i="10"/>
  <c r="F17" i="54"/>
  <c r="F27" i="54" s="1"/>
  <c r="J17" i="54"/>
  <c r="J27" i="54" s="1"/>
  <c r="K17" i="54"/>
  <c r="K27" i="54" s="1"/>
  <c r="N17" i="54"/>
  <c r="N27" i="54" s="1"/>
  <c r="H17" i="54"/>
  <c r="M17" i="54"/>
  <c r="M27" i="54" s="1"/>
  <c r="E17" i="54"/>
  <c r="G17" i="54"/>
  <c r="G27" i="54" s="1"/>
  <c r="L17" i="54"/>
  <c r="L27" i="54" s="1"/>
  <c r="C17" i="54"/>
  <c r="I17" i="54"/>
  <c r="D17" i="54"/>
  <c r="D27" i="54" s="1"/>
  <c r="P27" i="54"/>
  <c r="AE111" i="12"/>
  <c r="AK116" i="12"/>
  <c r="H29" i="10"/>
  <c r="AL21" i="12"/>
  <c r="O329" i="13"/>
  <c r="AF44" i="10"/>
  <c r="AF36" i="10" s="1"/>
  <c r="AL36" i="10" s="1"/>
  <c r="T36" i="10"/>
  <c r="U63" i="11"/>
  <c r="U88" i="11" s="1"/>
  <c r="M63" i="11"/>
  <c r="G88" i="11"/>
  <c r="O21" i="11"/>
  <c r="I6" i="9"/>
  <c r="I18" i="9" s="1"/>
  <c r="F60" i="17"/>
  <c r="AJ37" i="17"/>
  <c r="AK37" i="17"/>
  <c r="Q510" i="55"/>
  <c r="O14" i="11"/>
  <c r="I7" i="8"/>
  <c r="I18" i="8" s="1"/>
  <c r="I63" i="11"/>
  <c r="S325" i="13"/>
  <c r="S326" i="13"/>
  <c r="AL44" i="10"/>
  <c r="V10" i="8"/>
  <c r="I98" i="10"/>
  <c r="AM98" i="10" s="1"/>
  <c r="J100" i="7"/>
  <c r="K100" i="7" s="1"/>
  <c r="H36" i="18"/>
  <c r="S18" i="19"/>
  <c r="M22" i="19"/>
  <c r="S22" i="19" s="1"/>
  <c r="AE88" i="10"/>
  <c r="AK88" i="10" s="1"/>
  <c r="AK69" i="10"/>
  <c r="AK15" i="10"/>
  <c r="G64" i="10"/>
  <c r="H18" i="9"/>
  <c r="K18" i="9" s="1"/>
  <c r="L6" i="9"/>
  <c r="K10" i="56"/>
  <c r="H10" i="56"/>
  <c r="G24" i="56"/>
  <c r="F35" i="56"/>
  <c r="I35" i="56"/>
  <c r="E33" i="56"/>
  <c r="I33" i="56" s="1"/>
  <c r="Q160" i="46"/>
  <c r="P172" i="46"/>
  <c r="AA160" i="46"/>
  <c r="L67" i="18"/>
  <c r="AJ42" i="18"/>
  <c r="W42" i="18"/>
  <c r="H67" i="18"/>
  <c r="K42" i="17"/>
  <c r="K41" i="18"/>
  <c r="O15" i="54"/>
  <c r="AE61" i="10"/>
  <c r="S59" i="10"/>
  <c r="Q141" i="11"/>
  <c r="E138" i="11"/>
  <c r="Q8" i="8"/>
  <c r="O116" i="11"/>
  <c r="T10" i="9"/>
  <c r="AD116" i="10"/>
  <c r="AD111" i="10" s="1"/>
  <c r="R111" i="10"/>
  <c r="R128" i="10" s="1"/>
  <c r="R151" i="10" s="1"/>
  <c r="R153" i="10" s="1"/>
  <c r="N63" i="11"/>
  <c r="H88" i="11"/>
  <c r="K63" i="11"/>
  <c r="AD63" i="12"/>
  <c r="AD88" i="12" s="1"/>
  <c r="AJ28" i="12"/>
  <c r="AJ114" i="12"/>
  <c r="F111" i="12"/>
  <c r="AJ111" i="12" s="1"/>
  <c r="I96" i="10"/>
  <c r="AM96" i="10" s="1"/>
  <c r="J98" i="7"/>
  <c r="G88" i="12"/>
  <c r="J151" i="11"/>
  <c r="AE116" i="10"/>
  <c r="AE111" i="10" s="1"/>
  <c r="S111" i="10"/>
  <c r="S128" i="10" s="1"/>
  <c r="S151" i="10" s="1"/>
  <c r="I154" i="10"/>
  <c r="Y88" i="7"/>
  <c r="AG30" i="10"/>
  <c r="O29" i="10"/>
  <c r="O64" i="10" s="1"/>
  <c r="O89" i="10" s="1"/>
  <c r="AL40" i="10"/>
  <c r="AL14" i="12"/>
  <c r="H63" i="12"/>
  <c r="S8" i="9"/>
  <c r="N114" i="11"/>
  <c r="G32" i="9"/>
  <c r="X32" i="9" s="1"/>
  <c r="X18" i="9"/>
  <c r="G36" i="9"/>
  <c r="AK20" i="10"/>
  <c r="N58" i="7"/>
  <c r="K58" i="7"/>
  <c r="U160" i="46"/>
  <c r="O172" i="46"/>
  <c r="V10" i="9"/>
  <c r="I116" i="10"/>
  <c r="J118" i="7"/>
  <c r="K118" i="7" s="1"/>
  <c r="N14" i="7"/>
  <c r="H63" i="7"/>
  <c r="K14" i="7"/>
  <c r="AL95" i="10"/>
  <c r="T116" i="12"/>
  <c r="L7" i="8"/>
  <c r="H18" i="8"/>
  <c r="AJ116" i="10"/>
  <c r="AI97" i="10"/>
  <c r="O29" i="7"/>
  <c r="I28" i="7"/>
  <c r="O28" i="7" s="1"/>
  <c r="AM112" i="10"/>
  <c r="N28" i="7"/>
  <c r="K28" i="7"/>
  <c r="AL20" i="10"/>
  <c r="H15" i="10"/>
  <c r="L12" i="8"/>
  <c r="N21" i="7"/>
  <c r="K21" i="7"/>
  <c r="AM29" i="12"/>
  <c r="AG28" i="12"/>
  <c r="AC64" i="10"/>
  <c r="AI29" i="10"/>
  <c r="AF44" i="18"/>
  <c r="H44" i="17"/>
  <c r="H41" i="18"/>
  <c r="H11" i="56"/>
  <c r="L11" i="56" s="1"/>
  <c r="K11" i="56"/>
  <c r="E128" i="12"/>
  <c r="X64" i="7"/>
  <c r="Y64" i="7" s="1"/>
  <c r="AE95" i="12"/>
  <c r="M96" i="10"/>
  <c r="AE96" i="10" s="1"/>
  <c r="M92" i="12"/>
  <c r="M128" i="12" s="1"/>
  <c r="AE58" i="12"/>
  <c r="AK58" i="12" s="1"/>
  <c r="AK60" i="12"/>
  <c r="K41" i="48"/>
  <c r="K43" i="48" s="1"/>
  <c r="K47" i="48" s="1"/>
  <c r="R151" i="11"/>
  <c r="R152" i="11" s="1"/>
  <c r="Y38" i="48"/>
  <c r="S176" i="46"/>
  <c r="S174" i="46"/>
  <c r="S177" i="46" s="1"/>
  <c r="T59" i="10"/>
  <c r="AF61" i="10"/>
  <c r="AF35" i="12"/>
  <c r="AL35" i="12" s="1"/>
  <c r="G111" i="12"/>
  <c r="AK111" i="12" s="1"/>
  <c r="F88" i="12"/>
  <c r="O26" i="7"/>
  <c r="I21" i="7"/>
  <c r="O21" i="7" s="1"/>
  <c r="I96" i="11"/>
  <c r="O34" i="44"/>
  <c r="U30" i="44"/>
  <c r="U34" i="44" s="1"/>
  <c r="H96" i="12"/>
  <c r="K114" i="7"/>
  <c r="AL27" i="10"/>
  <c r="H22" i="10"/>
  <c r="AL22" i="10" s="1"/>
  <c r="S9" i="8"/>
  <c r="N96" i="11"/>
  <c r="K96" i="11"/>
  <c r="H92" i="11"/>
  <c r="K92" i="11" s="1"/>
  <c r="O19" i="7"/>
  <c r="I14" i="7"/>
  <c r="AD95" i="12"/>
  <c r="L96" i="10"/>
  <c r="AD96" i="10" s="1"/>
  <c r="L92" i="12"/>
  <c r="L128" i="12" s="1"/>
  <c r="AD94" i="10"/>
  <c r="O89" i="21"/>
  <c r="U24" i="21"/>
  <c r="M114" i="7"/>
  <c r="T325" i="13"/>
  <c r="T326" i="13"/>
  <c r="P43" i="48"/>
  <c r="X60" i="18"/>
  <c r="X37" i="17"/>
  <c r="X60" i="17" s="1"/>
  <c r="C28" i="55"/>
  <c r="D28" i="55" s="1"/>
  <c r="E28" i="55" s="1"/>
  <c r="F28" i="55" s="1"/>
  <c r="G28" i="55" s="1"/>
  <c r="H28" i="55" s="1"/>
  <c r="I28" i="55" s="1"/>
  <c r="J28" i="55" s="1"/>
  <c r="K28" i="55" s="1"/>
  <c r="L28" i="55" s="1"/>
  <c r="M28" i="55" s="1"/>
  <c r="N28" i="55" s="1"/>
  <c r="O15" i="55"/>
  <c r="AH42" i="17"/>
  <c r="AO42" i="17"/>
  <c r="T89" i="21"/>
  <c r="I44" i="18"/>
  <c r="Q89" i="21"/>
  <c r="N18" i="19"/>
  <c r="O174" i="46"/>
  <c r="O177" i="46" s="1"/>
  <c r="I112" i="11"/>
  <c r="H112" i="12"/>
  <c r="U86" i="46"/>
  <c r="AK116" i="10"/>
  <c r="AG116" i="12"/>
  <c r="U116" i="10"/>
  <c r="U111" i="12"/>
  <c r="U128" i="12" s="1"/>
  <c r="U152" i="12" s="1"/>
  <c r="U156" i="12" s="1"/>
  <c r="I157" i="12" s="1"/>
  <c r="AF50" i="10"/>
  <c r="N48" i="10"/>
  <c r="I26" i="56"/>
  <c r="I27" i="56"/>
  <c r="L31" i="9"/>
  <c r="K31" i="9"/>
  <c r="S87" i="7"/>
  <c r="V87" i="7" s="1"/>
  <c r="M96" i="12"/>
  <c r="G92" i="12"/>
  <c r="AM92" i="12"/>
  <c r="F97" i="10"/>
  <c r="AJ97" i="10" s="1"/>
  <c r="G99" i="7"/>
  <c r="M99" i="7" s="1"/>
  <c r="T52" i="18"/>
  <c r="T52" i="17" s="1"/>
  <c r="T41" i="17"/>
  <c r="AC88" i="12"/>
  <c r="AI63" i="12"/>
  <c r="AB89" i="10"/>
  <c r="AH64" i="10"/>
  <c r="AC95" i="12"/>
  <c r="K96" i="10"/>
  <c r="K92" i="12"/>
  <c r="K128" i="12" s="1"/>
  <c r="K152" i="12" s="1"/>
  <c r="N96" i="7"/>
  <c r="H34" i="56"/>
  <c r="K34" i="56"/>
  <c r="R60" i="18"/>
  <c r="R37" i="17"/>
  <c r="R60" i="17" s="1"/>
  <c r="AM138" i="12"/>
  <c r="I151" i="12"/>
  <c r="AM151" i="12" s="1"/>
  <c r="N36" i="10"/>
  <c r="N118" i="7"/>
  <c r="S64" i="10"/>
  <c r="S89" i="10" s="1"/>
  <c r="S153" i="10" s="1"/>
  <c r="AF58" i="12"/>
  <c r="AL58" i="12" s="1"/>
  <c r="AL60" i="12"/>
  <c r="P95" i="7"/>
  <c r="E130" i="7"/>
  <c r="E32" i="56"/>
  <c r="AE48" i="10"/>
  <c r="AK48" i="10" s="1"/>
  <c r="AK50" i="10"/>
  <c r="AJ63" i="12" l="1"/>
  <c r="AM116" i="12"/>
  <c r="AG111" i="12"/>
  <c r="AG128" i="12" s="1"/>
  <c r="AG152" i="12" s="1"/>
  <c r="AL112" i="12"/>
  <c r="E38" i="56"/>
  <c r="I32" i="56"/>
  <c r="F32" i="56"/>
  <c r="M97" i="10"/>
  <c r="AE97" i="10" s="1"/>
  <c r="AE96" i="12"/>
  <c r="AK96" i="12" s="1"/>
  <c r="O112" i="11"/>
  <c r="T6" i="9"/>
  <c r="Q15" i="55"/>
  <c r="O28" i="55"/>
  <c r="Q28" i="55" s="1"/>
  <c r="P510" i="55"/>
  <c r="J326" i="13"/>
  <c r="AJ88" i="12"/>
  <c r="M326" i="13"/>
  <c r="F98" i="7"/>
  <c r="E96" i="10"/>
  <c r="Q18" i="8"/>
  <c r="AP42" i="17"/>
  <c r="AI42" i="17"/>
  <c r="U6" i="8"/>
  <c r="G89" i="10"/>
  <c r="F61" i="17"/>
  <c r="H27" i="54"/>
  <c r="R2" i="39"/>
  <c r="J36" i="39"/>
  <c r="AK112" i="10"/>
  <c r="AE52" i="18"/>
  <c r="G62" i="18"/>
  <c r="G52" i="17"/>
  <c r="G88" i="7"/>
  <c r="M63" i="7"/>
  <c r="AF48" i="10"/>
  <c r="AL48" i="10" s="1"/>
  <c r="AL50" i="10"/>
  <c r="U89" i="21"/>
  <c r="J44" i="18"/>
  <c r="O18" i="19"/>
  <c r="O127" i="22"/>
  <c r="H128" i="11"/>
  <c r="N92" i="11"/>
  <c r="N96" i="12"/>
  <c r="O176" i="46"/>
  <c r="U172" i="46"/>
  <c r="H114" i="12"/>
  <c r="AL114" i="12" s="1"/>
  <c r="I114" i="11"/>
  <c r="N326" i="13"/>
  <c r="Q138" i="11"/>
  <c r="E151" i="11"/>
  <c r="H71" i="18"/>
  <c r="O71" i="18" s="1"/>
  <c r="O67" i="18"/>
  <c r="O63" i="11"/>
  <c r="I88" i="11"/>
  <c r="Q36" i="9"/>
  <c r="Q32" i="9"/>
  <c r="F37" i="9"/>
  <c r="F39" i="9"/>
  <c r="Q33" i="9"/>
  <c r="F33" i="9"/>
  <c r="H113" i="51"/>
  <c r="N113" i="51"/>
  <c r="AL41" i="17"/>
  <c r="AQ41" i="17" s="1"/>
  <c r="AE41" i="17"/>
  <c r="E130" i="51"/>
  <c r="N95" i="51"/>
  <c r="H95" i="51"/>
  <c r="Y60" i="18"/>
  <c r="Y37" i="17"/>
  <c r="Y60" i="17" s="1"/>
  <c r="K157" i="12"/>
  <c r="K156" i="12"/>
  <c r="AC96" i="10"/>
  <c r="AC93" i="10" s="1"/>
  <c r="AC128" i="10" s="1"/>
  <c r="AC151" i="10" s="1"/>
  <c r="K93" i="10"/>
  <c r="K128" i="10" s="1"/>
  <c r="K151" i="10" s="1"/>
  <c r="Y18" i="19"/>
  <c r="I36" i="18"/>
  <c r="O10" i="69" s="1"/>
  <c r="T18" i="19"/>
  <c r="N22" i="19"/>
  <c r="T22" i="19" s="1"/>
  <c r="L93" i="10"/>
  <c r="L128" i="10" s="1"/>
  <c r="L151" i="10" s="1"/>
  <c r="AC89" i="10"/>
  <c r="AI64" i="10"/>
  <c r="AL15" i="10"/>
  <c r="H64" i="10"/>
  <c r="N88" i="11"/>
  <c r="K88" i="11"/>
  <c r="W41" i="18"/>
  <c r="W42" i="17"/>
  <c r="O94" i="10" s="1"/>
  <c r="G35" i="56"/>
  <c r="J35" i="56"/>
  <c r="F33" i="56"/>
  <c r="J33" i="56" s="1"/>
  <c r="I31" i="8"/>
  <c r="T63" i="7"/>
  <c r="I35" i="8"/>
  <c r="I36" i="9"/>
  <c r="I32" i="9"/>
  <c r="I27" i="54"/>
  <c r="F114" i="10"/>
  <c r="G116" i="7"/>
  <c r="R18" i="9"/>
  <c r="J26" i="56"/>
  <c r="Z32" i="17"/>
  <c r="Z37" i="18"/>
  <c r="S60" i="18"/>
  <c r="S37" i="17"/>
  <c r="S60" i="17" s="1"/>
  <c r="L116" i="7"/>
  <c r="F113" i="7"/>
  <c r="L113" i="7" s="1"/>
  <c r="G128" i="11"/>
  <c r="AC92" i="12"/>
  <c r="AI95" i="12"/>
  <c r="AG116" i="10"/>
  <c r="AG111" i="10" s="1"/>
  <c r="U111" i="10"/>
  <c r="U128" i="10" s="1"/>
  <c r="U151" i="10" s="1"/>
  <c r="U153" i="10" s="1"/>
  <c r="AD93" i="10"/>
  <c r="AD128" i="10" s="1"/>
  <c r="AD151" i="10" s="1"/>
  <c r="AJ94" i="10"/>
  <c r="AF59" i="10"/>
  <c r="AL59" i="10" s="1"/>
  <c r="AL61" i="10"/>
  <c r="AM28" i="12"/>
  <c r="AG63" i="12"/>
  <c r="H88" i="7"/>
  <c r="N63" i="7"/>
  <c r="K63" i="7"/>
  <c r="AM30" i="10"/>
  <c r="AG29" i="10"/>
  <c r="G26" i="56"/>
  <c r="K24" i="56"/>
  <c r="O17" i="54"/>
  <c r="Q17" i="54" s="1"/>
  <c r="C27" i="54"/>
  <c r="G154" i="51"/>
  <c r="L154" i="51"/>
  <c r="AI114" i="10"/>
  <c r="E111" i="10"/>
  <c r="AI111" i="10" s="1"/>
  <c r="AF88" i="10"/>
  <c r="AL88" i="10" s="1"/>
  <c r="AL69" i="10"/>
  <c r="T33" i="17"/>
  <c r="T37" i="18"/>
  <c r="AG44" i="18"/>
  <c r="I44" i="17"/>
  <c r="AJ44" i="18"/>
  <c r="I41" i="18"/>
  <c r="Y9" i="8"/>
  <c r="H99" i="7"/>
  <c r="G97" i="10"/>
  <c r="AK97" i="10" s="1"/>
  <c r="V9" i="8"/>
  <c r="T9" i="8"/>
  <c r="O96" i="11"/>
  <c r="AE59" i="10"/>
  <c r="AK59" i="10" s="1"/>
  <c r="AK61" i="10"/>
  <c r="R67" i="18"/>
  <c r="L71" i="18"/>
  <c r="R71" i="18" s="1"/>
  <c r="L10" i="56"/>
  <c r="H24" i="56"/>
  <c r="R510" i="55"/>
  <c r="M88" i="11"/>
  <c r="AA27" i="17"/>
  <c r="AB27" i="18"/>
  <c r="AA32" i="18"/>
  <c r="L153" i="10"/>
  <c r="L128" i="11"/>
  <c r="AD141" i="12"/>
  <c r="AD138" i="12" s="1"/>
  <c r="AD151" i="12" s="1"/>
  <c r="L138" i="12"/>
  <c r="L151" i="12" s="1"/>
  <c r="L152" i="12" s="1"/>
  <c r="L156" i="12" s="1"/>
  <c r="G31" i="8"/>
  <c r="X18" i="8"/>
  <c r="G35" i="8"/>
  <c r="Q15" i="54"/>
  <c r="U326" i="13"/>
  <c r="U325" i="13"/>
  <c r="D151" i="12"/>
  <c r="AH138" i="12"/>
  <c r="U79" i="41"/>
  <c r="U83" i="41" s="1"/>
  <c r="H95" i="12"/>
  <c r="I95" i="11"/>
  <c r="O83" i="41"/>
  <c r="H94" i="10"/>
  <c r="I96" i="7"/>
  <c r="AE29" i="10"/>
  <c r="AK30" i="10"/>
  <c r="V36" i="18"/>
  <c r="U36" i="17"/>
  <c r="M141" i="12" s="1"/>
  <c r="U33" i="18"/>
  <c r="AE94" i="10"/>
  <c r="M93" i="10"/>
  <c r="M128" i="10" s="1"/>
  <c r="M151" i="10" s="1"/>
  <c r="M153" i="10" s="1"/>
  <c r="AB153" i="10"/>
  <c r="AH89" i="10"/>
  <c r="AF41" i="18"/>
  <c r="H52" i="18"/>
  <c r="H41" i="17"/>
  <c r="H35" i="8"/>
  <c r="H31" i="8"/>
  <c r="L18" i="8"/>
  <c r="S63" i="7"/>
  <c r="V63" i="7" s="1"/>
  <c r="L34" i="56"/>
  <c r="G128" i="12"/>
  <c r="AK92" i="12"/>
  <c r="U174" i="46"/>
  <c r="P45" i="48"/>
  <c r="Z43" i="48"/>
  <c r="P91" i="40"/>
  <c r="P47" i="48"/>
  <c r="AD92" i="12"/>
  <c r="AJ95" i="12"/>
  <c r="Y8" i="9"/>
  <c r="H116" i="7"/>
  <c r="N116" i="7" s="1"/>
  <c r="G114" i="10"/>
  <c r="AK114" i="10" s="1"/>
  <c r="X151" i="11"/>
  <c r="H116" i="10"/>
  <c r="I118" i="7"/>
  <c r="O118" i="7" s="1"/>
  <c r="Q172" i="46"/>
  <c r="P176" i="46"/>
  <c r="I114" i="12"/>
  <c r="J114" i="11"/>
  <c r="P174" i="46"/>
  <c r="AA172" i="46"/>
  <c r="E27" i="54"/>
  <c r="AD64" i="10"/>
  <c r="AD89" i="10" s="1"/>
  <c r="AD153" i="10" s="1"/>
  <c r="AJ29" i="10"/>
  <c r="G33" i="17"/>
  <c r="AE33" i="18"/>
  <c r="G37" i="18"/>
  <c r="AE63" i="12"/>
  <c r="AK28" i="12"/>
  <c r="AF30" i="10"/>
  <c r="N29" i="10"/>
  <c r="N64" i="10" s="1"/>
  <c r="N89" i="10" s="1"/>
  <c r="N114" i="7"/>
  <c r="H113" i="7"/>
  <c r="D151" i="10"/>
  <c r="AH128" i="10"/>
  <c r="V41" i="18"/>
  <c r="V42" i="17"/>
  <c r="N94" i="10" s="1"/>
  <c r="N111" i="11"/>
  <c r="P130" i="7"/>
  <c r="E47" i="8"/>
  <c r="M46" i="8" s="1"/>
  <c r="M47" i="8" s="1"/>
  <c r="E153" i="7"/>
  <c r="E157" i="7"/>
  <c r="P157" i="7" s="1"/>
  <c r="AI88" i="12"/>
  <c r="O14" i="7"/>
  <c r="I63" i="7"/>
  <c r="AE92" i="12"/>
  <c r="AE128" i="12" s="1"/>
  <c r="AK95" i="12"/>
  <c r="AF44" i="17"/>
  <c r="AM44" i="17"/>
  <c r="AR44" i="17" s="1"/>
  <c r="R8" i="8"/>
  <c r="F128" i="12"/>
  <c r="T116" i="10"/>
  <c r="AF116" i="12"/>
  <c r="T111" i="12"/>
  <c r="T128" i="12" s="1"/>
  <c r="T152" i="12" s="1"/>
  <c r="T156" i="12" s="1"/>
  <c r="H88" i="12"/>
  <c r="AJ41" i="18"/>
  <c r="K52" i="18"/>
  <c r="E16" i="71" s="1"/>
  <c r="K41" i="17"/>
  <c r="H32" i="9"/>
  <c r="L32" i="9" s="1"/>
  <c r="S33" i="9"/>
  <c r="L18" i="9"/>
  <c r="H36" i="9"/>
  <c r="H36" i="17"/>
  <c r="AF36" i="18"/>
  <c r="H33" i="18"/>
  <c r="K2" i="39"/>
  <c r="K36" i="39" s="1"/>
  <c r="T64" i="10"/>
  <c r="T89" i="10" s="1"/>
  <c r="F89" i="10"/>
  <c r="AJ64" i="10"/>
  <c r="L37" i="48"/>
  <c r="AE36" i="17"/>
  <c r="J37" i="39"/>
  <c r="AL36" i="17"/>
  <c r="AQ36" i="17" s="1"/>
  <c r="O23" i="54"/>
  <c r="Q23" i="54" s="1"/>
  <c r="AF28" i="12"/>
  <c r="AL29" i="12"/>
  <c r="S18" i="9"/>
  <c r="U52" i="18"/>
  <c r="U52" i="17" s="1"/>
  <c r="U41" i="17"/>
  <c r="K6" i="71" l="1"/>
  <c r="E18" i="71"/>
  <c r="Q10" i="69"/>
  <c r="Q28" i="69" s="1"/>
  <c r="O28" i="69"/>
  <c r="O32" i="69" s="1"/>
  <c r="AM116" i="10"/>
  <c r="AE33" i="17"/>
  <c r="AL33" i="17"/>
  <c r="AQ33" i="17" s="1"/>
  <c r="N36" i="39"/>
  <c r="M42" i="39" s="1"/>
  <c r="H52" i="17"/>
  <c r="AF52" i="18"/>
  <c r="H62" i="18"/>
  <c r="V36" i="17"/>
  <c r="N141" i="12" s="1"/>
  <c r="V33" i="18"/>
  <c r="N95" i="12"/>
  <c r="H92" i="12"/>
  <c r="L24" i="56"/>
  <c r="H26" i="56"/>
  <c r="R32" i="9"/>
  <c r="R36" i="9"/>
  <c r="G37" i="9"/>
  <c r="G39" i="9"/>
  <c r="G33" i="9"/>
  <c r="X33" i="9" s="1"/>
  <c r="R33" i="9"/>
  <c r="AC153" i="10"/>
  <c r="AI89" i="10"/>
  <c r="K157" i="10"/>
  <c r="K153" i="10"/>
  <c r="H130" i="51"/>
  <c r="N130" i="51"/>
  <c r="E153" i="51"/>
  <c r="O114" i="11"/>
  <c r="T8" i="9"/>
  <c r="M88" i="7"/>
  <c r="F47" i="8"/>
  <c r="Q31" i="8"/>
  <c r="Q35" i="8"/>
  <c r="Q36" i="8"/>
  <c r="Q38" i="8"/>
  <c r="F32" i="8"/>
  <c r="Q32" i="8"/>
  <c r="J32" i="56"/>
  <c r="F38" i="56"/>
  <c r="G32" i="56"/>
  <c r="O326" i="13"/>
  <c r="AF111" i="12"/>
  <c r="AL116" i="12"/>
  <c r="O63" i="7"/>
  <c r="I88" i="7"/>
  <c r="S88" i="7"/>
  <c r="V88" i="7" s="1"/>
  <c r="L31" i="8"/>
  <c r="AA37" i="18"/>
  <c r="AA32" i="17"/>
  <c r="T60" i="18"/>
  <c r="T37" i="17"/>
  <c r="T60" i="17" s="1"/>
  <c r="M116" i="7"/>
  <c r="G113" i="7"/>
  <c r="M113" i="7" s="1"/>
  <c r="T88" i="7"/>
  <c r="K32" i="9"/>
  <c r="J36" i="18"/>
  <c r="U18" i="19"/>
  <c r="O22" i="19"/>
  <c r="U22" i="19" s="1"/>
  <c r="G62" i="17"/>
  <c r="AL52" i="17"/>
  <c r="AQ52" i="17" s="1"/>
  <c r="AE52" i="17"/>
  <c r="AI96" i="10"/>
  <c r="E93" i="10"/>
  <c r="R37" i="39"/>
  <c r="J39" i="39"/>
  <c r="AF116" i="10"/>
  <c r="AF111" i="10" s="1"/>
  <c r="T111" i="10"/>
  <c r="T128" i="10" s="1"/>
  <c r="T151" i="10" s="1"/>
  <c r="AF94" i="10"/>
  <c r="AF29" i="10"/>
  <c r="AL30" i="10"/>
  <c r="AL116" i="10"/>
  <c r="AD128" i="12"/>
  <c r="AD152" i="12" s="1"/>
  <c r="AD156" i="12" s="1"/>
  <c r="AJ92" i="12"/>
  <c r="AK128" i="12"/>
  <c r="AE64" i="10"/>
  <c r="AK29" i="10"/>
  <c r="X31" i="8"/>
  <c r="AC27" i="18"/>
  <c r="AB27" i="17"/>
  <c r="AB32" i="18"/>
  <c r="N99" i="7"/>
  <c r="K99" i="7"/>
  <c r="O27" i="54"/>
  <c r="C28" i="54"/>
  <c r="D28" i="54" s="1"/>
  <c r="E28" i="54" s="1"/>
  <c r="F28" i="54" s="1"/>
  <c r="G28" i="54" s="1"/>
  <c r="H28" i="54" s="1"/>
  <c r="I28" i="54" s="1"/>
  <c r="J28" i="54" s="1"/>
  <c r="K28" i="54" s="1"/>
  <c r="L28" i="54" s="1"/>
  <c r="M28" i="54" s="1"/>
  <c r="N28" i="54" s="1"/>
  <c r="AJ114" i="10"/>
  <c r="F111" i="10"/>
  <c r="AJ111" i="10" s="1"/>
  <c r="F42" i="9"/>
  <c r="F38" i="9"/>
  <c r="Q34" i="9"/>
  <c r="F34" i="9"/>
  <c r="Q151" i="11"/>
  <c r="E152" i="11"/>
  <c r="AH44" i="18"/>
  <c r="J44" i="17"/>
  <c r="T8" i="8" s="1"/>
  <c r="J41" i="18"/>
  <c r="L98" i="7"/>
  <c r="F95" i="7"/>
  <c r="I38" i="56"/>
  <c r="E40" i="56"/>
  <c r="I114" i="7"/>
  <c r="H112" i="10"/>
  <c r="T18" i="9"/>
  <c r="T153" i="10"/>
  <c r="N113" i="7"/>
  <c r="H33" i="17"/>
  <c r="AF33" i="18"/>
  <c r="H37" i="18"/>
  <c r="S36" i="9"/>
  <c r="S32" i="9"/>
  <c r="Y18" i="9"/>
  <c r="H37" i="9"/>
  <c r="H39" i="9"/>
  <c r="G98" i="7"/>
  <c r="F96" i="10"/>
  <c r="R18" i="8"/>
  <c r="AE88" i="12"/>
  <c r="AK63" i="12"/>
  <c r="P89" i="40"/>
  <c r="P92" i="40" s="1"/>
  <c r="P177" i="46"/>
  <c r="AH178" i="46" s="1"/>
  <c r="O96" i="7"/>
  <c r="AH151" i="12"/>
  <c r="D152" i="12"/>
  <c r="N88" i="7"/>
  <c r="K88" i="7"/>
  <c r="Z60" i="18"/>
  <c r="Z37" i="17"/>
  <c r="Z60" i="17" s="1"/>
  <c r="AF96" i="12"/>
  <c r="AL96" i="12" s="1"/>
  <c r="N97" i="10"/>
  <c r="AF97" i="10" s="1"/>
  <c r="H111" i="12"/>
  <c r="AL111" i="12" s="1"/>
  <c r="M37" i="48"/>
  <c r="K37" i="39"/>
  <c r="K38" i="39" s="1"/>
  <c r="AF36" i="17"/>
  <c r="AM36" i="17"/>
  <c r="AR36" i="17" s="1"/>
  <c r="AJ128" i="12"/>
  <c r="G60" i="18"/>
  <c r="G37" i="17"/>
  <c r="G61" i="18"/>
  <c r="AE37" i="18"/>
  <c r="L23" i="19"/>
  <c r="G57" i="18"/>
  <c r="AE93" i="10"/>
  <c r="AE128" i="10" s="1"/>
  <c r="AE151" i="10" s="1"/>
  <c r="AK94" i="10"/>
  <c r="AL94" i="10"/>
  <c r="I41" i="17"/>
  <c r="AI41" i="17" s="1"/>
  <c r="AG41" i="18"/>
  <c r="I52" i="18"/>
  <c r="K26" i="56"/>
  <c r="AG88" i="12"/>
  <c r="AM63" i="12"/>
  <c r="K35" i="56"/>
  <c r="H35" i="56"/>
  <c r="G33" i="56"/>
  <c r="K33" i="56" s="1"/>
  <c r="H89" i="10"/>
  <c r="G111" i="10"/>
  <c r="AK111" i="10" s="1"/>
  <c r="V6" i="8"/>
  <c r="I94" i="10"/>
  <c r="J96" i="7"/>
  <c r="U18" i="8"/>
  <c r="I111" i="11"/>
  <c r="O111" i="11" s="1"/>
  <c r="AP41" i="17"/>
  <c r="V52" i="18"/>
  <c r="V52" i="17" s="1"/>
  <c r="V41" i="17"/>
  <c r="E141" i="12"/>
  <c r="L38" i="48"/>
  <c r="L44" i="48"/>
  <c r="R37" i="48"/>
  <c r="F141" i="11"/>
  <c r="L49" i="48"/>
  <c r="K52" i="17"/>
  <c r="F16" i="71" s="1"/>
  <c r="AJ52" i="18"/>
  <c r="K60" i="18"/>
  <c r="K57" i="18"/>
  <c r="U8" i="9"/>
  <c r="K114" i="11"/>
  <c r="J111" i="11"/>
  <c r="AF63" i="12"/>
  <c r="AL28" i="12"/>
  <c r="AJ89" i="10"/>
  <c r="H33" i="9"/>
  <c r="L33" i="9" s="1"/>
  <c r="M40" i="56"/>
  <c r="P153" i="7"/>
  <c r="P162" i="7" s="1"/>
  <c r="L57" i="17"/>
  <c r="E161" i="7"/>
  <c r="E162" i="7"/>
  <c r="Y41" i="48"/>
  <c r="P35" i="9"/>
  <c r="P34" i="8"/>
  <c r="AH151" i="10"/>
  <c r="V155" i="10"/>
  <c r="P155" i="10"/>
  <c r="D153" i="10"/>
  <c r="J155" i="10"/>
  <c r="AM114" i="12"/>
  <c r="I111" i="12"/>
  <c r="U33" i="17"/>
  <c r="U37" i="18"/>
  <c r="AM29" i="10"/>
  <c r="AG64" i="10"/>
  <c r="AC128" i="12"/>
  <c r="AI92" i="12"/>
  <c r="AG94" i="10"/>
  <c r="AG93" i="10" s="1"/>
  <c r="AG128" i="10" s="1"/>
  <c r="AG151" i="10" s="1"/>
  <c r="O93" i="10"/>
  <c r="O128" i="10" s="1"/>
  <c r="O151" i="10" s="1"/>
  <c r="O153" i="10" s="1"/>
  <c r="M155" i="10" s="1"/>
  <c r="L2" i="39"/>
  <c r="AG36" i="18"/>
  <c r="I36" i="17"/>
  <c r="O31" i="69" s="1"/>
  <c r="Q31" i="69" s="1"/>
  <c r="I33" i="18"/>
  <c r="AJ36" i="18"/>
  <c r="O88" i="11"/>
  <c r="J38" i="39"/>
  <c r="R36" i="39"/>
  <c r="AF41" i="17"/>
  <c r="AM41" i="17"/>
  <c r="AR41" i="17" s="1"/>
  <c r="AE141" i="12"/>
  <c r="AE138" i="12" s="1"/>
  <c r="AE151" i="12" s="1"/>
  <c r="AE152" i="12" s="1"/>
  <c r="M138" i="12"/>
  <c r="M151" i="12" s="1"/>
  <c r="M152" i="12" s="1"/>
  <c r="M156" i="12" s="1"/>
  <c r="O95" i="11"/>
  <c r="I92" i="11"/>
  <c r="H97" i="10"/>
  <c r="AL97" i="10" s="1"/>
  <c r="I99" i="7"/>
  <c r="O99" i="7" s="1"/>
  <c r="AN44" i="17"/>
  <c r="AS44" i="17" s="1"/>
  <c r="AG44" i="17"/>
  <c r="AI44" i="17"/>
  <c r="S8" i="8"/>
  <c r="M128" i="11"/>
  <c r="W52" i="18"/>
  <c r="W41" i="17"/>
  <c r="N128" i="11"/>
  <c r="V128" i="11"/>
  <c r="K57" i="17" l="1"/>
  <c r="J28" i="70"/>
  <c r="J29" i="70" s="1"/>
  <c r="F18" i="71"/>
  <c r="L6" i="71"/>
  <c r="K8" i="71"/>
  <c r="E24" i="71"/>
  <c r="E22" i="71"/>
  <c r="Q32" i="69"/>
  <c r="W52" i="17"/>
  <c r="W60" i="17" s="1"/>
  <c r="K61" i="17" s="1"/>
  <c r="W60" i="18"/>
  <c r="O92" i="11"/>
  <c r="I128" i="11"/>
  <c r="AG156" i="12"/>
  <c r="M158" i="12" s="1"/>
  <c r="AM88" i="12"/>
  <c r="AH41" i="18"/>
  <c r="J52" i="18"/>
  <c r="J41" i="17"/>
  <c r="AB32" i="17"/>
  <c r="AB37" i="18"/>
  <c r="G38" i="9"/>
  <c r="G42" i="9"/>
  <c r="R34" i="9"/>
  <c r="G34" i="9"/>
  <c r="M37" i="9" s="1"/>
  <c r="AP52" i="17"/>
  <c r="K60" i="17"/>
  <c r="P27" i="71" s="1"/>
  <c r="D144" i="6"/>
  <c r="T32" i="9"/>
  <c r="T36" i="9"/>
  <c r="I37" i="9"/>
  <c r="I39" i="9"/>
  <c r="I33" i="9"/>
  <c r="T33" i="9"/>
  <c r="AH44" i="17"/>
  <c r="AO44" i="17"/>
  <c r="L26" i="56"/>
  <c r="I98" i="7"/>
  <c r="H96" i="10"/>
  <c r="T18" i="8"/>
  <c r="AC152" i="12"/>
  <c r="AC156" i="12" s="1"/>
  <c r="AI128" i="12"/>
  <c r="AF88" i="12"/>
  <c r="AL63" i="12"/>
  <c r="H42" i="9"/>
  <c r="H38" i="9"/>
  <c r="Y32" i="9"/>
  <c r="S34" i="9"/>
  <c r="H34" i="9"/>
  <c r="AL112" i="10"/>
  <c r="AC27" i="17"/>
  <c r="AC32" i="18"/>
  <c r="I116" i="7"/>
  <c r="O116" i="7" s="1"/>
  <c r="H114" i="10"/>
  <c r="AL114" i="10" s="1"/>
  <c r="AF52" i="17"/>
  <c r="H62" i="17"/>
  <c r="AM52" i="17"/>
  <c r="AR52" i="17" s="1"/>
  <c r="AG33" i="18"/>
  <c r="I33" i="17"/>
  <c r="AJ33" i="18"/>
  <c r="I37" i="18"/>
  <c r="AG89" i="10"/>
  <c r="AM64" i="10"/>
  <c r="K111" i="11"/>
  <c r="J128" i="11"/>
  <c r="D16" i="71" s="1"/>
  <c r="L141" i="11"/>
  <c r="F138" i="11"/>
  <c r="I62" i="18"/>
  <c r="AG52" i="18"/>
  <c r="I52" i="17"/>
  <c r="AE156" i="12"/>
  <c r="AK88" i="12"/>
  <c r="I113" i="7"/>
  <c r="O113" i="7" s="1"/>
  <c r="O114" i="7"/>
  <c r="Q152" i="11"/>
  <c r="E157" i="11"/>
  <c r="K39" i="39"/>
  <c r="H128" i="12"/>
  <c r="AG36" i="17"/>
  <c r="M5" i="6" s="1"/>
  <c r="N37" i="48"/>
  <c r="AN36" i="17"/>
  <c r="AS36" i="17" s="1"/>
  <c r="W157" i="7"/>
  <c r="L37" i="39"/>
  <c r="AI36" i="17"/>
  <c r="L24" i="19"/>
  <c r="R24" i="19" s="1"/>
  <c r="R23" i="19"/>
  <c r="AH152" i="12"/>
  <c r="D156" i="12"/>
  <c r="R31" i="8"/>
  <c r="R35" i="8"/>
  <c r="R36" i="8"/>
  <c r="R38" i="8"/>
  <c r="R32" i="8"/>
  <c r="G32" i="8"/>
  <c r="X32" i="8" s="1"/>
  <c r="H57" i="18"/>
  <c r="H60" i="18"/>
  <c r="H61" i="18"/>
  <c r="AF37" i="18"/>
  <c r="H37" i="17"/>
  <c r="M23" i="19"/>
  <c r="I41" i="56"/>
  <c r="I40" i="56"/>
  <c r="E41" i="56"/>
  <c r="AH36" i="18"/>
  <c r="J36" i="17"/>
  <c r="M2" i="39"/>
  <c r="M36" i="39" s="1"/>
  <c r="J33" i="18"/>
  <c r="H153" i="51"/>
  <c r="N153" i="51"/>
  <c r="E156" i="51"/>
  <c r="E154" i="51"/>
  <c r="H154" i="51" s="1"/>
  <c r="AF95" i="12"/>
  <c r="N96" i="10"/>
  <c r="N92" i="12"/>
  <c r="N128" i="12" s="1"/>
  <c r="U60" i="18"/>
  <c r="U37" i="17"/>
  <c r="U60" i="17" s="1"/>
  <c r="J116" i="7"/>
  <c r="V8" i="9"/>
  <c r="I114" i="10"/>
  <c r="U18" i="9"/>
  <c r="X131" i="7" s="1"/>
  <c r="V18" i="8"/>
  <c r="U31" i="8"/>
  <c r="J32" i="8"/>
  <c r="U32" i="8"/>
  <c r="L35" i="56"/>
  <c r="H33" i="56"/>
  <c r="L33" i="56" s="1"/>
  <c r="AN41" i="17"/>
  <c r="AS41" i="17" s="1"/>
  <c r="AG41" i="17"/>
  <c r="AJ96" i="10"/>
  <c r="F93" i="10"/>
  <c r="Q27" i="54"/>
  <c r="O28" i="54"/>
  <c r="AL29" i="10"/>
  <c r="AF64" i="10"/>
  <c r="AI93" i="10"/>
  <c r="E128" i="10"/>
  <c r="G38" i="56"/>
  <c r="H32" i="56"/>
  <c r="K32" i="56"/>
  <c r="Q33" i="8"/>
  <c r="F33" i="8"/>
  <c r="AA34" i="14" s="1"/>
  <c r="Q37" i="8"/>
  <c r="L36" i="39"/>
  <c r="Q3" i="39"/>
  <c r="S151" i="11"/>
  <c r="S152" i="11" s="1"/>
  <c r="L41" i="48"/>
  <c r="R38" i="48"/>
  <c r="K96" i="7"/>
  <c r="J95" i="7"/>
  <c r="M98" i="7"/>
  <c r="G95" i="7"/>
  <c r="AM33" i="17"/>
  <c r="AR33" i="17" s="1"/>
  <c r="AF33" i="17"/>
  <c r="F130" i="7"/>
  <c r="L95" i="7"/>
  <c r="AE89" i="10"/>
  <c r="AK64" i="10"/>
  <c r="O88" i="7"/>
  <c r="F40" i="56"/>
  <c r="J38" i="56"/>
  <c r="V33" i="17"/>
  <c r="V37" i="18"/>
  <c r="Y8" i="8"/>
  <c r="H98" i="7"/>
  <c r="G96" i="10"/>
  <c r="S18" i="8"/>
  <c r="V8" i="8"/>
  <c r="AM111" i="12"/>
  <c r="I128" i="12"/>
  <c r="AI141" i="12"/>
  <c r="E138" i="12"/>
  <c r="AM94" i="10"/>
  <c r="I93" i="10"/>
  <c r="G60" i="17"/>
  <c r="AE37" i="17"/>
  <c r="AL37" i="17"/>
  <c r="AQ37" i="17" s="1"/>
  <c r="G61" i="17"/>
  <c r="F141" i="12"/>
  <c r="G141" i="11"/>
  <c r="S37" i="48"/>
  <c r="M49" i="48"/>
  <c r="M38" i="48"/>
  <c r="M44" i="48"/>
  <c r="AA37" i="17"/>
  <c r="AA60" i="17" s="1"/>
  <c r="AA60" i="18"/>
  <c r="AF141" i="12"/>
  <c r="AF138" i="12" s="1"/>
  <c r="AF151" i="12" s="1"/>
  <c r="N138" i="12"/>
  <c r="N151" i="12" s="1"/>
  <c r="J6" i="71" l="1"/>
  <c r="D18" i="71"/>
  <c r="G16" i="71"/>
  <c r="D31" i="69"/>
  <c r="T22" i="71"/>
  <c r="G18" i="71"/>
  <c r="M6" i="71"/>
  <c r="F24" i="71"/>
  <c r="L8" i="71"/>
  <c r="F22" i="71"/>
  <c r="P28" i="71" s="1"/>
  <c r="P29" i="71" s="1"/>
  <c r="K12" i="71"/>
  <c r="E26" i="71"/>
  <c r="M95" i="7"/>
  <c r="G130" i="7"/>
  <c r="O37" i="39"/>
  <c r="M39" i="39"/>
  <c r="AG153" i="10"/>
  <c r="M154" i="10" s="1"/>
  <c r="AM89" i="10"/>
  <c r="N98" i="7"/>
  <c r="H95" i="7"/>
  <c r="K98" i="7"/>
  <c r="O36" i="39"/>
  <c r="L38" i="39"/>
  <c r="E151" i="10"/>
  <c r="AI128" i="10"/>
  <c r="U130" i="7"/>
  <c r="N152" i="12"/>
  <c r="N156" i="12" s="1"/>
  <c r="N23" i="19"/>
  <c r="I37" i="17"/>
  <c r="I60" i="18"/>
  <c r="AG37" i="18"/>
  <c r="P3" i="15" s="1"/>
  <c r="I61" i="18"/>
  <c r="AJ37" i="18"/>
  <c r="I42" i="9"/>
  <c r="I38" i="9"/>
  <c r="T34" i="9"/>
  <c r="I34" i="9"/>
  <c r="E151" i="12"/>
  <c r="AI138" i="12"/>
  <c r="L39" i="39"/>
  <c r="AF96" i="10"/>
  <c r="AF93" i="10" s="1"/>
  <c r="AF128" i="10" s="1"/>
  <c r="AF151" i="10" s="1"/>
  <c r="N93" i="10"/>
  <c r="N128" i="10" s="1"/>
  <c r="N151" i="10" s="1"/>
  <c r="N153" i="10" s="1"/>
  <c r="AH36" i="17"/>
  <c r="AO36" i="17"/>
  <c r="O37" i="48"/>
  <c r="G33" i="8"/>
  <c r="X33" i="8" s="1"/>
  <c r="R33" i="8"/>
  <c r="M36" i="9" s="1"/>
  <c r="R37" i="8"/>
  <c r="AC32" i="17"/>
  <c r="AC37" i="18"/>
  <c r="D151" i="6"/>
  <c r="H146" i="6"/>
  <c r="F150" i="6" s="1"/>
  <c r="G150" i="6" s="1"/>
  <c r="AH33" i="18"/>
  <c r="J33" i="17"/>
  <c r="J37" i="18"/>
  <c r="V60" i="18"/>
  <c r="V37" i="17"/>
  <c r="V60" i="17" s="1"/>
  <c r="AF89" i="10"/>
  <c r="AL64" i="10"/>
  <c r="U32" i="9"/>
  <c r="V18" i="9"/>
  <c r="J33" i="9"/>
  <c r="U33" i="9"/>
  <c r="AF92" i="12"/>
  <c r="AL95" i="12"/>
  <c r="V37" i="48"/>
  <c r="N44" i="48"/>
  <c r="N38" i="48"/>
  <c r="T37" i="48"/>
  <c r="H141" i="11"/>
  <c r="G141" i="12"/>
  <c r="N49" i="48"/>
  <c r="Q37" i="48"/>
  <c r="L138" i="11"/>
  <c r="F151" i="11"/>
  <c r="AG33" i="17"/>
  <c r="AN33" i="17"/>
  <c r="AS33" i="17" s="1"/>
  <c r="AI33" i="17"/>
  <c r="T31" i="8"/>
  <c r="T35" i="8"/>
  <c r="T130" i="7"/>
  <c r="T32" i="8"/>
  <c r="I32" i="8"/>
  <c r="T38" i="8"/>
  <c r="T36" i="8"/>
  <c r="AK96" i="10"/>
  <c r="G93" i="10"/>
  <c r="AL96" i="10"/>
  <c r="H93" i="10"/>
  <c r="AM93" i="10"/>
  <c r="AM114" i="10"/>
  <c r="I111" i="10"/>
  <c r="AM111" i="10" s="1"/>
  <c r="F153" i="7"/>
  <c r="L130" i="7"/>
  <c r="F157" i="7"/>
  <c r="L157" i="7" s="1"/>
  <c r="X128" i="11"/>
  <c r="J152" i="11"/>
  <c r="K128" i="11"/>
  <c r="H111" i="10"/>
  <c r="AL111" i="10" s="1"/>
  <c r="AL88" i="12"/>
  <c r="O98" i="7"/>
  <c r="I95" i="7"/>
  <c r="AB37" i="17"/>
  <c r="AB60" i="17" s="1"/>
  <c r="AB60" i="18"/>
  <c r="O128" i="11"/>
  <c r="G40" i="56"/>
  <c r="K38" i="56"/>
  <c r="F138" i="12"/>
  <c r="AJ141" i="12"/>
  <c r="AE153" i="10"/>
  <c r="AK89" i="10"/>
  <c r="J40" i="56"/>
  <c r="F41" i="56"/>
  <c r="K116" i="7"/>
  <c r="J113" i="7"/>
  <c r="K113" i="7" s="1"/>
  <c r="AG52" i="17"/>
  <c r="AN52" i="17"/>
  <c r="AS52" i="17" s="1"/>
  <c r="I62" i="17"/>
  <c r="AM37" i="17"/>
  <c r="AR37" i="17" s="1"/>
  <c r="AF37" i="17"/>
  <c r="H60" i="17"/>
  <c r="H61" i="17"/>
  <c r="M141" i="11"/>
  <c r="G138" i="11"/>
  <c r="K95" i="7"/>
  <c r="J130" i="7"/>
  <c r="C16" i="71" s="1"/>
  <c r="AM128" i="12"/>
  <c r="I152" i="12"/>
  <c r="L43" i="48"/>
  <c r="R41" i="48"/>
  <c r="S38" i="48"/>
  <c r="M41" i="48"/>
  <c r="T151" i="11"/>
  <c r="T152" i="11" s="1"/>
  <c r="S130" i="7"/>
  <c r="Y18" i="8"/>
  <c r="S31" i="8"/>
  <c r="V31" i="8" s="1"/>
  <c r="V42" i="8" s="1"/>
  <c r="S35" i="8"/>
  <c r="S32" i="8"/>
  <c r="H32" i="8"/>
  <c r="L32" i="8" s="1"/>
  <c r="S38" i="8"/>
  <c r="S36" i="8"/>
  <c r="H38" i="56"/>
  <c r="L32" i="56"/>
  <c r="AJ93" i="10"/>
  <c r="F128" i="10"/>
  <c r="J33" i="8"/>
  <c r="U33" i="8"/>
  <c r="U42" i="8"/>
  <c r="S23" i="19"/>
  <c r="M24" i="19"/>
  <c r="S24" i="19" s="1"/>
  <c r="Y34" i="9"/>
  <c r="AI52" i="17"/>
  <c r="AO41" i="17"/>
  <c r="AH41" i="17"/>
  <c r="J52" i="17"/>
  <c r="AH52" i="18"/>
  <c r="J62" i="18"/>
  <c r="J8" i="71" l="1"/>
  <c r="D24" i="71"/>
  <c r="D22" i="71"/>
  <c r="I22" i="71"/>
  <c r="I24" i="71" s="1"/>
  <c r="C31" i="69"/>
  <c r="R31" i="69"/>
  <c r="S22" i="71"/>
  <c r="F26" i="71"/>
  <c r="L12" i="71"/>
  <c r="P16" i="71"/>
  <c r="Q16" i="71" s="1"/>
  <c r="C18" i="71"/>
  <c r="I6" i="71"/>
  <c r="G24" i="71"/>
  <c r="M8" i="71"/>
  <c r="G22" i="71"/>
  <c r="J62" i="17"/>
  <c r="AH52" i="17"/>
  <c r="AO52" i="17"/>
  <c r="AJ128" i="10"/>
  <c r="F151" i="10"/>
  <c r="Y31" i="8"/>
  <c r="S153" i="7"/>
  <c r="H33" i="8"/>
  <c r="L33" i="8" s="1"/>
  <c r="S33" i="8"/>
  <c r="S42" i="8"/>
  <c r="S37" i="8"/>
  <c r="AM152" i="12"/>
  <c r="I156" i="12"/>
  <c r="M157" i="12" s="1"/>
  <c r="L153" i="7"/>
  <c r="F162" i="7"/>
  <c r="F161" i="7"/>
  <c r="E164" i="7" s="1"/>
  <c r="M57" i="17"/>
  <c r="Q35" i="9"/>
  <c r="Q34" i="8"/>
  <c r="G128" i="10"/>
  <c r="AK93" i="10"/>
  <c r="T153" i="7"/>
  <c r="I33" i="8"/>
  <c r="T33" i="8"/>
  <c r="T42" i="8"/>
  <c r="T37" i="8"/>
  <c r="AK141" i="12"/>
  <c r="G138" i="12"/>
  <c r="O23" i="19"/>
  <c r="J61" i="18"/>
  <c r="J60" i="18"/>
  <c r="J37" i="17"/>
  <c r="AH37" i="18"/>
  <c r="AC37" i="17"/>
  <c r="AC60" i="17" s="1"/>
  <c r="AC60" i="18"/>
  <c r="N24" i="19"/>
  <c r="T24" i="19" s="1"/>
  <c r="T23" i="19"/>
  <c r="H130" i="7"/>
  <c r="N95" i="7"/>
  <c r="K40" i="56"/>
  <c r="G41" i="56"/>
  <c r="N141" i="11"/>
  <c r="H138" i="11"/>
  <c r="V155" i="7"/>
  <c r="K141" i="11"/>
  <c r="AO33" i="17"/>
  <c r="AH33" i="17"/>
  <c r="L38" i="56"/>
  <c r="H40" i="56"/>
  <c r="J153" i="7"/>
  <c r="U35" i="9" s="1"/>
  <c r="Y130" i="7"/>
  <c r="Y131" i="7"/>
  <c r="J157" i="7"/>
  <c r="T38" i="48"/>
  <c r="U151" i="11"/>
  <c r="U152" i="11" s="1"/>
  <c r="W156" i="7"/>
  <c r="V38" i="48"/>
  <c r="N41" i="48"/>
  <c r="Q38" i="48"/>
  <c r="V32" i="9"/>
  <c r="K42" i="9" s="1"/>
  <c r="J42" i="9"/>
  <c r="U34" i="9"/>
  <c r="J34" i="9"/>
  <c r="I128" i="10"/>
  <c r="U153" i="7"/>
  <c r="M43" i="48"/>
  <c r="S41" i="48"/>
  <c r="M138" i="11"/>
  <c r="G151" i="11"/>
  <c r="X152" i="11"/>
  <c r="I159" i="12"/>
  <c r="I160" i="12" s="1"/>
  <c r="J157" i="11"/>
  <c r="L151" i="11"/>
  <c r="F152" i="11"/>
  <c r="AI151" i="10"/>
  <c r="K158" i="10"/>
  <c r="E153" i="10"/>
  <c r="K6" i="6"/>
  <c r="L6" i="6" s="1"/>
  <c r="K10" i="67"/>
  <c r="L10" i="67" s="1"/>
  <c r="AL93" i="10"/>
  <c r="H128" i="10"/>
  <c r="AF153" i="10"/>
  <c r="AL89" i="10"/>
  <c r="AI151" i="12"/>
  <c r="E152" i="12"/>
  <c r="X155" i="7"/>
  <c r="O95" i="7"/>
  <c r="I130" i="7"/>
  <c r="H141" i="12"/>
  <c r="I141" i="11"/>
  <c r="I138" i="11" s="1"/>
  <c r="U37" i="48"/>
  <c r="O44" i="48"/>
  <c r="O38" i="48"/>
  <c r="O49" i="48"/>
  <c r="G153" i="7"/>
  <c r="M130" i="7"/>
  <c r="G157" i="7"/>
  <c r="M157" i="7" s="1"/>
  <c r="L47" i="48"/>
  <c r="R43" i="48"/>
  <c r="AJ138" i="12"/>
  <c r="F151" i="12"/>
  <c r="AF128" i="12"/>
  <c r="AL92" i="12"/>
  <c r="AN37" i="17"/>
  <c r="AS37" i="17" s="1"/>
  <c r="I60" i="17"/>
  <c r="AG37" i="17"/>
  <c r="I61" i="17"/>
  <c r="AI37" i="17"/>
  <c r="D26" i="71" l="1"/>
  <c r="J12" i="71"/>
  <c r="I8" i="71"/>
  <c r="C24" i="71"/>
  <c r="C22" i="71"/>
  <c r="G26" i="71"/>
  <c r="M12" i="71"/>
  <c r="J162" i="11"/>
  <c r="H28" i="70"/>
  <c r="N130" i="7"/>
  <c r="V130" i="7"/>
  <c r="H153" i="7"/>
  <c r="H157" i="7"/>
  <c r="N157" i="7" s="1"/>
  <c r="I151" i="11"/>
  <c r="O138" i="11"/>
  <c r="L152" i="11"/>
  <c r="L157" i="11" s="1"/>
  <c r="F157" i="11"/>
  <c r="O24" i="19"/>
  <c r="U24" i="19" s="1"/>
  <c r="U23" i="19"/>
  <c r="L162" i="7"/>
  <c r="L161" i="7"/>
  <c r="AL141" i="12"/>
  <c r="H138" i="12"/>
  <c r="H151" i="10"/>
  <c r="AL128" i="10"/>
  <c r="M47" i="48"/>
  <c r="S43" i="48"/>
  <c r="AK138" i="12"/>
  <c r="G151" i="12"/>
  <c r="V41" i="48"/>
  <c r="T41" i="48"/>
  <c r="N43" i="48"/>
  <c r="Q41" i="48"/>
  <c r="K130" i="7"/>
  <c r="N138" i="11"/>
  <c r="H151" i="11"/>
  <c r="K138" i="11"/>
  <c r="AK128" i="10"/>
  <c r="G151" i="10"/>
  <c r="F156" i="10"/>
  <c r="AJ151" i="10"/>
  <c r="F153" i="10"/>
  <c r="F155" i="10" s="1"/>
  <c r="M153" i="7"/>
  <c r="G161" i="7"/>
  <c r="E165" i="7" s="1"/>
  <c r="N63" i="17"/>
  <c r="G162" i="7"/>
  <c r="R35" i="9"/>
  <c r="R34" i="8"/>
  <c r="I151" i="10"/>
  <c r="AM128" i="10"/>
  <c r="Y153" i="7"/>
  <c r="Y155" i="7"/>
  <c r="K153" i="7"/>
  <c r="K162" i="7" s="1"/>
  <c r="I155" i="10"/>
  <c r="I156" i="10" s="1"/>
  <c r="J162" i="7"/>
  <c r="J161" i="7"/>
  <c r="U34" i="8"/>
  <c r="O23" i="15"/>
  <c r="P21" i="15"/>
  <c r="AF152" i="12"/>
  <c r="AF156" i="12" s="1"/>
  <c r="AL128" i="12"/>
  <c r="N5" i="6"/>
  <c r="I6" i="6"/>
  <c r="L8" i="6"/>
  <c r="L40" i="56"/>
  <c r="H41" i="56"/>
  <c r="I153" i="7"/>
  <c r="O130" i="7"/>
  <c r="I157" i="7"/>
  <c r="O157" i="7" s="1"/>
  <c r="AJ151" i="12"/>
  <c r="F152" i="12"/>
  <c r="O41" i="48"/>
  <c r="U38" i="48"/>
  <c r="K158" i="12"/>
  <c r="AI152" i="12"/>
  <c r="E156" i="12"/>
  <c r="AO37" i="17"/>
  <c r="AH37" i="17"/>
  <c r="J60" i="17"/>
  <c r="J61" i="17"/>
  <c r="M151" i="11"/>
  <c r="G152" i="11"/>
  <c r="C26" i="71" l="1"/>
  <c r="I12" i="71"/>
  <c r="AS28" i="70"/>
  <c r="H29" i="70"/>
  <c r="D32" i="69"/>
  <c r="F28" i="70"/>
  <c r="F29" i="70" s="1"/>
  <c r="T43" i="48"/>
  <c r="N47" i="48"/>
  <c r="V43" i="48"/>
  <c r="Q43" i="48"/>
  <c r="AL151" i="10"/>
  <c r="H153" i="10"/>
  <c r="AK151" i="10"/>
  <c r="G153" i="10"/>
  <c r="AL138" i="12"/>
  <c r="H151" i="12"/>
  <c r="R171" i="7"/>
  <c r="R173" i="7" s="1"/>
  <c r="J164" i="7"/>
  <c r="O151" i="11"/>
  <c r="I152" i="11"/>
  <c r="F158" i="12"/>
  <c r="AJ152" i="12"/>
  <c r="F156" i="12"/>
  <c r="N151" i="11"/>
  <c r="K151" i="11"/>
  <c r="H152" i="11"/>
  <c r="S156" i="7"/>
  <c r="V156" i="7" s="1"/>
  <c r="X156" i="7" s="1"/>
  <c r="V153" i="7"/>
  <c r="N153" i="7"/>
  <c r="H162" i="7"/>
  <c r="H161" i="7"/>
  <c r="E166" i="7" s="1"/>
  <c r="S35" i="9"/>
  <c r="S34" i="8"/>
  <c r="O43" i="48"/>
  <c r="U41" i="48"/>
  <c r="AK151" i="12"/>
  <c r="G152" i="12"/>
  <c r="M162" i="7"/>
  <c r="M161" i="7"/>
  <c r="K7" i="6"/>
  <c r="N6" i="6"/>
  <c r="N7" i="6" s="1"/>
  <c r="O153" i="7"/>
  <c r="I162" i="7"/>
  <c r="I161" i="7"/>
  <c r="T35" i="9"/>
  <c r="T34" i="8"/>
  <c r="M152" i="11"/>
  <c r="M157" i="11" s="1"/>
  <c r="G157" i="11"/>
  <c r="AM151" i="10"/>
  <c r="I153" i="10"/>
  <c r="K157" i="7"/>
  <c r="R32" i="69" l="1"/>
  <c r="C32" i="69"/>
  <c r="H147" i="6"/>
  <c r="D152" i="6"/>
  <c r="N161" i="7"/>
  <c r="N162" i="7"/>
  <c r="U43" i="48"/>
  <c r="O47" i="48"/>
  <c r="O152" i="11"/>
  <c r="O157" i="11" s="1"/>
  <c r="I157" i="11"/>
  <c r="AK152" i="12"/>
  <c r="G156" i="12"/>
  <c r="S157" i="7"/>
  <c r="V157" i="7" s="1"/>
  <c r="N152" i="11"/>
  <c r="N157" i="11" s="1"/>
  <c r="H157" i="11"/>
  <c r="K152" i="11"/>
  <c r="O161" i="7"/>
  <c r="O162" i="7"/>
  <c r="AL151" i="12"/>
  <c r="H152" i="12"/>
  <c r="AL152" i="12" l="1"/>
  <c r="H156" i="12"/>
  <c r="S158" i="7"/>
  <c r="F45" i="68"/>
  <c r="B45" i="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Felhasználó</author>
  </authors>
  <commentList>
    <comment ref="C7" authorId="0" shapeId="0" xr:uid="{2689FA38-02C9-44ED-B7AF-F6035AD4C44D}">
      <text>
        <r>
          <rPr>
            <b/>
            <sz val="9"/>
            <color indexed="81"/>
            <rFont val="Tahoma"/>
            <family val="2"/>
            <charset val="238"/>
          </rPr>
          <t>Felhasználó:</t>
        </r>
        <r>
          <rPr>
            <sz val="9"/>
            <color indexed="81"/>
            <rFont val="Tahoma"/>
            <family val="2"/>
            <charset val="23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s>
  <commentList>
    <comment ref="AI57" authorId="0" shapeId="0" xr:uid="{FC4A1175-E8D6-4E9D-9ED8-0F09B30FD8DA}">
      <text>
        <r>
          <rPr>
            <b/>
            <sz val="9"/>
            <color indexed="81"/>
            <rFont val="Tahoma"/>
            <family val="2"/>
            <charset val="238"/>
          </rPr>
          <t>először mínuszos aztán jóváíró volt</t>
        </r>
        <r>
          <rPr>
            <sz val="9"/>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xml:space="preserve"> </author>
    <author>Nyíriné Kovács Ildikó</author>
    <author>Felhasználó</author>
    <author>Nyíri Ildikó</author>
  </authors>
  <commentList>
    <comment ref="L35" authorId="0" shapeId="0" xr:uid="{15484A31-41AB-45B5-8AB2-A0846B7F625D}">
      <text>
        <r>
          <rPr>
            <b/>
            <sz val="9"/>
            <color indexed="8"/>
            <rFont val="Tahoma"/>
            <family val="2"/>
            <charset val="238"/>
          </rPr>
          <t xml:space="preserve">Zárszámadási rendelet alapján +76 615
</t>
        </r>
      </text>
    </comment>
    <comment ref="M35" authorId="1" shapeId="0" xr:uid="{DDB09B35-DA65-4D97-908C-A22889883C7A}">
      <text>
        <r>
          <rPr>
            <b/>
            <sz val="9"/>
            <color indexed="81"/>
            <rFont val="Tahoma"/>
            <family val="2"/>
            <charset val="238"/>
          </rPr>
          <t>Ez az 1-8 havi teljesítési adat</t>
        </r>
        <r>
          <rPr>
            <sz val="9"/>
            <color indexed="81"/>
            <rFont val="Tahoma"/>
            <family val="2"/>
            <charset val="238"/>
          </rPr>
          <t xml:space="preserve">
</t>
        </r>
      </text>
    </comment>
    <comment ref="P35" authorId="1" shapeId="0" xr:uid="{329C739E-E78C-4D90-9693-D15F7013F49E}">
      <text>
        <r>
          <rPr>
            <b/>
            <sz val="9"/>
            <color indexed="81"/>
            <rFont val="Tahoma"/>
            <family val="2"/>
            <charset val="238"/>
          </rPr>
          <t>=650711002+1079210585 helyett 
1 729 921 587</t>
        </r>
        <r>
          <rPr>
            <sz val="9"/>
            <color indexed="81"/>
            <rFont val="Tahoma"/>
            <family val="2"/>
            <charset val="238"/>
          </rPr>
          <t xml:space="preserve">
</t>
        </r>
      </text>
    </comment>
    <comment ref="P37" authorId="2" shapeId="0" xr:uid="{92592201-C689-40DE-A9C1-F896CFF91624}">
      <text>
        <r>
          <rPr>
            <b/>
            <sz val="9"/>
            <color indexed="81"/>
            <rFont val="Tahoma"/>
            <family val="2"/>
            <charset val="238"/>
          </rPr>
          <t>11 002 198 032 Ft
az 1-11. havi finansz.</t>
        </r>
        <r>
          <rPr>
            <sz val="9"/>
            <color indexed="81"/>
            <rFont val="Tahoma"/>
            <family val="2"/>
            <charset val="238"/>
          </rPr>
          <t xml:space="preserve">
</t>
        </r>
      </text>
    </comment>
    <comment ref="W37" authorId="1" shapeId="0" xr:uid="{113218B2-282E-416F-9CD1-D22CD1447CBE}">
      <text>
        <r>
          <rPr>
            <sz val="9"/>
            <color indexed="81"/>
            <rFont val="Tahoma"/>
            <family val="2"/>
            <charset val="238"/>
          </rPr>
          <t>Ennyivel nő az intézmények finanszírozása 2021. januárhoz képest.</t>
        </r>
      </text>
    </comment>
    <comment ref="Y37" authorId="2" shapeId="0" xr:uid="{01BFB7D1-ABD0-4D9A-B9F4-0D56FF3EEA21}">
      <text>
        <r>
          <rPr>
            <b/>
            <sz val="9"/>
            <color indexed="81"/>
            <rFont val="Tahoma"/>
            <family val="2"/>
            <charset val="238"/>
          </rPr>
          <t>Finanszírozási táblázatban 2024.12.20-án</t>
        </r>
        <r>
          <rPr>
            <sz val="9"/>
            <color indexed="81"/>
            <rFont val="Tahoma"/>
            <family val="2"/>
            <charset val="238"/>
          </rPr>
          <t xml:space="preserve">
</t>
        </r>
      </text>
    </comment>
    <comment ref="Y38" authorId="3" shapeId="0" xr:uid="{7046626A-41DE-4A7A-A75E-295F2A5E92BD}">
      <text>
        <r>
          <rPr>
            <b/>
            <sz val="9"/>
            <color indexed="81"/>
            <rFont val="Segoe UI"/>
            <family val="2"/>
            <charset val="238"/>
          </rPr>
          <t>Növekedés Ft-ban 24-ről 25-re</t>
        </r>
        <r>
          <rPr>
            <sz val="9"/>
            <color indexed="81"/>
            <rFont val="Segoe UI"/>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Felhasználó</author>
  </authors>
  <commentList>
    <comment ref="AD7" authorId="0" shapeId="0" xr:uid="{0E2EDA99-75CB-4A3D-8793-F30342888436}">
      <text>
        <r>
          <rPr>
            <b/>
            <sz val="9"/>
            <color indexed="81"/>
            <rFont val="Tahoma"/>
            <family val="2"/>
            <charset val="238"/>
          </rPr>
          <t>Árfolyam</t>
        </r>
      </text>
    </comment>
    <comment ref="D8" authorId="0" shapeId="0" xr:uid="{03708FDC-8DF9-47BB-BCA5-15281F267BE4}">
      <text>
        <r>
          <rPr>
            <b/>
            <sz val="9"/>
            <color indexed="81"/>
            <rFont val="Tahoma"/>
            <family val="2"/>
            <charset val="238"/>
          </rPr>
          <t>4 évre: 120 400 EUR</t>
        </r>
        <r>
          <rPr>
            <sz val="9"/>
            <color indexed="81"/>
            <rFont val="Tahoma"/>
            <family val="2"/>
            <charset val="238"/>
          </rPr>
          <t xml:space="preserve">
végül 2024-ben utaltak
22 170 131 Ft-ot.</t>
        </r>
      </text>
    </comment>
    <comment ref="D15" authorId="0" shapeId="0" xr:uid="{9EF9A597-901E-4F78-9B24-47C8D752C32E}">
      <text>
        <r>
          <rPr>
            <b/>
            <sz val="9"/>
            <color indexed="81"/>
            <rFont val="Tahoma"/>
            <family val="2"/>
            <charset val="238"/>
          </rPr>
          <t>4 évre: • Személyi költségek 
40 mérnökhónap – 
84 000 EUR</t>
        </r>
        <r>
          <rPr>
            <sz val="9"/>
            <color indexed="81"/>
            <rFont val="Tahoma"/>
            <family val="2"/>
            <charset val="238"/>
          </rPr>
          <t xml:space="preserve">
</t>
        </r>
      </text>
    </comment>
    <comment ref="D17" authorId="0" shapeId="0" xr:uid="{114FE16F-C5B3-45D2-85C2-2B5451C7D296}">
      <text>
        <r>
          <rPr>
            <b/>
            <sz val="9"/>
            <color indexed="81"/>
            <rFont val="Tahoma"/>
            <family val="2"/>
            <charset val="238"/>
          </rPr>
          <t xml:space="preserve">4 évre:
• Utazási-tartózkodási költségek – 6720 EUR
• Egyéb közvetlen költségek (anyagok és szolgáltatások beszerzése) –5600 EUR
 Összesen: 96 320 EUR
Indirekt költségek(költségátalány): a direkt költségek 25 % - 24 080 EUR
</t>
        </r>
        <r>
          <rPr>
            <sz val="9"/>
            <color indexed="81"/>
            <rFont val="Tahoma"/>
            <family val="2"/>
            <charset val="238"/>
          </rPr>
          <t xml:space="preserve">
</t>
        </r>
      </text>
    </comment>
    <comment ref="H55" authorId="0" shapeId="0" xr:uid="{504B1598-3F17-45E6-A270-94F6F9D430AB}">
      <text>
        <r>
          <rPr>
            <sz val="9"/>
            <color indexed="81"/>
            <rFont val="Tahoma"/>
            <family val="2"/>
            <charset val="238"/>
          </rPr>
          <t>EU-tól 1-4. részszámla után nettó 217 450 847 Ft
5-10. részszámla után nettó 277 324 871 Ft 
Egyéb: bruttó 43 985 561 Ft
Magyar államtól az 1-10. számlák ÁFAja 133 589 444 Ft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s>
  <commentList>
    <comment ref="J154" authorId="0" shapeId="0" xr:uid="{F26678FF-A0E7-49DA-AC12-70EF3431456C}">
      <text>
        <r>
          <rPr>
            <b/>
            <sz val="9"/>
            <color indexed="81"/>
            <rFont val="Tahoma"/>
            <family val="2"/>
            <charset val="238"/>
          </rPr>
          <t>Összes (Önk.+PMH+int-ek) maradványa</t>
        </r>
        <r>
          <rPr>
            <sz val="9"/>
            <color indexed="81"/>
            <rFont val="Tahoma"/>
            <family val="2"/>
            <charset val="23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Felhasználó</author>
    <author xml:space="preserve"> </author>
    <author>Nyíri Ildikó</author>
    <author>Nyíriné Kovács Ildikó</author>
  </authors>
  <commentList>
    <comment ref="AC14" authorId="0" shapeId="0" xr:uid="{3979BCD6-1E15-420C-8837-B45D69AFB8C0}">
      <text>
        <r>
          <rPr>
            <b/>
            <sz val="9"/>
            <color indexed="81"/>
            <rFont val="Tahoma"/>
            <family val="2"/>
            <charset val="238"/>
          </rPr>
          <t>Cseperedő Bölcsőde építése (Vívó utca 2.) 22 492 556
Kertvárosi Idősek Otthona és Közösségi Központja és kapcsolódó tematikus természetközeli közösségi park 
265 930 921
Rákoszentmihályi Konrád Ferenc Uszoda helyreállítási munkái, bővítéssel, kültéri medence építéssel 59 240 506
Rákospalotai határút (Pálya utca - kerülethatár) között burkolatfelújítás FAD-ja tartalékkerettel 9 176 407</t>
        </r>
        <r>
          <rPr>
            <sz val="9"/>
            <color indexed="81"/>
            <rFont val="Tahoma"/>
            <family val="2"/>
            <charset val="238"/>
          </rPr>
          <t xml:space="preserve">
</t>
        </r>
      </text>
    </comment>
    <comment ref="D15" authorId="1" shapeId="0" xr:uid="{886FD676-F0F8-4345-B782-74A46500E3FF}">
      <text>
        <r>
          <rPr>
            <sz val="9"/>
            <color indexed="8"/>
            <rFont val="Tahoma"/>
            <family val="2"/>
            <charset val="238"/>
          </rPr>
          <t>2017-ben Kifizetve 28 947 + FAD 2650
2018-ban FAD-dal 207 917
2019-ben 2 945 fad nem volt
2020-ban 31 581 + 2 310 + FAD 5 653 
2021-ben 16 516
2022-ben: Kerfejlesztésnél 9 990 437 Ft
Vagyonon: 1 211 973 Ft FAD nem volt
2023-ban kifizetve: 756 117 Ft, fad nem volt
2024-ben kifizetve: 281 400 Ft, fad nem volt</t>
        </r>
      </text>
    </comment>
    <comment ref="E15" authorId="1" shapeId="0" xr:uid="{91D8C749-37AE-4845-A636-E25B6C1103C1}">
      <text>
        <r>
          <rPr>
            <sz val="9"/>
            <color indexed="8"/>
            <rFont val="Tahoma"/>
            <family val="2"/>
            <charset val="238"/>
          </rPr>
          <t>2016-ban 180 milliót terveztünk, nem lett kötelezettségvállalás</t>
        </r>
        <r>
          <rPr>
            <b/>
            <sz val="9"/>
            <color indexed="8"/>
            <rFont val="Tahoma"/>
            <family val="2"/>
            <charset val="238"/>
          </rPr>
          <t xml:space="preserve">
</t>
        </r>
        <r>
          <rPr>
            <sz val="9"/>
            <color indexed="8"/>
            <rFont val="Tahoma"/>
            <family val="2"/>
            <charset val="238"/>
          </rPr>
          <t>2017-ben az eredetileg 80 millió meg lett emelve 149 350 E Ft-ra kifizetve lett 31 597 (28 947 + FAD 2 650)
2018-ban tervezve 293 218 - kifizetve FAD -dal 207 917
2019-ben kifizetve 2 944 759 Ft FAD nem volt
2020-ban kifzetve: Kerfejl. 31 581 016 Ft + 5 652 914 FAD és vagyongazd-hoz kapcs. 2 310 201 Ft</t>
        </r>
      </text>
    </comment>
    <comment ref="C16" authorId="0" shapeId="0" xr:uid="{01C4E32B-9792-4346-A731-A10B3E0F086C}">
      <text>
        <r>
          <rPr>
            <b/>
            <sz val="9"/>
            <color indexed="81"/>
            <rFont val="Tahoma"/>
            <family val="2"/>
            <charset val="238"/>
          </rPr>
          <t>Burkolatfelújítások 2021-től</t>
        </r>
      </text>
    </comment>
    <comment ref="D16" authorId="2" shapeId="0" xr:uid="{B83D2CBC-9191-4096-9138-3DB032DC6B81}">
      <text>
        <r>
          <rPr>
            <b/>
            <u/>
            <sz val="9"/>
            <color indexed="81"/>
            <rFont val="Tahoma"/>
            <family val="2"/>
            <charset val="238"/>
          </rPr>
          <t xml:space="preserve">ÚTÉPÍTÉSEK: </t>
        </r>
        <r>
          <rPr>
            <sz val="9"/>
            <color indexed="81"/>
            <rFont val="Tahoma"/>
            <family val="2"/>
            <charset val="238"/>
          </rPr>
          <t xml:space="preserve">2019-ben kaptunk 3 támogatást: A Miniszterelnökség a 30.1.11 célelőirányzat „a fővárosi kerületi belterületi szilárd burkolat nélküli utak szilárd burkolattal történő ellátásának támogatása” jogcímen a 2019. évi költségvetésben 821 400 E Ft összegű támogatással terveztünk. Ugyanakkor az elnyert támogatás </t>
        </r>
        <r>
          <rPr>
            <b/>
            <sz val="9"/>
            <color indexed="81"/>
            <rFont val="Tahoma"/>
            <family val="2"/>
            <charset val="238"/>
          </rPr>
          <t xml:space="preserve">785 200 E Ft </t>
        </r>
        <r>
          <rPr>
            <sz val="9"/>
            <color indexed="81"/>
            <rFont val="Tahoma"/>
            <family val="2"/>
            <charset val="238"/>
          </rPr>
          <t xml:space="preserve">lett, valamint másik pályázaton Önkormányzatunk újabb </t>
        </r>
        <r>
          <rPr>
            <b/>
            <sz val="9"/>
            <color indexed="81"/>
            <rFont val="Tahoma"/>
            <family val="2"/>
            <charset val="238"/>
          </rPr>
          <t>382 600 E Ft</t>
        </r>
        <r>
          <rPr>
            <sz val="9"/>
            <color indexed="81"/>
            <rFont val="Tahoma"/>
            <family val="2"/>
            <charset val="238"/>
          </rPr>
          <t xml:space="preserve"> támogatásban részesült még 2019-ben. Év végén további öt utcára vonatkozóan nyújtottunk be támogatási kérelmet, ennek támogatástartalma </t>
        </r>
        <r>
          <rPr>
            <b/>
            <sz val="9"/>
            <color indexed="81"/>
            <rFont val="Tahoma"/>
            <family val="2"/>
            <charset val="238"/>
          </rPr>
          <t>215 000 E Ft</t>
        </r>
        <r>
          <rPr>
            <sz val="9"/>
            <color indexed="81"/>
            <rFont val="Tahoma"/>
            <family val="2"/>
            <charset val="238"/>
          </rPr>
          <t xml:space="preserve">, ez is megérkezett az Önkormányzat számlájára. 2019-ben mindösszesen: 1 382 800 E Ft támogatás érkezett. Ebből </t>
        </r>
        <r>
          <rPr>
            <b/>
            <sz val="9"/>
            <color indexed="81"/>
            <rFont val="Tahoma"/>
            <family val="2"/>
            <charset val="238"/>
          </rPr>
          <t>2019-ben kifizetve</t>
        </r>
        <r>
          <rPr>
            <sz val="9"/>
            <color indexed="81"/>
            <rFont val="Tahoma"/>
            <family val="2"/>
            <charset val="238"/>
          </rPr>
          <t xml:space="preserve">: 635 429 E Ft + FAD 141 904 E Ft, azaz </t>
        </r>
        <r>
          <rPr>
            <b/>
            <sz val="9"/>
            <color indexed="81"/>
            <rFont val="Tahoma"/>
            <family val="2"/>
            <charset val="238"/>
          </rPr>
          <t xml:space="preserve">összesen 777 333 E Ft.
2020-ban érkezett 2 193 250 E Ft és 446 000 E Ft. Ebből kifizetve 875 979 283 Ft és a FAD 237 244 778 Ft.
2021-ben kifizetve: </t>
        </r>
        <r>
          <rPr>
            <sz val="9"/>
            <color indexed="81"/>
            <rFont val="Tahoma"/>
            <family val="2"/>
            <charset val="238"/>
          </rPr>
          <t>2 156 061 Ft és 517 987 Ft FAD</t>
        </r>
        <r>
          <rPr>
            <b/>
            <sz val="9"/>
            <color indexed="81"/>
            <rFont val="Tahoma"/>
            <family val="2"/>
            <charset val="238"/>
          </rPr>
          <t xml:space="preserve">
2022-ben kifizetve:
BÚP 2020. I. ütem 24 893 292 Ft, 
BÚP 2020. II. ütem: 67 311 916 Ft
BÚP 2021. I. ütem: 799 175 447 Ft
BÚP 2021. II. ütem: 330 123 471 Ft
BÚP 2022. I. ütem: 37 151 466 Ft
FAD-ok: 502 710 784 Ft
2023-ban kifizetve: 885 502 510 és a FAD: 252 057 317 Ft
</t>
        </r>
        <r>
          <rPr>
            <b/>
            <u/>
            <sz val="9"/>
            <color indexed="81"/>
            <rFont val="Tahoma"/>
            <family val="2"/>
            <charset val="238"/>
          </rPr>
          <t>BURKOLATFELÚJÍTÁSOK</t>
        </r>
        <r>
          <rPr>
            <b/>
            <sz val="9"/>
            <color indexed="81"/>
            <rFont val="Tahoma"/>
            <family val="2"/>
            <charset val="238"/>
          </rPr>
          <t xml:space="preserve">
2021-es kifiz: =10 294+34 959
2022-es kifiz: 1 648 421 764 Ft (1364-es)
137 795 276 Ft (1959-es)
FAD-ok: 376 111 999 Ft
2023-ban: 128 918 576 és a  FAD 32 601 891
</t>
        </r>
        <r>
          <rPr>
            <sz val="8"/>
            <color indexed="81"/>
            <rFont val="Tahoma"/>
            <family val="2"/>
            <charset val="238"/>
          </rPr>
          <t>=(10294+34959)*1000+1648421764+137795276+376111999+128918576+32601891</t>
        </r>
        <r>
          <rPr>
            <b/>
            <sz val="9"/>
            <color indexed="81"/>
            <rFont val="Tahoma"/>
            <family val="2"/>
            <charset val="238"/>
          </rPr>
          <t xml:space="preserve">
MINDKETTŐRE 2024-ben kifizetve:  660 826 058 FT és a FAD: 174 574 202 Ft
</t>
        </r>
        <r>
          <rPr>
            <sz val="9"/>
            <color indexed="81"/>
            <rFont val="Tahoma"/>
            <family val="2"/>
            <charset val="238"/>
          </rPr>
          <t xml:space="preserve">
</t>
        </r>
        <r>
          <rPr>
            <sz val="9"/>
            <color indexed="81"/>
            <rFont val="Tahoma"/>
            <family val="2"/>
            <charset val="238"/>
          </rPr>
          <t xml:space="preserve">
</t>
        </r>
      </text>
    </comment>
    <comment ref="E16" authorId="0" shapeId="0" xr:uid="{7FF36485-6DA0-4B27-81B8-3FCFB5CC4ABD}">
      <text>
        <r>
          <rPr>
            <b/>
            <sz val="9"/>
            <color indexed="81"/>
            <rFont val="Tahoma"/>
            <family val="2"/>
            <charset val="238"/>
          </rPr>
          <t>+ áthúzódó FAD
9 176 407</t>
        </r>
        <r>
          <rPr>
            <sz val="9"/>
            <color indexed="81"/>
            <rFont val="Tahoma"/>
            <family val="2"/>
            <charset val="238"/>
          </rPr>
          <t xml:space="preserve">
</t>
        </r>
      </text>
    </comment>
    <comment ref="T16" authorId="2" shapeId="0" xr:uid="{0FC83237-6BA3-44E6-97FA-1CB44AB93248}">
      <text>
        <r>
          <rPr>
            <b/>
            <sz val="9"/>
            <color indexed="81"/>
            <rFont val="Segoe UI"/>
            <family val="2"/>
            <charset val="238"/>
          </rPr>
          <t>2021-es teljesítés</t>
        </r>
        <r>
          <rPr>
            <sz val="9"/>
            <color indexed="81"/>
            <rFont val="Segoe UI"/>
            <family val="2"/>
            <charset val="238"/>
          </rPr>
          <t xml:space="preserve">
</t>
        </r>
      </text>
    </comment>
    <comment ref="U16" authorId="2" shapeId="0" xr:uid="{DBC8B77A-470A-493C-8457-328EF564CD74}">
      <text>
        <r>
          <rPr>
            <b/>
            <sz val="9"/>
            <color indexed="81"/>
            <rFont val="Segoe UI"/>
            <family val="2"/>
            <charset val="238"/>
          </rPr>
          <t>FAD-ja</t>
        </r>
        <r>
          <rPr>
            <sz val="9"/>
            <color indexed="81"/>
            <rFont val="Segoe UI"/>
            <family val="2"/>
            <charset val="238"/>
          </rPr>
          <t xml:space="preserve">
</t>
        </r>
      </text>
    </comment>
    <comment ref="D17" authorId="2" shapeId="0" xr:uid="{A87AB770-7951-4906-BFE6-4F92FD5AE49D}">
      <text>
        <r>
          <rPr>
            <b/>
            <sz val="9"/>
            <color indexed="81"/>
            <rFont val="Segoe UI"/>
            <family val="2"/>
            <charset val="238"/>
          </rPr>
          <t>2022-ben: Tervezésekből kifizetve 36 195 000 Ft
2023-ban kifizetve: 93 076 584 Ft, FAD nem lett kifizetve, tervezésekből kifizetve: 200 000
2024-ben kifizetve: 559 410 031 és a FAD: 176 082 272 Ft és a tervezéseknél kifizetve 1 020 700</t>
        </r>
        <r>
          <rPr>
            <sz val="9"/>
            <color indexed="81"/>
            <rFont val="Segoe UI"/>
            <family val="2"/>
            <charset val="238"/>
          </rPr>
          <t xml:space="preserve">
</t>
        </r>
      </text>
    </comment>
    <comment ref="E17" authorId="2" shapeId="0" xr:uid="{D7925585-AFF9-46DA-86D7-ED271F9BE188}">
      <text>
        <r>
          <rPr>
            <b/>
            <sz val="9"/>
            <color indexed="81"/>
            <rFont val="Segoe UI"/>
            <family val="2"/>
            <charset val="238"/>
          </rPr>
          <t xml:space="preserve">+ áthúzódó FAD 22 492 556
</t>
        </r>
        <r>
          <rPr>
            <sz val="9"/>
            <color indexed="81"/>
            <rFont val="Segoe UI"/>
            <family val="2"/>
            <charset val="238"/>
          </rPr>
          <t xml:space="preserve">
</t>
        </r>
      </text>
    </comment>
    <comment ref="D18" authorId="3" shapeId="0" xr:uid="{7F6CB1A2-260E-46D5-AC6F-AAA688E378AA}">
      <text>
        <r>
          <rPr>
            <b/>
            <sz val="9"/>
            <color indexed="81"/>
            <rFont val="Tahoma"/>
            <family val="2"/>
            <charset val="238"/>
          </rPr>
          <t>2023-ban: Int.finansz-ban:
-116 004 865 és
-99 466 és tervezésekről fizetve 45 288 200
2024-ben: Int.finansz-ban: 27 581 266
és tervezésekről fizetve 28 305 391</t>
        </r>
        <r>
          <rPr>
            <sz val="9"/>
            <color indexed="81"/>
            <rFont val="Tahoma"/>
            <family val="2"/>
            <charset val="238"/>
          </rPr>
          <t xml:space="preserve">
</t>
        </r>
      </text>
    </comment>
    <comment ref="E18" authorId="0" shapeId="0" xr:uid="{7B83FF65-FD43-4645-807B-6EE9A2D7E401}">
      <text>
        <r>
          <rPr>
            <b/>
            <sz val="9"/>
            <color indexed="81"/>
            <rFont val="Tahoma"/>
            <family val="2"/>
            <charset val="238"/>
          </rPr>
          <t>Tervezésekről áthúzódó:
3 454 407</t>
        </r>
        <r>
          <rPr>
            <sz val="9"/>
            <color indexed="81"/>
            <rFont val="Tahoma"/>
            <family val="2"/>
            <charset val="238"/>
          </rPr>
          <t xml:space="preserve">
</t>
        </r>
      </text>
    </comment>
    <comment ref="Z18" authorId="3" shapeId="0" xr:uid="{125FD86F-A826-41F6-BCD8-75579EBD6CFF}">
      <text>
        <r>
          <rPr>
            <b/>
            <sz val="9"/>
            <color indexed="81"/>
            <rFont val="Tahoma"/>
            <family val="2"/>
            <charset val="238"/>
          </rPr>
          <t>Int.finansz-ban:
-116 004 865 és
-99 466
És tervezésekről fizetve 45 288 200</t>
        </r>
        <r>
          <rPr>
            <sz val="9"/>
            <color indexed="81"/>
            <rFont val="Tahoma"/>
            <family val="2"/>
            <charset val="238"/>
          </rPr>
          <t xml:space="preserve">
</t>
        </r>
      </text>
    </comment>
    <comment ref="D19" authorId="2" shapeId="0" xr:uid="{0A86C29A-9F43-41F5-B736-6C415D871F5C}">
      <text>
        <r>
          <rPr>
            <b/>
            <sz val="9"/>
            <color indexed="81"/>
            <rFont val="Segoe UI"/>
            <family val="2"/>
            <charset val="238"/>
          </rPr>
          <t>2019-es kifizetések =225 038 319 Ft
2020-as kifizetések =42 774 940 Ft
2021-es kifizetések=100 403 607
2022-es kifiz =3 975 100 Ft
2023-ban kifizetve: 234 248 824 Ft
2024-ben kifizetve: 107 017 623 Ft</t>
        </r>
        <r>
          <rPr>
            <sz val="9"/>
            <color indexed="81"/>
            <rFont val="Segoe UI"/>
            <family val="2"/>
            <charset val="238"/>
          </rPr>
          <t xml:space="preserve">
</t>
        </r>
      </text>
    </comment>
    <comment ref="T19" authorId="2" shapeId="0" xr:uid="{030E276D-B1DF-41C3-A26F-93E280027B8E}">
      <text>
        <r>
          <rPr>
            <b/>
            <sz val="9"/>
            <color indexed="81"/>
            <rFont val="Segoe UI"/>
            <family val="2"/>
            <charset val="238"/>
          </rPr>
          <t>2021-es teljesítés</t>
        </r>
        <r>
          <rPr>
            <sz val="9"/>
            <color indexed="81"/>
            <rFont val="Segoe UI"/>
            <family val="2"/>
            <charset val="238"/>
          </rPr>
          <t xml:space="preserve">
</t>
        </r>
      </text>
    </comment>
    <comment ref="D20" authorId="0" shapeId="0" xr:uid="{E6FAD591-A0F0-4A78-825B-F06DC02F9B0B}">
      <text>
        <r>
          <rPr>
            <b/>
            <sz val="9"/>
            <color indexed="81"/>
            <rFont val="Tahoma"/>
            <family val="2"/>
            <charset val="238"/>
          </rPr>
          <t>2023-ban kifizetve 
78 795 836 Ft és a tervezéseknél +378 484</t>
        </r>
        <r>
          <rPr>
            <sz val="9"/>
            <color indexed="81"/>
            <rFont val="Tahoma"/>
            <family val="2"/>
            <charset val="238"/>
          </rPr>
          <t xml:space="preserve">
</t>
        </r>
        <r>
          <rPr>
            <b/>
            <sz val="9"/>
            <color indexed="81"/>
            <rFont val="Tahoma"/>
            <family val="2"/>
            <charset val="238"/>
          </rPr>
          <t>2024-ben kifizetve: 1 518 987 330 és a FAD: 431 381 960 Ft és a tervezéseknél kifizetve 32 252 000</t>
        </r>
      </text>
    </comment>
    <comment ref="E20" authorId="0" shapeId="0" xr:uid="{972407F4-FB28-4B7F-AA81-441D8D04C43A}">
      <text>
        <r>
          <rPr>
            <b/>
            <sz val="9"/>
            <color indexed="81"/>
            <rFont val="Tahoma"/>
            <family val="2"/>
            <charset val="238"/>
          </rPr>
          <t>+ áthúzódó FAD
59 240 506
tervezésekről áthúzódó: 1 981 200</t>
        </r>
        <r>
          <rPr>
            <sz val="9"/>
            <color indexed="81"/>
            <rFont val="Tahoma"/>
            <family val="2"/>
            <charset val="238"/>
          </rPr>
          <t xml:space="preserve">
</t>
        </r>
      </text>
    </comment>
    <comment ref="J20" authorId="2" shapeId="0" xr:uid="{BDEB94A9-79F4-4D6F-89A4-54BED529A4EF}">
      <text>
        <r>
          <rPr>
            <b/>
            <sz val="9"/>
            <color indexed="81"/>
            <rFont val="Segoe UI"/>
            <family val="2"/>
            <charset val="238"/>
          </rPr>
          <t>Megkapta az Önkormányzat 2019-ben és tovább is utaltuk.</t>
        </r>
        <r>
          <rPr>
            <sz val="9"/>
            <color indexed="81"/>
            <rFont val="Segoe UI"/>
            <family val="2"/>
            <charset val="238"/>
          </rPr>
          <t xml:space="preserve">
</t>
        </r>
      </text>
    </comment>
    <comment ref="K20" authorId="2" shapeId="0" xr:uid="{BA37AA93-ECB7-4E8A-B181-D7ED9AE2D797}">
      <text>
        <r>
          <rPr>
            <b/>
            <sz val="9"/>
            <color indexed="81"/>
            <rFont val="Segoe UI"/>
            <family val="2"/>
            <charset val="238"/>
          </rPr>
          <t>Önkormányzat megkapta 2018. decemberben, továbbutaltuk 2019-ben, felhasználta 2019-ben</t>
        </r>
        <r>
          <rPr>
            <sz val="9"/>
            <color indexed="81"/>
            <rFont val="Segoe UI"/>
            <family val="2"/>
            <charset val="238"/>
          </rPr>
          <t xml:space="preserve">
</t>
        </r>
      </text>
    </comment>
    <comment ref="L20" authorId="2" shapeId="0" xr:uid="{03CC7881-2A9F-43B7-9461-7D740F505698}">
      <text>
        <r>
          <rPr>
            <b/>
            <sz val="9"/>
            <color indexed="81"/>
            <rFont val="Segoe UI"/>
            <family val="2"/>
            <charset val="238"/>
          </rPr>
          <t>Megkapta az Önkormányzat 2020-ban és tovább is utaltuk.</t>
        </r>
        <r>
          <rPr>
            <sz val="9"/>
            <color indexed="81"/>
            <rFont val="Segoe UI"/>
            <family val="2"/>
            <charset val="238"/>
          </rPr>
          <t xml:space="preserve">
</t>
        </r>
      </text>
    </comment>
    <comment ref="D21" authorId="2" shapeId="0" xr:uid="{44C04208-F79E-4BC8-BC99-C366D1378B2E}">
      <text>
        <r>
          <rPr>
            <b/>
            <sz val="9"/>
            <color indexed="81"/>
            <rFont val="Segoe UI"/>
            <family val="2"/>
            <charset val="238"/>
          </rPr>
          <t>82/2021 régészeti szolgáltatási szerződés 63 500 Ft áthúzódó lett 2022-re
2022-es év: Beruházásra 137 428 174 Ft és a
 FAD-ja 37 079 763 Ft
Tervezésekből kifizetett 3 530 914 Ft
2023-ban kifizetve 643 631 331 Ft + FAD +152 579 679 és a tervezésekből 2 504 897 Ft
2024-ben kifizetve: 117 713 533 és a FAD: 31 782 654 Ft</t>
        </r>
        <r>
          <rPr>
            <sz val="9"/>
            <color indexed="81"/>
            <rFont val="Segoe UI"/>
            <family val="2"/>
            <charset val="238"/>
          </rPr>
          <t xml:space="preserve">
a tervezéseknél kifizeteve: 770 850</t>
        </r>
      </text>
    </comment>
    <comment ref="L21" authorId="2" shapeId="0" xr:uid="{1FDFBF0C-AD08-42E2-B37A-7414D5E839BE}">
      <text>
        <r>
          <rPr>
            <b/>
            <sz val="9"/>
            <color indexed="81"/>
            <rFont val="Segoe UI"/>
            <family val="2"/>
            <charset val="238"/>
          </rPr>
          <t>2021-ben megkaptuk és tovább is utaltuk</t>
        </r>
        <r>
          <rPr>
            <sz val="9"/>
            <color indexed="81"/>
            <rFont val="Segoe UI"/>
            <family val="2"/>
            <charset val="238"/>
          </rPr>
          <t xml:space="preserve">
</t>
        </r>
      </text>
    </comment>
    <comment ref="C22" authorId="2" shapeId="0" xr:uid="{2F1DFAE1-F667-4D21-A13A-304C8C11D807}">
      <text>
        <r>
          <rPr>
            <b/>
            <sz val="9"/>
            <color indexed="81"/>
            <rFont val="Segoe UI"/>
            <family val="2"/>
            <charset val="238"/>
          </rPr>
          <t>2020. decemberben utaltak át 106 millió Ft-ot.</t>
        </r>
        <r>
          <rPr>
            <sz val="9"/>
            <color indexed="81"/>
            <rFont val="Segoe UI"/>
            <family val="2"/>
            <charset val="238"/>
          </rPr>
          <t xml:space="preserve">
</t>
        </r>
      </text>
    </comment>
    <comment ref="D22" authorId="2" shapeId="0" xr:uid="{64AE6DCD-C5CF-468C-88DE-CBFF1C9C5725}">
      <text>
        <r>
          <rPr>
            <sz val="9"/>
            <color indexed="81"/>
            <rFont val="Segoe UI"/>
            <family val="2"/>
            <charset val="238"/>
          </rPr>
          <t>2021-ben 105 677 615 Ft előkészítő feladatokra támogatásból 2022-ben: 0
2023-ban 360 784 552 és a tervezésekből 1 801 400, fad-ot nem fizettünk
2024-ben kifizetve:1 657 233 638 és a FAD: 544 864 913 Ft és a tervezéseknél +3 340 100</t>
        </r>
      </text>
    </comment>
    <comment ref="E22" authorId="2" shapeId="0" xr:uid="{4A646D01-8077-4527-85A8-3BAA715C7D17}">
      <text>
        <r>
          <rPr>
            <sz val="9"/>
            <color indexed="81"/>
            <rFont val="Segoe UI"/>
            <family val="2"/>
            <charset val="238"/>
          </rPr>
          <t>+ áthúzódó FAD 265 930 921</t>
        </r>
        <r>
          <rPr>
            <sz val="9"/>
            <color indexed="81"/>
            <rFont val="Segoe UI"/>
            <family val="2"/>
            <charset val="238"/>
          </rPr>
          <t xml:space="preserve">
és a tervezéseknél 2025-re áthúzódó: 2 603 500</t>
        </r>
      </text>
    </comment>
    <comment ref="D23" authorId="0" shapeId="0" xr:uid="{E3A92222-1FA1-44AF-B095-2B5924DFECAC}">
      <text>
        <r>
          <rPr>
            <b/>
            <sz val="9"/>
            <color indexed="81"/>
            <rFont val="Tahoma"/>
            <family val="2"/>
            <charset val="238"/>
          </rPr>
          <t>2024-es kifizetés
6 453 700 Ft</t>
        </r>
        <r>
          <rPr>
            <sz val="9"/>
            <color indexed="81"/>
            <rFont val="Tahoma"/>
            <family val="2"/>
            <charset val="238"/>
          </rPr>
          <t xml:space="preserve">
</t>
        </r>
      </text>
    </comment>
    <comment ref="J23" authorId="3" shapeId="0" xr:uid="{BF1C24BD-987F-4529-A93C-B41F0961AD5B}">
      <text>
        <r>
          <rPr>
            <b/>
            <sz val="9"/>
            <color indexed="81"/>
            <rFont val="Tahoma"/>
            <family val="2"/>
            <charset val="238"/>
          </rPr>
          <t>Burkolattellátás tám-a
2021-ben: 2 383 420
2022-ben: 175 000</t>
        </r>
        <r>
          <rPr>
            <sz val="9"/>
            <color indexed="81"/>
            <rFont val="Tahoma"/>
            <family val="2"/>
            <charset val="238"/>
          </rPr>
          <t xml:space="preserve">
</t>
        </r>
      </text>
    </comment>
    <comment ref="D24" authorId="1" shapeId="0" xr:uid="{7C90CBA9-E137-4DDB-8EEE-843A56821150}">
      <text>
        <r>
          <rPr>
            <b/>
            <sz val="9"/>
            <color indexed="8"/>
            <rFont val="Tahoma"/>
            <family val="2"/>
            <charset val="238"/>
          </rPr>
          <t xml:space="preserve">XVI. Kerületi napközis tábor felújítása (János utcai tábor) - Szentmihály Kulturális Központjának létrehozása (2014-ben új játszótér kiépítése) 2014-es kezdés volt itt
2016 előtti kifizetés 62 587
2016-os kifizetés 15 041
2017-ben szerződés 216 483 +FAD 58 040
2018-ban 0 Ft
</t>
        </r>
      </text>
    </comment>
    <comment ref="B27" authorId="0" shapeId="0" xr:uid="{BDFF76A5-5D6C-42E7-9CD6-9DE4B130C063}">
      <text>
        <r>
          <rPr>
            <b/>
            <sz val="9"/>
            <color indexed="81"/>
            <rFont val="Tahoma"/>
            <family val="2"/>
            <charset val="238"/>
          </rPr>
          <t>ez alatti sor elrejtve, felfedem akkor, ha a Napsugár Óvoda felújítása betervezésre kerül</t>
        </r>
        <r>
          <rPr>
            <sz val="9"/>
            <color indexed="81"/>
            <rFont val="Tahoma"/>
            <family val="2"/>
            <charset val="238"/>
          </rPr>
          <t xml:space="preserve">
</t>
        </r>
      </text>
    </comment>
    <comment ref="D28" authorId="0" shapeId="0" xr:uid="{631B24EC-0A13-4535-8FA1-3387A255CCBC}">
      <text>
        <r>
          <rPr>
            <b/>
            <sz val="9"/>
            <color indexed="81"/>
            <rFont val="Tahoma"/>
            <family val="2"/>
            <charset val="238"/>
          </rPr>
          <t>2023-ban: Tervezésekből kifizetve:
19 812 000+12 000</t>
        </r>
        <r>
          <rPr>
            <sz val="9"/>
            <color indexed="81"/>
            <rFont val="Tahoma"/>
            <family val="2"/>
            <charset val="238"/>
          </rPr>
          <t xml:space="preserve">
</t>
        </r>
      </text>
    </comment>
    <comment ref="D29" authorId="2" shapeId="0" xr:uid="{25B0EC41-62F3-4D11-B81E-7D859F38B9DE}">
      <text>
        <r>
          <rPr>
            <b/>
            <sz val="9"/>
            <color indexed="81"/>
            <rFont val="Segoe UI"/>
            <family val="2"/>
            <charset val="238"/>
          </rPr>
          <t>2022-ben: Tervezésekből kifizetve 
1 905 000
2023-ban tervezésekből 7 620 000</t>
        </r>
        <r>
          <rPr>
            <sz val="9"/>
            <color indexed="81"/>
            <rFont val="Segoe UI"/>
            <family val="2"/>
            <charset val="238"/>
          </rPr>
          <t xml:space="preserve">
2024-ben kifizetve: 191 433 572, tervezéseken kifizetve: 2 317 750</t>
        </r>
      </text>
    </comment>
    <comment ref="L29" authorId="3" shapeId="0" xr:uid="{53147ACA-6185-4A0E-B84D-12FD5DFA70E5}">
      <text>
        <r>
          <rPr>
            <b/>
            <sz val="9"/>
            <color indexed="81"/>
            <rFont val="Tahoma"/>
            <family val="2"/>
            <charset val="238"/>
          </rPr>
          <t>Szakrendelő</t>
        </r>
        <r>
          <rPr>
            <sz val="9"/>
            <color indexed="81"/>
            <rFont val="Tahoma"/>
            <family val="2"/>
            <charset val="23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xml:space="preserve"> </author>
    <author>Nyíriné Kovács Ildikó</author>
  </authors>
  <commentList>
    <comment ref="B2" authorId="0" shapeId="0" xr:uid="{EC9F08EC-DF5B-4D86-B41D-702175DB422E}">
      <text>
        <r>
          <rPr>
            <sz val="12"/>
            <color indexed="8"/>
            <rFont val="Tahoma"/>
            <family val="2"/>
            <charset val="238"/>
          </rPr>
          <t>A jogszabályi hivatkozásokat ellenőrizzétek le, aktualizáljátok, ha szükséges</t>
        </r>
      </text>
    </comment>
    <comment ref="B3" authorId="0" shapeId="0" xr:uid="{D5ED9CB9-FB02-468A-9451-6F3205865DA3}">
      <text>
        <r>
          <rPr>
            <b/>
            <sz val="12"/>
            <color indexed="8"/>
            <rFont val="Tahoma"/>
            <family val="2"/>
            <charset val="238"/>
          </rPr>
          <t xml:space="preserve">ADÓ
</t>
        </r>
      </text>
    </comment>
    <comment ref="B8" authorId="0" shapeId="0" xr:uid="{6E16419E-C2A5-4110-BFC4-21891D5A689A}">
      <text>
        <r>
          <rPr>
            <b/>
            <sz val="12"/>
            <color indexed="8"/>
            <rFont val="Tahoma"/>
            <family val="2"/>
            <charset val="238"/>
          </rPr>
          <t xml:space="preserve">ADÓ
</t>
        </r>
      </text>
    </comment>
    <comment ref="B13" authorId="0" shapeId="0" xr:uid="{79978935-29C4-45EE-A625-9DAB60663C32}">
      <text>
        <r>
          <rPr>
            <b/>
            <sz val="12"/>
            <color indexed="8"/>
            <rFont val="Tahoma"/>
            <family val="2"/>
            <charset val="238"/>
          </rPr>
          <t xml:space="preserve">ADÓ
</t>
        </r>
      </text>
    </comment>
    <comment ref="B21" authorId="0" shapeId="0" xr:uid="{29F6B722-1B73-4CAD-9692-6BD99209428E}">
      <text>
        <r>
          <rPr>
            <b/>
            <sz val="12"/>
            <color indexed="8"/>
            <rFont val="Tahoma"/>
            <family val="2"/>
            <charset val="238"/>
          </rPr>
          <t>IGI</t>
        </r>
      </text>
    </comment>
    <comment ref="C22" authorId="0" shapeId="0" xr:uid="{C700EF36-2A72-4DEA-B8B2-2506C174CCC1}">
      <text>
        <r>
          <rPr>
            <b/>
            <sz val="10"/>
            <color indexed="8"/>
            <rFont val="Tahoma"/>
            <family val="2"/>
            <charset val="238"/>
          </rPr>
          <t xml:space="preserve">javítva
</t>
        </r>
      </text>
    </comment>
    <comment ref="B25" authorId="0" shapeId="0" xr:uid="{C062582F-F5FE-4AF3-A59B-825B452E3849}">
      <text>
        <r>
          <rPr>
            <b/>
            <sz val="12"/>
            <color indexed="8"/>
            <rFont val="Tahoma"/>
            <family val="2"/>
            <charset val="238"/>
          </rPr>
          <t xml:space="preserve">SZOC
</t>
        </r>
      </text>
    </comment>
    <comment ref="D28" authorId="0" shapeId="0" xr:uid="{63284411-2BEB-41EC-889F-E21019201525}">
      <text>
        <r>
          <rPr>
            <b/>
            <sz val="9"/>
            <color indexed="8"/>
            <rFont val="Tahoma"/>
            <family val="2"/>
            <charset val="238"/>
          </rPr>
          <t xml:space="preserve">Szociális Iroda 20 főnek fizetett a 2020. évben tankönyvtámogatást.
</t>
        </r>
      </text>
    </comment>
    <comment ref="B31" authorId="0" shapeId="0" xr:uid="{4F7F6DD1-2BFA-45FF-A618-0F43AF049D78}">
      <text>
        <r>
          <rPr>
            <b/>
            <sz val="12"/>
            <color indexed="8"/>
            <rFont val="Tahoma"/>
            <family val="2"/>
            <charset val="238"/>
          </rPr>
          <t xml:space="preserve">VAGYON
</t>
        </r>
      </text>
    </comment>
    <comment ref="C43" authorId="0" shapeId="0" xr:uid="{3F64647D-9ABA-4DDC-B2DE-62A5B3824E91}">
      <text>
        <r>
          <rPr>
            <b/>
            <sz val="9"/>
            <color indexed="8"/>
            <rFont val="Tahoma"/>
            <family val="2"/>
            <charset val="238"/>
          </rPr>
          <t xml:space="preserve">Állás utca  30. 114707, 114708, 114693,114694 hrsz 
</t>
        </r>
      </text>
    </comment>
    <comment ref="E43" authorId="0" shapeId="0" xr:uid="{A964ABAC-4CB5-4EE0-AB71-5884C67C906F}">
      <text>
        <r>
          <rPr>
            <b/>
            <sz val="9"/>
            <color indexed="8"/>
            <rFont val="Tahoma"/>
            <family val="2"/>
            <charset val="238"/>
          </rPr>
          <t xml:space="preserve">Közvetett támogatás nem került megállapításra, az ingyenesség a rendben tartásra tekintettel történt. </t>
        </r>
      </text>
    </comment>
    <comment ref="C44" authorId="0" shapeId="0" xr:uid="{1B7C7277-E212-4288-A301-BB08C51F1786}">
      <text>
        <r>
          <rPr>
            <b/>
            <sz val="9"/>
            <color indexed="8"/>
            <rFont val="Tahoma"/>
            <family val="2"/>
            <charset val="238"/>
          </rPr>
          <t>105842/35 hrsz alatt felvett 849 m2 terület, 574 m2 tenisz klub, és 105842/42 hrsz alatt felvett 26339 m2 teniszpálya, futballpálya</t>
        </r>
      </text>
    </comment>
    <comment ref="E44" authorId="0" shapeId="0" xr:uid="{E791186E-A9A6-4B3A-B6B1-F55072DFD6B6}">
      <text>
        <r>
          <rPr>
            <b/>
            <sz val="9"/>
            <color indexed="8"/>
            <rFont val="Tahoma"/>
            <family val="2"/>
            <charset val="238"/>
          </rPr>
          <t>Közvetett támogatás nem került megállapításra. A műfüves futballpályáért, és az épületért bérleti díjat fizet, minden mást karbantartásért cserébe használ.</t>
        </r>
      </text>
    </comment>
    <comment ref="B48" authorId="1" shapeId="0" xr:uid="{1C18A29B-66A9-41F1-BF25-AA6E633695B1}">
      <text>
        <r>
          <rPr>
            <b/>
            <sz val="9"/>
            <color indexed="81"/>
            <rFont val="Tahoma"/>
            <family val="2"/>
            <charset val="238"/>
          </rPr>
          <t>Humán Iroda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 xml:space="preserve"> </author>
  </authors>
  <commentList>
    <comment ref="D6" authorId="0" shapeId="0" xr:uid="{3D017423-6952-4B7D-A940-A55E7FEB258C}">
      <text>
        <r>
          <rPr>
            <sz val="11"/>
            <color indexed="81"/>
            <rFont val="Tahoma"/>
            <family val="2"/>
            <charset val="238"/>
          </rPr>
          <t xml:space="preserve">PMH +2 M Ft kóbor állatok elhelyezésének díjára +3,5 M Ft postaköltségre, Idősek Otthona őrzésre +1 653 540+1 045 464, Helytörténet üres állás betöltésére +1 348 219, Terszoc Üres állásra +813 261; Szakrendelőnek Betöltetlen Délceg utcai gyermekorvosi praxis ellátására 300 000 Ft-ok, Sashalmi Manoda: Mosogatógép javítására +75 057 Ft, elektromos csatlakozás kiépítésére új kombinált gáztűzhely kicseréléséhez +98 108 Ft, mosógép javítására +154 254 Ft, Margaréta: Péterke utca 10-12. sz. alatti Óvodában műanyag nyílászárók javítására 1 241 171 Ft, PMH víz-és csatornadíjakra +1 000 000 Ft, PMH céljutalomra +2 600 000+4 320 000, Idősek Otthona finanszírozás kiegészítése +10 M Ft, Terszoc.díjadományozás +293 800,
int.vez.jut.kerete +4 069 900, epipenre Szakrendelnek +1 152 715 Ft, 
C. Juncutka Óvodának +165 100 Ft redőny javításra, Sashalmi Manoda +2 643 522 Ft Köznevelési foglalkoztatotti jutalom utólagos kifizetéséhez, Szakrendelő a Tekla utcai fogorvosoknak és asszisztenseiknek (= 16 fő) szaloncukor és bejgli számlák fedezetére 312.080 Ft,  a prevenciós keret terhére, Terszocnak karácsonyi csomagok szállítására +2 096 650, Napsugár új hinta beszerzésére +275 230 Ft, Mátyásföldi Fecskefészek Óvodának +26 970 Ft alpolgármesteri keretből
</t>
        </r>
        <r>
          <rPr>
            <u/>
            <sz val="11"/>
            <color indexed="81"/>
            <rFont val="Tahoma"/>
            <family val="2"/>
            <charset val="238"/>
          </rPr>
          <t>Vásárolt élelmezések rendezése:</t>
        </r>
        <r>
          <rPr>
            <sz val="11"/>
            <color indexed="81"/>
            <rFont val="Tahoma"/>
            <family val="2"/>
            <charset val="238"/>
          </rPr>
          <t xml:space="preserve"> SZJÓ +14633462, Gyerekk. +7120540, Huncutka +12867121, Manoda +5596085, Margaréta +2904649, Kergazda +44184445
</t>
        </r>
        <r>
          <rPr>
            <u/>
            <sz val="11"/>
            <color indexed="81"/>
            <rFont val="Tahoma"/>
            <family val="2"/>
            <charset val="238"/>
          </rPr>
          <t xml:space="preserve">Finanszírozási előirányzatok rendezésére: </t>
        </r>
        <r>
          <rPr>
            <sz val="11"/>
            <color indexed="81"/>
            <rFont val="Tahoma"/>
            <family val="2"/>
            <charset val="238"/>
          </rPr>
          <t xml:space="preserve">Idősek Otthona: +19466701, Őrszolgálat +13874179 , 
GAMESZ +952598
</t>
        </r>
        <r>
          <rPr>
            <u/>
            <sz val="11"/>
            <color indexed="81"/>
            <rFont val="Tahoma"/>
            <family val="2"/>
            <charset val="238"/>
          </rPr>
          <t>Átcsoportosítások:</t>
        </r>
        <r>
          <rPr>
            <sz val="11"/>
            <color indexed="81"/>
            <rFont val="Tahoma"/>
            <family val="2"/>
            <charset val="238"/>
          </rPr>
          <t xml:space="preserve"> Gyerekkuckó beruházásra -30 000 -120 000, Huncutka személyiből -59 580, dologiból -130 000 beruházásra, Napsugár dologiból beruházásra -100 410, Margaréta beruházásról dologiba +98 159, MFÓ dologiból beruházásra -576 198, Corvin dologiból beruházásra -3 597 423, TerSzoc dologiból beruházásra -434 340, Napraforgó dologiból beruházásra -450 000, Kergazda dologiból beruházásra -1 075 920, RMŐ dologiból beruházásra -60 000, Helytörténet dologiból beruházásra -5 550, Idősek Otthona beruházásról dologiba +17 602 446, Szakrendelő dologiból beruházásra -28 086 946, Szakrendelő finanszírozás visszavonása személyiről és járulékról -71 586 015</t>
        </r>
      </text>
    </comment>
    <comment ref="D7" authorId="0" shapeId="0" xr:uid="{114B0530-F347-458E-997B-9A9FE58F8695}">
      <text>
        <r>
          <rPr>
            <sz val="9"/>
            <color indexed="81"/>
            <rFont val="Tahoma"/>
            <family val="2"/>
            <charset val="238"/>
          </rPr>
          <t xml:space="preserve">
</t>
        </r>
        <r>
          <rPr>
            <sz val="11"/>
            <color indexed="81"/>
            <rFont val="Tahoma"/>
            <family val="2"/>
            <charset val="238"/>
          </rPr>
          <t>Mátyásföldi Fecskefészek Óvodának +681 585 Ft alpolgármesteri keretből
Cinkotai Huncutka Óvodának FKTC-ből napvitorlák telepítésére +2 441 550 Ft
Átcsoportosítások: Gyerekkuckó dologiból +30 000 +120 000, Huncutka személyiből +59 580, dologiból +130 000 beruházásra, Napsugár dologiból beruházásra +100 410, Margaréta beruházásról dologiba -98 159
MFÓ dologiból beruházásra +576 198, Corvin dologiból beruházásra +3 597 423, TerSzoc dologiból beruházásra +434 340, Napraforgó dologiból beruházásra +450 000, Kergazda dologiból beruházásra +1 075 920, RMŐ dologiból beruházásra +60 000, Helytörténet dologiból beruházásra +5 550; Idősek Otthona beruházásról dologiba -17 602 446, Szakrendelő dologiból beruházásra +28 086 946</t>
        </r>
      </text>
    </comment>
    <comment ref="N7" authorId="1" shapeId="0" xr:uid="{22C2EB11-EB0F-4D49-B1BE-73E851180B41}">
      <text>
        <r>
          <rPr>
            <b/>
            <sz val="11"/>
            <color indexed="8"/>
            <rFont val="Tahoma"/>
            <family val="2"/>
            <charset val="238"/>
          </rPr>
          <t>Ide beírni "változtató" munkalap celláiból, ami beruházás vagy felújítás</t>
        </r>
        <r>
          <rPr>
            <b/>
            <sz val="9"/>
            <color indexed="8"/>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Felhasználó</author>
    <author>Nyíri Ildikó</author>
  </authors>
  <commentList>
    <comment ref="L34" authorId="0" shapeId="0" xr:uid="{B6EFF172-4527-4A39-B633-D648F0C2F194}">
      <text>
        <r>
          <rPr>
            <b/>
            <sz val="9"/>
            <color indexed="81"/>
            <rFont val="Tahoma"/>
            <family val="2"/>
            <charset val="238"/>
          </rPr>
          <t>Kolaj Évánál működési maradvány:</t>
        </r>
        <r>
          <rPr>
            <sz val="9"/>
            <color indexed="81"/>
            <rFont val="Tahoma"/>
            <family val="2"/>
            <charset val="238"/>
          </rPr>
          <t xml:space="preserve">
</t>
        </r>
      </text>
    </comment>
    <comment ref="K35" authorId="1" shapeId="0" xr:uid="{C8A71C7F-C1AF-466C-8B03-52EE748CF9C4}">
      <text>
        <r>
          <rPr>
            <sz val="9"/>
            <color indexed="81"/>
            <rFont val="Tahoma"/>
            <family val="2"/>
            <charset val="238"/>
          </rPr>
          <t xml:space="preserve">3,7 milliárd volt évfordulókor az Önkormányzat számláján
-110 millió IPA túlfizetések miatt
</t>
        </r>
      </text>
    </comment>
    <comment ref="V37" authorId="2" shapeId="0" xr:uid="{15449ED8-D872-42F8-B566-2805DEB68F03}">
      <text>
        <r>
          <rPr>
            <sz val="9"/>
            <color indexed="81"/>
            <rFont val="Segoe UI"/>
            <family val="2"/>
            <charset val="238"/>
          </rPr>
          <t xml:space="preserve">Tavalyhoz képest ennyivel tervezünk több vagy kevesebb maradványt.
</t>
        </r>
      </text>
    </comment>
    <comment ref="N38" authorId="0" shapeId="0" xr:uid="{DB43F8AA-460F-4016-B3D7-794FEE311489}">
      <text>
        <r>
          <rPr>
            <b/>
            <sz val="9"/>
            <color indexed="81"/>
            <rFont val="Tahoma"/>
            <family val="2"/>
            <charset val="238"/>
          </rPr>
          <t>Finanszírozási kiadáson +321 282 672 Telekbevétel elmaradás rendezése +95 597 814</t>
        </r>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s>
  <commentList>
    <comment ref="L3" authorId="0" shapeId="0" xr:uid="{183D7C44-5C26-4A11-9F1B-71CC063C6A74}">
      <text>
        <r>
          <rPr>
            <sz val="9"/>
            <color indexed="81"/>
            <rFont val="Tahoma"/>
            <family val="2"/>
            <charset val="238"/>
          </rPr>
          <t>Víz-és csatornadíjakra</t>
        </r>
      </text>
    </comment>
    <comment ref="M3" authorId="0" shapeId="0" xr:uid="{FCDF3082-4ACF-4899-9CBE-2C335F371EBF}">
      <text>
        <r>
          <rPr>
            <b/>
            <sz val="9"/>
            <color indexed="81"/>
            <rFont val="Tahoma"/>
            <family val="2"/>
            <charset val="238"/>
          </rPr>
          <t>'+2 M Ft kóbor állatok elhelyezésének díjára</t>
        </r>
        <r>
          <rPr>
            <sz val="9"/>
            <color indexed="81"/>
            <rFont val="Tahoma"/>
            <family val="2"/>
            <charset val="238"/>
          </rPr>
          <t xml:space="preserve">
+3,5 M Ft postaköltségre
céljutalomra +2 600 000+4 320 000</t>
        </r>
      </text>
    </comment>
    <comment ref="R4" authorId="0" shapeId="0" xr:uid="{FD5A1303-CC11-4E3F-AAAD-089F32ACA50F}">
      <text>
        <r>
          <rPr>
            <sz val="9"/>
            <color indexed="81"/>
            <rFont val="Tahoma"/>
            <family val="2"/>
            <charset val="238"/>
          </rPr>
          <t>Betöltetlen Délceg utcai gyermekorvosi praxis ellátására 300 000 Ft-ok
Epipenre +1 152 715 Ft
A Tekla utcai fogorvosoknak és asszisztenseiknek (= 16 fő) szaloncukor és bejgli számlák fedezetére 312.080 Ft</t>
        </r>
      </text>
    </comment>
    <comment ref="D7" authorId="0" shapeId="0" xr:uid="{35379E54-2250-4175-8AB6-B140C2036CD3}">
      <text>
        <r>
          <rPr>
            <b/>
            <sz val="9"/>
            <color indexed="81"/>
            <rFont val="Tahoma"/>
            <family val="2"/>
            <charset val="238"/>
          </rPr>
          <t>+165 100 Ft redőny javításra, 2 441 550 Ft a felújítási és karbantartási céltartalékból napvitorlák telepítésére</t>
        </r>
        <r>
          <rPr>
            <sz val="9"/>
            <color indexed="81"/>
            <rFont val="Tahoma"/>
            <family val="2"/>
            <charset val="238"/>
          </rPr>
          <t xml:space="preserve">
</t>
        </r>
      </text>
    </comment>
    <comment ref="D8" authorId="0" shapeId="0" xr:uid="{16BD61B0-FAB2-411A-AFD4-4DB5B3B25567}">
      <text>
        <r>
          <rPr>
            <sz val="9"/>
            <color indexed="81"/>
            <rFont val="Tahoma"/>
            <family val="2"/>
            <charset val="238"/>
          </rPr>
          <t xml:space="preserve">Új hinta beszerzésére +275 230 Ft
</t>
        </r>
      </text>
    </comment>
    <comment ref="D9" authorId="0" shapeId="0" xr:uid="{62DD267A-DB70-4242-885E-EAC125FAA8AB}">
      <text>
        <r>
          <rPr>
            <sz val="9"/>
            <color indexed="81"/>
            <rFont val="Tahoma"/>
            <family val="2"/>
            <charset val="238"/>
          </rPr>
          <t xml:space="preserve">Mosogatógép javítására +75 057 Ft, elektromos csatlakozás kiépítésére új kombinált gáztűzhely kicseréléséhez +98 108 Ft, mosógép javítására +154 254 F
</t>
        </r>
      </text>
    </comment>
    <comment ref="T9" authorId="0" shapeId="0" xr:uid="{F8178933-0971-449E-B338-441846802519}">
      <text>
        <r>
          <rPr>
            <b/>
            <sz val="9"/>
            <color indexed="81"/>
            <rFont val="Tahoma"/>
            <family val="2"/>
            <charset val="238"/>
          </rPr>
          <t>+2 643 522 Ft Köznevelési foglalkoztatotti jutalom utólagos kifizetéséhez</t>
        </r>
        <r>
          <rPr>
            <sz val="9"/>
            <color indexed="81"/>
            <rFont val="Tahoma"/>
            <family val="2"/>
            <charset val="238"/>
          </rPr>
          <t xml:space="preserve">
</t>
        </r>
      </text>
    </comment>
    <comment ref="D10" authorId="0" shapeId="0" xr:uid="{74388C64-FD63-4A60-A8CC-142F89BEFD90}">
      <text>
        <r>
          <rPr>
            <sz val="9"/>
            <color indexed="81"/>
            <rFont val="Tahoma"/>
            <family val="2"/>
            <charset val="238"/>
          </rPr>
          <t>Péterke utca 10-12. sz. alatti Óvodában műanyag nyílászárók javítására 1 241 171</t>
        </r>
      </text>
    </comment>
    <comment ref="U12" authorId="0" shapeId="0" xr:uid="{3740221C-D1C9-4901-BD68-D8C9E65D9EF0}">
      <text>
        <r>
          <rPr>
            <b/>
            <sz val="9"/>
            <color indexed="81"/>
            <rFont val="Tahoma"/>
            <family val="2"/>
            <charset val="238"/>
          </rPr>
          <t>Alpolgármesteri keretből Hűtőszekrények (2), mikrohullámú sütők (3), porszívók (3) és mosógépek (2) beszerzésének önkormányzati finanszírozására</t>
        </r>
        <r>
          <rPr>
            <sz val="9"/>
            <color indexed="81"/>
            <rFont val="Tahoma"/>
            <family val="2"/>
            <charset val="238"/>
          </rPr>
          <t xml:space="preserve">
</t>
        </r>
      </text>
    </comment>
    <comment ref="G15" authorId="0" shapeId="0" xr:uid="{342489C1-DAD7-4E82-9365-0DFD3C39F076}">
      <text>
        <r>
          <rPr>
            <b/>
            <sz val="9"/>
            <color indexed="81"/>
            <rFont val="Tahoma"/>
            <family val="2"/>
            <charset val="238"/>
          </rPr>
          <t>karácsonyi csomagokra 
+2 096 650</t>
        </r>
      </text>
    </comment>
    <comment ref="T15" authorId="0" shapeId="0" xr:uid="{D0E3DFE5-7159-41DE-A960-1FD0774A3B94}">
      <text>
        <r>
          <rPr>
            <b/>
            <sz val="9"/>
            <color indexed="81"/>
            <rFont val="Tahoma"/>
            <family val="2"/>
            <charset val="238"/>
          </rPr>
          <t>Üres állásra +813 261</t>
        </r>
        <r>
          <rPr>
            <sz val="9"/>
            <color indexed="81"/>
            <rFont val="Tahoma"/>
            <family val="2"/>
            <charset val="238"/>
          </rPr>
          <t xml:space="preserve">
</t>
        </r>
      </text>
    </comment>
    <comment ref="T19" authorId="0" shapeId="0" xr:uid="{53EAAF52-37ED-49CE-9E65-B6A6389B2BE4}">
      <text>
        <r>
          <rPr>
            <b/>
            <sz val="9"/>
            <color indexed="81"/>
            <rFont val="Tahoma"/>
            <family val="2"/>
            <charset val="238"/>
          </rPr>
          <t>Üres állás betöltésére +1 348 219 Ft</t>
        </r>
        <r>
          <rPr>
            <sz val="9"/>
            <color indexed="81"/>
            <rFont val="Tahoma"/>
            <family val="2"/>
            <charset val="238"/>
          </rPr>
          <t xml:space="preserve">
</t>
        </r>
      </text>
    </comment>
    <comment ref="T20" authorId="0" shapeId="0" xr:uid="{99DDEF3D-6794-4243-90AB-AD05B51F1A3D}">
      <text>
        <r>
          <rPr>
            <b/>
            <sz val="9"/>
            <color indexed="81"/>
            <rFont val="Tahoma"/>
            <family val="2"/>
            <charset val="238"/>
          </rPr>
          <t>Őrzésre +1653540+1045464
finansz.kieg.+10 M Ft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Felhasználó</author>
    <author>Nyíriné Kovács Ildikó</author>
  </authors>
  <commentList>
    <comment ref="D2" authorId="0" shapeId="0" xr:uid="{D6C5FD65-ED9F-440C-A644-2E9C5A588BCF}">
      <text>
        <r>
          <rPr>
            <b/>
            <sz val="10"/>
            <color indexed="8"/>
            <rFont val="Tahoma"/>
            <family val="2"/>
            <charset val="238"/>
          </rPr>
          <t xml:space="preserve">Ellenőrizni!!!
</t>
        </r>
      </text>
    </comment>
    <comment ref="G2" authorId="0" shapeId="0" xr:uid="{A3079FAE-A902-4D5F-A58A-3525EF2CF99F}">
      <text>
        <r>
          <rPr>
            <sz val="10"/>
            <color indexed="8"/>
            <rFont val="Tahoma"/>
            <family val="2"/>
            <charset val="238"/>
          </rPr>
          <t xml:space="preserve">Máshová nem sorolható egyéb személyi szolgáltatás
</t>
        </r>
      </text>
    </comment>
    <comment ref="P3" authorId="0" shapeId="0" xr:uid="{0AA1BD2B-7C26-4B50-A2EF-508C176AC132}">
      <text>
        <r>
          <rPr>
            <b/>
            <sz val="9"/>
            <color indexed="8"/>
            <rFont val="Tahoma"/>
            <family val="2"/>
            <charset val="238"/>
          </rPr>
          <t xml:space="preserve">Nyíriné Kovács Ildikó:
</t>
        </r>
        <r>
          <rPr>
            <sz val="9"/>
            <color indexed="8"/>
            <rFont val="Tahoma"/>
            <family val="2"/>
            <charset val="238"/>
          </rPr>
          <t xml:space="preserve">Tárgyi eszköz bérbeadása </t>
        </r>
      </text>
    </comment>
    <comment ref="P5" authorId="0" shapeId="0" xr:uid="{0F44DA4C-CAB5-48A8-90DF-FD2016E4C460}">
      <text>
        <r>
          <rPr>
            <b/>
            <sz val="9"/>
            <color indexed="8"/>
            <rFont val="Tahoma"/>
            <family val="2"/>
            <charset val="238"/>
          </rPr>
          <t xml:space="preserve">Nyíriné Kovács Ildikó:
</t>
        </r>
        <r>
          <rPr>
            <sz val="9"/>
            <color indexed="8"/>
            <rFont val="Tahoma"/>
            <family val="2"/>
            <charset val="238"/>
          </rPr>
          <t>= kiszámlázott áfa és
áfa visszatérítés</t>
        </r>
      </text>
    </comment>
    <comment ref="I6" authorId="1" shapeId="0" xr:uid="{3160685F-B001-48B3-B2E2-33952BA480B3}">
      <text>
        <r>
          <rPr>
            <b/>
            <sz val="9"/>
            <color indexed="81"/>
            <rFont val="Tahoma"/>
            <family val="2"/>
            <charset val="238"/>
          </rPr>
          <t>1. kör után:+3 443 419</t>
        </r>
        <r>
          <rPr>
            <sz val="9"/>
            <color indexed="81"/>
            <rFont val="Tahoma"/>
            <family val="2"/>
            <charset val="238"/>
          </rPr>
          <t xml:space="preserve">
</t>
        </r>
      </text>
    </comment>
    <comment ref="M6" authorId="2" shapeId="0" xr:uid="{36E6132A-69BB-4567-BF01-BF09DA60B4A0}">
      <text>
        <r>
          <rPr>
            <b/>
            <sz val="9"/>
            <color indexed="81"/>
            <rFont val="Tahoma"/>
            <family val="2"/>
            <charset val="238"/>
          </rPr>
          <t xml:space="preserve">Június 30-ig befolyt: 
</t>
        </r>
      </text>
    </comment>
    <comment ref="I12" authorId="2" shapeId="0" xr:uid="{ED3B9CE3-4552-4AC0-B085-C19485408709}">
      <text>
        <r>
          <rPr>
            <b/>
            <sz val="9"/>
            <color indexed="81"/>
            <rFont val="Tahoma"/>
            <family val="2"/>
            <charset val="238"/>
          </rPr>
          <t xml:space="preserve">BÜFÉ BÉRLETI DÍJA: 
60 960 FT/HÓ
</t>
        </r>
      </text>
    </comment>
    <comment ref="P14" authorId="0" shapeId="0" xr:uid="{720C4C49-83D8-4B86-B94A-05155D69C067}">
      <text>
        <r>
          <rPr>
            <b/>
            <sz val="9"/>
            <color indexed="8"/>
            <rFont val="Tahoma"/>
            <family val="2"/>
            <charset val="238"/>
          </rPr>
          <t xml:space="preserve">Nyíriné Kovács Ildikó:
</t>
        </r>
        <r>
          <rPr>
            <sz val="9"/>
            <color indexed="8"/>
            <rFont val="Tahoma"/>
            <family val="2"/>
            <charset val="238"/>
          </rPr>
          <t>Ez bírság</t>
        </r>
      </text>
    </comment>
    <comment ref="AA14" authorId="2" shapeId="0" xr:uid="{60CF8099-D84E-49D2-BD0B-B921A1DAAB0B}">
      <text>
        <r>
          <rPr>
            <b/>
            <sz val="9"/>
            <color indexed="81"/>
            <rFont val="Tahoma"/>
            <family val="2"/>
            <charset val="238"/>
          </rPr>
          <t>Bevétel elmaradás
830 563 Ft - dologi tartalék terhére rendezem</t>
        </r>
        <r>
          <rPr>
            <sz val="9"/>
            <color indexed="81"/>
            <rFont val="Tahoma"/>
            <family val="2"/>
            <charset val="238"/>
          </rPr>
          <t xml:space="preserve">
</t>
        </r>
      </text>
    </comment>
    <comment ref="B15" authorId="0" shapeId="0" xr:uid="{77B427B4-FF16-48F0-9296-6B85AA240AA2}">
      <text>
        <r>
          <rPr>
            <b/>
            <sz val="9"/>
            <color indexed="8"/>
            <rFont val="Tahoma"/>
            <family val="2"/>
            <charset val="238"/>
          </rPr>
          <t xml:space="preserve">Nyíriné Kovács Ildikó:
</t>
        </r>
        <r>
          <rPr>
            <sz val="9"/>
            <color indexed="8"/>
            <rFont val="Tahoma"/>
            <family val="2"/>
            <charset val="238"/>
          </rPr>
          <t>2018-ban volt: Kiutalatlan támogatás II. módosításnál + OGY választások</t>
        </r>
      </text>
    </comment>
    <comment ref="D15" authorId="0" shapeId="0" xr:uid="{BFE35800-BFAB-4552-BAC9-57E90840D369}">
      <text>
        <r>
          <rPr>
            <b/>
            <sz val="9"/>
            <color indexed="8"/>
            <rFont val="Tahoma"/>
            <family val="2"/>
            <charset val="238"/>
          </rPr>
          <t xml:space="preserve">Kiutalatlan támogatás COFOG-ja B161610
OGY COFOG-ja: B161602
</t>
        </r>
      </text>
    </comment>
    <comment ref="B16" authorId="2" shapeId="0" xr:uid="{C31B64C4-D823-4FEE-B5EB-A3A686757E7E}">
      <text>
        <r>
          <rPr>
            <b/>
            <sz val="9"/>
            <color indexed="81"/>
            <rFont val="Tahoma"/>
            <family val="2"/>
            <charset val="238"/>
          </rPr>
          <t>2022-ben népszámlálás 
70 358 E FT ÉS VÁLASZTÁS A BÉREKNÉL ALUL 18 705 E FT</t>
        </r>
        <r>
          <rPr>
            <sz val="9"/>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Nyíriné Kovács Ildikó</author>
    <author>Felhasználó</author>
    <author>Nyíri Ildikó</author>
  </authors>
  <commentList>
    <comment ref="K11" authorId="0" shapeId="0" xr:uid="{4823BE8E-E1C4-4C60-AD75-79E50C22C0D9}">
      <text>
        <r>
          <rPr>
            <b/>
            <sz val="9"/>
            <color indexed="81"/>
            <rFont val="Tahoma"/>
            <family val="2"/>
            <charset val="238"/>
          </rPr>
          <t>Nyíriné Kovács Ildikó:</t>
        </r>
        <r>
          <rPr>
            <sz val="9"/>
            <color indexed="81"/>
            <rFont val="Tahoma"/>
            <family val="2"/>
            <charset val="238"/>
          </rPr>
          <t xml:space="preserve">
</t>
        </r>
      </text>
    </comment>
    <comment ref="K15" authorId="0" shapeId="0" xr:uid="{5967B099-E4F7-47A6-B748-74A8597FB595}">
      <text>
        <r>
          <rPr>
            <sz val="9"/>
            <color indexed="81"/>
            <rFont val="Tahoma"/>
            <family val="2"/>
            <charset val="238"/>
          </rPr>
          <t xml:space="preserve">Egyezteésen- -380 000
</t>
        </r>
      </text>
    </comment>
    <comment ref="K17" authorId="0" shapeId="0" xr:uid="{2E0D12F1-7965-4409-BC9D-A4D33422F147}">
      <text>
        <r>
          <rPr>
            <b/>
            <sz val="9"/>
            <color indexed="81"/>
            <rFont val="Tahoma"/>
            <family val="2"/>
            <charset val="238"/>
          </rPr>
          <t>Nyíriné Kovács Ildikó:</t>
        </r>
        <r>
          <rPr>
            <sz val="9"/>
            <color indexed="81"/>
            <rFont val="Tahoma"/>
            <family val="2"/>
            <charset val="238"/>
          </rPr>
          <t xml:space="preserve">
Egyeztetésen</t>
        </r>
      </text>
    </comment>
    <comment ref="K18" authorId="0" shapeId="0" xr:uid="{3EA3DE2E-501A-4ACF-B0C3-95E03A9FB038}">
      <text>
        <r>
          <rPr>
            <sz val="9"/>
            <color indexed="81"/>
            <rFont val="Tahoma"/>
            <family val="2"/>
            <charset val="238"/>
          </rPr>
          <t>Nyíriné Kovács Ildikó: tervezve az 5,5 millió
Sike Csaba: Ruházati ellátmány, ruhapótlás: kb 2.300.000 Ft/év
nyomtatványpótlás: kb 500.000 Ft/év
kényszerítő eszköz beszerzése: kb 400.000 Ft/év
Kata Ági nem írt ehhez sem, takarítók munkaruháit fizetjük még innen.
Egyeztetése -2 millió</t>
        </r>
      </text>
    </comment>
    <comment ref="K19" authorId="0" shapeId="0" xr:uid="{306F3A27-9C84-4152-A28B-67626940FFC8}">
      <text>
        <r>
          <rPr>
            <b/>
            <sz val="9"/>
            <color indexed="81"/>
            <rFont val="Tahoma"/>
            <family val="2"/>
            <charset val="238"/>
          </rPr>
          <t>Nyíriné Kovács Ildikó:</t>
        </r>
        <r>
          <rPr>
            <sz val="9"/>
            <color indexed="81"/>
            <rFont val="Tahoma"/>
            <family val="2"/>
            <charset val="238"/>
          </rPr>
          <t xml:space="preserve">
</t>
        </r>
      </text>
    </comment>
    <comment ref="N19" authorId="0" shapeId="0" xr:uid="{78D6C820-F2D5-4197-AFE4-F2306FD83896}">
      <text>
        <r>
          <rPr>
            <b/>
            <sz val="9"/>
            <color indexed="81"/>
            <rFont val="Tahoma"/>
            <family val="2"/>
            <charset val="238"/>
          </rPr>
          <t>Rendeletben, előterjesztésben egy soron van a tisztítószerrel, ezért sehol sem kell róla írni</t>
        </r>
        <r>
          <rPr>
            <sz val="9"/>
            <color indexed="81"/>
            <rFont val="Tahoma"/>
            <family val="2"/>
            <charset val="238"/>
          </rPr>
          <t xml:space="preserve">
</t>
        </r>
      </text>
    </comment>
    <comment ref="K20" authorId="0" shapeId="0" xr:uid="{25F7505D-58B4-450D-A8C0-83FFB80D6FF2}">
      <text>
        <r>
          <rPr>
            <b/>
            <sz val="9"/>
            <color indexed="81"/>
            <rFont val="Tahoma"/>
            <family val="2"/>
            <charset val="238"/>
          </rPr>
          <t>Nyíriné Kovács Ildikó:</t>
        </r>
        <r>
          <rPr>
            <sz val="9"/>
            <color indexed="81"/>
            <rFont val="Tahoma"/>
            <family val="2"/>
            <charset val="238"/>
          </rPr>
          <t xml:space="preserve">
</t>
        </r>
      </text>
    </comment>
    <comment ref="K29" authorId="1" shapeId="0" xr:uid="{A92218FA-0937-44AD-B37A-523CFA41E6EC}">
      <text>
        <r>
          <rPr>
            <b/>
            <sz val="9"/>
            <color indexed="81"/>
            <rFont val="Tahoma"/>
            <family val="2"/>
            <charset val="238"/>
          </rPr>
          <t>Egyeztetése -1 mill</t>
        </r>
      </text>
    </comment>
    <comment ref="I30" authorId="2" shapeId="0" xr:uid="{97972F12-8B06-48FB-BAA1-B241B2D0ECF4}">
      <text>
        <r>
          <rPr>
            <b/>
            <sz val="9"/>
            <color indexed="81"/>
            <rFont val="Segoe UI"/>
            <family val="2"/>
            <charset val="238"/>
          </rPr>
          <t>A Vonalkód Rendszerház 30 %-os emelése</t>
        </r>
        <r>
          <rPr>
            <sz val="9"/>
            <color indexed="81"/>
            <rFont val="Segoe UI"/>
            <family val="2"/>
            <charset val="238"/>
          </rPr>
          <t xml:space="preserve">
</t>
        </r>
      </text>
    </comment>
    <comment ref="K30" authorId="0" shapeId="0" xr:uid="{36AAAEBA-6EB4-4D45-8466-6EEE16EE650C}">
      <text>
        <r>
          <rPr>
            <b/>
            <sz val="9"/>
            <color indexed="81"/>
            <rFont val="Tahoma"/>
            <family val="2"/>
            <charset val="238"/>
          </rPr>
          <t>Tamástól</t>
        </r>
      </text>
    </comment>
    <comment ref="K34" authorId="0" shapeId="0" xr:uid="{A1E312C2-C8E5-4D69-9D38-343AE350F305}">
      <text>
        <r>
          <rPr>
            <b/>
            <sz val="9"/>
            <color indexed="81"/>
            <rFont val="Tahoma"/>
            <family val="2"/>
            <charset val="238"/>
          </rPr>
          <t>Tamástól</t>
        </r>
      </text>
    </comment>
    <comment ref="M34" authorId="0" shapeId="0" xr:uid="{CB1B4128-6848-4CC0-A05A-4592BB08B30B}">
      <text>
        <r>
          <rPr>
            <sz val="9"/>
            <color indexed="81"/>
            <rFont val="Tahoma"/>
            <family val="2"/>
            <charset val="238"/>
          </rPr>
          <t xml:space="preserve">Önkormányzat azonos megnevezéű előirányzatára -2 M Ft
</t>
        </r>
      </text>
    </comment>
    <comment ref="I37" authorId="2" shapeId="0" xr:uid="{526671E1-4CCE-4B05-91EB-5D7CAF4948D6}">
      <text>
        <r>
          <rPr>
            <b/>
            <sz val="9"/>
            <color indexed="81"/>
            <rFont val="Segoe UI"/>
            <family val="2"/>
            <charset val="238"/>
          </rPr>
          <t>I. körben</t>
        </r>
        <r>
          <rPr>
            <sz val="9"/>
            <color indexed="81"/>
            <rFont val="Segoe UI"/>
            <family val="2"/>
            <charset val="238"/>
          </rPr>
          <t xml:space="preserve">
</t>
        </r>
      </text>
    </comment>
    <comment ref="K37" authorId="1" shapeId="0" xr:uid="{FF8D9050-CFF9-4626-A5E1-CAA41AAB5A89}">
      <text>
        <r>
          <rPr>
            <b/>
            <sz val="9"/>
            <color indexed="81"/>
            <rFont val="Tahoma"/>
            <family val="2"/>
            <charset val="238"/>
          </rPr>
          <t>Tamástól</t>
        </r>
        <r>
          <rPr>
            <sz val="9"/>
            <color indexed="81"/>
            <rFont val="Tahoma"/>
            <family val="2"/>
            <charset val="238"/>
          </rPr>
          <t xml:space="preserve">
egyeztetésen -1 mill</t>
        </r>
      </text>
    </comment>
    <comment ref="K43" authorId="0" shapeId="0" xr:uid="{BCA60FEC-F814-4D89-83F6-929D028A541E}">
      <text>
        <r>
          <rPr>
            <b/>
            <sz val="9"/>
            <color indexed="81"/>
            <rFont val="Tahoma"/>
            <family val="2"/>
            <charset val="238"/>
          </rPr>
          <t>Egyeztetésen -5 millió</t>
        </r>
        <r>
          <rPr>
            <sz val="9"/>
            <color indexed="81"/>
            <rFont val="Tahoma"/>
            <family val="2"/>
            <charset val="238"/>
          </rPr>
          <t xml:space="preserve">
</t>
        </r>
      </text>
    </comment>
    <comment ref="I46" authorId="0" shapeId="0" xr:uid="{A94A29B6-D2BE-4BBA-8E78-54B7EE94C094}">
      <text>
        <r>
          <rPr>
            <b/>
            <sz val="9"/>
            <color indexed="81"/>
            <rFont val="Tahoma"/>
            <family val="2"/>
            <charset val="238"/>
          </rPr>
          <t>1.kör után: +2 millió, mert idén érkezett a novemberi számla</t>
        </r>
        <r>
          <rPr>
            <sz val="9"/>
            <color indexed="81"/>
            <rFont val="Tahoma"/>
            <family val="2"/>
            <charset val="238"/>
          </rPr>
          <t xml:space="preserve">
</t>
        </r>
      </text>
    </comment>
    <comment ref="K46" authorId="0" shapeId="0" xr:uid="{876B3B01-4F3B-4701-9028-EA0A1707DB7B}">
      <text>
        <r>
          <rPr>
            <b/>
            <sz val="9"/>
            <color indexed="81"/>
            <rFont val="Tahoma"/>
            <family val="2"/>
            <charset val="238"/>
          </rPr>
          <t>Egyeztetésen -2 millió</t>
        </r>
        <r>
          <rPr>
            <sz val="9"/>
            <color indexed="81"/>
            <rFont val="Tahoma"/>
            <family val="2"/>
            <charset val="238"/>
          </rPr>
          <t xml:space="preserve">
</t>
        </r>
      </text>
    </comment>
    <comment ref="L46" authorId="0" shapeId="0" xr:uid="{ECED5768-4293-4880-B2D1-07DB1BD95755}">
      <text>
        <r>
          <rPr>
            <sz val="9"/>
            <color indexed="81"/>
            <rFont val="Tahoma"/>
            <family val="2"/>
            <charset val="238"/>
          </rPr>
          <t xml:space="preserve">Önkormányzat azonos megnevezésű előirányzatára -23 millió Ft
</t>
        </r>
      </text>
    </comment>
    <comment ref="I49" authorId="0" shapeId="0" xr:uid="{B5633E2D-F083-422C-92C6-05BD60EC42C2}">
      <text>
        <r>
          <rPr>
            <b/>
            <sz val="9"/>
            <color indexed="81"/>
            <rFont val="Tahoma"/>
            <family val="2"/>
            <charset val="238"/>
          </rPr>
          <t>3-szoros lesz a víz-és csatornadíj</t>
        </r>
        <r>
          <rPr>
            <sz val="9"/>
            <color indexed="81"/>
            <rFont val="Tahoma"/>
            <family val="2"/>
            <charset val="238"/>
          </rPr>
          <t xml:space="preserve">
</t>
        </r>
      </text>
    </comment>
    <comment ref="K49" authorId="1" shapeId="0" xr:uid="{582F32FF-9E98-4EAB-96F9-C04FCAAA07C1}">
      <text>
        <r>
          <rPr>
            <b/>
            <sz val="9"/>
            <color indexed="81"/>
            <rFont val="Tahoma"/>
            <family val="2"/>
            <charset val="238"/>
          </rPr>
          <t>Egyeztetésen -500 000</t>
        </r>
      </text>
    </comment>
    <comment ref="M49" authorId="0" shapeId="0" xr:uid="{CC012415-87B5-4D16-9E21-CAA16CF0AF5B}">
      <text>
        <r>
          <rPr>
            <sz val="9"/>
            <color indexed="81"/>
            <rFont val="Tahoma"/>
            <family val="2"/>
            <charset val="238"/>
          </rPr>
          <t xml:space="preserve">Önkormányzat Közmű-és energetikai céltartalékból +3 101 930
</t>
        </r>
      </text>
    </comment>
    <comment ref="N49" authorId="0" shapeId="0" xr:uid="{457E7282-6BEC-4E1E-B929-9A51AB042327}">
      <text>
        <r>
          <rPr>
            <sz val="9"/>
            <color indexed="81"/>
            <rFont val="Tahoma"/>
            <family val="2"/>
            <charset val="238"/>
          </rPr>
          <t xml:space="preserve">Közmű-és energetikai céltartalékról +1 000 000
</t>
        </r>
      </text>
    </comment>
    <comment ref="I61" authorId="1" shapeId="0" xr:uid="{01D4525A-A5BC-4BFC-8F08-71194B49B3AB}">
      <text>
        <r>
          <rPr>
            <b/>
            <sz val="9"/>
            <color indexed="81"/>
            <rFont val="Tahoma"/>
            <family val="2"/>
            <charset val="238"/>
          </rPr>
          <t>Áth.: 152 400</t>
        </r>
        <r>
          <rPr>
            <sz val="9"/>
            <color indexed="81"/>
            <rFont val="Tahoma"/>
            <family val="2"/>
            <charset val="238"/>
          </rPr>
          <t xml:space="preserve">
</t>
        </r>
      </text>
    </comment>
    <comment ref="K61" authorId="1" shapeId="0" xr:uid="{23541FF5-B0C4-4917-8225-37BB5D56157C}">
      <text>
        <r>
          <rPr>
            <b/>
            <sz val="9"/>
            <color indexed="81"/>
            <rFont val="Tahoma"/>
            <family val="2"/>
            <charset val="238"/>
          </rPr>
          <t>Nyíriné: VIMACI Kereskedelmi és Szolgáltató Bt. és dr. Jakab János és Saldonak egyeztetésen -10 % emelés 
eseti feladatokra
Áth.: 409 575</t>
        </r>
        <r>
          <rPr>
            <sz val="9"/>
            <color indexed="81"/>
            <rFont val="Tahoma"/>
            <family val="2"/>
            <charset val="238"/>
          </rPr>
          <t xml:space="preserve">
</t>
        </r>
      </text>
    </comment>
    <comment ref="K62" authorId="0" shapeId="0" xr:uid="{69FF505F-B97E-4F41-B4E6-841A2EA75540}">
      <text>
        <r>
          <rPr>
            <sz val="9"/>
            <color indexed="81"/>
            <rFont val="Tahoma"/>
            <family val="2"/>
            <charset val="238"/>
          </rPr>
          <t xml:space="preserve">Ez végleges:
Áthúzódó 2*115 000 Ft
2025. évre
febr.1.-2025.dec.31.
11*115 000 Ft
</t>
        </r>
      </text>
    </comment>
    <comment ref="I63" authorId="0" shapeId="0" xr:uid="{516B7DFD-B7D6-4F23-967A-1C9243697C5A}">
      <text>
        <r>
          <rPr>
            <b/>
            <sz val="9"/>
            <color indexed="81"/>
            <rFont val="Tahoma"/>
            <family val="2"/>
            <charset val="238"/>
          </rPr>
          <t>Edina még 9-én +2 millió Ft
1. kör -2 millió</t>
        </r>
        <r>
          <rPr>
            <sz val="9"/>
            <color indexed="81"/>
            <rFont val="Tahoma"/>
            <family val="2"/>
            <charset val="238"/>
          </rPr>
          <t xml:space="preserve">
</t>
        </r>
      </text>
    </comment>
    <comment ref="K63" authorId="1" shapeId="0" xr:uid="{4CC8B2DE-5001-4516-AFFB-D6865BEFF6EB}">
      <text>
        <r>
          <rPr>
            <b/>
            <sz val="9"/>
            <color indexed="81"/>
            <rFont val="Tahoma"/>
            <family val="2"/>
            <charset val="238"/>
          </rPr>
          <t xml:space="preserve">Egyeztetésen -1,5 mill
Kavalecz:
</t>
        </r>
        <r>
          <rPr>
            <sz val="9"/>
            <color indexed="81"/>
            <rFont val="Tahoma"/>
            <family val="2"/>
            <charset val="238"/>
          </rPr>
          <t xml:space="preserve">A közfeladatot ellátó szervek iratkezelésének általános követelményeiről szóló 335/2005. (XII. 29.) Korm. rendelet 64.§ (2) bekezdése értelmében az iratselejtezési feladatokat évente egy alkalommal el kell végezni. Minderre tekintettel a fenti összeg tervezése szükséges és indokolt, figyelemmel a 2024. évben érkezett, ezen feladatok ellátására kért árajánlatokra, melyek mindegyike meghaladja a 2024. évre tervezet keretet.
</t>
        </r>
      </text>
    </comment>
    <comment ref="M63" authorId="0" shapeId="0" xr:uid="{00C02318-0F34-4BAA-ACDF-7D633CE404CC}">
      <text>
        <r>
          <rPr>
            <b/>
            <sz val="9"/>
            <color indexed="81"/>
            <rFont val="Tahoma"/>
            <family val="2"/>
            <charset val="238"/>
          </rPr>
          <t>PMH céljutalom sorra 
-5 millió</t>
        </r>
        <r>
          <rPr>
            <sz val="9"/>
            <color indexed="81"/>
            <rFont val="Tahoma"/>
            <family val="2"/>
            <charset val="238"/>
          </rPr>
          <t xml:space="preserve">
</t>
        </r>
      </text>
    </comment>
    <comment ref="N64" authorId="0" shapeId="0" xr:uid="{046C266C-FAC2-466E-8181-AF9031A0E946}">
      <text>
        <r>
          <rPr>
            <b/>
            <sz val="9"/>
            <color indexed="81"/>
            <rFont val="Tahoma"/>
            <family val="2"/>
            <charset val="238"/>
          </rPr>
          <t>Bankköltségre 
-1 873 163</t>
        </r>
        <r>
          <rPr>
            <sz val="9"/>
            <color indexed="81"/>
            <rFont val="Tahoma"/>
            <family val="2"/>
            <charset val="238"/>
          </rPr>
          <t xml:space="preserve">
</t>
        </r>
      </text>
    </comment>
    <comment ref="P64" authorId="1" shapeId="0" xr:uid="{7A35DCE7-A261-4B7D-8456-8568DD4E54EA}">
      <text>
        <r>
          <rPr>
            <b/>
            <sz val="9"/>
            <color indexed="81"/>
            <rFont val="Tahoma"/>
            <family val="2"/>
            <charset val="238"/>
          </rPr>
          <t>Repire: -32 714</t>
        </r>
        <r>
          <rPr>
            <sz val="9"/>
            <color indexed="81"/>
            <rFont val="Tahoma"/>
            <family val="2"/>
            <charset val="238"/>
          </rPr>
          <t xml:space="preserve">
</t>
        </r>
      </text>
    </comment>
    <comment ref="N68" authorId="0" shapeId="0" xr:uid="{BDF7DD53-2C7D-4B6D-AA65-5C632C6D3EB2}">
      <text>
        <r>
          <rPr>
            <b/>
            <sz val="9"/>
            <color indexed="81"/>
            <rFont val="Tahoma"/>
            <family val="2"/>
            <charset val="238"/>
          </rPr>
          <t>Képzésekről +1 873 163</t>
        </r>
        <r>
          <rPr>
            <sz val="9"/>
            <color indexed="81"/>
            <rFont val="Tahoma"/>
            <family val="2"/>
            <charset val="238"/>
          </rPr>
          <t xml:space="preserve">
</t>
        </r>
      </text>
    </comment>
    <comment ref="K70" authorId="1" shapeId="0" xr:uid="{9AD64595-A87F-4084-9E09-10F4C1140522}">
      <text>
        <r>
          <rPr>
            <b/>
            <sz val="9"/>
            <color indexed="81"/>
            <rFont val="Tahoma"/>
            <family val="2"/>
            <charset val="238"/>
          </rPr>
          <t>Nyíriné Kovács Ildikó</t>
        </r>
        <r>
          <rPr>
            <sz val="9"/>
            <color indexed="81"/>
            <rFont val="Tahoma"/>
            <family val="2"/>
            <charset val="238"/>
          </rPr>
          <t xml:space="preserve">
</t>
        </r>
      </text>
    </comment>
    <comment ref="N70" authorId="0" shapeId="0" xr:uid="{A6140118-996A-4DA9-8974-BBC6AB4226C1}">
      <text>
        <r>
          <rPr>
            <sz val="9"/>
            <color indexed="81"/>
            <rFont val="Tahoma"/>
            <family val="2"/>
            <charset val="238"/>
          </rPr>
          <t>Önkormányzat általános működési tartalékából
+3 500 000</t>
        </r>
        <r>
          <rPr>
            <sz val="9"/>
            <color indexed="81"/>
            <rFont val="Tahoma"/>
            <family val="2"/>
            <charset val="238"/>
          </rPr>
          <t xml:space="preserve">
</t>
        </r>
      </text>
    </comment>
    <comment ref="I77" authorId="1" shapeId="0" xr:uid="{C15548BB-5CE5-4E09-BFAB-AE982DB1E27C}">
      <text>
        <r>
          <rPr>
            <b/>
            <sz val="9"/>
            <color indexed="81"/>
            <rFont val="Tahoma"/>
            <family val="2"/>
            <charset val="238"/>
          </rPr>
          <t>Államigazgatási feladat</t>
        </r>
        <r>
          <rPr>
            <sz val="9"/>
            <color indexed="81"/>
            <rFont val="Tahoma"/>
            <family val="2"/>
            <charset val="238"/>
          </rPr>
          <t xml:space="preserve">
</t>
        </r>
      </text>
    </comment>
    <comment ref="K77" authorId="1" shapeId="0" xr:uid="{3AB9C4FC-B3A6-4A38-87F5-D47E0456C866}">
      <text>
        <r>
          <rPr>
            <b/>
            <sz val="9"/>
            <color indexed="81"/>
            <rFont val="Tahoma"/>
            <family val="2"/>
            <charset val="238"/>
          </rPr>
          <t>Kavalecz</t>
        </r>
        <r>
          <rPr>
            <sz val="9"/>
            <color indexed="81"/>
            <rFont val="Tahoma"/>
            <family val="2"/>
            <charset val="238"/>
          </rPr>
          <t xml:space="preserve">
egyeztetése -500 ezer</t>
        </r>
      </text>
    </comment>
    <comment ref="I78" authorId="1" shapeId="0" xr:uid="{59D03845-5439-4AF4-8A34-CD12102DD4CD}">
      <text>
        <r>
          <rPr>
            <b/>
            <sz val="9"/>
            <color indexed="81"/>
            <rFont val="Tahoma"/>
            <family val="2"/>
            <charset val="238"/>
          </rPr>
          <t>1. kör után +1 M Ft hatósági fakivágásról</t>
        </r>
        <r>
          <rPr>
            <sz val="9"/>
            <color indexed="81"/>
            <rFont val="Tahoma"/>
            <family val="2"/>
            <charset val="238"/>
          </rPr>
          <t xml:space="preserve">
</t>
        </r>
      </text>
    </comment>
    <comment ref="K78" authorId="1" shapeId="0" xr:uid="{DD0CD0F5-561F-45B1-B86B-1642E8B07840}">
      <text>
        <r>
          <rPr>
            <sz val="9"/>
            <color indexed="81"/>
            <rFont val="Tahoma"/>
            <family val="2"/>
            <charset val="238"/>
          </rPr>
          <t xml:space="preserve">Nem írt erre Kavalecz semmit
</t>
        </r>
      </text>
    </comment>
    <comment ref="M78" authorId="0" shapeId="0" xr:uid="{2EA26AAD-99DA-4737-B8A9-6D4EB929799D}">
      <text>
        <r>
          <rPr>
            <sz val="9"/>
            <color indexed="81"/>
            <rFont val="Tahoma"/>
            <family val="2"/>
            <charset val="238"/>
          </rPr>
          <t xml:space="preserve">Önkormányzat általános működési tartalékából </t>
        </r>
        <r>
          <rPr>
            <sz val="9"/>
            <color indexed="81"/>
            <rFont val="Tahoma"/>
            <family val="2"/>
            <charset val="238"/>
          </rPr>
          <t xml:space="preserve">
+1 873 464</t>
        </r>
      </text>
    </comment>
    <comment ref="N78" authorId="0" shapeId="0" xr:uid="{2BCCFC58-7656-4FA1-91E6-E2F4DE3B2CB8}">
      <text>
        <r>
          <rPr>
            <sz val="9"/>
            <color indexed="81"/>
            <rFont val="Tahoma"/>
            <family val="2"/>
            <charset val="238"/>
          </rPr>
          <t xml:space="preserve">Önkormányzat általános működési tartalékából
+2 000 000
</t>
        </r>
      </text>
    </comment>
    <comment ref="I79" authorId="1" shapeId="0" xr:uid="{7C8A9E5C-052F-4DBB-8818-9B92E1DE9774}">
      <text>
        <r>
          <rPr>
            <b/>
            <sz val="9"/>
            <color indexed="81"/>
            <rFont val="Tahoma"/>
            <family val="2"/>
            <charset val="238"/>
          </rPr>
          <t>Államigazgatási feladat</t>
        </r>
        <r>
          <rPr>
            <sz val="9"/>
            <color indexed="81"/>
            <rFont val="Tahoma"/>
            <family val="2"/>
            <charset val="238"/>
          </rPr>
          <t xml:space="preserve">
1. kör fenit sorra +1 M Ft</t>
        </r>
      </text>
    </comment>
    <comment ref="K79" authorId="1" shapeId="0" xr:uid="{EAAF296F-64A8-493F-A116-8ECC68CCFCC6}">
      <text>
        <r>
          <rPr>
            <b/>
            <sz val="9"/>
            <color indexed="81"/>
            <rFont val="Tahoma"/>
            <family val="2"/>
            <charset val="238"/>
          </rPr>
          <t>Kavalecz</t>
        </r>
        <r>
          <rPr>
            <sz val="9"/>
            <color indexed="81"/>
            <rFont val="Tahoma"/>
            <family val="2"/>
            <charset val="238"/>
          </rPr>
          <t xml:space="preserve">
</t>
        </r>
      </text>
    </comment>
    <comment ref="I80" authorId="1" shapeId="0" xr:uid="{ED4B89DA-4F22-4448-A403-1AB471DD916D}">
      <text>
        <r>
          <rPr>
            <b/>
            <sz val="9"/>
            <color indexed="81"/>
            <rFont val="Tahoma"/>
            <family val="2"/>
            <charset val="238"/>
          </rPr>
          <t>Államigazgatási feladat</t>
        </r>
        <r>
          <rPr>
            <sz val="9"/>
            <color indexed="81"/>
            <rFont val="Tahoma"/>
            <family val="2"/>
            <charset val="238"/>
          </rPr>
          <t xml:space="preserve">
</t>
        </r>
      </text>
    </comment>
    <comment ref="K80" authorId="1" shapeId="0" xr:uid="{FCE89E06-30D3-4D1A-BBB9-88FA82E0679C}">
      <text>
        <r>
          <rPr>
            <b/>
            <sz val="9"/>
            <color indexed="81"/>
            <rFont val="Tahoma"/>
            <family val="2"/>
            <charset val="238"/>
          </rPr>
          <t>Kavalecz</t>
        </r>
        <r>
          <rPr>
            <sz val="9"/>
            <color indexed="81"/>
            <rFont val="Tahoma"/>
            <family val="2"/>
            <charset val="238"/>
          </rPr>
          <t xml:space="preserve">
</t>
        </r>
      </text>
    </comment>
    <comment ref="I81" authorId="1" shapeId="0" xr:uid="{18EBD9E3-90D1-4327-A03F-80F1103817A8}">
      <text>
        <r>
          <rPr>
            <b/>
            <sz val="9"/>
            <color indexed="81"/>
            <rFont val="Tahoma"/>
            <family val="2"/>
            <charset val="238"/>
          </rPr>
          <t>Államigazgatási feladat</t>
        </r>
        <r>
          <rPr>
            <sz val="9"/>
            <color indexed="81"/>
            <rFont val="Tahoma"/>
            <family val="2"/>
            <charset val="238"/>
          </rPr>
          <t xml:space="preserve">
</t>
        </r>
      </text>
    </comment>
    <comment ref="K81" authorId="1" shapeId="0" xr:uid="{D7726833-0341-4DCD-A69B-02AD689B9600}">
      <text>
        <r>
          <rPr>
            <b/>
            <sz val="9"/>
            <color indexed="81"/>
            <rFont val="Tahoma"/>
            <family val="2"/>
            <charset val="238"/>
          </rPr>
          <t>Kavalecz</t>
        </r>
        <r>
          <rPr>
            <sz val="9"/>
            <color indexed="81"/>
            <rFont val="Tahoma"/>
            <family val="2"/>
            <charset val="238"/>
          </rPr>
          <t xml:space="preserve">
</t>
        </r>
      </text>
    </comment>
    <comment ref="M81" authorId="0" shapeId="0" xr:uid="{BE4304FB-8DAD-4D94-B237-E8AAECD54E0D}">
      <text>
        <r>
          <rPr>
            <sz val="9"/>
            <color indexed="81"/>
            <rFont val="Tahoma"/>
            <family val="2"/>
            <charset val="238"/>
          </rPr>
          <t xml:space="preserve">PMH tartalékból +100 000
</t>
        </r>
      </text>
    </comment>
    <comment ref="I82" authorId="1" shapeId="0" xr:uid="{B07B1DAE-6174-46AB-BFED-B5AEC330047B}">
      <text>
        <r>
          <rPr>
            <sz val="9"/>
            <color indexed="81"/>
            <rFont val="Tahoma"/>
            <family val="2"/>
            <charset val="238"/>
          </rPr>
          <t>Jelenleg 7-en alapvizsgáznak és 7-en szakvizsgázank 2024-ben, utóbbiért nem kell fizetni, előbbi 38 650 Ft/fő/vizsga. Van rajta tartalék, ha valaki bukna vagy új dolgozóra.</t>
        </r>
        <r>
          <rPr>
            <sz val="9"/>
            <color indexed="81"/>
            <rFont val="Tahoma"/>
            <family val="2"/>
            <charset val="238"/>
          </rPr>
          <t xml:space="preserve">
</t>
        </r>
      </text>
    </comment>
    <comment ref="K82" authorId="1" shapeId="0" xr:uid="{D956E2C3-8D25-46E9-AE9B-EFA0CEB2971B}">
      <text>
        <r>
          <rPr>
            <sz val="9"/>
            <color indexed="81"/>
            <rFont val="Tahoma"/>
            <family val="2"/>
            <charset val="238"/>
          </rPr>
          <t>2025-ben 3-an alapvizsgáznak és 3-an szakvizsgázank, utóbbiért nem kell fizetni, előbbi 38 650 Ft/fő/vizsga. Van rajta tartalék, ha valaki bukna vagy új dolgozóra.</t>
        </r>
        <r>
          <rPr>
            <sz val="9"/>
            <color indexed="81"/>
            <rFont val="Tahoma"/>
            <family val="2"/>
            <charset val="238"/>
          </rPr>
          <t xml:space="preserve">
</t>
        </r>
      </text>
    </comment>
    <comment ref="I86" authorId="0" shapeId="0" xr:uid="{70778607-8E17-4B5D-A283-6845EF262AED}">
      <text>
        <r>
          <rPr>
            <b/>
            <sz val="9"/>
            <color indexed="81"/>
            <rFont val="Tahoma"/>
            <family val="2"/>
            <charset val="238"/>
          </rPr>
          <t>1. kör után: nem tervezzük, mert megszűnik ez a bérlet.</t>
        </r>
        <r>
          <rPr>
            <sz val="9"/>
            <color indexed="81"/>
            <rFont val="Tahoma"/>
            <family val="2"/>
            <charset val="238"/>
          </rPr>
          <t xml:space="preserve">
</t>
        </r>
      </text>
    </comment>
    <comment ref="K86" authorId="1" shapeId="0" xr:uid="{DFD014B9-48E0-48B3-B7A7-73F3749BE24E}">
      <text>
        <r>
          <rPr>
            <b/>
            <sz val="9"/>
            <color indexed="81"/>
            <rFont val="Tahoma"/>
            <family val="2"/>
            <charset val="238"/>
          </rPr>
          <t>Nyíriné Kovács Ildikó</t>
        </r>
        <r>
          <rPr>
            <sz val="9"/>
            <color indexed="81"/>
            <rFont val="Tahoma"/>
            <family val="2"/>
            <charset val="238"/>
          </rPr>
          <t xml:space="preserve">
</t>
        </r>
      </text>
    </comment>
    <comment ref="I87" authorId="0" shapeId="0" xr:uid="{92CABE70-5E68-4A6C-8AFC-42BB8D1C04B9}">
      <text>
        <r>
          <rPr>
            <b/>
            <sz val="9"/>
            <color indexed="81"/>
            <rFont val="Tahoma"/>
            <family val="2"/>
            <charset val="238"/>
          </rPr>
          <t>Katona Rita adata alapján
1. kör után -829 980</t>
        </r>
        <r>
          <rPr>
            <sz val="9"/>
            <color indexed="81"/>
            <rFont val="Tahoma"/>
            <family val="2"/>
            <charset val="238"/>
          </rPr>
          <t xml:space="preserve">
</t>
        </r>
      </text>
    </comment>
    <comment ref="K87" authorId="1" shapeId="0" xr:uid="{7D410ACD-BBE1-4099-B5B9-153AA8FBCF48}">
      <text>
        <r>
          <rPr>
            <sz val="9"/>
            <color indexed="81"/>
            <rFont val="Tahoma"/>
            <family val="2"/>
            <charset val="238"/>
          </rPr>
          <t xml:space="preserve">Javasoljuk, hogy a saját gépkocsi-használat költségére 4 048 800 Ft (600 Ft-os benzin és 650 Ft-os dízel árral számolva) álljon rendelkezésre, melyet 16 főre tervezünk a jegyző által megadott engedélyekre tekintettel.
</t>
        </r>
      </text>
    </comment>
    <comment ref="K91" authorId="0" shapeId="0" xr:uid="{59C3646F-B570-47C8-88DB-0122641A882F}">
      <text>
        <r>
          <rPr>
            <b/>
            <sz val="9"/>
            <color indexed="81"/>
            <rFont val="Tahoma"/>
            <family val="2"/>
            <charset val="238"/>
          </rPr>
          <t>Nyíriné Kovács Ildikó:</t>
        </r>
        <r>
          <rPr>
            <sz val="9"/>
            <color indexed="81"/>
            <rFont val="Tahoma"/>
            <family val="2"/>
            <charset val="238"/>
          </rPr>
          <t xml:space="preserve">
</t>
        </r>
      </text>
    </comment>
    <comment ref="K96" authorId="0" shapeId="0" xr:uid="{3B7443A5-2CF0-4CE6-B84D-8C47A25D1931}">
      <text>
        <r>
          <rPr>
            <b/>
            <sz val="9"/>
            <color indexed="81"/>
            <rFont val="Tahoma"/>
            <family val="2"/>
            <charset val="238"/>
          </rPr>
          <t>Nyíriné Kovács Ildikó:</t>
        </r>
        <r>
          <rPr>
            <sz val="9"/>
            <color indexed="81"/>
            <rFont val="Tahoma"/>
            <family val="2"/>
            <charset val="238"/>
          </rPr>
          <t xml:space="preserve">
</t>
        </r>
      </text>
    </comment>
    <comment ref="K105" authorId="1" shapeId="0" xr:uid="{F2F75D3F-3DA2-4E2C-8140-A89F5AB290FC}">
      <text>
        <r>
          <rPr>
            <b/>
            <sz val="9"/>
            <color indexed="81"/>
            <rFont val="Tahoma"/>
            <family val="2"/>
            <charset val="238"/>
          </rPr>
          <t>Nyíriné Kovács Ildikó:</t>
        </r>
        <r>
          <rPr>
            <sz val="9"/>
            <color indexed="81"/>
            <rFont val="Tahoma"/>
            <family val="2"/>
            <charset val="238"/>
          </rPr>
          <t xml:space="preserve">
</t>
        </r>
      </text>
    </comment>
    <comment ref="L105" authorId="1" shapeId="0" xr:uid="{623C9014-4279-4417-8C63-C409B73D8862}">
      <text>
        <r>
          <rPr>
            <b/>
            <sz val="9"/>
            <color indexed="81"/>
            <rFont val="Tahoma"/>
            <family val="2"/>
            <charset val="238"/>
          </rPr>
          <t>PMH tartalékból +64 520</t>
        </r>
        <r>
          <rPr>
            <sz val="9"/>
            <color indexed="81"/>
            <rFont val="Tahoma"/>
            <family val="2"/>
            <charset val="238"/>
          </rPr>
          <t xml:space="preserve">
</t>
        </r>
      </text>
    </comment>
    <comment ref="N105" authorId="0" shapeId="0" xr:uid="{DA7C58C8-70F4-4DD3-AE72-28EEBD509FBF}">
      <text>
        <r>
          <rPr>
            <b/>
            <sz val="9"/>
            <color indexed="81"/>
            <rFont val="Tahoma"/>
            <family val="2"/>
            <charset val="238"/>
          </rPr>
          <t>PMH tartalékából
+82000+68016</t>
        </r>
        <r>
          <rPr>
            <sz val="9"/>
            <color indexed="81"/>
            <rFont val="Tahoma"/>
            <family val="2"/>
            <charset val="238"/>
          </rPr>
          <t xml:space="preserve">
</t>
        </r>
      </text>
    </comment>
    <comment ref="K106" authorId="1" shapeId="0" xr:uid="{AD8EAAA8-85BA-4FC9-9601-F5B7C9CFF653}">
      <text>
        <r>
          <rPr>
            <b/>
            <sz val="9"/>
            <color indexed="81"/>
            <rFont val="Tahoma"/>
            <family val="2"/>
            <charset val="238"/>
          </rPr>
          <t>Nyíriné Kovács Ildikó:</t>
        </r>
        <r>
          <rPr>
            <sz val="9"/>
            <color indexed="81"/>
            <rFont val="Tahoma"/>
            <family val="2"/>
            <charset val="238"/>
          </rPr>
          <t xml:space="preserve">
</t>
        </r>
      </text>
    </comment>
    <comment ref="P106" authorId="0" shapeId="0" xr:uid="{E2BCF5C5-B998-4FC8-9618-D5487C368828}">
      <text>
        <r>
          <rPr>
            <b/>
            <sz val="9"/>
            <color indexed="81"/>
            <rFont val="Tahoma"/>
            <family val="2"/>
            <charset val="238"/>
          </rPr>
          <t>HOMES-ban ez van, a különbség a kóbor állatok elszállításának díja</t>
        </r>
        <r>
          <rPr>
            <sz val="9"/>
            <color indexed="81"/>
            <rFont val="Tahoma"/>
            <family val="2"/>
            <charset val="238"/>
          </rPr>
          <t xml:space="preserve">
</t>
        </r>
      </text>
    </comment>
    <comment ref="F119" authorId="0" shapeId="0" xr:uid="{E0EB3CBD-0160-4C1E-83C1-0923F4C3ABCA}">
      <text>
        <r>
          <rPr>
            <b/>
            <sz val="9"/>
            <color indexed="81"/>
            <rFont val="Tahoma"/>
            <family val="2"/>
            <charset val="238"/>
          </rPr>
          <t>Átfogó tervezési és statisztikai szolgáltatások</t>
        </r>
        <r>
          <rPr>
            <sz val="9"/>
            <color indexed="81"/>
            <rFont val="Tahoma"/>
            <family val="2"/>
            <charset val="238"/>
          </rPr>
          <t xml:space="preserve">
</t>
        </r>
      </text>
    </comment>
    <comment ref="I120" authorId="1" shapeId="0" xr:uid="{19DD23F3-1C0E-48EB-A458-A90450CCB8B9}">
      <text>
        <r>
          <rPr>
            <b/>
            <sz val="9"/>
            <color indexed="81"/>
            <rFont val="Tahoma"/>
            <family val="2"/>
            <charset val="238"/>
          </rPr>
          <t>1. kör utn: -1 MFt</t>
        </r>
        <r>
          <rPr>
            <sz val="9"/>
            <color indexed="81"/>
            <rFont val="Tahoma"/>
            <family val="2"/>
            <charset val="238"/>
          </rPr>
          <t xml:space="preserve">
</t>
        </r>
      </text>
    </comment>
    <comment ref="K120" authorId="1" shapeId="0" xr:uid="{B468CBA1-B919-4D19-84AE-0BDE947B3D17}">
      <text>
        <r>
          <rPr>
            <b/>
            <sz val="9"/>
            <color indexed="81"/>
            <rFont val="Tahoma"/>
            <family val="2"/>
            <charset val="238"/>
          </rPr>
          <t xml:space="preserve">Kavalecz:
</t>
        </r>
        <r>
          <rPr>
            <sz val="9"/>
            <color indexed="81"/>
            <rFont val="Tahoma"/>
            <family val="2"/>
            <charset val="238"/>
          </rPr>
          <t xml:space="preserve">A házasságkötés és a bejegyzett élettársi kapcsolat létesítése során igénybe vehető többletszolgáltatásról szóló Budapest Főváros XVI. kerületi Önkormányzat Képviselő-testületének 17/2024. (VI. 27.) önkormányzati rendelete értelmében a házasságkötések és bejegyzett élettársi kapcsolatok lebonyolítása során, valamint az a családi események során alkalmazandó eljárásról és szolgáltatási díjakról szóló Budapest Főváros XVI. kerületi Önkormányzat Képviselő-testületének 16/2024. (VI. 27.) újonnan megalkotott önkormányzati rendelete értelmében a családi események lebonyolítása során felmerülő költségek fedezete érdekében szükséges a fenti összeg tervezése. (2024. évben közel 1.200.000 Ft). Ugyanakkor megjegyzendő, hogy a fenti feladatellátás során bevétel is keletkezik.
Illetve a fenti események alkalmával felhasznált zenei és irodalmi művek utáni jogdíjfizetési kötelezettség teljesítése az ARTISJUS Magyar Szerzői Jogvédő Iroda Egyesület felé (2024. évben közel 200.000 Ft).
Továbbá az anyakönyvi kivonatok és kellékek beszerzése korábban a Beszerzési és Üzemeltetési és Iroda kerete terhére történt, amelyről a jövőben az Igazgatási és Ügyfélszolgálati Iroda kerete terhére szükséges gondoskodni (2024. évben közel 1.000.000 Ft)
Természetesen a fenti összegek az események számától, a felhasználandó kivonatok mennyisége a kérelmek számától függ, amelyet lehetetlen előre prognosztizálni, ugyanakkor alapul véve a 2024. évben majdhogynem teljes egészében felhasznált keretösszeget, szükséges és indokolt a fenti keretösszeg tervezése.
</t>
        </r>
      </text>
    </comment>
    <comment ref="K121" authorId="1" shapeId="0" xr:uid="{97F59E05-8178-4EC6-8C58-72139C044699}">
      <text>
        <r>
          <rPr>
            <b/>
            <sz val="9"/>
            <color indexed="81"/>
            <rFont val="Tahoma"/>
            <family val="2"/>
            <charset val="238"/>
          </rPr>
          <t>Nyíriné Kovács Ildikó:</t>
        </r>
      </text>
    </comment>
    <comment ref="L121" authorId="0" shapeId="0" xr:uid="{78679CCA-CDD2-4D97-AF73-B4BC95B4294D}">
      <text>
        <r>
          <rPr>
            <sz val="9"/>
            <color indexed="81"/>
            <rFont val="Tahoma"/>
            <family val="2"/>
            <charset val="238"/>
          </rPr>
          <t>PMH ruházati költségtérítésre -60 150 -1
PMH Egyéb dologi kiadások - Díjak, egyéb bef. - Tagsági díja keretre -64 520
Kötváll-lal terhelt maradvány +1 954 327</t>
        </r>
      </text>
    </comment>
    <comment ref="M121" authorId="0" shapeId="0" xr:uid="{CE8744B2-1DDC-4A94-B191-3DA47C1C8172}">
      <text>
        <r>
          <rPr>
            <sz val="9"/>
            <color indexed="81"/>
            <rFont val="Tahoma"/>
            <family val="2"/>
            <charset val="238"/>
          </rPr>
          <t xml:space="preserve">Állományba nem tartozók megbízási díjára -1 754 142 -344 652
PMH víz-és csatornadíjak -801 879 -17 7572 -122 479 -1 000 000
-1 000 000 </t>
        </r>
        <r>
          <rPr>
            <b/>
            <u/>
            <sz val="9"/>
            <color indexed="81"/>
            <rFont val="Tahoma"/>
            <family val="2"/>
            <charset val="238"/>
          </rPr>
          <t>- HELYETT KÖZMŰ-ÉS ENERGETIKAI CÉLTARTALÉKBÓL</t>
        </r>
        <r>
          <rPr>
            <sz val="9"/>
            <color indexed="81"/>
            <rFont val="Tahoma"/>
            <family val="2"/>
            <charset val="238"/>
          </rPr>
          <t xml:space="preserve">
Hatósági közérdekű növényvédelmi védekezésre -100 000</t>
        </r>
      </text>
    </comment>
    <comment ref="N121" authorId="0" shapeId="0" xr:uid="{A6034697-B43A-46D2-BA6F-F20D7B97D4F5}">
      <text>
        <r>
          <rPr>
            <b/>
            <sz val="9"/>
            <color indexed="81"/>
            <rFont val="Tahoma"/>
            <family val="2"/>
            <charset val="238"/>
          </rPr>
          <t>Tagsági díjakra
-82 000, -68 016</t>
        </r>
        <r>
          <rPr>
            <sz val="9"/>
            <color indexed="81"/>
            <rFont val="Tahoma"/>
            <family val="2"/>
            <charset val="238"/>
          </rPr>
          <t xml:space="preserve">
Normatív jutalomra -800 ezer Ft
Bevétel elmaradás rendezésére -830 563 Ft</t>
        </r>
      </text>
    </comment>
    <comment ref="J134" authorId="1" shapeId="0" xr:uid="{58656504-C056-4077-A229-DA769E084995}">
      <text>
        <r>
          <rPr>
            <b/>
            <sz val="9"/>
            <color indexed="81"/>
            <rFont val="Tahoma"/>
            <family val="2"/>
            <charset val="238"/>
          </rPr>
          <t>Tisztítószerről:
+43 031 +11 619
Esküvőszervezésről
+17 000 +4 590</t>
        </r>
        <r>
          <rPr>
            <sz val="9"/>
            <color indexed="81"/>
            <rFont val="Tahoma"/>
            <family val="2"/>
            <charset val="23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71" authorId="0" shapeId="0" xr:uid="{70BF03FA-7CF0-4D50-8F6E-293B3078BE32}">
      <text>
        <r>
          <rPr>
            <b/>
            <sz val="9"/>
            <color indexed="8"/>
            <rFont val="Tahoma"/>
            <family val="2"/>
            <charset val="238"/>
          </rPr>
          <t xml:space="preserve">Nyíriné Kovács Ildikó:
</t>
        </r>
        <r>
          <rPr>
            <sz val="9"/>
            <color indexed="8"/>
            <rFont val="Tahoma"/>
            <family val="2"/>
            <charset val="238"/>
          </rPr>
          <t>103-mal korrigálva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71" authorId="0" shapeId="0" xr:uid="{CBB13381-EE3C-474E-8F31-FA68F00EC35C}">
      <text>
        <r>
          <rPr>
            <b/>
            <sz val="9"/>
            <color indexed="8"/>
            <rFont val="Tahoma"/>
            <family val="2"/>
            <charset val="238"/>
          </rPr>
          <t xml:space="preserve">Nyíriné Kovács Ildikó:
</t>
        </r>
        <r>
          <rPr>
            <sz val="9"/>
            <color indexed="8"/>
            <rFont val="Tahoma"/>
            <family val="2"/>
            <charset val="238"/>
          </rPr>
          <t>103-mal korrigálva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Felhasználó</author>
    <author>Nyíriné Kovács Ildikó</author>
    <author xml:space="preserve"> </author>
    <author>Nyíri Ildikó</author>
  </authors>
  <commentList>
    <comment ref="K12" authorId="0" shapeId="0" xr:uid="{DB141B0B-BEA2-49DB-B121-A83EF0EA16A2}">
      <text>
        <r>
          <rPr>
            <b/>
            <sz val="9"/>
            <color indexed="81"/>
            <rFont val="Tahoma"/>
            <family val="2"/>
            <charset val="238"/>
          </rPr>
          <t>Egyeztetésen
-500 000</t>
        </r>
        <r>
          <rPr>
            <sz val="9"/>
            <color indexed="81"/>
            <rFont val="Tahoma"/>
            <family val="2"/>
            <charset val="238"/>
          </rPr>
          <t xml:space="preserve">
</t>
        </r>
      </text>
    </comment>
    <comment ref="P12" authorId="1" shapeId="0" xr:uid="{1A4948F2-D5C7-41EE-84DA-E6EB68BA91F7}">
      <text>
        <r>
          <rPr>
            <b/>
            <sz val="9"/>
            <color indexed="81"/>
            <rFont val="Tahoma"/>
            <family val="2"/>
            <charset val="238"/>
          </rPr>
          <t>Készletbeszerzésre</t>
        </r>
        <r>
          <rPr>
            <sz val="9"/>
            <color indexed="81"/>
            <rFont val="Tahoma"/>
            <family val="2"/>
            <charset val="238"/>
          </rPr>
          <t xml:space="preserve">
</t>
        </r>
      </text>
    </comment>
    <comment ref="I19" authorId="1" shapeId="0" xr:uid="{F4EE139C-3C3F-4301-8124-59D2A515CB31}">
      <text>
        <r>
          <rPr>
            <b/>
            <sz val="9"/>
            <color indexed="81"/>
            <rFont val="Tahoma"/>
            <family val="2"/>
            <charset val="238"/>
          </rPr>
          <t>Áth. 37 300</t>
        </r>
        <r>
          <rPr>
            <sz val="9"/>
            <color indexed="81"/>
            <rFont val="Tahoma"/>
            <family val="2"/>
            <charset val="238"/>
          </rPr>
          <t xml:space="preserve">
</t>
        </r>
      </text>
    </comment>
    <comment ref="K19" authorId="0" shapeId="0" xr:uid="{589DF85C-E73B-4655-8631-632070F8FA3C}">
      <text>
        <r>
          <rPr>
            <b/>
            <sz val="9"/>
            <color indexed="81"/>
            <rFont val="Tahoma"/>
            <family val="2"/>
            <charset val="238"/>
          </rPr>
          <t>Szabó T. +300 ezer</t>
        </r>
        <r>
          <rPr>
            <sz val="9"/>
            <color indexed="81"/>
            <rFont val="Tahoma"/>
            <family val="2"/>
            <charset val="238"/>
          </rPr>
          <t xml:space="preserve">
Egyeztetésen -300 ezer</t>
        </r>
      </text>
    </comment>
    <comment ref="N19" authorId="1" shapeId="0" xr:uid="{EF56D90C-038E-4445-95E0-B2AA5AF5A733}">
      <text>
        <r>
          <rPr>
            <sz val="9"/>
            <color indexed="81"/>
            <rFont val="Tahoma"/>
            <family val="2"/>
            <charset val="238"/>
          </rPr>
          <t xml:space="preserve">Informatikai gép, berendezés és felszerelés beszerzés, létesítés sorra -630 000
</t>
        </r>
      </text>
    </comment>
    <comment ref="P19" authorId="1" shapeId="0" xr:uid="{61DD347B-8509-4D89-BA24-7BCB3D2F5BF1}">
      <text>
        <r>
          <rPr>
            <b/>
            <sz val="9"/>
            <color indexed="81"/>
            <rFont val="Tahoma"/>
            <family val="2"/>
            <charset val="238"/>
          </rPr>
          <t>HOMES-ban 1 560 138</t>
        </r>
        <r>
          <rPr>
            <sz val="9"/>
            <color indexed="81"/>
            <rFont val="Tahoma"/>
            <family val="2"/>
            <charset val="238"/>
          </rPr>
          <t xml:space="preserve">
</t>
        </r>
      </text>
    </comment>
    <comment ref="M21" authorId="1" shapeId="0" xr:uid="{83CE42F2-A134-47BB-AEE6-3EC4978FD056}">
      <text>
        <r>
          <rPr>
            <b/>
            <sz val="9"/>
            <color indexed="81"/>
            <rFont val="Tahoma"/>
            <family val="2"/>
            <charset val="238"/>
          </rPr>
          <t>Eladó marhából befolyó összeg terhére új marha vásárlása</t>
        </r>
        <r>
          <rPr>
            <sz val="9"/>
            <color indexed="81"/>
            <rFont val="Tahoma"/>
            <family val="2"/>
            <charset val="238"/>
          </rPr>
          <t xml:space="preserve">
</t>
        </r>
      </text>
    </comment>
    <comment ref="P21" authorId="1" shapeId="0" xr:uid="{9C534C09-8049-4168-BC76-5452CDAD889B}">
      <text>
        <r>
          <rPr>
            <b/>
            <sz val="9"/>
            <color indexed="81"/>
            <rFont val="Tahoma"/>
            <family val="2"/>
            <charset val="238"/>
          </rPr>
          <t>Egyyéb szakmai anyagról</t>
        </r>
      </text>
    </comment>
    <comment ref="I26" authorId="1" shapeId="0" xr:uid="{C7BDD758-F6F3-4EED-8DDB-A92761D0FA29}">
      <text>
        <r>
          <rPr>
            <b/>
            <sz val="9"/>
            <color indexed="81"/>
            <rFont val="Tahoma"/>
            <family val="2"/>
            <charset val="238"/>
          </rPr>
          <t>Áth.: 4 313 933</t>
        </r>
        <r>
          <rPr>
            <sz val="9"/>
            <color indexed="81"/>
            <rFont val="Tahoma"/>
            <family val="2"/>
            <charset val="238"/>
          </rPr>
          <t xml:space="preserve">
</t>
        </r>
      </text>
    </comment>
    <comment ref="K26" authorId="1" shapeId="0" xr:uid="{C0CA805F-F0B7-44DC-ADA8-213CD721BE0F}">
      <text>
        <r>
          <rPr>
            <b/>
            <sz val="9"/>
            <color indexed="81"/>
            <rFont val="Tahoma"/>
            <family val="2"/>
            <charset val="238"/>
          </rPr>
          <t>Nyíriné:
Áth.: 1 810 529
Szabó Tamás: szumma 60 millió</t>
        </r>
        <r>
          <rPr>
            <sz val="9"/>
            <color indexed="81"/>
            <rFont val="Tahoma"/>
            <family val="2"/>
            <charset val="238"/>
          </rPr>
          <t xml:space="preserve">
</t>
        </r>
      </text>
    </comment>
    <comment ref="L26" authorId="1" shapeId="0" xr:uid="{B8E2F20B-27AF-4BF7-85C6-DA4B9C666C0E}">
      <text>
        <r>
          <rPr>
            <sz val="9"/>
            <color indexed="81"/>
            <rFont val="Tahoma"/>
            <family val="2"/>
            <charset val="238"/>
          </rPr>
          <t xml:space="preserve">Önkormányzat általános működési tartalékából
+2 565 397
</t>
        </r>
      </text>
    </comment>
    <comment ref="M26" authorId="1" shapeId="0" xr:uid="{B86BD3D3-1816-461A-9B8B-1AFFACE91382}">
      <text>
        <r>
          <rPr>
            <sz val="9"/>
            <color indexed="81"/>
            <rFont val="Tahoma"/>
            <family val="2"/>
            <charset val="238"/>
          </rPr>
          <t xml:space="preserve">Önkormányzat általános működési tartaléka
+1 300 000
</t>
        </r>
      </text>
    </comment>
    <comment ref="I27" authorId="1" shapeId="0" xr:uid="{4F877675-8D57-473C-A458-4B4C58D8458D}">
      <text>
        <r>
          <rPr>
            <b/>
            <sz val="9"/>
            <color indexed="81"/>
            <rFont val="Tahoma"/>
            <family val="2"/>
            <charset val="238"/>
          </rPr>
          <t>Áth.: 2 032 000
1. kör után: -2 MFt</t>
        </r>
        <r>
          <rPr>
            <sz val="9"/>
            <color indexed="81"/>
            <rFont val="Tahoma"/>
            <family val="2"/>
            <charset val="238"/>
          </rPr>
          <t xml:space="preserve">
</t>
        </r>
      </text>
    </comment>
    <comment ref="K27" authorId="0" shapeId="0" xr:uid="{172996C4-C440-4311-B4E1-DABB575DDDDF}">
      <text>
        <r>
          <rPr>
            <b/>
            <sz val="9"/>
            <color indexed="81"/>
            <rFont val="Tahoma"/>
            <family val="2"/>
            <charset val="238"/>
          </rPr>
          <t>Nyíriné
Áth.: 2 032 000
Új: 2 500 000
Szabó T.- 1 532 00</t>
        </r>
        <r>
          <rPr>
            <sz val="9"/>
            <color indexed="81"/>
            <rFont val="Tahoma"/>
            <family val="2"/>
            <charset val="238"/>
          </rPr>
          <t xml:space="preserve">
</t>
        </r>
      </text>
    </comment>
    <comment ref="N27" authorId="1" shapeId="0" xr:uid="{8067228C-0F8E-4B8F-947D-585F7072A34E}">
      <text>
        <r>
          <rPr>
            <sz val="9"/>
            <color indexed="81"/>
            <rFont val="Tahoma"/>
            <family val="2"/>
            <charset val="238"/>
          </rPr>
          <t>Fejlesztési céltartalékból 
+3 300 000
mégsem, mert a beruházásokra lett több téve</t>
        </r>
      </text>
    </comment>
    <comment ref="I28" authorId="1" shapeId="0" xr:uid="{978455FB-A3B6-4F53-A29F-450EA3C956C1}">
      <text>
        <r>
          <rPr>
            <b/>
            <sz val="9"/>
            <color indexed="81"/>
            <rFont val="Tahoma"/>
            <family val="2"/>
            <charset val="238"/>
          </rPr>
          <t>Áth.: 57 404</t>
        </r>
        <r>
          <rPr>
            <sz val="9"/>
            <color indexed="81"/>
            <rFont val="Tahoma"/>
            <family val="2"/>
            <charset val="238"/>
          </rPr>
          <t xml:space="preserve">
</t>
        </r>
      </text>
    </comment>
    <comment ref="K28" authorId="1" shapeId="0" xr:uid="{1684BEDF-E315-4546-83EF-19F89A1C5E28}">
      <text>
        <r>
          <rPr>
            <b/>
            <sz val="9"/>
            <color indexed="81"/>
            <rFont val="Tahoma"/>
            <family val="2"/>
            <charset val="238"/>
          </rPr>
          <t>Nyíriné: Áth.: 57 404</t>
        </r>
        <r>
          <rPr>
            <sz val="9"/>
            <color indexed="81"/>
            <rFont val="Tahoma"/>
            <family val="2"/>
            <charset val="238"/>
          </rPr>
          <t xml:space="preserve">
</t>
        </r>
      </text>
    </comment>
    <comment ref="N28" authorId="1" shapeId="0" xr:uid="{E7194D79-CD04-4D4F-886B-9EF27A09B071}">
      <text>
        <r>
          <rPr>
            <sz val="9"/>
            <color indexed="81"/>
            <rFont val="Tahoma"/>
            <family val="2"/>
            <charset val="238"/>
          </rPr>
          <t>Informatikai gép, berendezés és felszerelés beszerzés, létesítés - Informatikai fejlesztésekre -20 000
Egyéb különféle Inform. szolg. - Információs felülvizsgálatról +12 672</t>
        </r>
      </text>
    </comment>
    <comment ref="M31" authorId="1" shapeId="0" xr:uid="{119A29ED-20DC-4ADF-B5EC-C33813456AB8}">
      <text>
        <r>
          <rPr>
            <b/>
            <sz val="9"/>
            <color indexed="81"/>
            <rFont val="Tahoma"/>
            <family val="2"/>
            <charset val="238"/>
          </rPr>
          <t>PMH azonos megnevezésű előirányzatáról +2 M Ft</t>
        </r>
        <r>
          <rPr>
            <sz val="9"/>
            <color indexed="81"/>
            <rFont val="Tahoma"/>
            <family val="2"/>
            <charset val="238"/>
          </rPr>
          <t xml:space="preserve">
</t>
        </r>
      </text>
    </comment>
    <comment ref="K32" authorId="0" shapeId="0" xr:uid="{64DDF04C-2BE3-45D5-80CB-3D09DF003D5C}">
      <text>
        <r>
          <rPr>
            <b/>
            <sz val="9"/>
            <color indexed="81"/>
            <rFont val="Tahoma"/>
            <family val="2"/>
            <charset val="238"/>
          </rPr>
          <t>Egyeztetésen 
-1 milli
legyen ennyi elég</t>
        </r>
        <r>
          <rPr>
            <sz val="9"/>
            <color indexed="81"/>
            <rFont val="Tahoma"/>
            <family val="2"/>
            <charset val="238"/>
          </rPr>
          <t xml:space="preserve">
</t>
        </r>
      </text>
    </comment>
    <comment ref="N32" authorId="1" shapeId="0" xr:uid="{571BD3BF-B078-4B83-A39C-8B4FF09C665D}">
      <text>
        <r>
          <rPr>
            <sz val="9"/>
            <color indexed="81"/>
            <rFont val="Tahoma"/>
            <family val="2"/>
            <charset val="238"/>
          </rPr>
          <t xml:space="preserve">Informatikai eszk. karb. szolg. - Számítógépek, nyomtatók, monitorok karbantartására -12 672
</t>
        </r>
      </text>
    </comment>
    <comment ref="M36" authorId="1" shapeId="0" xr:uid="{07DA3E20-9765-4CD1-B43F-E0C0B35DE56C}">
      <text>
        <r>
          <rPr>
            <sz val="9"/>
            <color indexed="81"/>
            <rFont val="Tahoma"/>
            <family val="2"/>
            <charset val="238"/>
          </rPr>
          <t xml:space="preserve">Csak a két előirányzat közötti átcsoportosítás
</t>
        </r>
      </text>
    </comment>
    <comment ref="K39" authorId="0" shapeId="0" xr:uid="{60D96AF3-79A2-4D4F-97FD-8690D0610C30}">
      <text>
        <r>
          <rPr>
            <b/>
            <sz val="9"/>
            <color indexed="81"/>
            <rFont val="Tahoma"/>
            <family val="2"/>
            <charset val="238"/>
          </rPr>
          <t>Nyíriné</t>
        </r>
        <r>
          <rPr>
            <sz val="9"/>
            <color indexed="81"/>
            <rFont val="Tahoma"/>
            <family val="2"/>
            <charset val="238"/>
          </rPr>
          <t xml:space="preserve">
</t>
        </r>
      </text>
    </comment>
    <comment ref="L39" authorId="1" shapeId="0" xr:uid="{C23F7B8B-794C-43DB-B58C-4927CE0A2CA5}">
      <text>
        <r>
          <rPr>
            <sz val="9"/>
            <color indexed="81"/>
            <rFont val="Tahoma"/>
            <family val="2"/>
            <charset val="238"/>
          </rPr>
          <t xml:space="preserve">PMH gázsoráról +23 millió Ft
</t>
        </r>
      </text>
    </comment>
    <comment ref="B44" authorId="1" shapeId="0" xr:uid="{02B4CE53-D7D8-43E4-90B5-BA94DC87F555}">
      <text>
        <r>
          <rPr>
            <sz val="9"/>
            <color indexed="81"/>
            <rFont val="Tahoma"/>
            <family val="2"/>
            <charset val="238"/>
          </rPr>
          <t xml:space="preserve">2021-ben egy kifizetés
</t>
        </r>
      </text>
    </comment>
    <comment ref="K44" authorId="0" shapeId="0" xr:uid="{F5EE4DC1-43D6-4D84-B296-BC184FF2F22B}">
      <text>
        <r>
          <rPr>
            <b/>
            <sz val="9"/>
            <color indexed="81"/>
            <rFont val="Tahoma"/>
            <family val="2"/>
            <charset val="238"/>
          </rPr>
          <t>Vagyon</t>
        </r>
        <r>
          <rPr>
            <sz val="9"/>
            <color indexed="81"/>
            <rFont val="Tahoma"/>
            <family val="2"/>
            <charset val="238"/>
          </rPr>
          <t xml:space="preserve">
A 2025. december 31-ig számított bérleti díj összege forrásadóval együtt a 2022-2025. évi időszakra vonatkozóan összesen
=100000*1,15*4</t>
        </r>
      </text>
    </comment>
    <comment ref="K46" authorId="0" shapeId="0" xr:uid="{5FB1214E-FA9F-49BA-8D93-61545CD53622}">
      <text>
        <r>
          <rPr>
            <b/>
            <sz val="9"/>
            <color indexed="81"/>
            <rFont val="Tahoma"/>
            <family val="2"/>
            <charset val="238"/>
          </rPr>
          <t>4 % helyett 3,7 %</t>
        </r>
        <r>
          <rPr>
            <sz val="9"/>
            <color indexed="81"/>
            <rFont val="Tahoma"/>
            <family val="2"/>
            <charset val="238"/>
          </rPr>
          <t xml:space="preserve">
=4600000*1,037</t>
        </r>
      </text>
    </comment>
    <comment ref="N46" authorId="1" shapeId="0" xr:uid="{0BC00D23-EEEE-448F-9E41-83F96B6A625B}">
      <text>
        <r>
          <rPr>
            <sz val="9"/>
            <color indexed="81"/>
            <rFont val="Tahoma"/>
            <family val="2"/>
            <charset val="238"/>
          </rPr>
          <t xml:space="preserve">Polgármesteri fejlesztési céltartalékból +1 273 467
Gépjárművek karbantartására -515 915
Tárgyi eszköz karbantartásra -92 491 </t>
        </r>
      </text>
    </comment>
    <comment ref="K47" authorId="0" shapeId="0" xr:uid="{CB4D1653-C92A-4054-BC42-88A89DBAC26E}">
      <text>
        <r>
          <rPr>
            <b/>
            <sz val="9"/>
            <color indexed="81"/>
            <rFont val="Tahoma"/>
            <family val="2"/>
            <charset val="238"/>
          </rPr>
          <t>Vagyonról</t>
        </r>
        <r>
          <rPr>
            <sz val="9"/>
            <color indexed="81"/>
            <rFont val="Tahoma"/>
            <family val="2"/>
            <charset val="238"/>
          </rPr>
          <t xml:space="preserve">
</t>
        </r>
      </text>
    </comment>
    <comment ref="K49" authorId="0" shapeId="0" xr:uid="{7CB02664-1E90-48F1-AC77-3B483B1EE9D9}">
      <text>
        <r>
          <rPr>
            <b/>
            <sz val="9"/>
            <color indexed="81"/>
            <rFont val="Tahoma"/>
            <family val="2"/>
            <charset val="238"/>
          </rPr>
          <t>Egyeztetésen
tavalyira 3,7 % + áth.</t>
        </r>
        <r>
          <rPr>
            <sz val="9"/>
            <color indexed="81"/>
            <rFont val="Tahoma"/>
            <family val="2"/>
            <charset val="238"/>
          </rPr>
          <t xml:space="preserve">
=11000000*1,037+543794</t>
        </r>
      </text>
    </comment>
    <comment ref="N49" authorId="1" shapeId="0" xr:uid="{983D934E-E0AE-4328-9B42-6B0B71929E50}">
      <text>
        <r>
          <rPr>
            <b/>
            <sz val="9"/>
            <color indexed="81"/>
            <rFont val="Tahoma"/>
            <family val="2"/>
            <charset val="238"/>
          </rPr>
          <t>Épületről +92 491</t>
        </r>
        <r>
          <rPr>
            <sz val="9"/>
            <color indexed="81"/>
            <rFont val="Tahoma"/>
            <family val="2"/>
            <charset val="238"/>
          </rPr>
          <t xml:space="preserve">
</t>
        </r>
      </text>
    </comment>
    <comment ref="K50" authorId="0" shapeId="0" xr:uid="{EDB5DFA7-65C2-43B7-8162-824ECCEB321F}">
      <text>
        <r>
          <rPr>
            <b/>
            <sz val="9"/>
            <color indexed="81"/>
            <rFont val="Tahoma"/>
            <family val="2"/>
            <charset val="238"/>
          </rPr>
          <t>Egyeztetésen</t>
        </r>
        <r>
          <rPr>
            <sz val="9"/>
            <color indexed="81"/>
            <rFont val="Tahoma"/>
            <family val="2"/>
            <charset val="238"/>
          </rPr>
          <t xml:space="preserve">
</t>
        </r>
      </text>
    </comment>
    <comment ref="M50" authorId="1" shapeId="0" xr:uid="{C9F08185-5A81-466A-9BE4-B44E3B67291E}">
      <text>
        <r>
          <rPr>
            <b/>
            <sz val="9"/>
            <color indexed="81"/>
            <rFont val="Tahoma"/>
            <family val="2"/>
            <charset val="238"/>
          </rPr>
          <t>Forrás: Önkormányzat általános működési tartaléka +1 500 000</t>
        </r>
        <r>
          <rPr>
            <sz val="9"/>
            <color indexed="81"/>
            <rFont val="Tahoma"/>
            <family val="2"/>
            <charset val="238"/>
          </rPr>
          <t xml:space="preserve">
</t>
        </r>
      </text>
    </comment>
    <comment ref="N50" authorId="1" shapeId="0" xr:uid="{960C71DC-A7D0-486E-A5FD-A14824937150}">
      <text>
        <r>
          <rPr>
            <sz val="9"/>
            <color indexed="81"/>
            <rFont val="Tahoma"/>
            <family val="2"/>
            <charset val="238"/>
          </rPr>
          <t xml:space="preserve">Épületkarbantartásról 
+515 915
</t>
        </r>
      </text>
    </comment>
    <comment ref="B51" authorId="1" shapeId="0" xr:uid="{FD4F7E5F-4E51-4E70-BDE4-6676A2206424}">
      <text>
        <r>
          <rPr>
            <b/>
            <sz val="9"/>
            <color indexed="81"/>
            <rFont val="Tahoma"/>
            <family val="2"/>
            <charset val="238"/>
          </rPr>
          <t>Át lett nevezve!!!
Nem elemi kár ….</t>
        </r>
        <r>
          <rPr>
            <sz val="9"/>
            <color indexed="81"/>
            <rFont val="Tahoma"/>
            <family val="2"/>
            <charset val="238"/>
          </rPr>
          <t xml:space="preserve">
</t>
        </r>
      </text>
    </comment>
    <comment ref="K51" authorId="0" shapeId="0" xr:uid="{C0B596E6-4908-4AFC-99AE-71B37D811E7C}">
      <text>
        <r>
          <rPr>
            <b/>
            <sz val="9"/>
            <color indexed="81"/>
            <rFont val="Tahoma"/>
            <family val="2"/>
            <charset val="238"/>
          </rPr>
          <t>Nyíriné</t>
        </r>
        <r>
          <rPr>
            <sz val="9"/>
            <color indexed="81"/>
            <rFont val="Tahoma"/>
            <family val="2"/>
            <charset val="238"/>
          </rPr>
          <t xml:space="preserve">
</t>
        </r>
      </text>
    </comment>
    <comment ref="M51" authorId="1" shapeId="0" xr:uid="{F8A3505D-99BA-409D-8F6B-92788549E332}">
      <text>
        <r>
          <rPr>
            <sz val="9"/>
            <color indexed="81"/>
            <rFont val="Tahoma"/>
            <family val="2"/>
            <charset val="238"/>
          </rPr>
          <t>Önk.ált.műk.tartalékából +594 001 dr. Babay Marietta temetésére</t>
        </r>
        <r>
          <rPr>
            <sz val="9"/>
            <color indexed="81"/>
            <rFont val="Tahoma"/>
            <family val="2"/>
            <charset val="238"/>
          </rPr>
          <t xml:space="preserve">
</t>
        </r>
      </text>
    </comment>
    <comment ref="N51" authorId="1" shapeId="0" xr:uid="{22FED051-377E-46D8-B80A-70056882D862}">
      <text>
        <r>
          <rPr>
            <sz val="9"/>
            <color indexed="81"/>
            <rFont val="Tahoma"/>
            <family val="2"/>
            <charset val="238"/>
          </rPr>
          <t xml:space="preserve">Önkormányzat általános működési tartalékából +26 000
</t>
        </r>
      </text>
    </comment>
    <comment ref="AA53" authorId="0" shapeId="0" xr:uid="{561BB56B-71B5-46AB-BBB4-409EF2E7C2A1}">
      <text>
        <r>
          <rPr>
            <b/>
            <sz val="9"/>
            <color indexed="81"/>
            <rFont val="Tahoma"/>
            <family val="2"/>
            <charset val="238"/>
          </rPr>
          <t>Kolaj Évi rendezte, törölte az általános működési tartalékról a teljesítést</t>
        </r>
        <r>
          <rPr>
            <sz val="9"/>
            <color indexed="81"/>
            <rFont val="Tahoma"/>
            <family val="2"/>
            <charset val="238"/>
          </rPr>
          <t xml:space="preserve">
</t>
        </r>
      </text>
    </comment>
    <comment ref="I60" authorId="0" shapeId="0" xr:uid="{FAD2C511-88DF-4254-BCEF-4C73A54E6232}">
      <text>
        <r>
          <rPr>
            <b/>
            <sz val="9"/>
            <color indexed="81"/>
            <rFont val="Tahoma"/>
            <family val="2"/>
            <charset val="238"/>
          </rPr>
          <t>Áth.: 300 000 Ft</t>
        </r>
        <r>
          <rPr>
            <sz val="9"/>
            <color indexed="81"/>
            <rFont val="Tahoma"/>
            <family val="2"/>
            <charset val="238"/>
          </rPr>
          <t xml:space="preserve">
</t>
        </r>
      </text>
    </comment>
    <comment ref="K60" authorId="0" shapeId="0" xr:uid="{0B7C9A58-6F82-4587-B7C6-B20C9A8CB381}">
      <text>
        <r>
          <rPr>
            <b/>
            <sz val="9"/>
            <color indexed="81"/>
            <rFont val="Tahoma"/>
            <family val="2"/>
            <charset val="238"/>
          </rPr>
          <t>Áth.: 300 000 Ft</t>
        </r>
        <r>
          <rPr>
            <sz val="9"/>
            <color indexed="81"/>
            <rFont val="Tahoma"/>
            <family val="2"/>
            <charset val="238"/>
          </rPr>
          <t xml:space="preserve">
</t>
        </r>
      </text>
    </comment>
    <comment ref="B66" authorId="1" shapeId="0" xr:uid="{CB9CAC58-313A-4181-B603-08D094868D17}">
      <text>
        <r>
          <rPr>
            <b/>
            <sz val="9"/>
            <color indexed="81"/>
            <rFont val="Tahoma"/>
            <family val="2"/>
            <charset val="238"/>
          </rPr>
          <t>Ez volt itt: Pszichiátriai betegek átmeneti otthona</t>
        </r>
        <r>
          <rPr>
            <sz val="9"/>
            <color indexed="81"/>
            <rFont val="Tahoma"/>
            <family val="2"/>
            <charset val="238"/>
          </rPr>
          <t xml:space="preserve">
</t>
        </r>
      </text>
    </comment>
    <comment ref="M66" authorId="1" shapeId="0" xr:uid="{DABB0326-72F7-4716-97C9-7861090BFCDF}">
      <text>
        <r>
          <rPr>
            <b/>
            <sz val="9"/>
            <color indexed="81"/>
            <rFont val="Tahoma"/>
            <family val="2"/>
            <charset val="238"/>
          </rPr>
          <t>3 175 000 Ft az Önk.ált.műk.tartalékból</t>
        </r>
        <r>
          <rPr>
            <sz val="9"/>
            <color indexed="81"/>
            <rFont val="Tahoma"/>
            <family val="2"/>
            <charset val="238"/>
          </rPr>
          <t xml:space="preserve">
</t>
        </r>
      </text>
    </comment>
    <comment ref="N66" authorId="1" shapeId="0" xr:uid="{BB36825E-18D9-46C6-9952-65D2F87F6956}">
      <text>
        <r>
          <rPr>
            <sz val="9"/>
            <color indexed="81"/>
            <rFont val="Tahoma"/>
            <family val="2"/>
            <charset val="238"/>
          </rPr>
          <t xml:space="preserve">Önkormányzat általános működési tartalékából +1 825 000 Ft
</t>
        </r>
      </text>
    </comment>
    <comment ref="I67" authorId="0" shapeId="0" xr:uid="{5075DF40-1761-4BAB-A6F7-51004D0291ED}">
      <text>
        <r>
          <rPr>
            <sz val="9"/>
            <color indexed="81"/>
            <rFont val="Tahoma"/>
            <family val="2"/>
            <charset val="238"/>
          </rPr>
          <t xml:space="preserve">Érvényes szerződés szerint 2024. május 31-ig 21 976 740 Ft kifizetése várható. 2024. második félévére, illetőleg a 2024/2025. nevelési évre még nincs árajánlata az Önkormányzatnak, </t>
        </r>
        <r>
          <rPr>
            <u/>
            <sz val="9"/>
            <color indexed="81"/>
            <rFont val="Tahoma"/>
            <family val="2"/>
            <charset val="238"/>
          </rPr>
          <t>ezért a költségvetés 1. módosításakor a forrást erre mindenféleképpen biztosítani kell.</t>
        </r>
      </text>
    </comment>
    <comment ref="M67" authorId="1" shapeId="0" xr:uid="{E10D794E-1688-4EB8-8344-4B857F9125CD}">
      <text>
        <r>
          <rPr>
            <sz val="9"/>
            <color indexed="81"/>
            <rFont val="Tahoma"/>
            <family val="2"/>
            <charset val="238"/>
          </rPr>
          <t xml:space="preserve">Önkormányzat általános működési tartalékából pótigényre +10 573 486
</t>
        </r>
      </text>
    </comment>
    <comment ref="B68" authorId="2" shapeId="0" xr:uid="{1D37D74D-6920-40D3-A663-3115FD601593}">
      <text>
        <r>
          <rPr>
            <b/>
            <sz val="9"/>
            <color indexed="8"/>
            <rFont val="Tahoma"/>
            <family val="2"/>
            <charset val="238"/>
          </rPr>
          <t xml:space="preserve">2017-ig ez volt a sor neve:
</t>
        </r>
        <r>
          <rPr>
            <sz val="9"/>
            <color indexed="8"/>
            <rFont val="Tahoma"/>
            <family val="2"/>
            <charset val="238"/>
          </rPr>
          <t xml:space="preserve">
</t>
        </r>
      </text>
    </comment>
    <comment ref="I68" authorId="0" shapeId="0" xr:uid="{CA8F97D6-5740-4F4E-9CEC-757976F895E9}">
      <text>
        <r>
          <rPr>
            <b/>
            <sz val="9"/>
            <color indexed="81"/>
            <rFont val="Tahoma"/>
            <family val="2"/>
            <charset val="238"/>
          </rPr>
          <t>Áth.: 952 500</t>
        </r>
        <r>
          <rPr>
            <sz val="9"/>
            <color indexed="81"/>
            <rFont val="Tahoma"/>
            <family val="2"/>
            <charset val="238"/>
          </rPr>
          <t xml:space="preserve">
</t>
        </r>
      </text>
    </comment>
    <comment ref="N68" authorId="1" shapeId="0" xr:uid="{39799C33-EFB0-47DC-9141-742EA7A740C7}">
      <text>
        <r>
          <rPr>
            <sz val="9"/>
            <color indexed="81"/>
            <rFont val="Tahoma"/>
            <family val="2"/>
            <charset val="238"/>
          </rPr>
          <t xml:space="preserve">Egyéb külső személyi juttatások - Reprezentációs keretre
-529 155
</t>
        </r>
      </text>
    </comment>
    <comment ref="B69" authorId="3" shapeId="0" xr:uid="{91653634-80A5-447C-B631-017383544AAA}">
      <text>
        <r>
          <rPr>
            <b/>
            <sz val="9"/>
            <color indexed="81"/>
            <rFont val="Segoe UI"/>
            <family val="2"/>
            <charset val="238"/>
          </rPr>
          <t>ITT VOLT ITT:
Programrendszerek fenntartása: Oviadmin program - új sor, adtam neki kódot!!!</t>
        </r>
        <r>
          <rPr>
            <sz val="9"/>
            <color indexed="81"/>
            <rFont val="Segoe UI"/>
            <family val="2"/>
            <charset val="238"/>
          </rPr>
          <t xml:space="preserve">
</t>
        </r>
      </text>
    </comment>
    <comment ref="I69" authorId="1" shapeId="0" xr:uid="{A0CADFFA-AAA6-4B0C-BF42-90736F543CF1}">
      <text>
        <r>
          <rPr>
            <sz val="9"/>
            <color indexed="81"/>
            <rFont val="Tahoma"/>
            <family val="2"/>
            <charset val="238"/>
          </rPr>
          <t xml:space="preserve">Etelka: 2022-től az Önkormányzat által fenntartott óvodákban elindult a kerületi műjégpályán a korcsolyaoktatás, melynek szállítással és a jégpálya bérlésével összefüggő költségeire </t>
        </r>
        <r>
          <rPr>
            <b/>
            <sz val="9"/>
            <color indexed="81"/>
            <rFont val="Tahoma"/>
            <family val="2"/>
            <charset val="238"/>
          </rPr>
          <t>10 000 000 Ft</t>
        </r>
        <r>
          <rPr>
            <sz val="9"/>
            <color indexed="81"/>
            <rFont val="Tahoma"/>
            <family val="2"/>
            <charset val="238"/>
          </rPr>
          <t xml:space="preserve">-ot szükséges tervezni. Ebből az összegből
5 000 000 Ft-ot már az átmeneti rendeletbe is beállítottunk.
</t>
        </r>
      </text>
    </comment>
    <comment ref="L69" authorId="1" shapeId="0" xr:uid="{6F54AF92-A872-405E-9EA4-C7C76558407C}">
      <text>
        <r>
          <rPr>
            <b/>
            <sz val="9"/>
            <color indexed="81"/>
            <rFont val="Tahoma"/>
            <family val="2"/>
            <charset val="238"/>
          </rPr>
          <t>Önk.ált.műk.tartalékából +2 M Ft
7 óvoda költségvetésébe</t>
        </r>
        <r>
          <rPr>
            <sz val="9"/>
            <color indexed="81"/>
            <rFont val="Tahoma"/>
            <family val="2"/>
            <charset val="238"/>
          </rPr>
          <t xml:space="preserve">
</t>
        </r>
      </text>
    </comment>
    <comment ref="M69" authorId="1" shapeId="0" xr:uid="{865256F7-1DEB-434E-9802-81673FCA5452}">
      <text>
        <r>
          <rPr>
            <sz val="9"/>
            <color indexed="81"/>
            <rFont val="Tahoma"/>
            <family val="2"/>
            <charset val="238"/>
          </rPr>
          <t xml:space="preserve">Játszókert Óvodának: Szállítási szolgáltatás +655 320
</t>
        </r>
      </text>
    </comment>
    <comment ref="P69" authorId="1" shapeId="0" xr:uid="{1561655A-5B9A-49DF-B539-A1BF429B84C1}">
      <text>
        <r>
          <rPr>
            <b/>
            <sz val="9"/>
            <color indexed="81"/>
            <rFont val="Tahoma"/>
            <family val="2"/>
            <charset val="238"/>
          </rPr>
          <t>Int.fin-ban:
8 497 370 Ft</t>
        </r>
        <r>
          <rPr>
            <sz val="9"/>
            <color indexed="81"/>
            <rFont val="Tahoma"/>
            <family val="2"/>
            <charset val="238"/>
          </rPr>
          <t xml:space="preserve">
</t>
        </r>
      </text>
    </comment>
    <comment ref="I71" authorId="1" shapeId="0" xr:uid="{222B974F-B318-4146-9FE4-5D4114FC8B10}">
      <text>
        <r>
          <rPr>
            <b/>
            <sz val="9"/>
            <color indexed="81"/>
            <rFont val="Tahoma"/>
            <family val="2"/>
            <charset val="238"/>
          </rPr>
          <t>Áth.: 9 973 924</t>
        </r>
        <r>
          <rPr>
            <sz val="9"/>
            <color indexed="81"/>
            <rFont val="Tahoma"/>
            <family val="2"/>
            <charset val="238"/>
          </rPr>
          <t xml:space="preserve">
</t>
        </r>
        <r>
          <rPr>
            <b/>
            <sz val="9"/>
            <color indexed="81"/>
            <rFont val="Tahoma"/>
            <family val="2"/>
            <charset val="238"/>
          </rPr>
          <t>1. körben: +1 219 200 
dr. JJ és könyvvizsgáló emelt</t>
        </r>
      </text>
    </comment>
    <comment ref="K71" authorId="0" shapeId="0" xr:uid="{6274C0BA-F239-43A0-B06E-000C0FB6AD15}">
      <text>
        <r>
          <rPr>
            <b/>
            <sz val="9"/>
            <color indexed="81"/>
            <rFont val="Tahoma"/>
            <family val="2"/>
            <charset val="238"/>
          </rPr>
          <t xml:space="preserve">Nyíriné
2024. évi szerződések összege: +50 259 980 Ft + áthúzódó </t>
        </r>
        <r>
          <rPr>
            <sz val="9"/>
            <color indexed="81"/>
            <rFont val="Tahoma"/>
            <family val="2"/>
            <charset val="238"/>
          </rPr>
          <t xml:space="preserve">
</t>
        </r>
        <r>
          <rPr>
            <b/>
            <sz val="9"/>
            <color indexed="81"/>
            <rFont val="Tahoma"/>
            <family val="2"/>
            <charset val="238"/>
          </rPr>
          <t>10 877 729 (-9 Ft kerelítés)
Egyeztetésen
55 183 E Ft, mely tartalmazza a 
6 784 373 Ft-ot.</t>
        </r>
      </text>
    </comment>
    <comment ref="P71" authorId="1" shapeId="0" xr:uid="{3C26F31C-FAF2-4B7E-B131-975095F9353D}">
      <text>
        <r>
          <rPr>
            <b/>
            <sz val="9"/>
            <color indexed="81"/>
            <rFont val="Tahoma"/>
            <family val="2"/>
            <charset val="238"/>
          </rPr>
          <t>Egyezőségből:
-1 106 565 -15 267
-68 000 -55 598</t>
        </r>
        <r>
          <rPr>
            <sz val="9"/>
            <color indexed="81"/>
            <rFont val="Tahoma"/>
            <family val="2"/>
            <charset val="238"/>
          </rPr>
          <t xml:space="preserve">
HOMES-ban 39 549 008
Irmánál: 37 449 008</t>
        </r>
      </text>
    </comment>
    <comment ref="AA71" authorId="0" shapeId="0" xr:uid="{D458455D-2CAB-4712-88D9-E3A89186DBF9}">
      <text>
        <r>
          <rPr>
            <b/>
            <sz val="9"/>
            <color indexed="81"/>
            <rFont val="Tahoma"/>
            <family val="2"/>
            <charset val="238"/>
          </rPr>
          <t>KGR-től eltéréssel korrigálva</t>
        </r>
        <r>
          <rPr>
            <sz val="9"/>
            <color indexed="81"/>
            <rFont val="Tahoma"/>
            <family val="2"/>
            <charset val="238"/>
          </rPr>
          <t xml:space="preserve">
</t>
        </r>
      </text>
    </comment>
    <comment ref="N74" authorId="1" shapeId="0" xr:uid="{FB5D0ADD-4A08-45CF-9FA9-EF51C61F515A}">
      <text>
        <r>
          <rPr>
            <sz val="9"/>
            <color indexed="81"/>
            <rFont val="Tahoma"/>
            <family val="2"/>
            <charset val="238"/>
          </rPr>
          <t xml:space="preserve">Humán Iroda 500 000 Ft-os keretéről pedagógusok ajándékutalványára 
-328 328 Ft
</t>
        </r>
      </text>
    </comment>
    <comment ref="P74" authorId="1" shapeId="0" xr:uid="{1D6EE9CF-C3F2-4EBA-9E5C-EDCB60DB2B2B}">
      <text>
        <r>
          <rPr>
            <b/>
            <sz val="9"/>
            <color indexed="81"/>
            <rFont val="Tahoma"/>
            <family val="2"/>
            <charset val="238"/>
          </rPr>
          <t>Szoc: 24 000
Humán: 65 000</t>
        </r>
        <r>
          <rPr>
            <sz val="9"/>
            <color indexed="81"/>
            <rFont val="Tahoma"/>
            <family val="2"/>
            <charset val="238"/>
          </rPr>
          <t xml:space="preserve">
</t>
        </r>
      </text>
    </comment>
    <comment ref="I76" authorId="1" shapeId="0" xr:uid="{FF17336A-49CA-4BF9-A017-ADB52E02A43E}">
      <text>
        <r>
          <rPr>
            <b/>
            <sz val="9"/>
            <color indexed="81"/>
            <rFont val="Tahoma"/>
            <family val="2"/>
            <charset val="238"/>
          </rPr>
          <t>Sike Csaba kérelme alapján</t>
        </r>
        <r>
          <rPr>
            <sz val="9"/>
            <color indexed="81"/>
            <rFont val="Tahoma"/>
            <family val="2"/>
            <charset val="238"/>
          </rPr>
          <t xml:space="preserve">
</t>
        </r>
      </text>
    </comment>
    <comment ref="K76" authorId="1" shapeId="0" xr:uid="{B395A691-5810-40B6-BE59-BEBF27AA43E1}">
      <text>
        <r>
          <rPr>
            <b/>
            <sz val="9"/>
            <color indexed="81"/>
            <rFont val="Tahoma"/>
            <family val="2"/>
            <charset val="238"/>
          </rPr>
          <t>Sike Csaba kérelme alapján</t>
        </r>
        <r>
          <rPr>
            <sz val="9"/>
            <color indexed="81"/>
            <rFont val="Tahoma"/>
            <family val="2"/>
            <charset val="238"/>
          </rPr>
          <t xml:space="preserve">
</t>
        </r>
      </text>
    </comment>
    <comment ref="I79" authorId="1" shapeId="0" xr:uid="{9B87C111-2515-4D6D-9CDB-BB68AC1B2023}">
      <text>
        <r>
          <rPr>
            <b/>
            <sz val="9"/>
            <color indexed="81"/>
            <rFont val="Tahoma"/>
            <family val="2"/>
            <charset val="238"/>
          </rPr>
          <t>Nyíriné Kovács Ildikó:</t>
        </r>
        <r>
          <rPr>
            <sz val="9"/>
            <color indexed="81"/>
            <rFont val="Tahoma"/>
            <family val="2"/>
            <charset val="238"/>
          </rPr>
          <t xml:space="preserve">
</t>
        </r>
      </text>
    </comment>
    <comment ref="K79" authorId="0" shapeId="0" xr:uid="{755EB645-3F7D-45BF-8E0D-FBF97FAE37D0}">
      <text>
        <r>
          <rPr>
            <b/>
            <sz val="9"/>
            <color indexed="81"/>
            <rFont val="Tahoma"/>
            <family val="2"/>
            <charset val="238"/>
          </rPr>
          <t>=3232722*1,04-31</t>
        </r>
      </text>
    </comment>
    <comment ref="N79" authorId="1" shapeId="0" xr:uid="{6BB33D0B-DD73-46B3-A28A-A33D802F672A}">
      <text>
        <r>
          <rPr>
            <sz val="9"/>
            <color indexed="81"/>
            <rFont val="Tahoma"/>
            <family val="2"/>
            <charset val="238"/>
          </rPr>
          <t>Közbeszerzési díj - Közbeszerzési Hatóságnak fizetett előirányzatról +116 659</t>
        </r>
        <r>
          <rPr>
            <sz val="9"/>
            <color indexed="81"/>
            <rFont val="Tahoma"/>
            <family val="2"/>
            <charset val="238"/>
          </rPr>
          <t xml:space="preserve">
</t>
        </r>
      </text>
    </comment>
    <comment ref="K80" authorId="0" shapeId="0" xr:uid="{FE20638A-875D-4E98-86AB-DC51AE678257}">
      <text>
        <r>
          <rPr>
            <sz val="9"/>
            <color indexed="81"/>
            <rFont val="Tahoma"/>
            <family val="2"/>
            <charset val="238"/>
          </rPr>
          <t>: A 2025. évi vagyon és felelősség biztosítás díja 29 983 563 Ft. Számolni kell továbbá a kátyú és fasorkár miatt fizetendő önrész, valamint a káresemény mértékétől függő esetleges limit feletti összeg fizetési kötelezettségével is, ezekre 2024-ben 1 026 487 Ft-ot fizettünk.</t>
        </r>
        <r>
          <rPr>
            <sz val="9"/>
            <color indexed="81"/>
            <rFont val="Tahoma"/>
            <family val="2"/>
            <charset val="238"/>
          </rPr>
          <t xml:space="preserve">
Ugyanakkor a biztosítási szerződésbe bele kell emelni a XVI. kerületi Kertvárosi Idősek Otthonát, erre tartalékot – 1 000 000 Ft-ot – kell képezni.</t>
        </r>
      </text>
    </comment>
    <comment ref="K82" authorId="0" shapeId="0" xr:uid="{DD69CF5D-00D8-4ECB-8384-FB2EF963E061}">
      <text>
        <r>
          <rPr>
            <b/>
            <sz val="9"/>
            <color indexed="81"/>
            <rFont val="Tahoma"/>
            <family val="2"/>
            <charset val="238"/>
          </rPr>
          <t>Nyíriné</t>
        </r>
      </text>
    </comment>
    <comment ref="N82" authorId="1" shapeId="0" xr:uid="{C69ACCC4-5ED9-40C0-9DAC-E63E69143D80}">
      <text>
        <r>
          <rPr>
            <b/>
            <sz val="9"/>
            <color indexed="81"/>
            <rFont val="Tahoma"/>
            <family val="2"/>
            <charset val="238"/>
          </rPr>
          <t>Helyi vállalkozókról
+10 000 000</t>
        </r>
        <r>
          <rPr>
            <sz val="9"/>
            <color indexed="81"/>
            <rFont val="Tahoma"/>
            <family val="2"/>
            <charset val="238"/>
          </rPr>
          <t xml:space="preserve">
Ingatlan.ért-ről +759 967</t>
        </r>
      </text>
    </comment>
    <comment ref="B83" authorId="0" shapeId="0" xr:uid="{5B6E9BA7-6034-4932-85E7-22BAEE4BC225}">
      <text>
        <r>
          <rPr>
            <sz val="9"/>
            <color indexed="81"/>
            <rFont val="Tahoma"/>
            <family val="2"/>
            <charset val="238"/>
          </rPr>
          <t>Ezt a szövegrészt töröltem innen ki:
+ téli rezsicsökkentés szállítási díjaira nem tervezünk 2022-ben+Óvodások korcsolyaoktatásával összefüggő szállítási költségek</t>
        </r>
        <r>
          <rPr>
            <sz val="9"/>
            <color indexed="81"/>
            <rFont val="Tahoma"/>
            <family val="2"/>
            <charset val="238"/>
          </rPr>
          <t xml:space="preserve">
</t>
        </r>
      </text>
    </comment>
    <comment ref="I83" authorId="3" shapeId="0" xr:uid="{FFB9147A-271E-46E2-A941-9151ADBFC0F9}">
      <text>
        <r>
          <rPr>
            <b/>
            <sz val="9"/>
            <color indexed="81"/>
            <rFont val="Segoe UI"/>
            <family val="2"/>
            <charset val="238"/>
          </rPr>
          <t xml:space="preserve">Taxira 610 ezer Ft, </t>
        </r>
        <r>
          <rPr>
            <sz val="9"/>
            <color indexed="81"/>
            <rFont val="Segoe UI"/>
            <family val="2"/>
            <charset val="238"/>
          </rPr>
          <t xml:space="preserve"> 2024. januárjától bevezetésre kerül az Erdei Szenzomotoros Torna (ESMT program) – ez is nevesítésre került már az átmeneti rendeletben a 2024 január, február hónapjaira 9 000 000 Ft-tal –, melynek költségeire az egész évre összesen
</t>
        </r>
        <r>
          <rPr>
            <b/>
            <sz val="9"/>
            <color indexed="81"/>
            <rFont val="Segoe UI"/>
            <family val="2"/>
            <charset val="238"/>
          </rPr>
          <t>19 000 000 Ft</t>
        </r>
        <r>
          <rPr>
            <sz val="9"/>
            <color indexed="81"/>
            <rFont val="Segoe UI"/>
            <family val="2"/>
            <charset val="238"/>
          </rPr>
          <t xml:space="preserve"> tervezése szükséges.</t>
        </r>
        <r>
          <rPr>
            <b/>
            <sz val="9"/>
            <color indexed="81"/>
            <rFont val="Segoe UI"/>
            <family val="2"/>
            <charset val="238"/>
          </rPr>
          <t xml:space="preserve"> 1. kör: -10 millió</t>
        </r>
      </text>
    </comment>
    <comment ref="K83" authorId="0" shapeId="0" xr:uid="{B87D9600-A758-4DA0-92B0-42D0E1A40513}">
      <text>
        <r>
          <rPr>
            <b/>
            <sz val="9"/>
            <color indexed="81"/>
            <rFont val="Tahoma"/>
            <family val="2"/>
            <charset val="238"/>
          </rPr>
          <t>Nyíriné</t>
        </r>
      </text>
    </comment>
    <comment ref="P83" authorId="1" shapeId="0" xr:uid="{277A9156-5066-4C72-A7EB-13006366099C}">
      <text>
        <r>
          <rPr>
            <b/>
            <sz val="9"/>
            <color indexed="81"/>
            <rFont val="Tahoma"/>
            <family val="2"/>
            <charset val="238"/>
          </rPr>
          <t>Int.fin-ban: 285 750 Ft</t>
        </r>
        <r>
          <rPr>
            <sz val="9"/>
            <color indexed="81"/>
            <rFont val="Tahoma"/>
            <family val="2"/>
            <charset val="238"/>
          </rPr>
          <t xml:space="preserve">
Szenzomotoros teljesítés:
2 640 000 Ft</t>
        </r>
      </text>
    </comment>
    <comment ref="AA83" authorId="0" shapeId="0" xr:uid="{70448E5D-298D-4287-9CB0-732B341233EE}">
      <text>
        <r>
          <rPr>
            <sz val="9"/>
            <color indexed="81"/>
            <rFont val="Tahoma"/>
            <family val="2"/>
            <charset val="238"/>
          </rPr>
          <t>Intézményfinanszírozásban:</t>
        </r>
        <r>
          <rPr>
            <b/>
            <sz val="9"/>
            <color indexed="81"/>
            <rFont val="Tahoma"/>
            <family val="2"/>
            <charset val="238"/>
          </rPr>
          <t xml:space="preserve"> 11 509 299</t>
        </r>
        <r>
          <rPr>
            <sz val="9"/>
            <color indexed="81"/>
            <rFont val="Tahoma"/>
            <family val="2"/>
            <charset val="238"/>
          </rPr>
          <t xml:space="preserve">
</t>
        </r>
      </text>
    </comment>
    <comment ref="I85" authorId="1" shapeId="0" xr:uid="{598CE947-C7C0-429B-8D7D-04CD056F10C9}">
      <text>
        <r>
          <rPr>
            <b/>
            <sz val="9"/>
            <color indexed="81"/>
            <rFont val="Tahoma"/>
            <family val="2"/>
            <charset val="238"/>
          </rPr>
          <t>Nyíriné Kovács Ildikó:</t>
        </r>
        <r>
          <rPr>
            <sz val="9"/>
            <color indexed="81"/>
            <rFont val="Tahoma"/>
            <family val="2"/>
            <charset val="238"/>
          </rPr>
          <t xml:space="preserve">
</t>
        </r>
      </text>
    </comment>
    <comment ref="K85" authorId="0" shapeId="0" xr:uid="{82669C1C-5C8C-4E25-86E5-361F22CDFC1F}">
      <text>
        <r>
          <rPr>
            <b/>
            <sz val="9"/>
            <color indexed="81"/>
            <rFont val="Tahoma"/>
            <family val="2"/>
            <charset val="238"/>
          </rPr>
          <t>=4500000*1,04-1000000
Egyezteteésen -1 mill</t>
        </r>
        <r>
          <rPr>
            <sz val="9"/>
            <color indexed="81"/>
            <rFont val="Tahoma"/>
            <family val="2"/>
            <charset val="238"/>
          </rPr>
          <t xml:space="preserve">
</t>
        </r>
      </text>
    </comment>
    <comment ref="N85" authorId="1" shapeId="0" xr:uid="{32B0CD26-D1CC-4201-8533-EDFCB214E691}">
      <text>
        <r>
          <rPr>
            <sz val="9"/>
            <color indexed="81"/>
            <rFont val="Tahoma"/>
            <family val="2"/>
            <charset val="238"/>
          </rPr>
          <t>Önkormányzat általános működési tartalékából
+320 000 Ft +11 614</t>
        </r>
        <r>
          <rPr>
            <sz val="9"/>
            <color indexed="81"/>
            <rFont val="Tahoma"/>
            <family val="2"/>
            <charset val="238"/>
          </rPr>
          <t xml:space="preserve">
</t>
        </r>
      </text>
    </comment>
    <comment ref="I86" authorId="0" shapeId="0" xr:uid="{ACA201A7-AEB6-4795-A059-803F5B705817}">
      <text>
        <r>
          <rPr>
            <sz val="9"/>
            <color indexed="81"/>
            <rFont val="Tahoma"/>
            <family val="2"/>
            <charset val="238"/>
          </rPr>
          <t xml:space="preserve">Előre láthatóan az áthúzódó nem teljesített kötelezettség vállalások összege 2 126 120 Ft. (ebből a komposztálóhoz kapcsolódó telekalakítási költség 762 000 Ft)
A lakásbérleti szerződésekhez kapcsolódó közjegyzői okiratba foglalt egyoldalú kötelezettségvállaló nyilatkozatok költségét az Önkormányzat fizeti. A közjegyzői okiratok díja, jelenleg 35 010 Ft/darab. A 2024. évben előreláthatólag 120 okirat megrendelése válik szükségessé, erre ezért 4 218 000 Ft-ot javasolunk tervezni. Az értékbecslések várható kiadása 2024. évre 1 500 000 Ft. Az 50 m2-nél nagyobb értékesítésre kerülő ingatlanok esetében energetikai tanúsítványt kell készíteni. Ingatlanonként ez jelenleg 20 E Ft kiadást jelent. 2024. évi terv 100 000 Ft. Telekhatár kitűzésre, telekalakítási vázrajzok készítésére és tervdokumentációkra 2024. évre tervezett kiadás a komposztáló nélkül 2 000 000 Ft.
Igazgatási szolgáltatási díjra a 2024. évben várhatóan 500 000 Ft-ra lesz szükség.
A tulajdoni lapon és a térképen való átvezetéshez szükséges az illetékekről szóló 1990. évi XCIII. törvény módosításáról, valamint a hiteles tulajdoni lap másolat igazgatási díjáról szóló 1996. évi LXXXV. tv. 32/A. § (1) bekezdése értelmében 6 600 Ft/ingatlan ingatlan-nyilvántartási eljárási igazgatási díjat fizetni. Külön eljárási díjat kell fizetni a soron kívüli kérelmek és az iratmásolatok kiadásáért is.
Az önkormányzati tulajdonú ingatlanokon szükségessé váló fakivágások költségére 500 000 Ft, valamint egyéb, előre nem látható kiadásokra 1 000 000 Ft-ot javasolunk tervezni.
</t>
        </r>
      </text>
    </comment>
    <comment ref="K86" authorId="0" shapeId="0" xr:uid="{2C7CC62C-2F7C-44BC-B0F8-89EB5B6EA463}">
      <text>
        <r>
          <rPr>
            <b/>
            <sz val="9"/>
            <color indexed="81"/>
            <rFont val="Tahoma"/>
            <family val="2"/>
            <charset val="238"/>
          </rPr>
          <t>Vagyon</t>
        </r>
        <r>
          <rPr>
            <sz val="9"/>
            <color indexed="81"/>
            <rFont val="Tahoma"/>
            <family val="2"/>
            <charset val="238"/>
          </rPr>
          <t xml:space="preserve">
Az áthúzódó kötelezettségvállalások összege 2 326 865 Ft. 
A lakásbérleti szerződésekhez kapcsolódó közjegyzői okiratba foglalt egyoldalú kötelezettségvállaló nyilatkozatok költségét az Önkormányzat fizeti. A közjegyzői okiratok díja, jelenleg 35 010 Ft/darab. A 2025. évben előreláthatólag 120 okirat megrendelése válik szükségessé, erre ezért 4 218 000 Ft-ot javaslunk tervezni. 
Az értékbecslések várható kiadása a 2025. évre 1 800 000 Ft. 
Az 50 m2-nél nagyobb értékesítésre kerülő ingatlanok esetében energetikai tanúsítványt kell készíteni. Ingatlanonként ez jelenleg 20 000 Ft kiadást jelent. A 2025. évi terv 100 000 Ft. 
Telekhatár kitűzésre, telekalakítási vázrajzok készítésére és tervdokumentációkra a 2024. évre tervezett kiadás a 2 400 000 Ft.
Igazgatási szolgáltatási díjra a 2025. évben várhatóan 1 200 000 Ft-ra lesz szükség.
Az illetékekről szóló 1990. évi XCIII. törvény módosításáról, valamint a hiteles tulajdoni lap másolat igazgatási szolgáltatási díjáról szóló 1996. évi LXXXV. törvény (Díjtörvény) értelmében az ingatlan-nyilvántartási eljárásért igazgatási szolgáltatási díjat kell fizetni. A díjak összegét az ingatlan-nyilvántartási, a telekalakítási, a földmérési és térképészeti tevékenységgel kapcsolatos eljárások, továbbá az ingatlan-nyilvántartásból és az állami alapadatbázisokból történő adatszolgáltatások igazgatási szolgáltatási díjairól szóló 1/2024. (I. 30.) KTM rendelet (a továbbiakban: Díjrendelet) határozza meg. 2024.07.29-től az ingatlan-nyilvántartási eljárás (általános) díja 10.600 Ft/ingatlan. Külön eljárási díjat kell fizetni a soron kívüli kérelmek és az iratmásolatok kiadásáért is.
Az önkormányzati tulajdonú ingatlanokon szükségessé váló fakivágások költségére 700 000 Ft, valamint egyéb, előre nem látható kiadásokra 2 000 000 Ft-ot javaslunk tervezni. </t>
        </r>
        <r>
          <rPr>
            <b/>
            <sz val="9"/>
            <color indexed="81"/>
            <rFont val="Tahoma"/>
            <family val="2"/>
            <charset val="238"/>
          </rPr>
          <t>Egyeztetésen -3 millió</t>
        </r>
        <r>
          <rPr>
            <sz val="9"/>
            <color indexed="81"/>
            <rFont val="Tahoma"/>
            <family val="2"/>
            <charset val="238"/>
          </rPr>
          <t xml:space="preserve">
</t>
        </r>
      </text>
    </comment>
    <comment ref="N86" authorId="1" shapeId="0" xr:uid="{46F6E869-C29C-440B-8136-10AC316D0B2F}">
      <text>
        <r>
          <rPr>
            <b/>
            <sz val="9"/>
            <color indexed="81"/>
            <rFont val="Tahoma"/>
            <family val="2"/>
            <charset val="238"/>
          </rPr>
          <t>Bankköltségre
-759 967</t>
        </r>
        <r>
          <rPr>
            <sz val="9"/>
            <color indexed="81"/>
            <rFont val="Tahoma"/>
            <family val="2"/>
            <charset val="238"/>
          </rPr>
          <t xml:space="preserve">
</t>
        </r>
      </text>
    </comment>
    <comment ref="P86" authorId="1" shapeId="0" xr:uid="{700133B3-DC2E-48CF-A38B-A51B261F6532}">
      <text>
        <r>
          <rPr>
            <sz val="9"/>
            <color indexed="81"/>
            <rFont val="Tahoma"/>
            <family val="2"/>
            <charset val="238"/>
          </rPr>
          <t xml:space="preserve">HOMES-ban: 6 329 157
</t>
        </r>
      </text>
    </comment>
    <comment ref="I87" authorId="3" shapeId="0" xr:uid="{FCBE3CEE-E5F1-40EB-833C-B2E5A9B347F9}">
      <text>
        <r>
          <rPr>
            <b/>
            <sz val="9"/>
            <color indexed="81"/>
            <rFont val="Segoe UI"/>
            <family val="2"/>
            <charset val="238"/>
          </rPr>
          <t>Humán Iroda 5  000 000
Polgármesteri I. 5,2 mill</t>
        </r>
        <r>
          <rPr>
            <sz val="9"/>
            <color indexed="81"/>
            <rFont val="Segoe UI"/>
            <family val="2"/>
            <charset val="238"/>
          </rPr>
          <t xml:space="preserve">
</t>
        </r>
      </text>
    </comment>
    <comment ref="K87" authorId="3" shapeId="0" xr:uid="{B57B580C-5EEB-4F86-88D7-B2AEA86DE151}">
      <text>
        <r>
          <rPr>
            <b/>
            <sz val="9"/>
            <color indexed="81"/>
            <rFont val="Segoe UI"/>
            <family val="2"/>
            <charset val="238"/>
          </rPr>
          <t>Humán Iroda 6  000 000
egyeztetésen -1 mill
Polgármesteri I. 5,2 mill</t>
        </r>
        <r>
          <rPr>
            <sz val="9"/>
            <color indexed="81"/>
            <rFont val="Segoe UI"/>
            <family val="2"/>
            <charset val="238"/>
          </rPr>
          <t xml:space="preserve">
</t>
        </r>
      </text>
    </comment>
    <comment ref="N87" authorId="1" shapeId="0" xr:uid="{67818A9F-90C3-4A5A-B43D-467F5D189106}">
      <text>
        <r>
          <rPr>
            <b/>
            <sz val="9"/>
            <color indexed="81"/>
            <rFont val="Tahoma"/>
            <family val="2"/>
            <charset val="238"/>
          </rPr>
          <t>Humán Iroda 5 milliós keretére +400 ezer
Humán Iroda hirdetési keretéről</t>
        </r>
        <r>
          <rPr>
            <sz val="9"/>
            <color indexed="81"/>
            <rFont val="Tahoma"/>
            <family val="2"/>
            <charset val="238"/>
          </rPr>
          <t xml:space="preserve">
</t>
        </r>
      </text>
    </comment>
    <comment ref="P87" authorId="1" shapeId="0" xr:uid="{E00F0C48-366E-4EC1-82A5-8077B8B1FB08}">
      <text>
        <r>
          <rPr>
            <b/>
            <sz val="9"/>
            <color indexed="81"/>
            <rFont val="Tahoma"/>
            <family val="2"/>
            <charset val="238"/>
          </rPr>
          <t>Helga: 4 320 000
Etelka: 5 078 612</t>
        </r>
        <r>
          <rPr>
            <sz val="9"/>
            <color indexed="81"/>
            <rFont val="Tahoma"/>
            <family val="2"/>
            <charset val="238"/>
          </rPr>
          <t xml:space="preserve">
</t>
        </r>
      </text>
    </comment>
    <comment ref="I88" authorId="1" shapeId="0" xr:uid="{486D5056-343B-4CE7-8D84-64B1CA6E96F8}">
      <text>
        <r>
          <rPr>
            <b/>
            <sz val="9"/>
            <color indexed="81"/>
            <rFont val="Tahoma"/>
            <family val="2"/>
            <charset val="238"/>
          </rPr>
          <t>Nyíriné Kovács Ildikó:</t>
        </r>
        <r>
          <rPr>
            <sz val="9"/>
            <color indexed="81"/>
            <rFont val="Tahoma"/>
            <family val="2"/>
            <charset val="238"/>
          </rPr>
          <t xml:space="preserve">
</t>
        </r>
      </text>
    </comment>
    <comment ref="I89" authorId="1" shapeId="0" xr:uid="{9E8313B4-8ABD-4D98-BE82-BE8C5EA64B2A}">
      <text>
        <r>
          <rPr>
            <b/>
            <sz val="9"/>
            <color indexed="81"/>
            <rFont val="Tahoma"/>
            <family val="2"/>
            <charset val="238"/>
          </rPr>
          <t>Helgától</t>
        </r>
        <r>
          <rPr>
            <sz val="9"/>
            <color indexed="81"/>
            <rFont val="Tahoma"/>
            <family val="2"/>
            <charset val="238"/>
          </rPr>
          <t xml:space="preserve">
</t>
        </r>
      </text>
    </comment>
    <comment ref="K89" authorId="1" shapeId="0" xr:uid="{F43AAF7C-0B74-44E4-A86C-589DEF04A158}">
      <text>
        <r>
          <rPr>
            <b/>
            <sz val="9"/>
            <color indexed="81"/>
            <rFont val="Tahoma"/>
            <family val="2"/>
            <charset val="238"/>
          </rPr>
          <t>Helgától</t>
        </r>
        <r>
          <rPr>
            <sz val="9"/>
            <color indexed="81"/>
            <rFont val="Tahoma"/>
            <family val="2"/>
            <charset val="238"/>
          </rPr>
          <t xml:space="preserve">
</t>
        </r>
      </text>
    </comment>
    <comment ref="I90" authorId="3" shapeId="0" xr:uid="{0C8C5320-B96F-4CF8-AC31-0F5012506283}">
      <text>
        <r>
          <rPr>
            <sz val="9"/>
            <color indexed="81"/>
            <rFont val="Segoe UI"/>
            <family val="2"/>
            <charset val="238"/>
          </rPr>
          <t>Az átmeneti rendelet 3. § 3) bek. f) pontjára tekintettel az Iránytű kiadványra a 2024-es évre 800 000 Ft-ot tervezünk. Egyéb rendezvények tekintetében oklevél, meghívó, papír alapanyagra vagy nyomtatási költségre 1 000 000 Ft tervezését javasoljuk.</t>
        </r>
        <r>
          <rPr>
            <sz val="9"/>
            <color indexed="81"/>
            <rFont val="Segoe UI"/>
            <family val="2"/>
            <charset val="238"/>
          </rPr>
          <t xml:space="preserve">
</t>
        </r>
      </text>
    </comment>
    <comment ref="K90" authorId="0" shapeId="0" xr:uid="{6B42B331-66A1-438B-9BA8-7C4F3F7D5936}">
      <text>
        <r>
          <rPr>
            <sz val="9"/>
            <color indexed="81"/>
            <rFont val="Tahoma"/>
            <family val="2"/>
            <charset val="238"/>
          </rPr>
          <t>Az Iránytű kiadványra a 2025-ös évre 700 000 Ft-ot tervezünk, az Aranykönyv kiadványra 1 500 000 Ft-ot. Egyéb rendezvények tekintetében oklevél, meghívó, papír alapanyagra vagy nyomtatási költségre 1 000 000 Ft tervezését javasoljuk.</t>
        </r>
        <r>
          <rPr>
            <sz val="9"/>
            <color indexed="81"/>
            <rFont val="Tahoma"/>
            <family val="2"/>
            <charset val="238"/>
          </rPr>
          <t xml:space="preserve">
Egyeztetésen -500 ezer</t>
        </r>
      </text>
    </comment>
    <comment ref="N90" authorId="1" shapeId="0" xr:uid="{ABDFEC7A-E3F9-4B8D-9259-09071D5A8DB4}">
      <text>
        <r>
          <rPr>
            <b/>
            <sz val="9"/>
            <color indexed="81"/>
            <rFont val="Tahoma"/>
            <family val="2"/>
            <charset val="238"/>
          </rPr>
          <t>Reklám - propaganda kiadások - Humán Iroda hirdetési keretre - 114 170 Ft</t>
        </r>
      </text>
    </comment>
    <comment ref="P90" authorId="1" shapeId="0" xr:uid="{FAD7E552-2876-4AB2-91C8-D0CC5C0CD19E}">
      <text>
        <r>
          <rPr>
            <sz val="9"/>
            <color indexed="81"/>
            <rFont val="Tahoma"/>
            <family val="2"/>
            <charset val="238"/>
          </rPr>
          <t>HOMES nem repi 834 691
Kiadvány 684 611</t>
        </r>
      </text>
    </comment>
    <comment ref="K91" authorId="0" shapeId="0" xr:uid="{62EFA48A-F5F7-4CEB-B42A-D1C6225151BA}">
      <text>
        <r>
          <rPr>
            <b/>
            <sz val="9"/>
            <color indexed="81"/>
            <rFont val="Tahoma"/>
            <family val="2"/>
            <charset val="238"/>
          </rPr>
          <t>Kinga</t>
        </r>
        <r>
          <rPr>
            <sz val="9"/>
            <color indexed="81"/>
            <rFont val="Tahoma"/>
            <family val="2"/>
            <charset val="238"/>
          </rPr>
          <t xml:space="preserve">
</t>
        </r>
      </text>
    </comment>
    <comment ref="I92" authorId="3" shapeId="0" xr:uid="{2E09FDAA-457C-4BB0-B640-AF6B348EA490}">
      <text>
        <r>
          <rPr>
            <b/>
            <sz val="9"/>
            <color indexed="81"/>
            <rFont val="Segoe UI"/>
            <family val="2"/>
            <charset val="238"/>
          </rPr>
          <t>KATA ÁGI 500 000
ETELKA 530 000
Kinga 60 000</t>
        </r>
        <r>
          <rPr>
            <sz val="9"/>
            <color indexed="81"/>
            <rFont val="Segoe UI"/>
            <family val="2"/>
            <charset val="238"/>
          </rPr>
          <t xml:space="preserve">
</t>
        </r>
      </text>
    </comment>
    <comment ref="K92" authorId="3" shapeId="0" xr:uid="{76C38E1A-80C4-415F-A728-B6A35CF91060}">
      <text>
        <r>
          <rPr>
            <b/>
            <sz val="9"/>
            <color indexed="81"/>
            <rFont val="Segoe UI"/>
            <family val="2"/>
            <charset val="238"/>
          </rPr>
          <t>KATA ÁGI 500 000
ETELKA 530 000
Kinga 60 000</t>
        </r>
        <r>
          <rPr>
            <sz val="9"/>
            <color indexed="81"/>
            <rFont val="Segoe UI"/>
            <family val="2"/>
            <charset val="238"/>
          </rPr>
          <t xml:space="preserve">
</t>
        </r>
      </text>
    </comment>
    <comment ref="P92" authorId="1" shapeId="0" xr:uid="{F2F58BC8-2F49-4F5E-90D2-122BEF185484}">
      <text>
        <r>
          <rPr>
            <b/>
            <sz val="9"/>
            <color indexed="81"/>
            <rFont val="Tahoma"/>
            <family val="2"/>
            <charset val="238"/>
          </rPr>
          <t>Gondnokság: 228 420</t>
        </r>
        <r>
          <rPr>
            <sz val="9"/>
            <color indexed="81"/>
            <rFont val="Tahoma"/>
            <family val="2"/>
            <charset val="238"/>
          </rPr>
          <t xml:space="preserve">
Etelka: 0
Kinga: 54 808</t>
        </r>
      </text>
    </comment>
    <comment ref="K93" authorId="0" shapeId="0" xr:uid="{B2ACA6C2-D393-462D-95F2-E811BED900E8}">
      <text>
        <r>
          <rPr>
            <b/>
            <sz val="9"/>
            <color indexed="81"/>
            <rFont val="Tahoma"/>
            <family val="2"/>
            <charset val="238"/>
          </rPr>
          <t xml:space="preserve">Vagyon:
</t>
        </r>
        <r>
          <rPr>
            <sz val="9"/>
            <color indexed="81"/>
            <rFont val="Tahoma"/>
            <family val="2"/>
            <charset val="238"/>
          </rPr>
          <t xml:space="preserve">A Helyi vállalkozások munkahelyteremtő és foglalkoztatás ösztönző programja: A helyi vállalkozások munkahelyteremtő és foglalkoztatás ösztönző programjáról szóló 18/2011. (IX. 20.) önkormányzati </t>
        </r>
        <r>
          <rPr>
            <b/>
            <sz val="9"/>
            <color indexed="81"/>
            <rFont val="Tahoma"/>
            <family val="2"/>
            <charset val="238"/>
          </rPr>
          <t>rendelet végrehajtásához kapcsolódóan kell tervezni ezt az előirányzatot.
+9 000 000 Ft 2025. febr.3-án</t>
        </r>
        <r>
          <rPr>
            <sz val="9"/>
            <color indexed="81"/>
            <rFont val="Tahoma"/>
            <family val="2"/>
            <charset val="238"/>
          </rPr>
          <t xml:space="preserve">
</t>
        </r>
      </text>
    </comment>
    <comment ref="N93" authorId="1" shapeId="0" xr:uid="{510C04DD-2982-4446-A3A4-89834CB350DE}">
      <text>
        <r>
          <rPr>
            <b/>
            <sz val="9"/>
            <color indexed="81"/>
            <rFont val="Tahoma"/>
            <family val="2"/>
            <charset val="238"/>
          </rPr>
          <t>Bankköltségre
-10 000 000</t>
        </r>
        <r>
          <rPr>
            <sz val="9"/>
            <color indexed="81"/>
            <rFont val="Tahoma"/>
            <family val="2"/>
            <charset val="238"/>
          </rPr>
          <t xml:space="preserve">
</t>
        </r>
      </text>
    </comment>
    <comment ref="I94" authorId="0" shapeId="0" xr:uid="{86FEEAE1-7BEF-4FCD-B38C-9FE5B61AA760}">
      <text>
        <r>
          <rPr>
            <b/>
            <sz val="9"/>
            <color indexed="81"/>
            <rFont val="Tahoma"/>
            <family val="2"/>
            <charset val="238"/>
          </rPr>
          <t>1. kör -500 000</t>
        </r>
        <r>
          <rPr>
            <sz val="9"/>
            <color indexed="81"/>
            <rFont val="Tahoma"/>
            <family val="2"/>
            <charset val="238"/>
          </rPr>
          <t xml:space="preserve">
</t>
        </r>
      </text>
    </comment>
    <comment ref="K94" authorId="0" shapeId="0" xr:uid="{930D58DC-9871-481D-B3DC-CE4C14E81941}">
      <text>
        <r>
          <rPr>
            <b/>
            <sz val="9"/>
            <color indexed="81"/>
            <rFont val="Tahoma"/>
            <family val="2"/>
            <charset val="238"/>
          </rPr>
          <t xml:space="preserve">Kavalecz:
</t>
        </r>
        <r>
          <rPr>
            <sz val="9"/>
            <color indexed="81"/>
            <rFont val="Tahoma"/>
            <family val="2"/>
            <charset val="238"/>
          </rPr>
          <t xml:space="preserve">Önkormányzati hatósági ügyek: Budapest Főváros XVI. kerületi Önkormányzat Képviselő-testületének a fás szárú növények védelméről, kivágásáról és pótlásáról szóló 32/2022. (XII. 12.) önkormányzati rendelet értelmében a polgármester kötelezheti a fás szárú növénnyel rendelkezni jogosult ingatlan használót 5.§ (2)-(3) bekezdéseiben meghatározott kötelezettség teljesítésére, valamint az ingatlan tulajdonosát a 8.§ (4) bekezdésében meghatározott kötelezettség teljesítésére.
Amennyiben az érintettek a kötelezésnek nem tesznek eleget, a polgármester a végrehajtási eljárás során a végrehajtás foganatosításaként elrendelheti a meghatározott cselekmény Önkormányzat általi elvégzését a kötelezett költségére, mely összeg behajtása felől a szükséges intézkedések megtételre kerülnek.
Minderre tekintettel szükséges és indokolt a fenti keretösszeg tervezése.
</t>
        </r>
      </text>
    </comment>
    <comment ref="I95" authorId="0" shapeId="0" xr:uid="{AA1B578D-4769-4CF4-B2F9-9C8C9BE2FB69}">
      <text>
        <r>
          <rPr>
            <b/>
            <sz val="9"/>
            <color indexed="81"/>
            <rFont val="Tahoma"/>
            <family val="2"/>
            <charset val="238"/>
          </rPr>
          <t>1. kör után -15 M Ft, ha kell, majd kiegészítjük.</t>
        </r>
        <r>
          <rPr>
            <sz val="9"/>
            <color indexed="81"/>
            <rFont val="Tahoma"/>
            <family val="2"/>
            <charset val="238"/>
          </rPr>
          <t xml:space="preserve">
</t>
        </r>
      </text>
    </comment>
    <comment ref="B96" authorId="3" shapeId="0" xr:uid="{0033AC0D-D604-48BD-8959-5D6CD4F3EACB}">
      <text>
        <r>
          <rPr>
            <sz val="9"/>
            <color indexed="81"/>
            <rFont val="Tahoma"/>
            <family val="2"/>
            <charset val="238"/>
          </rPr>
          <t>Ez volt itt:
Kaczur Ilonáék: Fénymásolás, szkennelés</t>
        </r>
        <r>
          <rPr>
            <sz val="9"/>
            <color indexed="81"/>
            <rFont val="Tahoma"/>
            <family val="2"/>
            <charset val="238"/>
          </rPr>
          <t xml:space="preserve">
</t>
        </r>
      </text>
    </comment>
    <comment ref="E96" authorId="0" shapeId="0" xr:uid="{C3CC960D-D15C-4BD6-928D-4C8271B3D424}">
      <text>
        <r>
          <rPr>
            <b/>
            <sz val="9"/>
            <color indexed="81"/>
            <rFont val="Tahoma"/>
            <family val="2"/>
            <charset val="238"/>
          </rPr>
          <t>2-ről 3-ra</t>
        </r>
        <r>
          <rPr>
            <sz val="9"/>
            <color indexed="81"/>
            <rFont val="Tahoma"/>
            <family val="2"/>
            <charset val="238"/>
          </rPr>
          <t xml:space="preserve">
</t>
        </r>
      </text>
    </comment>
    <comment ref="K96" authorId="0" shapeId="0" xr:uid="{68C86BFA-3F1B-40C7-992A-F35C3067627C}">
      <text>
        <r>
          <rPr>
            <b/>
            <sz val="9"/>
            <color indexed="81"/>
            <rFont val="Tahoma"/>
            <family val="2"/>
            <charset val="238"/>
          </rPr>
          <t>Nyíriné: Megemelt negyedéves díj:
10 954 703 Ft</t>
        </r>
        <r>
          <rPr>
            <sz val="9"/>
            <color indexed="81"/>
            <rFont val="Tahoma"/>
            <family val="2"/>
            <charset val="238"/>
          </rPr>
          <t xml:space="preserve">
</t>
        </r>
      </text>
    </comment>
    <comment ref="N96" authorId="1" shapeId="0" xr:uid="{FCFE3930-EEA0-491F-B36E-2AC226ED11FB}">
      <text>
        <r>
          <rPr>
            <sz val="9"/>
            <color indexed="81"/>
            <rFont val="Tahoma"/>
            <family val="2"/>
            <charset val="238"/>
          </rPr>
          <t xml:space="preserve">Önkormányzat általános működési tartalékából
+405 447
</t>
        </r>
      </text>
    </comment>
    <comment ref="M97" authorId="1" shapeId="0" xr:uid="{2D11F795-59BD-432F-88E4-7137936B9313}">
      <text>
        <r>
          <rPr>
            <b/>
            <sz val="9"/>
            <color indexed="81"/>
            <rFont val="Tahoma"/>
            <family val="2"/>
            <charset val="238"/>
          </rPr>
          <t>Önk.ált.műk.tart-ból +810 894</t>
        </r>
        <r>
          <rPr>
            <sz val="9"/>
            <color indexed="81"/>
            <rFont val="Tahoma"/>
            <family val="2"/>
            <charset val="238"/>
          </rPr>
          <t xml:space="preserve">
</t>
        </r>
      </text>
    </comment>
    <comment ref="I101" authorId="0" shapeId="0" xr:uid="{602350F3-DE0E-428C-A176-3DD5D84F1F8A}">
      <text>
        <r>
          <rPr>
            <b/>
            <sz val="9"/>
            <color indexed="81"/>
            <rFont val="Tahoma"/>
            <family val="2"/>
            <charset val="238"/>
          </rPr>
          <t>1. körben: -5,4 MFt</t>
        </r>
        <r>
          <rPr>
            <sz val="9"/>
            <color indexed="81"/>
            <rFont val="Tahoma"/>
            <family val="2"/>
            <charset val="238"/>
          </rPr>
          <t xml:space="preserve">
</t>
        </r>
      </text>
    </comment>
    <comment ref="K101" authorId="0" shapeId="0" xr:uid="{25D8A9B6-6B9E-425A-9D97-2E01BEF2C968}">
      <text>
        <r>
          <rPr>
            <b/>
            <sz val="9"/>
            <color indexed="81"/>
            <rFont val="Tahoma"/>
            <family val="2"/>
            <charset val="238"/>
          </rPr>
          <t>Egyeztetésen -5 mill</t>
        </r>
        <r>
          <rPr>
            <sz val="9"/>
            <color indexed="81"/>
            <rFont val="Tahoma"/>
            <family val="2"/>
            <charset val="238"/>
          </rPr>
          <t xml:space="preserve">
</t>
        </r>
      </text>
    </comment>
    <comment ref="I103" authorId="0" shapeId="0" xr:uid="{BCAB50DC-1311-40FE-B5D8-7E129E67A751}">
      <text>
        <r>
          <rPr>
            <b/>
            <sz val="9"/>
            <color indexed="81"/>
            <rFont val="Tahoma"/>
            <family val="2"/>
            <charset val="238"/>
          </rPr>
          <t>Áth.: 750 000 Ft</t>
        </r>
        <r>
          <rPr>
            <sz val="9"/>
            <color indexed="81"/>
            <rFont val="Tahoma"/>
            <family val="2"/>
            <charset val="238"/>
          </rPr>
          <t xml:space="preserve">
</t>
        </r>
      </text>
    </comment>
    <comment ref="K103" authorId="0" shapeId="0" xr:uid="{0F09D160-DF8E-4F40-83D2-40D8BAEAD693}">
      <text>
        <r>
          <rPr>
            <sz val="9"/>
            <color indexed="81"/>
            <rFont val="Tahoma"/>
            <family val="2"/>
            <charset val="238"/>
          </rPr>
          <t>ebből 1 038 656 Ft áthúzódó tétel
Helga: tervezett összeg: amennyiben a havi kifizetések a 2025. évben a 2024. évi szinten maradnak</t>
        </r>
      </text>
    </comment>
    <comment ref="P103" authorId="1" shapeId="0" xr:uid="{64F65A65-2993-4393-B6FA-4AF827F13703}">
      <text>
        <r>
          <rPr>
            <b/>
            <sz val="9"/>
            <color indexed="81"/>
            <rFont val="Tahoma"/>
            <family val="2"/>
            <charset val="238"/>
          </rPr>
          <t>HOMES: 9 537 549</t>
        </r>
        <r>
          <rPr>
            <sz val="9"/>
            <color indexed="81"/>
            <rFont val="Tahoma"/>
            <family val="2"/>
            <charset val="238"/>
          </rPr>
          <t xml:space="preserve">
</t>
        </r>
      </text>
    </comment>
    <comment ref="I104" authorId="0" shapeId="0" xr:uid="{C0CD77A1-681D-4C72-9589-098FC6F1B796}">
      <text>
        <r>
          <rPr>
            <b/>
            <sz val="9"/>
            <color indexed="81"/>
            <rFont val="Tahoma"/>
            <family val="2"/>
            <charset val="238"/>
          </rPr>
          <t>Humán Iroda 1 000 000
Szoc.Iroda 250 000</t>
        </r>
        <r>
          <rPr>
            <sz val="9"/>
            <color indexed="81"/>
            <rFont val="Tahoma"/>
            <family val="2"/>
            <charset val="238"/>
          </rPr>
          <t xml:space="preserve">
</t>
        </r>
      </text>
    </comment>
    <comment ref="K104" authorId="0" shapeId="0" xr:uid="{6B6282FD-7000-43B1-B2A9-02BBB0EFF127}">
      <text>
        <r>
          <rPr>
            <b/>
            <sz val="9"/>
            <color indexed="81"/>
            <rFont val="Tahoma"/>
            <family val="2"/>
            <charset val="238"/>
          </rPr>
          <t>Humán Iroda 1 000 000
Szoc.Iroda 250 000</t>
        </r>
        <r>
          <rPr>
            <sz val="9"/>
            <color indexed="81"/>
            <rFont val="Tahoma"/>
            <family val="2"/>
            <charset val="238"/>
          </rPr>
          <t xml:space="preserve">
</t>
        </r>
      </text>
    </comment>
    <comment ref="N104" authorId="1" shapeId="0" xr:uid="{45338F73-3F28-4F7D-9F6D-A596D6FE96D2}">
      <text>
        <r>
          <rPr>
            <b/>
            <sz val="9"/>
            <color indexed="81"/>
            <rFont val="Tahoma"/>
            <family val="2"/>
            <charset val="238"/>
          </rPr>
          <t>Humán Iroda 1 M Ft-os hirdetési keretéről Egyéb műk. célú támogatások államh. belülre - Díjadományozás részelőirányzatra -293 800, továbbá Egyéb üzemeltetés, fenntartásra a Kerületi diáksport versenyek szervezésére -400 000 Ft
Humán Iroda keretére: Egyéb üzem., fennt. szolg. - Humán Iroda intézményekkel összefüggő (nem reprezentációs) kiadásai - Díjadományozás keretről + 114 170 Ft</t>
        </r>
      </text>
    </comment>
    <comment ref="P104" authorId="1" shapeId="0" xr:uid="{73561B07-8BEB-4361-B080-7DCF7D9BE4C4}">
      <text>
        <r>
          <rPr>
            <b/>
            <sz val="9"/>
            <color indexed="81"/>
            <rFont val="Tahoma"/>
            <family val="2"/>
            <charset val="238"/>
          </rPr>
          <t>Szoc.: 0
Humán: 194 310</t>
        </r>
        <r>
          <rPr>
            <sz val="9"/>
            <color indexed="81"/>
            <rFont val="Tahoma"/>
            <family val="2"/>
            <charset val="238"/>
          </rPr>
          <t xml:space="preserve">
</t>
        </r>
      </text>
    </comment>
    <comment ref="I105" authorId="0" shapeId="0" xr:uid="{41F1B8E9-76D9-4745-B58D-65C6A2BA97A5}">
      <text>
        <r>
          <rPr>
            <b/>
            <sz val="9"/>
            <color indexed="81"/>
            <rFont val="Tahoma"/>
            <family val="2"/>
            <charset val="238"/>
          </rPr>
          <t>Áth.: 9 388 438
1. körben: -2 MFt</t>
        </r>
        <r>
          <rPr>
            <sz val="9"/>
            <color indexed="81"/>
            <rFont val="Tahoma"/>
            <family val="2"/>
            <charset val="238"/>
          </rPr>
          <t xml:space="preserve">
</t>
        </r>
      </text>
    </comment>
    <comment ref="K105" authorId="0" shapeId="0" xr:uid="{F0AB625A-626D-4900-898B-31A78872462E}">
      <text>
        <r>
          <rPr>
            <b/>
            <sz val="9"/>
            <color indexed="81"/>
            <rFont val="Tahoma"/>
            <family val="2"/>
            <charset val="238"/>
          </rPr>
          <t>Egyeztetésen -8,5 mill</t>
        </r>
      </text>
    </comment>
    <comment ref="M105" authorId="1" shapeId="0" xr:uid="{C6F5E67E-7699-4EC7-A082-856F6E93D901}">
      <text>
        <r>
          <rPr>
            <sz val="9"/>
            <color indexed="81"/>
            <rFont val="Tahoma"/>
            <family val="2"/>
            <charset val="238"/>
          </rPr>
          <t xml:space="preserve">Önkormányzat költségvetési tartalékából  III. Kertvárosi Konzultáció költségére +10 000 000
</t>
        </r>
      </text>
    </comment>
    <comment ref="P105" authorId="1" shapeId="0" xr:uid="{D3936A44-90F6-4DEF-BE85-DFC71B9EA4DC}">
      <text>
        <r>
          <rPr>
            <b/>
            <sz val="9"/>
            <color indexed="81"/>
            <rFont val="Tahoma"/>
            <family val="2"/>
            <charset val="238"/>
          </rPr>
          <t>HOMES 13 389 656</t>
        </r>
        <r>
          <rPr>
            <sz val="9"/>
            <color indexed="81"/>
            <rFont val="Tahoma"/>
            <family val="2"/>
            <charset val="238"/>
          </rPr>
          <t xml:space="preserve">
</t>
        </r>
      </text>
    </comment>
    <comment ref="B106" authorId="2" shapeId="0" xr:uid="{F97F86F7-E606-4374-BE60-28A328127FCD}">
      <text>
        <r>
          <rPr>
            <b/>
            <sz val="9"/>
            <color indexed="8"/>
            <rFont val="Tahoma"/>
            <family val="2"/>
            <charset val="238"/>
          </rPr>
          <t xml:space="preserve">Régen ez volt itt: "Itthon vagy - Magyarország, szeretlek"
</t>
        </r>
      </text>
    </comment>
    <comment ref="C106" authorId="2" shapeId="0" xr:uid="{D1633D3F-DA2D-4D12-B2FC-DD81C4ADA43F}">
      <text>
        <r>
          <rPr>
            <b/>
            <sz val="9"/>
            <color indexed="8"/>
            <rFont val="Tahoma"/>
            <family val="2"/>
            <charset val="238"/>
          </rPr>
          <t xml:space="preserve">007 volt itt
</t>
        </r>
      </text>
    </comment>
    <comment ref="F106" authorId="2" shapeId="0" xr:uid="{1EE41892-BFE7-45C4-A865-7F83CCB35AD8}">
      <text>
        <r>
          <rPr>
            <b/>
            <sz val="9"/>
            <color indexed="8"/>
            <rFont val="Tahoma"/>
            <family val="2"/>
            <charset val="238"/>
          </rPr>
          <t xml:space="preserve">Ez volt itt: 011130
</t>
        </r>
      </text>
    </comment>
    <comment ref="I113" authorId="0" shapeId="0" xr:uid="{3424D49D-4B97-4E73-A15A-322DAB576A7C}">
      <text>
        <r>
          <rPr>
            <b/>
            <sz val="9"/>
            <color indexed="81"/>
            <rFont val="Tahoma"/>
            <family val="2"/>
            <charset val="238"/>
          </rPr>
          <t>Nyíri: 61 975 000 Ft a 2023. évi teljesítés</t>
        </r>
        <r>
          <rPr>
            <sz val="9"/>
            <color indexed="81"/>
            <rFont val="Tahoma"/>
            <family val="2"/>
            <charset val="238"/>
          </rPr>
          <t xml:space="preserve">
</t>
        </r>
      </text>
    </comment>
    <comment ref="K113" authorId="0" shapeId="0" xr:uid="{7080A254-D153-4EF6-9067-46EAF91E1D5D}">
      <text>
        <r>
          <rPr>
            <b/>
            <sz val="9"/>
            <color indexed="81"/>
            <rFont val="Tahoma"/>
            <family val="2"/>
            <charset val="238"/>
          </rPr>
          <t>Nyíri: 67 508 000 Ft a 2023. évi teljesítés</t>
        </r>
        <r>
          <rPr>
            <sz val="9"/>
            <color indexed="81"/>
            <rFont val="Tahoma"/>
            <family val="2"/>
            <charset val="238"/>
          </rPr>
          <t xml:space="preserve">
</t>
        </r>
      </text>
    </comment>
    <comment ref="N113" authorId="1" shapeId="0" xr:uid="{A4129A28-7523-46F9-8D67-B9577476B061}">
      <text>
        <r>
          <rPr>
            <sz val="9"/>
            <color indexed="81"/>
            <rFont val="Tahoma"/>
            <family val="2"/>
            <charset val="238"/>
          </rPr>
          <t>Önkormányzat általános működési tartalékából +13 799 000 Ft
Beruházási áfáról
+5 378 000</t>
        </r>
      </text>
    </comment>
    <comment ref="L114" authorId="1" shapeId="0" xr:uid="{AC91BE8D-4FC3-49C8-B5C2-300BE4AF4C20}">
      <text>
        <r>
          <rPr>
            <b/>
            <sz val="9"/>
            <color indexed="81"/>
            <rFont val="Tahoma"/>
            <family val="2"/>
            <charset val="238"/>
          </rPr>
          <t>Fejlesztési céltartalék terhére  + 2 993 265</t>
        </r>
        <r>
          <rPr>
            <sz val="9"/>
            <color indexed="81"/>
            <rFont val="Tahoma"/>
            <family val="2"/>
            <charset val="238"/>
          </rPr>
          <t xml:space="preserve">
</t>
        </r>
      </text>
    </comment>
    <comment ref="N114" authorId="1" shapeId="0" xr:uid="{F6563A75-2E0E-46C1-A182-E998CEAF8F05}">
      <text>
        <r>
          <rPr>
            <b/>
            <sz val="9"/>
            <color indexed="81"/>
            <rFont val="Tahoma"/>
            <family val="2"/>
            <charset val="238"/>
          </rPr>
          <t>Beruházási áfáról</t>
        </r>
        <r>
          <rPr>
            <sz val="9"/>
            <color indexed="81"/>
            <rFont val="Tahoma"/>
            <family val="2"/>
            <charset val="238"/>
          </rPr>
          <t xml:space="preserve">
+4 053 000</t>
        </r>
      </text>
    </comment>
    <comment ref="P115" authorId="1" shapeId="0" xr:uid="{53D6A8D7-FC92-4989-AB1E-C0DEAD911BF7}">
      <text>
        <r>
          <rPr>
            <b/>
            <sz val="9"/>
            <color indexed="81"/>
            <rFont val="Tahoma"/>
            <family val="2"/>
            <charset val="238"/>
          </rPr>
          <t>Beuházási soron
317 378 000 Ft</t>
        </r>
        <r>
          <rPr>
            <sz val="9"/>
            <color indexed="81"/>
            <rFont val="Tahoma"/>
            <family val="2"/>
            <charset val="238"/>
          </rPr>
          <t xml:space="preserve">
</t>
        </r>
      </text>
    </comment>
    <comment ref="N118" authorId="1" shapeId="0" xr:uid="{7484C40E-4775-4626-9CC8-49D8196EB90E}">
      <text>
        <r>
          <rPr>
            <sz val="9"/>
            <color indexed="81"/>
            <rFont val="Tahoma"/>
            <family val="2"/>
            <charset val="238"/>
          </rPr>
          <t>Egyéb adók, díjakról 
+904 835</t>
        </r>
        <r>
          <rPr>
            <sz val="9"/>
            <color indexed="81"/>
            <rFont val="Tahoma"/>
            <family val="2"/>
            <charset val="238"/>
          </rPr>
          <t xml:space="preserve">
</t>
        </r>
      </text>
    </comment>
    <comment ref="P118" authorId="1" shapeId="0" xr:uid="{190B404E-015E-40E9-ACE1-D072660E127A}">
      <text>
        <r>
          <rPr>
            <b/>
            <sz val="9"/>
            <color indexed="81"/>
            <rFont val="Tahoma"/>
            <family val="2"/>
            <charset val="238"/>
          </rPr>
          <t>Lásd: finanszírozási kiadásoknál, az államkötvény vásárlásánál</t>
        </r>
      </text>
    </comment>
    <comment ref="I121" authorId="1" shapeId="0" xr:uid="{E9BC0989-C3E6-4024-9A3A-7BF0EA90FCEA}">
      <text>
        <r>
          <rPr>
            <b/>
            <sz val="9"/>
            <color indexed="81"/>
            <rFont val="Tahoma"/>
            <family val="2"/>
            <charset val="238"/>
          </rPr>
          <t>Nyíriné Kovács Ildikó:</t>
        </r>
        <r>
          <rPr>
            <sz val="9"/>
            <color indexed="81"/>
            <rFont val="Tahoma"/>
            <family val="2"/>
            <charset val="238"/>
          </rPr>
          <t xml:space="preserve">
</t>
        </r>
      </text>
    </comment>
    <comment ref="K121" authorId="1" shapeId="0" xr:uid="{D84E1148-23C1-4B16-82C4-E6CF68320BE1}">
      <text>
        <r>
          <rPr>
            <b/>
            <sz val="9"/>
            <color indexed="81"/>
            <rFont val="Tahoma"/>
            <family val="2"/>
            <charset val="238"/>
          </rPr>
          <t>Nyíriné Kovács Ildikó:</t>
        </r>
        <r>
          <rPr>
            <sz val="9"/>
            <color indexed="81"/>
            <rFont val="Tahoma"/>
            <family val="2"/>
            <charset val="238"/>
          </rPr>
          <t xml:space="preserve">
</t>
        </r>
      </text>
    </comment>
    <comment ref="M121" authorId="1" shapeId="0" xr:uid="{A99E7B65-A7BA-4B52-A5E3-ED6CF49011D2}">
      <text>
        <r>
          <rPr>
            <b/>
            <sz val="9"/>
            <color indexed="81"/>
            <rFont val="Tahoma"/>
            <family val="2"/>
            <charset val="238"/>
          </rPr>
          <t>Forrás: Önkormányzat általános működési tartaléka +100 000</t>
        </r>
        <r>
          <rPr>
            <sz val="9"/>
            <color indexed="81"/>
            <rFont val="Tahoma"/>
            <family val="2"/>
            <charset val="238"/>
          </rPr>
          <t xml:space="preserve">
</t>
        </r>
      </text>
    </comment>
    <comment ref="I122" authorId="1" shapeId="0" xr:uid="{1CC46C56-E7AC-408C-BCA4-215FEA8BF91F}">
      <text>
        <r>
          <rPr>
            <b/>
            <sz val="9"/>
            <color indexed="81"/>
            <rFont val="Tahoma"/>
            <family val="2"/>
            <charset val="238"/>
          </rPr>
          <t>Nyíriné Kovács Ildikó:</t>
        </r>
        <r>
          <rPr>
            <sz val="9"/>
            <color indexed="81"/>
            <rFont val="Tahoma"/>
            <family val="2"/>
            <charset val="238"/>
          </rPr>
          <t xml:space="preserve">
</t>
        </r>
      </text>
    </comment>
    <comment ref="K122" authorId="1" shapeId="0" xr:uid="{E3AF20C0-14C7-4004-BF2E-B6CBC1199CB0}">
      <text>
        <r>
          <rPr>
            <b/>
            <sz val="9"/>
            <color indexed="81"/>
            <rFont val="Tahoma"/>
            <family val="2"/>
            <charset val="238"/>
          </rPr>
          <t>Egyeztetésen -2 mill</t>
        </r>
      </text>
    </comment>
    <comment ref="N122" authorId="1" shapeId="0" xr:uid="{64D7A2BB-B679-493B-9B46-36249271EF27}">
      <text>
        <r>
          <rPr>
            <sz val="9"/>
            <color indexed="81"/>
            <rFont val="Tahoma"/>
            <family val="2"/>
            <charset val="238"/>
          </rPr>
          <t xml:space="preserve">Gépjármű biztosításokra -116 659
</t>
        </r>
      </text>
    </comment>
    <comment ref="I123" authorId="1" shapeId="0" xr:uid="{E0C217C4-F745-45DC-9432-9594AB15E0F2}">
      <text>
        <r>
          <rPr>
            <b/>
            <sz val="9"/>
            <color indexed="81"/>
            <rFont val="Tahoma"/>
            <family val="2"/>
            <charset val="238"/>
          </rPr>
          <t>Nyíriné Kovács Ildikó:</t>
        </r>
        <r>
          <rPr>
            <sz val="9"/>
            <color indexed="81"/>
            <rFont val="Tahoma"/>
            <family val="2"/>
            <charset val="238"/>
          </rPr>
          <t xml:space="preserve">
</t>
        </r>
      </text>
    </comment>
    <comment ref="K123" authorId="1" shapeId="0" xr:uid="{A2092E46-687E-4632-8550-3C8A2EC5FBF8}">
      <text>
        <r>
          <rPr>
            <b/>
            <sz val="9"/>
            <color indexed="81"/>
            <rFont val="Tahoma"/>
            <family val="2"/>
            <charset val="238"/>
          </rPr>
          <t>Nyíriné Kovács Ildikó:</t>
        </r>
        <r>
          <rPr>
            <sz val="9"/>
            <color indexed="81"/>
            <rFont val="Tahoma"/>
            <family val="2"/>
            <charset val="238"/>
          </rPr>
          <t xml:space="preserve">
</t>
        </r>
      </text>
    </comment>
    <comment ref="I124" authorId="1" shapeId="0" xr:uid="{D6D333DA-9BE9-4BAE-8094-DEC5BE86EA18}">
      <text>
        <r>
          <rPr>
            <b/>
            <sz val="9"/>
            <color indexed="81"/>
            <rFont val="Tahoma"/>
            <family val="2"/>
            <charset val="238"/>
          </rPr>
          <t>Nyíriné Kovács Ildikó:</t>
        </r>
        <r>
          <rPr>
            <sz val="9"/>
            <color indexed="81"/>
            <rFont val="Tahoma"/>
            <family val="2"/>
            <charset val="238"/>
          </rPr>
          <t xml:space="preserve">
</t>
        </r>
      </text>
    </comment>
    <comment ref="K124" authorId="1" shapeId="0" xr:uid="{0F030D0F-A50D-4298-9115-B38BCFE71AF4}">
      <text>
        <r>
          <rPr>
            <b/>
            <sz val="9"/>
            <color indexed="81"/>
            <rFont val="Tahoma"/>
            <family val="2"/>
            <charset val="238"/>
          </rPr>
          <t>Egyeztetésen: legyen az előző évi</t>
        </r>
      </text>
    </comment>
    <comment ref="M124" authorId="1" shapeId="0" xr:uid="{C061C781-5DCF-4FD4-81F5-6F27AB7D1482}">
      <text>
        <r>
          <rPr>
            <b/>
            <sz val="9"/>
            <color indexed="81"/>
            <rFont val="Tahoma"/>
            <family val="2"/>
            <charset val="238"/>
          </rPr>
          <t>Önk.ált.múk.tartalékából +17 490 +381 000 (fertőtlenítés)</t>
        </r>
        <r>
          <rPr>
            <sz val="9"/>
            <color indexed="81"/>
            <rFont val="Tahoma"/>
            <family val="2"/>
            <charset val="238"/>
          </rPr>
          <t xml:space="preserve">
</t>
        </r>
      </text>
    </comment>
    <comment ref="N124" authorId="1" shapeId="0" xr:uid="{E9AB9A99-4CCC-453F-988C-DFA429454765}">
      <text>
        <r>
          <rPr>
            <sz val="9"/>
            <color indexed="81"/>
            <rFont val="Tahoma"/>
            <family val="2"/>
            <charset val="238"/>
          </rPr>
          <t>Késedelmi kamathoz, pótlékhoz, kötbérhez, perköltségekhez, egyéb szankcióhoz kapcsolódó kiadásokra -95 255
-15 463 -1 299
Kamatkiadásokra -904 835
Egyéb különféle dologi kiadások előirányzatra:
-339 100</t>
        </r>
      </text>
    </comment>
    <comment ref="P124" authorId="1" shapeId="0" xr:uid="{8ABCB8AE-4B30-453C-BF5C-A825D428B2B2}">
      <text>
        <r>
          <rPr>
            <b/>
            <sz val="9"/>
            <color indexed="81"/>
            <rFont val="Tahoma"/>
            <family val="2"/>
            <charset val="238"/>
          </rPr>
          <t>HOMES 6 331 859</t>
        </r>
        <r>
          <rPr>
            <sz val="9"/>
            <color indexed="81"/>
            <rFont val="Tahoma"/>
            <family val="2"/>
            <charset val="238"/>
          </rPr>
          <t xml:space="preserve">
</t>
        </r>
      </text>
    </comment>
    <comment ref="I125" authorId="1" shapeId="0" xr:uid="{97AA8758-77B5-43A2-A8AD-86CE83BDD3ED}">
      <text>
        <r>
          <rPr>
            <b/>
            <sz val="9"/>
            <color indexed="81"/>
            <rFont val="Tahoma"/>
            <family val="2"/>
            <charset val="238"/>
          </rPr>
          <t>Nyíriné Kovács Ildikó:</t>
        </r>
        <r>
          <rPr>
            <sz val="9"/>
            <color indexed="81"/>
            <rFont val="Tahoma"/>
            <family val="2"/>
            <charset val="238"/>
          </rPr>
          <t xml:space="preserve">
</t>
        </r>
      </text>
    </comment>
    <comment ref="K125" authorId="1" shapeId="0" xr:uid="{16629793-3F40-4790-8530-E392817F9335}">
      <text>
        <r>
          <rPr>
            <b/>
            <sz val="9"/>
            <color indexed="81"/>
            <rFont val="Tahoma"/>
            <family val="2"/>
            <charset val="238"/>
          </rPr>
          <t>Nyíriné Kovács Ildikó:</t>
        </r>
        <r>
          <rPr>
            <sz val="9"/>
            <color indexed="81"/>
            <rFont val="Tahoma"/>
            <family val="2"/>
            <charset val="238"/>
          </rPr>
          <t xml:space="preserve">
</t>
        </r>
      </text>
    </comment>
    <comment ref="I127" authorId="1" shapeId="0" xr:uid="{19BAD512-47EF-4BA2-BBF5-249D1C54C4C4}">
      <text>
        <r>
          <rPr>
            <b/>
            <sz val="9"/>
            <color indexed="81"/>
            <rFont val="Tahoma"/>
            <family val="2"/>
            <charset val="238"/>
          </rPr>
          <t>1. körben: -2 M Ft</t>
        </r>
        <r>
          <rPr>
            <sz val="9"/>
            <color indexed="81"/>
            <rFont val="Tahoma"/>
            <family val="2"/>
            <charset val="238"/>
          </rPr>
          <t xml:space="preserve">
</t>
        </r>
      </text>
    </comment>
    <comment ref="K127" authorId="1" shapeId="0" xr:uid="{559A16B8-018A-4064-93B8-52062996A6CF}">
      <text>
        <r>
          <rPr>
            <b/>
            <sz val="9"/>
            <color indexed="81"/>
            <rFont val="Tahoma"/>
            <family val="2"/>
            <charset val="238"/>
          </rPr>
          <t>Nyíriné Kovács Ildikó:</t>
        </r>
        <r>
          <rPr>
            <sz val="9"/>
            <color indexed="81"/>
            <rFont val="Tahoma"/>
            <family val="2"/>
            <charset val="238"/>
          </rPr>
          <t xml:space="preserve">
</t>
        </r>
      </text>
    </comment>
    <comment ref="N127" authorId="1" shapeId="0" xr:uid="{37C3B6F8-3476-44D8-8F2B-BF17ABA4E10D}">
      <text>
        <r>
          <rPr>
            <b/>
            <sz val="9"/>
            <color indexed="81"/>
            <rFont val="Tahoma"/>
            <family val="2"/>
            <charset val="238"/>
          </rPr>
          <t>Egyéb adók, díjakról +95 255</t>
        </r>
        <r>
          <rPr>
            <sz val="9"/>
            <color indexed="81"/>
            <rFont val="Tahoma"/>
            <family val="2"/>
            <charset val="238"/>
          </rPr>
          <t xml:space="preserve">
Egyéb dologi kiadások - Díjak, egyéb bef. - Egyéb adók, díjakról + 15 463 Ft
+1 299 Ft</t>
        </r>
      </text>
    </comment>
    <comment ref="P127" authorId="1" shapeId="0" xr:uid="{0B8CECF0-ED5D-435D-A52F-69C69F7EDEAB}">
      <text>
        <r>
          <rPr>
            <b/>
            <sz val="9"/>
            <color indexed="81"/>
            <rFont val="Tahoma"/>
            <family val="2"/>
            <charset val="238"/>
          </rPr>
          <t>HOMES 1 212 017</t>
        </r>
        <r>
          <rPr>
            <sz val="9"/>
            <color indexed="81"/>
            <rFont val="Tahoma"/>
            <family val="2"/>
            <charset val="238"/>
          </rPr>
          <t xml:space="preserve">
</t>
        </r>
      </text>
    </comment>
    <comment ref="Z127" authorId="1" shapeId="0" xr:uid="{445AB14F-9B1D-473F-B35D-B0568658372C}">
      <text>
        <r>
          <rPr>
            <b/>
            <sz val="9"/>
            <color indexed="81"/>
            <rFont val="Tahoma"/>
            <family val="2"/>
            <charset val="238"/>
          </rPr>
          <t>Kolaj Évánál saldoban</t>
        </r>
        <r>
          <rPr>
            <sz val="9"/>
            <color indexed="81"/>
            <rFont val="Tahoma"/>
            <family val="2"/>
            <charset val="238"/>
          </rPr>
          <t xml:space="preserve">
</t>
        </r>
      </text>
    </comment>
    <comment ref="I131" authorId="1" shapeId="0" xr:uid="{8996C2B7-66F2-4BEF-B842-0E980EB9A428}">
      <text>
        <r>
          <rPr>
            <b/>
            <sz val="9"/>
            <color indexed="81"/>
            <rFont val="Tahoma"/>
            <family val="2"/>
            <charset val="238"/>
          </rPr>
          <t>Nyíriné Kovács Ildikó:</t>
        </r>
        <r>
          <rPr>
            <sz val="9"/>
            <color indexed="81"/>
            <rFont val="Tahoma"/>
            <family val="2"/>
            <charset val="238"/>
          </rPr>
          <t xml:space="preserve">
</t>
        </r>
      </text>
    </comment>
    <comment ref="K131" authorId="1" shapeId="0" xr:uid="{0D9F1524-DDD2-419F-B7B0-683A90368631}">
      <text>
        <r>
          <rPr>
            <b/>
            <sz val="9"/>
            <color indexed="81"/>
            <rFont val="Tahoma"/>
            <family val="2"/>
            <charset val="238"/>
          </rPr>
          <t>Nyíriné Kovács Ildikó:</t>
        </r>
        <r>
          <rPr>
            <sz val="9"/>
            <color indexed="81"/>
            <rFont val="Tahoma"/>
            <family val="2"/>
            <charset val="238"/>
          </rPr>
          <t xml:space="preserve">
</t>
        </r>
      </text>
    </comment>
    <comment ref="N131" authorId="1" shapeId="0" xr:uid="{9ADA5F5A-A070-475B-830E-CDCC34B76F81}">
      <text>
        <r>
          <rPr>
            <b/>
            <sz val="9"/>
            <color indexed="81"/>
            <rFont val="Tahoma"/>
            <family val="2"/>
            <charset val="238"/>
          </rPr>
          <t>+339 100 egyéb adók, díjakról</t>
        </r>
        <r>
          <rPr>
            <sz val="9"/>
            <color indexed="81"/>
            <rFont val="Tahoma"/>
            <family val="2"/>
            <charset val="238"/>
          </rPr>
          <t xml:space="preserve">
</t>
        </r>
      </text>
    </comment>
  </commentList>
</comments>
</file>

<file path=xl/sharedStrings.xml><?xml version="1.0" encoding="utf-8"?>
<sst xmlns="http://schemas.openxmlformats.org/spreadsheetml/2006/main" count="13969" uniqueCount="4295">
  <si>
    <t>Intézmények saját hatáskörű átcsoportosítása a kiemelt előirányzatok között</t>
  </si>
  <si>
    <t>ssz.</t>
  </si>
  <si>
    <t>Intézmény neve</t>
  </si>
  <si>
    <t>Kiemelt előirányzat, ahonnan átcsoportosít</t>
  </si>
  <si>
    <t>Kiemelt előirányzat, ahová átcsoportosít</t>
  </si>
  <si>
    <t>Indoklás</t>
  </si>
  <si>
    <t>1.</t>
  </si>
  <si>
    <t>Budapest XVI. kerületi Polgármesteri Hivatal</t>
  </si>
  <si>
    <t>Munkaadókat terhelő járulékok és szociális hozzájárulási adó</t>
  </si>
  <si>
    <t>Személyi juttatások</t>
  </si>
  <si>
    <t>Dologi kiadások</t>
  </si>
  <si>
    <t>Beruházás</t>
  </si>
  <si>
    <t>2.</t>
  </si>
  <si>
    <t>XVI. Kerület Kertvárosi Egészségügyi Szolgálata</t>
  </si>
  <si>
    <t>3.</t>
  </si>
  <si>
    <t>4.</t>
  </si>
  <si>
    <t>Budapest XVI. kerületi Gyerekkuckó Óvoda</t>
  </si>
  <si>
    <t>5.</t>
  </si>
  <si>
    <t xml:space="preserve">Cinkotai Huncutka Óvoda </t>
  </si>
  <si>
    <t>6.</t>
  </si>
  <si>
    <t>Budapest XVI. kerületi Napsugár Óvoda</t>
  </si>
  <si>
    <t>7.</t>
  </si>
  <si>
    <t>Sashalmi Manoda Óvoda</t>
  </si>
  <si>
    <t>8.</t>
  </si>
  <si>
    <t>Budapest XVI. kerületi Margaréta Óvoda</t>
  </si>
  <si>
    <t>9.</t>
  </si>
  <si>
    <t>Szentmihályi Játszókert Óvoda</t>
  </si>
  <si>
    <t>10.</t>
  </si>
  <si>
    <t>Mátyásföldi Fecskefészek Óvoda</t>
  </si>
  <si>
    <t>11.</t>
  </si>
  <si>
    <t>Corvin Művelődési Ház</t>
  </si>
  <si>
    <t>12.</t>
  </si>
  <si>
    <t>XVI. kerületi Kertvárosi Egyesített Bölcsőde</t>
  </si>
  <si>
    <t>13.</t>
  </si>
  <si>
    <t>Területi Szociális Szolgálat</t>
  </si>
  <si>
    <t>14.</t>
  </si>
  <si>
    <t>Napraforgó Család- és Gyermekjóléti Központ</t>
  </si>
  <si>
    <t>15.</t>
  </si>
  <si>
    <t>Kerületgazda Szolgáltató Szervezet</t>
  </si>
  <si>
    <t>16.</t>
  </si>
  <si>
    <t>Rákosmenti Mezei Őrszolgálat</t>
  </si>
  <si>
    <t>17.</t>
  </si>
  <si>
    <t>Kertvárosi Helytörténeti és Emlékezet Központ</t>
  </si>
  <si>
    <t>Mindösszesen:</t>
  </si>
  <si>
    <t>Dologi</t>
  </si>
  <si>
    <t>Ruházati költségtérítés</t>
  </si>
  <si>
    <t>GAMESZ</t>
  </si>
  <si>
    <t>Polgármesteri Hivatal</t>
  </si>
  <si>
    <t xml:space="preserve"> Kiadási főösszeget nem érintő változások</t>
  </si>
  <si>
    <t>KIADÁSOK</t>
  </si>
  <si>
    <t>Megnevezése</t>
  </si>
  <si>
    <t>Változtatás jogcíme</t>
  </si>
  <si>
    <t>Helye a rendeletben</t>
  </si>
  <si>
    <t>Intézmények működési kiadása</t>
  </si>
  <si>
    <t>Személyi juttatások, járulékok, dologi kiadások</t>
  </si>
  <si>
    <t>2.  melléklet</t>
  </si>
  <si>
    <t xml:space="preserve">Felújítási és karbantartási céltartalékból új feladatokra felhasználható keretösszeg  </t>
  </si>
  <si>
    <t>Intézmények felhalmozási kiadása</t>
  </si>
  <si>
    <t>Beruházások, felújítások</t>
  </si>
  <si>
    <t>Intézményvezetők jutalmazási kerete</t>
  </si>
  <si>
    <t>Alpolgármesteri keret</t>
  </si>
  <si>
    <t>Pályázati keret</t>
  </si>
  <si>
    <t xml:space="preserve">Intézmények részére rendelkezésre álló működési tartalék      </t>
  </si>
  <si>
    <t>Közmű-és energetikai céltartalék</t>
  </si>
  <si>
    <t>Díjadományozás</t>
  </si>
  <si>
    <t xml:space="preserve">Környezetvédelmi támogatás és pályázati keret </t>
  </si>
  <si>
    <t>Összesen:</t>
  </si>
  <si>
    <t>Fentiekből a Polgármesteri Hivatalt érintő</t>
  </si>
  <si>
    <t>Polgármesteri Hivatal előirányzatainak növekedése</t>
  </si>
  <si>
    <t>Önkormányzat előirányzatainak terhére</t>
  </si>
  <si>
    <t>Önkormányzat előirányzatainak növekedése</t>
  </si>
  <si>
    <t>Polgármesteri Hivatal előirányzatának terhére</t>
  </si>
  <si>
    <t>Polgármesteri Hivatal sorai között történő átcsoportosítások</t>
  </si>
  <si>
    <t>Jubileumi jutalom</t>
  </si>
  <si>
    <t>Egyéb szolgáltatások</t>
  </si>
  <si>
    <t>Reprezentációs kiadások</t>
  </si>
  <si>
    <t>Egyéb költségtérítések</t>
  </si>
  <si>
    <t>Egyéb üzemeltetési, fenntartási szolgáltatások</t>
  </si>
  <si>
    <t>Hatósági közérdekű növényvédelmi védekezés</t>
  </si>
  <si>
    <t>Hatósági fakivágás</t>
  </si>
  <si>
    <t>Hatósági környezetvédelmi mérések</t>
  </si>
  <si>
    <t xml:space="preserve">Dologi kiadások </t>
  </si>
  <si>
    <t>Beruházások</t>
  </si>
  <si>
    <t>Egyéb szakmai anyagok beszerzése</t>
  </si>
  <si>
    <t>Alapilletmények</t>
  </si>
  <si>
    <t>Készenléti, ügyeleti, helyettesítési díj</t>
  </si>
  <si>
    <t>Önkormányzat sorai között történő átcsoportosítások</t>
  </si>
  <si>
    <t>Polgármesteri keret</t>
  </si>
  <si>
    <t>Önkormányzat általános működési tartaléka</t>
  </si>
  <si>
    <t>Teljesítés helyére történő rendezések, átcsoportosítások</t>
  </si>
  <si>
    <t>Iskolai Alapítványok támogatása</t>
  </si>
  <si>
    <t>Díjak, egyéb befizetések kiadásai</t>
  </si>
  <si>
    <t>TEMPO 30 övezet üzemeltetése</t>
  </si>
  <si>
    <t>Karbantartási, kisjavítási szolgáltatások (kivéve informatikai eszközökhöz kapcsolódó)</t>
  </si>
  <si>
    <t>Tárgyi eszköz karbantartás</t>
  </si>
  <si>
    <t>Önkormányzati képviselők, polgármester,  alpolgármesterek juttatásai</t>
  </si>
  <si>
    <t>Szakmai tevékenységet segítő szolgáltatások</t>
  </si>
  <si>
    <t>Egyéb adók, díjak</t>
  </si>
  <si>
    <t>Egyéb gép, berendezés és felszerelés beszerzés, létesítés</t>
  </si>
  <si>
    <t>Árok, áteresz üzemeltetés, helyi csapadékvíz elvezetés kialakítása</t>
  </si>
  <si>
    <t>Külső kezelésű társasházak előre nem látható kiadásai</t>
  </si>
  <si>
    <t>Nem lakáscélú helyiségek fűtés, melegvíz-díja, gázszámlája</t>
  </si>
  <si>
    <t>Fasorfenntartás</t>
  </si>
  <si>
    <t>Folyóirat, időszaki kiadvány kiadásai</t>
  </si>
  <si>
    <t xml:space="preserve">Vásárolt közszolgáltatások </t>
  </si>
  <si>
    <t>Gyermekek átmeneti otthona</t>
  </si>
  <si>
    <t>Közvilágítás fejlesztése</t>
  </si>
  <si>
    <t>Fejlesztési céltartalék egyéb, előre nem tervezhető kiadások fedezetéül</t>
  </si>
  <si>
    <t xml:space="preserve">Teljesítés helyére történő rendezések, átcsoportosítások </t>
  </si>
  <si>
    <t>Vízellátási hálózatfejlesztés</t>
  </si>
  <si>
    <t>Csapadékvíz elvezetés</t>
  </si>
  <si>
    <t>Út, járda és parkoló tervezés</t>
  </si>
  <si>
    <t>Polgármesteri fejlesztési céltartalék keret</t>
  </si>
  <si>
    <t>Aszfaltos járdajavítás</t>
  </si>
  <si>
    <t>Járdaépítés</t>
  </si>
  <si>
    <t>Környezetvédelmi alapból kifizetések</t>
  </si>
  <si>
    <t>Csatorna beruházások</t>
  </si>
  <si>
    <t xml:space="preserve">Környezetvédelmi fejlesztések  </t>
  </si>
  <si>
    <t>Közlekedésbiztonsági fejlesztések</t>
  </si>
  <si>
    <t>Szent Korona lakótelep szolgáltatóház felújítás</t>
  </si>
  <si>
    <t>VEKOP-5.3.1-15 „Fenntartható közlekedésfejlesztés Budapesten, Közlekedésbiztonsági és kerékpárosbarát fejlesztések Budapest XVI. kerületében” projekt</t>
  </si>
  <si>
    <t>Kiszámlázott fordított adózású vásárolt termékek, igénybe vett szolgáltatások áfabefizetése miatti kiadás</t>
  </si>
  <si>
    <t>Gépjárművek üzemeltetése, karbantartása</t>
  </si>
  <si>
    <t>Gyógyszertámogatás</t>
  </si>
  <si>
    <t xml:space="preserve">Rendkívüli települési támogatás </t>
  </si>
  <si>
    <t>Temetési segély</t>
  </si>
  <si>
    <t>Csömöri Nagyközség Önkormányzatának Együttműködési Megállapodás alapján a XVI. kerület Csöbör utca 115190 hrsz-ú  területen áthaladó 100 m hosszú kerékpárút építésére</t>
  </si>
  <si>
    <t>Ingatlan értékesítéssel, hasznosítással kapcsolatos dologi kiadások</t>
  </si>
  <si>
    <t>Iskolaudvar, óvodaudvar és bölcsődeudvar felújítási program</t>
  </si>
  <si>
    <t>Üzemeltetési anyagok beszerzése</t>
  </si>
  <si>
    <t>Informatikai eszközök karbantartási szolgáltatásai</t>
  </si>
  <si>
    <t>Számítógépek, nyomtatók, monitorok karbantartása</t>
  </si>
  <si>
    <t>Parkoló építés</t>
  </si>
  <si>
    <t>Változás összesen</t>
  </si>
  <si>
    <t>Bevételi főösszeget nem érintő változások</t>
  </si>
  <si>
    <t>BEVÉTELEK</t>
  </si>
  <si>
    <t>Megnevezés</t>
  </si>
  <si>
    <t>Jogcím</t>
  </si>
  <si>
    <t>Önkormányzatok szociális és gyermekjóléti, gyermekétkeztetési feladatainak támogatása</t>
  </si>
  <si>
    <t>Önkormányzatok kulturális feladatainak támogatása</t>
  </si>
  <si>
    <t xml:space="preserve"> Bevételi és kiadási főösszeget érintő változások</t>
  </si>
  <si>
    <t>Finanszírozás növekedése összesen:</t>
  </si>
  <si>
    <t>Intézmények előirányzatait érintő változások</t>
  </si>
  <si>
    <t>Változtató és nem változtaó össz.</t>
  </si>
  <si>
    <t>Változtató</t>
  </si>
  <si>
    <t>Változtató és nem változtaó össz. = Int-ek össz.kiadása ennyivel nő</t>
  </si>
  <si>
    <t xml:space="preserve">Nem változtató </t>
  </si>
  <si>
    <t>Személyi  juttatások</t>
  </si>
  <si>
    <t>Egyéb működési célú támogatás államháztartáson belülről</t>
  </si>
  <si>
    <t>Működési bevételek</t>
  </si>
  <si>
    <t>Felhalmozási célú támogatás államháztartáson belülről</t>
  </si>
  <si>
    <t>Egyéb működési célú kiadások</t>
  </si>
  <si>
    <t xml:space="preserve">Corvin Művelődési Ház </t>
  </si>
  <si>
    <t>Működési célú átvett pénzeszközök</t>
  </si>
  <si>
    <t>Jármű értékesítése</t>
  </si>
  <si>
    <t>Egyéb tárgyi eszközök értékesítése</t>
  </si>
  <si>
    <t>Összesen</t>
  </si>
  <si>
    <t>Önkormányzat előirányzatait érintő változások</t>
  </si>
  <si>
    <t>Központi kezelésű előirányzattól működési célú támogatások bevételei</t>
  </si>
  <si>
    <t>Kormányhivataltól (Munkaügyi Központ) nyári diákmunka támogatása</t>
  </si>
  <si>
    <t xml:space="preserve">Jelzőrendszeres házi segítségnyújtás működtetésére  támogatás a Szociális és Gyermekvédelmi Főigazgatóságtól   </t>
  </si>
  <si>
    <t>Környezetvédelmi támogatás (HungaroControl pályázat)</t>
  </si>
  <si>
    <t>Egyéb működési bevételek</t>
  </si>
  <si>
    <t>Biztosító által fizetett kártérítés</t>
  </si>
  <si>
    <t>Bérlakások javítása, karbantartása</t>
  </si>
  <si>
    <t>FINANSZÍROZÁSI BEVÉTELEK</t>
  </si>
  <si>
    <t>FINANSZÍROZÁSI KIADÁSOK</t>
  </si>
  <si>
    <t>1. melléklet</t>
  </si>
  <si>
    <t>B E V É T E L E K</t>
  </si>
  <si>
    <t>1. sz. táblázat</t>
  </si>
  <si>
    <t>Sor-
szám</t>
  </si>
  <si>
    <t>Bevételi jogcím</t>
  </si>
  <si>
    <t>Változás I. módosításnál</t>
  </si>
  <si>
    <t>Változás II. módosításnál</t>
  </si>
  <si>
    <t>Változás III. módosításnál</t>
  </si>
  <si>
    <t>Változás IV. módosításnál</t>
  </si>
  <si>
    <t>1.1.</t>
  </si>
  <si>
    <t>Helyi önkormányzatok működésének általános támogatása</t>
  </si>
  <si>
    <t>1.2.</t>
  </si>
  <si>
    <t>1.3.</t>
  </si>
  <si>
    <t>1.4.</t>
  </si>
  <si>
    <t>1.5.</t>
  </si>
  <si>
    <t>Működési célú költségvetési támogatások és kiegészítő támogatások</t>
  </si>
  <si>
    <t>1.6.</t>
  </si>
  <si>
    <t>Elszámolásból származó bevételek</t>
  </si>
  <si>
    <t>2.1.</t>
  </si>
  <si>
    <t>Elvonások és befizetések bevételei</t>
  </si>
  <si>
    <t>2.2.</t>
  </si>
  <si>
    <t xml:space="preserve">Működési célú garancia- és kezességvállalásból megtérülések </t>
  </si>
  <si>
    <t>2.3.</t>
  </si>
  <si>
    <t xml:space="preserve">Működési célú visszatérítendő támogatások, kölcsönök visszatérülése </t>
  </si>
  <si>
    <t>2.4.</t>
  </si>
  <si>
    <t>Működési célú visszatérítendő támogatások, kölcsönök igénybevétele</t>
  </si>
  <si>
    <t>2.5.</t>
  </si>
  <si>
    <t xml:space="preserve">Egyéb működési célú támogatások bevételei </t>
  </si>
  <si>
    <t>2.6.</t>
  </si>
  <si>
    <t>2.5.-ből EU-s támogatás</t>
  </si>
  <si>
    <t>Felhalmozási célú támogatások államháztartáson belülről (3.1.+…+3.5.)</t>
  </si>
  <si>
    <t>3.1.</t>
  </si>
  <si>
    <t>Felhalmozási célú önkormányzati támogatások</t>
  </si>
  <si>
    <t>3.2.</t>
  </si>
  <si>
    <t>Felhalmozási célú garancia- és kezességvállalásból megtérülések</t>
  </si>
  <si>
    <t>3.3.</t>
  </si>
  <si>
    <t>Felhalmozási célú visszatérítendő támogatások, kölcsönök visszatérülése</t>
  </si>
  <si>
    <t>3.4.</t>
  </si>
  <si>
    <t>Felhalmozási célú visszatérítendő támogatások, kölcsönök igénybevétele</t>
  </si>
  <si>
    <t>3.5.</t>
  </si>
  <si>
    <t>Egyéb felhalmozási célú támogatások bevételei</t>
  </si>
  <si>
    <t>3.6.</t>
  </si>
  <si>
    <t>3.5.-ből EU-s támogatás</t>
  </si>
  <si>
    <t xml:space="preserve">4. </t>
  </si>
  <si>
    <t>Közhatalmi bevételek (4.1.+4.2.+4.3.+4.4.)</t>
  </si>
  <si>
    <t>4.1.</t>
  </si>
  <si>
    <t>Helyi adók  (4.1.1.+4.1.2.)</t>
  </si>
  <si>
    <t>4.1.1.</t>
  </si>
  <si>
    <t>- Vagyoni típusú adók</t>
  </si>
  <si>
    <t>4.1.2.</t>
  </si>
  <si>
    <t>- Értékesítési és forgalmi adók (iparűzési adó)</t>
  </si>
  <si>
    <t>4.2.</t>
  </si>
  <si>
    <t>Gépjárműadó</t>
  </si>
  <si>
    <t>4.3.</t>
  </si>
  <si>
    <t>Egyéb áruhasználati és szolgáltatási adók</t>
  </si>
  <si>
    <t>4.4.</t>
  </si>
  <si>
    <t>Egyéb közhatalmi bevételek</t>
  </si>
  <si>
    <t>Működési bevételek (5.1.+…+ 5.11.)</t>
  </si>
  <si>
    <t>5.1.</t>
  </si>
  <si>
    <t>Készletértékesítés ellenértéke</t>
  </si>
  <si>
    <t>5.2.</t>
  </si>
  <si>
    <t>Szolgáltatások ellenértéke</t>
  </si>
  <si>
    <t>5.3.</t>
  </si>
  <si>
    <t>Közvetített szolgáltatások értéke</t>
  </si>
  <si>
    <t>5.4.</t>
  </si>
  <si>
    <t>Tulajdonosi bevételek</t>
  </si>
  <si>
    <t>5.5.</t>
  </si>
  <si>
    <t>Ellátási díjak</t>
  </si>
  <si>
    <t>5.6.</t>
  </si>
  <si>
    <t xml:space="preserve">Kiszámlázott általános forgalmi adó </t>
  </si>
  <si>
    <t>5.7.</t>
  </si>
  <si>
    <t>Általános forgalmi adó visszatérítése</t>
  </si>
  <si>
    <t>5.8.</t>
  </si>
  <si>
    <t>Kamatbevételek és más nyereségjellegű bevételek</t>
  </si>
  <si>
    <t>5.9.</t>
  </si>
  <si>
    <t>Egyéb pénzügyi műveletek bevételei</t>
  </si>
  <si>
    <t>5.10.</t>
  </si>
  <si>
    <t>5.11.</t>
  </si>
  <si>
    <t>Felhalmozási bevételek (6.1.+…+6.5.)</t>
  </si>
  <si>
    <t>6.1.</t>
  </si>
  <si>
    <t>Immateriális javak értékesítése</t>
  </si>
  <si>
    <t>6.2.</t>
  </si>
  <si>
    <t>Ingatlanok értékesítése</t>
  </si>
  <si>
    <t>6.3.</t>
  </si>
  <si>
    <t>6.4.</t>
  </si>
  <si>
    <t>Részesedések értékesítése</t>
  </si>
  <si>
    <t>6.5.</t>
  </si>
  <si>
    <t>Részesedések megszűnéséhez kapcsolódó bevételek</t>
  </si>
  <si>
    <t xml:space="preserve">7. </t>
  </si>
  <si>
    <t>Működési célú átvett pénzeszközök (7.1. + … + 7.3.)</t>
  </si>
  <si>
    <t>7.1.</t>
  </si>
  <si>
    <t>Működési célú garancia- és kezességvállalásból megtérülések ÁH-n kívülről</t>
  </si>
  <si>
    <t>7.2.</t>
  </si>
  <si>
    <t>Működési célú visszatérítendő támogatások, kölcsönök visszatér. ÁH-n kívülről</t>
  </si>
  <si>
    <t>7.3.</t>
  </si>
  <si>
    <t>Egyéb működési célú átvett pénzeszköz</t>
  </si>
  <si>
    <t>7.4.</t>
  </si>
  <si>
    <t>7.3.-ból EU-s támogatás (közvetlen)</t>
  </si>
  <si>
    <t>8.1.</t>
  </si>
  <si>
    <t>8.2.</t>
  </si>
  <si>
    <t>8.3.</t>
  </si>
  <si>
    <t>Egyéb felhalmozási célú átvett pénzeszköz</t>
  </si>
  <si>
    <t>8.4.</t>
  </si>
  <si>
    <t>8.3.-ból EU-s támogatás (közvetlen)</t>
  </si>
  <si>
    <t>KGR-ben</t>
  </si>
  <si>
    <t>KÖLTSÉGVETÉSI BEVÉTELEK ÖSSZESEN: (1+…+8)</t>
  </si>
  <si>
    <t>10.1.</t>
  </si>
  <si>
    <t>Hosszú lejáratú  hitelek, kölcsönök felvétele</t>
  </si>
  <si>
    <t>10.2.</t>
  </si>
  <si>
    <t>Likviditási célú  hitelek, kölcsönök felvétele pénzügyi vállalkozástól</t>
  </si>
  <si>
    <t>10.3.</t>
  </si>
  <si>
    <t>Rövid lejáratú  hitelek, kölcsönök felvétele</t>
  </si>
  <si>
    <t>Belföldi értékpapírok bevételei (11.1. +…+ 11.4.)</t>
  </si>
  <si>
    <t>11.1.</t>
  </si>
  <si>
    <t>Forgatási célú belföldi értékpapírok beváltása,  értékesítése</t>
  </si>
  <si>
    <t>11.2.</t>
  </si>
  <si>
    <t>Forgatási célú belföldi értékpapírok kibocsátása</t>
  </si>
  <si>
    <t>11.3.</t>
  </si>
  <si>
    <t>Befektetési célú belföldi értékpapírok beváltása,  értékesítése</t>
  </si>
  <si>
    <t>11.4.</t>
  </si>
  <si>
    <t>Befektetési célú belföldi értékpapírok kibocsátása</t>
  </si>
  <si>
    <t>Maradvány igénybevétele (12.1. + 12.2.)</t>
  </si>
  <si>
    <t>12.1.</t>
  </si>
  <si>
    <t>Előző év költségvetési maradványának igénybevétele</t>
  </si>
  <si>
    <t>12.2.</t>
  </si>
  <si>
    <t>Előző év vállalkozási maradványának igénybevétele</t>
  </si>
  <si>
    <t>Belföldi finanszírozás bevételei (13.1. + … + 13.3.)</t>
  </si>
  <si>
    <t>13.1.</t>
  </si>
  <si>
    <t>Államháztartáson belüli megelőlegezések</t>
  </si>
  <si>
    <t>13.2.</t>
  </si>
  <si>
    <t>Államháztartáson belüli megelőlegezések törlesztése</t>
  </si>
  <si>
    <t>13.3.</t>
  </si>
  <si>
    <t>Betétek megszüntetése</t>
  </si>
  <si>
    <t xml:space="preserve"> 14.</t>
  </si>
  <si>
    <t xml:space="preserve">Külföldi finanszírozás bevételei </t>
  </si>
  <si>
    <t xml:space="preserve">    14.1.</t>
  </si>
  <si>
    <t>Forgatási célú külföldi értékpapírok beváltása,  értékesítése</t>
  </si>
  <si>
    <t xml:space="preserve">    14.2.</t>
  </si>
  <si>
    <t>Befektetési célú külföldi értékpapírok beváltása,  értékesítése</t>
  </si>
  <si>
    <t xml:space="preserve">    14.3.</t>
  </si>
  <si>
    <t>Külföldi értékpapírok kibocsátása</t>
  </si>
  <si>
    <t xml:space="preserve">    14.4.</t>
  </si>
  <si>
    <t>Külföldi hitelek, kölcsönök felvétele</t>
  </si>
  <si>
    <t>Váltóbevételek</t>
  </si>
  <si>
    <t>Adóssághoz nem kapcsolódó származékos ügyletek bevételei</t>
  </si>
  <si>
    <t>KGR-ben mínusz finanszírozás</t>
  </si>
  <si>
    <t>FINANSZÍROZÁSI BEVÉTELEK ÖSSZESEN: (10. + … +16.)</t>
  </si>
  <si>
    <t>18.</t>
  </si>
  <si>
    <t>2. sz. táblázat</t>
  </si>
  <si>
    <t>Kiadási jogcímek</t>
  </si>
  <si>
    <t>Dologi  kiadások</t>
  </si>
  <si>
    <t>Ellátottak pénzbeli juttatásai</t>
  </si>
  <si>
    <t>1.5</t>
  </si>
  <si>
    <t xml:space="preserve"> - az 1.5-ből: - Előző évi elszámolásból származó befizetések</t>
  </si>
  <si>
    <t>1.7.</t>
  </si>
  <si>
    <t xml:space="preserve">   - Törvényi előíráson alapuló befizetések</t>
  </si>
  <si>
    <t>1.8.</t>
  </si>
  <si>
    <t xml:space="preserve">   - Elvonások és befizetések</t>
  </si>
  <si>
    <t>1.9.</t>
  </si>
  <si>
    <t xml:space="preserve">   - Garancia- és kezességvállalásból kifizetés ÁH-n belülre</t>
  </si>
  <si>
    <t>1.10.</t>
  </si>
  <si>
    <t xml:space="preserve">   -Visszatérítendő támogatások, kölcsönök nyújtása ÁH-n belülre</t>
  </si>
  <si>
    <t>1.11.</t>
  </si>
  <si>
    <t xml:space="preserve">   - Visszatérítendő támogatások, kölcsönök törlesztése ÁH-n belülre</t>
  </si>
  <si>
    <t>1.12.</t>
  </si>
  <si>
    <t xml:space="preserve">   - Egyéb működési célú támogatások ÁH-n belülre</t>
  </si>
  <si>
    <t>1.13.</t>
  </si>
  <si>
    <t xml:space="preserve">   - Garancia és kezességvállalásból kifizetés ÁH-n kívülre</t>
  </si>
  <si>
    <t>1.14.</t>
  </si>
  <si>
    <t xml:space="preserve">   - Visszatérítendő támogatások, kölcsönök nyújtása ÁH-n kívülre</t>
  </si>
  <si>
    <t>1.15.</t>
  </si>
  <si>
    <t xml:space="preserve">   - Árkiegészítések, ártámogatások</t>
  </si>
  <si>
    <t>1.16.</t>
  </si>
  <si>
    <t xml:space="preserve">   - Kamattámogatások</t>
  </si>
  <si>
    <t>1.17.</t>
  </si>
  <si>
    <t xml:space="preserve">   - Egyéb működési célú támogatások államháztartáson kívülre</t>
  </si>
  <si>
    <t>2.1.-ből EU-s forrásból megvalósuló beruházás</t>
  </si>
  <si>
    <t>Felújítások</t>
  </si>
  <si>
    <t>2.3.-ból EU-s forrásból megvalósuló felújítás</t>
  </si>
  <si>
    <t>Egyéb felhalmozási kiadások</t>
  </si>
  <si>
    <t>2.5.-ből        - Garancia- és kezességvállalásból kifizetés ÁH-n belülre</t>
  </si>
  <si>
    <t>2.7.</t>
  </si>
  <si>
    <t xml:space="preserve">   - Visszatérítendő támogatások, kölcsönök nyújtása ÁH-n belülre</t>
  </si>
  <si>
    <t>2.8.</t>
  </si>
  <si>
    <t>2.9.</t>
  </si>
  <si>
    <t xml:space="preserve">   - Egyéb felhalmozási célú támogatások ÁH-n belülre</t>
  </si>
  <si>
    <t>2.10.</t>
  </si>
  <si>
    <t xml:space="preserve">   - Garancia- és kezességvállalásból kifizetés ÁH-n kívülre</t>
  </si>
  <si>
    <t>2.11.</t>
  </si>
  <si>
    <t>2.12.</t>
  </si>
  <si>
    <t xml:space="preserve">   - Lakástámogatás</t>
  </si>
  <si>
    <t>2.13.</t>
  </si>
  <si>
    <t xml:space="preserve">   - Egyéb felhalmozási célú támogatások államháztartáson kívülre</t>
  </si>
  <si>
    <t>Tartalékok (3.1.+3.2.)</t>
  </si>
  <si>
    <t>Általános tartalék</t>
  </si>
  <si>
    <t>Céltartalék</t>
  </si>
  <si>
    <t>KÖLTSÉGVETÉSI KIADÁSOK ÖSSZESEN (1+2+3)</t>
  </si>
  <si>
    <t>Hitel-, kölcsöntörlesztés államháztartáson kívülre (5.1. + … + 5.3.)</t>
  </si>
  <si>
    <t>Hosszú lejáratú hitelek, kölcsönök törlesztése pénzügyi vállalkozásnak</t>
  </si>
  <si>
    <t>Likviditási célú hitelek, kölcsönök törlesztése pénzügyi vállalkozásnak</t>
  </si>
  <si>
    <t>Rövid lejáratú hitelek, kölcsönök törlesztése pénzügyi vállalkozásnak</t>
  </si>
  <si>
    <t>Belföldi értékpapírok kiadásai (6.1. + … + 6.4.)</t>
  </si>
  <si>
    <t>Forgatási célú / Befektetési célú belföldi értékpapírok vásárlása</t>
  </si>
  <si>
    <t>Kincstárjegyek beváltása</t>
  </si>
  <si>
    <t>Éven belüli / Éven túli lejáratú belföldi értékpapírok beváltása</t>
  </si>
  <si>
    <t>Belföldi kötvények beváltása</t>
  </si>
  <si>
    <t>Belföldi finanszírozás kiadásai (7.1. + … + 7.4.)</t>
  </si>
  <si>
    <t>Államháztartáson belüli megelőlegezések folyósítása</t>
  </si>
  <si>
    <t>Államháztartáson belüli megelőlegezések visszafizetése</t>
  </si>
  <si>
    <t xml:space="preserve"> Pénzeszközök lekötött betétként elhelyezése </t>
  </si>
  <si>
    <t xml:space="preserve"> Pénzügyi lízing kiadásai</t>
  </si>
  <si>
    <t>Külföldi finanszírozás kiadásai</t>
  </si>
  <si>
    <t xml:space="preserve"> Forgatási célú külföldi értékpapírok vásárlása</t>
  </si>
  <si>
    <t xml:space="preserve"> Befektetési célú külföldi értékpapírok beváltása</t>
  </si>
  <si>
    <t xml:space="preserve"> Külföldi értékpapírok beváltása</t>
  </si>
  <si>
    <t xml:space="preserve"> Külföldi hitelek, kölcsönök törlesztése</t>
  </si>
  <si>
    <t>Adóssághoz nem kapcsolódó származékos ügyletek</t>
  </si>
  <si>
    <t>Váltókiadások</t>
  </si>
  <si>
    <t>FINANSZÍROZÁSI KIADÁSOK ÖSSZESEN: (5.+…+10.)</t>
  </si>
  <si>
    <t>KÖLTSÉGVETÉSI ÉS FINANSZÍROZÁSI KIADÁSOK ÖSSZESEN: (4.+11.)</t>
  </si>
  <si>
    <t>KÖLTSÉGVETÉSI, FINANSZÍROZÁSI BEVÉTELEK ÉS KIADÁSOK EGYENLEGE</t>
  </si>
  <si>
    <t>Költségvetési hiány, többlet ( költségvetési bevételek 9. sor - költségvetési kiadások 4. sor) (+/-)</t>
  </si>
  <si>
    <t>Finanszírozási bevételek, kiadások egyenlege (finanszírozási bevételek 17. sor - finanszírozási kiadások 11. sor) (+/-)</t>
  </si>
  <si>
    <t>Bevételek</t>
  </si>
  <si>
    <t>Kiadások</t>
  </si>
  <si>
    <t>2.-ból EU-s támogatás</t>
  </si>
  <si>
    <t>Közhatalmi bevételek</t>
  </si>
  <si>
    <t>4.-ből EU-s támogatás</t>
  </si>
  <si>
    <t>Tartalékok:</t>
  </si>
  <si>
    <t>Értékpapír vásárlása, visszavásárlása</t>
  </si>
  <si>
    <t>Likviditási célú hitelek törlesztése</t>
  </si>
  <si>
    <t>Rövid lejáratú hitelek törlesztése</t>
  </si>
  <si>
    <t xml:space="preserve">   Betét visszavonásából származó bevétel </t>
  </si>
  <si>
    <t>Hosszú lejáratú hitelek törlesztése</t>
  </si>
  <si>
    <t>Kölcsön törlesztése</t>
  </si>
  <si>
    <t>19.</t>
  </si>
  <si>
    <t>Forgatási célú belföldi, külföldi értékpapírok vásárlása (Államkötvény vásárlás)</t>
  </si>
  <si>
    <t>20.</t>
  </si>
  <si>
    <t xml:space="preserve">   Likviditási célú hitelek, kölcsönök felvétele</t>
  </si>
  <si>
    <t>Pénzeszközök lekötött betétként elhelyezése</t>
  </si>
  <si>
    <t>21.</t>
  </si>
  <si>
    <t xml:space="preserve">   Értékpapírok bevételei</t>
  </si>
  <si>
    <t>22.</t>
  </si>
  <si>
    <t>23.</t>
  </si>
  <si>
    <t>24.</t>
  </si>
  <si>
    <t>25.</t>
  </si>
  <si>
    <t>26.</t>
  </si>
  <si>
    <t>Költségvetési hiány:</t>
  </si>
  <si>
    <t>-</t>
  </si>
  <si>
    <t>Költségvetési többlet:</t>
  </si>
  <si>
    <t>27.</t>
  </si>
  <si>
    <t>Tárgyévi  hiány:</t>
  </si>
  <si>
    <t>Tárgyévi  többlet:</t>
  </si>
  <si>
    <t>Összes kiadás</t>
  </si>
  <si>
    <t>-a</t>
  </si>
  <si>
    <t>A és B ellenőrzése 1. melléklettel</t>
  </si>
  <si>
    <t>Maradvány ellenőrzése</t>
  </si>
  <si>
    <t>Bevételek ellenőrzése</t>
  </si>
  <si>
    <t>Kiadások  ellenőrzése</t>
  </si>
  <si>
    <t>Finanszírozási bevételek ellenőrzése</t>
  </si>
  <si>
    <t>Finanszírozási kiadások ellenőrzése</t>
  </si>
  <si>
    <t>Felhalmozási célú támogatások államháztartáson belülről</t>
  </si>
  <si>
    <t>1.-ből EU-s támogatás</t>
  </si>
  <si>
    <t>1.-ből EU-s forrásból megvalósuló beruházás</t>
  </si>
  <si>
    <t>Felhalmozási bevételek</t>
  </si>
  <si>
    <t>Felhalmozási célú átvett pénzeszközök átvétele</t>
  </si>
  <si>
    <t>3.-ból EU-s forrásból megvalósuló felújítás</t>
  </si>
  <si>
    <t>4.-ből EU-s támogatás (közvetlen)</t>
  </si>
  <si>
    <t>Egyéb felhalmozási célú bevételek</t>
  </si>
  <si>
    <t>Költségvetési maradvány igénybevétele (felhalmozási célú)</t>
  </si>
  <si>
    <t>Hitelek törlesztése</t>
  </si>
  <si>
    <t xml:space="preserve">Vállalkozási maradvány igénybevétele </t>
  </si>
  <si>
    <t xml:space="preserve">Betét visszavonásából származó bevétel </t>
  </si>
  <si>
    <t>Értékpapír értékesítése</t>
  </si>
  <si>
    <t>Egyéb belső finanszírozási bevételek</t>
  </si>
  <si>
    <t>Befektetési célú belföldi, külföldi értékpapírok vásárlása</t>
  </si>
  <si>
    <t>Betét elhelyezése</t>
  </si>
  <si>
    <t>Hosszú lejáratú hitelek, kölcsönök felvétele</t>
  </si>
  <si>
    <t>Pénzügyi lízing kiadásai</t>
  </si>
  <si>
    <t>Likviditási célú hitelek, kölcsönök felvétele</t>
  </si>
  <si>
    <t>Rövid lejáratú hitelek, kölcsönök felvétele</t>
  </si>
  <si>
    <t>Értékpapírok kibocsátása</t>
  </si>
  <si>
    <t>Egyéb külső finanszírozási bevételek</t>
  </si>
  <si>
    <t>28.</t>
  </si>
  <si>
    <t>Felhalmozási költségvetési maradvány intézményeknél</t>
  </si>
  <si>
    <t>Felhalmozási költségvetési maradvány intézményeknél I-nél betervezve</t>
  </si>
  <si>
    <t>Felhalmozási költségvetési maradvány intézményeknél eredetiben betervezve</t>
  </si>
  <si>
    <t>Összesen I. módosítás</t>
  </si>
  <si>
    <t>Összesen II. módosítás</t>
  </si>
  <si>
    <t>Összesen III. módosítás</t>
  </si>
  <si>
    <t>Összesen IV. módosítás</t>
  </si>
  <si>
    <t>Teljesítések</t>
  </si>
  <si>
    <t>ELLENŐRZÉS</t>
  </si>
  <si>
    <t>Közvetített szolgáltatások ellenértéke</t>
  </si>
  <si>
    <t xml:space="preserve">    Rövid lejáratú  hitelek, kölcsönök felvétele</t>
  </si>
  <si>
    <t xml:space="preserve"> 15.</t>
  </si>
  <si>
    <t xml:space="preserve"> 16.</t>
  </si>
  <si>
    <t xml:space="preserve"> 17.</t>
  </si>
  <si>
    <t>FINANSZÍROZÁSI BEVÉTELEK ÖSSZESEN: (10. + … +16)</t>
  </si>
  <si>
    <r>
      <rPr>
        <b/>
        <sz val="12"/>
        <rFont val="Times New Roman CE"/>
        <family val="1"/>
        <charset val="238"/>
      </rPr>
      <t xml:space="preserve">   Működési költségvetés kiadásai </t>
    </r>
    <r>
      <rPr>
        <sz val="12"/>
        <rFont val="Times New Roman CE"/>
        <charset val="238"/>
      </rPr>
      <t>(1.1+…+1.5.)</t>
    </r>
  </si>
  <si>
    <r>
      <rPr>
        <b/>
        <sz val="12"/>
        <rFont val="Times New Roman CE"/>
        <family val="1"/>
        <charset val="238"/>
      </rPr>
      <t xml:space="preserve">   Felhalmozási költségvetés kiadásai </t>
    </r>
    <r>
      <rPr>
        <sz val="12"/>
        <rFont val="Times New Roman CE"/>
        <charset val="238"/>
      </rPr>
      <t>(2.1.+2.3.+2.5.)</t>
    </r>
  </si>
  <si>
    <t xml:space="preserve">   Hosszú lejáratú hitelek, kölcsönök törlesztése pénzügyi vállalkozásnak</t>
  </si>
  <si>
    <t xml:space="preserve">   Likviditási célú hitelek, kölcsönök törlesztése pénzügyi vállalkozásnak</t>
  </si>
  <si>
    <t xml:space="preserve">   Rövid lejáratú hitelek, kölcsönök törlesztése pénzügyi vállalkozásnak</t>
  </si>
  <si>
    <t xml:space="preserve">   Forgatási célú / Befektetési célú belföldi értékpapírok vásárlása</t>
  </si>
  <si>
    <t xml:space="preserve">   Kincstárjegyek beváltása</t>
  </si>
  <si>
    <t xml:space="preserve">   Éven belüli / Éven túli lejáratú belföldi értékpapírok beváltása</t>
  </si>
  <si>
    <t>Belföldi finanszírozás kiadásai (7.1. + … + 7.5.)</t>
  </si>
  <si>
    <t>Kiemelt előirányzat, előirányzat megnevezése</t>
  </si>
  <si>
    <t>KGR-ben:</t>
  </si>
  <si>
    <t xml:space="preserve"> 10.</t>
  </si>
  <si>
    <t xml:space="preserve">   11.</t>
  </si>
  <si>
    <t xml:space="preserve">    12.</t>
  </si>
  <si>
    <t xml:space="preserve">    13.</t>
  </si>
  <si>
    <t xml:space="preserve">    14.</t>
  </si>
  <si>
    <t xml:space="preserve">    15.</t>
  </si>
  <si>
    <t xml:space="preserve">    16.</t>
  </si>
  <si>
    <t xml:space="preserve">    17.</t>
  </si>
  <si>
    <t xml:space="preserve">    18.</t>
  </si>
  <si>
    <t>Tájékoz-tatásul:</t>
  </si>
  <si>
    <t xml:space="preserve"> - az 1.12.-ből: - INTÉZMÉNYFINANSZÍROZÁS 2014-ben, 2015-ben 7.3. pontban</t>
  </si>
  <si>
    <t>2.5.-ből           - Garancia- és kezességvállalásból kifizetés ÁH-n belülre</t>
  </si>
  <si>
    <t xml:space="preserve">   Belföldi kötvények beváltása</t>
  </si>
  <si>
    <t>Központi, irányító szervi támogatások folyósítása = Intézményfinanszírozás</t>
  </si>
  <si>
    <t>7.5.</t>
  </si>
  <si>
    <t>Tájékoztatásul: Létszám előirányzat (fő) - Költségvetési szervek összesen</t>
  </si>
  <si>
    <t>Közfoglalkoztatottak létszáma (fő) a költségvetési szerveknél</t>
  </si>
  <si>
    <t>ellenőrzés:</t>
  </si>
  <si>
    <t>Teljesítés</t>
  </si>
  <si>
    <t>Külföldi finanszírozás bevételei</t>
  </si>
  <si>
    <r>
      <rPr>
        <b/>
        <sz val="8"/>
        <rFont val="Times New Roman CE"/>
        <family val="1"/>
        <charset val="238"/>
      </rPr>
      <t xml:space="preserve">   Működési költségvetés kiadásai </t>
    </r>
    <r>
      <rPr>
        <sz val="8"/>
        <rFont val="Times New Roman CE"/>
        <charset val="238"/>
      </rPr>
      <t>(1.1+…+1.5.)</t>
    </r>
  </si>
  <si>
    <t xml:space="preserve"> - az 1.10.-ből: - INTÉZMÉNYFINANSZÍROZÁS 2014-ben, 2015-ben 7.3. pontban</t>
  </si>
  <si>
    <r>
      <rPr>
        <b/>
        <sz val="8"/>
        <rFont val="Times New Roman CE"/>
        <family val="1"/>
        <charset val="238"/>
      </rPr>
      <t xml:space="preserve">   Felhalmozási költségvetés kiadásai </t>
    </r>
    <r>
      <rPr>
        <sz val="8"/>
        <rFont val="Times New Roman CE"/>
        <charset val="238"/>
      </rPr>
      <t>(2.1.+2.3.+2.5.)</t>
    </r>
  </si>
  <si>
    <t xml:space="preserve">Külföldi finanszírozás kiadásai </t>
  </si>
  <si>
    <t>Budapest Főváros XVI. kerületi Önkormányzat bevételei (Költségvetési szervek nélkül)</t>
  </si>
  <si>
    <t>sorszám</t>
  </si>
  <si>
    <r>
      <rPr>
        <sz val="14"/>
        <rFont val="Times New Roman"/>
        <family val="1"/>
        <charset val="238"/>
      </rPr>
      <t xml:space="preserve">Előirányzat megnevezése                                                                                             </t>
    </r>
    <r>
      <rPr>
        <sz val="10"/>
        <rFont val="Times New Roman"/>
        <family val="1"/>
        <charset val="238"/>
      </rPr>
      <t>(Rovatrend szerint)</t>
    </r>
  </si>
  <si>
    <t>Szer-vezet</t>
  </si>
  <si>
    <t>Keretkód</t>
  </si>
  <si>
    <t>K2 Ö3 Á4</t>
  </si>
  <si>
    <t xml:space="preserve">COFOG </t>
  </si>
  <si>
    <t>Szakfeladat</t>
  </si>
  <si>
    <t>Nyilván-tartási számlák</t>
  </si>
  <si>
    <t>Alap</t>
  </si>
  <si>
    <t>Áfa</t>
  </si>
  <si>
    <t>007</t>
  </si>
  <si>
    <t>B111101</t>
  </si>
  <si>
    <t>018010</t>
  </si>
  <si>
    <t>09/1111</t>
  </si>
  <si>
    <t>B112101</t>
  </si>
  <si>
    <t>09/1121</t>
  </si>
  <si>
    <t>B113101</t>
  </si>
  <si>
    <t>09/1131</t>
  </si>
  <si>
    <t>B114101</t>
  </si>
  <si>
    <t>09/1141</t>
  </si>
  <si>
    <t>B115101</t>
  </si>
  <si>
    <t>09/1151</t>
  </si>
  <si>
    <t>0</t>
  </si>
  <si>
    <t xml:space="preserve">Működési célú költségvetési támogatások és kiegészítő támogatások:                                                             Kulturális illetménypótlék                             </t>
  </si>
  <si>
    <t>B115102</t>
  </si>
  <si>
    <t>Működési célú költségvetési támogatások és kiegészítő támogatások: Középfokú végzettségű bölcsődei közfoglalkoztatottak pótléka</t>
  </si>
  <si>
    <t>B161321</t>
  </si>
  <si>
    <t>B161102</t>
  </si>
  <si>
    <t>09/11619</t>
  </si>
  <si>
    <t>05/11</t>
  </si>
  <si>
    <t xml:space="preserve">Irányító (felügyeleti) szerv javára teljesített egyéb befizetés bevételei       </t>
  </si>
  <si>
    <t>B123401</t>
  </si>
  <si>
    <t>011130</t>
  </si>
  <si>
    <t>09/1234</t>
  </si>
  <si>
    <t>09/121</t>
  </si>
  <si>
    <t>Működési célú garancia- és kezességvállalásból származó megtérülések államháztartáson belülről</t>
  </si>
  <si>
    <t>09/131</t>
  </si>
  <si>
    <t>Központi költségvetési szervtől működési célú visszatérítendő támogatások, kölcsönök visszatérülése</t>
  </si>
  <si>
    <t>09/1411</t>
  </si>
  <si>
    <t>Központi kezelésű előirányzattól működési célú visszatérítendő támogatások, kölcsönök visszatérülése</t>
  </si>
  <si>
    <t>09/1412</t>
  </si>
  <si>
    <t>Fejezeti kezelésű előirányzattól működési célú visszatérítendő támogatások, kölcsönök visszatérülése</t>
  </si>
  <si>
    <t>09/1413</t>
  </si>
  <si>
    <t>Helyi önkormányzattól és azok költségvetési szervétől működési célú visszatérítendő támogatások, kölcsönök visszatérülése</t>
  </si>
  <si>
    <t>09/1416</t>
  </si>
  <si>
    <t>Nemzetiségi önkormányzattól és  költségvetési szervétől működési célú visszatérítendő támogatások, kölcsönök visszatérülése</t>
  </si>
  <si>
    <t>09/1418</t>
  </si>
  <si>
    <t>Működési célú visszatérítendő támogatások, kölcsönök visszatérülése államháztartáson belülről</t>
  </si>
  <si>
    <t>09/141</t>
  </si>
  <si>
    <t>Központi költségvetési szervtől működési célú visszatérítendő támogatások, kölcsönök igénybevétele</t>
  </si>
  <si>
    <t>09/1511</t>
  </si>
  <si>
    <t>Központi kezelésű előirányzattól működési célú visszatérítendő támogatások, kölcsönök igénybevétele</t>
  </si>
  <si>
    <t>09/1512</t>
  </si>
  <si>
    <t>Fejezeti kezelésű előirányzattól működési célú visszatérítendő támogatások, kölcsönök igénybevétele</t>
  </si>
  <si>
    <t>09/1513</t>
  </si>
  <si>
    <t>Helyi önkormányzattól és azok költségvetési szervétől működési célú visszatérítendő támogatások, kölcsönök igénybevétele</t>
  </si>
  <si>
    <t>09/1516</t>
  </si>
  <si>
    <t>Nemzetiségi önkormányzattól és  költségvetési szervétől működési célú visszatérítendő támogatások, kölcsönök igénybevétele</t>
  </si>
  <si>
    <t>09/1518</t>
  </si>
  <si>
    <t>Működési célú visszatérítendő támogatások, kölcsönök igénybevétele államháztartáson belülről</t>
  </si>
  <si>
    <t>09/151</t>
  </si>
  <si>
    <t>NAV-tól Rákosmenti Mezei Őrszolgálat működéséhez támogatás (Kormányhivataltól lehívott támogatás)</t>
  </si>
  <si>
    <t>B161101</t>
  </si>
  <si>
    <t>031030</t>
  </si>
  <si>
    <t>09/16112</t>
  </si>
  <si>
    <t>B161106</t>
  </si>
  <si>
    <t>B410404</t>
  </si>
  <si>
    <t>012</t>
  </si>
  <si>
    <t>B161104</t>
  </si>
  <si>
    <t>094260</t>
  </si>
  <si>
    <t>9990001</t>
  </si>
  <si>
    <t>ÁROP-3.A.2-2013-2013-0036</t>
  </si>
  <si>
    <t>005</t>
  </si>
  <si>
    <t>B161301</t>
  </si>
  <si>
    <t>09/161312</t>
  </si>
  <si>
    <t>TÁMOP 1.1.1. "Jobb velünk a világ 2013"</t>
  </si>
  <si>
    <t>002</t>
  </si>
  <si>
    <t>B161302</t>
  </si>
  <si>
    <t>Fejezeti kezelésű előirányzattól EU-s programok és azok hazai társfinanszírozása miatt működési célú támogatások bevételei</t>
  </si>
  <si>
    <t>09/16131</t>
  </si>
  <si>
    <t>Bűnmegelőzési projekt 2016. évi megvalósítására (BM-16) Belügyminisztériumtól</t>
  </si>
  <si>
    <t>011</t>
  </si>
  <si>
    <t>B161323</t>
  </si>
  <si>
    <t>031060</t>
  </si>
  <si>
    <t>09/161322</t>
  </si>
  <si>
    <t>B161320</t>
  </si>
  <si>
    <t>074052</t>
  </si>
  <si>
    <t>B161406</t>
  </si>
  <si>
    <t>056010</t>
  </si>
  <si>
    <t>B161402</t>
  </si>
  <si>
    <t>107053</t>
  </si>
  <si>
    <t>09/1613</t>
  </si>
  <si>
    <t>B161401</t>
  </si>
  <si>
    <t>900020</t>
  </si>
  <si>
    <t>09/355121</t>
  </si>
  <si>
    <t>09/402154 2017-től 09/16132</t>
  </si>
  <si>
    <t>B161403</t>
  </si>
  <si>
    <t>001</t>
  </si>
  <si>
    <t>B161501</t>
  </si>
  <si>
    <t>086010</t>
  </si>
  <si>
    <t>09/1615</t>
  </si>
  <si>
    <t>Helyi önkormányzattól és azok költségvetési szervétől működési célú támogatások bevételei</t>
  </si>
  <si>
    <t>09/1614</t>
  </si>
  <si>
    <t>09/1618</t>
  </si>
  <si>
    <t>09/161</t>
  </si>
  <si>
    <t>Termőföld bérbeadása miatti személyi jövedelemadó</t>
  </si>
  <si>
    <t>09/31113</t>
  </si>
  <si>
    <t>Magánszemélyek jövedelemadói</t>
  </si>
  <si>
    <t>09/3111</t>
  </si>
  <si>
    <t>Jövedelemadók</t>
  </si>
  <si>
    <t>09/31</t>
  </si>
  <si>
    <t>Építményadó</t>
  </si>
  <si>
    <t>009</t>
  </si>
  <si>
    <t>B341101</t>
  </si>
  <si>
    <t>09/34111</t>
  </si>
  <si>
    <t>Reklámhordozók utáni építményadó</t>
  </si>
  <si>
    <t>B341102</t>
  </si>
  <si>
    <t>30.</t>
  </si>
  <si>
    <t>Telekadó</t>
  </si>
  <si>
    <t>B341201</t>
  </si>
  <si>
    <t>09/34112</t>
  </si>
  <si>
    <t>Idegenforgalmi adó épület után</t>
  </si>
  <si>
    <t>09/34113</t>
  </si>
  <si>
    <t>Magánszemélyek kommunális adója</t>
  </si>
  <si>
    <t>09/34114</t>
  </si>
  <si>
    <t>Egyéb vagyoni típusú helyi adók - helyi jövedéki adó (pálinka)</t>
  </si>
  <si>
    <t>09/34119</t>
  </si>
  <si>
    <t>31.</t>
  </si>
  <si>
    <t>09/3411</t>
  </si>
  <si>
    <t>Termékek és szolgáltatások adói: Iparűzési adó - kötelező feladatra</t>
  </si>
  <si>
    <t>B351101</t>
  </si>
  <si>
    <t>09/351121</t>
  </si>
  <si>
    <t>Termékek és szolgáltatások adói: Iparűzési adó - önként vállalt feladatra</t>
  </si>
  <si>
    <t>Termékek és szolgáltatások adói: Iparűzési adó - államigazgatási feladatra</t>
  </si>
  <si>
    <t>32.</t>
  </si>
  <si>
    <t>Értékesítési és forgalmi adók (iparűzési adó)</t>
  </si>
  <si>
    <t>33.</t>
  </si>
  <si>
    <t>Helyi önkormányzatokat megillető belföldi gépjárműadó</t>
  </si>
  <si>
    <t>B354101</t>
  </si>
  <si>
    <t>09/354121</t>
  </si>
  <si>
    <t>Idegenforgalmi adó (tartózkodás alapján)</t>
  </si>
  <si>
    <t>Helyi környezetterhelési díj - Talajterhelési díj</t>
  </si>
  <si>
    <t>B355102</t>
  </si>
  <si>
    <t>09/36129</t>
  </si>
  <si>
    <t>35.</t>
  </si>
  <si>
    <t>09/35512</t>
  </si>
  <si>
    <t>36.</t>
  </si>
  <si>
    <t>Igazgatási szolgáltatási díjak</t>
  </si>
  <si>
    <t>09/36111</t>
  </si>
  <si>
    <t>37/a</t>
  </si>
  <si>
    <t>Környezetvédelmi bírság 30 % KDV-KTVF-től</t>
  </si>
  <si>
    <t>B361201</t>
  </si>
  <si>
    <t>09/361221</t>
  </si>
  <si>
    <t>37/b</t>
  </si>
  <si>
    <t>004</t>
  </si>
  <si>
    <t>B361202</t>
  </si>
  <si>
    <t>09/361229</t>
  </si>
  <si>
    <t>37/c</t>
  </si>
  <si>
    <t>Környezetvédelmi eljárási bírság (helyi)</t>
  </si>
  <si>
    <t>B361203</t>
  </si>
  <si>
    <t>37.</t>
  </si>
  <si>
    <t>Környezetvédelmi bírság</t>
  </si>
  <si>
    <t>09/36122</t>
  </si>
  <si>
    <t>38.</t>
  </si>
  <si>
    <t>Természetvédelmi bírság</t>
  </si>
  <si>
    <t>09361229</t>
  </si>
  <si>
    <t>39/A.</t>
  </si>
  <si>
    <t>Eljárási illeték</t>
  </si>
  <si>
    <t>B361401</t>
  </si>
  <si>
    <t>09361225</t>
  </si>
  <si>
    <t>39/B.</t>
  </si>
  <si>
    <t>Építésügyi bírság</t>
  </si>
  <si>
    <t>003</t>
  </si>
  <si>
    <t>B361703</t>
  </si>
  <si>
    <t>39.</t>
  </si>
  <si>
    <t>Eljárási illeték és Építésügyi bírság</t>
  </si>
  <si>
    <t>09/36125</t>
  </si>
  <si>
    <t>40/a</t>
  </si>
  <si>
    <t>Közösségi eljárási bírság (Tiltott magatartás)</t>
  </si>
  <si>
    <t>B361601</t>
  </si>
  <si>
    <t>09/361225</t>
  </si>
  <si>
    <t>40/b</t>
  </si>
  <si>
    <t>Közterület Felügyelet által kiszabott bírság</t>
  </si>
  <si>
    <t>B361602</t>
  </si>
  <si>
    <t>40.</t>
  </si>
  <si>
    <t>Önkormányzatokat megillető helyszíni és szabálysértési bírságok</t>
  </si>
  <si>
    <t>41/a</t>
  </si>
  <si>
    <t>Állatvédelmi bírság</t>
  </si>
  <si>
    <t>B361701</t>
  </si>
  <si>
    <t>41/b</t>
  </si>
  <si>
    <t>Birtokvédelmi bírság</t>
  </si>
  <si>
    <t>B361702</t>
  </si>
  <si>
    <t>41/c</t>
  </si>
  <si>
    <t>Építési eljárási bírság</t>
  </si>
  <si>
    <t>41/d</t>
  </si>
  <si>
    <t>Iparker eljárási bírság</t>
  </si>
  <si>
    <t>B361704</t>
  </si>
  <si>
    <t>41/e</t>
  </si>
  <si>
    <t>Idegen adóbevétel (adók módjára behajtandó idegen köztartozások, továbbutalandó)</t>
  </si>
  <si>
    <t>B361705</t>
  </si>
  <si>
    <t>41/f</t>
  </si>
  <si>
    <t>Egyéb bevétel (más hatóság által kiszabott szab.sértési bírságok, önk-nál marad)</t>
  </si>
  <si>
    <t>41.</t>
  </si>
  <si>
    <t>Egyéb bírság</t>
  </si>
  <si>
    <t>42.</t>
  </si>
  <si>
    <t>Helyi adópótlék, adóbírság</t>
  </si>
  <si>
    <t>B361801</t>
  </si>
  <si>
    <t>09/36128</t>
  </si>
  <si>
    <t>43.</t>
  </si>
  <si>
    <t>B361901</t>
  </si>
  <si>
    <t>44.</t>
  </si>
  <si>
    <t>Egyéb helyi közhatalmi bevételek (37.+….+43.)</t>
  </si>
  <si>
    <t>09/3612</t>
  </si>
  <si>
    <t>45.</t>
  </si>
  <si>
    <t>46.</t>
  </si>
  <si>
    <t>47.</t>
  </si>
  <si>
    <t>09/4011</t>
  </si>
  <si>
    <t>Alkalmazottak térítési díjbevétele</t>
  </si>
  <si>
    <t>09/40211</t>
  </si>
  <si>
    <t>Konténer, közterület bérleti díj</t>
  </si>
  <si>
    <t>B405201</t>
  </si>
  <si>
    <t>09/40212</t>
  </si>
  <si>
    <t>Terembérlet (Házasságkötő terem)</t>
  </si>
  <si>
    <t>B405202</t>
  </si>
  <si>
    <t xml:space="preserve">Bérleti és lízing díjbevétel </t>
  </si>
  <si>
    <t>Egyéb szolgáltatások nyújtása miatti bevételek</t>
  </si>
  <si>
    <t>09/40214</t>
  </si>
  <si>
    <t>Üdülő bevételek - Balatonszárszó</t>
  </si>
  <si>
    <t>006</t>
  </si>
  <si>
    <t>B402401</t>
  </si>
  <si>
    <t>081071</t>
  </si>
  <si>
    <t>552001</t>
  </si>
  <si>
    <t>09/402152</t>
  </si>
  <si>
    <t>Üdülő bevételek -Tusnádfürdő</t>
  </si>
  <si>
    <t>008</t>
  </si>
  <si>
    <t>B402402</t>
  </si>
  <si>
    <t>3</t>
  </si>
  <si>
    <t>09/404134</t>
  </si>
  <si>
    <t>Hirdetési djíak</t>
  </si>
  <si>
    <t>B402404</t>
  </si>
  <si>
    <t>083030</t>
  </si>
  <si>
    <t>581400</t>
  </si>
  <si>
    <t>09/40219</t>
  </si>
  <si>
    <t>Kertvárosi kártya értékesítéséből származó bevétel</t>
  </si>
  <si>
    <t>B402405</t>
  </si>
  <si>
    <t>Házasságkötés külső helyszín</t>
  </si>
  <si>
    <t>B402406</t>
  </si>
  <si>
    <t>Szerződéskötési díj (helyiség)</t>
  </si>
  <si>
    <t>B404303</t>
  </si>
  <si>
    <t>013350</t>
  </si>
  <si>
    <t>Szerződéskötés 0,5 % ktg. térítés</t>
  </si>
  <si>
    <t>B402407</t>
  </si>
  <si>
    <t>2</t>
  </si>
  <si>
    <t>09/52121</t>
  </si>
  <si>
    <t>Egyéb bérleti díj: Személygépkocsi bérleti díja (Új sor a III. módosítástól)</t>
  </si>
  <si>
    <t>B402408</t>
  </si>
  <si>
    <t xml:space="preserve"> 066020</t>
  </si>
  <si>
    <t>48.</t>
  </si>
  <si>
    <t>09/4021</t>
  </si>
  <si>
    <t>Egyéb továbbszámlázott költség ÁHB (pl.: köztemetés)</t>
  </si>
  <si>
    <t>B403102</t>
  </si>
  <si>
    <t>999000</t>
  </si>
  <si>
    <t>09/40311</t>
  </si>
  <si>
    <t>Államháztartáson belülre továbbszámlázott közvetített szolgáltatások bevétele</t>
  </si>
  <si>
    <t>Államháztartáson kívülre továbbszámlázott közvetített szolgáltatások bevétele</t>
  </si>
  <si>
    <t>09/40312</t>
  </si>
  <si>
    <t>Egyéb továbbszámlázott költség, ÁHK - telefon</t>
  </si>
  <si>
    <t>B403101</t>
  </si>
  <si>
    <t>Egyéb továbbszámlázott költség AHK</t>
  </si>
  <si>
    <t>B403201</t>
  </si>
  <si>
    <t>B403202</t>
  </si>
  <si>
    <t>680002</t>
  </si>
  <si>
    <t>Szolgáltatási díjátalány (nem lakáscélú helyiség)</t>
  </si>
  <si>
    <t>Szolgáltatási díj (nem lakás célú helyiség)</t>
  </si>
  <si>
    <t>49.</t>
  </si>
  <si>
    <t>09/4031</t>
  </si>
  <si>
    <t>B404124</t>
  </si>
  <si>
    <t>B404125</t>
  </si>
  <si>
    <t>B404126</t>
  </si>
  <si>
    <t>Egyéb ingatlanüzemeltetési bevételek</t>
  </si>
  <si>
    <t>B404127</t>
  </si>
  <si>
    <t>B404107</t>
  </si>
  <si>
    <t>09/404139</t>
  </si>
  <si>
    <t>Szolgáltatási díj átalány (bérlakások)(szociális)</t>
  </si>
  <si>
    <t>B404204</t>
  </si>
  <si>
    <t>106010</t>
  </si>
  <si>
    <t>680001</t>
  </si>
  <si>
    <t>Szolg. Díj - szoc.lakás - vízdíj</t>
  </si>
  <si>
    <t>B404205</t>
  </si>
  <si>
    <t>Szolg.díj szociális - csat.díj</t>
  </si>
  <si>
    <t>B404206</t>
  </si>
  <si>
    <t>Szolg.díj szociális -szippantás</t>
  </si>
  <si>
    <t>B404207</t>
  </si>
  <si>
    <t>Szolg.díj szociális.- k.vil.alapdíjas</t>
  </si>
  <si>
    <t>B404208</t>
  </si>
  <si>
    <t>Szolg.díj szociális.- k.vil.alapdíj nélkül</t>
  </si>
  <si>
    <t>B404209</t>
  </si>
  <si>
    <t>Szolg.díj szociális.- tart.kémény</t>
  </si>
  <si>
    <t>B404210</t>
  </si>
  <si>
    <t>Szolg.díj szociális.- műk.kémény</t>
  </si>
  <si>
    <t>B404211</t>
  </si>
  <si>
    <t>Szolg.díj szociális.- szemétsz.díj</t>
  </si>
  <si>
    <t>B404212</t>
  </si>
  <si>
    <t>Közös költség üz.része (egyéb díj)  szoc. lakás</t>
  </si>
  <si>
    <t>B404213</t>
  </si>
  <si>
    <t>Késedelmi kamat lakbér szociális</t>
  </si>
  <si>
    <t>B404214</t>
  </si>
  <si>
    <t>Szolg.díj költségelvű lakás.- vízdíj</t>
  </si>
  <si>
    <t>B404215</t>
  </si>
  <si>
    <t>Szolg.díj költségelvű - csat.díj</t>
  </si>
  <si>
    <t>B404216</t>
  </si>
  <si>
    <t>Szolg.díj költségelvű -szippantás</t>
  </si>
  <si>
    <t>B404217</t>
  </si>
  <si>
    <t>Szolg.díj költségelvű - k.vil.alapdíjas</t>
  </si>
  <si>
    <t>B404218</t>
  </si>
  <si>
    <t>Szolg.díj költségelvű.- k.vil.alapdíj nélkül</t>
  </si>
  <si>
    <t>B404219</t>
  </si>
  <si>
    <t>Szolg.díj költségelvű - tart.kémény</t>
  </si>
  <si>
    <t>B404220</t>
  </si>
  <si>
    <t>Szolg.díj költségelvű - műk.kémény</t>
  </si>
  <si>
    <t>B404221</t>
  </si>
  <si>
    <t>Szolg.díj költségelvű - szemétsz.díj</t>
  </si>
  <si>
    <t>B404222</t>
  </si>
  <si>
    <t>Szolgáltatási díj átalány (költségelvű lakások)</t>
  </si>
  <si>
    <t>B404223</t>
  </si>
  <si>
    <t>Közös költség üzemeltetési része (egyéb díj) Költségelvű lakás</t>
  </si>
  <si>
    <t>B404224</t>
  </si>
  <si>
    <t>B404225</t>
  </si>
  <si>
    <t>Költségelvű bérlakások szolgáltatási díja</t>
  </si>
  <si>
    <t>B404226</t>
  </si>
  <si>
    <t>Lakásfelújítás megtérítése</t>
  </si>
  <si>
    <t>B404227</t>
  </si>
  <si>
    <t>50.</t>
  </si>
  <si>
    <t>Önkormányzati vagyon üzemeltetéséből, kezelésbe adásból származó bevételek</t>
  </si>
  <si>
    <t>09/404131</t>
  </si>
  <si>
    <t>Önkormányzati vagyon vagyonkezelésbe adásából származó bevétel</t>
  </si>
  <si>
    <t>09/404133</t>
  </si>
  <si>
    <t>Lakbér</t>
  </si>
  <si>
    <t>B404201</t>
  </si>
  <si>
    <t>B404202</t>
  </si>
  <si>
    <t>Költségelvű bérlakások bérleti díja</t>
  </si>
  <si>
    <t>B404203</t>
  </si>
  <si>
    <t>Önkormányzati lakások lakbérbevétele</t>
  </si>
  <si>
    <t>Önkormányzati egyéb helyiségek bérbeadása</t>
  </si>
  <si>
    <t>B404301</t>
  </si>
  <si>
    <t>Szolgáltatási díj átalány</t>
  </si>
  <si>
    <t>B404302</t>
  </si>
  <si>
    <t>51./B./1.</t>
  </si>
  <si>
    <t>ebből: „Sashalmi Piac” Ingatlanfejlesztő, Beruházó és Üzemeltető Kft. üzemeltetési díj befizetése</t>
  </si>
  <si>
    <t>B404304</t>
  </si>
  <si>
    <t>09404134</t>
  </si>
  <si>
    <t>ebből: Helyiség bérleti díj bérbeszámítás – Kiadási oldalon is tervezve</t>
  </si>
  <si>
    <t>B404305</t>
  </si>
  <si>
    <t>Mezőgazdasági terület - használati díj</t>
  </si>
  <si>
    <t>B404401</t>
  </si>
  <si>
    <t>B404402</t>
  </si>
  <si>
    <t>közút használati díj</t>
  </si>
  <si>
    <t>B404306</t>
  </si>
  <si>
    <t xml:space="preserve">Egyéb önkormányzati tárgyi eszköz bérbeadásából származó bevételek </t>
  </si>
  <si>
    <t>Egyéb önkormányzati vagyon bérbeadásából származó bevételek</t>
  </si>
  <si>
    <t>51.</t>
  </si>
  <si>
    <t>Önkormányzati vagyon haszonbérbe adásából származó bevétel</t>
  </si>
  <si>
    <t>Önkormányzati lakások cseréjéből származó bevételek</t>
  </si>
  <si>
    <t>09/404136</t>
  </si>
  <si>
    <t>Egyéb önkormányzati tulajdonosi bevételek (MNV-től)</t>
  </si>
  <si>
    <t>B404901</t>
  </si>
  <si>
    <t>Egyéb önkormányzati tulajdonosi bevételek</t>
  </si>
  <si>
    <t>09/404137</t>
  </si>
  <si>
    <t>52.</t>
  </si>
  <si>
    <t>09/40413</t>
  </si>
  <si>
    <t>Önkormányzati többségi tulajdonú vállalkozástól kapott osztalékbevétel</t>
  </si>
  <si>
    <t>09/404141</t>
  </si>
  <si>
    <t>Egyéb önkormányzati osztalékbevétel</t>
  </si>
  <si>
    <t>09/404142</t>
  </si>
  <si>
    <t>Egyéb önkormányzati hozambevétel</t>
  </si>
  <si>
    <t>09/404149</t>
  </si>
  <si>
    <t>Önkormányzati alrendszer osztalékbevételei</t>
  </si>
  <si>
    <t>09/40414</t>
  </si>
  <si>
    <t>elrejt</t>
  </si>
  <si>
    <t>Tulajdonosi bevételek (=52)</t>
  </si>
  <si>
    <t>09/404</t>
  </si>
  <si>
    <t>Kiszámlázott egyenes adózású értékesített termékek, nyújtott szolgáltatások általános forgalmi adója</t>
  </si>
  <si>
    <t>09/40611</t>
  </si>
  <si>
    <t>Kiszámlázott egyenes adózású értékesített tárgyi eszközök, immateriális javak általános forgalmi adója</t>
  </si>
  <si>
    <t>09/40612</t>
  </si>
  <si>
    <t>Kiszámlázott általános forgalmi adó</t>
  </si>
  <si>
    <t>09/4061</t>
  </si>
  <si>
    <t>53.</t>
  </si>
  <si>
    <t>B407101</t>
  </si>
  <si>
    <t>09/4071</t>
  </si>
  <si>
    <t>Államháztartáson belülről kapott kamatbevételek</t>
  </si>
  <si>
    <t>09/40811</t>
  </si>
  <si>
    <t>54/A.</t>
  </si>
  <si>
    <t>Államháztartáson kívüli betétek után kapott kamatbevételek</t>
  </si>
  <si>
    <t>B408201</t>
  </si>
  <si>
    <t>09/408121</t>
  </si>
  <si>
    <t>Államháztartáson kívüli vásárolt hitelviszonyt megtestesítő értékpapírok kamatbevételei, kamatjellegű bevételei</t>
  </si>
  <si>
    <t>B408202</t>
  </si>
  <si>
    <t>09/4082124</t>
  </si>
  <si>
    <t>Elidegenítés kamata</t>
  </si>
  <si>
    <t>B408501</t>
  </si>
  <si>
    <t xml:space="preserve">Államháztartáson kívüli adott kölcsön, visszatérítendő támogatás, egyéb követelés jellegű tételek után kapott kamatbevételek (kivéve késedelmi kamatok) </t>
  </si>
  <si>
    <t>09/408125</t>
  </si>
  <si>
    <t>54/B.</t>
  </si>
  <si>
    <t>Államháztartáson kívüli egyéb kamatbevételek</t>
  </si>
  <si>
    <t>B408901</t>
  </si>
  <si>
    <t>09/408129</t>
  </si>
  <si>
    <t>Államháztartáson kívülről kapott kamatbevételek</t>
  </si>
  <si>
    <t>09/40812</t>
  </si>
  <si>
    <t>54.</t>
  </si>
  <si>
    <t>09/408</t>
  </si>
  <si>
    <t>09/4091</t>
  </si>
  <si>
    <t>Foglalkoztatott, ellátott, hallgató, tanuló kártérítési bevétele</t>
  </si>
  <si>
    <t>B410302</t>
  </si>
  <si>
    <t>09/41111</t>
  </si>
  <si>
    <t>Biztosítók által fizetett kártérítési bevételek</t>
  </si>
  <si>
    <t>09/4101</t>
  </si>
  <si>
    <t>Egyéb kártérítési bevételek</t>
  </si>
  <si>
    <t>B410301</t>
  </si>
  <si>
    <t>09/41112</t>
  </si>
  <si>
    <t>Egyéb bevételek</t>
  </si>
  <si>
    <t>09411199</t>
  </si>
  <si>
    <t>Adók módjára behajtandó köztartozás végrehajtási költség visszatérülése, önrevízió miatti bevételek</t>
  </si>
  <si>
    <t>09/41114</t>
  </si>
  <si>
    <t>Egyéb költség-visszatérítések, utólagos egyéb térítések bevétele</t>
  </si>
  <si>
    <t>09/41115</t>
  </si>
  <si>
    <t>Egyéb különféle működési bevételek</t>
  </si>
  <si>
    <t>09/411119</t>
  </si>
  <si>
    <t>Vagyonhasznosítási Iroda végrehajtási költség és kamat bevételei</t>
  </si>
  <si>
    <t>B410901</t>
  </si>
  <si>
    <t>09/411191</t>
  </si>
  <si>
    <t>Késedelmi kamat, kötbér bánatpénz bevételek</t>
  </si>
  <si>
    <t>B410902</t>
  </si>
  <si>
    <t>Közbeszerzési ajánlati biztosíték, pályázati díjbevételek</t>
  </si>
  <si>
    <t>09/411193</t>
  </si>
  <si>
    <t>Egyéb biztosítékok (kaució) bevételei</t>
  </si>
  <si>
    <t>B410904</t>
  </si>
  <si>
    <t>09/411194</t>
  </si>
  <si>
    <t>09/411199</t>
  </si>
  <si>
    <t>09/41019</t>
  </si>
  <si>
    <t>56.</t>
  </si>
  <si>
    <t>09/4</t>
  </si>
  <si>
    <t>57.</t>
  </si>
  <si>
    <t>Állami többségi tulajdonú  nem pénzügyi vállalkozástól működési célú visszatérítendő támogatás, kölcsön visszatérülése</t>
  </si>
  <si>
    <t>09/62121</t>
  </si>
  <si>
    <t>58.</t>
  </si>
  <si>
    <t>B621201</t>
  </si>
  <si>
    <t>09/64122</t>
  </si>
  <si>
    <t>Egyéb vállalkozástól működési célú visszatérítendő támogatások, kölcsönök visszatérülése</t>
  </si>
  <si>
    <t>09/64123</t>
  </si>
  <si>
    <t>09/6412</t>
  </si>
  <si>
    <t>Háztartásoktól működési célú visszatérítendő támogatások, kölcsönök visszatérülése</t>
  </si>
  <si>
    <t>09/6413</t>
  </si>
  <si>
    <t>Nonprofit szervezettől működési célú visszatérítendő támogatások, kölcsönök visszatérülése</t>
  </si>
  <si>
    <t>09/6414</t>
  </si>
  <si>
    <t>Egyházi jogi személytől működési célú visszatérítendő támogatások, kölcsönök visszatérülése</t>
  </si>
  <si>
    <t>09/6415</t>
  </si>
  <si>
    <t>59.</t>
  </si>
  <si>
    <t>09/641</t>
  </si>
  <si>
    <t>Lehívott bankgarancia</t>
  </si>
  <si>
    <t>B631101</t>
  </si>
  <si>
    <t>0965112</t>
  </si>
  <si>
    <t>Pénzügyi vállalkozástól működési célú átvett pénzeszközök (OTP-től szponzorálás)</t>
  </si>
  <si>
    <t>09/65112</t>
  </si>
  <si>
    <t>Állami többségi tulajdonú  nem pénzügyi vállalkozástól működési célú átvett pénzeszközök</t>
  </si>
  <si>
    <t>B631201</t>
  </si>
  <si>
    <t>09/65121</t>
  </si>
  <si>
    <t>Önkormányzati többségi tulajdonú  nem pénzügyi vállalkozástól működési célú átvett pénzeszközök</t>
  </si>
  <si>
    <t>B631220</t>
  </si>
  <si>
    <t>09/65122</t>
  </si>
  <si>
    <t>60./A.</t>
  </si>
  <si>
    <t>015</t>
  </si>
  <si>
    <t>B631230</t>
  </si>
  <si>
    <t>066010</t>
  </si>
  <si>
    <t>09/651232</t>
  </si>
  <si>
    <t>Egyéb vállalkozástól működési célú átvett pénzeszközök</t>
  </si>
  <si>
    <t>09/65123</t>
  </si>
  <si>
    <t>Egyéb  nem pénzügyi vállalkozástól működési célú átvett pénzeszközök</t>
  </si>
  <si>
    <t>B631240</t>
  </si>
  <si>
    <t>09/6512</t>
  </si>
  <si>
    <t>Háztartásoktól működési célú átvett pénzeszközök</t>
  </si>
  <si>
    <t>B631301</t>
  </si>
  <si>
    <t>09/6513</t>
  </si>
  <si>
    <t>B631401</t>
  </si>
  <si>
    <t>082092</t>
  </si>
  <si>
    <t>09/6514</t>
  </si>
  <si>
    <t>B631501</t>
  </si>
  <si>
    <t>09/6515</t>
  </si>
  <si>
    <t>B631601</t>
  </si>
  <si>
    <t>09/6516</t>
  </si>
  <si>
    <t>Kormányoktól és nemzetközi szervezetektől működési célú átvett pénzeszközök</t>
  </si>
  <si>
    <t>B631701</t>
  </si>
  <si>
    <t>09/6517</t>
  </si>
  <si>
    <t>Egyéb külföldiektől működési célú átvett pénzeszközök</t>
  </si>
  <si>
    <t>B631801</t>
  </si>
  <si>
    <t>09/6518</t>
  </si>
  <si>
    <t>60.</t>
  </si>
  <si>
    <t>09/651</t>
  </si>
  <si>
    <t>61.</t>
  </si>
  <si>
    <t>09/6</t>
  </si>
  <si>
    <t>62.</t>
  </si>
  <si>
    <t>B211101</t>
  </si>
  <si>
    <t>09/2111</t>
  </si>
  <si>
    <t>Közművelődési érdekeltségnövelő támogatás (Corvin Művelődési Ház)</t>
  </si>
  <si>
    <t>B211102</t>
  </si>
  <si>
    <t>Lakossági közműtámogatás</t>
  </si>
  <si>
    <t>63.</t>
  </si>
  <si>
    <t>Felhalmozási célú központosított támogatások</t>
  </si>
  <si>
    <t>09/211</t>
  </si>
  <si>
    <t>Fővárosi Önkormányzat által kiírt TÉR_KÖZ pályázat: Szilas-patak kerékpáros közösségi park - közösségi zöldterület rehabilitációja"</t>
  </si>
  <si>
    <t>014</t>
  </si>
  <si>
    <t>B211901</t>
  </si>
  <si>
    <t>813000</t>
  </si>
  <si>
    <t>09/251322</t>
  </si>
  <si>
    <t>64.</t>
  </si>
  <si>
    <t>65.</t>
  </si>
  <si>
    <t>Fővárosi Önkormányzat által kiírt Városrehabilitációs pályázat: XVI. kerületi napközis tábor felújítása"</t>
  </si>
  <si>
    <t>B211902</t>
  </si>
  <si>
    <t>Egyéb felhalmozási célú támogatás (=64.)</t>
  </si>
  <si>
    <t>09/2119</t>
  </si>
  <si>
    <t>66.</t>
  </si>
  <si>
    <t>Felhalmozási célú visszatérítendő támogatások, kölcsönök visszatérülése államháztartáson belülről</t>
  </si>
  <si>
    <t>09/231</t>
  </si>
  <si>
    <t>Felhalmozási célú visszatérítendő támogatások, kölcsönök igénybevétele államháztartáson belülről</t>
  </si>
  <si>
    <t>09/241</t>
  </si>
  <si>
    <t>Központi költségvetési szervtől felhalmozási célú támogatások bevételei</t>
  </si>
  <si>
    <t>09/2511</t>
  </si>
  <si>
    <t>67./A</t>
  </si>
  <si>
    <t>014
017</t>
  </si>
  <si>
    <t>B211903</t>
  </si>
  <si>
    <t>017</t>
  </si>
  <si>
    <t>09/25122</t>
  </si>
  <si>
    <t>Önkormányzati étkeztetési fejlesztések támogatása (2017. évi C. törvény) – Centi Bölcsi konyha felújítás</t>
  </si>
  <si>
    <t>B211905</t>
  </si>
  <si>
    <t>062020</t>
  </si>
  <si>
    <t>67./C</t>
  </si>
  <si>
    <t>Bölcsőde fejlesztési program - Árpádföldi „Napsugár” Bölcsőde</t>
  </si>
  <si>
    <t>B211906</t>
  </si>
  <si>
    <t>67./D.</t>
  </si>
  <si>
    <t>2019. évi költségvetési törvény - XI. fejezet:  MINISZTERELNÖKSÉG, 30 cím:  Fejezeti kezelésű előirányzatok, 30 jogcímcsoport Egyházi célú központi költségvetési hozzájárulások, 15 jogcím: Reformáció Park kialakítása II. ütem</t>
  </si>
  <si>
    <t>B251306</t>
  </si>
  <si>
    <t>084040</t>
  </si>
  <si>
    <t>09/25123</t>
  </si>
  <si>
    <t>67.</t>
  </si>
  <si>
    <t>09/2512</t>
  </si>
  <si>
    <t>B251303</t>
  </si>
  <si>
    <t>045110</t>
  </si>
  <si>
    <t>09/25131</t>
  </si>
  <si>
    <t>076090</t>
  </si>
  <si>
    <t>09/25132</t>
  </si>
  <si>
    <t>B251307</t>
  </si>
  <si>
    <t>B251305</t>
  </si>
  <si>
    <t>025010</t>
  </si>
  <si>
    <t>68.</t>
  </si>
  <si>
    <t>09/2513</t>
  </si>
  <si>
    <t>09/251</t>
  </si>
  <si>
    <t>69.</t>
  </si>
  <si>
    <t>09/2</t>
  </si>
  <si>
    <t>70.</t>
  </si>
  <si>
    <t>09/511</t>
  </si>
  <si>
    <t>71.</t>
  </si>
  <si>
    <t>Lakótelkek értékesítése</t>
  </si>
  <si>
    <t>B521101</t>
  </si>
  <si>
    <t>72.</t>
  </si>
  <si>
    <t>Egyéb célú telkek értékesítése - csereügyletek</t>
  </si>
  <si>
    <t>B521102</t>
  </si>
  <si>
    <t>73.</t>
  </si>
  <si>
    <t>09/5212</t>
  </si>
  <si>
    <t>74.</t>
  </si>
  <si>
    <t>Lakóépület (lakás) értékesítése</t>
  </si>
  <si>
    <t>B521301</t>
  </si>
  <si>
    <t>09/52131</t>
  </si>
  <si>
    <t>75.</t>
  </si>
  <si>
    <t>Egyéb épületek értékesítése - Nem lakáscélú helyiségek</t>
  </si>
  <si>
    <t>B521302</t>
  </si>
  <si>
    <t>09/52133</t>
  </si>
  <si>
    <t>76.</t>
  </si>
  <si>
    <t>09/5213</t>
  </si>
  <si>
    <t>77.</t>
  </si>
  <si>
    <t>Egyéb építmények értékesítése</t>
  </si>
  <si>
    <t>09/5214</t>
  </si>
  <si>
    <t>78.</t>
  </si>
  <si>
    <t>09/521</t>
  </si>
  <si>
    <t>79.</t>
  </si>
  <si>
    <t>Informatikai eszközök értékesítése</t>
  </si>
  <si>
    <t>09/5311</t>
  </si>
  <si>
    <t>80.</t>
  </si>
  <si>
    <t>Egyéb gép, berendezés és felszerelés értékesítése</t>
  </si>
  <si>
    <t>B531201</t>
  </si>
  <si>
    <t>09/5312</t>
  </si>
  <si>
    <t>81.</t>
  </si>
  <si>
    <t>B531202</t>
  </si>
  <si>
    <t>09/5313</t>
  </si>
  <si>
    <t>82.</t>
  </si>
  <si>
    <t>09/531</t>
  </si>
  <si>
    <t>83.</t>
  </si>
  <si>
    <t>B404403</t>
  </si>
  <si>
    <t>09/541</t>
  </si>
  <si>
    <t>84.</t>
  </si>
  <si>
    <t>09/5</t>
  </si>
  <si>
    <t>85.</t>
  </si>
  <si>
    <t>Állami többségi tulajdonú  nem pénzügyi vállalkozástól felhalmozási célú visszatérítendő támogatás, kölcsön visszatérülése</t>
  </si>
  <si>
    <t>09/74121</t>
  </si>
  <si>
    <t>Önkormányzati többségi tulajdonú  nem pénzügyi vállalkozástól felhalmozási célú visszatérítendő támogatások, kölcsönök visszatérülése</t>
  </si>
  <si>
    <t>09/74122</t>
  </si>
  <si>
    <t>Egyéb vállalkozástól felhalmozási célú visszatérítendő támogatások, kölcsönök visszatérülése</t>
  </si>
  <si>
    <t>09/74123</t>
  </si>
  <si>
    <t>Egyéb  nem pénzügyi vállalkozástól felhalmozási célú visszatérítendő támogatások, kölcsönök visszatérülése</t>
  </si>
  <si>
    <t>09/7412</t>
  </si>
  <si>
    <t>Helyi támogatás visszafizetése</t>
  </si>
  <si>
    <t>B721301</t>
  </si>
  <si>
    <t>061030</t>
  </si>
  <si>
    <t>09/7413</t>
  </si>
  <si>
    <t>B721302</t>
  </si>
  <si>
    <t>Egyéb lakástámogatás - Munkáltatói kölcsön visszafizetése</t>
  </si>
  <si>
    <t>B721303</t>
  </si>
  <si>
    <t>86.</t>
  </si>
  <si>
    <t>Háztartásoktól felhalmozási célú visszatérítendő támogatások, kölcsönök visszatérülése</t>
  </si>
  <si>
    <t>Nonprofit szervezettől felhalmozási célú visszatérítendő támogatások, kölcsönök visszatérülése</t>
  </si>
  <si>
    <t>09/7414</t>
  </si>
  <si>
    <t>Egyházi jogi személytől felhalmozási célú visszatérítendő támogatások, kölcsönök visszatérülése</t>
  </si>
  <si>
    <t>09/7415</t>
  </si>
  <si>
    <t>87.</t>
  </si>
  <si>
    <t>09/741</t>
  </si>
  <si>
    <t>Pénzügyi vállalkozástól felhalmozási célú átvett pénzeszközök</t>
  </si>
  <si>
    <t>B751110</t>
  </si>
  <si>
    <t>09/7511</t>
  </si>
  <si>
    <t>Állami többségi tulajdonú  nem pénzügyi vállalkozástól felhalmozási célú átvett pénzeszközök</t>
  </si>
  <si>
    <t>B731201</t>
  </si>
  <si>
    <t>081030</t>
  </si>
  <si>
    <t>09/75121</t>
  </si>
  <si>
    <t>B731202</t>
  </si>
  <si>
    <t>066020</t>
  </si>
  <si>
    <t>09/75122</t>
  </si>
  <si>
    <t>B731203</t>
  </si>
  <si>
    <t>09/75123</t>
  </si>
  <si>
    <t>Egyéb  nem pénzügyi vállalkozástól felhalmozási célú átvett pénzeszközök</t>
  </si>
  <si>
    <t>09/7512</t>
  </si>
  <si>
    <t>Önerős útépítés lakossági önrész</t>
  </si>
  <si>
    <t>B731301</t>
  </si>
  <si>
    <t>045120</t>
  </si>
  <si>
    <t>09/75132</t>
  </si>
  <si>
    <t>Önerős csatorna részletfizetés</t>
  </si>
  <si>
    <t>B731302</t>
  </si>
  <si>
    <t>052080</t>
  </si>
  <si>
    <t>Szennyvízcsatorna építés utólagos rákötés kötelezés bevétele</t>
  </si>
  <si>
    <t>B731303</t>
  </si>
  <si>
    <t>B731304</t>
  </si>
  <si>
    <t>Új sor 2019.10.22</t>
  </si>
  <si>
    <t>Csobogó utcai vízbekötésre érkező lakossági hozzájárulás</t>
  </si>
  <si>
    <t>B731306</t>
  </si>
  <si>
    <t>063080</t>
  </si>
  <si>
    <t>B731305</t>
  </si>
  <si>
    <t>Háztartásoktól felhalmozási célú átvett pénzeszközök</t>
  </si>
  <si>
    <t>09/7513</t>
  </si>
  <si>
    <t>Nonprofit szervezettől felhalmozási célú átvett pénzeszközök</t>
  </si>
  <si>
    <t>B751410</t>
  </si>
  <si>
    <t>09/75143</t>
  </si>
  <si>
    <t>Egyházi jogi személytől felhalmozási célú átvett pénzeszközök</t>
  </si>
  <si>
    <t>09/75515</t>
  </si>
  <si>
    <t>09/75516</t>
  </si>
  <si>
    <t>Kormányoktól és nemzetközi szervezetektől átvett felhalmozási célú átvett pénzeszközök</t>
  </si>
  <si>
    <t>09/75517</t>
  </si>
  <si>
    <t>Egyéb külföldiektől felhalmozási célú átvett pénzeszközök</t>
  </si>
  <si>
    <t>09/75518</t>
  </si>
  <si>
    <t>89.</t>
  </si>
  <si>
    <t>09/75</t>
  </si>
  <si>
    <t>90.</t>
  </si>
  <si>
    <t>09/7</t>
  </si>
  <si>
    <t>91.</t>
  </si>
  <si>
    <t>92.</t>
  </si>
  <si>
    <t>Finanszírozási bevételek - Befektetési célú belföldi értékpapírok beváltása, értékesítése</t>
  </si>
  <si>
    <t>B817101</t>
  </si>
  <si>
    <t>09/8171</t>
  </si>
  <si>
    <t>93.</t>
  </si>
  <si>
    <t>B812401</t>
  </si>
  <si>
    <t>09/812114</t>
  </si>
  <si>
    <t>94.</t>
  </si>
  <si>
    <t>Finanszírozási bevételek - Maradvány felhasználás, betétek megszüntetése</t>
  </si>
  <si>
    <t>B813101</t>
  </si>
  <si>
    <t>09/81311</t>
  </si>
  <si>
    <t>Ellenőrzés:</t>
  </si>
  <si>
    <t>Felhalmozási bevételek:</t>
  </si>
  <si>
    <t>Finanszírozási bevételek - Nem része a rendeletnek</t>
  </si>
  <si>
    <t>Előirányzat megnevezése</t>
  </si>
  <si>
    <t>COFOG kód (kormányzati funkció)</t>
  </si>
  <si>
    <t>Pénzügyi vállalkozástól származó fejlesztési célú hosszú lejáratú hitelek, kölcsönök felvételének bevétele</t>
  </si>
  <si>
    <t>09/81111</t>
  </si>
  <si>
    <t>Pénzügyi vállalkozástól származó működési célú hosszú lejáratú hitelek, kölcsönök felvételének bevétele</t>
  </si>
  <si>
    <t>09/81112</t>
  </si>
  <si>
    <t>09/8111</t>
  </si>
  <si>
    <t>Likviditási, felhalmozási célú hitelek, kölcsönök felvétele pénzügyi vállalkozástól</t>
  </si>
  <si>
    <t>09/811211</t>
  </si>
  <si>
    <t>Likviditási, működési célú hitelek, kölcsönök felvétele pénzügyi vállalkozástól</t>
  </si>
  <si>
    <t>09/811212</t>
  </si>
  <si>
    <t>Likviditási célú hitelek, kölcsönök felvétele pénzügyi vállalkozástól</t>
  </si>
  <si>
    <t>09/81121</t>
  </si>
  <si>
    <t>Pénzügyi vállalkozástól származó fejlesztési célú rövid lejáratú hitelek, kölcsönök felvétele</t>
  </si>
  <si>
    <t>09/811311</t>
  </si>
  <si>
    <t>Pénzügyi vállalkozástól származó működési célú rövid lejáratú hitelek, kölcsönök felvétele</t>
  </si>
  <si>
    <t>09/811312</t>
  </si>
  <si>
    <t>09/81131</t>
  </si>
  <si>
    <t>Hitel-, kölcsönfelvétel államháztartáson kívülről</t>
  </si>
  <si>
    <t>09/811</t>
  </si>
  <si>
    <t>Forgatási célú belföldi nem tartós részesedés beváltása, értékesítése</t>
  </si>
  <si>
    <t>09/812111</t>
  </si>
  <si>
    <t>Forgatási célú belföldi kárpótlási jegyek beváltása, értékesítése</t>
  </si>
  <si>
    <t>09/812112</t>
  </si>
  <si>
    <t>Forgatási célú belföldi kincstárjegyek beváltása, értékesítése</t>
  </si>
  <si>
    <t>09/812113</t>
  </si>
  <si>
    <t>Forgatási célú belföldi államkötvények beváltása, értékesítése</t>
  </si>
  <si>
    <t>Forgatási célú belföldi önkormányzati kötvények beváltása, értékesítése</t>
  </si>
  <si>
    <t>09/812115</t>
  </si>
  <si>
    <t>Forgatási célú belföldi egyéb forgatási célú hitelviszonyt megtestesítő értékpapírok beváltása, értékesítése</t>
  </si>
  <si>
    <t>09/812117</t>
  </si>
  <si>
    <t>Forgatási célú belföldi értékpapírok beváltása, értékesítése</t>
  </si>
  <si>
    <t>09/81211</t>
  </si>
  <si>
    <t>Forgatási célú, felhalmozási belföldi kötvénykibocsátás miatti bevételek</t>
  </si>
  <si>
    <t>09/812211</t>
  </si>
  <si>
    <t>Forgatási célú, működési belföldi kötvénykibocsátás miatti bevételek</t>
  </si>
  <si>
    <t>09/812212</t>
  </si>
  <si>
    <t>09/81221</t>
  </si>
  <si>
    <t>Befektetési célú belöldi kárpótlási jegyek beváltása, értékesítése</t>
  </si>
  <si>
    <t>09/812313</t>
  </si>
  <si>
    <t>Befektetési célú belöldi egyéb hitelviszonyt megtestesítő értékpapírok beváltása, értékesítése</t>
  </si>
  <si>
    <t>09/812315</t>
  </si>
  <si>
    <t>Befektetési célú belföldi értékpapírok beváltása, értékesítése</t>
  </si>
  <si>
    <t>09/81231</t>
  </si>
  <si>
    <t>Befektetési célú  belföldi felhalmozási kötvénykibocsátás miatti bevételek</t>
  </si>
  <si>
    <t>09/812411</t>
  </si>
  <si>
    <t>Befektetési célú  belföldi működési kötvénykibocsátás miatti bevételek</t>
  </si>
  <si>
    <t>09/812412</t>
  </si>
  <si>
    <t>09/81241</t>
  </si>
  <si>
    <t>Belföldi értékpapítok bevételei</t>
  </si>
  <si>
    <t>09/812</t>
  </si>
  <si>
    <t xml:space="preserve">Előző év költségvetési maradványának igénybevétele - működési </t>
  </si>
  <si>
    <t>B813100</t>
  </si>
  <si>
    <t>018030</t>
  </si>
  <si>
    <t>Előző év költségvetési maradványának igénybevétele - felhalmozási</t>
  </si>
  <si>
    <t>Maradvány igénybevétele</t>
  </si>
  <si>
    <t>09/813</t>
  </si>
  <si>
    <t xml:space="preserve">Államháztartáson belüli megelőlegezések </t>
  </si>
  <si>
    <t>09/8141</t>
  </si>
  <si>
    <t>09/8151</t>
  </si>
  <si>
    <t>Központi, irányítószervi felhalmozási célú támogatás</t>
  </si>
  <si>
    <t>09/81611</t>
  </si>
  <si>
    <t>Központi, irányítószervi működési célú támogatás</t>
  </si>
  <si>
    <t>09/81612</t>
  </si>
  <si>
    <t>Központi, irányítószervi támogatás zárolt előirányzata</t>
  </si>
  <si>
    <t>09/81619</t>
  </si>
  <si>
    <t>Központi, irányítószervi támogatás folyósítása</t>
  </si>
  <si>
    <t>09/8161</t>
  </si>
  <si>
    <t>Belföldi finanszírozás bevételei</t>
  </si>
  <si>
    <t>09/81</t>
  </si>
  <si>
    <t>09/82</t>
  </si>
  <si>
    <t>Finanszírozási bevételek</t>
  </si>
  <si>
    <t>09/8</t>
  </si>
  <si>
    <t>Költségvetési szerv megnevezése</t>
  </si>
  <si>
    <t xml:space="preserve">Működési bevételek </t>
  </si>
  <si>
    <t xml:space="preserve">Működési célú támogatások  államháztartáson belülről       </t>
  </si>
  <si>
    <t xml:space="preserve">Felhalmozási célú átvett pénzeszközök </t>
  </si>
  <si>
    <t>Változtató mindösszesen</t>
  </si>
  <si>
    <t>Változtató és nem változtató mindösszesen</t>
  </si>
  <si>
    <t>Budapest Főváros XVI. kerületi Önkormányzat Gazdasági, Működtető - Ellátó Szervezet (GAMESZ)</t>
  </si>
  <si>
    <t>Költségvetési szervek mindösszesen</t>
  </si>
  <si>
    <t>Intézményi nem változtató összesen</t>
  </si>
  <si>
    <t>Megjegyzés</t>
  </si>
  <si>
    <t>I. változás</t>
  </si>
  <si>
    <t>IV. változás</t>
  </si>
  <si>
    <t>Eredeti</t>
  </si>
  <si>
    <t>I.</t>
  </si>
  <si>
    <t>II.</t>
  </si>
  <si>
    <t>III.</t>
  </si>
  <si>
    <t>IV.</t>
  </si>
  <si>
    <t>Működési bevételek (1.1.+…+1.11.)</t>
  </si>
  <si>
    <t>Kamatbevételek</t>
  </si>
  <si>
    <t>Felhalmozási bevételek (2.1.+2.2.)</t>
  </si>
  <si>
    <t>Működési célú támogatások  államháztartáson belülről        (3.1.+3.2.)</t>
  </si>
  <si>
    <t xml:space="preserve"> - ebből EU támogatás</t>
  </si>
  <si>
    <t>Felhalmozási célú átvett pénzeszközök</t>
  </si>
  <si>
    <t>Költségvetési bevételek összesen (1.+…+7.)</t>
  </si>
  <si>
    <t>VI. Finanszírozási bevételek (9.1.+9.2.+9.3.)</t>
  </si>
  <si>
    <t>9.1.</t>
  </si>
  <si>
    <t>Költségvetési maradvány igénybevétele</t>
  </si>
  <si>
    <t>9.2.</t>
  </si>
  <si>
    <t>Vállalkozási maradvány igénybevétele</t>
  </si>
  <si>
    <t>9.3.</t>
  </si>
  <si>
    <t>Irányító szervi (önkormányzati) támogatás (intézményfinanszírozás)</t>
  </si>
  <si>
    <t>BEVÉTELEK ÖSSZESEN: (8+9)</t>
  </si>
  <si>
    <t>Működési költségvetés kiadásai (1.1.+…+1.5.)</t>
  </si>
  <si>
    <t>Felhalmozási költségvetés kiadásai (2.1.+…+2.3.)</t>
  </si>
  <si>
    <t>Egyéb felhalmozási célú kiadások</t>
  </si>
  <si>
    <t xml:space="preserve"> - ebből EU-s forrásból tám. megvalósuló programok, projektek kiadásai</t>
  </si>
  <si>
    <t>KIADÁSOK ÖSSZESEN: (1.+2.)</t>
  </si>
  <si>
    <t>Közfoglalkoztatottak létszáma (fő)</t>
  </si>
  <si>
    <t>A költségvetési szerv fenntartásához kapott állami támogatás:</t>
  </si>
  <si>
    <t>Össz kiadás</t>
  </si>
  <si>
    <t>-a a finanszírozás.</t>
  </si>
  <si>
    <t>ELLENŐRZÉSEK:</t>
  </si>
  <si>
    <t>Jó, ha az eredmények nullák!!!</t>
  </si>
  <si>
    <t>Bevétel és kiadás egyezősége</t>
  </si>
  <si>
    <t>Önként vállalt, kötelező és áll.ig.feladtaok egyezősége főösszeggel - BEVÉTELI OLDAL</t>
  </si>
  <si>
    <t>Önként vállalt, kötelező és áll.ig.feladtaok egyezősége főösszeggel - KADÁSI OLDAL</t>
  </si>
  <si>
    <t>Finanszírozási bevételek (9.1.+9.2.+9.3.)</t>
  </si>
  <si>
    <t>ssz</t>
  </si>
  <si>
    <t>I. módosítás</t>
  </si>
  <si>
    <t>II. módosítás</t>
  </si>
  <si>
    <t>III. módosítás</t>
  </si>
  <si>
    <t>Esküvőszervezés bevételei</t>
  </si>
  <si>
    <t>B410402</t>
  </si>
  <si>
    <t>086020</t>
  </si>
  <si>
    <t>960900</t>
  </si>
  <si>
    <t>Egyéb sajátos működési bevétel</t>
  </si>
  <si>
    <t>B410401</t>
  </si>
  <si>
    <t>999000/ 841126</t>
  </si>
  <si>
    <t>Működési célú ÁFA bevételek, visszatérülések</t>
  </si>
  <si>
    <t>B408101</t>
  </si>
  <si>
    <t xml:space="preserve">házasságkötés </t>
  </si>
  <si>
    <t>Alkalm.kártérítése, egyéb térítése</t>
  </si>
  <si>
    <t>Továbbszámlázott díjak (telefon, egyéb)</t>
  </si>
  <si>
    <t>egyéb - bérleti díj</t>
  </si>
  <si>
    <t>Alaptevékenység bevételei</t>
  </si>
  <si>
    <t>B363101</t>
  </si>
  <si>
    <t>B161610</t>
  </si>
  <si>
    <t>09/16162</t>
  </si>
  <si>
    <t>Gép, berendezés, felszerelés - járműértékesítés</t>
  </si>
  <si>
    <t>09/53211-13</t>
  </si>
  <si>
    <t>Intézményfinanszírozás - Kötelező feladatokra</t>
  </si>
  <si>
    <t>B161601</t>
  </si>
  <si>
    <t>Intézményfinanszírozás - Államigazg. Felad.</t>
  </si>
  <si>
    <t>Budapest XVI. kerületi Polgármesteri Hivatal személyi juttatások és munkaadókat terhelő járulékok és szociális hozzájárulási adó</t>
  </si>
  <si>
    <r>
      <rPr>
        <sz val="14"/>
        <color indexed="8"/>
        <rFont val="Times New Roman"/>
        <family val="1"/>
        <charset val="238"/>
      </rPr>
      <t xml:space="preserve">Előirányzat megnevezése                                                                                             </t>
    </r>
    <r>
      <rPr>
        <sz val="10"/>
        <color indexed="8"/>
        <rFont val="Times New Roman"/>
        <family val="1"/>
        <charset val="238"/>
      </rPr>
      <t>(Rovatrend szerint)</t>
    </r>
  </si>
  <si>
    <t>COFOG</t>
  </si>
  <si>
    <t>SZEMÉLYI JUTTATÁSOK</t>
  </si>
  <si>
    <t>K110001</t>
  </si>
  <si>
    <t>05/110111</t>
  </si>
  <si>
    <t>Illetménykiegészítések</t>
  </si>
  <si>
    <t>05/110112</t>
  </si>
  <si>
    <t>Nyelvpótlék</t>
  </si>
  <si>
    <t>05/110113</t>
  </si>
  <si>
    <t>Egyéb kötelező pótlékok</t>
  </si>
  <si>
    <t>05/110115</t>
  </si>
  <si>
    <t>05/110116</t>
  </si>
  <si>
    <t>Egyéb juttatás</t>
  </si>
  <si>
    <t>05/110119</t>
  </si>
  <si>
    <t>05/1101</t>
  </si>
  <si>
    <t>Normatív jutalom</t>
  </si>
  <si>
    <t>05/11021</t>
  </si>
  <si>
    <t>K110011</t>
  </si>
  <si>
    <t>016010</t>
  </si>
  <si>
    <t>05/11031</t>
  </si>
  <si>
    <t>K110012</t>
  </si>
  <si>
    <t>K110021</t>
  </si>
  <si>
    <t>K110022</t>
  </si>
  <si>
    <t>K110031</t>
  </si>
  <si>
    <t>K110032</t>
  </si>
  <si>
    <t>K110041</t>
  </si>
  <si>
    <t>K110042</t>
  </si>
  <si>
    <t>Céljuttatás, projektprémium</t>
  </si>
  <si>
    <t>05/110411</t>
  </si>
  <si>
    <t>Túlóra, rendkívüli munkavégzés</t>
  </si>
  <si>
    <t>05/110412</t>
  </si>
  <si>
    <t>Végkielégítés</t>
  </si>
  <si>
    <t>05/11051</t>
  </si>
  <si>
    <t>05/11061</t>
  </si>
  <si>
    <t>Béren kívüli juttatások</t>
  </si>
  <si>
    <t>05/11071</t>
  </si>
  <si>
    <t>05/11081</t>
  </si>
  <si>
    <t>Közlekedési költségtérítés</t>
  </si>
  <si>
    <t>05/11091</t>
  </si>
  <si>
    <t>05/11101</t>
  </si>
  <si>
    <t>Albérleti díj hozzájárulás</t>
  </si>
  <si>
    <t>05/111111</t>
  </si>
  <si>
    <t>Családalapítási támogatás</t>
  </si>
  <si>
    <t>05/111112</t>
  </si>
  <si>
    <t>05/11111</t>
  </si>
  <si>
    <t>05/11121</t>
  </si>
  <si>
    <t>29.</t>
  </si>
  <si>
    <t>Belföldi napidíj</t>
  </si>
  <si>
    <t>05/111311</t>
  </si>
  <si>
    <t>Külföldi napidíj</t>
  </si>
  <si>
    <t>05/111312</t>
  </si>
  <si>
    <t>Biztosítási díjak</t>
  </si>
  <si>
    <t>05/111313</t>
  </si>
  <si>
    <t>Folyószámla vezetési hozzájárulás</t>
  </si>
  <si>
    <t>05/111315</t>
  </si>
  <si>
    <t>05/111319</t>
  </si>
  <si>
    <t>34.</t>
  </si>
  <si>
    <t>05/11131</t>
  </si>
  <si>
    <t>Állományba nem tartozók megbízási díja</t>
  </si>
  <si>
    <t>05/12211</t>
  </si>
  <si>
    <t>K110013</t>
  </si>
  <si>
    <t>K110014</t>
  </si>
  <si>
    <t>K110051</t>
  </si>
  <si>
    <t>016020</t>
  </si>
  <si>
    <t>05/12211-12</t>
  </si>
  <si>
    <t>K110052</t>
  </si>
  <si>
    <t>0512211-12</t>
  </si>
  <si>
    <t>05/1221</t>
  </si>
  <si>
    <t>További munkaviszonyt létesítők juttatásai</t>
  </si>
  <si>
    <t>05/1231</t>
  </si>
  <si>
    <t>Felmentett munkavállalók egyéb juttatásai</t>
  </si>
  <si>
    <t>05/12318</t>
  </si>
  <si>
    <t>55.</t>
  </si>
  <si>
    <t>Ebből: Országos népszavazás normatív részéből finanszírozott</t>
  </si>
  <si>
    <t>Ebből: Országos népszavazás saját részéből finanszírozott</t>
  </si>
  <si>
    <t>05/12</t>
  </si>
  <si>
    <t>05/1</t>
  </si>
  <si>
    <t>MUNKAADÓKAT TERHELŐ JÁRULÉKOK ÉS SZOCIÁLIS HOZZÁJÁRULÁSI ADÓ</t>
  </si>
  <si>
    <t>05/211</t>
  </si>
  <si>
    <t>Szociális hozzájárulási adó: Országos népszavazás normatív rész után fizetendő</t>
  </si>
  <si>
    <t>Szociális hozzájárulási adó: Országos népszavazás saját rész után fizetendő</t>
  </si>
  <si>
    <t>Egyszerűsített közteherviselési hozzájárulás (EKHO)</t>
  </si>
  <si>
    <t>05/212</t>
  </si>
  <si>
    <t>05/213</t>
  </si>
  <si>
    <t>Egészségügyi hozzájárulás: Országos népszavazás normatív rész után fizetendő</t>
  </si>
  <si>
    <t>Egészségügyi hozzájárulás:  Országos népszavazás saját rész után fizetendő</t>
  </si>
  <si>
    <t>Egészségügyi hozzájárulás:    Országgyűlési képviselői választás normatív rész után fizetendő</t>
  </si>
  <si>
    <t>Egészségügyi hozzájárulás:    Országgyűlési képviselői választás  saját rész után fizetendő</t>
  </si>
  <si>
    <t>Egészségügyi hozzájárulás: Időközi helyi önkormányzati képviselő választás</t>
  </si>
  <si>
    <t>Táppénz hozzájárulás</t>
  </si>
  <si>
    <t>05/214</t>
  </si>
  <si>
    <t>Korkedvezmény-biztosítási járulék</t>
  </si>
  <si>
    <t>05/215</t>
  </si>
  <si>
    <t>Rehabilitációs hozzájárulás</t>
  </si>
  <si>
    <t>05/216</t>
  </si>
  <si>
    <t>05/217</t>
  </si>
  <si>
    <t>Munkáltatót terhelő személyi jövedelemadó: Országos népszavazás normatív rész után fizetendő</t>
  </si>
  <si>
    <t>Munkáltatót terhelő személyi jövedelemadó: Országos népszavazás saját rész után fizetendő</t>
  </si>
  <si>
    <t>Egyéb munkaadókat terhelő járulékok</t>
  </si>
  <si>
    <t>05/219</t>
  </si>
  <si>
    <t>Munkahelyvédelmi akciótervvel összefüggő kiadási kötelezettség</t>
  </si>
  <si>
    <t>05/2</t>
  </si>
  <si>
    <t>Budapest XVI. kerületi Polgármesteri Hivatal dologi kiadások</t>
  </si>
  <si>
    <t>DOLOGI KIADÁSOK</t>
  </si>
  <si>
    <t>Gyógyszerbeszerzés</t>
  </si>
  <si>
    <t>05/31111</t>
  </si>
  <si>
    <t>Vegyszerbeszerzés</t>
  </si>
  <si>
    <t>05/31112</t>
  </si>
  <si>
    <t xml:space="preserve">Könyv beszerzése </t>
  </si>
  <si>
    <t>05/31113</t>
  </si>
  <si>
    <t>Folyóirat beszerzése</t>
  </si>
  <si>
    <t>05/31114</t>
  </si>
  <si>
    <t>Egyéb információhordozó-beszerzése</t>
  </si>
  <si>
    <t>05/31115</t>
  </si>
  <si>
    <t>05/31119</t>
  </si>
  <si>
    <t>Szakmai anyagok beszerzése (2.+…+7.)</t>
  </si>
  <si>
    <t>05/3111</t>
  </si>
  <si>
    <t>Élelmiszer-beszerzés</t>
  </si>
  <si>
    <t>05/31211</t>
  </si>
  <si>
    <t>Irodaszer-, nyomtatványbeszerzés, sokszorosításhoz kapcsolódó anyagbeszerzés</t>
  </si>
  <si>
    <t>05/31212</t>
  </si>
  <si>
    <t>Tüzelőanyag-beszerzés</t>
  </si>
  <si>
    <t>05/31213</t>
  </si>
  <si>
    <t>Hajtó- és kenőanyag-beszerzés</t>
  </si>
  <si>
    <t>05/31214</t>
  </si>
  <si>
    <t>Munkaruha, védőruha, formaruha, egyenruha beszerzés</t>
  </si>
  <si>
    <t>05/31215</t>
  </si>
  <si>
    <t>Egyéb üzemeltetési, fenntartási anyagbeszerzés</t>
  </si>
  <si>
    <t>05/31219</t>
  </si>
  <si>
    <t>Üzemeltetési anyagok beszerzése (9.+…+14.)</t>
  </si>
  <si>
    <t>05/3121</t>
  </si>
  <si>
    <t>Árubeszerzés</t>
  </si>
  <si>
    <t>05/31311</t>
  </si>
  <si>
    <t>Göngyöleg beszerzés</t>
  </si>
  <si>
    <t>05/31312</t>
  </si>
  <si>
    <t>Árubeszerzés (16.+17.)</t>
  </si>
  <si>
    <t>05/3131</t>
  </si>
  <si>
    <t>Készletbeszerzés (8.+15.+18.)</t>
  </si>
  <si>
    <t>05/31</t>
  </si>
  <si>
    <t>Számítógépek, számítógépes rendszerek tervezési, tanácsadási, üzembehelyezési szolgáltatásai</t>
  </si>
  <si>
    <t>05/32111</t>
  </si>
  <si>
    <t>Számítástechnikai szoftverekhez, adatbázisokhoz kapcsolódó informatikai szolgáltatások</t>
  </si>
  <si>
    <t>05/32112</t>
  </si>
  <si>
    <t>Informatikai eszközök, szolgáltatások bérlete, lízingelése</t>
  </si>
  <si>
    <t>05/32113</t>
  </si>
  <si>
    <t>05/32114</t>
  </si>
  <si>
    <t>Adatátviteli célú távközlési díjak</t>
  </si>
  <si>
    <t>05/32115</t>
  </si>
  <si>
    <t>Egyéb különféle informatikai szolgáltatások</t>
  </si>
  <si>
    <t>05/32119</t>
  </si>
  <si>
    <t>Informatikai szolgáltatások igénybevétele (20.+…+25.)</t>
  </si>
  <si>
    <t>05/3211</t>
  </si>
  <si>
    <t>Nem adatátviteli célú távközlési díjak</t>
  </si>
  <si>
    <t>05/32211</t>
  </si>
  <si>
    <t>Egyéb különféle kommunikációs szolgáltatások</t>
  </si>
  <si>
    <t>05/32219</t>
  </si>
  <si>
    <t>Egyéb kommunikációs szolgáltatások (27.+28.)</t>
  </si>
  <si>
    <t>05/3221</t>
  </si>
  <si>
    <t>Kommunikációs szolgáltatások (26.+29.)</t>
  </si>
  <si>
    <t>05/32</t>
  </si>
  <si>
    <t>Villamosenergia-szolgáltatási díjak</t>
  </si>
  <si>
    <t>05/33111</t>
  </si>
  <si>
    <t>Gázenergia-szolgáltatási díjak</t>
  </si>
  <si>
    <t>05/33112</t>
  </si>
  <si>
    <t>Víz-és csatornadíjak</t>
  </si>
  <si>
    <t>05/33114</t>
  </si>
  <si>
    <t>05/3311</t>
  </si>
  <si>
    <t>Vásárolt élelmezés</t>
  </si>
  <si>
    <t>05/3321</t>
  </si>
  <si>
    <t>Egyéb bérleti és lízing díjak</t>
  </si>
  <si>
    <t>0533312</t>
  </si>
  <si>
    <t>Bérleti és lízing díjak (=36.)</t>
  </si>
  <si>
    <t>05/3331</t>
  </si>
  <si>
    <t>05/3341</t>
  </si>
  <si>
    <t xml:space="preserve">Államháztartáson belüli közvetített szolgáltatások </t>
  </si>
  <si>
    <t>05/33511</t>
  </si>
  <si>
    <t xml:space="preserve">Államháztartáson kívüli közvetített szolgáltatások </t>
  </si>
  <si>
    <t>05/33512</t>
  </si>
  <si>
    <t>Közvetített szolgáltatások (39.+40.)</t>
  </si>
  <si>
    <t>05/3351</t>
  </si>
  <si>
    <t>05/33611</t>
  </si>
  <si>
    <t>Számlázott szellemi tevékenység</t>
  </si>
  <si>
    <t>05/33612</t>
  </si>
  <si>
    <t>Egyéb szakmai szolgáltatások</t>
  </si>
  <si>
    <t>05/33619</t>
  </si>
  <si>
    <t>05/3361</t>
  </si>
  <si>
    <t>Biztosítási szolgáltatási díjak</t>
  </si>
  <si>
    <t>05/33711</t>
  </si>
  <si>
    <t>Pénzügyi, befektetési szolgáltatási díjak</t>
  </si>
  <si>
    <t>05/33712</t>
  </si>
  <si>
    <t>Szállítási szolgáltatási díjak</t>
  </si>
  <si>
    <t>05/33713</t>
  </si>
  <si>
    <t>05/33719</t>
  </si>
  <si>
    <t>Egyéb szolgáltatások (46.+…+49.)</t>
  </si>
  <si>
    <t>05/3371</t>
  </si>
  <si>
    <t>Szolgáltatási kiadások (34.+35.+37.+38.+41.+45.+50.)</t>
  </si>
  <si>
    <t>05/33</t>
  </si>
  <si>
    <t>Belföldi kiküldetések kiadásai</t>
  </si>
  <si>
    <t>05/34111</t>
  </si>
  <si>
    <t>Külföldi kiküldetések kiadásai</t>
  </si>
  <si>
    <t>05/34112</t>
  </si>
  <si>
    <t>Kiküldetések kiadásai (52.+53.)</t>
  </si>
  <si>
    <t>05/3411</t>
  </si>
  <si>
    <t>Reklám-és propagandakiadások</t>
  </si>
  <si>
    <t>05/3421</t>
  </si>
  <si>
    <t>Kiküldetések, reklám- és propaganda kiadások (54.+55.)</t>
  </si>
  <si>
    <t>05/34</t>
  </si>
  <si>
    <t>Működési célú előzetesen felszámított levonható általános forgalmi adó</t>
  </si>
  <si>
    <t>05/35111</t>
  </si>
  <si>
    <t>Működési célú előzetesen felszámított le nem vonható általános forgalmi adó</t>
  </si>
  <si>
    <t>05/35112</t>
  </si>
  <si>
    <t>Működési célú előzetesen felszámított általános forgalmi adó (57.+58.)</t>
  </si>
  <si>
    <t>05/3511</t>
  </si>
  <si>
    <t>Kiszámlázott egyenes adózású értékesített termékek, nyújtott szolgáltatások áfabefizetése miatti kiadás</t>
  </si>
  <si>
    <t>05/35211</t>
  </si>
  <si>
    <t>Kiszámlázott egyenes adózású értékesített tárgyi eszközök, immateriális javak  áfabefizetése miatti kiadás</t>
  </si>
  <si>
    <t>05/35212</t>
  </si>
  <si>
    <t>05/35213</t>
  </si>
  <si>
    <t>Fizetendő általános forgalmi adó (60.+61.+62.)</t>
  </si>
  <si>
    <t>05/3521</t>
  </si>
  <si>
    <t>Államháztartáson belüli kamatkiadások</t>
  </si>
  <si>
    <t>05/35311</t>
  </si>
  <si>
    <t>Államháztartáson kívüli kamatkiadások</t>
  </si>
  <si>
    <t>05/35312</t>
  </si>
  <si>
    <t>Kamatkiadások (64.+65.)</t>
  </si>
  <si>
    <t>05/3531</t>
  </si>
  <si>
    <t>Egyéb pénzügyi műveletek kiadásai</t>
  </si>
  <si>
    <t>05/3541</t>
  </si>
  <si>
    <t>05/35512</t>
  </si>
  <si>
    <t>Késedelmi kamathoz, pótlékhoz, kötbérhez, perköltségekhez, egyéb szankcióhoz kapcsolódó kiadások</t>
  </si>
  <si>
    <t>05/35513</t>
  </si>
  <si>
    <r>
      <rPr>
        <b/>
        <sz val="10"/>
        <color indexed="8"/>
        <rFont val="Times New Roman"/>
        <family val="1"/>
        <charset val="238"/>
      </rPr>
      <t>Országgyűlési képviselői választás:</t>
    </r>
    <r>
      <rPr>
        <sz val="10"/>
        <color indexed="8"/>
        <rFont val="Times New Roman"/>
        <family val="1"/>
        <charset val="238"/>
      </rPr>
      <t xml:space="preserve"> Dologi kiadások normatív része</t>
    </r>
  </si>
  <si>
    <r>
      <rPr>
        <b/>
        <sz val="10"/>
        <color indexed="8"/>
        <rFont val="Times New Roman"/>
        <family val="1"/>
        <charset val="238"/>
      </rPr>
      <t>Országgyűlési képviselői választás:</t>
    </r>
    <r>
      <rPr>
        <sz val="10"/>
        <color indexed="8"/>
        <rFont val="Times New Roman"/>
        <family val="1"/>
        <charset val="238"/>
      </rPr>
      <t xml:space="preserve"> Dologi kiadások saját rész</t>
    </r>
  </si>
  <si>
    <r>
      <rPr>
        <b/>
        <sz val="10"/>
        <color indexed="8"/>
        <rFont val="Times New Roman"/>
        <family val="1"/>
        <charset val="238"/>
      </rPr>
      <t xml:space="preserve">Európai Parlament tagjai választása: </t>
    </r>
    <r>
      <rPr>
        <sz val="10"/>
        <color indexed="8"/>
        <rFont val="Times New Roman"/>
        <family val="1"/>
        <charset val="238"/>
      </rPr>
      <t>Dologi kiadások normatív része</t>
    </r>
  </si>
  <si>
    <r>
      <rPr>
        <b/>
        <sz val="10"/>
        <color indexed="8"/>
        <rFont val="Times New Roman"/>
        <family val="1"/>
        <charset val="238"/>
      </rPr>
      <t xml:space="preserve">Európai Parlament tagjai választása: </t>
    </r>
    <r>
      <rPr>
        <sz val="10"/>
        <color indexed="8"/>
        <rFont val="Times New Roman"/>
        <family val="1"/>
        <charset val="238"/>
      </rPr>
      <t>Dologi kiadások saját rész</t>
    </r>
  </si>
  <si>
    <r>
      <rPr>
        <b/>
        <sz val="10"/>
        <color indexed="8"/>
        <rFont val="Times New Roman"/>
        <family val="1"/>
        <charset val="238"/>
      </rPr>
      <t>Helyi önkormányzati képviselők és polgármesterek választás:</t>
    </r>
    <r>
      <rPr>
        <sz val="10"/>
        <color indexed="8"/>
        <rFont val="Times New Roman"/>
        <family val="1"/>
        <charset val="238"/>
      </rPr>
      <t xml:space="preserve"> Dologi kiadások normatív része</t>
    </r>
  </si>
  <si>
    <r>
      <rPr>
        <b/>
        <sz val="10"/>
        <color indexed="8"/>
        <rFont val="Times New Roman"/>
        <family val="1"/>
        <charset val="238"/>
      </rPr>
      <t xml:space="preserve">Helyi önkormányzati képviselők és polgármesterek választása: </t>
    </r>
    <r>
      <rPr>
        <sz val="10"/>
        <color indexed="8"/>
        <rFont val="Times New Roman"/>
        <family val="1"/>
        <charset val="238"/>
      </rPr>
      <t>Dologi kiadások saját rész</t>
    </r>
  </si>
  <si>
    <r>
      <rPr>
        <b/>
        <sz val="10"/>
        <color indexed="8"/>
        <rFont val="Times New Roman"/>
        <family val="1"/>
        <charset val="238"/>
      </rPr>
      <t xml:space="preserve">Nemzetiségi önkormányzati képviselők választása: </t>
    </r>
    <r>
      <rPr>
        <sz val="10"/>
        <color indexed="8"/>
        <rFont val="Times New Roman"/>
        <family val="1"/>
        <charset val="238"/>
      </rPr>
      <t>Dologi kiadások normatív része</t>
    </r>
  </si>
  <si>
    <r>
      <rPr>
        <b/>
        <sz val="10"/>
        <color indexed="8"/>
        <rFont val="Times New Roman"/>
        <family val="1"/>
        <charset val="238"/>
      </rPr>
      <t xml:space="preserve">Nemzetiségi önkormányzati képviselők választása: </t>
    </r>
    <r>
      <rPr>
        <sz val="10"/>
        <color indexed="8"/>
        <rFont val="Times New Roman"/>
        <family val="1"/>
        <charset val="238"/>
      </rPr>
      <t>Dologi kiadások saját rész</t>
    </r>
  </si>
  <si>
    <t>73/A.</t>
  </si>
  <si>
    <r>
      <rPr>
        <b/>
        <sz val="10"/>
        <color indexed="8"/>
        <rFont val="Times New Roman"/>
        <family val="1"/>
        <charset val="238"/>
      </rPr>
      <t xml:space="preserve">Országos népszavazás: </t>
    </r>
    <r>
      <rPr>
        <sz val="10"/>
        <color indexed="8"/>
        <rFont val="Times New Roman"/>
        <family val="1"/>
        <charset val="238"/>
      </rPr>
      <t>Dologi kiadások normatív része</t>
    </r>
  </si>
  <si>
    <t>73/B.</t>
  </si>
  <si>
    <r>
      <rPr>
        <b/>
        <sz val="10"/>
        <color indexed="8"/>
        <rFont val="Times New Roman"/>
        <family val="1"/>
        <charset val="238"/>
      </rPr>
      <t xml:space="preserve">Országos népszavazás: </t>
    </r>
    <r>
      <rPr>
        <sz val="10"/>
        <color indexed="8"/>
        <rFont val="Times New Roman"/>
        <family val="1"/>
        <charset val="238"/>
      </rPr>
      <t>Dologi kiadások saját része</t>
    </r>
  </si>
  <si>
    <t>Egyéb különféle dologi kiadások előirányzata</t>
  </si>
  <si>
    <t>05/35519</t>
  </si>
  <si>
    <t>05/3551</t>
  </si>
  <si>
    <t>05/35</t>
  </si>
  <si>
    <t>05/3</t>
  </si>
  <si>
    <t>sor-szám</t>
  </si>
  <si>
    <t>Változás I. módosí-tásnál</t>
  </si>
  <si>
    <t>K311101</t>
  </si>
  <si>
    <t>K311301</t>
  </si>
  <si>
    <t>K311401</t>
  </si>
  <si>
    <t>K311501</t>
  </si>
  <si>
    <t>K311901</t>
  </si>
  <si>
    <t>Szakmai anyagok beszerzése</t>
  </si>
  <si>
    <t>K312201</t>
  </si>
  <si>
    <t>K312401</t>
  </si>
  <si>
    <t>K312501</t>
  </si>
  <si>
    <t>Karbantartási anyagok</t>
  </si>
  <si>
    <t>K312901</t>
  </si>
  <si>
    <t>Tisztítószerek</t>
  </si>
  <si>
    <t>K312902</t>
  </si>
  <si>
    <t>Készletbeszerzés</t>
  </si>
  <si>
    <t>BM KANYVH lakcím-és nyilvántartó program használati díja</t>
  </si>
  <si>
    <t>K321201</t>
  </si>
  <si>
    <t>On-line kapcsolat létesítése a Földhivatallal</t>
  </si>
  <si>
    <t>K321202</t>
  </si>
  <si>
    <t>K321203</t>
  </si>
  <si>
    <t>Adatátviteli célú távközlési díjak - internet</t>
  </si>
  <si>
    <t>K321501</t>
  </si>
  <si>
    <t>Informatikai szolgáltatások igénybevétele</t>
  </si>
  <si>
    <t>Telefon</t>
  </si>
  <si>
    <t>K322101</t>
  </si>
  <si>
    <t>Veres Péter 157. - telefonja</t>
  </si>
  <si>
    <t>K322102</t>
  </si>
  <si>
    <t>Egyéb kommunikációs szolgáltatások</t>
  </si>
  <si>
    <t>Kommunikációs szolgáltatások</t>
  </si>
  <si>
    <t>Villamos energia PMH</t>
  </si>
  <si>
    <t>K331101</t>
  </si>
  <si>
    <t>Veres Péter 157. - villamos energiája</t>
  </si>
  <si>
    <t>K331102</t>
  </si>
  <si>
    <t>Gázenergia PMH</t>
  </si>
  <si>
    <t>K331201</t>
  </si>
  <si>
    <t>Veres Péter 157. - gázenergiája</t>
  </si>
  <si>
    <t>K331202</t>
  </si>
  <si>
    <t>Víz-és csatorna PMH</t>
  </si>
  <si>
    <t>K331401</t>
  </si>
  <si>
    <t>Veres Péter 157. - víz-és csatorna díja</t>
  </si>
  <si>
    <t>K331402</t>
  </si>
  <si>
    <t>Közüzemi díjak</t>
  </si>
  <si>
    <t>Bérleti és lízing díjak</t>
  </si>
  <si>
    <t>Karbantartási, kisjavítási szolgáltatások (kivéve informatikai eszközökhöz kapcsolódó) - építésügyi hatósági kötelezés</t>
  </si>
  <si>
    <t>K334101</t>
  </si>
  <si>
    <t>0533619</t>
  </si>
  <si>
    <t>Közvetített szolgáltatások</t>
  </si>
  <si>
    <t>K336101</t>
  </si>
  <si>
    <t>K336201</t>
  </si>
  <si>
    <t>Masszőr</t>
  </si>
  <si>
    <t>K336901</t>
  </si>
  <si>
    <t>Irattári rendezés</t>
  </si>
  <si>
    <t>K336902</t>
  </si>
  <si>
    <t>Képzések</t>
  </si>
  <si>
    <t>K336903</t>
  </si>
  <si>
    <t>K337201</t>
  </si>
  <si>
    <t>Postaköltség</t>
  </si>
  <si>
    <t>K337901</t>
  </si>
  <si>
    <t>05/33714</t>
  </si>
  <si>
    <t>Szemétszállítás PMH</t>
  </si>
  <si>
    <t>K337902</t>
  </si>
  <si>
    <t>Veres Péter 157. - szemétszállítása + kéményseprése</t>
  </si>
  <si>
    <t>K337903</t>
  </si>
  <si>
    <t>Cinkotai Tájház távfelügyelete</t>
  </si>
  <si>
    <t>K337904</t>
  </si>
  <si>
    <t>Veres Péter u. 157. távfelügyelet</t>
  </si>
  <si>
    <t>K337912</t>
  </si>
  <si>
    <t>Kémyényseprési szolgáltatási díj</t>
  </si>
  <si>
    <t>K337905</t>
  </si>
  <si>
    <t>Tüdőszűrésre felhívás kiküldése</t>
  </si>
  <si>
    <t>K337906</t>
  </si>
  <si>
    <t>Hatósági állategészségügyi tevékenység</t>
  </si>
  <si>
    <t>K337907</t>
  </si>
  <si>
    <t>042180</t>
  </si>
  <si>
    <t>K337908</t>
  </si>
  <si>
    <t>K337909</t>
  </si>
  <si>
    <t>K337910</t>
  </si>
  <si>
    <t>K337911</t>
  </si>
  <si>
    <t>PMH egyéb szolg. - közigazgatási alap és szakvizsga, kötelező közigazgatási továbbképzés</t>
  </si>
  <si>
    <t>K337913</t>
  </si>
  <si>
    <t>Szolgáltatási kiadások</t>
  </si>
  <si>
    <t>Belföldi kiküldtetés</t>
  </si>
  <si>
    <t>K341102</t>
  </si>
  <si>
    <t>Saját gépkocsi használat költsége</t>
  </si>
  <si>
    <t>K341101</t>
  </si>
  <si>
    <t>Kiküldetések kiadásai</t>
  </si>
  <si>
    <t>K342101</t>
  </si>
  <si>
    <t>Kiküldetések, reklám- és propaganda kiadások</t>
  </si>
  <si>
    <t>K352101</t>
  </si>
  <si>
    <t>Működési célú előzetesen felszámított általános forgalmi adó</t>
  </si>
  <si>
    <t>K352201</t>
  </si>
  <si>
    <t>K352301</t>
  </si>
  <si>
    <t>Fizetendő általános forgalmi adó</t>
  </si>
  <si>
    <t>Kamatkiadások</t>
  </si>
  <si>
    <t>Díjak, egyéb befizetések kiadásai  Ket. 33/A §</t>
  </si>
  <si>
    <t>K355202</t>
  </si>
  <si>
    <t>Tagsági díjak</t>
  </si>
  <si>
    <t>K355203</t>
  </si>
  <si>
    <t>Díjak, egyéb befizetések kiadásai - Márki Andivezeti</t>
  </si>
  <si>
    <t>K355201</t>
  </si>
  <si>
    <t>Díjak, egyéb befizetések kiadásai - KET 300 és Márki Andi 300</t>
  </si>
  <si>
    <r>
      <rPr>
        <b/>
        <sz val="10"/>
        <rFont val="Times New Roman"/>
        <family val="1"/>
        <charset val="238"/>
      </rPr>
      <t xml:space="preserve">Országgyűlési képviselői választás: </t>
    </r>
    <r>
      <rPr>
        <sz val="10"/>
        <rFont val="Times New Roman"/>
        <family val="1"/>
        <charset val="238"/>
      </rPr>
      <t>Dologi kiadások normatív része</t>
    </r>
  </si>
  <si>
    <r>
      <rPr>
        <b/>
        <sz val="10"/>
        <rFont val="Times New Roman"/>
        <family val="1"/>
        <charset val="238"/>
      </rPr>
      <t>Országgyűlési képviselői választás:</t>
    </r>
    <r>
      <rPr>
        <sz val="10"/>
        <rFont val="Times New Roman"/>
        <family val="1"/>
        <charset val="238"/>
      </rPr>
      <t xml:space="preserve"> Dologi kiadások saját rész</t>
    </r>
  </si>
  <si>
    <r>
      <rPr>
        <b/>
        <sz val="10"/>
        <rFont val="Times New Roman"/>
        <family val="1"/>
        <charset val="238"/>
      </rPr>
      <t xml:space="preserve">Európai Parlament tagjai választása: </t>
    </r>
    <r>
      <rPr>
        <sz val="10"/>
        <rFont val="Times New Roman"/>
        <family val="1"/>
        <charset val="238"/>
      </rPr>
      <t>Dologi kiadások normatív része</t>
    </r>
  </si>
  <si>
    <r>
      <rPr>
        <b/>
        <sz val="10"/>
        <rFont val="Times New Roman"/>
        <family val="1"/>
        <charset val="238"/>
      </rPr>
      <t xml:space="preserve">Európai Parlament tagjai választása: </t>
    </r>
    <r>
      <rPr>
        <sz val="10"/>
        <rFont val="Times New Roman"/>
        <family val="1"/>
        <charset val="238"/>
      </rPr>
      <t>Dologi kiadások saját rész</t>
    </r>
  </si>
  <si>
    <r>
      <rPr>
        <b/>
        <sz val="10"/>
        <rFont val="Times New Roman"/>
        <family val="1"/>
        <charset val="238"/>
      </rPr>
      <t>Időközi / Helyi önkormányzati képviselő választás:</t>
    </r>
    <r>
      <rPr>
        <sz val="10"/>
        <rFont val="Times New Roman"/>
        <family val="1"/>
        <charset val="238"/>
      </rPr>
      <t xml:space="preserve"> Dologi kiadások normatív része</t>
    </r>
  </si>
  <si>
    <r>
      <rPr>
        <b/>
        <sz val="10"/>
        <rFont val="Times New Roman"/>
        <family val="1"/>
        <charset val="238"/>
      </rPr>
      <t xml:space="preserve">Időközi / Helyi önkormányzati képviselő választás: </t>
    </r>
    <r>
      <rPr>
        <sz val="10"/>
        <rFont val="Times New Roman"/>
        <family val="1"/>
        <charset val="238"/>
      </rPr>
      <t>Dologi kiadások saját rész</t>
    </r>
  </si>
  <si>
    <r>
      <rPr>
        <b/>
        <sz val="10"/>
        <rFont val="Times New Roman"/>
        <family val="1"/>
        <charset val="238"/>
      </rPr>
      <t xml:space="preserve">Nemzetiségi önkormányzati képviselők választása: </t>
    </r>
    <r>
      <rPr>
        <sz val="10"/>
        <rFont val="Times New Roman"/>
        <family val="1"/>
        <charset val="238"/>
      </rPr>
      <t>Dologi kiadások normatív része</t>
    </r>
  </si>
  <si>
    <r>
      <rPr>
        <b/>
        <sz val="10"/>
        <rFont val="Times New Roman"/>
        <family val="1"/>
        <charset val="238"/>
      </rPr>
      <t xml:space="preserve">Nemzetiségi önkormányzati képviselők választása: </t>
    </r>
    <r>
      <rPr>
        <sz val="10"/>
        <rFont val="Times New Roman"/>
        <family val="1"/>
        <charset val="238"/>
      </rPr>
      <t>Dologi kiadások saját rész</t>
    </r>
  </si>
  <si>
    <r>
      <rPr>
        <b/>
        <sz val="10"/>
        <color indexed="8"/>
        <rFont val="Times New Roman"/>
        <family val="1"/>
        <charset val="238"/>
      </rPr>
      <t xml:space="preserve">Népszavazás: </t>
    </r>
    <r>
      <rPr>
        <sz val="10"/>
        <color indexed="8"/>
        <rFont val="Times New Roman"/>
        <family val="1"/>
        <charset val="238"/>
      </rPr>
      <t>Dologi kiadások normatív része</t>
    </r>
  </si>
  <si>
    <r>
      <rPr>
        <b/>
        <sz val="10"/>
        <color indexed="8"/>
        <rFont val="Times New Roman"/>
        <family val="1"/>
        <charset val="238"/>
      </rPr>
      <t xml:space="preserve">Népszavazás: </t>
    </r>
    <r>
      <rPr>
        <sz val="10"/>
        <color indexed="8"/>
        <rFont val="Times New Roman"/>
        <family val="1"/>
        <charset val="238"/>
      </rPr>
      <t>Dologi kiadások saját része</t>
    </r>
  </si>
  <si>
    <t>Egyéb kféle dologi - Esküvőszervezés</t>
  </si>
  <si>
    <t>K355901</t>
  </si>
  <si>
    <t>05/351219</t>
  </si>
  <si>
    <t>Egyéb kféle dologi - Tartalék</t>
  </si>
  <si>
    <t>K355902</t>
  </si>
  <si>
    <t xml:space="preserve">Egyéb különféle dologi kiadások előirányzata </t>
  </si>
  <si>
    <t>Egyéb dologi kiadások</t>
  </si>
  <si>
    <t>Különféle befizetések és egyéb dologi kiadások</t>
  </si>
  <si>
    <t>PMH EGYÉB</t>
  </si>
  <si>
    <t>Ha 0, akkor jó.</t>
  </si>
  <si>
    <t>Elvont pénzmaradvány</t>
  </si>
  <si>
    <t>K502201</t>
  </si>
  <si>
    <t>05/50212</t>
  </si>
  <si>
    <t>Esküvőszervezés kiadásai</t>
  </si>
  <si>
    <t>K</t>
  </si>
  <si>
    <t>05/</t>
  </si>
  <si>
    <t>Egyéb működési célú kiadások összesen</t>
  </si>
  <si>
    <t>Beruházás - egyéb gép, berendezés</t>
  </si>
  <si>
    <t>K641101</t>
  </si>
  <si>
    <t>05/6411</t>
  </si>
  <si>
    <t xml:space="preserve">Beruházás -  autó vásárlás </t>
  </si>
  <si>
    <t>K641501</t>
  </si>
  <si>
    <t>05/6415</t>
  </si>
  <si>
    <t>Beruházások összesen</t>
  </si>
  <si>
    <t>A költségvetési szerv fenntartásához kapott állami támogatás az OEP finanszírozáson felül:</t>
  </si>
  <si>
    <t xml:space="preserve">Szolgáltatások ellenértéke </t>
  </si>
  <si>
    <t xml:space="preserve">Intézmény      </t>
  </si>
  <si>
    <t>Új szakf.</t>
  </si>
  <si>
    <t>Nyilvántart. Szám f.c. 0591511, m.c.  0591512</t>
  </si>
  <si>
    <t>Eredeti előirányzat</t>
  </si>
  <si>
    <t>I. módosított előirányzat</t>
  </si>
  <si>
    <t>II. módosított előirányzat</t>
  </si>
  <si>
    <t>III. módosított előirányzat</t>
  </si>
  <si>
    <t>IV. módosított előirányzat</t>
  </si>
  <si>
    <t>Ei. Vált.</t>
  </si>
  <si>
    <t>Telj.</t>
  </si>
  <si>
    <t>Ei.változás</t>
  </si>
  <si>
    <t>Ei.változás I. mód.</t>
  </si>
  <si>
    <t>Int.fin. - Polgármesteri Hivatal</t>
  </si>
  <si>
    <t>K915201</t>
  </si>
  <si>
    <t>05/91512</t>
  </si>
  <si>
    <t>Felhalmozási célú</t>
  </si>
  <si>
    <t>05/91511</t>
  </si>
  <si>
    <t>Int.fin. - Szakrendelő működési</t>
  </si>
  <si>
    <t>K915202</t>
  </si>
  <si>
    <t>Int.fin. - Gamesz működési</t>
  </si>
  <si>
    <t>K915203</t>
  </si>
  <si>
    <t>Int.fin. - Gyerekkuckó Óvoda</t>
  </si>
  <si>
    <t>K915204</t>
  </si>
  <si>
    <t xml:space="preserve">Int.fin. - Cinkotai Huncutka Óvoda       </t>
  </si>
  <si>
    <t>K915205</t>
  </si>
  <si>
    <t>Int.fin. - Napsugár Óvoda</t>
  </si>
  <si>
    <t>K915206</t>
  </si>
  <si>
    <t>Int.fin. - Sashalmi Manoda Óvoda</t>
  </si>
  <si>
    <t>K915207</t>
  </si>
  <si>
    <t>Int.fin. - Margaréta Óvoda</t>
  </si>
  <si>
    <t>K915208</t>
  </si>
  <si>
    <t>Int.fin. - Szentmihályi Játszókert</t>
  </si>
  <si>
    <t>K915209</t>
  </si>
  <si>
    <t>Int.fin. - Mátyásföldi Fecskefészek Óvoda</t>
  </si>
  <si>
    <t>K915210</t>
  </si>
  <si>
    <t>Int.fin. - Corvin Művelődési ház</t>
  </si>
  <si>
    <t>K915211</t>
  </si>
  <si>
    <t>Int.fin. - Egyesített Bölcsőde</t>
  </si>
  <si>
    <t>K915212</t>
  </si>
  <si>
    <t>Int.fin. - Területi Szoc. Szolg.</t>
  </si>
  <si>
    <t>K915213</t>
  </si>
  <si>
    <t xml:space="preserve">Int.fin. - Napraforgó Gyermekjóléti Központ és Családsegítő Szolgálat </t>
  </si>
  <si>
    <t>K915214</t>
  </si>
  <si>
    <t>Int.fin. - Kerületgazda Szolg. Szervezet</t>
  </si>
  <si>
    <t>K915215</t>
  </si>
  <si>
    <t>Int.fin. - Rákosmenti Mezei Őrszolgálat</t>
  </si>
  <si>
    <t>K915216</t>
  </si>
  <si>
    <t>Int.fin. - XVI. Kerületi Helytörténet és Emlékezet Központ</t>
  </si>
  <si>
    <t>K915217</t>
  </si>
  <si>
    <t>05/91511/12</t>
  </si>
  <si>
    <t>Ebből: Felhalmozási célú</t>
  </si>
  <si>
    <t>ell.:</t>
  </si>
  <si>
    <t>Fin</t>
  </si>
  <si>
    <t>Bér</t>
  </si>
  <si>
    <t>3.c.</t>
  </si>
  <si>
    <t>Rendelet</t>
  </si>
  <si>
    <t>Bevétel</t>
  </si>
  <si>
    <t>K110002</t>
  </si>
  <si>
    <t>Nyári diákmunka alapilletménye</t>
  </si>
  <si>
    <t>K110004</t>
  </si>
  <si>
    <t>05/110114</t>
  </si>
  <si>
    <t>Törvény szerinti illetmények, munkabérek (2.+3.)</t>
  </si>
  <si>
    <t>K110003</t>
  </si>
  <si>
    <t>Túlóra, túlszolgálat</t>
  </si>
  <si>
    <t>Étkezési hozzájárulás</t>
  </si>
  <si>
    <t>05/110711</t>
  </si>
  <si>
    <t>Üdülési hozzájárulás</t>
  </si>
  <si>
    <t>05/110712</t>
  </si>
  <si>
    <t xml:space="preserve">Erzsébet-utalvány </t>
  </si>
  <si>
    <t>05/110713</t>
  </si>
  <si>
    <t>Széchenyi Pihenő Kártya</t>
  </si>
  <si>
    <t>05/110714</t>
  </si>
  <si>
    <t>Iskolakezdési támogatás</t>
  </si>
  <si>
    <t>05/110715</t>
  </si>
  <si>
    <t xml:space="preserve">Önkéntes biztosító pénztárakba befizetés </t>
  </si>
  <si>
    <t>05/110716</t>
  </si>
  <si>
    <t>Egyéb béren kívüli juttatások</t>
  </si>
  <si>
    <t>05/110719</t>
  </si>
  <si>
    <t>Letelepedési segély</t>
  </si>
  <si>
    <t>05/111113</t>
  </si>
  <si>
    <t>Lakhatási támogatások</t>
  </si>
  <si>
    <t>Szociális támogatások</t>
  </si>
  <si>
    <t>Kereset-kiegészítés fedezete</t>
  </si>
  <si>
    <t>05/111314</t>
  </si>
  <si>
    <t>Foglalkoztatottakat megillető munkáltatói kártérítési kiadások, egyéb kiegészítések</t>
  </si>
  <si>
    <t>Egyéb sajátos juttatások</t>
  </si>
  <si>
    <t>Foglalkoztatottak egyéb személyi juttatásai</t>
  </si>
  <si>
    <t>K121001</t>
  </si>
  <si>
    <t>05/12119</t>
  </si>
  <si>
    <t>Választott tisztségviselők juttatásai (7.+8.)</t>
  </si>
  <si>
    <t>05/1211</t>
  </si>
  <si>
    <t>Állományba nem tartozók megbízási díja - egyéb feladatokra</t>
  </si>
  <si>
    <t>K122001</t>
  </si>
  <si>
    <t>Kerületi újság kiadásával összefüggő megbízási díjak</t>
  </si>
  <si>
    <t>K122002</t>
  </si>
  <si>
    <t>K122003</t>
  </si>
  <si>
    <t>Állományba nem tartozók megbízási díja mindösszesen (10.+…+12.)</t>
  </si>
  <si>
    <t>Munkavégzésre irányuló egyéb jogviszonyban nem saját foglalkoztatottnak fizetett juttatások  (=13.)</t>
  </si>
  <si>
    <t>Díszpolgári cím, Kerületért kitüntetés</t>
  </si>
  <si>
    <t>K123801</t>
  </si>
  <si>
    <t>0512319</t>
  </si>
  <si>
    <t>K123802</t>
  </si>
  <si>
    <t>0512211</t>
  </si>
  <si>
    <t>Műszaki Tervtanácsban dolgozók tiszteletdíja</t>
  </si>
  <si>
    <t>016</t>
  </si>
  <si>
    <t>K123803</t>
  </si>
  <si>
    <t>0512212</t>
  </si>
  <si>
    <t>K123804</t>
  </si>
  <si>
    <t>0551317</t>
  </si>
  <si>
    <t>K123805</t>
  </si>
  <si>
    <t>05/12314</t>
  </si>
  <si>
    <t>K123806</t>
  </si>
  <si>
    <t>05/12315</t>
  </si>
  <si>
    <t>Pedagógusok elismerésére, iskolaigazgatók jutalmára</t>
  </si>
  <si>
    <t>K123807</t>
  </si>
  <si>
    <t>05/123181</t>
  </si>
  <si>
    <t>Egyéb külső személyi juttatások (15.+…+19.)</t>
  </si>
  <si>
    <t>Külső személyi juttatások (9.+14.+20.)</t>
  </si>
  <si>
    <t>Személyi juttatások (6.+21.)</t>
  </si>
  <si>
    <t>K211101</t>
  </si>
  <si>
    <t>Egészségügyi hozzájárulás</t>
  </si>
  <si>
    <t>Engedélyezett létszám 10 hónapra, napi 4 órás foglalkoztatással (fő)</t>
  </si>
  <si>
    <t>Tisztségviselők (fő)</t>
  </si>
  <si>
    <t>Képviselők (tisztségviselők nélkül) (fő)</t>
  </si>
  <si>
    <t>Bizottsági tagok (fő)</t>
  </si>
  <si>
    <t>Budapest Főváros XVI. kerületi Önkormányzat dologi kiadások  (Költségvetési szervek nélkül)</t>
  </si>
  <si>
    <t>Fejlesztő játékok beszerzése</t>
  </si>
  <si>
    <t>Víz-és csatornadjak</t>
  </si>
  <si>
    <t>Közüzemi díjak (31.+32.+33.)</t>
  </si>
  <si>
    <t>05/33312</t>
  </si>
  <si>
    <t>Szakmai tevékenységet segítő szolgáltatások (42.+43.+44.)</t>
  </si>
  <si>
    <t>Előző költségvetési év(ek)hez kapcsolódó működési bevétel utólagos visszafizetéséhez kapcsolódó kiadásai</t>
  </si>
  <si>
    <t>Egyéb dologi kiadások (68.+…+71.)</t>
  </si>
  <si>
    <t>Különféle befizetések és egyéb dologi kiadások (59.+63.+66.+67.+72.)</t>
  </si>
  <si>
    <t>Dologi kiadások (19.+30.+51.+56.+73.)</t>
  </si>
  <si>
    <t>Fejlesztő játékokra</t>
  </si>
  <si>
    <t>K311902</t>
  </si>
  <si>
    <t>K321401</t>
  </si>
  <si>
    <t>Informatikai vis major</t>
  </si>
  <si>
    <t>K321402</t>
  </si>
  <si>
    <t>Adatátviteli célú távközlési díjak (internet)</t>
  </si>
  <si>
    <t xml:space="preserve">Egyéb különféle informatikai szolgáltatások - Információs felülvizsgálatra </t>
  </si>
  <si>
    <t>K321901</t>
  </si>
  <si>
    <t>Egyéb különféle kommunikációs szolgáltatások (Műsorvételi, műsorközlési jogdíjak)</t>
  </si>
  <si>
    <t>K322901</t>
  </si>
  <si>
    <t>Rgyt-ben részesülő gyerekek nyári étkeztetése</t>
  </si>
  <si>
    <t>K332101</t>
  </si>
  <si>
    <t>053321</t>
  </si>
  <si>
    <t>K333201</t>
  </si>
  <si>
    <t>Épület karbantartás</t>
  </si>
  <si>
    <t>Karbantartás -bérbeszámítással</t>
  </si>
  <si>
    <t>K334107</t>
  </si>
  <si>
    <t>9990002</t>
  </si>
  <si>
    <t>K334102</t>
  </si>
  <si>
    <t>K334103</t>
  </si>
  <si>
    <t>K334104</t>
  </si>
  <si>
    <t>Garanciális javítások</t>
  </si>
  <si>
    <t>K334105</t>
  </si>
  <si>
    <t>Egyéb építmény javítása, karbantartása (pl.: Uszodák, emlékmű)</t>
  </si>
  <si>
    <t>K334108</t>
  </si>
  <si>
    <t>Lehívott teljesítési garancia alszámlán felhalmozódott kamat terhére végzett karbantartások</t>
  </si>
  <si>
    <t>K334106</t>
  </si>
  <si>
    <t>Jelzőrendenszeres házi segítségnyújtás - Body Guard Kft.</t>
  </si>
  <si>
    <t>889923</t>
  </si>
  <si>
    <t>Állategészségügyi tevékenységből adódó kiadások - kisállat-tetemszállítás</t>
  </si>
  <si>
    <t>K336102</t>
  </si>
  <si>
    <t>750000</t>
  </si>
  <si>
    <t>Időskorúak átmeneti otthona - gondozóháza</t>
  </si>
  <si>
    <t>K336103</t>
  </si>
  <si>
    <t>102023</t>
  </si>
  <si>
    <t>873012</t>
  </si>
  <si>
    <t>K336104</t>
  </si>
  <si>
    <t>879018</t>
  </si>
  <si>
    <t>Családok átmeneti otthona</t>
  </si>
  <si>
    <t>K336105</t>
  </si>
  <si>
    <t>879019</t>
  </si>
  <si>
    <t>Nappali melegedő</t>
  </si>
  <si>
    <t>K336106</t>
  </si>
  <si>
    <t>889913</t>
  </si>
  <si>
    <t>Utcai szociális munka</t>
  </si>
  <si>
    <t>K336107</t>
  </si>
  <si>
    <t>889929</t>
  </si>
  <si>
    <t>K336108</t>
  </si>
  <si>
    <t>K336109</t>
  </si>
  <si>
    <t>081043</t>
  </si>
  <si>
    <t>Önkormányzat által fenntartott intézményekben dolgozók továbbképzése</t>
  </si>
  <si>
    <t>K336110</t>
  </si>
  <si>
    <t>K336111</t>
  </si>
  <si>
    <t>Számlás megbízások - K.-Pénzügyi Iroda vezeti</t>
  </si>
  <si>
    <t>Számlás megbízások - Intézményi Iroda feladatkörében</t>
  </si>
  <si>
    <t>K336202</t>
  </si>
  <si>
    <t>869011</t>
  </si>
  <si>
    <t>Egyéb szakmai szolgáltatások - Polgármesteri Kabinet feladatkörében szakértők alkalmazása (telefon megtakarítási részesedés)</t>
  </si>
  <si>
    <t>K336904</t>
  </si>
  <si>
    <t>Gépjármű biztosítások</t>
  </si>
  <si>
    <t>K337101</t>
  </si>
  <si>
    <t>K337102</t>
  </si>
  <si>
    <t>K337301</t>
  </si>
  <si>
    <t>Postaköltség (szociális és egyéb kifizetések)</t>
  </si>
  <si>
    <t>081045</t>
  </si>
  <si>
    <t>Testületi anyagok könyvkötése</t>
  </si>
  <si>
    <t>Tiszta udvar - rendes ház</t>
  </si>
  <si>
    <t>Helyi vállalkozások munkahelyteremtő és foglalkoztatás ösztönző program</t>
  </si>
  <si>
    <t>Önkormányzati hatósági ügyek</t>
  </si>
  <si>
    <t>K341201</t>
  </si>
  <si>
    <t>Hirdetési költségek (NEM ITT A KÖZBESZERZÉSI HATÓSÁGNAK FIZETETT)</t>
  </si>
  <si>
    <t>05/34212</t>
  </si>
  <si>
    <t>k342105</t>
  </si>
  <si>
    <t>Arculati reklám, propaganda, testvérvárosi kapcsolatok</t>
  </si>
  <si>
    <t>K342102</t>
  </si>
  <si>
    <t>K342103</t>
  </si>
  <si>
    <t>"Határon túli gyermek- és ifjúsági közösségek, ifjúsági civil szervezetek és ifjúsági szakemberek rendezvényeinek támogatása" Helyi Közösség Kishegyes pályázó kiadásai</t>
  </si>
  <si>
    <t>K342104</t>
  </si>
  <si>
    <t>Államháztartáson kívüli kamatkiadások - Államkötvény vásárláskor vételárban felhalmozott kamat</t>
  </si>
  <si>
    <t>K353201</t>
  </si>
  <si>
    <t>Gépjármű vizsgáztatása</t>
  </si>
  <si>
    <t>Közbeszerzési díj - Közbeszerzési Hatóságnak fizetett</t>
  </si>
  <si>
    <t>K355204</t>
  </si>
  <si>
    <t>Önálló bírósági végrehajtó költsége (Adóügyosztály feladatkörében)</t>
  </si>
  <si>
    <t>K355301</t>
  </si>
  <si>
    <t>K355401</t>
  </si>
  <si>
    <t>05/35514</t>
  </si>
  <si>
    <t>E. dologi kiadások -kutyafuttatóra kapott bev. Visszafiz.</t>
  </si>
  <si>
    <t>Idegen tulajdonú ingatlanon végzett gázbekötés bírósági kötelezés alapján keretre (Vagyonh. Iroda, új keret)</t>
  </si>
  <si>
    <t>Ha 0, akkor jó!</t>
  </si>
  <si>
    <t>Budapest Főváros XVI. kerületi Önkormányzat kötelezően ellátandó működési feladatok kiadásai és önként vállalt működési feladatok kiadásai</t>
  </si>
  <si>
    <t>KÖTELEZŐEN ELLÁTANDÓ MŰKÖDÉSI FELADATOK KIADÁSAI</t>
  </si>
  <si>
    <t>Parkfenntartás</t>
  </si>
  <si>
    <t>K10101</t>
  </si>
  <si>
    <t>K10102</t>
  </si>
  <si>
    <t>Erdőfenntartás</t>
  </si>
  <si>
    <t>K10103</t>
  </si>
  <si>
    <t>Játszótereken játszószerek javítása</t>
  </si>
  <si>
    <t>K10104</t>
  </si>
  <si>
    <t>Növényvédelem</t>
  </si>
  <si>
    <t>K10105</t>
  </si>
  <si>
    <t>Környezetvédelmi mérések</t>
  </si>
  <si>
    <t>K10107</t>
  </si>
  <si>
    <t>Vízdíj (közterületek közüzemi számlái)</t>
  </si>
  <si>
    <t>K10108</t>
  </si>
  <si>
    <t>K10109</t>
  </si>
  <si>
    <t>Zöldterület kezelés (2.+…+10.)</t>
  </si>
  <si>
    <t>Térfigyelő rendszer - Rendőrök megbízási díjára</t>
  </si>
  <si>
    <t>K10151</t>
  </si>
  <si>
    <t>05/5061322</t>
  </si>
  <si>
    <t xml:space="preserve">Térfigyelő rendszer - dologi kiadásaira </t>
  </si>
  <si>
    <t>K10152</t>
  </si>
  <si>
    <t>K10201</t>
  </si>
  <si>
    <t>045160</t>
  </si>
  <si>
    <t>K10202</t>
  </si>
  <si>
    <t>Földútjavítás</t>
  </si>
  <si>
    <t>K10203</t>
  </si>
  <si>
    <t>Szilárd burkolatú utak üzemeltetése</t>
  </si>
  <si>
    <t>K10204</t>
  </si>
  <si>
    <t>K10205</t>
  </si>
  <si>
    <t>Szikkasztó kutak üzemeltetése</t>
  </si>
  <si>
    <t>K10206</t>
  </si>
  <si>
    <t>Közkifolyók üzemeltetése</t>
  </si>
  <si>
    <t>K10207</t>
  </si>
  <si>
    <t>0533114</t>
  </si>
  <si>
    <t>Szennyvízcsatorna fenntartás</t>
  </si>
  <si>
    <t>K10208</t>
  </si>
  <si>
    <t>0533111</t>
  </si>
  <si>
    <t>Utca névtáblák gyártása</t>
  </si>
  <si>
    <t>K10209</t>
  </si>
  <si>
    <t>Lámpázás</t>
  </si>
  <si>
    <t>K10210</t>
  </si>
  <si>
    <t>0533719</t>
  </si>
  <si>
    <t>Csapadékcsatorna üzemeltetés</t>
  </si>
  <si>
    <t>K10214</t>
  </si>
  <si>
    <t>053341</t>
  </si>
  <si>
    <t>Közvilágítás üzemeltetése</t>
  </si>
  <si>
    <t>K10211</t>
  </si>
  <si>
    <t>Egyéb közterületi munkák</t>
  </si>
  <si>
    <t>K10212</t>
  </si>
  <si>
    <t>K10215</t>
  </si>
  <si>
    <t>Polgármester hatáskörébe tartozó keret</t>
  </si>
  <si>
    <t>K10213</t>
  </si>
  <si>
    <t>Zúgó-patak pihenőpark üzemeltetése</t>
  </si>
  <si>
    <t>Külső kezelésű társasházak közös költsége</t>
  </si>
  <si>
    <t>K10301</t>
  </si>
  <si>
    <t>K10302</t>
  </si>
  <si>
    <t>K10303</t>
  </si>
  <si>
    <t>Lakóingatlanok közmű és szolgáltatási díjai</t>
  </si>
  <si>
    <t>Társasházakban található központi fűtésű lakások bérlőinek hő-díj tartozása</t>
  </si>
  <si>
    <t>K10304</t>
  </si>
  <si>
    <t>K10305</t>
  </si>
  <si>
    <t>Költségelvű bérlakások javítása, karbantartása</t>
  </si>
  <si>
    <t>K10306</t>
  </si>
  <si>
    <t>K10401</t>
  </si>
  <si>
    <t>K10402</t>
  </si>
  <si>
    <t>K10403</t>
  </si>
  <si>
    <t>Bátony utcai sportöltöző közüzemi díjai - villany</t>
  </si>
  <si>
    <t>K10404</t>
  </si>
  <si>
    <t>Bátony utcai sportöltöző közüzemi díjai - gáz</t>
  </si>
  <si>
    <t>Bátony utcai sportöltöző közüzemi díjai - víz</t>
  </si>
  <si>
    <t>Rendkívüli előre nem látható kiadások fedezetéül (Vagyonhasznosítási Iroda feladatkörében)</t>
  </si>
  <si>
    <t>K10411</t>
  </si>
  <si>
    <t>K10410</t>
  </si>
  <si>
    <t>K10412</t>
  </si>
  <si>
    <t>Rendkívüli előre nem látható kiadások fedezetéül</t>
  </si>
  <si>
    <t>Nem lakáscélú helyiségek  javítása, karbantartása</t>
  </si>
  <si>
    <t>K10408</t>
  </si>
  <si>
    <t>Közterület rendjének fenntartása - Katasztrófavédelem</t>
  </si>
  <si>
    <t>K10501</t>
  </si>
  <si>
    <t>032020</t>
  </si>
  <si>
    <t>K10601</t>
  </si>
  <si>
    <t>051030</t>
  </si>
  <si>
    <t>K10701</t>
  </si>
  <si>
    <t>8130001</t>
  </si>
  <si>
    <t>ÖNKÉNT VÁLLALT MŰKÖDÉSI FELADATOK KIADÁSAI</t>
  </si>
  <si>
    <t>K10801</t>
  </si>
  <si>
    <t>5814001</t>
  </si>
  <si>
    <t>K10901</t>
  </si>
  <si>
    <t>K10902</t>
  </si>
  <si>
    <t>Üdülői szálláshely szolgáltatás</t>
  </si>
  <si>
    <t>Kábítószerügyi Egyeztető Fórum</t>
  </si>
  <si>
    <t>K11101</t>
  </si>
  <si>
    <t>K11201</t>
  </si>
  <si>
    <t>084070</t>
  </si>
  <si>
    <t>05123181</t>
  </si>
  <si>
    <t xml:space="preserve">Karácsonyi csomagok </t>
  </si>
  <si>
    <t>010</t>
  </si>
  <si>
    <t>K11301</t>
  </si>
  <si>
    <t>05/123182</t>
  </si>
  <si>
    <t>"Kertvárosi Gazdi" program</t>
  </si>
  <si>
    <t>K11302</t>
  </si>
  <si>
    <t>0534212</t>
  </si>
  <si>
    <t>"Babacsomag" program</t>
  </si>
  <si>
    <t>K11303</t>
  </si>
  <si>
    <t>Település marketing</t>
  </si>
  <si>
    <t>Kötelező</t>
  </si>
  <si>
    <t xml:space="preserve">Budapest Főváros XVI. kerületi Önkormányzat ellátottak pénzbeli juttatásai                                                                                                       </t>
  </si>
  <si>
    <t>Önként vállalt</t>
  </si>
  <si>
    <t>ELLÁTOTTAK PÉNZBELI JUTTATÁSAI</t>
  </si>
  <si>
    <t>K421101</t>
  </si>
  <si>
    <t>05/42131</t>
  </si>
  <si>
    <t>Kríziskeret</t>
  </si>
  <si>
    <t>K421901</t>
  </si>
  <si>
    <t>107060</t>
  </si>
  <si>
    <t>0548129</t>
  </si>
  <si>
    <t>05/42129</t>
  </si>
  <si>
    <t>Bursa Hungarica ösztöndíjpályázat</t>
  </si>
  <si>
    <t>K421905</t>
  </si>
  <si>
    <t>05506112</t>
  </si>
  <si>
    <t>Önkormányzatok által nyújtott pénzbeli családi támogatások (2.+4.+5.)</t>
  </si>
  <si>
    <t>05/4212</t>
  </si>
  <si>
    <t>Természetben nyújtott rendkívüli gyermekvédelmi támogatás (Erzsébet utalvány)</t>
  </si>
  <si>
    <t>K421321</t>
  </si>
  <si>
    <t>05/42132</t>
  </si>
  <si>
    <t>6./A</t>
  </si>
  <si>
    <t>Egyéb önkormányzati természetbeni családi támogatások  (téli rezsicsökkentésre nyújtott támogatás)</t>
  </si>
  <si>
    <t>K421329</t>
  </si>
  <si>
    <t>0542139</t>
  </si>
  <si>
    <t xml:space="preserve">Önkormányzatok által nyújtott természetbeni családi támogatások </t>
  </si>
  <si>
    <t>05/4213</t>
  </si>
  <si>
    <t>Családi támogatások (=5)</t>
  </si>
  <si>
    <t>05/42</t>
  </si>
  <si>
    <t>K441101</t>
  </si>
  <si>
    <t>0548122</t>
  </si>
  <si>
    <t>K441901</t>
  </si>
  <si>
    <t>Önkormányzati, betegséggel kapcsolatos (nem társadalombiztosítási) ellátások (7.+8.)</t>
  </si>
  <si>
    <t>05/4412</t>
  </si>
  <si>
    <t>K461101</t>
  </si>
  <si>
    <t>K461901</t>
  </si>
  <si>
    <t>05/4612</t>
  </si>
  <si>
    <t>Lakhatással kapcsolatos ellátások (=12)</t>
  </si>
  <si>
    <t>05/461</t>
  </si>
  <si>
    <t>Köztemetés</t>
  </si>
  <si>
    <t>K481401</t>
  </si>
  <si>
    <t>05/48123</t>
  </si>
  <si>
    <t>05/48122</t>
  </si>
  <si>
    <t>05/4812</t>
  </si>
  <si>
    <t>Önkormányzat által nyújtott egyéb nem intézményi természetbeni ellátások</t>
  </si>
  <si>
    <t>Egyéb nem intézményi ellátások (=17.)</t>
  </si>
  <si>
    <t>05/481</t>
  </si>
  <si>
    <t>05/4</t>
  </si>
  <si>
    <t>Rendkívüli települési támogatás megbontása:</t>
  </si>
  <si>
    <t>Rendkívüli települési támogatás rezsiköltségre</t>
  </si>
  <si>
    <t>K461201</t>
  </si>
  <si>
    <t>K481901</t>
  </si>
  <si>
    <t>K481102</t>
  </si>
  <si>
    <t>K441201</t>
  </si>
  <si>
    <t>Ikerszülési támogatás</t>
  </si>
  <si>
    <t>K421902</t>
  </si>
  <si>
    <t>Táborozási hozzájárulás</t>
  </si>
  <si>
    <t>K421903</t>
  </si>
  <si>
    <t>Tankönyvtámogatás</t>
  </si>
  <si>
    <t>K421904</t>
  </si>
  <si>
    <t>EZEKET A KÓDOKAT HASZNÁLTUK RÉGEN: (elrejtve a sor alatt)</t>
  </si>
  <si>
    <t>Pénzbeli óvodáztatási támogatás</t>
  </si>
  <si>
    <t>K421301</t>
  </si>
  <si>
    <t>05/42122</t>
  </si>
  <si>
    <t>Rendszeres gyermekvédelmi kedvezményben részesülők természetbeni támogatása</t>
  </si>
  <si>
    <t>Természetben nyújtott óvodáztatási támogatás</t>
  </si>
  <si>
    <t>05/42133</t>
  </si>
  <si>
    <t>Egyéb önkormányzati természetbeni családi támogatások</t>
  </si>
  <si>
    <t>05/42139</t>
  </si>
  <si>
    <t>Önkormányzati pénzbeli kárpótlások, kártérítések</t>
  </si>
  <si>
    <t>05/4312</t>
  </si>
  <si>
    <t>Pénzbeli kárpótlások, kártérítések</t>
  </si>
  <si>
    <t>05/431</t>
  </si>
  <si>
    <t xml:space="preserve">Helyi megállapítású közgyógyellátás </t>
  </si>
  <si>
    <t>101150</t>
  </si>
  <si>
    <t>05/44122</t>
  </si>
  <si>
    <t>Foglalkoztatást helyettesítő támogatás</t>
  </si>
  <si>
    <t>K451701</t>
  </si>
  <si>
    <t>041233</t>
  </si>
  <si>
    <t>05/45127</t>
  </si>
  <si>
    <t>Foglalkoztatással, munkanélküliséggel kapcsolatos ellátások (=12.)</t>
  </si>
  <si>
    <t>02/451</t>
  </si>
  <si>
    <t>05/46122</t>
  </si>
  <si>
    <t>05/46124</t>
  </si>
  <si>
    <t>K461301</t>
  </si>
  <si>
    <t>05/46123</t>
  </si>
  <si>
    <t>Természetben nyújtott lakásfenntartási támogatás</t>
  </si>
  <si>
    <t>05/46131</t>
  </si>
  <si>
    <t>Egyéb önkormányzati lakhatással kapcsolatos természetbeni ellátások</t>
  </si>
  <si>
    <t>05/46139</t>
  </si>
  <si>
    <t>Önkormányzatok által nyújtott lakhatással kapcsolatos természetbeni ellátások</t>
  </si>
  <si>
    <t>05/4613</t>
  </si>
  <si>
    <t>Rendszeres pénzbeli szociális segély</t>
  </si>
  <si>
    <t>K481101</t>
  </si>
  <si>
    <t>05/48121</t>
  </si>
  <si>
    <t>Átmeneti pénzbeli segély</t>
  </si>
  <si>
    <t>999000/882122</t>
  </si>
  <si>
    <t>Temetési pénzbeli segély</t>
  </si>
  <si>
    <t>999000/882123</t>
  </si>
  <si>
    <t>Egyéb, az önkormányzat rendeletében megállapított pénzbeli juttatás</t>
  </si>
  <si>
    <t>05/48129</t>
  </si>
  <si>
    <t>Természetben nyújtott rendszeres szociális segély</t>
  </si>
  <si>
    <t>05/48131</t>
  </si>
  <si>
    <t>Természetben nyújtott átmeneti segély</t>
  </si>
  <si>
    <t>05/48132</t>
  </si>
  <si>
    <t>Természetben nyújtott temetési segély</t>
  </si>
  <si>
    <t>05/48133</t>
  </si>
  <si>
    <t>05/48134</t>
  </si>
  <si>
    <t>Rászorultságtól függő normatív kedvezmények (Gyvt. 151. §.(5))</t>
  </si>
  <si>
    <t>05/48135</t>
  </si>
  <si>
    <t>Önkormányzat által saját hatáskörben (nem szociális és gyermekvédelmi ellátások alapján) adott természetbeni ellátás</t>
  </si>
  <si>
    <t>05/48139</t>
  </si>
  <si>
    <t xml:space="preserve">Budapest Főváros XVI. kerületi Önkormányzat egyéb működési célú kiadások, elvonások és befizetések, céljelleggel nyújtott támogatások és tartalékok                                                                                         </t>
  </si>
  <si>
    <t>EGYÉB MŰKÖDÉSI CÉLÚ KIADÁSOK</t>
  </si>
  <si>
    <t>Költségvetési maradvány visszafizetése</t>
  </si>
  <si>
    <t>K502101</t>
  </si>
  <si>
    <t>018020</t>
  </si>
  <si>
    <t>05/50211</t>
  </si>
  <si>
    <t>K502901</t>
  </si>
  <si>
    <t>05/502319</t>
  </si>
  <si>
    <t>K502902</t>
  </si>
  <si>
    <t>05506162</t>
  </si>
  <si>
    <t>K502903</t>
  </si>
  <si>
    <t>05/502212</t>
  </si>
  <si>
    <t>05/5021</t>
  </si>
  <si>
    <t>Működési célú garancia- és kezességvállalásból származó kifizetés államháztartáson belülre</t>
  </si>
  <si>
    <t>05/5031</t>
  </si>
  <si>
    <t>Központi költségvetési szervnek működési célú visszatérítendő támogatás, kölcsön nyújtás</t>
  </si>
  <si>
    <t>05/50411</t>
  </si>
  <si>
    <t>Központi kezelésű előirányzatnak működési célú visszatérítendő támogatás, kölcsön nyújtás</t>
  </si>
  <si>
    <t>05/50412</t>
  </si>
  <si>
    <t>Fejezeti kezelésű előirányzatnak működési célú visszatérítendő támogatás, kölcsön nyújtás</t>
  </si>
  <si>
    <t>05/50413</t>
  </si>
  <si>
    <t>Helyi önkormányzatnak és azok költségvetési szervének működési célú visszatérítendő támogatás, kölcsön nyújtás</t>
  </si>
  <si>
    <t>05/50416</t>
  </si>
  <si>
    <t>Nemzetiségi önkormányzatnak és  költségvetési szervének működési célú visszatérítendő támogatás, kölcsön nyújtás</t>
  </si>
  <si>
    <t>05/50418</t>
  </si>
  <si>
    <t>Működési célú visszatérítendő támogatások, kölcsönök nyújtása államháztartáson belülre</t>
  </si>
  <si>
    <t>05/5041</t>
  </si>
  <si>
    <t>Működési célú visszatérítendő támogatások, kölcsönök törlesztése államháztartáson belülre</t>
  </si>
  <si>
    <t>05/5051</t>
  </si>
  <si>
    <t>Központi költségvetési szervnek egyéb működési célú támogatások</t>
  </si>
  <si>
    <t>05/50611</t>
  </si>
  <si>
    <t>Központi kezelésű előirányzatnak egyéb működési célú támogatások</t>
  </si>
  <si>
    <t>05/50612</t>
  </si>
  <si>
    <t>Fejezeti kezelésű előirányzatnak egyéb működési célú támogatások</t>
  </si>
  <si>
    <t>05/50613</t>
  </si>
  <si>
    <t>Kerületi sport támogatása</t>
  </si>
  <si>
    <t>K506601</t>
  </si>
  <si>
    <t>081041</t>
  </si>
  <si>
    <t>05//506162</t>
  </si>
  <si>
    <t>Közművelődés támogatása</t>
  </si>
  <si>
    <t>K506602</t>
  </si>
  <si>
    <t>9105011</t>
  </si>
  <si>
    <t>Iskolaválasztó rendezvény</t>
  </si>
  <si>
    <t>K506611</t>
  </si>
  <si>
    <t>Kertvárosi Pedagógiai Napok, szakmai napok (Egészségügyi, Szociális, Oktatási - nevelési intézmények)</t>
  </si>
  <si>
    <t>K506603</t>
  </si>
  <si>
    <t>K506604</t>
  </si>
  <si>
    <t>K506608</t>
  </si>
  <si>
    <t>K506606</t>
  </si>
  <si>
    <t>Önkormányzat által fenntartott óvodákban dolgozó óvodapedagógusok szakmai továbbképzése</t>
  </si>
  <si>
    <t>K506610</t>
  </si>
  <si>
    <t>Helyi önkormányzatnak és azok költségvetési szervének egyéb működési célú támogatások (8.+…+14.)</t>
  </si>
  <si>
    <t>05/506162</t>
  </si>
  <si>
    <t>Kerület közbiztonságának támogatása</t>
  </si>
  <si>
    <t>K506201</t>
  </si>
  <si>
    <t>K506801</t>
  </si>
  <si>
    <t>084020</t>
  </si>
  <si>
    <t>05/506182</t>
  </si>
  <si>
    <t>Egyéb működési célú támogatások államháztartáson belülre (15.+…+17.)</t>
  </si>
  <si>
    <t>05/5061</t>
  </si>
  <si>
    <t>Működési célú garancia- és kezességvállalásból származó kifizetés államháztartáson kívülre</t>
  </si>
  <si>
    <t>05/5071</t>
  </si>
  <si>
    <t>K508201</t>
  </si>
  <si>
    <t>05/508122</t>
  </si>
  <si>
    <t>Egyéb vállalkozásnak működési célú visszatérítendő támogatás, kölcsön nyújtása</t>
  </si>
  <si>
    <t>05/508123</t>
  </si>
  <si>
    <t>05/50812</t>
  </si>
  <si>
    <t>Visszatérítendő támogatás ESZB hatáskör</t>
  </si>
  <si>
    <t>K508301</t>
  </si>
  <si>
    <t>05/50813</t>
  </si>
  <si>
    <t>K508302</t>
  </si>
  <si>
    <t>Nonprofit szervezetnek működési célú visszatérítendő támogatás, kölcsön nyújtás</t>
  </si>
  <si>
    <t>05/50814</t>
  </si>
  <si>
    <t>Egyházi jogi személynek működési célú visszatérítendő támogatás, kölcsön nyújtás</t>
  </si>
  <si>
    <t>05/50815</t>
  </si>
  <si>
    <t>Működési célú visszatérítendő támogatások, kölcsönök nyújtása államháztartáson kívülre (22.+23.+24.+25.)</t>
  </si>
  <si>
    <t>05/5081</t>
  </si>
  <si>
    <t>Árkiegészítések, ártámogatások</t>
  </si>
  <si>
    <t>05/5091</t>
  </si>
  <si>
    <t>Kamattámogatások</t>
  </si>
  <si>
    <t>058/5101</t>
  </si>
  <si>
    <t>05/511121</t>
  </si>
  <si>
    <t>K511201</t>
  </si>
  <si>
    <t>05/5121222</t>
  </si>
  <si>
    <t xml:space="preserve">REHAB-XVI. Foglalkoztató és Szolgáltató Nonprofit Kft.  vissza nem térítendő működési célú támogatása </t>
  </si>
  <si>
    <t>K511202</t>
  </si>
  <si>
    <t>Egyéb vállalkozásnak egyéb működési célú támogatások</t>
  </si>
  <si>
    <t>05/511123</t>
  </si>
  <si>
    <t>05/1112</t>
  </si>
  <si>
    <t>Életjáradéki szerződés, lakásért életjáradék rendszer</t>
  </si>
  <si>
    <t>K511301</t>
  </si>
  <si>
    <t>05/512132</t>
  </si>
  <si>
    <t>K511302</t>
  </si>
  <si>
    <t>K511303</t>
  </si>
  <si>
    <t xml:space="preserve">Prevenciós és egészségfejlesztési keret (alpolgármesteri hatáskör) </t>
  </si>
  <si>
    <t>K511304</t>
  </si>
  <si>
    <t>074054</t>
  </si>
  <si>
    <t>K511305</t>
  </si>
  <si>
    <t>K511307</t>
  </si>
  <si>
    <t>05/51113</t>
  </si>
  <si>
    <t>K511401</t>
  </si>
  <si>
    <t>05/5121152</t>
  </si>
  <si>
    <t>K511402</t>
  </si>
  <si>
    <t>910501</t>
  </si>
  <si>
    <t>K511403</t>
  </si>
  <si>
    <t>05512152</t>
  </si>
  <si>
    <t>Szabadidős sport támogatása</t>
  </si>
  <si>
    <t>k511413</t>
  </si>
  <si>
    <t>5/5111442</t>
  </si>
  <si>
    <t>Ingatlanok üzemeltetésével kapcsolatos egy évben nyújtható közvetett támogatás keretösszege – Kt. hatáskör</t>
  </si>
  <si>
    <t>K511417</t>
  </si>
  <si>
    <t>084031</t>
  </si>
  <si>
    <t>99990001</t>
  </si>
  <si>
    <t>05/512152</t>
  </si>
  <si>
    <t>43./A.</t>
  </si>
  <si>
    <t>HÉRA Alapítvány támogatása</t>
  </si>
  <si>
    <t>K511404</t>
  </si>
  <si>
    <t>XVI. kerületi Szakorvosi Ellátásért Alapítvány támogatása</t>
  </si>
  <si>
    <t>K511405</t>
  </si>
  <si>
    <t>43./C.</t>
  </si>
  <si>
    <t>Hittel a Nemzetért Alapítvány támogatása</t>
  </si>
  <si>
    <t>K511416</t>
  </si>
  <si>
    <t>084032</t>
  </si>
  <si>
    <t>Testvérvárosi gyerekek és testvérvárosi oktatási intézmények támogatása</t>
  </si>
  <si>
    <t>K511406</t>
  </si>
  <si>
    <t>05/51218</t>
  </si>
  <si>
    <t>K511407</t>
  </si>
  <si>
    <t xml:space="preserve">Atlétikai Reménységekért Alapítvány támogatása </t>
  </si>
  <si>
    <t>K511408</t>
  </si>
  <si>
    <t>K511409</t>
  </si>
  <si>
    <t>Kertvárosi Fúvószenekari Egyesület támogatása</t>
  </si>
  <si>
    <t>K511419</t>
  </si>
  <si>
    <t>05/5121432</t>
  </si>
  <si>
    <t xml:space="preserve">Cogito Alapítvány támogatása - Pszichiátriai betegek nappali ellátása </t>
  </si>
  <si>
    <t>K511412</t>
  </si>
  <si>
    <t>K511411</t>
  </si>
  <si>
    <t>K511415</t>
  </si>
  <si>
    <t>05/5111432</t>
  </si>
  <si>
    <t>08/51114</t>
  </si>
  <si>
    <t>K511501</t>
  </si>
  <si>
    <t>05/512162</t>
  </si>
  <si>
    <t>05/5111</t>
  </si>
  <si>
    <t>K512101</t>
  </si>
  <si>
    <t>05/51318</t>
  </si>
  <si>
    <t>Intézmények részére rendelkezésre álló működési tartalék</t>
  </si>
  <si>
    <t>K512102</t>
  </si>
  <si>
    <t>K512103</t>
  </si>
  <si>
    <t>05/51317</t>
  </si>
  <si>
    <t>K512109</t>
  </si>
  <si>
    <t>K512104</t>
  </si>
  <si>
    <t>Sportcsarnok Alap</t>
  </si>
  <si>
    <t>K512105</t>
  </si>
  <si>
    <t>Fejlesztési céltartalék</t>
  </si>
  <si>
    <t>K512106</t>
  </si>
  <si>
    <t>ebből: Polgármesteri fejlesztési céltartalék</t>
  </si>
  <si>
    <t>K512107</t>
  </si>
  <si>
    <t>K512108</t>
  </si>
  <si>
    <t>05/51211</t>
  </si>
  <si>
    <t>Zárolt kiadási előirányzatok</t>
  </si>
  <si>
    <t>05/51219</t>
  </si>
  <si>
    <t>05/5121</t>
  </si>
  <si>
    <t>05/5</t>
  </si>
  <si>
    <t xml:space="preserve">Budapest Főváros XVI. kerületi Önkormányzat Beruházási (felhalmozási) kiadások előirányzata beruházásonként                                                                              </t>
  </si>
  <si>
    <t>Vagyoni értékű jogok beszerzése</t>
  </si>
  <si>
    <t>05/6111</t>
  </si>
  <si>
    <t>Szellemi termékek beszerzése, létesítése</t>
  </si>
  <si>
    <t>05/6112</t>
  </si>
  <si>
    <t>Immateriális javak beszerzése, létesítése (2.+3.)</t>
  </si>
  <si>
    <t>05/611</t>
  </si>
  <si>
    <t>Lakótelkek beszerzése</t>
  </si>
  <si>
    <t>K621201</t>
  </si>
  <si>
    <t>05/62121</t>
  </si>
  <si>
    <t>Emlékkő utcai terület kegyeleti törvénynek megfelelő rendezése</t>
  </si>
  <si>
    <t>K621202</t>
  </si>
  <si>
    <t>05/62122</t>
  </si>
  <si>
    <t>K621204</t>
  </si>
  <si>
    <t>Egyéb célú telkek beszerzése</t>
  </si>
  <si>
    <t>K621205</t>
  </si>
  <si>
    <t>K621203</t>
  </si>
  <si>
    <t>05/6212</t>
  </si>
  <si>
    <t>K621305</t>
  </si>
  <si>
    <t>05/62131</t>
  </si>
  <si>
    <t>Ez a sor el van rejtve</t>
  </si>
  <si>
    <t>Értékét nem csökkentő, műemléki védettségű épület beszerzés, létesítés</t>
  </si>
  <si>
    <t>K621306</t>
  </si>
  <si>
    <t>05/62132</t>
  </si>
  <si>
    <t>Egyéb épület beszerzés, létesítés, Ingatlan vásárlás</t>
  </si>
  <si>
    <t>K621301</t>
  </si>
  <si>
    <t>05/62133</t>
  </si>
  <si>
    <t>8./C.</t>
  </si>
  <si>
    <t xml:space="preserve">Lakóépület beszerzés, létesítés </t>
  </si>
  <si>
    <t>K621304</t>
  </si>
  <si>
    <t xml:space="preserve">Új szociális intézmény tervezése az Egyenes utca – Cziráki utca sarkán lévő üzlethelyiségek helyén </t>
  </si>
  <si>
    <t>K621302</t>
  </si>
  <si>
    <t>9/B.</t>
  </si>
  <si>
    <t>Új óvoda létesítése építéssel - 1164 Vágás utca HRSZ: 115601/57 alatti önkormányzati ingatlanon</t>
  </si>
  <si>
    <t>K621303</t>
  </si>
  <si>
    <t>05/062133</t>
  </si>
  <si>
    <t>K621308</t>
  </si>
  <si>
    <t>Épület beszerzés, létesítés (11.+12.+13.)</t>
  </si>
  <si>
    <t>05/6213</t>
  </si>
  <si>
    <t>K621401</t>
  </si>
  <si>
    <t>05/6214</t>
  </si>
  <si>
    <t>K621410</t>
  </si>
  <si>
    <t>K621411</t>
  </si>
  <si>
    <t>K621413</t>
  </si>
  <si>
    <t>K621414</t>
  </si>
  <si>
    <t>Kerékpárút fejlesztés</t>
  </si>
  <si>
    <t>K621415</t>
  </si>
  <si>
    <t>K621416</t>
  </si>
  <si>
    <t>K621417</t>
  </si>
  <si>
    <t>K621447</t>
  </si>
  <si>
    <t>K621421</t>
  </si>
  <si>
    <t>K621422</t>
  </si>
  <si>
    <t>K621423</t>
  </si>
  <si>
    <t>064010</t>
  </si>
  <si>
    <t>Tervezések, szabályozási és rendezési tervek (Főépítész)</t>
  </si>
  <si>
    <t>K621424</t>
  </si>
  <si>
    <t>K621432</t>
  </si>
  <si>
    <t>K621434</t>
  </si>
  <si>
    <t>045510</t>
  </si>
  <si>
    <t>Lakótelep felújítás</t>
  </si>
  <si>
    <t>K621441</t>
  </si>
  <si>
    <t>K621426</t>
  </si>
  <si>
    <t>K621436</t>
  </si>
  <si>
    <t>K621429</t>
  </si>
  <si>
    <t>K621446</t>
  </si>
  <si>
    <t>K621443</t>
  </si>
  <si>
    <t>Diósy Lajos utca 5. I. emelet átépítése költségelvű bérlakásokká, utólagos hőszigetelés, nyílászárócsere kivitelezése</t>
  </si>
  <si>
    <t>K621444</t>
  </si>
  <si>
    <t>056213</t>
  </si>
  <si>
    <t>K621445</t>
  </si>
  <si>
    <t>26./A.</t>
  </si>
  <si>
    <t>K621427</t>
  </si>
  <si>
    <t>K621428</t>
  </si>
  <si>
    <t>K621439</t>
  </si>
  <si>
    <t>K621430</t>
  </si>
  <si>
    <t>Ingatlanokhoz kapcsolódó vagyoni értékű jogok beszerzése</t>
  </si>
  <si>
    <t>05/6215</t>
  </si>
  <si>
    <t>05/621</t>
  </si>
  <si>
    <t>Informatikai gép, berendezés és felszerelés beszerzés, létesítés</t>
  </si>
  <si>
    <t>K631101</t>
  </si>
  <si>
    <t>05/6311</t>
  </si>
  <si>
    <t>K631201</t>
  </si>
  <si>
    <t>ELREJT</t>
  </si>
  <si>
    <t>ÁROP volt itt</t>
  </si>
  <si>
    <t>K631202</t>
  </si>
  <si>
    <t>Nem egyedi megrendelésre készült szoftvertermékek beszerzése - Informatikai és szervezetfejlesztési stratégia</t>
  </si>
  <si>
    <t>K631203</t>
  </si>
  <si>
    <t>05/6312</t>
  </si>
  <si>
    <t>05/631</t>
  </si>
  <si>
    <t>K641106</t>
  </si>
  <si>
    <t>Tekla utcában két új automata lift építése</t>
  </si>
  <si>
    <t>K641105</t>
  </si>
  <si>
    <t>K641102</t>
  </si>
  <si>
    <t>K641103</t>
  </si>
  <si>
    <t>05/6412</t>
  </si>
  <si>
    <t>Pályázati keretből: "Társasházak energiamegtakarítást eredményező korszerűsítésének, felújításának támogatása" program önkormányzati önrész</t>
  </si>
  <si>
    <t>K641104</t>
  </si>
  <si>
    <t>066020  043610</t>
  </si>
  <si>
    <t>05/71131</t>
  </si>
  <si>
    <t>082030</t>
  </si>
  <si>
    <t>05/6414</t>
  </si>
  <si>
    <t>Jármű beszerzés, létesítés</t>
  </si>
  <si>
    <t>05/641</t>
  </si>
  <si>
    <t>Részesedések beszerzése</t>
  </si>
  <si>
    <t>05/651</t>
  </si>
  <si>
    <t xml:space="preserve">Meglévő részesedések növeléséhez kapcsolódó kiadások  </t>
  </si>
  <si>
    <t>K661101</t>
  </si>
  <si>
    <t>05/661</t>
  </si>
  <si>
    <t>Beruházási célú előzetesen felszámított általános forgalmi adó</t>
  </si>
  <si>
    <t>05/671</t>
  </si>
  <si>
    <t>05/6</t>
  </si>
  <si>
    <t xml:space="preserve">Budapest Főváros XVI. kerületi Önkormányzat felújítási kiadásai felújításonként, valamint intézményi felújítási és karbantartási céltartaléka                                                                         </t>
  </si>
  <si>
    <t>Lakásalap: Bérlakás felújítás</t>
  </si>
  <si>
    <t>K711101</t>
  </si>
  <si>
    <t>K711102</t>
  </si>
  <si>
    <t>Lakóépületek felújítása (2.+3.)</t>
  </si>
  <si>
    <t>Értékét nem csökkentő, műemléki védettségű épületek felújítása</t>
  </si>
  <si>
    <t>05/71132</t>
  </si>
  <si>
    <t>Önkormányzati épület felújítása</t>
  </si>
  <si>
    <t>K711301</t>
  </si>
  <si>
    <t>05/71133</t>
  </si>
  <si>
    <t>Ingatlanüzemeltetéssel kapcsolatos felújítások</t>
  </si>
  <si>
    <t>K711302</t>
  </si>
  <si>
    <t>K711307</t>
  </si>
  <si>
    <t>XVI. Kerületi napközis tábor felújítása (János utcai tábor) - Szentmihály Kulturális Központjának létrehozása</t>
  </si>
  <si>
    <t>K711305</t>
  </si>
  <si>
    <t>K711304</t>
  </si>
  <si>
    <t xml:space="preserve">Rákosmenti Mezei Őrszolgálat Sarjú utcai székhelyének kialakítása </t>
  </si>
  <si>
    <t>K711306</t>
  </si>
  <si>
    <t xml:space="preserve">Centenáriumi Gyerekkuckó Óvoda tornaszoba kialakítása, homlokzati nyílászárók cseréje </t>
  </si>
  <si>
    <t>k711329</t>
  </si>
  <si>
    <t>Kölcsey Ferenc Általános Iskola Hősök tere 1. felvonó gépház szellőzés kiépítése</t>
  </si>
  <si>
    <t>K711315</t>
  </si>
  <si>
    <t>Családsegítő Szolgálat Cziráki utca 2. akadálymentesítése II. ütem (angolakna fölötti acélhíd elhelyezése, földszinti alaprajz átalakítása)</t>
  </si>
  <si>
    <t>Göllesz OÁIMI Tagintézményében ÉNO Érsekújvár utca 7-13. foglalkoztató padlóburkolat csere balesetveszély miatt, tisztasági festés</t>
  </si>
  <si>
    <t>Területi Szociális Szolgálat Segítőkéz Gondozási Csoport Vidámvásár utca 5-7. homlokzati falak utólagos vízszigetelése</t>
  </si>
  <si>
    <t>Szentmihályi Játszókert Óvoda Baross utca 141. szám alatt új kazán tervezése és kivitelezése</t>
  </si>
  <si>
    <t>Gyerekkuckó Óvoda Hársfa utca 54-56. telephely két foglalkoztatójában padlóburkolat csere</t>
  </si>
  <si>
    <t>Mosogatógép beszerzése óvodák részére</t>
  </si>
  <si>
    <t>Derűs Alkony Idősek Klubja János utca 49-51. Mindkét épület átépítése, felújítása két ütemben (folyamatos üzem mellett) szociális foglalkoztató, fedett terasz és belső parkoló kialakítása – tervezése (felmérési és kiviteli terv) elkészítése</t>
  </si>
  <si>
    <t>Sashalmi Manoda Óvoda Könyvtár u. 26. kerítésépítés</t>
  </si>
  <si>
    <t>Elektromos hálózat biztonsági felülvizsgálata és javítása</t>
  </si>
  <si>
    <t>K711325</t>
  </si>
  <si>
    <t>Több feladat</t>
  </si>
  <si>
    <t>K711326</t>
  </si>
  <si>
    <t>2016. évről áthúzódó intézményi felújítások mindösszesen (=10.)</t>
  </si>
  <si>
    <t xml:space="preserve">Kölcsey Ferenc Általános Iskola felújítása - teljes körű műszaki ellenőrzés utó felülvizsgálata (építészet, épület gépészet, erős-és gyengeáram) </t>
  </si>
  <si>
    <t>K7113151</t>
  </si>
  <si>
    <t>Sashalmi Tanoda Általános Iskola felújítása I. ütem (homlokzati nyílászárók cseréje, homlokzati hőszigetelés, tető hő- és vízszigetelése, villámhárító kiépítés)</t>
  </si>
  <si>
    <t>K711314</t>
  </si>
  <si>
    <t>Szent-Györgyi Albert Általános Iskola belső csatorna átépítése</t>
  </si>
  <si>
    <t>K711324</t>
  </si>
  <si>
    <t xml:space="preserve">Kölcsey Ferenc Általános Iskola meglévő felvonó aknába a liftgép kivitelezése </t>
  </si>
  <si>
    <t>Szerb Antal Gimnázium homlokzati nyílászárók  cseréje I. - II. ütem</t>
  </si>
  <si>
    <t>K7113171</t>
  </si>
  <si>
    <t>K711316</t>
  </si>
  <si>
    <t>János utca 51., volt MDF székház külső és belső felújítása ”Öregek Napközi Otthonává”</t>
  </si>
  <si>
    <t>K711327</t>
  </si>
  <si>
    <t>K711317</t>
  </si>
  <si>
    <t>K711328</t>
  </si>
  <si>
    <t>K711318</t>
  </si>
  <si>
    <t xml:space="preserve">2015-ben Lemhény Dezső Általános Iskola fűtési vezeték cseréje, beázás megszüntetése </t>
  </si>
  <si>
    <t xml:space="preserve">2015-ben Szerb Antal Gimnázium pinceszinti tornatermi vizesblokkok teljeskörű felújítása  </t>
  </si>
  <si>
    <t>K711319</t>
  </si>
  <si>
    <t>2015-ben Hunyadvár utcai háziorvosi rendelő ki nem cserélt ablakok cseréje</t>
  </si>
  <si>
    <t>K711321</t>
  </si>
  <si>
    <t xml:space="preserve">„Egy óvoda felújítása”program keretében 2015-ben a Mátyásföldi Fecskefészek Óvoda Pipitér 1 Tagóvoda felújítása </t>
  </si>
  <si>
    <t>K711322</t>
  </si>
  <si>
    <t>Elektromos műszaki ellenőri és beruházói előkészítői feladatok</t>
  </si>
  <si>
    <t>K711310</t>
  </si>
  <si>
    <t>Mátyásföldi Fecskefészek Óvoda: A használaton kívüli épületrészben három új csoportszoba és tornaterem létesítése, felújítás, átépítés, valamint az üzemelő épületrész kisebb átalakítása</t>
  </si>
  <si>
    <t>Sashalmi Tanoda Általános Iskola felújítása II. ütem</t>
  </si>
  <si>
    <t>05/7113</t>
  </si>
  <si>
    <t>Árpádföldi "Napsugár" Bölcsőde Felsőmalom u. 5-7. négy foglalkoztatóval való 40 férőhelyes bővítése</t>
  </si>
  <si>
    <t>013351</t>
  </si>
  <si>
    <t>Cinkotai temetőben lévő II. világháborús emlékmű felújítása</t>
  </si>
  <si>
    <t>K711336</t>
  </si>
  <si>
    <t>05/7114</t>
  </si>
  <si>
    <t>Országzászló emlékmű felújítása Cinkotán</t>
  </si>
  <si>
    <t>K711331</t>
  </si>
  <si>
    <t xml:space="preserve">Corvin Művelődési Ház: Színház előtti tér átépítése, rendezvényeken kitelepítésre kerülő ideiglenes építmények közműcsatlakozásainak kiépítése, új térburkolatok, zöldfelületek, öntözőhálózat, csapadékvíz kezelése és részleges- utólagos falszigetelés kiépítése  </t>
  </si>
  <si>
    <t>K711332</t>
  </si>
  <si>
    <t>K711333</t>
  </si>
  <si>
    <t>K711334</t>
  </si>
  <si>
    <t>Közintézmények akadály-mentesítése</t>
  </si>
  <si>
    <t>K711311</t>
  </si>
  <si>
    <t>5/71133</t>
  </si>
  <si>
    <t>Felújítási és karbantartási céltartalékból új feladatokra felhasználható keretösszeg</t>
  </si>
  <si>
    <t>K711312</t>
  </si>
  <si>
    <t>K711313</t>
  </si>
  <si>
    <t>K711480</t>
  </si>
  <si>
    <t>05/711</t>
  </si>
  <si>
    <t>Informatikai eszköz felújítása</t>
  </si>
  <si>
    <t>05/7211</t>
  </si>
  <si>
    <t>Nem egyedi megrendelésre készült szoftvertermékek felújítása</t>
  </si>
  <si>
    <t>05/7212</t>
  </si>
  <si>
    <t>05/721</t>
  </si>
  <si>
    <t>Egyéb gép, berendezés és felszerelés felújítása</t>
  </si>
  <si>
    <t>05/7311</t>
  </si>
  <si>
    <t>K731201</t>
  </si>
  <si>
    <t>05/7312</t>
  </si>
  <si>
    <t>Egyéb, állományba vett, értékét nem csökkentő eszköz  felújítása</t>
  </si>
  <si>
    <t>05/7314</t>
  </si>
  <si>
    <t>Jármű  felújítása</t>
  </si>
  <si>
    <t>05/7315</t>
  </si>
  <si>
    <t>05/731</t>
  </si>
  <si>
    <t>Felújítási célú előzetesen felszámított levonható általános forgalmi adó</t>
  </si>
  <si>
    <t>05/7411</t>
  </si>
  <si>
    <t>Felújítási célú előzetesen felszámított le nem vonható általános forgalmi adó</t>
  </si>
  <si>
    <t>05/7412</t>
  </si>
  <si>
    <t>05/741</t>
  </si>
  <si>
    <t xml:space="preserve">Budapest Főváros XVI. kerületi Önkormányzat  egyéb felhalmozási célú kiadásai </t>
  </si>
  <si>
    <t>EGYÉB FELHALMOZÁSI CÉLÚ KIADÁSOK</t>
  </si>
  <si>
    <t>Felhalmozási célú garancia- és kezességvállalásból származó kifizetés államháztartáson belülre</t>
  </si>
  <si>
    <t>05/811</t>
  </si>
  <si>
    <t>Központi költségvetési szervnek felhalmozási célú visszatérítendő támogatás, kölcsön nyújtás</t>
  </si>
  <si>
    <t>05/8211</t>
  </si>
  <si>
    <t>Központi kezelésű előirányzatnak felhalmozási célú visszatérítendő támogatás, kölcsön nyújtás</t>
  </si>
  <si>
    <t>05/8212</t>
  </si>
  <si>
    <t>Fejezeti kezelésű előirányzatnak felhalmozási célú visszatérítendő támogatás, kölcsön nyújtás</t>
  </si>
  <si>
    <t>05/8213</t>
  </si>
  <si>
    <t>Helyi önkormányzatnak és azok költségvetési szervének felhalmozási célú visszatérítendő támogatás, kölcsön nyújtás</t>
  </si>
  <si>
    <t>05/8216</t>
  </si>
  <si>
    <t>Nemzetiségi önkormányzatnak és  költségvetési szervének felhalmozási célú visszatérítendő támogatás, kölcsön nyújtás</t>
  </si>
  <si>
    <t>05/8215</t>
  </si>
  <si>
    <t>Felhalmozási célú visszatérítendő támogatások, kölcsönök nyújtása államháztartáson belülre</t>
  </si>
  <si>
    <t>05/821</t>
  </si>
  <si>
    <t>Felhalmozási célú visszatérítendő támogatások, kölcsönök törlesztése államháztartáson belülre</t>
  </si>
  <si>
    <t>05/831</t>
  </si>
  <si>
    <t>Központi költségvetési szervnek egyéb felhalmozási célú támogatások</t>
  </si>
  <si>
    <t>05/8411</t>
  </si>
  <si>
    <t>Központi kezelésű előirányzatnak egyéb felhalmozási célú támogatások</t>
  </si>
  <si>
    <t>05/8412</t>
  </si>
  <si>
    <t>Fejezeti kezelésű előirányzatnak egyéb felhalmozási célú támogatások</t>
  </si>
  <si>
    <t>05/8413</t>
  </si>
  <si>
    <r>
      <rPr>
        <sz val="10"/>
        <rFont val="Times New Roman"/>
        <family val="1"/>
        <charset val="238"/>
      </rPr>
      <t>Helyi önkormányzatnak és azok költségvetési szervének egyéb felhalmozási célú támogatások -</t>
    </r>
    <r>
      <rPr>
        <b/>
        <sz val="12"/>
        <rFont val="Times New Roman"/>
        <family val="1"/>
        <charset val="238"/>
      </rPr>
      <t xml:space="preserve"> Prevenciós célú egészségfejlesztési keret</t>
    </r>
  </si>
  <si>
    <t>K841603</t>
  </si>
  <si>
    <t>05/84162</t>
  </si>
  <si>
    <t>K841602</t>
  </si>
  <si>
    <t>05/8416</t>
  </si>
  <si>
    <t>K841604</t>
  </si>
  <si>
    <t>5./B.</t>
  </si>
  <si>
    <t>K841605</t>
  </si>
  <si>
    <t>Nemzetiségi önkormányzatnak és  költségvetési szervének egyéb felhalmozási célú támogatások</t>
  </si>
  <si>
    <t>05/8418</t>
  </si>
  <si>
    <t>05/841</t>
  </si>
  <si>
    <t>Felhalmozási célú garancia- és kezességvállalásból származó kifizetés államháztartáson kívülre</t>
  </si>
  <si>
    <t>05/851</t>
  </si>
  <si>
    <t>Állami többségi tulajdonú  nem pénzügyi vállalkozásnak felhalmozási célú visszatérítendő támogatás, kölcsön nyújtása</t>
  </si>
  <si>
    <t>05/86121</t>
  </si>
  <si>
    <t>Önkormányzati többségi tulajdonú  nem pénzügyi vállalkozásnak felhalmozási célú visszatérítendő támogatás, kölcsön nyújtása</t>
  </si>
  <si>
    <t>05/86122</t>
  </si>
  <si>
    <t>Egyéb vállalkozásnak felhalmozási célú visszatérítendő támogatás, kölcsön nyújtása</t>
  </si>
  <si>
    <t>05/86123</t>
  </si>
  <si>
    <t>Egyéb  nem pénzügyi vállalkozásnak felhalmozási célú visszatérítendő támogatás, kölcsön nyújtása (9.+10.)</t>
  </si>
  <si>
    <t>05/8612</t>
  </si>
  <si>
    <t>K861301</t>
  </si>
  <si>
    <t>05/8613</t>
  </si>
  <si>
    <t>12/B.</t>
  </si>
  <si>
    <t>Fiatal házasok első lakáshoz jutási támogatása</t>
  </si>
  <si>
    <t>K861302</t>
  </si>
  <si>
    <t>K871301</t>
  </si>
  <si>
    <t>05/8711</t>
  </si>
  <si>
    <t>Háztartásoknak felhalmozási célú visszatérítendő támogatás, kölcsön nyújtás (12.+13.)</t>
  </si>
  <si>
    <t>Nonprofit szervezetnek felhalmozási célú visszatérítendő támogatás, kölcsön nyújtás</t>
  </si>
  <si>
    <t>05/8614</t>
  </si>
  <si>
    <t>Egyházi jogi személynek felhalmozási célú visszatérítendő támogatás, kölcsön nyújtás</t>
  </si>
  <si>
    <t>05/8615</t>
  </si>
  <si>
    <t>Felhalmozási célú visszatérítendő támogatások, kölcsönök nyújtása államháztartáson kívülre (11.+14.+15.+16.)</t>
  </si>
  <si>
    <t>05/861</t>
  </si>
  <si>
    <t>Foglalkoztatottak lakásépítésének, lakásvásárlásának végleges jellegű munkáltatói lakástámogatása</t>
  </si>
  <si>
    <t>Helyi önkormányzatok helyi lakásépítési és -vásárlási támogatása</t>
  </si>
  <si>
    <t>05/8712</t>
  </si>
  <si>
    <t>Egyéb lakástámogatás - Munkáltatói kölcsön</t>
  </si>
  <si>
    <t>05/8713</t>
  </si>
  <si>
    <t>K871302</t>
  </si>
  <si>
    <t>Lakástámogatás (18.+19.+20.)</t>
  </si>
  <si>
    <t>05/871</t>
  </si>
  <si>
    <t>Állami többségi tulajdonú  nem pénzügyi vállalkozásnak egyéb felhalmozási célú támogatások</t>
  </si>
  <si>
    <t>05/88121</t>
  </si>
  <si>
    <t xml:space="preserve">Önkormányzati többségi tulajdonú  nem pénzügyi vállalkozásnak egyéb felhalmozási célú támogatások - Kertvárosi Sportlétesítményeket Üzemeltető Kft. </t>
  </si>
  <si>
    <t>K881201</t>
  </si>
  <si>
    <t>05/891222</t>
  </si>
  <si>
    <t>05/88123</t>
  </si>
  <si>
    <t>Önkormányzati többségi tulajdonú  nem pénzügyi vállalkozásnak egyéb felhalmozási célú támogatások - Sashalmi Piac Kft.</t>
  </si>
  <si>
    <t>K881202</t>
  </si>
  <si>
    <t>Egyéb  nem pénzügyi vállalkozásnak egyéb felhalmozási célú támogatások (22.+23.)</t>
  </si>
  <si>
    <t>05/8812</t>
  </si>
  <si>
    <t>K881301</t>
  </si>
  <si>
    <t>05/89132</t>
  </si>
  <si>
    <t>05/89152</t>
  </si>
  <si>
    <t>Testvérvárosok felhalmozási célú támogatása</t>
  </si>
  <si>
    <t>K881402</t>
  </si>
  <si>
    <t>05/89182</t>
  </si>
  <si>
    <t>IKARUS BSE rendkívüli támogatása</t>
  </si>
  <si>
    <t xml:space="preserve"> K881401</t>
  </si>
  <si>
    <t>05/8914</t>
  </si>
  <si>
    <t>K881501</t>
  </si>
  <si>
    <t>05/89162</t>
  </si>
  <si>
    <t>K881503</t>
  </si>
  <si>
    <t>K881303</t>
  </si>
  <si>
    <t>05/881</t>
  </si>
  <si>
    <t>Finanszírozási kiadások - Nem része a rendeletnek</t>
  </si>
  <si>
    <r>
      <rPr>
        <sz val="10"/>
        <color indexed="8"/>
        <rFont val="Times New Roman"/>
        <family val="1"/>
        <charset val="238"/>
      </rPr>
      <t xml:space="preserve">Pénzügyi vállalkozástól származó hosszú lejáratú fejlesztési célú hitel, kölcsön törlesztés - </t>
    </r>
    <r>
      <rPr>
        <b/>
        <u/>
        <sz val="10"/>
        <color indexed="8"/>
        <rFont val="Times New Roman"/>
        <family val="1"/>
        <charset val="238"/>
      </rPr>
      <t>Hitel és kötvény törlesztése</t>
    </r>
  </si>
  <si>
    <t>K911101</t>
  </si>
  <si>
    <t>900060</t>
  </si>
  <si>
    <t>999000/900060</t>
  </si>
  <si>
    <t>05/911111</t>
  </si>
  <si>
    <t>Pénzügyi vállalkozástól származó hosszú lejáratú működési célú hitel, kölcsön törlesztés</t>
  </si>
  <si>
    <t>05/911112</t>
  </si>
  <si>
    <t xml:space="preserve">Hosszú lejáratú hitelek, kölcsönök törlesztése </t>
  </si>
  <si>
    <t>05/91111</t>
  </si>
  <si>
    <t>Likviditási célú fejlesztési hitel, kölcsön törlesztés</t>
  </si>
  <si>
    <t>05/911211</t>
  </si>
  <si>
    <t>Likviditási célú működési hitel, kölcsön törlesztés</t>
  </si>
  <si>
    <t>05/911212</t>
  </si>
  <si>
    <t>05/91121</t>
  </si>
  <si>
    <t>Pénzügyi vállalkozástól származó fejlesztési célú rövid lejáratú hitel, kölcsön törlesztés</t>
  </si>
  <si>
    <t>05/911311</t>
  </si>
  <si>
    <t>Pénzügyi vállalkozástól származó működési célú rövid lejáratú hitel, kölcsön törlesztés</t>
  </si>
  <si>
    <t>05/911312</t>
  </si>
  <si>
    <t xml:space="preserve">Rövid lejáratú hitelek, kölcsönök törlesztése </t>
  </si>
  <si>
    <t>05/91131</t>
  </si>
  <si>
    <t>Hitel-, kölcsöntörlesztés államháztartáson kívülre</t>
  </si>
  <si>
    <t>05/911</t>
  </si>
  <si>
    <t>Nem tartós részesedés vásárlása</t>
  </si>
  <si>
    <t>05/912111</t>
  </si>
  <si>
    <t>Kárpótlási jegy vásárlás</t>
  </si>
  <si>
    <t>K912201</t>
  </si>
  <si>
    <t>05/912112</t>
  </si>
  <si>
    <t>Kincstárjegy vásárlás</t>
  </si>
  <si>
    <t>05/912113</t>
  </si>
  <si>
    <t>Államkötvény vásárlás</t>
  </si>
  <si>
    <t>K912204</t>
  </si>
  <si>
    <t>05/912114</t>
  </si>
  <si>
    <t>Önkormányzati kötvény vásárlás</t>
  </si>
  <si>
    <t>05/912115</t>
  </si>
  <si>
    <t>Egyéb forgatási célú belföldi értékpapír vásárlás</t>
  </si>
  <si>
    <t>05/912117</t>
  </si>
  <si>
    <t>Forgatási célú belföldi értékpapírok vásárlása</t>
  </si>
  <si>
    <t>05/91211</t>
  </si>
  <si>
    <t>Forgatási célú, felhalmozási belföldi kötvénykibocsátás beváltás kiadása</t>
  </si>
  <si>
    <t>05/912211</t>
  </si>
  <si>
    <t>Forgatási célú, működési belföldi kötvénykibocsátás beváltás kiadása</t>
  </si>
  <si>
    <t>05/912212</t>
  </si>
  <si>
    <t>Forgatási célú belföldi értékpapírok beváltása</t>
  </si>
  <si>
    <t>05/91221</t>
  </si>
  <si>
    <t>Befektetési célú kárpótlási jegyek vásárlása</t>
  </si>
  <si>
    <t>05/912313</t>
  </si>
  <si>
    <t>Befektetési célú belföldi egyéb hitelviszonyt megtestesítő értékpapírok vásárlása</t>
  </si>
  <si>
    <t>05/912315</t>
  </si>
  <si>
    <t>Befektetési célú belföldi értékpapírok vásárlása</t>
  </si>
  <si>
    <t>05//91231</t>
  </si>
  <si>
    <t>Befektetési célú, felhalmozási belföldi kötvénykibocsátás beváltás miatti  kiadások</t>
  </si>
  <si>
    <t>05/912411</t>
  </si>
  <si>
    <t>Befektetési célú, működési belföldi kötvénykibocsátás beváltás miatti  kiadások</t>
  </si>
  <si>
    <t>05/912412</t>
  </si>
  <si>
    <t>Befektetési célú belföldi értékpapírok beváltása</t>
  </si>
  <si>
    <t>05/91241</t>
  </si>
  <si>
    <t>Belföldi értékpapítok kiadásai</t>
  </si>
  <si>
    <t>05/912</t>
  </si>
  <si>
    <t>05/9131</t>
  </si>
  <si>
    <t>05/9141</t>
  </si>
  <si>
    <t>Központi, irányítószervi felhalmozási célú támogatás folyósítása</t>
  </si>
  <si>
    <t>Központi, irányítószervi működési célú támogatás folyósítása</t>
  </si>
  <si>
    <t>K915201-16</t>
  </si>
  <si>
    <t>05/9151</t>
  </si>
  <si>
    <t>Pénzeszközök betétként elhelyezése</t>
  </si>
  <si>
    <t>K916101</t>
  </si>
  <si>
    <t>05/9161</t>
  </si>
  <si>
    <t>Pénzügyi lízing kiadása</t>
  </si>
  <si>
    <t>05/9171</t>
  </si>
  <si>
    <t>Belföldi finanszírozás kiadás</t>
  </si>
  <si>
    <t>05/91</t>
  </si>
  <si>
    <t>05/92</t>
  </si>
  <si>
    <t>Finanszírozási kiadások</t>
  </si>
  <si>
    <t>05/9</t>
  </si>
  <si>
    <t>Ft-ban</t>
  </si>
  <si>
    <t>E Ft-ban</t>
  </si>
  <si>
    <t>Beruházás bruttó összköltsége:</t>
  </si>
  <si>
    <t>Ezer forintban!</t>
  </si>
  <si>
    <t>Elnyert támogatás:</t>
  </si>
  <si>
    <t>Források</t>
  </si>
  <si>
    <t>2017.</t>
  </si>
  <si>
    <t>2019.</t>
  </si>
  <si>
    <t>2020.</t>
  </si>
  <si>
    <t>Saját erő</t>
  </si>
  <si>
    <t>- saját erőből központi támogatás</t>
  </si>
  <si>
    <t>EU-s forrás</t>
  </si>
  <si>
    <t>Társfinanszírozás</t>
  </si>
  <si>
    <t>Hitel</t>
  </si>
  <si>
    <t>Egyéb forrás</t>
  </si>
  <si>
    <t>Források összesen:</t>
  </si>
  <si>
    <t>Kiadások, költségek</t>
  </si>
  <si>
    <t>Személyi jellegű</t>
  </si>
  <si>
    <t>Beruházások, beszerzések</t>
  </si>
  <si>
    <t>2019-re</t>
  </si>
  <si>
    <t>Szolgáltatások igénybe vétele</t>
  </si>
  <si>
    <t>FAD áthúzódó</t>
  </si>
  <si>
    <t>Adminisztratív költségek</t>
  </si>
  <si>
    <t>Támogatott neve</t>
  </si>
  <si>
    <t>Hozzájárulás  (E Ft)</t>
  </si>
  <si>
    <t>Pályázó: Budapest Főváros XVI. kerületi Önkormányzat</t>
  </si>
  <si>
    <t>Egyéb forrás - Fővárosi Önkormányzattól</t>
  </si>
  <si>
    <t>Sor-szám</t>
  </si>
  <si>
    <t>MEGNEVEZÉS</t>
  </si>
  <si>
    <t>A</t>
  </si>
  <si>
    <t>B</t>
  </si>
  <si>
    <t>C</t>
  </si>
  <si>
    <t>D</t>
  </si>
  <si>
    <t>E</t>
  </si>
  <si>
    <t>F</t>
  </si>
  <si>
    <t>ÖSSZES KÖTELEZETTSÉG</t>
  </si>
  <si>
    <r>
      <rPr>
        <b/>
        <sz val="11"/>
        <rFont val="Times New Roman CE"/>
        <family val="1"/>
        <charset val="238"/>
      </rPr>
      <t xml:space="preserve">Budapest Főváros XVI. kerületi  Önkormányzat saját bevételeinek részletezése </t>
    </r>
    <r>
      <rPr>
        <b/>
        <i/>
        <sz val="11"/>
        <rFont val="Times New Roman CE"/>
        <charset val="238"/>
      </rPr>
      <t>- a Gst. 45. § (1) bekezdés a) pontjában kapott felhatalmazás alapján kiadott jogszabályban meghatározottak szerinti saját bevétel -</t>
    </r>
    <r>
      <rPr>
        <b/>
        <sz val="11"/>
        <rFont val="Times New Roman CE"/>
        <family val="1"/>
        <charset val="238"/>
      </rPr>
      <t xml:space="preserve"> az adósságot keletkeztető ügyletből származó tárgyévi fizetési kötelezettség megállapításához</t>
    </r>
  </si>
  <si>
    <t xml:space="preserve"> 353/2011. (XII.31.) Korm. Rendelet</t>
  </si>
  <si>
    <t>Bevételi jogcímek</t>
  </si>
  <si>
    <t>2. § (1) Az önkormányzat saját bevételének minősül</t>
  </si>
  <si>
    <t>Helyi adóból és a települési adóból származó bevétel</t>
  </si>
  <si>
    <t>1. a helyi adóból és a települési adóból származó bevétel</t>
  </si>
  <si>
    <t>Az önkormányzati vagyon és az önkormányzatot megillető vagyoni értékű jog értékesítéséből és hasznosításából származó bevétel</t>
  </si>
  <si>
    <t>2. az önkormányzati vagyon és az önkormányzatot megillető vagyoni értékű jog értékesítéséből és hasznosításából származó bevétel</t>
  </si>
  <si>
    <t>Osztalék, koncessziós díj és hozambevétel</t>
  </si>
  <si>
    <t>3. az osztalék, a koncessziós díj és a hozambevétel</t>
  </si>
  <si>
    <t>Tárgyi eszköz és az immateriális jószág, részvény, részesedés, vállalat értékesítéséből vagy privatizációból származó bevétel</t>
  </si>
  <si>
    <t>4. a tárgyi eszköz és az immateriális jószág, részvény, részesedés, vállalat értékesítéséből vagy privatizációból származó bevétel</t>
  </si>
  <si>
    <t>Bírság-, pótlék- és díjbevétel</t>
  </si>
  <si>
    <t>5. bírság-, pótlék- és díjbevétel, valamint</t>
  </si>
  <si>
    <t>Kezesség-, illetve garanciavállalással kapcsolatos megtérülés</t>
  </si>
  <si>
    <t>6. a kezesség-, illetve garanciavállalással kapcsolatos megtérülés</t>
  </si>
  <si>
    <t>A Gst. 10. § (5) alapján adósságot keletkeztető ügyletek korlátja (számított saját bevétel 50 %-a)</t>
  </si>
  <si>
    <t>Fejlesztési cél leírása</t>
  </si>
  <si>
    <t>ADÓSSÁGOT KELETKEZTETŐ ÜGYLETEK VÁRHATÓ EGYÜTTES ÖSSZEGE</t>
  </si>
  <si>
    <t>Önkormányzatok egyes köznevelési feladatainak támogatása (A 2013. évben az összes általános működéshez és ágazati feladathoz kapcsolódó támogatások)</t>
  </si>
  <si>
    <t>K I A D Á S O K</t>
  </si>
  <si>
    <t xml:space="preserve"> Külföldi hitelek, kölcsönök törlesztése (kormányoknak, nemz. szervezeteknek / külf-i pénzintézetnek)</t>
  </si>
  <si>
    <t>KIADÁSOK ÖSSZESEN: (4.+11.)</t>
  </si>
  <si>
    <t>Többéves kihatással járó döntések számszerűsítése évenkénti bontásban és összesítve célok szerint</t>
  </si>
  <si>
    <t>Kötelezettség jogcíme</t>
  </si>
  <si>
    <t>Kötelezettség-vállalás
 éve</t>
  </si>
  <si>
    <t>Kiadás vonzata évenként</t>
  </si>
  <si>
    <t>9=(4+5+6+7+8)</t>
  </si>
  <si>
    <t>Működési célú finanszírozási kiadások
(hiteltörlesztés, értékpapír vásárlás, stb.)</t>
  </si>
  <si>
    <t>............................</t>
  </si>
  <si>
    <t>Lakótelkek kialakítása és közművesítése</t>
  </si>
  <si>
    <t>Sorszám</t>
  </si>
  <si>
    <t>Közvetett támogatás neme</t>
  </si>
  <si>
    <t>Közvetett támogatás formája/indokolása</t>
  </si>
  <si>
    <t>Kedvezmé-nyezettek száma  (fő)</t>
  </si>
  <si>
    <t xml:space="preserve">Helyi  adóból és átengedett adóból biztosított adóelengedések </t>
  </si>
  <si>
    <t>Adóelengedések</t>
  </si>
  <si>
    <t>1.a</t>
  </si>
  <si>
    <t>Építmény</t>
  </si>
  <si>
    <t>1.b</t>
  </si>
  <si>
    <t>1.c</t>
  </si>
  <si>
    <t>Gépjármű (átengedett)</t>
  </si>
  <si>
    <t>Adóelengedések összesen</t>
  </si>
  <si>
    <t>Helyi  adóból és átengedett adóból biztosított kedvezmény</t>
  </si>
  <si>
    <t>Adókedvezmények</t>
  </si>
  <si>
    <t>2.a.</t>
  </si>
  <si>
    <t>2.b</t>
  </si>
  <si>
    <t>2.c</t>
  </si>
  <si>
    <t>A gépjárműadóról szóló 1991. évi LXXXII. törvény 8. §</t>
  </si>
  <si>
    <t>Adókedvezmények összesen</t>
  </si>
  <si>
    <t>Helyi  adóból és átengedett adóból biztosított mentesség</t>
  </si>
  <si>
    <t>Mentességek</t>
  </si>
  <si>
    <t xml:space="preserve">Adóalap </t>
  </si>
  <si>
    <t>Kieső bevétel</t>
  </si>
  <si>
    <t>3. a.</t>
  </si>
  <si>
    <t>Nem értelmezehető</t>
  </si>
  <si>
    <t>3. b</t>
  </si>
  <si>
    <t>Nem értelmezhető</t>
  </si>
  <si>
    <t>Költségvetési szerv, alapítvány mentessége</t>
  </si>
  <si>
    <t>Észak-Atlanti szervezet és fegyveres testület</t>
  </si>
  <si>
    <t>Mozgáskorlátozotti kedvezmény</t>
  </si>
  <si>
    <t>A lakosság részére lakásépítéshez, lakásfelújításhoz nyújtott kölcsönök elengedése</t>
  </si>
  <si>
    <t>Kölcsön elengedése</t>
  </si>
  <si>
    <t>Munkáltatói kölcsön - lakásfelújításhoz</t>
  </si>
  <si>
    <t>Kölcsönökből nyújtott kedvezmények összesen</t>
  </si>
  <si>
    <t>Ellátottak térítési díjának, kártérítésének méltányossági alapon történő elengedése</t>
  </si>
  <si>
    <t>Térítési díj támogatás</t>
  </si>
  <si>
    <t>5.a/1.</t>
  </si>
  <si>
    <t>Étkeztetési támogatás /gyermekek (iskola, óvoda, bölcsőde)</t>
  </si>
  <si>
    <t>9/2010. (III. 29.) ÖK. rendelet és a Gyvt. alapján</t>
  </si>
  <si>
    <t>5.a/2.</t>
  </si>
  <si>
    <t>9/2010. (III. 29.) ÖK. rendelet alapján</t>
  </si>
  <si>
    <t>5.b.</t>
  </si>
  <si>
    <t>Ellátottak kártérítésének méltányossági alapon történő elengedése</t>
  </si>
  <si>
    <t>Ellátottak térítési díjából nyújtott kedvezmény összesen</t>
  </si>
  <si>
    <t>Helyiségek, eszközök hasznosításából származó bevételből nyújtott kedvezmény, mentesség</t>
  </si>
  <si>
    <t>Bevételekből nyújtott kedvezmények</t>
  </si>
  <si>
    <t>Az ingatlanhasznosítás által biztosított közvetett támogatások</t>
  </si>
  <si>
    <t>Kedvezményezett neve</t>
  </si>
  <si>
    <t xml:space="preserve">A kedvezményesen/ingyenesen átadott vagyontárgy címe és egyéb jellemzői </t>
  </si>
  <si>
    <t xml:space="preserve">A bérbeadási hatáskör gyakorlója által megállapított közvetett támogatás összege </t>
  </si>
  <si>
    <t>Árpádföldi Közösségi Egyesület (plusz beintegrált szerveztek)
553/2007. (IX. 5.) Kt.</t>
  </si>
  <si>
    <r>
      <rPr>
        <sz val="12"/>
        <rFont val="Times New Roman"/>
        <family val="1"/>
        <charset val="238"/>
      </rPr>
      <t>Felépítmény: 109 m</t>
    </r>
    <r>
      <rPr>
        <vertAlign val="superscript"/>
        <sz val="12"/>
        <rFont val="Times New Roman"/>
        <family val="1"/>
        <charset val="238"/>
      </rPr>
      <t>2</t>
    </r>
    <r>
      <rPr>
        <sz val="12"/>
        <rFont val="Times New Roman"/>
        <family val="1"/>
        <charset val="238"/>
      </rPr>
      <t xml:space="preserve"> földterület 600m2 1162 Budapest Czibakháza u. 45. - 2015. február 28-ig.</t>
    </r>
  </si>
  <si>
    <t>Corvini Comini (plusz beintegrált szerveztek)
639/2007. (XI. 7.) Kt.</t>
  </si>
  <si>
    <r>
      <rPr>
        <sz val="12"/>
        <rFont val="Times New Roman"/>
        <family val="1"/>
        <charset val="238"/>
      </rPr>
      <t>Felépítmény: 178 m</t>
    </r>
    <r>
      <rPr>
        <vertAlign val="superscript"/>
        <sz val="12"/>
        <rFont val="Times New Roman"/>
        <family val="1"/>
        <charset val="238"/>
      </rPr>
      <t>2</t>
    </r>
    <r>
      <rPr>
        <sz val="12"/>
        <rFont val="Times New Roman"/>
        <family val="1"/>
        <charset val="238"/>
      </rPr>
      <t xml:space="preserve"> földterület: 3219m2 Táncsics u. 10. - 2015. február 28-ig.</t>
    </r>
  </si>
  <si>
    <t>átadva kszsz-nek 2015.06.22-én</t>
  </si>
  <si>
    <t>R+Á Egyesület (plusz beintegrált szervezetek) 
554/2007. (IX. 5.) Kt.</t>
  </si>
  <si>
    <r>
      <rPr>
        <sz val="12"/>
        <rFont val="Times New Roman"/>
        <family val="1"/>
        <charset val="238"/>
      </rPr>
      <t>Felépítmény: 112 m</t>
    </r>
    <r>
      <rPr>
        <vertAlign val="superscript"/>
        <sz val="12"/>
        <rFont val="Times New Roman"/>
        <family val="1"/>
        <charset val="238"/>
      </rPr>
      <t>2</t>
    </r>
    <r>
      <rPr>
        <sz val="12"/>
        <rFont val="Times New Roman"/>
        <family val="1"/>
        <charset val="238"/>
      </rPr>
      <t xml:space="preserve"> földterület: 1245m2 1162 Budapest Csömöri út 185.  - 2015. február 28-ig.</t>
    </r>
  </si>
  <si>
    <t xml:space="preserve">üres ingatlan átvettük 2015.03.27-én </t>
  </si>
  <si>
    <t>Cinkotáért Közhasznú Egyesület  (plusz beintegrált szerveztek)
551/2007. (IX. 5.) Kt.</t>
  </si>
  <si>
    <r>
      <rPr>
        <sz val="12"/>
        <rFont val="Times New Roman"/>
        <family val="1"/>
        <charset val="238"/>
      </rPr>
      <t xml:space="preserve">Felépítmény: 262 m </t>
    </r>
    <r>
      <rPr>
        <vertAlign val="superscript"/>
        <sz val="12"/>
        <rFont val="Times New Roman"/>
        <family val="1"/>
        <charset val="238"/>
      </rPr>
      <t>2</t>
    </r>
    <r>
      <rPr>
        <sz val="12"/>
        <rFont val="Times New Roman"/>
        <family val="1"/>
        <charset val="238"/>
      </rPr>
      <t xml:space="preserve"> földterület: 1154m2 1164 Budapest Vidámvásár u. 72. - 2015. február 28-ig.</t>
    </r>
  </si>
  <si>
    <t>Cinkotai Nyugdíjas Polgárok Köre  (plusz beintegrált szerveztek)
550/2007. (IX. 5.) Kt.</t>
  </si>
  <si>
    <r>
      <rPr>
        <sz val="12"/>
        <rFont val="Times New Roman"/>
        <family val="1"/>
        <charset val="238"/>
      </rPr>
      <t>Felépítmény: 355m</t>
    </r>
    <r>
      <rPr>
        <vertAlign val="superscript"/>
        <sz val="12"/>
        <rFont val="Times New Roman"/>
        <family val="1"/>
        <charset val="238"/>
      </rPr>
      <t>2</t>
    </r>
    <r>
      <rPr>
        <sz val="12"/>
        <rFont val="Times New Roman"/>
        <family val="1"/>
        <charset val="238"/>
      </rPr>
      <t xml:space="preserve"> földterület: 300m2 1164 Budapest Rádió u. 32. - 2015. február 28-ig.</t>
    </r>
  </si>
  <si>
    <t>Rákosszentmihály és Árpádföld Polgári Köre (plusz beintegrált szerveztek) 
552/2007. (IX. 5.) Kt.</t>
  </si>
  <si>
    <r>
      <rPr>
        <sz val="12"/>
        <rFont val="Times New Roman"/>
        <family val="1"/>
        <charset val="238"/>
      </rPr>
      <t>felépítmény: 111m</t>
    </r>
    <r>
      <rPr>
        <vertAlign val="superscript"/>
        <sz val="12"/>
        <rFont val="Times New Roman"/>
        <family val="1"/>
        <charset val="238"/>
      </rPr>
      <t>2</t>
    </r>
    <r>
      <rPr>
        <sz val="12"/>
        <rFont val="Times New Roman"/>
        <family val="1"/>
        <charset val="238"/>
      </rPr>
      <t xml:space="preserve"> 1161 Budapest Rákosi u. 71. (az ingatlan egy két albetétes társasházban található, külön telekterület nem tartozik hozzá). - 2015. február 28-ig.</t>
    </r>
  </si>
  <si>
    <t>Centenáriumi Lakótelepért Egyesület</t>
  </si>
  <si>
    <t xml:space="preserve">EV-sport Magyarország Autósport Egyesület </t>
  </si>
  <si>
    <t>Árpádföldi tenisz klub - bérleti szerződésbe megy át.</t>
  </si>
  <si>
    <t>Mátyásföldi Lawn Tennis Club - bérleti szerződésbe megy át.</t>
  </si>
  <si>
    <t>Helyiségek, eszközök hasznosításából származó bevételből nyújtott kedvezmény, mentesség összesen:</t>
  </si>
  <si>
    <t>Egyéb nyújtott kedvezmény vagy kölcsön elengedése</t>
  </si>
  <si>
    <t>Egyéb nyújtott kedvezmény vagy kölcsön elengedése összesen:</t>
  </si>
  <si>
    <t>Január</t>
  </si>
  <si>
    <t>Február</t>
  </si>
  <si>
    <t>Március</t>
  </si>
  <si>
    <t>Április</t>
  </si>
  <si>
    <t>Május</t>
  </si>
  <si>
    <t>Június</t>
  </si>
  <si>
    <t>Július</t>
  </si>
  <si>
    <t>Auguszt.</t>
  </si>
  <si>
    <t>Szept.</t>
  </si>
  <si>
    <t>Okt.</t>
  </si>
  <si>
    <t>Nov.</t>
  </si>
  <si>
    <t>Dec.</t>
  </si>
  <si>
    <t>Felhalmozási célú támogatások ÁH-on belül</t>
  </si>
  <si>
    <t>Bevételek összesen:</t>
  </si>
  <si>
    <t>Tartalékok</t>
  </si>
  <si>
    <t>Kiadások összesen:</t>
  </si>
  <si>
    <t>Egyenleg</t>
  </si>
  <si>
    <t>Költségvetési szervek előirányzat-felhasználási tervei</t>
  </si>
  <si>
    <t xml:space="preserve"> Egyéb működési célú kiadások</t>
  </si>
  <si>
    <t>Budapest Főváros XVI. kerületi Önkormányzat - az Áht. 29/A. § szerinti tervszámoknak megfelelően a -költségvetési évet követő három év tervezett bevételi előirányzatainak és kiadási előirányzatainak keretszámai főbb csoportokban</t>
  </si>
  <si>
    <t>Indokoláshoz: növekedés vagy csökkenés előző évhez viszonyítva</t>
  </si>
  <si>
    <t>Helyi adók  (4.1.1.+...+4.1.3.)</t>
  </si>
  <si>
    <t>- Termékek és szolgáltatások adói</t>
  </si>
  <si>
    <t xml:space="preserve">Működési célú átvett pénzeszközök </t>
  </si>
  <si>
    <t xml:space="preserve">FINANSZÍROZÁSI BEVÉTELEK ÖSSZESEN: </t>
  </si>
  <si>
    <t>KÖLTSÉGVETÉSI ÉS FINANSZÍROZÁSI BEVÉTELEK ÖSSZESEN: (9+10)</t>
  </si>
  <si>
    <t xml:space="preserve">Működési költségvetés kiadásai </t>
  </si>
  <si>
    <t>Felhalmozási költségvetés kiadásai (2.1.+2.2.+2.3.)</t>
  </si>
  <si>
    <t>FINANSZÍROZÁSI KIADÁSOK ÖSSZESEN:</t>
  </si>
  <si>
    <t>KÖLTSÉGVETÉSI ÉS FINANSZÍROZÁSI KIADÁSOK ÖSSZESEN: (4.+5.)</t>
  </si>
  <si>
    <t>Nem része a rendeletnek - Kolleganőknek tájékoztatásul</t>
  </si>
  <si>
    <t>Régi szakf.</t>
  </si>
  <si>
    <t>Technikai cofog kódok, alapító okiratban nem szerepeltethetők.</t>
  </si>
  <si>
    <t>1. Általános közszolgáltatások</t>
  </si>
  <si>
    <t>TECHN.</t>
  </si>
  <si>
    <t>Önkormányzatok és önkormányzati hivatalok jogalkotó és általános igazgatási tevékenysége</t>
  </si>
  <si>
    <t>Önk.képviselőtestületeinek, bizottságainak műk-vel összefüggő feladatok, valamint az önk.hivatalok igazg. Szervei általános igazgatási feladatainak ellátása</t>
  </si>
  <si>
    <t>011220</t>
  </si>
  <si>
    <t>Adó-, vám- és jövedéki igazgatás</t>
  </si>
  <si>
    <t>Adók kiszabásával, ellenőrzésével, beszedésével, behajtásával összefüggő feladatok.</t>
  </si>
  <si>
    <t>Lakóing. Bérbeadása, üzemeltetése</t>
  </si>
  <si>
    <t>Az önkormányzati vagyonnal való gazdálkodással kapcsolatos feladatok</t>
  </si>
  <si>
    <t>Lakóingatlan szociális célú bérbeadása üzemeltetése</t>
  </si>
  <si>
    <t>Nem lakóing. Bérbeadása, üzemeltetése</t>
  </si>
  <si>
    <t>Az önkormányzati vagyon - ingatlanok és más vagyontárgyak, vagyoni értékű jogok - üzleti célú használatba, haszonbérbe adásával, állagmegóvásával, felújításával, adás-vételével és más módon történő hasznosításával, kezelésével összefüggő feladatok ellátása.</t>
  </si>
  <si>
    <t>Önkormányzati vagyonnal való gazdálkodással kapcs. Feladatok</t>
  </si>
  <si>
    <t>TECHN:Ogy. Képviselőválasztásokhoz kapcs. Tev.</t>
  </si>
  <si>
    <t>Országgyűlési, önkormányzati és európai parlamenti képviselőválasztásokhoz kapcsolódó tevékenységek</t>
  </si>
  <si>
    <t>TECHN.Önkorm.képviselővál-hoz kapcs. Tev.</t>
  </si>
  <si>
    <t>TECHN.Európai parlamenti képviselővál-hoz kapcs.tev.</t>
  </si>
  <si>
    <t>Országos és helyi népszavazással kapcsolatos tevékenységek</t>
  </si>
  <si>
    <t>016030</t>
  </si>
  <si>
    <t>Állampolgársági ügyek</t>
  </si>
  <si>
    <t xml:space="preserve"> Halotti, házassági és egyéb anyakönyvezési tevékenységek.</t>
  </si>
  <si>
    <t>TECHN.Kiemelt állami és önkormányzati rendezvények</t>
  </si>
  <si>
    <t>016080</t>
  </si>
  <si>
    <t>Kiemelt állami és önkormányzati rendezvények</t>
  </si>
  <si>
    <t>017010</t>
  </si>
  <si>
    <t>Államadóssággal kapcsolatos tranzakciók</t>
  </si>
  <si>
    <t xml:space="preserve"> </t>
  </si>
  <si>
    <t>Államadóssággal kapcsolatos tranzakciók, fizetési műveletek, kormányzati hitelek jegyzésével és folyósításával kapcsolatos kamatfizetések és költségek teljesítése.</t>
  </si>
  <si>
    <t>Önkormányzatok és társ.elszámolásai a központi költségvetéssel</t>
  </si>
  <si>
    <t>Önkormányzatok elszámolásai a központi költségvetéssel</t>
  </si>
  <si>
    <t>Az önkormányzatok funkcióhoz nem köthető elszámolásai a központi költségvetéssel.</t>
  </si>
  <si>
    <t>Központi költségvetési befizetések</t>
  </si>
  <si>
    <t>108020</t>
  </si>
  <si>
    <t>Központi költségvetés részére történő, funkcióhoz nem köthető befizetések, visszafizetések teljesítése</t>
  </si>
  <si>
    <t>TECHN. Intézményfinansz.</t>
  </si>
  <si>
    <t>Támogatási célú finanszírozási műveletek</t>
  </si>
  <si>
    <t>TECHN. Pénzmar. Igénybevétel</t>
  </si>
  <si>
    <t>A költségvetési maradvány igénybevétele, az irányító szerv által nyújtott támogatás.</t>
  </si>
  <si>
    <t>2. Védelem</t>
  </si>
  <si>
    <t>Polgári védelem</t>
  </si>
  <si>
    <t>022010</t>
  </si>
  <si>
    <t>Polgári honvédelem</t>
  </si>
  <si>
    <t>025090</t>
  </si>
  <si>
    <t>Egyéb védelmi ügyek</t>
  </si>
  <si>
    <t>3. Közrend és közbiztonság</t>
  </si>
  <si>
    <t>Közterület rendjének fenntartása</t>
  </si>
  <si>
    <t>Tűzoltás, műszaki mentés, katasztrófahelyzet elhárítás</t>
  </si>
  <si>
    <t>Tűz- és katasztrófavédelmi tevékenységek</t>
  </si>
  <si>
    <t>4. Gazdasági ügyek</t>
  </si>
  <si>
    <t>Állat-egészségügyi ellátás</t>
  </si>
  <si>
    <t>Állat-egészségügy</t>
  </si>
  <si>
    <t>Út, autópálya építése    (járdaépítés is ide tartozik)</t>
  </si>
  <si>
    <t>Közutak, hidak, alagutak üzemeltetése</t>
  </si>
  <si>
    <t>047410</t>
  </si>
  <si>
    <t>Ár- és belvízvédelemmel összefüggő tevékenységek</t>
  </si>
  <si>
    <t>047460</t>
  </si>
  <si>
    <t>Kis- és középvállalkozások működési és fejlesztési támogatásai</t>
  </si>
  <si>
    <t>049010</t>
  </si>
  <si>
    <t>Máshova nem sorolt gazdasági ügyek</t>
  </si>
  <si>
    <t>5. Környezetvédelem</t>
  </si>
  <si>
    <t>Nem veszélyes (települési) hulladék vegyes (ömlesztett) begyűjtése, szállítása, átrakása</t>
  </si>
  <si>
    <t>052020</t>
  </si>
  <si>
    <t>Szennyvíz gyűjtése, tisztítása, elhelyezése</t>
  </si>
  <si>
    <t>Szennyvízcsatorna építése, fenntartása, üzemeltetése</t>
  </si>
  <si>
    <t>6. Lakásépítés és kommunális létesítmények</t>
  </si>
  <si>
    <t>Önkormányzatok által nyújtott lakástámogatások</t>
  </si>
  <si>
    <t>Lakáshoz jutást segítő támogatások</t>
  </si>
  <si>
    <t>Munkáltatók által nyújtott lakástámogatások</t>
  </si>
  <si>
    <t>Településfejlesztési projektek és támogatásuk</t>
  </si>
  <si>
    <t>Vízellátással kapcsolatos közmű építése, fenntartása, üzemeltetése</t>
  </si>
  <si>
    <t>Közvilágítás</t>
  </si>
  <si>
    <t>Zöldterület-kezelés</t>
  </si>
  <si>
    <t>Város-, községgazdálkodási egyéb szolgáltatások</t>
  </si>
  <si>
    <t>7. Egészségügy</t>
  </si>
  <si>
    <t>Kábítószer-megelőzés programjai, tevékenységei</t>
  </si>
  <si>
    <t>Komplex egészségfejlesztő, prevenciós programok</t>
  </si>
  <si>
    <t>074090</t>
  </si>
  <si>
    <t>Közegészségügyi szolgáltatások finanszírozása és támogatása</t>
  </si>
  <si>
    <t>Hatósági eljárás érdekében vagy más, jogszabályban előrt okból kötelezően végzett egészségügyi szakértői tevékenység</t>
  </si>
  <si>
    <t>076040</t>
  </si>
  <si>
    <t>Egészségügyi szakértői tevékenységek</t>
  </si>
  <si>
    <t>076062</t>
  </si>
  <si>
    <t>Település-egészségügyi feladatok</t>
  </si>
  <si>
    <t>Közegészségügyi előírások érvényesítésével és ellenőrzésével, a lakókörnyezetet veszélyeztető tevékenységek és ezek bejelentése módjának lakossággal való ismertetésével öüsszefüggő feladatok ellátása.</t>
  </si>
  <si>
    <t>8. Szabadidő, sport és sportszolgáltatások</t>
  </si>
  <si>
    <t>081021</t>
  </si>
  <si>
    <t>Sportszövetségek és szabályozó testületek működésének támogatása</t>
  </si>
  <si>
    <t>081022</t>
  </si>
  <si>
    <t>Sportteljesítmények elismerése, járadékok, ösztöndíjak</t>
  </si>
  <si>
    <t>Sportlétesítmények működtetése és fejlesztése</t>
  </si>
  <si>
    <t>Sportlétesítmények, edzőtáborok működtetése és fejlesztése</t>
  </si>
  <si>
    <t>Versenysport- és utánpótlás-nevelési tevékenység és támogatása</t>
  </si>
  <si>
    <t>Iskolai, diáksport-tevékenység és támogatása</t>
  </si>
  <si>
    <t>Szabadidősport-tevékenység és támogatása</t>
  </si>
  <si>
    <t>Szabadidős park, fürdő és strandszolgáltatás</t>
  </si>
  <si>
    <t>081061</t>
  </si>
  <si>
    <t>Üdülői szálláshely-szolgáltatás</t>
  </si>
  <si>
    <t>Üdülői szálláshely-szolgáltatás és étkeztetés</t>
  </si>
  <si>
    <t>Befogadó színházak tevékenysége</t>
  </si>
  <si>
    <t>082020</t>
  </si>
  <si>
    <t>Színházak tevékenysége</t>
  </si>
  <si>
    <t>Művészeti tevékenységek</t>
  </si>
  <si>
    <t>Közművelődési tevékenységek</t>
  </si>
  <si>
    <t>Közművelődés - hagyományos közösségi kulturális értékek gondozása</t>
  </si>
  <si>
    <t>Folyóirat, időszaki kiadvány kiadása</t>
  </si>
  <si>
    <t>Egyéb kiadói tevékenység</t>
  </si>
  <si>
    <t>Nemzetiségi közfeladatok ellátása és támogatása</t>
  </si>
  <si>
    <t>Civil szervezetek működési támogatása</t>
  </si>
  <si>
    <t>Civil szervezetek programtámogatása</t>
  </si>
  <si>
    <t>Egyházak közösségi és hitéleti tevékenységének támogatása</t>
  </si>
  <si>
    <t>A fiatalok társadalmi integrációját segítő struktúra, szakmai szolgáltatások fejlesztése, működtetése</t>
  </si>
  <si>
    <t>Határon túli magyarok egyéb támogatásai</t>
  </si>
  <si>
    <t>9. Oktatás</t>
  </si>
  <si>
    <t>10. Szociális védelem</t>
  </si>
  <si>
    <t>Pszichiátriai betegek átmeneti ellátása</t>
  </si>
  <si>
    <t>101131</t>
  </si>
  <si>
    <t>101231</t>
  </si>
  <si>
    <t>Fogyatékossággal összefüggő pénzbeli ellátások, támogatások</t>
  </si>
  <si>
    <t>Ápolási díj</t>
  </si>
  <si>
    <t>Betegséggel kapcsolatos pénzbeli ellátások</t>
  </si>
  <si>
    <t>Időskorúak átmeneti ellátása</t>
  </si>
  <si>
    <t>102022</t>
  </si>
  <si>
    <t>Időskorúak, demens betegek átmeneti ellátása</t>
  </si>
  <si>
    <t>103010</t>
  </si>
  <si>
    <t>Elhunyt személyek hátramaradottainak pénzbeli ellátásai</t>
  </si>
  <si>
    <t>Gyermekek átmeneti ellátása</t>
  </si>
  <si>
    <t>104012</t>
  </si>
  <si>
    <t>104051</t>
  </si>
  <si>
    <t>Gyermekvédelmi pénzbeli és természetbeni ellátások</t>
  </si>
  <si>
    <t>104052</t>
  </si>
  <si>
    <t>Családtámogatások</t>
  </si>
  <si>
    <t>105010</t>
  </si>
  <si>
    <t>Munkanélküli aktív korúak ellátásai</t>
  </si>
  <si>
    <t>106020</t>
  </si>
  <si>
    <t>Lakásfenntartással, lakhatással összefüggő ellátások</t>
  </si>
  <si>
    <t>107015</t>
  </si>
  <si>
    <t>Hajléktalanok nappali ellátása</t>
  </si>
  <si>
    <t>107016</t>
  </si>
  <si>
    <t>Jelzőrendszeres házi segítségnyújtás</t>
  </si>
  <si>
    <t>Egyéb szociális természetbeni és pénzbeli ellátások</t>
  </si>
  <si>
    <t>Átmeneti segély</t>
  </si>
  <si>
    <t>Technikai funkciókódok</t>
  </si>
  <si>
    <t>Önkormányzatok funkcióra nem sorolható bevételei államháztartások kívülről</t>
  </si>
  <si>
    <t>Forgatási és befektetési célú finanszírozási műveletek</t>
  </si>
  <si>
    <t>900070</t>
  </si>
  <si>
    <t>Fejezeti és általános tartalékok elszámolása</t>
  </si>
  <si>
    <t>Szakfeladatra el nem számolt tételek</t>
  </si>
  <si>
    <t>900080</t>
  </si>
  <si>
    <t>Szabad kapacitás terhére végzett, nem haszonszerzési célú tevékenységek kiadásai és bevételei</t>
  </si>
  <si>
    <t>Néri Szent Fülöp Általános Iskola alsó tagozatosainak iskolakezdési támogatása</t>
  </si>
  <si>
    <t>Iskolakezdési támogatás a volt önkormányzati fenntartású általános iskolák alsó tagozatosai számára</t>
  </si>
  <si>
    <t>48./C.</t>
  </si>
  <si>
    <t>Ebnyilvántartó program   (12700/hó) + „adatlekérő rendszer üzemeltetési költségeinek díját - 2020-tól elektronikus ügyviteli lehetőségek bővítésére +2,5 millió Ft.</t>
  </si>
  <si>
    <t>Helyi esélyegyenlőségi program megvalósítása</t>
  </si>
  <si>
    <t xml:space="preserve">Kertvárosi Ifjúsági Önkormányzat  kiadásai </t>
  </si>
  <si>
    <t>Háztartásoknak egyéb működési célú támogatások (32.+…+38.)</t>
  </si>
  <si>
    <t>Tóköz utca 28. szám alatti ingatlanon bérlakások kialakítására</t>
  </si>
  <si>
    <t>A főösszeg:</t>
  </si>
  <si>
    <t>Tóth Ilonka Emlékház fejlesztése - EMMI által támogatott</t>
  </si>
  <si>
    <r>
      <t>Budapest, Rákosi út 114. szám alatti Társasházban  109319/0/A/9 hrsz-ú 43 m</t>
    </r>
    <r>
      <rPr>
        <vertAlign val="superscript"/>
        <sz val="12"/>
        <rFont val="Times New Roman"/>
        <family val="1"/>
        <charset val="238"/>
      </rPr>
      <t>2</t>
    </r>
    <r>
      <rPr>
        <sz val="12"/>
        <rFont val="Times New Roman"/>
        <family val="1"/>
        <charset val="238"/>
      </rPr>
      <t xml:space="preserve"> területű nem lakás célú helyiség ingyenes haszonkölcsönbe adása a 227/2010. (V. 12.) Kt. határozat alapján.</t>
    </r>
  </si>
  <si>
    <t>Kifizetett FAD 2019-ben:</t>
  </si>
  <si>
    <t>Térköz</t>
  </si>
  <si>
    <t>Felhalmozási célú átvett pénzeszközök (8.1.+ … +8.3.)</t>
  </si>
  <si>
    <t>Hitel-, kölcsönfelvétel államháztartáson kívülről  (10.1.+ … +10.3.)</t>
  </si>
  <si>
    <t>KÖLTSÉGVETÉSI ÉS FINANSZÍROZÁSI BEVÉTELEK ÖSSZESEN: (9.+17.)</t>
  </si>
  <si>
    <t>KÖLTSÉGVETÉSI KIADÁSOK ÖSSZESEN (1.+2.+3.)</t>
  </si>
  <si>
    <t>KÖLTSÉGVETÉSI BEVÉTELEK ÖSSZESEN: (1.+ … +8.)</t>
  </si>
  <si>
    <t>KÖLTSÉGVETÉSI BEVÉTELEK ÖSSZESEN: (1.+…+8.)</t>
  </si>
  <si>
    <t>Sashalmi Piac” Ingatlanfejlesztő, Beruházó és Üzemeltető Kft. által üzemeltetett ingatlanok és tárgyi eszközök beruházására valamint felújítására</t>
  </si>
  <si>
    <t>Kiemelt sportolók támogatása (KKSIGYB hatáskör)</t>
  </si>
  <si>
    <t>Közművelődés támogatása (KKSIGYB hatáskör)</t>
  </si>
  <si>
    <t>Kertvárosi tehetséges tanulók támogatása (KKSIGYB hatáskör)</t>
  </si>
  <si>
    <t>Nemzetiségi önkormányzatnak és  költségvetési szervének egyéb működési célú támogatások (KKSIGYB hatáskör)</t>
  </si>
  <si>
    <t>Kerületi sport támogatása, Kerületi Sportegyesületek közvetlen, utánpótlás nevelés támogatása (KKSIGYB hatáskör)</t>
  </si>
  <si>
    <t>Háztartásoknak egyéb felhalmozási célú támogatások: Bérlakás lemondás (ESZB hatáskör)</t>
  </si>
  <si>
    <t>Városképi jelentőségű épületek és építmények felújításának, helyreállításának önkormányzati támogatása (KFÜB hatáskör)</t>
  </si>
  <si>
    <t>Fiatal házasok első lakáshoz jutási támogatása (ESZB hatáskör)</t>
  </si>
  <si>
    <t>Egyházi jogi személynek egyéb felhalmozási célú támogatások
(polgármesteri hatáskör)</t>
  </si>
  <si>
    <t>Budapest Főváros XVI. kerületi Önkormányzat Gst. 8. § (2) bekezdése szerinti adósságot keletkeztető ügyletekből és az önkormányzati garanciákból és az önkormányzati kezességvállalásokból fennálló kötelezettségei</t>
  </si>
  <si>
    <t>Fűtés melegvízdíj szolgáltatás</t>
  </si>
  <si>
    <t>K11306</t>
  </si>
  <si>
    <t>K11308</t>
  </si>
  <si>
    <t>074040</t>
  </si>
  <si>
    <t>K421906</t>
  </si>
  <si>
    <t>Kertvárosi Sportlétesítményeket Üzemeltető Kft. Kompenzációja</t>
  </si>
  <si>
    <t>K6214331</t>
  </si>
  <si>
    <t>Iratbetekintés</t>
  </si>
  <si>
    <t>0940219</t>
  </si>
  <si>
    <t>Eltérés:</t>
  </si>
  <si>
    <t>Eltérés</t>
  </si>
  <si>
    <r>
      <t xml:space="preserve">Helyi önkormányzatnak és azok költségvetési szervének egyéb felhalmozási célú támogatások - </t>
    </r>
    <r>
      <rPr>
        <b/>
        <sz val="10"/>
        <rFont val="Times New Roman"/>
        <family val="1"/>
        <charset val="238"/>
      </rPr>
      <t>A XVI. Kerület Kertvárosi Egészségügyi Szolgálata járóbeteg szakellátásának korszerűsítése, bővítése</t>
    </r>
  </si>
  <si>
    <t>Káralap számla bevétele</t>
  </si>
  <si>
    <t>ebből: Kerületi sportegyesületek közvetett bérleti díj támogatása</t>
  </si>
  <si>
    <t>Veszélyhelyzeti rendkívüli támogatás</t>
  </si>
  <si>
    <t>K711339</t>
  </si>
  <si>
    <t>05/71139</t>
  </si>
  <si>
    <t>K511203</t>
  </si>
  <si>
    <r>
      <t xml:space="preserve">Állami többségi tulajdonú  nem pénzügyi vállalkozásnak egyéb működési célú támogatások </t>
    </r>
    <r>
      <rPr>
        <sz val="9"/>
        <rFont val="Times New Roman"/>
        <family val="1"/>
        <charset val="238"/>
      </rPr>
      <t>(Pilisi Parkerdő - Sashalmi erdő fenntartására)</t>
    </r>
  </si>
  <si>
    <t>bevétel</t>
  </si>
  <si>
    <t>kiadás</t>
  </si>
  <si>
    <t>B161107</t>
  </si>
  <si>
    <t>Bérbeszámítás - nem lakás célú helyiségek bérbeadására kötött bérleti szerződések alapján - 2019-től új sor - NEM KELL</t>
  </si>
  <si>
    <t>Országgyűlési képviselői választás: Normatív jutalom része</t>
  </si>
  <si>
    <t>Országgyűlési képviselői választás: Jutalom saját része</t>
  </si>
  <si>
    <t>Európai Parlament tagjai választása: Normatív jutalom része</t>
  </si>
  <si>
    <t>Európai Parlament tagjai választása: Jutalom saját része</t>
  </si>
  <si>
    <t>Időközi / Helyi önkormányzati képviselő választás: Normatív jutalom része</t>
  </si>
  <si>
    <t>Időközi / Helyi önkormányzati képviselő választás: Jutalom saját része</t>
  </si>
  <si>
    <t>Nemzetiségi önkormányzati képviselők választása: Normatív jutalom része</t>
  </si>
  <si>
    <t>Nemzetiségi önkormányzati képviselők választása:  Jutalom saját része</t>
  </si>
  <si>
    <t>Országos népszavazás: Normatív jutalom</t>
  </si>
  <si>
    <t>Országos népszavazás: Jutalom saját rész</t>
  </si>
  <si>
    <t>Béren kívüli juttatások (Cafetéria)</t>
  </si>
  <si>
    <t>Családalapítási támogatás - nem itt tervezzük</t>
  </si>
  <si>
    <t>Lakhatási támogatások (Albérleti hozzájárulás)</t>
  </si>
  <si>
    <t>Szociális támogatások (Egyszeri szociális segély)</t>
  </si>
  <si>
    <t>Országgyűlési képviselői választás: Külsősök normatív tiszteletdíja, megbízási díja</t>
  </si>
  <si>
    <t>Országgyűlési képviselői választás: Külsősök tiszteletdíja, megbízási díja saját forrásból</t>
  </si>
  <si>
    <t>Európai Parlament tagjai választása: Külsősök normatív tiszteletdíja, megbízási díja</t>
  </si>
  <si>
    <t>Európai Parlament tagjai választása: Külsősök tiszteletdíja, megbízási díja saját forrásból</t>
  </si>
  <si>
    <t>Időközi / Helyi önkormányzati képviselő választás: Külsősök normatív tiszteletdíja, megbízási díja</t>
  </si>
  <si>
    <t>Időközi / Helyi önkormányzati képviselő választás: Külsősök tiszteletdíja, megbízási díja saját forrásból</t>
  </si>
  <si>
    <t>Nemzetiségi önkormányzati képviselők választása: Külsősök normatív tiszteletdíja, megbízási díja</t>
  </si>
  <si>
    <t>Nemzetiségi önkormányzati képviselők választása: Külsősök tiszteletdíja, megbízási díja saját forrásból</t>
  </si>
  <si>
    <t>Országos népszavazás: Külsősök normatív tiszteletdíja, megbízási díja</t>
  </si>
  <si>
    <t>Országos népszavazás: Külsősök tiszteletdíja, megbízási díja saját forrásból</t>
  </si>
  <si>
    <t>Munkavégzésre irányuló egyéb jogviszonyban nem saját foglalkoztatottnak fizetett juttatások (=28)</t>
  </si>
  <si>
    <t>Reprezentációs kiadások: Országgyűlési képviselői választás normatív része</t>
  </si>
  <si>
    <t>Reprezentációs kiadások: Országgyűlési képviselői választás saját része</t>
  </si>
  <si>
    <t>Reprezentációs kiadások: Európai Parlament tagjai választás normatív része</t>
  </si>
  <si>
    <t>Reprezentációs kiadások: Európai Parlament tagjai választás saját része</t>
  </si>
  <si>
    <t>Reprezentációs kiadások: Időközi / Helyi önkormányzati képviselő választás normatív része</t>
  </si>
  <si>
    <t>Reprezentációs kiadások: Időközi / Helyi önkormányzati képviselő választás saját része</t>
  </si>
  <si>
    <t>Reprezentációs kiadások:  Nemzetiségi önkormányzati képviselők választása normatív része</t>
  </si>
  <si>
    <t>Reprezentációs kiadások: Nemzetiségi önkormányzati képviselők választása saját része</t>
  </si>
  <si>
    <t>Szociális hozzájárulási adó: Országgyűlési képviselői választás normatív része</t>
  </si>
  <si>
    <t>Szociális hozzájárulási adó: Országgyűlési képviselői választás saját része</t>
  </si>
  <si>
    <t>Szociális hozzájárulási adó:  Európai Parlament tagjai választása normatív része</t>
  </si>
  <si>
    <t>Szociális hozzájárulási adó:  Európai Parlament tagjai választása saját része</t>
  </si>
  <si>
    <t>Szociális hozzájárulási adó: Időközi / Helyi önkormányzati képviselő választás normatív része</t>
  </si>
  <si>
    <t>Szociális hozzájárulási adó: Időközi / Helyi önkormányzati képviselő választás saját része</t>
  </si>
  <si>
    <t>Szociális hozzájárulási adó: Nemzetiségi önkormányzati képviselők választása normatív része</t>
  </si>
  <si>
    <t>Szociális hozzájárulási adó: Nemzetiségi önkormányzati képviselők választása saját része</t>
  </si>
  <si>
    <t>Egészségügyi hozzájárulás (2019. évtől megszűnik)</t>
  </si>
  <si>
    <t>Munkáltatót terhelő személyi jövedelemadó:    Országgyűlési képviselői választás normatív része</t>
  </si>
  <si>
    <t>Munkáltatót terhelő személyi jövedelemadó:    Országgyűlési képviselői választás  saját része</t>
  </si>
  <si>
    <t>Munkáltatót terhelő személyi jövedelemadó:   Európai Parlament tagjai választása normatív része</t>
  </si>
  <si>
    <t>Munkáltatót terhelő személyi jövedelemadó:  Európai Parlament tagjai választása saját része</t>
  </si>
  <si>
    <t>Munkáltatót terhelő személyi jövedelemadó: Időközi / Helyi önkormányzati képviselő választás normatív része</t>
  </si>
  <si>
    <t>Munkáltatót terhelő személyi jövedelemadó: Időközi / Helyi önkormányzati képviselő választás saját része</t>
  </si>
  <si>
    <t>Munkáltatót terhelő személyi jövedelemadó: Nemzetiségi önkormányzati képviselők választása normatív része</t>
  </si>
  <si>
    <t>Munkáltatót terhelő személyi jövedelemadó: Nemzetiségi önkormányzati képviselők választása saját része</t>
  </si>
  <si>
    <t>Kgr-ben:</t>
  </si>
  <si>
    <t>hrsz.</t>
  </si>
  <si>
    <t>cím</t>
  </si>
  <si>
    <t>nettó</t>
  </si>
  <si>
    <t>áfa</t>
  </si>
  <si>
    <t>bruttó</t>
  </si>
  <si>
    <t>Fent tervezettek mindösszesen:</t>
  </si>
  <si>
    <t>Döntési határozat száma</t>
  </si>
  <si>
    <t xml:space="preserve">Korábbi évek szerződéseinek részletfizetésből </t>
  </si>
  <si>
    <t>Nem lakáscélú ingatlanok</t>
  </si>
  <si>
    <t>Lakások</t>
  </si>
  <si>
    <t>Ell.:</t>
  </si>
  <si>
    <t>Ingatlan vásárlás - Útlejegyzés</t>
  </si>
  <si>
    <t xml:space="preserve">Humán Iroda intézményekkel összefüggő (nem reprezentációs kiadásai) </t>
  </si>
  <si>
    <t>Temetés költségeihez való hozzájárulás (korábbi megnevezés: Temetési támogatás)</t>
  </si>
  <si>
    <t>Szünidei étkeztetés támogatása</t>
  </si>
  <si>
    <t>ebből népszámlálásra</t>
  </si>
  <si>
    <t>Egyéb dologi kiadások (68.+...+71.)</t>
  </si>
  <si>
    <t>Informatikai eszközök, szolgáltatások bérlete, lízingelése - helyett: Elektronikus ügyintézésre átállás költsége - POLGÁRMESTER FELÜGYELI</t>
  </si>
  <si>
    <t>Lakáslap: Újszász utca 88. felújítása</t>
  </si>
  <si>
    <t>Liget Táncművészeti Egyesület támogatása</t>
  </si>
  <si>
    <t>K511420</t>
  </si>
  <si>
    <t>B161606</t>
  </si>
  <si>
    <t>47./B.</t>
  </si>
  <si>
    <t>Építési-engedély köteles beruházások áfája</t>
  </si>
  <si>
    <t>ellenőrző</t>
  </si>
  <si>
    <t>2021.</t>
  </si>
  <si>
    <t>kifiz 2020</t>
  </si>
  <si>
    <t>és FAD</t>
  </si>
  <si>
    <t>Lakótelep felújítások</t>
  </si>
  <si>
    <t>Az államháztartsáról szóló 2011. évi CXCV. törvény 23. § (2) bekezdés f) pontja alapján a helyi Önkormányzat költségvetésének tartalmaznia kell a költségvetési év azon fejlesztési céljait, amelyek megvalósításához a Gst. 8. § (2) bekezdése szerinti adósságot keletkeztető ügylet megkötése válik vagy válhat szükségessé, az adósságot keletkeztető ügyletek várható együttes összegével együtt.</t>
  </si>
  <si>
    <t>Egyesület megnevezése (1 000 Ft/ óra összegű közvetett támogatás)</t>
  </si>
  <si>
    <t>Civil házak helyszíne</t>
  </si>
  <si>
    <t>Kertvárosi Kertbarátok Egyesülete</t>
  </si>
  <si>
    <t>Cinkotai Gazdakör</t>
  </si>
  <si>
    <t>Egyesületeknek nyújtott kedvezmény összesen:</t>
  </si>
  <si>
    <t xml:space="preserve">Önkormányzati többségi tulajdonú  nem pénzügyi vállalkozásnak működési célú visszatérítendő támogatás, kölcsön nyújtása -Kertvárosi Sportlétesítményeket Üzemeltető Kft. </t>
  </si>
  <si>
    <t>„Költs el 5 millió forintot” program, Részvételi költségvetés</t>
  </si>
  <si>
    <t>Tehetséges fiatalok támogatása  (KKSIGYB hatáskör)</t>
  </si>
  <si>
    <r>
      <t xml:space="preserve">Egyházi jogi személynek egyéb működési célú támogatások </t>
    </r>
    <r>
      <rPr>
        <sz val="10"/>
        <rFont val="Times New Roman"/>
        <family val="1"/>
        <charset val="238"/>
      </rPr>
      <t>(KKSIGYB hatáskör)</t>
    </r>
  </si>
  <si>
    <t>Szentmihályi Játszókert Óvoda Varázskorona 1. (Szent Korona utca 53-57.) felújításának II. üteme</t>
  </si>
  <si>
    <t>Felhalmalmozási célú garancia- és kezességvállalásból megtérülések ÁH-n kívülről</t>
  </si>
  <si>
    <t>Felhalmalmozási célú visszatérítendő támogatások, kölcsönök visszatér. ÁH-n kívülről</t>
  </si>
  <si>
    <t>Felhalmalozási célú garancia- és kezességvállalásból megtérülések ÁH-n kívülről</t>
  </si>
  <si>
    <t>Felhalmozási célú visszatérítendő támogatások, kölcsönök visszatér. ÁH-n kívülről</t>
  </si>
  <si>
    <t>Felhalmozási célú garancia- és kezességvállalásból megtérülések ÁH-n kívülről</t>
  </si>
  <si>
    <t xml:space="preserve">Működési célú költségvetési támogatások és kiegészítő támogatások        </t>
  </si>
  <si>
    <t>Részesedések értékesítése és osztalékbevétel</t>
  </si>
  <si>
    <t>Szakmai tevékenységet segítő szolgáltatások (42.+43. +44.)</t>
  </si>
  <si>
    <t xml:space="preserve">Szociális és Szociális Intézményi Iroda intézményekkel összefüggő (nem reprezentációs kiadásai) </t>
  </si>
  <si>
    <t>K621449</t>
  </si>
  <si>
    <t>Nem része a rendeletnek</t>
  </si>
  <si>
    <t>Költségvetési szervek összevont pénzügyi mérlege</t>
  </si>
  <si>
    <t>Budapest Főváros XVI. kerületi Önkormányzat személyi juttatások és munkaadókat terhelő járulékok és szociális hozzájárulási adó
(Költségvetési szervek nélkül)</t>
  </si>
  <si>
    <t>7. melléklet</t>
  </si>
  <si>
    <t>63./A.</t>
  </si>
  <si>
    <t>Burkolatfelújítások támogatása a 1364/2021. (VI. 8.) Korm.határozat alapján</t>
  </si>
  <si>
    <t>Hunyadvár utca 43/B.  rendelő felújításának támogatása a BMÖFT/6-9/2021. támogatói okirat alapján</t>
  </si>
  <si>
    <t>EMMI támogatása kulturális intézményi feladatok ellátására</t>
  </si>
  <si>
    <t>Nemzeti Kulturális Alap támogatása pályázati azonosító: 499135/00084 - kulturális intézmények bértámogatása</t>
  </si>
  <si>
    <t>K506612</t>
  </si>
  <si>
    <t>Ikarus Atlétikai Centrum területén futófolyosó és edzőcsarnok létesítésére irányuló beruházás teljes körű előkészítése</t>
  </si>
  <si>
    <t>B361706-B361707-B361708</t>
  </si>
  <si>
    <t>fizetett ÁFA</t>
  </si>
  <si>
    <t>K621425</t>
  </si>
  <si>
    <t>IKARUS (MLSZ) közműtervezés és geodéziai felmérés, pályavilágításhoz energia és új épület rákötések</t>
  </si>
  <si>
    <t>Vagyoni típusú hely adók (29.+30.)</t>
  </si>
  <si>
    <r>
      <t xml:space="preserve">Egyéb célú telkek beszerzése: </t>
    </r>
    <r>
      <rPr>
        <b/>
        <u/>
        <sz val="10"/>
        <rFont val="Times New Roman"/>
        <family val="1"/>
        <charset val="238"/>
      </rPr>
      <t>Lakótelkek kialakítása és közművesítése</t>
    </r>
  </si>
  <si>
    <t>B621202</t>
  </si>
  <si>
    <t xml:space="preserve">2021. évi kiutalatlan állami támogatás </t>
  </si>
  <si>
    <t>Cinkotai Huncutka Óvoda építése (Vágás utca 54.)</t>
  </si>
  <si>
    <t>Móra Ferenc Általános Iskola több ütemben történő teljes felújítása I. ütemének kivitelezése (új étkező, melegítőkonyha, szaktantermek és gépészeti helyiségek) 2019. év - II. ütem 2022. év</t>
  </si>
  <si>
    <t xml:space="preserve">Rendszeres gyermekvédelmi kedvezményhez kapcsolódó pénzbeli ellátás és kiegészítő pénzbeli ellátás </t>
  </si>
  <si>
    <t>Ingatlan  biztosítások, úthibákból eredő károk önrésze</t>
  </si>
  <si>
    <t>Főkertész feladatkörében történő fejlesztések</t>
  </si>
  <si>
    <t>Személyi és járulék összesen</t>
  </si>
  <si>
    <t>Egyéb szakmai szolgáltatások - Humán Iroda, valamint a Szociális és Szociális Intézményi Iroda feladatkörében szakértők alkalmazása - HOMES-ban mindkét iroda vezeti</t>
  </si>
  <si>
    <t>Kertvárosi Idősek Otthona és Közösségi Központja és kapcsolódó tematikus természetközeli közösségi park</t>
  </si>
  <si>
    <t xml:space="preserve">Aktív Magyarország program, kerékpáros pályák építésének támogatása </t>
  </si>
  <si>
    <t>Egyéb feltételtől függő pótlékok és juttatások (Hűségpótlék)</t>
  </si>
  <si>
    <t>Saldoban</t>
  </si>
  <si>
    <t>Rendkívüli kiadások, egyéb azonnali intézkedést igénylő feladatok</t>
  </si>
  <si>
    <t>Fapótlási bírság, fapótlási fizetési kötelezettség</t>
  </si>
  <si>
    <t>Budapesti Zsidó Hitközség egyedi támogatása</t>
  </si>
  <si>
    <t>31. melléklet</t>
  </si>
  <si>
    <t>32. melléklet</t>
  </si>
  <si>
    <t>Budapest Főváros XVI. kerületi Önkormányzat (Költségvetési szervek nélkül) mérlege</t>
  </si>
  <si>
    <t xml:space="preserve">Törvény szerinti illetmények, munkabérek </t>
  </si>
  <si>
    <t>Elrejteni ezeket a sorokat!!!</t>
  </si>
  <si>
    <t>Munkaadókat terhelő járulékok és szociális hozzájárulási adó (30.+…+36.)</t>
  </si>
  <si>
    <t>SZEMÉLYI JUTTATÁSOK ÖSSZESEN (1.+…+6.)</t>
  </si>
  <si>
    <t>MUNKAADÓKAT TERHELŐ JÁRULÉKOK ÉS SZOCIÁLIS HOZZÁJÁRULÁSI ADÓ ÖSSZESEN (8.+…+11.)</t>
  </si>
  <si>
    <t>Normatíva összesen (1.+3.+5.+8.+10.+13.)</t>
  </si>
  <si>
    <t>Saját forrás összesen (2.+4.+6.+9.+11.+14.)</t>
  </si>
  <si>
    <t>MINDÖSSZESEN (15.+16.)</t>
  </si>
  <si>
    <t>Egyéb továbbszámlázott költség ÁHK (Vagyongazdálkodás)</t>
  </si>
  <si>
    <t>Egyéb felhalmozási célú támogatások bevételei államháztartáson belülről (67.+68.)</t>
  </si>
  <si>
    <t>88.</t>
  </si>
  <si>
    <t>Ingatlanok beszerzése, létesítése (10.+14.+36.+37.)</t>
  </si>
  <si>
    <t>Informatikai eszközök beszerzése, létesítése (39.+40.+41.)</t>
  </si>
  <si>
    <t>Egyéb tárgyi eszközök beszerzése, létesítése (43.+…+47.)</t>
  </si>
  <si>
    <t>Beruházások (4.+38.+42.+48.+49.)</t>
  </si>
  <si>
    <t xml:space="preserve">Kulturális javak  felújítása </t>
  </si>
  <si>
    <t>Helyi önkormányzatnak és azok költségvetési szervének egyéb felhalmozási célú támogatások</t>
  </si>
  <si>
    <t>Egyéb felhalmozási célú támogatások államháztartáson belülre (5.+6.)</t>
  </si>
  <si>
    <t>Burkolatfelújítás és Útfelújítás - Támogatásból az 1959/2021. (XII. 23.) Korm. határozat alapján</t>
  </si>
  <si>
    <t xml:space="preserve">Elszámolásból származó bevételek </t>
  </si>
  <si>
    <t>2022.</t>
  </si>
  <si>
    <t>2021-ben fizetett FAD</t>
  </si>
  <si>
    <t>11. melléklet továbbbontva - nem része a rendeletnek</t>
  </si>
  <si>
    <t>29. melléklet továbbbontva - nem része a rendeletnek</t>
  </si>
  <si>
    <t>Tervezések, szabályozási és rendezési tervek (Intézményfejlesztés Iroda)</t>
  </si>
  <si>
    <t>Felhalmozási célú finanszírozási kiadások
(hiteltörlesztés, értékpapír vásárlás, stb.) (5.+6.)</t>
  </si>
  <si>
    <t>K8815011</t>
  </si>
  <si>
    <t>K11310</t>
  </si>
  <si>
    <t>9. mellékletben</t>
  </si>
  <si>
    <t>12. mellékletben</t>
  </si>
  <si>
    <t>13. mellékletben</t>
  </si>
  <si>
    <t>14. mellékletben</t>
  </si>
  <si>
    <t>15. mellékletben</t>
  </si>
  <si>
    <t>16. mellékletben</t>
  </si>
  <si>
    <t>17. mellékletben</t>
  </si>
  <si>
    <t>18. mellékletben</t>
  </si>
  <si>
    <t>19. mellékletben</t>
  </si>
  <si>
    <t>20. mellékletben</t>
  </si>
  <si>
    <t>21. mellékletben</t>
  </si>
  <si>
    <t>22. mellékletben</t>
  </si>
  <si>
    <t>23. mellékletben</t>
  </si>
  <si>
    <t>24. mellékletben</t>
  </si>
  <si>
    <t>25. mellékletben</t>
  </si>
  <si>
    <t>26. mellékletben</t>
  </si>
  <si>
    <t>27. mellékletben</t>
  </si>
  <si>
    <t>34. melléklet</t>
  </si>
  <si>
    <t>Prevenciós keret
(alpolgármesteri hatáskör)</t>
  </si>
  <si>
    <t>11. melléklet</t>
  </si>
  <si>
    <t>33. melléklet</t>
  </si>
  <si>
    <t>2022. ÉVI IDŐKÖZI VÁLASZTÁS KIADÁSAINAK TERVEZÉSE</t>
  </si>
  <si>
    <t>Időközi választás: Normatív jutalom</t>
  </si>
  <si>
    <t>Időközi választás: Jutalom saját rész</t>
  </si>
  <si>
    <t>Időközi választás: Külsősök normatív tiszteletdíja, megbízási díja</t>
  </si>
  <si>
    <t>Időközi választás: Külsősök tiszteletdíja, megbízási díja saját forrásból</t>
  </si>
  <si>
    <t>Reprezentációs kiadások: Időközi választás normatív része</t>
  </si>
  <si>
    <t>Reprezentációs kiadások: Időközi választás saját része</t>
  </si>
  <si>
    <t>Szociális hozzájárulási adó: Időközi választás normatív része</t>
  </si>
  <si>
    <t>Szociális hozzájárulási adó: Időközi választás saját része</t>
  </si>
  <si>
    <t>Munkáltatót terhelő személyi jövedelemadó: Időközi választás normatív rész után fizetendő</t>
  </si>
  <si>
    <t>Munkáltatót terhelő személyi jövedelemadó: Időközi választás saját rész után fizetendő</t>
  </si>
  <si>
    <t>Időközi választás: Dologi kiadások normatív része</t>
  </si>
  <si>
    <t>Időközi választás: Dologi kiadások saját rész</t>
  </si>
  <si>
    <t>10. melléklet 3.</t>
  </si>
  <si>
    <t>2022. ÉVI IDŐKÖZI VÁLASZTÁS BEVÉTELEINEK TERVEZÉSE</t>
  </si>
  <si>
    <t>B161407</t>
  </si>
  <si>
    <t>09/1153</t>
  </si>
  <si>
    <t>Nemzeti Kulturális Alap terhére biztosított 449129/00221 pályázati azonosítójú támogatás Maderschpach Viktor mellszobrának elkészítésére és felállítására</t>
  </si>
  <si>
    <t>Ukrajnai menekültek ellátása</t>
  </si>
  <si>
    <t>Elvonások és befizetések (2.+3.)</t>
  </si>
  <si>
    <t>B161408</t>
  </si>
  <si>
    <t>K621452</t>
  </si>
  <si>
    <t>013210</t>
  </si>
  <si>
    <t>K355903</t>
  </si>
  <si>
    <t>K881203</t>
  </si>
  <si>
    <t>26./B.</t>
  </si>
  <si>
    <t>Önkormányzatok által nyújtott lakhatással kapcsolatos pénzbeli ellátások (10.+11.+12.)</t>
  </si>
  <si>
    <t>Önkormányzat által nyújtott egyéb nem intézményi pénzbeli ellátások (14.+15.)</t>
  </si>
  <si>
    <t>Ellátottak pénzbeli juttatásai (6.+9.+13.+16.)</t>
  </si>
  <si>
    <t>Kertvárosi lakásrezsi támogatás</t>
  </si>
  <si>
    <t xml:space="preserve">Nógrádverőce úti büfé, Halőr ház közmű- és szolgáltatási díja </t>
  </si>
  <si>
    <t>2022. ÉVI IDŐKÖZI VÁLASZTÁS – HELYI ÖNKORMÁNYZATI KÉPVISELŐK VÁLASZTÁSA ÉS NEMZETISÉGI ÖNKORMÁNYZATI KÉPVISELŐK VÁLASZTÁSA – KIADÁSAINAK TERVEZÉSE</t>
  </si>
  <si>
    <t>IV. módosítás</t>
  </si>
  <si>
    <t>Nemzeti Kulturális Alap terhére biztosított 205108/07376 pályázati azonosítójú támogatás "A művészet szeretete összeköt című program megvalósítására"</t>
  </si>
  <si>
    <t>082093</t>
  </si>
  <si>
    <t>K11311</t>
  </si>
  <si>
    <t>ELTÉRÉSEK:</t>
  </si>
  <si>
    <t>B402409</t>
  </si>
  <si>
    <t xml:space="preserve">Őrzés-védés </t>
  </si>
  <si>
    <r>
      <t>Egyéb üzemeltetési, fenntartási anyagbeszerzés</t>
    </r>
    <r>
      <rPr>
        <i/>
        <sz val="10"/>
        <rFont val="Times New Roman"/>
        <family val="1"/>
        <charset val="238"/>
      </rPr>
      <t xml:space="preserve"> - számítógép alkatrészek</t>
    </r>
  </si>
  <si>
    <t>Kerületi Természeti Káralap</t>
  </si>
  <si>
    <t>adatok  forintban</t>
  </si>
  <si>
    <t>adatok forintban</t>
  </si>
  <si>
    <t xml:space="preserve"> adatok ezer forintban</t>
  </si>
  <si>
    <t>Humán Iroda , valamint a Szociális és Szociális Intézményi Iroda  - hirdetési kerete(külön soron az előterjesztésben)</t>
  </si>
  <si>
    <t>Veszélyhelyzeti rendkívüli támogatás - 2023-tól itt tervezzük</t>
  </si>
  <si>
    <t xml:space="preserve">Egészségügyi alapellátást nyújtó ingatlanok felújítása </t>
  </si>
  <si>
    <t>Szociális alapellátást nyújtó ingatlan felújítása</t>
  </si>
  <si>
    <t>Kihelyezett posta szolgáltatás díja</t>
  </si>
  <si>
    <t>XVI. kerületi óvodák óvodásai vízhezszoktatásának, úszásoktatásának lebonyolítása, háztól házig szállítással</t>
  </si>
  <si>
    <t>2026. évi terv</t>
  </si>
  <si>
    <t>Elektronikus ügyintézésre átállás költsége</t>
  </si>
  <si>
    <r>
      <t xml:space="preserve">Önkormányzati többségi tulajdonú  nem pénzügyi vállalkozásnak működési célú visszatérítendő támogatás, kölcsön nyújtása - </t>
    </r>
    <r>
      <rPr>
        <b/>
        <sz val="10"/>
        <rFont val="Times New Roman"/>
        <family val="1"/>
        <charset val="238"/>
      </rPr>
      <t xml:space="preserve">REHAB-XVI. Foglalkoztató és Szolgáltató Nonprofit Kft. </t>
    </r>
  </si>
  <si>
    <t>Gyalog és kerékpáros hidak üzemeltetése</t>
  </si>
  <si>
    <t>Egyéb ingatlanüzemeltetési bevételek (trafóházak és kártalanítási bevételek)</t>
  </si>
  <si>
    <t>103772/58</t>
  </si>
  <si>
    <t>ellenőrzés</t>
  </si>
  <si>
    <t>105945/0/A/2</t>
  </si>
  <si>
    <t>101721/0/A/1</t>
  </si>
  <si>
    <t>109737/0/A/7</t>
  </si>
  <si>
    <t xml:space="preserve">Népszámlálási fel nem használt támogatás visszafizetése: </t>
  </si>
  <si>
    <t xml:space="preserve">Egyéb működési célú kiadások </t>
  </si>
  <si>
    <t>Változás Eredeti előző évhez E Ft-ban</t>
  </si>
  <si>
    <t>Munkáltatót terhelő személyi jövedelemadó 15 %</t>
  </si>
  <si>
    <t>Munkáltatót terhelő személyi jövedelemadó 15,0 %</t>
  </si>
  <si>
    <t xml:space="preserve">Szociális hozzájárulási adó  13,0 % </t>
  </si>
  <si>
    <t>Szociális hozzájárulási adó 13,0 %</t>
  </si>
  <si>
    <t>Iparűzési adó beszedési költségeihez hozzájárulás</t>
  </si>
  <si>
    <t>2023.</t>
  </si>
  <si>
    <t>2023. után</t>
  </si>
  <si>
    <t>Beruházási kiadások beruházásonként (8.+…+16.)</t>
  </si>
  <si>
    <t>Felújítási kiadások felújításonként (18.+19.)</t>
  </si>
  <si>
    <t>Összesen (1.+4.+7.+17.+20.)</t>
  </si>
  <si>
    <t>Bérleti díj elengedése közvetett támogatásként (Ft)</t>
  </si>
  <si>
    <t>Egyéb kedvezmény vagy kölcsön elengedésének összege (Ft)</t>
  </si>
  <si>
    <t>172/2015 (IV.08.) GPB 2015.04.29-án kelt bérleti szerződés alpán bérbeadva  32.700 Ft/hó+áfa évente egy összegben fizetendő 1. évre 2016.01.15-ig. bérlő Cinkotáért közhasznú egyesület</t>
  </si>
  <si>
    <t>173/2015 (IV.08.) GPB 2015.06.02-án kelt bérleti szerződés alpán bérbeadva  78600Ft/hó+áfa évente egy összegben fizetendő 1. évre 2016.01.15-ig. bérlő Cinkotáért közhasznú egyesület</t>
  </si>
  <si>
    <t>Elengedett összeg
(Ft)</t>
  </si>
  <si>
    <t>Kedvezmény, mentesség összeg  (Ft)</t>
  </si>
  <si>
    <r>
      <t>Budapest, Centenáriumi sétány 16-24. fszt. alapterület 64 m</t>
    </r>
    <r>
      <rPr>
        <vertAlign val="superscript"/>
        <sz val="12"/>
        <rFont val="Times New Roman"/>
        <family val="1"/>
        <charset val="238"/>
      </rPr>
      <t>2</t>
    </r>
    <r>
      <rPr>
        <sz val="12"/>
        <rFont val="Times New Roman"/>
        <family val="1"/>
        <charset val="238"/>
      </rPr>
      <t xml:space="preserve">  hrsz: 106904/7/A/89 2012. június 11-én kelt megállapodás szerint határozatlan idejű szerződés a  180/2012. (V. 9.) Kt. határozat alapján.</t>
    </r>
  </si>
  <si>
    <t>Intézményi felújítások  I. (8.+9.+10.)</t>
  </si>
  <si>
    <t>Egyéb épület felújítások (6.+7.+11.+13.+14.+15.)</t>
  </si>
  <si>
    <t>Épület felújítása (4.+5.+16.)</t>
  </si>
  <si>
    <t>Ingatlanok felújítása (17.+18.)</t>
  </si>
  <si>
    <t>Informatikai eszközök felújítása (20.+21.)</t>
  </si>
  <si>
    <t>Egyéb  tárgyi eszközök felújítása (23.+…+26.)</t>
  </si>
  <si>
    <t>Felújítások (19.+22.+27.+30.)</t>
  </si>
  <si>
    <t>Telkek beszerzése (5.+…+9.)</t>
  </si>
  <si>
    <t>Egyéb építmény beszerzés, létesítés (15.+…+35.)</t>
  </si>
  <si>
    <t>Corvini Domini Értékmentők és Értékteremtők Egyesülete</t>
  </si>
  <si>
    <t>Étkezési támogatás / szociális étkezésben részt vevők és egyéb szociális ellátás</t>
  </si>
  <si>
    <t>30/2017. (XI.21.) önkormányzati rendelet 8. § (9) bekezdése</t>
  </si>
  <si>
    <t>Települési önkormányzatok kulturális feladatainak bérjellegű támogatása</t>
  </si>
  <si>
    <t xml:space="preserve">Szociális ágazati összevont pótlék                   </t>
  </si>
  <si>
    <t>2026/2025</t>
  </si>
  <si>
    <t>1.0.</t>
  </si>
  <si>
    <t>forintban</t>
  </si>
  <si>
    <t>Bevételek megnevezése</t>
  </si>
  <si>
    <t>Kiadások megnevezése</t>
  </si>
  <si>
    <t>Költségvetési bevételek összesen (2.+3.+5.+6.+8.)</t>
  </si>
  <si>
    <t>Költségvetési kiadások összesen (2.+3.+4.+5.+6.+8.+9.+10.)</t>
  </si>
  <si>
    <t>Hiány belső finanszírozásának bevételei (13.+…+16. )</t>
  </si>
  <si>
    <t xml:space="preserve">   Váltóbevételek</t>
  </si>
  <si>
    <t xml:space="preserve">   Adóssághoz nem kapcsolódó származékos ügyletek bevételei</t>
  </si>
  <si>
    <t xml:space="preserve">Hiány külső finanszírozásának bevételei (18.+…+21.) </t>
  </si>
  <si>
    <t>Működési célú finanszírozási bevételek összesen (12.+17.)</t>
  </si>
  <si>
    <t>BEVÉTEL ÖSSZESEN (11.+22.)</t>
  </si>
  <si>
    <t>Működési célú finanszírozási kiadások összesen (12.+...+21.)</t>
  </si>
  <si>
    <t>KIADÁSOK ÖSSZESEN (11.+22.)</t>
  </si>
  <si>
    <t>Működési célú bevételek és kiadások mérlege (Önkormányzati szinten)</t>
  </si>
  <si>
    <t>Felhalmozási célú bevételek és kiadások mérlege (Önkormányzati szinten)</t>
  </si>
  <si>
    <t>Költségvetési bevételek összesen: (2.+4.+5.+7.)</t>
  </si>
  <si>
    <t>Hiány belső finanszírozás bevételei ( 15.+…+19.)</t>
  </si>
  <si>
    <t>Hiány külső finanszírozásának bevételei (21.+…+25. )</t>
  </si>
  <si>
    <t>Felhalmozási célú finanszírozási bevételek összesen (14.+20.)</t>
  </si>
  <si>
    <t>BEVÉTEL ÖSSZESEN (13.+26.)</t>
  </si>
  <si>
    <t>Felhalmozási célú finanszírozási kiadások összesen
(14.+...+25.)</t>
  </si>
  <si>
    <t>KIADÁSOK ÖSSZESEN (13.+26.)</t>
  </si>
  <si>
    <t>Kötelező feladat forintban</t>
  </si>
  <si>
    <t>Önként vállalt feladat forintban</t>
  </si>
  <si>
    <t>Államigazgatási feladat forintban</t>
  </si>
  <si>
    <r>
      <t xml:space="preserve">                                                                                                                 </t>
    </r>
    <r>
      <rPr>
        <b/>
        <i/>
        <sz val="12"/>
        <rFont val="Times New Roman CE"/>
        <charset val="238"/>
      </rPr>
      <t xml:space="preserve"> </t>
    </r>
  </si>
  <si>
    <t xml:space="preserve">Budapest Főváros XVI. kerületi Önkormányzat összevont mérlege kötelező feladat, önként vállalt feladat és államigazgatási feladat szerinti bontásban </t>
  </si>
  <si>
    <t>Működési célú támogatások államháztartáson belülről I.: Önkormányzatok működési támogatásai (1.1.+…+.1.6.)</t>
  </si>
  <si>
    <t>Működési célú támogatások államháztartáson belülről II. (2.1.+…+.2.5.)</t>
  </si>
  <si>
    <t>Működési célú támogatások államháztartáson belülről II.</t>
  </si>
  <si>
    <t>Működési célú támogatások államháztartáson belülről I.: Önkormányzatok működési támogatásai</t>
  </si>
  <si>
    <t>Működési célú támogatások ÁH-on belül I: Önkormányzatok működési támogatásai</t>
  </si>
  <si>
    <t>Működési célú támogatások ÁH-on belül II.</t>
  </si>
  <si>
    <t>Működési célú támogatások államháztartáson belülről I.: Önkormányzat működési támogatásai</t>
  </si>
  <si>
    <t>Budapest Főváros XVI. kerületi Önkormányzat  (Költségvetési szervek nélkül) Összes bevétele, összes kiadása kötelező feladat, önként vállalt feladat és államigazgatási feladat szerinti bontásban, mérlegszerűen</t>
  </si>
  <si>
    <t>31.1.</t>
  </si>
  <si>
    <t>31.2.</t>
  </si>
  <si>
    <t>31.3.</t>
  </si>
  <si>
    <t xml:space="preserve">Önkormányzati többségi tulajdonú  nem pénzügyi vállalkozástól működési célú visszatérítendő támogatások, kölcsönök visszatérülése </t>
  </si>
  <si>
    <t>Önkormányzatok működési támogatásai (2.+…+8.)</t>
  </si>
  <si>
    <t>Elvonások és befizetések bevételei (=10.)</t>
  </si>
  <si>
    <t>96.</t>
  </si>
  <si>
    <t>97.</t>
  </si>
  <si>
    <t>98.</t>
  </si>
  <si>
    <t>99.</t>
  </si>
  <si>
    <t>100.</t>
  </si>
  <si>
    <t>101.</t>
  </si>
  <si>
    <t>102.</t>
  </si>
  <si>
    <t>Központi költségvetési szervtől működési célú támogatások bevételei mindösszesen (15.+16.)</t>
  </si>
  <si>
    <t>Egyéb fejezeti kezelésű előirányzattól működési célú támogatások bevételei (20.+21.)</t>
  </si>
  <si>
    <t>Fejezeti kezelésű előirányzattól működési célú támogatások bevételei (19.+22.)</t>
  </si>
  <si>
    <t>Egyéb működési célú támogatások bevételei államháztartáson belülről (17.+18.+23.+...+26.)</t>
  </si>
  <si>
    <t>Működési támogatások (9.+11.+12.+13.+14.+27.)</t>
  </si>
  <si>
    <t>Egyéb helyi áruhasználati és szolgáltatási adók (33.+34.)</t>
  </si>
  <si>
    <t>Közhatalmi bevételek (31.+32.+35.+36.+44.)</t>
  </si>
  <si>
    <t>Önkormányzati vagyon bérleti és lízing díjbevétele (49.+50.+51.)</t>
  </si>
  <si>
    <t>Önkormányzati alrendszer tulajdonosi bevételei (48.+52.)</t>
  </si>
  <si>
    <t>Egyéb  nem pénzügyi vállalkozástól működési célú visszatérítendő támogatások, kölcsönök visszatérülése (=59.)</t>
  </si>
  <si>
    <t>Állam-igazgatási feladat forintban</t>
  </si>
  <si>
    <t xml:space="preserve">2. </t>
  </si>
  <si>
    <t>Budapest XVI. kerületi Polgármesteri Hivatal PIR száma 516 000</t>
  </si>
  <si>
    <t>Foglalkoztatottak személyi juttatásai (2.+….+15.+21.)</t>
  </si>
  <si>
    <t>Egyéb külső személyi juttatások (24.+25.+26.)</t>
  </si>
  <si>
    <t>Személyi juttatások  (22.+28.)</t>
  </si>
  <si>
    <t>Foglalkoztatottak egyéb személyi juttatásai (16.+…+20.)</t>
  </si>
  <si>
    <t>Sashalmi Manoda Óvoda PIR száma 681612</t>
  </si>
  <si>
    <t>Budapest XVI. kerületi Margaréta Óvoda PIR száma 681623</t>
  </si>
  <si>
    <t>Szentmihályi Játszókert Óvoda PIR száma 681568</t>
  </si>
  <si>
    <t>Mátyásföldi Fecskefészek Óvoda PIR száma 681656</t>
  </si>
  <si>
    <t>Corvin Művelődési Ház PIR száma 681689</t>
  </si>
  <si>
    <t>XVI. kerületi Kertvárosi Egyesített Bölcsőde PIR száma 681690</t>
  </si>
  <si>
    <t>Területi Szociális Szolgálat PIR száma 681667</t>
  </si>
  <si>
    <t>Napraforgó Család- és Gyermekjóléti Központ PIR száma 681678</t>
  </si>
  <si>
    <t>Kerületgazda Szolgáltató Szervezet PIR száma 681711</t>
  </si>
  <si>
    <t>Rákosmenti Mezei Őrszolgálat PIR száma 766195</t>
  </si>
  <si>
    <t>Kertvárosi Helytörténeti és Emlékezet Központ PIR száma 833284</t>
  </si>
  <si>
    <t>Budapest XVI. kerületi Napsugár Óvoda PIR száma 681580</t>
  </si>
  <si>
    <t>Cinkotai Huncutka Óvoda PIR száma 681601</t>
  </si>
  <si>
    <t>Budapest XVI. kerületi Gyerekkuckó Óvoda PIR száma 681579</t>
  </si>
  <si>
    <t>Budapest Főváros XVI. kerületi Önkormányzat Gazdasági, Működtető - Ellátó Szervezet (GAMESZ) PIR száma 516275</t>
  </si>
  <si>
    <t>XVI. Kerület Kertvárosi Egészségügyi Szolgálata PIR száma 516286</t>
  </si>
  <si>
    <t>Munkaadókat terhelő járulékok és szociális hozzájárulási adó (23.+…+30.)</t>
  </si>
  <si>
    <t>Önkormányzati vagyonnal való gazdálkodással kapcsolatos feladatok - Lakingatlanok bérbeadása, üzemeltetése (30.+…+35.)</t>
  </si>
  <si>
    <t>Önkormányzati vagyonnal való gazdálkodással kapcsolatos feladatok - Nem lakóingatlanok bérbeadása, üzemeltetése (37.+…+44.)</t>
  </si>
  <si>
    <t>Kötelezően ellátandó működés feladatok kiadásai mindösszesen (11.+12.+29.+36.+45.+...+48.)</t>
  </si>
  <si>
    <t>Egyéb elvonások és befizetések (3.1.+3.2.+3.3.+3.4.)</t>
  </si>
  <si>
    <t>Egyéb  nem pénzügyi vállalkozásnak működési célú visszatérítendő támogatás, kölcsön nyújtása (20.+21.)</t>
  </si>
  <si>
    <t>Háztartásoknak működési célú visszatérítendő támogatás, kölcsön nyújtás - Visszatérítendő támogatás ESZB hatáskör</t>
  </si>
  <si>
    <t>Önkormányzati többségi tulajdonú  nem pénzügyi vállalkozásnak egyéb működési célú támogatások (28.+29.)</t>
  </si>
  <si>
    <t>Egyéb  nem pénzügyi vállalkozásnak egyéb működési célú támogatások (27.+30.)</t>
  </si>
  <si>
    <t>Nonprofit szervezetnek egyéb működési célú támogatások (40.+…+51.)</t>
  </si>
  <si>
    <t>Egyéb működési célú támogatások államháztartáson kívülre (31.+39.+52.+53.)</t>
  </si>
  <si>
    <t>59.1.</t>
  </si>
  <si>
    <t>16.1.</t>
  </si>
  <si>
    <t>16.2.</t>
  </si>
  <si>
    <t>16.3.</t>
  </si>
  <si>
    <t>16.4.</t>
  </si>
  <si>
    <t>16.5.</t>
  </si>
  <si>
    <t>20.1.</t>
  </si>
  <si>
    <t>20.2.</t>
  </si>
  <si>
    <t>Tervezések, szabályozási és rendezési tervek (20.1.+20.2.)</t>
  </si>
  <si>
    <t>Európai uniós támogatással megvalósuló projekt (neve, azonosítója) bevételei, kiadásai</t>
  </si>
  <si>
    <t>Kezességvállalásokból fennálló kötelezettségek forintban</t>
  </si>
  <si>
    <t xml:space="preserve">2025. évben </t>
  </si>
  <si>
    <t>Garanciavállalásokból fennálló kötelezettségek forintban</t>
  </si>
  <si>
    <t>Adósságkeletkeztető ügyletekből fennálló kötelezettségek forintban</t>
  </si>
  <si>
    <t>Mindösszesen 
(E=B+C+D)</t>
  </si>
  <si>
    <t>Fejlesztés várható kiadása forintban</t>
  </si>
  <si>
    <r>
      <t xml:space="preserve">SAJÁT BEVÉTELEK ÖSSZESEN (2.+…+7.)
</t>
    </r>
    <r>
      <rPr>
        <sz val="9"/>
        <rFont val="Times New Roman CE"/>
        <charset val="238"/>
      </rPr>
      <t>(Az adósságot keletkeztető ügyletekhez történő hozzájárulás részletes szabályairól szóló 353/2011. (XII.31.) Korm. Rendelet 2. § (1) bekezdése alapján.)</t>
    </r>
  </si>
  <si>
    <t>G</t>
  </si>
  <si>
    <t>H</t>
  </si>
  <si>
    <t>SZEMÉLYI JUTTATÁSOK ÖSSZESEN (2.1.+…+6.)</t>
  </si>
  <si>
    <t>Normatíva összesen (2.1.+3.+5.+8.+10.+13.)</t>
  </si>
  <si>
    <t>Saját forrás összesen (2.2.+4.+6.+9.+11.+14.)</t>
  </si>
  <si>
    <t>107070</t>
  </si>
  <si>
    <r>
      <t xml:space="preserve">Működési költségvetés kiadásai </t>
    </r>
    <r>
      <rPr>
        <sz val="8"/>
        <rFont val="Times New Roman CE"/>
        <charset val="238"/>
      </rPr>
      <t>(1.1+…+1.5.)</t>
    </r>
  </si>
  <si>
    <r>
      <t xml:space="preserve">Felhalmozási költségvetés kiadásai </t>
    </r>
    <r>
      <rPr>
        <sz val="8"/>
        <rFont val="Times New Roman CE"/>
        <charset val="238"/>
      </rPr>
      <t>(2.1.+2.3.+2.5.)</t>
    </r>
  </si>
  <si>
    <r>
      <t xml:space="preserve">   Működési költségvetés kiadásai </t>
    </r>
    <r>
      <rPr>
        <sz val="8"/>
        <rFont val="Times New Roman CE"/>
        <charset val="238"/>
      </rPr>
      <t>(1.1+…+1.5.)</t>
    </r>
  </si>
  <si>
    <r>
      <t xml:space="preserve">   Felhalmozási költségvetés kiadásai </t>
    </r>
    <r>
      <rPr>
        <sz val="8"/>
        <rFont val="Times New Roman CE"/>
        <charset val="238"/>
      </rPr>
      <t>(2.1.+2.3.+2.5.)</t>
    </r>
  </si>
  <si>
    <t>Önként vállalt feladat I. módosítás
forintban</t>
  </si>
  <si>
    <t xml:space="preserve">Bevételi előirányzat megnevezése  </t>
  </si>
  <si>
    <t>Egyéb önkormányzati pénzbeli családi támogatások (=3.)</t>
  </si>
  <si>
    <t>Ukrajnai menekültek ellátására állami támogatás</t>
  </si>
  <si>
    <t>Működési célú költségvetési támogatások és kiegészítő támogatások:
Ukrajnai menekültek ellátására állami támogatás</t>
  </si>
  <si>
    <t>30. melléklet</t>
  </si>
  <si>
    <t xml:space="preserve">  Költségvetési maradvány igénybevétele (működési célú)</t>
  </si>
  <si>
    <t xml:space="preserve">  Államháztartáson belüli megelőlegezések </t>
  </si>
  <si>
    <t xml:space="preserve">  Vállalkozási maradvány igénybevétele </t>
  </si>
  <si>
    <t>Magánszemélyektől uszoda újjáépítésére</t>
  </si>
  <si>
    <t>Területrendezés (Új sor 2018. júliustól 540 E Ft-ok) / Önkormányzati befizetés - Tombola 2023-ban</t>
  </si>
  <si>
    <t>30.1.</t>
  </si>
  <si>
    <t>23.1.</t>
  </si>
  <si>
    <t>KÖLTSÉGVETÉSI ÉS FINANSZÍROZÁSI BEVÉTELEK VÁLTOZÁSA MINDÖSSZESEN</t>
  </si>
  <si>
    <t>KÖLTSÉGVETÉSI ÉS FINANSZÍROZÁSI KIADÁSOK VÁLTOZÁSA MINDÖSSZESEN</t>
  </si>
  <si>
    <t>FINANSZÍROZÁSI BEVÉTELEK:</t>
  </si>
  <si>
    <t>FINANSZÍROZÁSI KIADÁSOK:</t>
  </si>
  <si>
    <t>Változás 
(Ft)</t>
  </si>
  <si>
    <t>Változás
(Ft)</t>
  </si>
  <si>
    <t>Nő 
(Ft)</t>
  </si>
  <si>
    <t>Csökken
(Ft)</t>
  </si>
  <si>
    <t xml:space="preserve">Kerület közbiztonságának támogatása - XVI. kerületi Rendőrkapitányság rendőreinek jutalma, XVI. kerületi Tűzoltóság tűzoltóinak jutalma </t>
  </si>
  <si>
    <t xml:space="preserve">Egyéb vállalkozástól felhalmozási célú átvett pénzeszközök </t>
  </si>
  <si>
    <t>28.1.</t>
  </si>
  <si>
    <t>"Kertvárosi Iskolaválasztó" elnevezésű rendezvényen közreműködő pedagógusok, pedagógiai asszisztensek támogatása</t>
  </si>
  <si>
    <t>K621454</t>
  </si>
  <si>
    <t>3011130</t>
  </si>
  <si>
    <t xml:space="preserve">Átcsoportosított összeg </t>
  </si>
  <si>
    <t>Kertvárosi energetikai fejlesztési alap</t>
  </si>
  <si>
    <t>K621453</t>
  </si>
  <si>
    <t>8./1.</t>
  </si>
  <si>
    <t>Önként vállalt feladat II. módosítás forintban</t>
  </si>
  <si>
    <t>Kötelező feladat II. módosítás forintban</t>
  </si>
  <si>
    <t>Államigazga-tási feladat II. módosítás forintban</t>
  </si>
  <si>
    <t>Önként vállalt feladat III. módosítás forintban</t>
  </si>
  <si>
    <t>Önként vállalt feladat IV. módosítás  forintban</t>
  </si>
  <si>
    <t>Önként vállalt teljesítés  forintban</t>
  </si>
  <si>
    <t>Kötelező feladat III. módosítás  forintban</t>
  </si>
  <si>
    <t>Kötelező feladat IV. módosítás  forintban</t>
  </si>
  <si>
    <t>Kötelező teljesítés  forintban</t>
  </si>
  <si>
    <t>Államigazga-tási feladat III. módosítás  forintban</t>
  </si>
  <si>
    <t>Államigazga-tási feladat IV. módosítás  forintban</t>
  </si>
  <si>
    <t>Államigazgatási teljesítés  forintban</t>
  </si>
  <si>
    <t>Az intézmények  költségvetés kiadási főösszeget nem érintő változásainak részletezését az előterjesztés 2. melléklete tartalmazza.</t>
  </si>
  <si>
    <t>Az intézmények költségvetés bevételi és kiadási főösszeget érintő változásainak részletezését az előterjesztés 1. melléklete tartalmazza.</t>
  </si>
  <si>
    <t>Kötelező feladat III. módosítás forintban</t>
  </si>
  <si>
    <t>Kötelező feladat IV. módosítás forintban</t>
  </si>
  <si>
    <t>Kötelező teljesítés forintban</t>
  </si>
  <si>
    <t>Önként vállalt feladat IV. módosítás forintban</t>
  </si>
  <si>
    <t>Önként vállalt teljesítés forintban</t>
  </si>
  <si>
    <t>Államigazgatási feladat II. módosítás forintban</t>
  </si>
  <si>
    <t>Államigazgatási feladat IV. módosítás forintban</t>
  </si>
  <si>
    <t>Államigazgatási teljesítés forintban</t>
  </si>
  <si>
    <t>18.1.</t>
  </si>
  <si>
    <t>18.2.</t>
  </si>
  <si>
    <t>XVI. kerületi védőnők juttatásai</t>
  </si>
  <si>
    <t>Repülőtér zöldítés támogatása</t>
  </si>
  <si>
    <t>Nonprofit szervezettől működési célú átvett pénzeszközök - Nemzeti Tehetség Központ - ösztöndíj</t>
  </si>
  <si>
    <t>Andival ezt bekódolni</t>
  </si>
  <si>
    <t>52.1.</t>
  </si>
  <si>
    <t>K11312</t>
  </si>
  <si>
    <t>Települési önkormányzatok kulturális feladatainak támogatása</t>
  </si>
  <si>
    <t>Települési önkormányzatok egyes köznevelési feladatainak támogatása</t>
  </si>
  <si>
    <t>Települési önkormányzatok egyes szociális és gyermekjóléti, gyermekétkeztetési feladatainak támogatása</t>
  </si>
  <si>
    <t>Fejlesztési céltartalék egyéb, előre nem tervezhető kiadások fedezetéül, valamint az elmaradt bevételek pótlására</t>
  </si>
  <si>
    <t>Villamos energia díja (közterületek közüzemi számlái)</t>
  </si>
  <si>
    <t>K11313</t>
  </si>
  <si>
    <t>016040</t>
  </si>
  <si>
    <t>"Magyar-magyar közösségi kapcsolatok támogatása" - nevezetesen a Testvértelepülések hagyományörző tapasztalatcseréje céljából</t>
  </si>
  <si>
    <t>K621455</t>
  </si>
  <si>
    <t>J</t>
  </si>
  <si>
    <t>Nő (Ft)</t>
  </si>
  <si>
    <t>Csökken (Ft)</t>
  </si>
  <si>
    <t xml:space="preserve"> forintban</t>
  </si>
  <si>
    <t>Változás Eredeti előző évhez 
Ft-ban</t>
  </si>
  <si>
    <t>Egyéb célú telkek kialakítása és közművesítése (Nem lakáscélú)</t>
  </si>
  <si>
    <t>TOP+4.1.1. Egészséges utcák pályázat</t>
  </si>
  <si>
    <t>Kémyényseprési szolgáltatási díj - ÚJ SOR 2023-ban</t>
  </si>
  <si>
    <t>Napsugár Óvoda épületének felújítása</t>
  </si>
  <si>
    <t>Környezetet szennyező fűtési mód megszűntetéséhez nyújtható helyi támogatás (ESZB hatáskör)</t>
  </si>
  <si>
    <r>
      <t xml:space="preserve">Díszpolgári címadományozással, egyéb díjakkal kapcsolatos dologi kiadások - </t>
    </r>
    <r>
      <rPr>
        <b/>
        <i/>
        <sz val="10"/>
        <rFont val="Times New Roman"/>
        <family val="1"/>
        <charset val="238"/>
      </rPr>
      <t>Gondnokság kerete ÉS HUMÁN IRODA KERETE és külön a Szoc.Irodának 2024-től 60 000 Ft</t>
    </r>
  </si>
  <si>
    <t>Különleges bánásmódot igénylő óvodás gyermekek számára fejlesztő eszközök biztosítása</t>
  </si>
  <si>
    <t>A 2020. január 24-én kelt adásvételi szerződésben foglalt vételár hátralék fizetése:</t>
  </si>
  <si>
    <t>Korábban értékesített telek részletfizetése: Jégcsarnok 2024. évre tervezett bevétel: fizetendő 675 733 Ft/hó+Áfa+kamat</t>
  </si>
  <si>
    <t>110623/2</t>
  </si>
  <si>
    <t>102969/0/A/5</t>
  </si>
  <si>
    <t>111557/0/A/2</t>
  </si>
  <si>
    <t>157/2022. (X. 18.) GPB</t>
  </si>
  <si>
    <t>104/2022. (VI. 14) GPB</t>
  </si>
  <si>
    <t>105/2022. (VI. 14.) GPB</t>
  </si>
  <si>
    <t>65/2023. (V. 23.) GPB</t>
  </si>
  <si>
    <t>64/2023. (V. 23.) GPB</t>
  </si>
  <si>
    <r>
      <t xml:space="preserve">Közép- és Kelet-európai Történelem és Társadalom Kutatásért Közalapítványtól a KKETTKK-SZK-P0021 számú projektre </t>
    </r>
    <r>
      <rPr>
        <b/>
        <i/>
        <u/>
        <sz val="10"/>
        <rFont val="Times New Roman"/>
        <family val="1"/>
        <charset val="238"/>
      </rPr>
      <t>"Szabadságkoncert a Mátyásföldi Repülőtéren - Ahonnan az utolsó szovjet katona hazament" című projektre</t>
    </r>
  </si>
  <si>
    <t xml:space="preserve">2026. évben </t>
  </si>
  <si>
    <t>2024. év előtti tervezett forrás  forintban</t>
  </si>
  <si>
    <t>2024. év előtti tervezett   kiadás forintban</t>
  </si>
  <si>
    <t>2024. évi tervezett forrás forintban</t>
  </si>
  <si>
    <t>2024. év utáni tervezett forrás forintban</t>
  </si>
  <si>
    <t>2024. évi tervezett kiadás forintban</t>
  </si>
  <si>
    <t>2024. év utáni tervezett kiadás forintban</t>
  </si>
  <si>
    <t>Összesen tervezett forrás forintban</t>
  </si>
  <si>
    <t>Összesen tervezett kiadás forintban</t>
  </si>
  <si>
    <t>23.2.</t>
  </si>
  <si>
    <t>Kertvárosi Horgász Egyesület támogatása</t>
  </si>
  <si>
    <t>26.1.</t>
  </si>
  <si>
    <t>Roncsautó elszállítás szerződés alapján - 2024-től új sor</t>
  </si>
  <si>
    <r>
      <t xml:space="preserve">   Működési költségvetés kiadásai </t>
    </r>
    <r>
      <rPr>
        <sz val="10"/>
        <rFont val="Times New Roman"/>
        <family val="1"/>
        <charset val="238"/>
      </rPr>
      <t>(1.1+…+1.5.)</t>
    </r>
  </si>
  <si>
    <r>
      <t xml:space="preserve">   Felhalmozási költségvetés kiadásai </t>
    </r>
    <r>
      <rPr>
        <sz val="10"/>
        <rFont val="Times New Roman"/>
        <family val="1"/>
        <charset val="238"/>
      </rPr>
      <t>(2.1.+2.3.+2.5.)</t>
    </r>
  </si>
  <si>
    <t>RRF-1.1.2-21-2023-00148 projekt azonosító számú támogatás Budapest XVI. kerület Cseperedő Bölcsőde fejlesztésére</t>
  </si>
  <si>
    <t>Itt a rendeletben:</t>
  </si>
  <si>
    <t>Szelektív, vegyszeres parlagfű irtás és "Lakossági szúnyoggyérítési Program"</t>
  </si>
  <si>
    <t>Rákoszentmihályi Konrád Ferenc Uszoda helyreállítási munkái, bővítéssel, kültéri medence építéssel</t>
  </si>
  <si>
    <r>
      <t xml:space="preserve">Zárszámadási rendelet szerint: </t>
    </r>
    <r>
      <rPr>
        <sz val="14"/>
        <rFont val="Times New Roman"/>
        <family val="1"/>
        <charset val="238"/>
      </rPr>
      <t>Költségvetési maradvány igénybevétele</t>
    </r>
  </si>
  <si>
    <t>Huszár utca 22/B. 1. emelet 1. és a manzárd 1. számú lakás</t>
  </si>
  <si>
    <t>Baross Gábor utca 3. 1. emelet 1. számú lakás</t>
  </si>
  <si>
    <t>206/2022. (IX. 21.) Kt.</t>
  </si>
  <si>
    <t>207/2022. (IX. 21.) Kt.</t>
  </si>
  <si>
    <t xml:space="preserve">102259/0/A/2 </t>
  </si>
  <si>
    <t>Veres Péter út 81. fszt.</t>
  </si>
  <si>
    <t>Okospadok beszerzése</t>
  </si>
  <si>
    <t>Szállítási szolgáltatási díjak: Taxi 610 000 Ft és Erdei Szenzomotoros Torna (ESMT program) 9 000 000 Ft</t>
  </si>
  <si>
    <t>Humán Iroda - Diáksport , valamint a Polgármesteri Iroda Sportcélú kiadások - előterjesztésben és HOMES-ban kettészedve</t>
  </si>
  <si>
    <t>Főkertész feladatkörében történő fejlesztések
A ’HUSK 2302 INTERREG MAGYARORSZÁG-SZLOVÁKIA PROGRAM’ CÍMŰ PÁLYÁZAT KERETÉBEN</t>
  </si>
  <si>
    <t>Év közbeni felhalmozási célú támogatások</t>
  </si>
  <si>
    <t>Működési célú visszatérítendő támogatások, kölcsönök visszatérülése (60.+61.)</t>
  </si>
  <si>
    <t>Egyéb működési célú átvett pénzeszközök (=63.)</t>
  </si>
  <si>
    <t>Működési célú átvett pénzeszközök (62.+64.)</t>
  </si>
  <si>
    <t>Európai Uniótól felhalmozási célú átvett pénzeszközök - ’HUSK 2302 INTERREG MAGYARORSZÁG-SZLOVÁKIA PROGRAM’ CÍMŰ PÁLYÁZAT</t>
  </si>
  <si>
    <t>HORIZON-CL5-2023-D4-01-05 Horizont Európa keretprogram (HORIZON) kutatási, innovációs és technológiai fejlesztések, Projektszáma: 101138211</t>
  </si>
  <si>
    <t>’HUSK 2302 INTERREG MAGYARORSZÁG-SZLOVÁKIA PROGRAM’ CÍMŰ PÁLYÁZAT</t>
  </si>
  <si>
    <t>4 évre</t>
  </si>
  <si>
    <t>1 évre</t>
  </si>
  <si>
    <t>3 évre</t>
  </si>
  <si>
    <t>2027. évi terv</t>
  </si>
  <si>
    <t>2027/2026</t>
  </si>
  <si>
    <t>Külsősök normatív tiszteletdíja, megbízási díja</t>
  </si>
  <si>
    <t>Külsősök tiszteletdíja, megbízási díja saját forrásból</t>
  </si>
  <si>
    <t>Reprezentációs kiadások normatív része</t>
  </si>
  <si>
    <t>Jutalom saját forrásból</t>
  </si>
  <si>
    <t>Reprezentációs kiadások saját forrásból</t>
  </si>
  <si>
    <t>Munkáltatót terhelő személyi jövedelemadó: normatív rész után fizetendő</t>
  </si>
  <si>
    <t>Munkáltatót terhelő személyi jövedelemadó:  saját rész után fizetendő</t>
  </si>
  <si>
    <t>Szociális hozzájárulási adó: : normatív rész után fizetendő</t>
  </si>
  <si>
    <t>Szociális hozzájárulási adó: saját rész után fizetendő</t>
  </si>
  <si>
    <t>Dologi kiadások normatív része</t>
  </si>
  <si>
    <t>VÁLASZTÁSOK BEVÉTELEINEK TERVEZÉSE</t>
  </si>
  <si>
    <t>Dologi kiadások saját forrásból</t>
  </si>
  <si>
    <t>Népszámlálás dologi kiadásai</t>
  </si>
  <si>
    <t>Népszámlálás dologija</t>
  </si>
  <si>
    <t>Választások 2024 - kapott bevétel a 10. melléklet 2. oldalán tervezve 24 773 014 Ft</t>
  </si>
  <si>
    <t>Egyéb támogatások</t>
  </si>
  <si>
    <t>Kulturális javak beszerzése, létesítése</t>
  </si>
  <si>
    <t>Egyéb, állományba vett, értékét nem csökkentő eszköz beszerzés, létesítés</t>
  </si>
  <si>
    <t>Greenkubátor Közhasznú Egyesület</t>
  </si>
  <si>
    <t>D/C</t>
  </si>
  <si>
    <t>4. tájékoztató tábla</t>
  </si>
  <si>
    <t>5. tájékoztató tábla</t>
  </si>
  <si>
    <t>2026
után</t>
  </si>
  <si>
    <t>2023. évi</t>
  </si>
  <si>
    <t>teljesítések</t>
  </si>
  <si>
    <t>Egyéb (pl.: garancia és kezességvállalás, stb.)</t>
  </si>
  <si>
    <t>Munkáltatói kölcsön nyújtása</t>
  </si>
  <si>
    <t>44.1.</t>
  </si>
  <si>
    <t>’HUSK 2302 Interreg Magyarország-Szlovákia program’ című pályázat önrésze</t>
  </si>
  <si>
    <t>Egyéb forrás - központi támogatás</t>
  </si>
  <si>
    <t>Költségvetési kiadások összesen: (2.+4.+6.+8.+...+12.)</t>
  </si>
  <si>
    <t>Felújítási célú előzetesen felszámított  általános forgalmi adó (28.+29.)</t>
  </si>
  <si>
    <t>16.6.</t>
  </si>
  <si>
    <r>
      <t xml:space="preserve">Előirányzat megnevezése                                                                                             </t>
    </r>
    <r>
      <rPr>
        <sz val="10"/>
        <rFont val="Times New Roman"/>
        <family val="1"/>
        <charset val="238"/>
      </rPr>
      <t>(Rovatrend szerint)</t>
    </r>
  </si>
  <si>
    <t>Települési támogatás: "Ápolási támogatás"</t>
  </si>
  <si>
    <r>
      <t>Önkormányzati egyéb a betegséggel kapcsolatos (nem társadalombiztosítási) ellátások -</t>
    </r>
    <r>
      <rPr>
        <b/>
        <sz val="10"/>
        <rFont val="Times New Roman"/>
        <family val="1"/>
        <charset val="238"/>
      </rPr>
      <t xml:space="preserve"> Települési támogatás: "</t>
    </r>
    <r>
      <rPr>
        <sz val="10"/>
        <rFont val="Times New Roman"/>
        <family val="1"/>
        <charset val="238"/>
      </rPr>
      <t>Súlyosan fogyatékosok és tartósan betegek kiemelt támogatása"</t>
    </r>
  </si>
  <si>
    <r>
      <t>Települési támogatás: "Fűtési támogatás"</t>
    </r>
    <r>
      <rPr>
        <sz val="8"/>
        <rFont val="Times New Roman"/>
        <family val="1"/>
        <charset val="238"/>
      </rPr>
      <t xml:space="preserve">  </t>
    </r>
  </si>
  <si>
    <t>Rendkívüli települési támogatás: "Önkormányzati segély"</t>
  </si>
  <si>
    <r>
      <t xml:space="preserve">Ikerszülési támogatás </t>
    </r>
    <r>
      <rPr>
        <i/>
        <sz val="8"/>
        <rFont val="Times New Roman"/>
        <family val="1"/>
        <charset val="238"/>
      </rPr>
      <t>- 2015. március 1-jétől a rendkívüli települési támogatás része</t>
    </r>
  </si>
  <si>
    <r>
      <t xml:space="preserve">Táborozási hozzájárulás </t>
    </r>
    <r>
      <rPr>
        <i/>
        <sz val="8"/>
        <rFont val="Times New Roman"/>
        <family val="1"/>
        <charset val="238"/>
      </rPr>
      <t>- 2015. március 1-jétől a rendkívüli települési támogatás része</t>
    </r>
  </si>
  <si>
    <r>
      <t xml:space="preserve">Tankönyvtámogatás </t>
    </r>
    <r>
      <rPr>
        <i/>
        <sz val="8"/>
        <rFont val="Times New Roman"/>
        <family val="1"/>
        <charset val="238"/>
      </rPr>
      <t>-  2015. március 1-jétől a rendkívüli települési támogatás része</t>
    </r>
  </si>
  <si>
    <r>
      <t>Adósságcsökkentési támogatás</t>
    </r>
    <r>
      <rPr>
        <sz val="8"/>
        <rFont val="Times New Roman"/>
        <family val="1"/>
        <charset val="238"/>
      </rPr>
      <t xml:space="preserve"> - 2015. március 1-jétől a rendkívüli települési támogatás része</t>
    </r>
  </si>
  <si>
    <r>
      <t>Adósságkezelési szolgáltatás során nyújtott lakásfenntartási támogatás</t>
    </r>
    <r>
      <rPr>
        <sz val="8"/>
        <rFont val="Times New Roman"/>
        <family val="1"/>
        <charset val="238"/>
      </rPr>
      <t xml:space="preserve">  - 2015. március 1-jétől a rendkívüli települési támogatás része</t>
    </r>
  </si>
  <si>
    <r>
      <t>Települési támogatás: "Lakhatási támogatás"</t>
    </r>
    <r>
      <rPr>
        <sz val="8"/>
        <rFont val="Times New Roman"/>
        <family val="1"/>
        <charset val="238"/>
      </rPr>
      <t xml:space="preserve">  </t>
    </r>
  </si>
  <si>
    <t>K10106
K10110</t>
  </si>
  <si>
    <t>Kötelező feladat 
I. módosítás
forintban</t>
  </si>
  <si>
    <t>Önként vállalt feladat 
I. módosítás
forintban</t>
  </si>
  <si>
    <t>Államigazgatási feladat 
I. módosítás
forintban</t>
  </si>
  <si>
    <t>29. melléklet</t>
  </si>
  <si>
    <t>„Füves nagypálya felújítás” beruházás</t>
  </si>
  <si>
    <t>Korcsolyaoktatás- szállítási ktg.</t>
  </si>
  <si>
    <t>Önkormányzati finanszírozás visszavonása</t>
  </si>
  <si>
    <t>bér + szoc.hj.</t>
  </si>
  <si>
    <t>bér</t>
  </si>
  <si>
    <t>szoc.hj</t>
  </si>
  <si>
    <t>????</t>
  </si>
  <si>
    <t>10. melléklet</t>
  </si>
  <si>
    <t>XVI. kerületi Kertvárosi Idősek Otthona</t>
  </si>
  <si>
    <t xml:space="preserve">XVI. kerületi Kertvárosi Idősek Otthona </t>
  </si>
  <si>
    <t>Üdülői szálláshely szolgáltatás - Balatonszárszó</t>
  </si>
  <si>
    <t>Üdülői szálláshely szolgáltatás - Tusnádfürdő</t>
  </si>
  <si>
    <t>Cseperedő Bölcsőde építése (Vívó utca 2.)</t>
  </si>
  <si>
    <t>Kertvárosi Energetikai Fejlesztési Alap</t>
  </si>
  <si>
    <t>33.  melléklet</t>
  </si>
  <si>
    <t>Bursa Hungarica: Emberi Erőforrás Támogatáskezelő által utalt  fel nem használt támogatás visszautalása</t>
  </si>
  <si>
    <t>pótigényként jelentkezett:</t>
  </si>
  <si>
    <t>nem változtató:</t>
  </si>
  <si>
    <t>Európai Uniótól működési célú átvett pénzeszközök - HORIZON pályázati támogatás</t>
  </si>
  <si>
    <t>HORIZON pályázati támogatásból megvalósuló kiadások</t>
  </si>
  <si>
    <t>Egyéb építmény felújítása</t>
  </si>
  <si>
    <t>Szállítási szolgáltatási díjak és Erdei Szenzomotoros Torna</t>
  </si>
  <si>
    <t xml:space="preserve">Államigazgatási feladat III. módosítás forintban </t>
  </si>
  <si>
    <t>05/33512; 05/33114; 05/33111</t>
  </si>
  <si>
    <t>05/33111-2-4</t>
  </si>
  <si>
    <t>K103031</t>
  </si>
  <si>
    <t>K103032</t>
  </si>
  <si>
    <t>K103033</t>
  </si>
  <si>
    <t xml:space="preserve">Benő utca - Lakóingatlanok közmű és szolgáltatási díjai  - egyéb közüzemi </t>
  </si>
  <si>
    <t>Benő utca - Lakóingatlanok közmű és szolgáltatási díjai gáz</t>
  </si>
  <si>
    <t>Benő utca - Lakóingatlanok közmű és szolgáltatási díjai víz</t>
  </si>
  <si>
    <t>elrejteni</t>
  </si>
  <si>
    <t>eltérés</t>
  </si>
  <si>
    <t>2024. évi 1-10 havi
teljesítés forintban</t>
  </si>
  <si>
    <t>29.  melléklet</t>
  </si>
  <si>
    <t>Vásárolt közszolgáltatások - Önkormányzat által fenntartott intézményekben dolgozók képzés - HACCP élelmiszerhigiéniai oktatás</t>
  </si>
  <si>
    <t>2024. évi 1-10. havi
teljesítés forintban</t>
  </si>
  <si>
    <t>Késedelmi kamat költségelvű lakás HELYETT: BENŐ UTCAI TOVÁBBSZÁMLÁZÁSOK</t>
  </si>
  <si>
    <t>Idősbarát Önkormányzat Díjjal járó pénzjutalom a Közigazgatási és Területf ejlesztési Minisztériumtól, valamint a Kulturális és Innovációs Minisztériumtól</t>
  </si>
  <si>
    <t>2024. évi beruházási költségvetési maradvány</t>
  </si>
  <si>
    <t>2024. évi eredeti előirányzat
forintban</t>
  </si>
  <si>
    <t>2025. évi eredeti előirányzat forintban</t>
  </si>
  <si>
    <t>2024-ről 2025-re változás</t>
  </si>
  <si>
    <t>A 2019-2020-2021-2022-2023. évi és a 2024. évi költségvetésben tervezett telekértékesítésekből nem valósult meg valamennyi telek értékesítése, ebből adódóan a 2025. évi költségvetésben is tervezni szükséges ezeket, melyek a következők:</t>
  </si>
  <si>
    <t>A 2025. évre tervezett új telekértékesítési javaslatok a következők:</t>
  </si>
  <si>
    <t>2025. évre tervezett lakásértékesítések a következők:</t>
  </si>
  <si>
    <t>2025. évi tervezett előirányzat összesen</t>
  </si>
  <si>
    <t xml:space="preserve">2027. évben </t>
  </si>
  <si>
    <t>Budapest Főváros XVI. kerületi Önkormányzat 2025. évi adósságot keletkeztető fejlesztési céljai</t>
  </si>
  <si>
    <t>Budapest Főváros XVI. kerületi Önkormányzat nem tervez olyan fejlesztéseket a 2025. évben, amelynek forrásául adósságot keletkeztető ügylet megkötése válik vagy válhat szükségessé.</t>
  </si>
  <si>
    <t>Piaci alapú lakbér (Benő utca 2.) - KÓDOKAT AKTUALIZÁLNI A REJTETT CELLÁKBAN</t>
  </si>
  <si>
    <t>Margit utca 128.</t>
  </si>
  <si>
    <t>107266, 107267</t>
  </si>
  <si>
    <t>Margit utca 130. és Sarjú út</t>
  </si>
  <si>
    <t>103739/12</t>
  </si>
  <si>
    <t>Emlékkő utca - Prohászka utca polgár-mesteri határozat alapján, az első részlet 20 %, további részletek 3 év alatt, teljes bruttó összeg 300 000 000 Ft volt.</t>
  </si>
  <si>
    <t>Rovás utca</t>
  </si>
  <si>
    <t>Kassai utca 11. alatti 652 m2 telek</t>
  </si>
  <si>
    <t>Rákóczi út 40. szám alatti zárványtelek</t>
  </si>
  <si>
    <t>Pilóta utca 37. fszt. 2.</t>
  </si>
  <si>
    <t>Kézbesítő utca 14. fszt. 1.</t>
  </si>
  <si>
    <t>Iharfa utca 16. fszt. 7.</t>
  </si>
  <si>
    <t>Gondnok utca 23. fszt. 5.</t>
  </si>
  <si>
    <t>Csömöri út 70. fszt. 1.</t>
  </si>
  <si>
    <t>105564/0/A/2 105564/0/A/3</t>
  </si>
  <si>
    <t>106413 hrsz-ú hat lakásból álló társasházból</t>
  </si>
  <si>
    <t>Egyéb bérleti és lízing díjak - Tóth Ilonka festmény falfelület bérlése</t>
  </si>
  <si>
    <t>Móra Ferenc Általános Iskola több ütemben történő teljes felújítása II. ütem</t>
  </si>
  <si>
    <t>TOP+ 4.1.1-23 „Egészséges utcák program keretében Jókai utca átépítése” támogatása</t>
  </si>
  <si>
    <t>Parkoló felfestése</t>
  </si>
  <si>
    <t>Burkolatfelújítások</t>
  </si>
  <si>
    <t>16.7.</t>
  </si>
  <si>
    <t>Út, járda és parkoló építések mindösszesen (16.1.+…+16.7.)</t>
  </si>
  <si>
    <t>Egyéb feladatok</t>
  </si>
  <si>
    <t>Arany János Általános Iskola felújítása</t>
  </si>
  <si>
    <t>2025. évi II. számú módosított előirányzat forintban</t>
  </si>
  <si>
    <t>2025. évi III. számú módosított előirányzat forintban</t>
  </si>
  <si>
    <t>2025. évi IV. számú módosított előirányzat forintban</t>
  </si>
  <si>
    <t>2025. évi I. számú módosított előirányzat
forintban</t>
  </si>
  <si>
    <r>
      <t>Növekedés vagy csökkenés (-) 2024-ről 2025-re</t>
    </r>
    <r>
      <rPr>
        <b/>
        <sz val="8"/>
        <rFont val="Times New Roman"/>
        <family val="1"/>
        <charset val="238"/>
      </rPr>
      <t xml:space="preserve"> </t>
    </r>
    <r>
      <rPr>
        <sz val="8"/>
        <rFont val="Times New Roman"/>
        <family val="1"/>
        <charset val="238"/>
      </rPr>
      <t>Ft-ban</t>
    </r>
  </si>
  <si>
    <t>Növekedés vagy csökkenés (-) 2024-ről 2025-re</t>
  </si>
  <si>
    <t>Felmérésből:</t>
  </si>
  <si>
    <t>Egyes szociális és gyermekjóléti feladatok támogatása - család és gyermekjóléti szolgálat/központ támogatása</t>
  </si>
  <si>
    <t>Egyes szociális és gyermekjóléti feladatok támogatása - család és gyermekjóléti szolgálat/központ támogatása kivételével</t>
  </si>
  <si>
    <t>Bölcsőde, mini bölcsőde támogatása</t>
  </si>
  <si>
    <t>Intézményi gyermekétkeztetés támogatása</t>
  </si>
  <si>
    <t>Változás 2024-ről 2025-re</t>
  </si>
  <si>
    <t>Csak Gamesz Kergazda és Idősotthon nélkül</t>
  </si>
  <si>
    <t xml:space="preserve">Csak Gamesz Kergazda és Idősotthon nélkül változás </t>
  </si>
  <si>
    <t>Magyarország 2025. évi központi költségvetéséről szóló 2024. évi XC. törvény 3. melléklet 31. 3.6. jogcímszám: Budapest Főváros XVI. kerületi Önkormányzat útfelújításának támogatása</t>
  </si>
  <si>
    <t>Nem lakás célú helyiségek közös költsége</t>
  </si>
  <si>
    <t>Nem lakáscélú helyiségek közmű-és szolgáltatási díjai</t>
  </si>
  <si>
    <t>Sashalom utca 6. Reformátorok tere kávézó, kilátó és öntöző áramköltsége</t>
  </si>
  <si>
    <t>Főkertész</t>
  </si>
  <si>
    <r>
      <t>Földnapi rendezvény</t>
    </r>
    <r>
      <rPr>
        <sz val="12"/>
        <color indexed="8"/>
        <rFont val="Times New Roman"/>
        <family val="1"/>
        <charset val="238"/>
      </rPr>
      <t xml:space="preserve"> lebonyolítására</t>
    </r>
    <r>
      <rPr>
        <sz val="12"/>
        <rFont val="Times New Roman"/>
        <family val="1"/>
        <charset val="238"/>
      </rPr>
      <t xml:space="preserve"> (elmúlt években a környezetvédelmi támogatási és pályázati keretből valósult meg, de ez is főkertészi feladat)</t>
    </r>
  </si>
  <si>
    <t>Csobaj utcai közösségi park további fejlesztésére</t>
  </si>
  <si>
    <t>Erdősítési program (áthúzódó kiadás: 1 387 475 Ft)</t>
  </si>
  <si>
    <t xml:space="preserve">János utcai tábor télvégi gallyazására </t>
  </si>
  <si>
    <t>Karát utca 20. szám alatti közösségi növénynevelő további fejlesztésére</t>
  </si>
  <si>
    <t>Koncepciótervek kidolgozására</t>
  </si>
  <si>
    <t>Torma Zsófia sétány menti botanikai tanösvény további fejlesztésére</t>
  </si>
  <si>
    <t>Új feladat: A ZIFFA –Zöld Infrastruktúra Fejlesztési és Fenntartási Akcióterv megvalósítására</t>
  </si>
  <si>
    <t>Új feladat: A Rozsos utcai Csendes park 2025. évi kiadásaira, további bozótirtásra, karbantartásra és az első ültetésekre</t>
  </si>
  <si>
    <t>Rózsa utca út menti fásítása (2023-ról áthúzódó tétel, korábban a Környezetvédelmi Alapban tervezett, de főkertészi feladat)</t>
  </si>
  <si>
    <r>
      <t>Repülőtér és környezetének rendezésére</t>
    </r>
    <r>
      <rPr>
        <sz val="10"/>
        <rFont val="Times New Roman"/>
        <family val="1"/>
        <charset val="238"/>
      </rPr>
      <t xml:space="preserve"> </t>
    </r>
    <r>
      <rPr>
        <sz val="12"/>
        <rFont val="Times New Roman"/>
        <family val="1"/>
        <charset val="238"/>
      </rPr>
      <t>egyszeri kímélő kaszálásra és az özönnövények további visszaszorítására</t>
    </r>
  </si>
  <si>
    <t>"Kertvárosi Kerekerdők Program” folytatása (áthúzódó kiadás: 133 604 Ft)</t>
  </si>
  <si>
    <t>Gyümölcsfa-ültetési program folytatása</t>
  </si>
  <si>
    <t>Fakataszteri felvételezéshez (áthúzódó kiadás: 5 207 000 Ft)</t>
  </si>
  <si>
    <t>Új feladat: A Mátyásföldi repülőtéren egy cca. 7 ha területű értékes gyep terület bekerítésének költségeire</t>
  </si>
  <si>
    <t>Terület bérlet 10 173 173 Ft és közterület 33 040 567 Ft</t>
  </si>
  <si>
    <t>2024. évi 
várható teljesítés
 forintban</t>
  </si>
  <si>
    <t>2023. évi
teljesítés forintban</t>
  </si>
  <si>
    <t>2023. évi zárszámadásból</t>
  </si>
  <si>
    <t>2023. évi tény
forintban</t>
  </si>
  <si>
    <t>Előirányzat-felhasználási terv
2025. évre</t>
  </si>
  <si>
    <t>XVI. Kerület Kertvárosi Egészségügyi Szolgálata - Előirányzat-felhasználási terv
2025. évre</t>
  </si>
  <si>
    <t>Budapest Főváros XVI. kerületi Önkormányzat Gazdasági, Működtető - Ellátó Szervezet (GAMESZ) - Előirányzat-felhasználási terv
2025. évre</t>
  </si>
  <si>
    <t>Budapest XVI. kerületi Gyerekkuckó Óvoda - Előirányzat-felhasználási terv
2025. évre</t>
  </si>
  <si>
    <t>Cinkotai Huncutka Óvoda - Előirányzat-felhasználási terv
2025. évre</t>
  </si>
  <si>
    <t>Budapest XVI. kerületi Napsugár Óvoda - Előirányzat-felhasználási terv
2025. évre</t>
  </si>
  <si>
    <t>Sashalmi Manoda Óvoda - Előirányzat-felhasználási terv
2025. évre</t>
  </si>
  <si>
    <t>Budapest XVI. kerületi Margaréta Óvoda - Előirányzat-felhasználási terv
2025. évre</t>
  </si>
  <si>
    <t>Szentmihályi Játszókert Óvoda - Előirányzat-felhasználási terv
2025. évre</t>
  </si>
  <si>
    <t>Mátyásföldi Fecskefészek Óvoda - Előirányzat-felhasználási terv
2025. évre</t>
  </si>
  <si>
    <t>Corvin Művelődési Ház - Előirányzat-felhasználási terv
2025. évre</t>
  </si>
  <si>
    <t>Területi Szociális Szolgálat - Előirányzat-felhasználási terv
2025. évre</t>
  </si>
  <si>
    <t>Napraforgó Szolgálat - Előirányzat-felhasználási terv
2025. évre</t>
  </si>
  <si>
    <t>XVI. kerületi Kertvárosi Egyesített Bölcsőde - Előirányzat-felhasználási terv
2025. évre</t>
  </si>
  <si>
    <t>Kerületgazda Szolgáltató Szervezet - Előirányzat-felhasználási terv
2025. évre</t>
  </si>
  <si>
    <t>Rákosmenti Mezei Őrszolgálat - Előirányzat-felhasználási terv
2025. évre</t>
  </si>
  <si>
    <t>XVI. Kerületi Helytörténeti és Emlékezet Központ - Előirányzat-felhasználási terv
2025. évre</t>
  </si>
  <si>
    <t>Budapest XVI. kerületi Polgármesteri Hivatal - Előirányzat-felhasználási terv
2025. évre</t>
  </si>
  <si>
    <t>2025. évi tervezett előirányzat</t>
  </si>
  <si>
    <t>2028. évi terv</t>
  </si>
  <si>
    <t>K711341</t>
  </si>
  <si>
    <t>Belügyminisztérium Egészségügyi Támogatáskezelő Főosztály Fejezeti Kezelésű Előirányzatok Osztálya, a BM/33122-1/2024 Támogatói Okiratszámon nyújtott támogatása a  Hunyadvár utcai  tüdőgondozó felújításának utolsó fázisához</t>
  </si>
  <si>
    <t>Hunyadvár utcai tüdőgondozó  felújításának utolsó fázisa (EBP program keretében)</t>
  </si>
  <si>
    <r>
      <t xml:space="preserve">Egyéb felhalmozási célú kiadások / </t>
    </r>
    <r>
      <rPr>
        <u/>
        <sz val="8"/>
        <rFont val="Times New Roman CE"/>
        <charset val="238"/>
      </rPr>
      <t>FELHALMOZÁSI CÉLÚ TARTALÉK</t>
    </r>
  </si>
  <si>
    <t xml:space="preserve">IV. Közhatalmi bevételek </t>
  </si>
  <si>
    <t>XVI. kerületi Kertvárosi Idősek Otthona felhalmozási célú tartaléka</t>
  </si>
  <si>
    <t>Útépítések - Burkolatfelújítások</t>
  </si>
  <si>
    <t>Központi kezelésű előirányzattól felhalmozási célú támogatások bevételei (=69.)</t>
  </si>
  <si>
    <t>Felhalmozási célú támogatások bevételei államháztartáson belülről (68.+70.+74.)</t>
  </si>
  <si>
    <t>Telkek értékesítése (77.+78.)</t>
  </si>
  <si>
    <t>Épületek értékesítése (80.+81.)</t>
  </si>
  <si>
    <t>Ingatlanok értékesítése (79.+82.+83.)</t>
  </si>
  <si>
    <t>Egyéb tárgyi eszközök értékesítése (85.+86.+87.)</t>
  </si>
  <si>
    <t>Felhalmozási bevételek (76.+84.+88.+89.)</t>
  </si>
  <si>
    <t>Felhalmozási célú visszatérítendő támogatások, kölcsönök visszatérülése államháztartáson kívülről (=91.)</t>
  </si>
  <si>
    <t>95.</t>
  </si>
  <si>
    <t>Egyéb felhalmozási célú átvett pénzeszközök (93.+…+98.)</t>
  </si>
  <si>
    <t>Felhalmozási célú átvett pénzeszközök (92.+99.)</t>
  </si>
  <si>
    <t>Önkormányzat költségvetési bevételei mindösszesen (28.+45.+58.+65.+75.+90.+100.)</t>
  </si>
  <si>
    <t>103.</t>
  </si>
  <si>
    <t>104.</t>
  </si>
  <si>
    <t>105.</t>
  </si>
  <si>
    <t>2024. évi teljesítés</t>
  </si>
  <si>
    <t>2025. előtti kifizetés
(a 2024. évi várható teljesítéssel)</t>
  </si>
  <si>
    <t>2025</t>
  </si>
  <si>
    <t>XVI. kerületi Kertvárosi Idősek Otthona - Előirányzat-felhasználási terv
2025. évre</t>
  </si>
  <si>
    <t>Egyéb felhalmozási kiadások - FELHALMOZÁSI CÉLÚ TARTALÉK</t>
  </si>
  <si>
    <t>Változás 2024-ről 2025-re
Ft-ban</t>
  </si>
  <si>
    <t>2028/2027</t>
  </si>
  <si>
    <t>Az adózás rendjéről szóló 2017. évi. CL. törvény 201. § (1) bek.</t>
  </si>
  <si>
    <t>A Budapest Főváros  XVI. kerületi Önkormányzat Képviselő-testületének az építményadóról szóló 21/2022. (IX. 23.)  rendelete alapján adókedvezmény nem nyújtható.</t>
  </si>
  <si>
    <t>A Budapest Főváros  XVI. kerületi Önkormányzat Képviselő-testületének a  telekadóról szóló 22/2022. (IX. 23.) rendelete alapján adókedvezmény nem nyújtható.</t>
  </si>
  <si>
    <t>Táncsics u. 10.</t>
  </si>
  <si>
    <t>XVI. Kerületi Nagycsaládosok Egyesülete</t>
  </si>
  <si>
    <t>Rádió u. 32.</t>
  </si>
  <si>
    <t>Magyar Divattánc Egyesület</t>
  </si>
  <si>
    <t>2024. évi teljesítések</t>
  </si>
  <si>
    <t>intézményfinanszírozásban</t>
  </si>
  <si>
    <t>Útépítések, Burkolat-felújítások - támogatásokból és saját forrásból</t>
  </si>
  <si>
    <t>2024-ben tervezésekről kifizetve</t>
  </si>
  <si>
    <t>2025-re áthúzódó tervezésekről</t>
  </si>
  <si>
    <t>2025-ös fadok</t>
  </si>
  <si>
    <t>Idősbarát Önkormányzat Díjjal járó pénzjutalom felhasználása</t>
  </si>
  <si>
    <t>Önként vállalt működési feladatok kiadásai mindösszesen (50.+…+62.)</t>
  </si>
  <si>
    <r>
      <t>Működési kiadások</t>
    </r>
    <r>
      <rPr>
        <b/>
        <sz val="10"/>
        <rFont val="Times New Roman"/>
        <family val="1"/>
        <charset val="238"/>
      </rPr>
      <t xml:space="preserve"> (49.+63.)</t>
    </r>
  </si>
  <si>
    <t>Tartalékok (55.+…+60.)</t>
  </si>
  <si>
    <t>Tartalékok (61.+62.)</t>
  </si>
  <si>
    <t>Egyéb működési célú kiadások és tartalékok (4.+5.+6.+7.+18.+19.+26.+54.+63.)</t>
  </si>
  <si>
    <t>XVI. kerületi Kertvárosi Idősek Otthona PIR száma 852964</t>
  </si>
  <si>
    <t>C/B</t>
  </si>
  <si>
    <t>2025. év előtti tervezett forrás  forintban</t>
  </si>
  <si>
    <t>2025. év előtti tervezett   kiadás forintban</t>
  </si>
  <si>
    <t>2025. évi tervezett forrás forintban</t>
  </si>
  <si>
    <t>2025. év utáni tervezett forrás forintban</t>
  </si>
  <si>
    <t>2025. évi tervezett kiadás forintban</t>
  </si>
  <si>
    <t>2025. év utáni tervezett kiadás forintban</t>
  </si>
  <si>
    <t>Önkormányzaton kívüli EU-s projektekhez történő hozzájárulás 2025. évi előirányzata</t>
  </si>
  <si>
    <t>38. melléklet a 2/2025. (II. 27.) önkormányzati rendelethez</t>
  </si>
  <si>
    <t>39. melléklet a 2/2025. (II. 27.) önkormányzati rendelethez</t>
  </si>
  <si>
    <t>40. melléklet a 2/2025. (II. 27.) önkormányzati rendelethez</t>
  </si>
  <si>
    <t>Duna Művészeti Társaság Nemzetközi Kulturális Alapítvány „29. és 30. Duna Karnevál Erzsébetligeti Nemzetközi versenye” támogatása</t>
  </si>
  <si>
    <t>Rákoszentmihályi Konrád Ferenc Uszoda Kertvárosi Sportlétesítményeket Üzemeltető Kft.-nek továbbszámlázandó közműdíja</t>
  </si>
  <si>
    <t>Rákoszentmihályi Konrád Ferenc Uszoda Kertvárosi Sportlétesítményeket Üzemeltető Kft.-nek továbbszámlázandó közműdíjából befolyó bevétel</t>
  </si>
  <si>
    <t>ÚJ SOR</t>
  </si>
  <si>
    <t xml:space="preserve">Út, járda és parkoló építések </t>
  </si>
  <si>
    <t>Intézményvezetők jutalmazási kerete
(33. melléklet)</t>
  </si>
  <si>
    <t>Felújítási és karbantartási céltartalékból új feladatokra felhasználható keretösszeg
(35. melléklet)</t>
  </si>
  <si>
    <t>Kertvárosi Energatikai Fejlesztési Alap
(34. melléklet)</t>
  </si>
  <si>
    <t>Önkormányzat általános működési tartaléka
(33.  melléklet)</t>
  </si>
  <si>
    <t>Alpolgármesteri keret
(33. melléklet)</t>
  </si>
  <si>
    <t>Vásárolt közszolgáltatások - Önkormányzat által fenntartott intézményekben dolgozók képzés - HACCP élelmiszerhigiéniai oktatás
(30. melléklet)</t>
  </si>
  <si>
    <t>Önkormányzat által fenntartott óvodákban dolgozó óvodapedagógusok szakmai továbbképzése
(33. melléklet)</t>
  </si>
  <si>
    <t>Prevenciós keret
(alpolgár-mesteri hatáskör)
(33.  melléklet)</t>
  </si>
  <si>
    <t>Az Önkormányzat fizeti, nem a Polgármesteri Hivatal</t>
  </si>
  <si>
    <t>Díjadományozások
"Év dolgozója"</t>
  </si>
  <si>
    <t>Corvin Művelődési Ház SportGála rendezvényen közreműködőnek</t>
  </si>
  <si>
    <t>Szakmai Napok</t>
  </si>
  <si>
    <t>Egyéb működési célú támogatások - Díjadományozás
"Év dolgozója"
(33. melléklet)</t>
  </si>
  <si>
    <t>Kertvárosi Pedagógiai Napok, szakmai napok
(33. melléklet)</t>
  </si>
  <si>
    <t>28. mellékletben</t>
  </si>
  <si>
    <r>
      <t xml:space="preserve">Fűtés melegvízdíj szolgáltatás (Centenáriumi Ltp. N. épület, Jókai u. 2. Cziráki utca - Egyenes utca, ÚJ: Sashalom utca 6./B) </t>
    </r>
    <r>
      <rPr>
        <b/>
        <i/>
        <sz val="10"/>
        <rFont val="Times New Roman"/>
        <family val="1"/>
        <charset val="238"/>
      </rPr>
      <t>TEHÁT: NEM LAKÁSCÉLÚ HELYISÉGEK BÉRLŐ RÉSZÉRE TOVÁBBSZÁMLÁZOTT KÖZÜZEMI KÖLTSÉGEK BEVÉTELE</t>
    </r>
  </si>
  <si>
    <t>Zárszámadási rendelet szerint: Vállalkozási maradvány igénybevétele</t>
  </si>
  <si>
    <t>36. melléklet</t>
  </si>
  <si>
    <t>Közfoglal-koztatás - 
3 főre</t>
  </si>
  <si>
    <t>Óvodai tornaszoba-és fejlesztőszobák kialakítása</t>
  </si>
  <si>
    <t>35. melléklet</t>
  </si>
  <si>
    <t>Vásárolt közszolgáltatások</t>
  </si>
  <si>
    <t>011130
018030</t>
  </si>
  <si>
    <t>Vásárolt közszolgáltatás 
(Korcsolya-oktatásra szállítás)
(30. melléklet)</t>
  </si>
  <si>
    <t>Működési bevételek között:
Általános forgalmi adó visszatérítése</t>
  </si>
  <si>
    <t>Kertvárosi Idősek Otthona és Közösségi Központja kertbővítés</t>
  </si>
  <si>
    <t>Tipegő Bölcsőde építése (Iskola utca 8.)</t>
  </si>
  <si>
    <t>Nonprofit szervezetnek egyéb felhalmozási célú támogatások</t>
  </si>
  <si>
    <t>Ruházati költségtérítés anyakönyvvezetőknek és esküvőszervezőnek
(nettó 60 000 Ft/fő/év)</t>
  </si>
  <si>
    <t>Családi Életmód Nap - szűrőprogram</t>
  </si>
  <si>
    <t xml:space="preserve">Kihelyezett posta szolgáltatási díja </t>
  </si>
  <si>
    <t>Közutak, hidak, alagutak üzemeltetése, fenntartása</t>
  </si>
  <si>
    <r>
      <t>Intézmények részére rendelkezésre álló működési tartalék
(33. melléklet)</t>
    </r>
    <r>
      <rPr>
        <b/>
        <sz val="14"/>
        <color indexed="8"/>
        <rFont val="Times New Roman"/>
        <family val="1"/>
        <charset val="238"/>
      </rPr>
      <t xml:space="preserve"> </t>
    </r>
    <r>
      <rPr>
        <sz val="14"/>
        <color indexed="8"/>
        <rFont val="Times New Roman"/>
        <family val="1"/>
        <charset val="238"/>
      </rPr>
      <t xml:space="preserve">
</t>
    </r>
  </si>
  <si>
    <t>Fejlesztési céltartalék egyéb, előre nem tervezhető kiadások fedezetéül
(33. melléklet)</t>
  </si>
  <si>
    <t>Zöldterület kezelés</t>
  </si>
  <si>
    <t>Hatósági hulladékeltávolítás / kóbor állatok elhelyezésének díja</t>
  </si>
  <si>
    <t>Közigazgatási és Területfejlesztési Minisztériumtól a BPM-ÁPII/1054-1/2025 Támogatói Okirat alapján a Budapest XVI. kerületi Szentmihályi Ifjúsági Parkhoz kapcsolódó táborfelújítás támogatására</t>
  </si>
  <si>
    <t>Fejezeti kezelésű előirányzattól felhalmozási célú támogatások (71.+72.+73./1.+73./2.)</t>
  </si>
  <si>
    <t>Felhalmozási célú támogatások bevételei államháztartáson belülről</t>
  </si>
  <si>
    <t>Budapest XVI. kerületi Szentmihályi Ifjúsági Parkhoz kapcsolódó táborfelújítás</t>
  </si>
  <si>
    <t>12.3.</t>
  </si>
  <si>
    <t>73.2.</t>
  </si>
  <si>
    <t>73.1.</t>
  </si>
  <si>
    <t xml:space="preserve">Települési támogatás: "Fűtési támogatás"  </t>
  </si>
  <si>
    <t>Felújítás</t>
  </si>
  <si>
    <t>Intézmények közötti átcsoportosítás</t>
  </si>
  <si>
    <t>Nem adatátviteli célú távközlési díjak (telefon)</t>
  </si>
  <si>
    <t>46.1.</t>
  </si>
  <si>
    <t>46.2.</t>
  </si>
  <si>
    <t>Felhalmozási célú önkormányzati támogatások (66.+67.)</t>
  </si>
  <si>
    <r>
      <t xml:space="preserve">Önkormányzati többségi tulajdonú  nem pénzügyi vállalkozástól felhalmozási célú átvett pénzeszközök /  </t>
    </r>
    <r>
      <rPr>
        <u/>
        <sz val="10"/>
        <rFont val="Times New Roman"/>
        <family val="1"/>
        <charset val="238"/>
      </rPr>
      <t>Waldorf Óvoda hozzájárulása a tetőfelújításhoz.2023-ban</t>
    </r>
  </si>
  <si>
    <t>1, 2, 4-7. mellékletek</t>
  </si>
  <si>
    <t>1, 2, 4-6. mellékletek</t>
  </si>
  <si>
    <t>Működési bevételek között:
Ellátási díjak</t>
  </si>
  <si>
    <t>Intézmény-finanszírozás
Önkormányzati bevétel továbbutalása</t>
  </si>
  <si>
    <t>összes pótigény:</t>
  </si>
  <si>
    <t>Előirányzat-módosítások, előirányzat-átcsoportosítások összegszerű változásai</t>
  </si>
  <si>
    <t>I</t>
  </si>
  <si>
    <t>Bevételi előirányzat-módosítások, előirányzat-átcsoportosítások összegszerű változásai</t>
  </si>
  <si>
    <t>2024. évi 
teljesítés forintban</t>
  </si>
  <si>
    <t>Önkormányzat 2024. évi költségvetési maradványa</t>
  </si>
  <si>
    <t>Külső személyi juttatások (23.+27.)</t>
  </si>
  <si>
    <t>2024. évi teljesítés forintban</t>
  </si>
  <si>
    <t>Város-, községgazdálkodási egyéb szolgáltatások -Térfigyelő rendszer fenntartása (12.1.+12.2.)</t>
  </si>
  <si>
    <t>Közutak, hidak, alagutak üzemeltetése, fenntartása (13.+…+28.)</t>
  </si>
  <si>
    <t>Intézményi felújítások II. (12.1.+12.2.+12.3.)</t>
  </si>
  <si>
    <t>Rákosszentmihályi Konrád Ferenc Uszoda Kertvárosi Sportlétesítményeket Üzemeltető Kft.-nek továbbszámlázandó közműdíja</t>
  </si>
  <si>
    <t>L</t>
  </si>
  <si>
    <t>N</t>
  </si>
  <si>
    <t>Épületkarbantartás</t>
  </si>
  <si>
    <t>Forgalomcsillapított övezetek kialakítása</t>
  </si>
  <si>
    <t>Vízdíj</t>
  </si>
  <si>
    <t>Őszi lombgyűjtési akció</t>
  </si>
  <si>
    <t>Humán Iroda szakértői feladatokra elkülönített kerete</t>
  </si>
  <si>
    <t>Pedagógusok elismerésére</t>
  </si>
  <si>
    <t>Ajándékutalványok vásárlására</t>
  </si>
  <si>
    <t>Karácsonyi csomagok</t>
  </si>
  <si>
    <t>Költségvetésben új sor</t>
  </si>
  <si>
    <t>ebből: Magyar Államkincstár felé teljesítendő visszafizetés a 2024. évi feladatalapú támogatások  felülvizsgálata alapján</t>
  </si>
  <si>
    <t>Elvonások és befizetések</t>
  </si>
  <si>
    <t>Magyar Államkincstár felé teljesítendő visszafizetés a 2024. évi feladatalapú támogatások  felülvizsgálata alapján</t>
  </si>
  <si>
    <t>Humán Iroda   - hirdetési kerete</t>
  </si>
  <si>
    <t>Szociális Munka Napjára</t>
  </si>
  <si>
    <r>
      <t xml:space="preserve">2024-ben: A Mátyásföldi repülőtér és környezetének területalapú támogatásból megvalósuló rendezése
</t>
    </r>
    <r>
      <rPr>
        <b/>
        <i/>
        <sz val="9"/>
        <rFont val="Times New Roman"/>
        <family val="1"/>
        <charset val="238"/>
      </rPr>
      <t>2025-ben: Párta utca 36. szám alatti sírkert - a Rákosszentmihályi Római Katolikus Egyház tulajdonában álló ingatlan területén orosz (szovjet) katonai hadisírok - közüzemi kiadásai</t>
    </r>
  </si>
  <si>
    <t>Humán Iroda feladatkörében a kerületi diáksport versenyek szervezésére biztosított keretösszeg</t>
  </si>
  <si>
    <t>Rendkívüli települési támogatás</t>
  </si>
  <si>
    <t>Temetési támogatás</t>
  </si>
  <si>
    <t>Játszótéri javítások</t>
  </si>
  <si>
    <t>Számítógép alkatrészek</t>
  </si>
  <si>
    <t>Informatikai gép, berendezés és felszerelés beszerzés, létesítés - Informatikai fejlesztések</t>
  </si>
  <si>
    <t>Párta utca 36. szám alatti sírkert - a Rákosszentmihályi Római Katolikus Egyház tulajdonában álló ingatlan területén orosz (szovjet) katonai hadisírok - közüzemi kiadásai</t>
  </si>
  <si>
    <t>Útépítések - Szent Korona utca II. ütem</t>
  </si>
  <si>
    <t>Önkormányzati vagyonnal való gazdálkodással kapcsolatos feladatok - Lakingatlanok bérbeadása, üzemeltetése</t>
  </si>
  <si>
    <t>Közmű-és energetikai céltartalék
(33. melléklet)</t>
  </si>
  <si>
    <t>Bútorbeszerzésre</t>
  </si>
  <si>
    <t>PMH víz-és csatornadíjakra</t>
  </si>
  <si>
    <t>Szent korona utcai útépítések II. üteme közbeszerzésének indításához</t>
  </si>
  <si>
    <t>Nemzetiségi Önkormányzatok pályázati kerete</t>
  </si>
  <si>
    <t xml:space="preserve">Közutak, hidak, alagutak üzemeltetése, fenntartása </t>
  </si>
  <si>
    <t>Kiszámlázott  egyenes adózású értékesített termékek, nyújtott szolgáltatások ÁFA kiadásai</t>
  </si>
  <si>
    <t xml:space="preserve">Csömöri úti csapadékcsatorna üzemeltetési díja kiegészítésére </t>
  </si>
  <si>
    <t>70/2025. (III. 19.) Kt. határozat alapján a jelzőrendszeres házi segítségnyújtás megszüntetése miatti támogatás visszafizetési kötelezettségének teljesítésére</t>
  </si>
  <si>
    <t>Mátyásföldi Fecskefészek Óvodának  hűtőszekrények, mikrohullámú sütők, porszívók és mosógépek beszerzésére</t>
  </si>
  <si>
    <t>Valamennyi intézmény</t>
  </si>
  <si>
    <t>Napsugár Óvoda, Mátyásföldi Fecskefésezk Óvoda, Cinkotai Huncutka Óvoda</t>
  </si>
  <si>
    <r>
      <t xml:space="preserve">Bónusz (márciusban </t>
    </r>
    <r>
      <rPr>
        <u/>
        <sz val="10"/>
        <rFont val="Times New Roman"/>
        <family val="1"/>
        <charset val="238"/>
      </rPr>
      <t>bruttó 75 200 Ft/fő ruházati hozzájárulás</t>
    </r>
    <r>
      <rPr>
        <sz val="10"/>
        <rFont val="Times New Roman"/>
        <family val="1"/>
        <charset val="238"/>
      </rPr>
      <t xml:space="preserve">, </t>
    </r>
    <r>
      <rPr>
        <u/>
        <sz val="10"/>
        <rFont val="Times New Roman"/>
        <family val="1"/>
        <charset val="238"/>
      </rPr>
      <t xml:space="preserve">decemberben bruttó
131 200 Ft/fő </t>
    </r>
    <r>
      <rPr>
        <sz val="10"/>
        <rFont val="Times New Roman"/>
        <family val="1"/>
        <charset val="238"/>
      </rPr>
      <t xml:space="preserve">és negyedévente bruttó </t>
    </r>
    <r>
      <rPr>
        <u/>
        <sz val="10"/>
        <rFont val="Times New Roman"/>
        <family val="1"/>
        <charset val="238"/>
      </rPr>
      <t>300 000 Ft/fő</t>
    </r>
    <r>
      <rPr>
        <sz val="10"/>
        <rFont val="Times New Roman"/>
        <family val="1"/>
        <charset val="238"/>
      </rPr>
      <t xml:space="preserve"> hozzájárulás a megnövekedett rezsi-és élelmiszerárak kompenzálására ) </t>
    </r>
  </si>
  <si>
    <t>Budapest XVI. kerületi Arany János Általános Iskolában létesítendő futópálya beruházás és térkőburkolat kiépítése</t>
  </si>
  <si>
    <t>Budapest XVI. Kerületi Arany János Általános Iskolában létesítendő futópálya beruházás és térkőburkolat kiépítése</t>
  </si>
  <si>
    <t>Egyéb építmény létesítés: Budapest XVI. kerületi Arany János Általános Iskolában létesítendő futópálya beruházás és térkőburkolat kiépítése</t>
  </si>
  <si>
    <t>Normatív jutalom sor kiegészítése 800 000 Ft-tal.</t>
  </si>
  <si>
    <t xml:space="preserve">Társasházban található, központi fűtésű lakások bérlőinek hő-díj tartozása </t>
  </si>
  <si>
    <t>Informatikai stratégiai fejlesztések</t>
  </si>
  <si>
    <t>Elektronikus ügyintézésre átállás költsége: Kertvárosi Applikáció  kiépítésére</t>
  </si>
  <si>
    <t>Humán Iroda kerete</t>
  </si>
  <si>
    <t>Önkormányzat által fenntartott intézményekben dolgozók képzése</t>
  </si>
  <si>
    <t>Karbant., kisjav. szolg. - Tárgyi eszköz karbantartás</t>
  </si>
  <si>
    <t>Információs felülvizsgálat</t>
  </si>
  <si>
    <t>Gépjárművek biztosítása</t>
  </si>
  <si>
    <t>Közbeszerzési díj</t>
  </si>
  <si>
    <t xml:space="preserve">Humán Iroda hirdetési keretre </t>
  </si>
  <si>
    <t>Reklám - propaganda kiadások</t>
  </si>
  <si>
    <t>Humán Iroda intézményekkel összefüggő (nem reprezentációs) kiadásai - Díjadományozás</t>
  </si>
  <si>
    <t>Karácsonyi csomagok 
(31. melléklet)</t>
  </si>
  <si>
    <t>B406</t>
  </si>
  <si>
    <t xml:space="preserve">   Egyéb belső finanszírozási bevételek (Belföldi értékpapírok bevételei -  Forgatási célú belföldi értékpapírok beváltása, értékesítése)</t>
  </si>
  <si>
    <t xml:space="preserve">Egyéb sajátos juttatások </t>
  </si>
  <si>
    <r>
      <t xml:space="preserve">Visszatérítendő támogatás - </t>
    </r>
    <r>
      <rPr>
        <i/>
        <sz val="10"/>
        <color indexed="10"/>
        <rFont val="Times New Roman"/>
        <family val="1"/>
        <charset val="238"/>
      </rPr>
      <t>Részletre értékesített lakások részleteiből befolyó bevétel</t>
    </r>
  </si>
  <si>
    <t>Eltérés KGR-től</t>
  </si>
  <si>
    <t>Eltérés a III. módosítás és a teljesítés között, ha mínusz, akkor rendezni kell!</t>
  </si>
  <si>
    <t>Szociális hozzájárulási adó</t>
  </si>
  <si>
    <t>Dologi kiadások - tartalékok</t>
  </si>
  <si>
    <t>új sor</t>
  </si>
  <si>
    <t>Katasztrófavédelemmel összefüggő megbízási díjak</t>
  </si>
  <si>
    <t>Biztosítási díjak (nyári diákmunkához kapcsolódó)</t>
  </si>
  <si>
    <t>Foglalkoztatottak egyéb személyi juttatásai (=5.1.)</t>
  </si>
  <si>
    <t>Foglalkoztatottak személyi juttatásai (4.+5.+5.2.)</t>
  </si>
  <si>
    <t>Helyi vállalkozások munkahely-teremtő és foglalkoztatás ösztönző program</t>
  </si>
  <si>
    <t>Iparűzési adónövekmény elvonása</t>
  </si>
  <si>
    <t>Eltérés teljesítés és III. módosítás között
Minden esetben rendezni, hogy 0 legyen!!!</t>
  </si>
  <si>
    <t xml:space="preserve">Eltérés teljesítés és III. módosítás között
</t>
  </si>
  <si>
    <t>Szakrendelőnek betöltetlen Délceg utcai gyermekorvosi praxis ellátására (havonta 300 000 Ft) és epipen injekciók beszerzésére (1 152 715 Ft), Tekla utcai fogorvosoknak 312 080 Ft</t>
  </si>
  <si>
    <t xml:space="preserve">Működési célú költségvetési támogatások és kiegészítő támogatások </t>
  </si>
  <si>
    <t>Működési célú támogatások államháztartáson belülről I.: Önkormányzatok működési támogatásai - feladatalapú támogatások</t>
  </si>
  <si>
    <t>Működési célú támogatások államháztartáson belülről II.: Egyéb működési célú támogatások bevételei államháztartáson belülről</t>
  </si>
  <si>
    <t>Jelzőrendszeres házi segítségnyújtás működtetésére  támogatás a Szociális és Gyermekvédelmi Főigazgatóságtól - feladat megszűnése miatti csökkent összegű támogatás rendezése</t>
  </si>
  <si>
    <t>Be nem érkezett támogatások rendezése</t>
  </si>
  <si>
    <t>Be nem folyt bevételek rendezése</t>
  </si>
  <si>
    <t>Lakótelkek értékesítése - be nem folyt bevételek rendezése</t>
  </si>
  <si>
    <t>Terület bérletből, közterületből befolyt bevételeket a közhatalmi bevételek közé kell könyvelni</t>
  </si>
  <si>
    <t xml:space="preserve">Működési bevételek: Egyéb önkormányzati tárgyi eszköz bérbeadásából származó bevételek </t>
  </si>
  <si>
    <t>Működési bevételek: Szolgáltatások ellenértéke</t>
  </si>
  <si>
    <t>Konténerrel területfoglalást a közhatalmi bevételek közé kell könyvelni</t>
  </si>
  <si>
    <t xml:space="preserve">Egyéb tárgyi eszközök értékesítése </t>
  </si>
  <si>
    <t>PMH kóbor állatok ellátására 2 M Ft, postaköltség 3,5 M Ft, Céljutalomra 6 920 000 Ft, Óvodák vásárolt élelmezésének rendezésére +87 306 302 Ft, finanszírozási előirányzatok rendezésére 3 intézménynél 34 293 478 Ft</t>
  </si>
  <si>
    <t>NKA pályázat</t>
  </si>
  <si>
    <t>Közfoglalkoztatás támogatásának rendezése</t>
  </si>
  <si>
    <t>NEAK bevételi többlet</t>
  </si>
  <si>
    <t>Egyéb elvonások és befizetések</t>
  </si>
  <si>
    <t>Jelzőrendszeres házi segítségnyújtás 2025. évi ellátásához kapott állami támogatásból a fel nem használt rész visszafizetése</t>
  </si>
  <si>
    <t>ebből: jelzőrendszeres házi segítségnyújtás 2025. évi ellátásához kapott állami támogatásból a fel nem használt rész visszafizetése</t>
  </si>
  <si>
    <t>ebből: 2025. évi Szolidaritási hozzájárulás (Törvényi előíráson alapuló befizetés)</t>
  </si>
  <si>
    <r>
      <t xml:space="preserve">ebből: Korábbi évek pályázati támogatásával kapcsolatos visszafizetés / </t>
    </r>
    <r>
      <rPr>
        <i/>
        <u/>
        <sz val="10"/>
        <rFont val="Times New Roman"/>
        <family val="1"/>
        <charset val="238"/>
      </rPr>
      <t>Iparűzési adónövekmény elvonása 2025-ben</t>
    </r>
    <r>
      <rPr>
        <i/>
        <sz val="10"/>
        <rFont val="Times New Roman"/>
        <family val="1"/>
        <charset val="238"/>
      </rPr>
      <t xml:space="preserve"> (Törvényi előíráson alapuló befizetés)</t>
    </r>
  </si>
  <si>
    <t>Fenti két tételen felüli be nem folyt bevételek rendezése</t>
  </si>
  <si>
    <t>Egyéb működési célú támogatások bevételei államháztartáson belülről</t>
  </si>
  <si>
    <t>Nem változtató</t>
  </si>
  <si>
    <t>Előző kettö különbsége</t>
  </si>
  <si>
    <t>7. mellékletben</t>
  </si>
  <si>
    <t>0 = egyezik</t>
  </si>
  <si>
    <t>Csökkenő bevételek</t>
  </si>
  <si>
    <t>Növekvő bevételek</t>
  </si>
  <si>
    <r>
      <t>Önkormányzati többségi tulajdonú  nem pénzügyi vállalkozástól működési célú visszatérítendő támogatások, kölcsönök visszatérülése -</t>
    </r>
    <r>
      <rPr>
        <b/>
        <u/>
        <sz val="10"/>
        <rFont val="Times New Roman"/>
        <family val="1"/>
        <charset val="238"/>
      </rPr>
      <t xml:space="preserve"> </t>
    </r>
    <r>
      <rPr>
        <u/>
        <sz val="10"/>
        <rFont val="Times New Roman"/>
        <family val="1"/>
        <charset val="238"/>
      </rPr>
      <t>REHAB kölcsönének visszafizetése</t>
    </r>
  </si>
  <si>
    <t>Idősek Otthona őrzésre 2 699 004 Ft és finanszírozás kiegészítése 10 000 000 Ft, Helytörténetnél üres állás betöltésére 1 348 219 Ft, Szakrendelő finanszírozás visszavonása 71 286 015 Ft, Sashalmi Manoda Óvoda jutalom kifizetésére 2 643 522 Ft, Területi Szociális Szolgálat üres állás betöltésére 813 261 Ft</t>
  </si>
  <si>
    <t>Villámvédelmi rendszer korszerűsítés pályázat</t>
  </si>
  <si>
    <t>Egyéb felhalmozási célú támogatások államháztartáson kívülre (24.+…+30.)</t>
  </si>
  <si>
    <t>Egyéb felhalmozási célú kiadások (2.+3.+4.+7.+8.+17.+21.+31.)</t>
  </si>
  <si>
    <r>
      <t xml:space="preserve">IKARUS BSE lelátó felújításának önkormányzati támogatása 2024-ben
</t>
    </r>
    <r>
      <rPr>
        <b/>
        <u/>
        <sz val="10"/>
        <rFont val="Times New Roman"/>
        <family val="1"/>
        <charset val="238"/>
      </rPr>
      <t>Hőszigetelés pályázat 2025-ben</t>
    </r>
  </si>
  <si>
    <t xml:space="preserve">Pályázati keret </t>
  </si>
  <si>
    <t>Hőszigetelés pályázat</t>
  </si>
  <si>
    <t>Villámvédelemi rendszer korszerűsítés pályázat</t>
  </si>
  <si>
    <t>Technikai rendezés</t>
  </si>
  <si>
    <t>Kertvárosi Sportlétesítményeket Üzemeltető Kft. kompenzációja</t>
  </si>
  <si>
    <t>Előirányzat-módosítások, előirányzat-átcsoportosítások összegszerű változásai a III. módosításnál</t>
  </si>
  <si>
    <t>Bevételi előirányzat-módosítások, előirányzat-átcsoportosítások összegszerű változásai a III. módosításnál</t>
  </si>
  <si>
    <t>54.1.</t>
  </si>
  <si>
    <t>54.2</t>
  </si>
  <si>
    <t>54.3.</t>
  </si>
  <si>
    <t>54.4.</t>
  </si>
  <si>
    <t>Kiszámlázott általános forgalmi adó (54.1.+54.2.)</t>
  </si>
  <si>
    <t>56.1.</t>
  </si>
  <si>
    <t>56.2.</t>
  </si>
  <si>
    <t>Működési bevételek (46.1.+46.2.+47.+53.+54.3.+54.4.+55.+56.1.+56.2.+57.)</t>
  </si>
  <si>
    <t xml:space="preserve"> 2025. évi teljesítés / 2025. évi III. számú módosított előirányzat</t>
  </si>
  <si>
    <t>2025. évi
teljesítés forintban</t>
  </si>
  <si>
    <t>Budapest Főváros XVI. kerületi Önkormányzat 2025. évi zárszámadásának összevont pénzügyi mérlege</t>
  </si>
  <si>
    <t>37. melléklet a .../2026. (V. ...) önkormányzati rendelethez</t>
  </si>
  <si>
    <t>Intézmények 2025. évi maradványa összesen</t>
  </si>
  <si>
    <t>Létszám előirányzat (státusz) - Teljesítés: Munkajogi zárólétszám (az időszak végén munkaviszonyban állók létszáma)</t>
  </si>
  <si>
    <t>2025. évi maradvány</t>
  </si>
  <si>
    <t>.</t>
  </si>
  <si>
    <t>Egyéb helyi közhatalmi bevételek (Közterület bérbe adásából származó bevételek, valamint a közterületre kihelyezett konténerek után fizetendő díjból befolyó bevételek)</t>
  </si>
  <si>
    <t>EU-s projekt neve, azonosítója:</t>
  </si>
  <si>
    <t xml:space="preserve">forintban </t>
  </si>
  <si>
    <t>Támogatási szerződés szerinti bevételek, kiadások</t>
  </si>
  <si>
    <t>Módosított</t>
  </si>
  <si>
    <t>Évenkénti üteme</t>
  </si>
  <si>
    <t>Összes bevétel,
kiadás</t>
  </si>
  <si>
    <t>L=(J+K)</t>
  </si>
  <si>
    <t>M=(L/C)</t>
  </si>
  <si>
    <t>Ellenőrzések</t>
  </si>
  <si>
    <t>Évenkénti ütemezés szerint</t>
  </si>
  <si>
    <t>Módosított előirányzat</t>
  </si>
  <si>
    <t>Költségvetési szervek maradványának alakulása (1. oldal)</t>
  </si>
  <si>
    <t>Költségvetési szerv neve</t>
  </si>
  <si>
    <t xml:space="preserve">Beszámoló 07/A. Űrlap
7. sor </t>
  </si>
  <si>
    <t xml:space="preserve">Beszámoló 07/A. Űrlap 14. sor </t>
  </si>
  <si>
    <t xml:space="preserve">Beszámoló 07/A. Űrlap 15. sor </t>
  </si>
  <si>
    <t>Elvonás
(-)</t>
  </si>
  <si>
    <t xml:space="preserve">Összes maradvány mínusz elvonás </t>
  </si>
  <si>
    <t xml:space="preserve">Beszámoló 07/A. Űrlap
16.-17. sor </t>
  </si>
  <si>
    <t>Intézményi kérelem alapján az alaptevékenység szabad maradványából nem kerül elvonásra</t>
  </si>
  <si>
    <t xml:space="preserve">Beszámoló 07/A. Űrlap
18.-19. sor </t>
  </si>
  <si>
    <t xml:space="preserve">Beszámoló 04. Űrlap 17. sor Központi, irányító szervi támogatás </t>
  </si>
  <si>
    <t>PIR számok</t>
  </si>
  <si>
    <t xml:space="preserve">Költségvetési maradvány </t>
  </si>
  <si>
    <t>Vállalkozási tevékenység maradványa</t>
  </si>
  <si>
    <t>Összes maradvány  - 2025. évi költségvetési rendeletbe beépítendő maradvány</t>
  </si>
  <si>
    <t>Alaptevékenység kötelezettség-
vállalással terhelt maradványa</t>
  </si>
  <si>
    <t>Alaptevékenység szabad maradványa</t>
  </si>
  <si>
    <t>Vállalkozási tevékenységet terhelő befizetési kötelezettség</t>
  </si>
  <si>
    <t>Vállalkozási tevékenység felhasználható maradványa</t>
  </si>
  <si>
    <t>Finanszírozás előirányzat</t>
  </si>
  <si>
    <t>Finanszírozás Teljesítés</t>
  </si>
  <si>
    <t>Igénybe nem vett finanszírozás (Kiutalatlan támogatás)         M-N</t>
  </si>
  <si>
    <t>E=(C+D)</t>
  </si>
  <si>
    <t>F-G</t>
  </si>
  <si>
    <t>M</t>
  </si>
  <si>
    <t>O</t>
  </si>
  <si>
    <t>Önkormányzat (költségvetési szervek nélkül)</t>
  </si>
  <si>
    <t>Cinkotai Huncutka Óvoda</t>
  </si>
  <si>
    <t>Kertvárosi Helytörténet és Emlékezet Központ</t>
  </si>
  <si>
    <t>Intézmények összesen:</t>
  </si>
  <si>
    <t>Ellenőrzések:</t>
  </si>
  <si>
    <t>Önkormányzat végleges maradványa</t>
  </si>
  <si>
    <t>Önkormányzathoz még beépítendő a maradvány sorra</t>
  </si>
  <si>
    <t>elvonás intézményektől</t>
  </si>
  <si>
    <t>Vállalkozási maradvány elvonása</t>
  </si>
  <si>
    <t>Ki nem utalt támogatás</t>
  </si>
  <si>
    <t>Vállalkozási tevékenységet terhelő befizetési kötelezettség - Önkormányzatot illeti</t>
  </si>
  <si>
    <t>Összes többletforrás</t>
  </si>
  <si>
    <t>Ennyi a végleges + pénz</t>
  </si>
  <si>
    <t>Költségvetési szervek maradványának alakulása (2. oldal)</t>
  </si>
  <si>
    <t>Maradványkimutatás a beszámoló 07/A űrlapja alapján
összesítve és költségvetési szervenként</t>
  </si>
  <si>
    <t>Ellenőrzés összevontból</t>
  </si>
  <si>
    <t>Ellenőrzés összetoltból Ft-os</t>
  </si>
  <si>
    <t>Összetolt</t>
  </si>
  <si>
    <t>Csak              Önkormányzat</t>
  </si>
  <si>
    <t>XVI. Kerületi Kertvárosi Egészségügyi Szolgálat</t>
  </si>
  <si>
    <t>Napraforgó Szolgálat</t>
  </si>
  <si>
    <t>01</t>
  </si>
  <si>
    <t>01        Alaptevékenység költségvetési bevételei</t>
  </si>
  <si>
    <t>02</t>
  </si>
  <si>
    <t>02        Alaptevékenység költségvetési kiadásai</t>
  </si>
  <si>
    <t>03</t>
  </si>
  <si>
    <t>I          Alaptevékenység költségvetési egyenlege (=01-02)</t>
  </si>
  <si>
    <t>04</t>
  </si>
  <si>
    <t>03        Alaptevékenység finanszírozási bevételei</t>
  </si>
  <si>
    <t>05</t>
  </si>
  <si>
    <t>04        Alaptevékenység finanszírozási kiadásai</t>
  </si>
  <si>
    <t>06</t>
  </si>
  <si>
    <t>II         Alaptevékenység finanszírozási egyenlege (=03-04)</t>
  </si>
  <si>
    <t>07</t>
  </si>
  <si>
    <t>A)        Alaptevékenység maradványa (=±I±II)</t>
  </si>
  <si>
    <t>08</t>
  </si>
  <si>
    <t>05        Vállalkozási tevékenység költségvetési bevételei</t>
  </si>
  <si>
    <t>09</t>
  </si>
  <si>
    <t>06        Vállalkozási tevékenység költségvetési kiadásai</t>
  </si>
  <si>
    <t>10</t>
  </si>
  <si>
    <t>III        Vállalkozási tevékenység költségvetési egyenlege (=05-06)</t>
  </si>
  <si>
    <t>11</t>
  </si>
  <si>
    <t>07        Vállalkozási tevékenység finanszírozási bevételei</t>
  </si>
  <si>
    <t>12</t>
  </si>
  <si>
    <t>08        Vállalkozási tevékenység finanszírozási kiadásai</t>
  </si>
  <si>
    <t>13</t>
  </si>
  <si>
    <t>IV        Vállalkozási tevékenység finanszírozási egyenlege (=07-08)</t>
  </si>
  <si>
    <t>14</t>
  </si>
  <si>
    <t>B)        Vállalkozási tevékenység maradványa (=±III±IV)</t>
  </si>
  <si>
    <t>15</t>
  </si>
  <si>
    <t>C)        Összes maradvány (=A+B)</t>
  </si>
  <si>
    <t>16</t>
  </si>
  <si>
    <t>D)        Alaptevékenység kötelezettségvállalással terhelt maradványa</t>
  </si>
  <si>
    <t>17</t>
  </si>
  <si>
    <t>E)        Alaptevékenység szabad maradványa (=A-D)</t>
  </si>
  <si>
    <t>18</t>
  </si>
  <si>
    <t>F)        Vállalkozási tevékenységet terhelő befizetési kötelezettség (=B*0,09)</t>
  </si>
  <si>
    <t>19</t>
  </si>
  <si>
    <t>G)        Vállalkozási tevékenység felhasználható maradványa (=B-F)</t>
  </si>
  <si>
    <t>Ellenőrzés intézményi táblából</t>
  </si>
  <si>
    <t>Előterjesztés 20. számú melléklete</t>
  </si>
  <si>
    <t>Egyezőség kimutatása az összetolt önkormányzati beszámoló és a zárszámadási rendelettervezet között</t>
  </si>
  <si>
    <t>Adatok a beszámolókból:</t>
  </si>
  <si>
    <t>Összevont önkormányzati beszámoló</t>
  </si>
  <si>
    <t>Önkormányzati beszámoló</t>
  </si>
  <si>
    <t>Polgármesteri Hivatal beszámoló</t>
  </si>
  <si>
    <t>Költségvetési szervek beszámolóiból</t>
  </si>
  <si>
    <t>Költségvetési kiadások  (1. űrlap)</t>
  </si>
  <si>
    <t>Finanszírozási kiadások  (3. űrlap)</t>
  </si>
  <si>
    <t>Kiadások összesen</t>
  </si>
  <si>
    <t>Költségvetési bevételek  (2. űrlap)</t>
  </si>
  <si>
    <t>Finanszírozási bevételek (4. űrlap)</t>
  </si>
  <si>
    <t>Bevételek összesen</t>
  </si>
  <si>
    <t>Költségvetési maradvány</t>
  </si>
  <si>
    <t>Adatok a zárszámadási rendelet mellékleteiből:</t>
  </si>
  <si>
    <t>Összevont mérleg                   1. melléklet</t>
  </si>
  <si>
    <t>Önkormányzati mérleg                    5. melléklet</t>
  </si>
  <si>
    <t>Polgármesteri Hivatal mérlege                 9. melléklet</t>
  </si>
  <si>
    <t>Költségvetési szervek mérlegeiből              8. melléklet adataiból kivonva 9. melléklet adatait</t>
  </si>
  <si>
    <t xml:space="preserve">Költségvetési kiadások  </t>
  </si>
  <si>
    <t xml:space="preserve">Finanszírozási kiadások  </t>
  </si>
  <si>
    <t xml:space="preserve">Költségvetési bevételek </t>
  </si>
  <si>
    <t xml:space="preserve">Finanszírozási bevételek </t>
  </si>
  <si>
    <t>Eltérés a kiadások esetében:</t>
  </si>
  <si>
    <t>Eltérés a bevételek esetében:</t>
  </si>
  <si>
    <t>Eltérés a költségvetési maradvány esetében:</t>
  </si>
  <si>
    <t xml:space="preserve">az intézményfinanszírozás összege: </t>
  </si>
  <si>
    <t>Rendelettervezet 8. melléklet 9.3. sora:</t>
  </si>
  <si>
    <t>Ft</t>
  </si>
  <si>
    <t>Indok: duplázódás elkerülése miatt</t>
  </si>
  <si>
    <t>11/A - A helyi önkormányzatok legfeljebb kettő évig felhasználható támogatásainak elszámolása (forintban)</t>
  </si>
  <si>
    <t>A központi költségvetésből támogatásként rendelkezésre bocsátott összeg</t>
  </si>
  <si>
    <t>Az önkormányzat által az adott célra ténylegesen felhasznált összeg</t>
  </si>
  <si>
    <t>Az önkormányzat által fel nem használt, de a következő évben jogszerűen felhasználható összeg</t>
  </si>
  <si>
    <t>Eltérés (=3-4-5)</t>
  </si>
  <si>
    <t>2. melléklet 1.5.4. Fővárosi kerületi önkormányzatok kulturális feladatainak támogatása</t>
  </si>
  <si>
    <t>6. cím Az Ukrajnában kialakult fegyveres konfliktussal összefüggésben  felmerült önkormányzati kiadások ellentételezése</t>
  </si>
  <si>
    <t>11/C - Az önkormányzatok általános, köznevelési, szociális, gyermekjóléti és gyermekétkeztetési feladataihoz kapcsolódó támogatások elszámolása (forintban)</t>
  </si>
  <si>
    <t>Költségvetési törvény szerint igényelt támogatás</t>
  </si>
  <si>
    <t>Támogatás évközi változása - Május</t>
  </si>
  <si>
    <t>Támogatás évközi változása - Október</t>
  </si>
  <si>
    <t>Tényleges támogatás</t>
  </si>
  <si>
    <t>Évvégi eltérés (+,-) mutatószám szerinti támogatás (=6-(3+4+5))</t>
  </si>
  <si>
    <t>Az önkormányzat által az adott célra december 31-ig ténylegesen felhasznált összeg (6. és 8. oszlop közül a kisebb érték)</t>
  </si>
  <si>
    <t>Többlettámogatás (ha a 7-6+9 &gt;0, akkor 7-6+9; egyébként 0)</t>
  </si>
  <si>
    <t>Visszafizetési kötelezettség (ha a 7-6+9 &lt;0, akkor 7-6+9 abszolútértéke; egyébként 0)</t>
  </si>
  <si>
    <t>11/L - A helyi önkormányzatok visszafizetési kötelezettsége, pótlólagos támogatása (Ávr. 111. §), és  a jogtalan igénybevétele után fizetendő ügyleti kamata (Ávr. 112. §)</t>
  </si>
  <si>
    <t>Összeg
(forintban)</t>
  </si>
  <si>
    <t>Ávr. 111. § a) szerinti valamennyi támogatás visszafizetendő összege</t>
  </si>
  <si>
    <t>Önkormányzat tőketartozása összesen (1+3+4+5+6+8+9)</t>
  </si>
  <si>
    <t>A 17. sor szerinti tőketartozás 10032000-01031496 számlára fizetendő része (1+3+4+5+6-visszafizetendő vis maior támogatás+8+9):</t>
  </si>
  <si>
    <t>20</t>
  </si>
  <si>
    <t>Önkormányzat visszafizetési kötelezettsége és fizetendő kamat összesen (16+17)</t>
  </si>
  <si>
    <t>22</t>
  </si>
  <si>
    <t>Az adatszolgáltatás csak azt követően adható fel, ha a kitöltő nyilatkozik arról, hogy a (fő)polgármester, vármegyei közgyűlés elnöke és a (fő)jegyző a 11/L űrlap tartalmát megismerte és azt elfogadta. (IGEN = 1)</t>
  </si>
  <si>
    <t>KÉSZ</t>
  </si>
  <si>
    <t>Önkormányzat és költségvetési szervek összesített 2025. évi maradványa</t>
  </si>
  <si>
    <t>2026. évi eredeti költségvetési rendeletbe betervezett maradvány</t>
  </si>
  <si>
    <t xml:space="preserve">Fenntartó által jóváhagyott ÁHB-n belülről kapott működési célú támogatás növekedése a 2026. évben a 2025. évi áthúzódó kötelezettség-vállalások teljesítéséhez </t>
  </si>
  <si>
    <t>Visszafizetendő</t>
  </si>
  <si>
    <t>A 2025. évben kapott feladatalapú állami támogatások bemutatása jogcímenként</t>
  </si>
  <si>
    <t>3. melléklet 2.3.2. Szociális ágazati összevont pótlék és egészségügyi kiegészítő pótlék</t>
  </si>
  <si>
    <t>25</t>
  </si>
  <si>
    <t>3. melléklet 2.4.7. Települési önkormányzatok kulturális feladatainak bérjellegű támogatása</t>
  </si>
  <si>
    <t>28</t>
  </si>
  <si>
    <t>3. melléklet I. Helyi önkormányzatok működési célú költségvetési támogatásai összesen (7+….+ 27)</t>
  </si>
  <si>
    <t>32</t>
  </si>
  <si>
    <t>3. melléklet 3.6. Budapest Főváros XVI. kerületi Önkormányzat útfelújításának támogatása</t>
  </si>
  <si>
    <t>37</t>
  </si>
  <si>
    <t>40</t>
  </si>
  <si>
    <t>Mindösszesen (=1+...+6+28+...+39)</t>
  </si>
  <si>
    <t>A 11/I űrlap alapján a támogatási jogcímhez kapcsolódó kormányzati funkció szerinti kiadások összege</t>
  </si>
  <si>
    <t>1.1.1. A települési  önkormányzatok működésének támogatása (1.1.1.3. Településüzemeltetés - közvilágítás támogatása kivételével)</t>
  </si>
  <si>
    <t>1.2. A települési önkormányzatok egyes köznevelési feladatainak támogatása</t>
  </si>
  <si>
    <t>1.3.2.1.-1.3.2.2. Egyes szociális és gyermekjóléti feladatok támogatása - család és gyermekjóléti szolgálat/központ</t>
  </si>
  <si>
    <t>1.3.2.3-1.3.2.20. Egyes szociális és gyermekjóléti feladatok támogatása - család és gyermekjóléti szolgálat/központ kivételével</t>
  </si>
  <si>
    <t>1.3.3. Bölcsőde, mini bölcsőde támogatása</t>
  </si>
  <si>
    <t>1.3.4. A települési önkormányzatok által biztosított egyes szociális szakosított ellátások, valamint a gyermekek átmeneti gondozásával kapcsolatos feladatok támogatása</t>
  </si>
  <si>
    <t>1.4.1. Intézményi gyermekétkeztetés támogatása</t>
  </si>
  <si>
    <t>1.4.2. Szünidei étkeztetés támogatása</t>
  </si>
  <si>
    <t>Összesen  (=1+…+11)</t>
  </si>
  <si>
    <t>Visszafizetési kötelezettség mínusz többlettámogatás:</t>
  </si>
  <si>
    <t>Kamat alapba számító együttes eltérés összege a 2024. XC. törvény 43. § (3) bekezdése alapján (a 11/C űrlap 3,5,6,7,8,9,10,11 sor 11. oszlop értékeinek összege)</t>
  </si>
  <si>
    <t>Kamatalapba számító rendelkezésre bocsátott támogatások összege (a 11/C. űrlap 3,5,6,7,8,9,10,11 sorban a 3. oszlop) és a (a 11/C. űrlap 3,5,6,7,8,9,10,11 sorban a 3+4+5. oszlop összege)  közül a nagyobbat kell figyelembe venni</t>
  </si>
  <si>
    <t>Előterjesztés 22. számú melléklete / 1. oldal</t>
  </si>
  <si>
    <t>Előterjesztés 22. számú melléklete / 2. oldal</t>
  </si>
  <si>
    <t>Előterjesztés 22. számú melléklete / 3. oldal</t>
  </si>
  <si>
    <t>RMŐ-t ennyivel kellett kiegészíteni a III. módosításnál</t>
  </si>
  <si>
    <t>Költségvetési maradványa</t>
  </si>
  <si>
    <t>Elvonja a XVI. kerületi Önkormányzat</t>
  </si>
  <si>
    <t>Vállalkozási tevékenységből adódó fizetési kötelezettség a XVI. kerület felé</t>
  </si>
  <si>
    <t>Nem kerül elvonásra, Társulási tanács dönt</t>
  </si>
  <si>
    <t>Önkormányzat befizetési kötelezettsége MÁK felé</t>
  </si>
  <si>
    <t>2025. év előtt</t>
  </si>
  <si>
    <t>2025. évi</t>
  </si>
  <si>
    <t>2025. év után</t>
  </si>
  <si>
    <t>Európai uniós támogatással megvalósuló projektek bevételei, kiadásai, hozzájárulások</t>
  </si>
  <si>
    <t>Önkormányzaton kívüli EU-s projekthez történő hozzájárulás 2025. évi előirányzata és teljesítése</t>
  </si>
  <si>
    <t>TOP_PLUSZ-4.1.1-23-BP2-2024-00022 számú projekt „Egészséges utcák program keretében Budapest XVI. Jókai utca átépítése” beruházás</t>
  </si>
  <si>
    <t>Teljesítés %-a 2025. XII. 31-ig</t>
  </si>
  <si>
    <t>Önkormányzat 2025. évi maradványa</t>
  </si>
  <si>
    <r>
      <t xml:space="preserve">Előirányzat megnevezése                                                                                             </t>
    </r>
    <r>
      <rPr>
        <sz val="10"/>
        <rFont val="Times New Roman"/>
        <family val="1"/>
        <charset val="238"/>
      </rPr>
      <t xml:space="preserve">
ÖNKORMÁNYZATI KÉPVISELŐK VÁLASZTÁSA, NEMZETISÉGI ÖNKORMÁNYZATI KÉPVISELŐK VÁLASZTÁSA ÉS EURÓPAI PARLAMENTI KÉPVISELŐK VÁLASZTÁSA KIADÁSAINAK TERVEZÉSE</t>
    </r>
  </si>
  <si>
    <t>1. melléklet a 11/2026. (V. 7.) önkormányzati rendelethez</t>
  </si>
  <si>
    <t>2. melléklet a 11/2026. (V. 7.) önkormányzati rendelethez</t>
  </si>
  <si>
    <t>3. melléklet a 11/2026. (V. 7.) önkormányzati rendelethez</t>
  </si>
  <si>
    <t>4. melléklet a 11/2026. (V. 7.) önkormányzati rendelethez</t>
  </si>
  <si>
    <t>5. melléklet a 11/2026. (V. 7.) önkormányzati rendelethez</t>
  </si>
  <si>
    <t>6. melléklet a 11/2026. (V. 7.) önkormányzati rendelethez</t>
  </si>
  <si>
    <t>7. melléklet a 11/2026. (V. 7.) önkormányzati rendelethez</t>
  </si>
  <si>
    <t>8. melléklet a 11/2026. (V. 7.) önkormányzati rendelethez</t>
  </si>
  <si>
    <t>9. melléklet a 11/2026. (V. 7.) önkormányzati rendelethez</t>
  </si>
  <si>
    <t>10. melléklet a 11/2026. (V. 7.) önkormányzati rendelethez</t>
  </si>
  <si>
    <t>11.  melléklet a 11/2026. (V. 7.) önkormányzati rendelethez</t>
  </si>
  <si>
    <t>12. melléklet a 11/2026. (V. 7.) önkormányzati rendelethez</t>
  </si>
  <si>
    <t>13. melléklet a 11/2026. (V. 7.) önkormányzati rendelethez</t>
  </si>
  <si>
    <t>14. melléklet a 11/2026. (V. 7.) önkormányzati rendelethez</t>
  </si>
  <si>
    <t>15. melléklet a 11/2026. (V. 7.) önkormányzati rendelethez</t>
  </si>
  <si>
    <t xml:space="preserve"> 16. melléklet a 11/2026. (V. 7.) önkormányzati rendelethez</t>
  </si>
  <si>
    <t>17. melléklet a 11/2026. (V. 7.) önkormányzati rendelethez</t>
  </si>
  <si>
    <t>18. melléklet a 11/2026. (V. 7.) önkormányzati rendelethez</t>
  </si>
  <si>
    <t>19. melléklet a 11/2026. (V. 7.) önkormányzati rendelethez</t>
  </si>
  <si>
    <t>20. melléklet a 11/2026. (V. 7.) önkormányzati rendelethez</t>
  </si>
  <si>
    <t>21. melléklet a 11/2026. (V. 7.) önkormányzati rendelethez</t>
  </si>
  <si>
    <t>22. melléklet a 11/2026. (V. 7.) önkormányzati rendelethez</t>
  </si>
  <si>
    <t>23. melléklet a 11/2026. (V. 7.) önkormányzati rendelethez</t>
  </si>
  <si>
    <t>24. melléklet a 11/2026. (V. 7.) önkormányzati rendelethez</t>
  </si>
  <si>
    <t>25. melléklet a 11/2026. (V. 7.) önkormányzati rendelethez</t>
  </si>
  <si>
    <t>26. melléklet a 11/2026. (V. 7.) önkormányzati rendelethez</t>
  </si>
  <si>
    <t>27. melléklet a 11/2026. (V. 7.) önkormányzati rendelethez</t>
  </si>
  <si>
    <t>28. melléklet a 11/2026. (V. 7.) önkormányzati rendelethez</t>
  </si>
  <si>
    <t>29. melléklet a 11/2026. (V. 7.) önkormányzati rendelethez</t>
  </si>
  <si>
    <t>30. melléklet a 11/2026. (V. 7.) önkormányzati rendelethez</t>
  </si>
  <si>
    <t>31. melléklet a 11/2026. (V. 7.) önkormányzati rendelethez</t>
  </si>
  <si>
    <t>32. melléklet a 11/2026. (V. 7.) önkormányzati rendelethez</t>
  </si>
  <si>
    <t>33. melléklet a 11/2026. (V. 7.) önkormányzati rendelethez</t>
  </si>
  <si>
    <t>34. melléklet a 11/2026. (V. 7.) önkormányzati rendelethez</t>
  </si>
  <si>
    <t>35. melléklet a 11/2026. (V. 7.) önkormányzati rendelethez</t>
  </si>
  <si>
    <t>36. melléklet a 11/2026. (V. 7.) önkormányzati rendelethez</t>
  </si>
  <si>
    <t>37. melléklet a 11/2026. (V. 7.) önkormányzati rendelethez</t>
  </si>
  <si>
    <t xml:space="preserve"> 38.  melléklet a 11/2026. (V. 7.) önkormányzati rendelethez</t>
  </si>
  <si>
    <t>38. melléklet a 11/2026. (V. 7.) önkormányzati rendelethez</t>
  </si>
  <si>
    <t>Létszám előirányzat (státusz) - Teljesítés: Munkajogi zárólétszám (az időszak végén munkaviszonyban állók létszáma) Költségvetési szervek összesen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</si>
</sst>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Ft&quot;_-;\-* #,##0.00\ &quot;Ft&quot;_-;_-* &quot;-&quot;??\ &quot;Ft&quot;_-;_-@_-"/>
    <numFmt numFmtId="164" formatCode="_-* #,##0.00\ _F_t_-;\-* #,##0.00\ _F_t_-;_-* \-??\ _F_t_-;_-@_-"/>
    <numFmt numFmtId="165" formatCode="_-* #,##0.00&quot; Ft&quot;_-;\-* #,##0.00&quot; Ft&quot;_-;_-* \-??&quot; Ft&quot;_-;_-@_-"/>
    <numFmt numFmtId="166" formatCode="#,##0.00&quot; Ft&quot;;[Red]\-#,##0.00&quot; Ft&quot;"/>
    <numFmt numFmtId="167" formatCode="#,###"/>
    <numFmt numFmtId="168" formatCode="0.0%"/>
    <numFmt numFmtId="169" formatCode="#,##0.0"/>
    <numFmt numFmtId="170" formatCode="mmm\ d/"/>
    <numFmt numFmtId="171" formatCode="0.0"/>
    <numFmt numFmtId="172" formatCode="_-* #,##0\ _F_t_-;\-* #,##0\ _F_t_-;_-* \-??\ _F_t_-;_-@_-"/>
    <numFmt numFmtId="173" formatCode="#"/>
    <numFmt numFmtId="174" formatCode="#,##0.000000"/>
    <numFmt numFmtId="175" formatCode="#,##0\ &quot;Ft&quot;"/>
    <numFmt numFmtId="176" formatCode="#,##0.000"/>
    <numFmt numFmtId="177" formatCode="0.000"/>
  </numFmts>
  <fonts count="234">
    <font>
      <sz val="10"/>
      <name val="Arial CE"/>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u/>
      <sz val="7.5"/>
      <color indexed="12"/>
      <name val="Arial CE"/>
      <charset val="238"/>
    </font>
    <font>
      <u/>
      <sz val="8.5"/>
      <color indexed="12"/>
      <name val="Arial CE"/>
      <charset val="238"/>
    </font>
    <font>
      <u/>
      <sz val="11"/>
      <color indexed="12"/>
      <name val="Calibri"/>
      <family val="2"/>
      <charset val="238"/>
    </font>
    <font>
      <sz val="11"/>
      <color indexed="62"/>
      <name val="Calibri"/>
      <family val="2"/>
      <charset val="238"/>
    </font>
    <font>
      <sz val="11"/>
      <color indexed="52"/>
      <name val="Calibri"/>
      <family val="2"/>
      <charset val="238"/>
    </font>
    <font>
      <u/>
      <sz val="7.5"/>
      <color indexed="20"/>
      <name val="Arial CE"/>
      <charset val="238"/>
    </font>
    <font>
      <sz val="11"/>
      <color indexed="60"/>
      <name val="Calibri"/>
      <family val="2"/>
      <charset val="238"/>
    </font>
    <font>
      <sz val="10"/>
      <name val="Arial"/>
      <family val="2"/>
      <charset val="238"/>
    </font>
    <font>
      <sz val="10"/>
      <name val="Century Schoolbook"/>
      <family val="1"/>
      <charset val="238"/>
    </font>
    <font>
      <sz val="10"/>
      <name val="MS Sans Serif"/>
      <family val="2"/>
      <charset val="238"/>
    </font>
    <font>
      <sz val="10"/>
      <name val="Times New Roman"/>
      <family val="1"/>
      <charset val="238"/>
    </font>
    <font>
      <sz val="10"/>
      <color indexed="8"/>
      <name val="Arial"/>
      <family val="2"/>
      <charset val="238"/>
    </font>
    <font>
      <sz val="10"/>
      <name val="Times New Roman CE"/>
      <charset val="238"/>
    </font>
    <font>
      <sz val="12"/>
      <name val="Times New Roman CE"/>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4"/>
      <name val="Times New Roman"/>
      <family val="1"/>
      <charset val="238"/>
    </font>
    <font>
      <b/>
      <sz val="18"/>
      <name val="Arial CE"/>
      <charset val="238"/>
    </font>
    <font>
      <b/>
      <sz val="14"/>
      <name val="Arial CE"/>
      <charset val="238"/>
    </font>
    <font>
      <sz val="14"/>
      <name val="Arial CE"/>
      <charset val="238"/>
    </font>
    <font>
      <b/>
      <sz val="14"/>
      <name val="Times New Roman"/>
      <family val="1"/>
      <charset val="238"/>
    </font>
    <font>
      <b/>
      <sz val="10"/>
      <name val="Times New Roman"/>
      <family val="1"/>
      <charset val="238"/>
    </font>
    <font>
      <sz val="12"/>
      <color indexed="10"/>
      <name val="Times New Roman"/>
      <family val="1"/>
      <charset val="238"/>
    </font>
    <font>
      <sz val="12"/>
      <name val="Times New Roman"/>
      <family val="1"/>
      <charset val="238"/>
    </font>
    <font>
      <b/>
      <sz val="12"/>
      <name val="Times New Roman"/>
      <family val="1"/>
      <charset val="238"/>
    </font>
    <font>
      <i/>
      <sz val="12"/>
      <name val="Times New Roman"/>
      <family val="1"/>
      <charset val="238"/>
    </font>
    <font>
      <b/>
      <sz val="22"/>
      <name val="Times New Roman"/>
      <family val="1"/>
      <charset val="238"/>
    </font>
    <font>
      <sz val="22"/>
      <name val="Times New Roman"/>
      <family val="1"/>
      <charset val="238"/>
    </font>
    <font>
      <i/>
      <sz val="14"/>
      <name val="Times New Roman"/>
      <family val="1"/>
      <charset val="238"/>
    </font>
    <font>
      <b/>
      <i/>
      <sz val="14"/>
      <name val="Times New Roman"/>
      <family val="1"/>
      <charset val="238"/>
    </font>
    <font>
      <sz val="13"/>
      <name val="Times New Roman"/>
      <family val="1"/>
      <charset val="238"/>
    </font>
    <font>
      <b/>
      <i/>
      <sz val="16"/>
      <name val="Times New Roman"/>
      <family val="1"/>
      <charset val="238"/>
    </font>
    <font>
      <sz val="12"/>
      <name val="Arial CE"/>
      <charset val="238"/>
    </font>
    <font>
      <sz val="12"/>
      <color indexed="8"/>
      <name val="Times New Roman"/>
      <family val="1"/>
      <charset val="238"/>
    </font>
    <font>
      <sz val="10"/>
      <color indexed="8"/>
      <name val="Times New Roman"/>
      <family val="1"/>
      <charset val="238"/>
    </font>
    <font>
      <b/>
      <sz val="12"/>
      <color indexed="8"/>
      <name val="Tahoma"/>
      <family val="2"/>
      <charset val="238"/>
    </font>
    <font>
      <b/>
      <sz val="9"/>
      <color indexed="8"/>
      <name val="Tahoma"/>
      <family val="2"/>
      <charset val="238"/>
    </font>
    <font>
      <b/>
      <sz val="18"/>
      <name val="Times New Roman"/>
      <family val="1"/>
      <charset val="238"/>
    </font>
    <font>
      <sz val="16"/>
      <name val="Times New Roman"/>
      <family val="1"/>
      <charset val="238"/>
    </font>
    <font>
      <sz val="10"/>
      <color indexed="10"/>
      <name val="Arial CE"/>
      <charset val="238"/>
    </font>
    <font>
      <sz val="14"/>
      <color indexed="10"/>
      <name val="Times New Roman"/>
      <family val="1"/>
      <charset val="238"/>
    </font>
    <font>
      <b/>
      <i/>
      <sz val="12"/>
      <name val="Times New Roman"/>
      <family val="1"/>
      <charset val="238"/>
    </font>
    <font>
      <b/>
      <i/>
      <sz val="10"/>
      <name val="Times New Roman CE"/>
      <charset val="238"/>
    </font>
    <font>
      <b/>
      <i/>
      <sz val="10"/>
      <name val="Times New Roman CE"/>
      <family val="1"/>
      <charset val="238"/>
    </font>
    <font>
      <b/>
      <sz val="10"/>
      <name val="Times New Roman CE"/>
      <charset val="238"/>
    </font>
    <font>
      <b/>
      <sz val="10"/>
      <name val="Times New Roman CE"/>
      <family val="1"/>
      <charset val="238"/>
    </font>
    <font>
      <b/>
      <sz val="9"/>
      <name val="Times New Roman CE"/>
      <family val="1"/>
      <charset val="238"/>
    </font>
    <font>
      <sz val="8"/>
      <name val="Times New Roman CE"/>
      <charset val="238"/>
    </font>
    <font>
      <sz val="10"/>
      <name val="Times New Roman CE"/>
      <family val="1"/>
      <charset val="238"/>
    </font>
    <font>
      <sz val="9"/>
      <color indexed="8"/>
      <name val="Tahoma"/>
      <family val="2"/>
      <charset val="238"/>
    </font>
    <font>
      <b/>
      <sz val="12"/>
      <name val="Times New Roman CE"/>
      <family val="1"/>
      <charset val="238"/>
    </font>
    <font>
      <b/>
      <sz val="9"/>
      <name val="Times New Roman CE"/>
      <charset val="238"/>
    </font>
    <font>
      <b/>
      <sz val="8"/>
      <name val="Times New Roman CE"/>
      <charset val="238"/>
    </font>
    <font>
      <sz val="8"/>
      <name val="Times New Roman CE"/>
      <family val="1"/>
      <charset val="238"/>
    </font>
    <font>
      <i/>
      <sz val="8"/>
      <name val="Times New Roman CE"/>
      <charset val="238"/>
    </font>
    <font>
      <b/>
      <sz val="10"/>
      <color indexed="10"/>
      <name val="Times New Roman CE"/>
      <charset val="238"/>
    </font>
    <font>
      <b/>
      <sz val="12"/>
      <name val="Times New Roman CE"/>
      <charset val="238"/>
    </font>
    <font>
      <b/>
      <i/>
      <sz val="12"/>
      <name val="Times New Roman CE"/>
      <charset val="238"/>
    </font>
    <font>
      <b/>
      <i/>
      <sz val="11"/>
      <color indexed="8"/>
      <name val="Times New Roman"/>
      <family val="1"/>
      <charset val="238"/>
    </font>
    <font>
      <b/>
      <sz val="9"/>
      <color indexed="8"/>
      <name val="Times New Roman"/>
      <family val="1"/>
      <charset val="238"/>
    </font>
    <font>
      <b/>
      <sz val="12"/>
      <color indexed="8"/>
      <name val="Times New Roman"/>
      <family val="1"/>
      <charset val="238"/>
    </font>
    <font>
      <sz val="12"/>
      <name val="Times New Roman CE"/>
      <family val="1"/>
      <charset val="238"/>
    </font>
    <font>
      <b/>
      <sz val="14"/>
      <color indexed="8"/>
      <name val="Times New Roman"/>
      <family val="1"/>
      <charset val="238"/>
    </font>
    <font>
      <sz val="7"/>
      <name val="Times New Roman CE"/>
      <charset val="238"/>
    </font>
    <font>
      <b/>
      <sz val="8"/>
      <name val="Times New Roman CE"/>
      <family val="1"/>
      <charset val="238"/>
    </font>
    <font>
      <sz val="9"/>
      <name val="Times New Roman CE"/>
      <charset val="238"/>
    </font>
    <font>
      <sz val="8"/>
      <name val="Times New Roman"/>
      <family val="1"/>
      <charset val="238"/>
    </font>
    <font>
      <i/>
      <sz val="11"/>
      <name val="Times New Roman CE"/>
      <family val="1"/>
      <charset val="238"/>
    </font>
    <font>
      <sz val="11"/>
      <name val="Times New Roman CE"/>
      <family val="1"/>
      <charset val="238"/>
    </font>
    <font>
      <b/>
      <sz val="8"/>
      <name val="Times New Roman"/>
      <family val="1"/>
      <charset val="238"/>
    </font>
    <font>
      <b/>
      <sz val="10"/>
      <name val="Arial"/>
      <family val="2"/>
      <charset val="238"/>
    </font>
    <font>
      <i/>
      <sz val="10"/>
      <name val="Times New Roman CE"/>
      <family val="1"/>
      <charset val="238"/>
    </font>
    <font>
      <b/>
      <sz val="9"/>
      <name val="Times New Roman"/>
      <family val="1"/>
      <charset val="238"/>
    </font>
    <font>
      <b/>
      <sz val="10"/>
      <color indexed="8"/>
      <name val="Times New Roman"/>
      <family val="1"/>
      <charset val="238"/>
    </font>
    <font>
      <sz val="6"/>
      <name val="Times New Roman CE"/>
      <charset val="238"/>
    </font>
    <font>
      <b/>
      <sz val="10"/>
      <name val="Arial CE"/>
      <charset val="238"/>
    </font>
    <font>
      <i/>
      <sz val="10"/>
      <name val="Times New Roman"/>
      <family val="1"/>
      <charset val="238"/>
    </font>
    <font>
      <b/>
      <i/>
      <sz val="10"/>
      <name val="Times New Roman"/>
      <family val="1"/>
      <charset val="238"/>
    </font>
    <font>
      <b/>
      <sz val="10"/>
      <color indexed="25"/>
      <name val="Times New Roman"/>
      <family val="1"/>
      <charset val="238"/>
    </font>
    <font>
      <b/>
      <sz val="14"/>
      <color indexed="25"/>
      <name val="Times New Roman"/>
      <family val="1"/>
      <charset val="238"/>
    </font>
    <font>
      <i/>
      <sz val="10"/>
      <color indexed="25"/>
      <name val="Times New Roman"/>
      <family val="1"/>
      <charset val="238"/>
    </font>
    <font>
      <b/>
      <u/>
      <sz val="10"/>
      <name val="Times New Roman"/>
      <family val="1"/>
      <charset val="238"/>
    </font>
    <font>
      <u/>
      <sz val="10"/>
      <name val="Times New Roman"/>
      <family val="1"/>
      <charset val="238"/>
    </font>
    <font>
      <sz val="11"/>
      <name val="Times New Roman"/>
      <family val="1"/>
      <charset val="238"/>
    </font>
    <font>
      <sz val="9"/>
      <name val="Times New Roman"/>
      <family val="1"/>
      <charset val="238"/>
    </font>
    <font>
      <b/>
      <sz val="6"/>
      <name val="Times New Roman"/>
      <family val="1"/>
      <charset val="238"/>
    </font>
    <font>
      <b/>
      <sz val="10"/>
      <color indexed="8"/>
      <name val="Tahoma"/>
      <family val="2"/>
      <charset val="238"/>
    </font>
    <font>
      <sz val="10"/>
      <color indexed="10"/>
      <name val="Times New Roman"/>
      <family val="1"/>
      <charset val="238"/>
    </font>
    <font>
      <b/>
      <sz val="10"/>
      <color indexed="10"/>
      <name val="Times New Roman"/>
      <family val="1"/>
      <charset val="238"/>
    </font>
    <font>
      <b/>
      <sz val="16"/>
      <name val="Times New Roman"/>
      <family val="1"/>
      <charset val="238"/>
    </font>
    <font>
      <sz val="10"/>
      <name val="Arial CE"/>
      <family val="2"/>
      <charset val="238"/>
    </font>
    <font>
      <b/>
      <sz val="12"/>
      <color indexed="10"/>
      <name val="Times New Roman CE"/>
      <charset val="238"/>
    </font>
    <font>
      <sz val="11"/>
      <name val="Times New Roman CE"/>
      <charset val="238"/>
    </font>
    <font>
      <sz val="10"/>
      <color indexed="12"/>
      <name val="Arial CE"/>
      <charset val="238"/>
    </font>
    <font>
      <b/>
      <sz val="10"/>
      <name val="Arial CE"/>
      <family val="2"/>
      <charset val="238"/>
    </font>
    <font>
      <sz val="10"/>
      <color indexed="8"/>
      <name val="Tahoma"/>
      <family val="2"/>
      <charset val="238"/>
    </font>
    <font>
      <sz val="14"/>
      <color indexed="8"/>
      <name val="Times New Roman"/>
      <family val="1"/>
      <charset val="238"/>
    </font>
    <font>
      <i/>
      <sz val="10"/>
      <color indexed="8"/>
      <name val="Times New Roman"/>
      <family val="1"/>
      <charset val="238"/>
    </font>
    <font>
      <sz val="8"/>
      <color indexed="8"/>
      <name val="Times New Roman CE1"/>
      <charset val="238"/>
    </font>
    <font>
      <b/>
      <sz val="9"/>
      <name val="Arial CE"/>
      <charset val="238"/>
    </font>
    <font>
      <b/>
      <u/>
      <sz val="10"/>
      <name val="Arial CE"/>
      <charset val="238"/>
    </font>
    <font>
      <i/>
      <sz val="10"/>
      <name val="Arial CE"/>
      <charset val="238"/>
    </font>
    <font>
      <b/>
      <i/>
      <sz val="10"/>
      <name val="Arial CE"/>
      <charset val="238"/>
    </font>
    <font>
      <b/>
      <i/>
      <u/>
      <sz val="9"/>
      <name val="Arial CE"/>
      <charset val="238"/>
    </font>
    <font>
      <b/>
      <i/>
      <u/>
      <sz val="10"/>
      <name val="Arial CE"/>
      <charset val="238"/>
    </font>
    <font>
      <sz val="11"/>
      <name val="Arial CE"/>
      <charset val="238"/>
    </font>
    <font>
      <b/>
      <sz val="8"/>
      <name val="Arial CE"/>
      <charset val="238"/>
    </font>
    <font>
      <i/>
      <sz val="10"/>
      <color indexed="10"/>
      <name val="Times New Roman"/>
      <family val="1"/>
      <charset val="238"/>
    </font>
    <font>
      <i/>
      <sz val="8"/>
      <name val="Times New Roman"/>
      <family val="1"/>
      <charset val="238"/>
    </font>
    <font>
      <b/>
      <i/>
      <u/>
      <sz val="10"/>
      <name val="Times New Roman"/>
      <family val="1"/>
      <charset val="238"/>
    </font>
    <font>
      <b/>
      <u/>
      <sz val="10"/>
      <color indexed="8"/>
      <name val="Times New Roman"/>
      <family val="1"/>
      <charset val="238"/>
    </font>
    <font>
      <b/>
      <sz val="11"/>
      <name val="Times New Roman CE"/>
      <charset val="238"/>
    </font>
    <font>
      <b/>
      <sz val="11"/>
      <name val="Times New Roman CE"/>
      <family val="1"/>
      <charset val="238"/>
    </font>
    <font>
      <b/>
      <i/>
      <sz val="11"/>
      <name val="Times New Roman CE"/>
      <family val="1"/>
      <charset val="238"/>
    </font>
    <font>
      <b/>
      <i/>
      <sz val="9"/>
      <name val="Times New Roman CE"/>
      <family val="1"/>
      <charset val="238"/>
    </font>
    <font>
      <b/>
      <i/>
      <sz val="11"/>
      <name val="Times New Roman CE"/>
      <charset val="238"/>
    </font>
    <font>
      <b/>
      <i/>
      <sz val="9"/>
      <name val="Times New Roman CE"/>
      <charset val="238"/>
    </font>
    <font>
      <b/>
      <sz val="11"/>
      <name val="Times New Roman"/>
      <family val="1"/>
      <charset val="238"/>
    </font>
    <font>
      <sz val="26"/>
      <name val="Times New Roman"/>
      <family val="1"/>
      <charset val="238"/>
    </font>
    <font>
      <sz val="14"/>
      <name val="Times New Roman CE"/>
      <charset val="238"/>
    </font>
    <font>
      <b/>
      <i/>
      <sz val="12"/>
      <color indexed="10"/>
      <name val="Times New Roman"/>
      <family val="1"/>
      <charset val="238"/>
    </font>
    <font>
      <vertAlign val="superscript"/>
      <sz val="12"/>
      <name val="Times New Roman"/>
      <family val="1"/>
      <charset val="238"/>
    </font>
    <font>
      <sz val="12"/>
      <color indexed="8"/>
      <name val="Tahoma"/>
      <family val="2"/>
      <charset val="238"/>
    </font>
    <font>
      <b/>
      <u/>
      <sz val="14"/>
      <name val="Times New Roman CE"/>
      <charset val="238"/>
    </font>
    <font>
      <sz val="10"/>
      <color indexed="30"/>
      <name val="Arial CE"/>
      <charset val="238"/>
    </font>
    <font>
      <sz val="10"/>
      <color indexed="63"/>
      <name val="Tahoma"/>
      <family val="2"/>
      <charset val="238"/>
    </font>
    <font>
      <sz val="10"/>
      <name val="Arial CE"/>
      <charset val="238"/>
    </font>
    <font>
      <sz val="9"/>
      <color indexed="81"/>
      <name val="Tahoma"/>
      <family val="2"/>
      <charset val="238"/>
    </font>
    <font>
      <b/>
      <sz val="9"/>
      <color indexed="81"/>
      <name val="Tahoma"/>
      <family val="2"/>
      <charset val="238"/>
    </font>
    <font>
      <b/>
      <u/>
      <sz val="9"/>
      <color indexed="81"/>
      <name val="Tahoma"/>
      <family val="2"/>
      <charset val="238"/>
    </font>
    <font>
      <sz val="8"/>
      <name val="Arial CE"/>
      <charset val="238"/>
    </font>
    <font>
      <sz val="10"/>
      <name val="Arial"/>
      <family val="2"/>
      <charset val="238"/>
    </font>
    <font>
      <sz val="11"/>
      <color indexed="8"/>
      <name val="Times New Roman"/>
      <family val="1"/>
      <charset val="238"/>
    </font>
    <font>
      <sz val="10"/>
      <name val="Arial"/>
      <family val="2"/>
      <charset val="238"/>
    </font>
    <font>
      <sz val="9"/>
      <color indexed="81"/>
      <name val="Segoe UI"/>
      <family val="2"/>
      <charset val="238"/>
    </font>
    <font>
      <b/>
      <sz val="9"/>
      <color indexed="81"/>
      <name val="Segoe UI"/>
      <family val="2"/>
      <charset val="238"/>
    </font>
    <font>
      <sz val="7"/>
      <color indexed="8"/>
      <name val="Times New Roman"/>
      <family val="1"/>
      <charset val="238"/>
    </font>
    <font>
      <sz val="7"/>
      <color indexed="8"/>
      <name val="Times New Roman CE1"/>
      <charset val="238"/>
    </font>
    <font>
      <sz val="9"/>
      <name val="Arial CE"/>
      <charset val="238"/>
    </font>
    <font>
      <sz val="20"/>
      <name val="Times New Roman"/>
      <family val="1"/>
      <charset val="238"/>
    </font>
    <font>
      <sz val="10"/>
      <name val="Arial"/>
      <family val="2"/>
      <charset val="238"/>
    </font>
    <font>
      <b/>
      <sz val="8"/>
      <color indexed="8"/>
      <name val="Times New Roman"/>
      <family val="1"/>
      <charset val="238"/>
    </font>
    <font>
      <b/>
      <sz val="11"/>
      <color indexed="8"/>
      <name val="Tahoma"/>
      <family val="2"/>
      <charset val="238"/>
    </font>
    <font>
      <i/>
      <u/>
      <sz val="12"/>
      <name val="Times New Roman CE"/>
      <charset val="238"/>
    </font>
    <font>
      <i/>
      <u/>
      <sz val="12"/>
      <name val="Times New Roman CE"/>
      <family val="1"/>
      <charset val="238"/>
    </font>
    <font>
      <i/>
      <u/>
      <sz val="10"/>
      <name val="Arial CE"/>
      <charset val="238"/>
    </font>
    <font>
      <i/>
      <u/>
      <sz val="12"/>
      <name val="Times New Roman"/>
      <family val="1"/>
      <charset val="238"/>
    </font>
    <font>
      <sz val="9"/>
      <name val="Times New Roman CE"/>
      <family val="1"/>
      <charset val="238"/>
    </font>
    <font>
      <i/>
      <u/>
      <sz val="12"/>
      <color indexed="8"/>
      <name val="Times New Roman"/>
      <family val="1"/>
      <charset val="238"/>
    </font>
    <font>
      <i/>
      <u/>
      <sz val="10"/>
      <name val="Times New Roman"/>
      <family val="1"/>
      <charset val="238"/>
    </font>
    <font>
      <i/>
      <sz val="8"/>
      <name val="Times New Roman CE"/>
      <family val="1"/>
      <charset val="238"/>
    </font>
    <font>
      <i/>
      <sz val="10"/>
      <color indexed="10"/>
      <name val="Times New Roman"/>
      <family val="1"/>
      <charset val="238"/>
    </font>
    <font>
      <sz val="10"/>
      <color indexed="10"/>
      <name val="Times New Roman"/>
      <family val="1"/>
      <charset val="238"/>
    </font>
    <font>
      <b/>
      <sz val="12"/>
      <color indexed="8"/>
      <name val="Times New Roman"/>
      <family val="1"/>
      <charset val="238"/>
    </font>
    <font>
      <sz val="12"/>
      <color indexed="8"/>
      <name val="Times New Roman"/>
      <family val="1"/>
      <charset val="238"/>
    </font>
    <font>
      <b/>
      <sz val="12"/>
      <color indexed="62"/>
      <name val="Times New Roman CE"/>
      <charset val="238"/>
    </font>
    <font>
      <i/>
      <sz val="11"/>
      <color indexed="62"/>
      <name val="Times New Roman CE"/>
      <charset val="238"/>
    </font>
    <font>
      <sz val="12"/>
      <color indexed="8"/>
      <name val="Times New Roman"/>
      <family val="1"/>
      <charset val="238"/>
    </font>
    <font>
      <b/>
      <sz val="12"/>
      <color indexed="8"/>
      <name val="Times New Roman"/>
      <family val="1"/>
      <charset val="238"/>
    </font>
    <font>
      <b/>
      <i/>
      <sz val="12"/>
      <color indexed="8"/>
      <name val="Times New Roman"/>
      <family val="1"/>
      <charset val="238"/>
    </font>
    <font>
      <b/>
      <sz val="10"/>
      <color indexed="10"/>
      <name val="Times New Roman"/>
      <family val="1"/>
      <charset val="238"/>
    </font>
    <font>
      <sz val="10"/>
      <color indexed="10"/>
      <name val="Arial CE"/>
      <charset val="238"/>
    </font>
    <font>
      <b/>
      <sz val="10"/>
      <color indexed="10"/>
      <name val="Arial CE"/>
      <charset val="238"/>
    </font>
    <font>
      <b/>
      <sz val="8"/>
      <color indexed="10"/>
      <name val="Times New Roman CE"/>
      <charset val="238"/>
    </font>
    <font>
      <sz val="10"/>
      <color indexed="10"/>
      <name val="Times New Roman CE"/>
      <charset val="238"/>
    </font>
    <font>
      <sz val="14"/>
      <color indexed="8"/>
      <name val="Times New Roman"/>
      <family val="1"/>
      <charset val="238"/>
    </font>
    <font>
      <sz val="10"/>
      <color indexed="62"/>
      <name val="Times New Roman CE"/>
      <charset val="238"/>
    </font>
    <font>
      <i/>
      <u/>
      <sz val="12"/>
      <name val="Arial CE"/>
      <charset val="238"/>
    </font>
    <font>
      <sz val="10"/>
      <color indexed="10"/>
      <name val="Times New Roman CE"/>
      <charset val="238"/>
    </font>
    <font>
      <u/>
      <sz val="9"/>
      <color indexed="81"/>
      <name val="Tahoma"/>
      <family val="2"/>
      <charset val="238"/>
    </font>
    <font>
      <sz val="10"/>
      <color indexed="10"/>
      <name val="Times New Roman"/>
      <family val="1"/>
      <charset val="238"/>
    </font>
    <font>
      <sz val="12"/>
      <color indexed="8"/>
      <name val="Times New Roman"/>
      <family val="1"/>
      <charset val="238"/>
    </font>
    <font>
      <sz val="11"/>
      <color indexed="8"/>
      <name val="Times New Roman"/>
      <family val="1"/>
      <charset val="238"/>
    </font>
    <font>
      <b/>
      <sz val="10"/>
      <color indexed="10"/>
      <name val="Times New Roman"/>
      <family val="1"/>
      <charset val="238"/>
    </font>
    <font>
      <b/>
      <sz val="10"/>
      <color indexed="12"/>
      <name val="Times New Roman"/>
      <family val="1"/>
      <charset val="238"/>
    </font>
    <font>
      <b/>
      <sz val="10"/>
      <color indexed="10"/>
      <name val="Times New Roman"/>
      <family val="1"/>
      <charset val="238"/>
    </font>
    <font>
      <sz val="10"/>
      <color indexed="10"/>
      <name val="Times New Roman"/>
      <family val="1"/>
      <charset val="238"/>
    </font>
    <font>
      <i/>
      <sz val="10"/>
      <color indexed="10"/>
      <name val="Times New Roman"/>
      <family val="1"/>
      <charset val="238"/>
    </font>
    <font>
      <b/>
      <i/>
      <sz val="8"/>
      <name val="Times New Roman"/>
      <family val="1"/>
      <charset val="238"/>
    </font>
    <font>
      <sz val="10"/>
      <color indexed="64"/>
      <name val="Arial"/>
      <family val="2"/>
      <charset val="238"/>
    </font>
    <font>
      <sz val="8"/>
      <color indexed="81"/>
      <name val="Tahoma"/>
      <family val="2"/>
      <charset val="238"/>
    </font>
    <font>
      <u/>
      <sz val="8"/>
      <name val="Times New Roman CE"/>
      <charset val="238"/>
    </font>
    <font>
      <sz val="7"/>
      <name val="Times New Roman"/>
      <family val="1"/>
      <charset val="238"/>
    </font>
    <font>
      <sz val="11"/>
      <color indexed="81"/>
      <name val="Tahoma"/>
      <family val="2"/>
      <charset val="238"/>
    </font>
    <font>
      <b/>
      <sz val="8"/>
      <color indexed="60"/>
      <name val="Times New Roman CE"/>
      <charset val="238"/>
    </font>
    <font>
      <b/>
      <sz val="14"/>
      <name val="Times New Roman CE"/>
      <family val="1"/>
      <charset val="238"/>
    </font>
    <font>
      <b/>
      <sz val="16"/>
      <name val="Times New Roman CE"/>
      <family val="1"/>
      <charset val="238"/>
    </font>
    <font>
      <sz val="16"/>
      <name val="Arial CE"/>
      <charset val="238"/>
    </font>
    <font>
      <b/>
      <sz val="13"/>
      <name val="Times New Roman"/>
      <family val="1"/>
      <charset val="238"/>
    </font>
    <font>
      <b/>
      <i/>
      <sz val="9"/>
      <name val="Times New Roman"/>
      <family val="1"/>
      <charset val="238"/>
    </font>
    <font>
      <u/>
      <sz val="11"/>
      <color indexed="81"/>
      <name val="Tahoma"/>
      <family val="2"/>
      <charset val="238"/>
    </font>
    <font>
      <b/>
      <sz val="16"/>
      <color rgb="FFFF0000"/>
      <name val="Times New Roman"/>
      <family val="1"/>
      <charset val="238"/>
    </font>
    <font>
      <sz val="10"/>
      <color rgb="FFFF0000"/>
      <name val="Times New Roman"/>
      <family val="1"/>
      <charset val="238"/>
    </font>
    <font>
      <i/>
      <sz val="10"/>
      <color rgb="FF850000"/>
      <name val="Times New Roman"/>
      <family val="1"/>
      <charset val="238"/>
    </font>
    <font>
      <sz val="14"/>
      <color rgb="FFFF0000"/>
      <name val="Times New Roman"/>
      <family val="1"/>
      <charset val="238"/>
    </font>
    <font>
      <i/>
      <sz val="10"/>
      <color rgb="FFFF0000"/>
      <name val="Times New Roman"/>
      <family val="1"/>
      <charset val="238"/>
    </font>
    <font>
      <b/>
      <sz val="10"/>
      <color rgb="FFFF0000"/>
      <name val="Times New Roman"/>
      <family val="1"/>
      <charset val="238"/>
    </font>
    <font>
      <b/>
      <i/>
      <u/>
      <sz val="10"/>
      <color rgb="FFFF0000"/>
      <name val="Times New Roman"/>
      <family val="1"/>
      <charset val="238"/>
    </font>
    <font>
      <b/>
      <sz val="10"/>
      <color rgb="FFED0000"/>
      <name val="Times New Roman"/>
      <family val="1"/>
      <charset val="238"/>
    </font>
    <font>
      <sz val="10"/>
      <color rgb="FFE40000"/>
      <name val="Times New Roman"/>
      <family val="1"/>
      <charset val="238"/>
    </font>
    <font>
      <i/>
      <sz val="12"/>
      <name val="Times New Roman CE"/>
      <charset val="238"/>
    </font>
    <font>
      <b/>
      <i/>
      <sz val="8"/>
      <name val="Times New Roman CE"/>
      <charset val="238"/>
    </font>
    <font>
      <b/>
      <sz val="7"/>
      <name val="Times New Roman CE"/>
      <charset val="238"/>
    </font>
    <font>
      <i/>
      <sz val="16"/>
      <name val="Times New Roman CE"/>
      <charset val="238"/>
    </font>
    <font>
      <i/>
      <sz val="16"/>
      <name val="Arial CE"/>
      <charset val="238"/>
    </font>
    <font>
      <b/>
      <sz val="16"/>
      <name val="Times New Roman CE"/>
      <charset val="238"/>
    </font>
    <font>
      <b/>
      <sz val="16"/>
      <name val="Arial CE"/>
      <charset val="238"/>
    </font>
    <font>
      <b/>
      <i/>
      <sz val="14"/>
      <name val="Times New Roman CE"/>
      <family val="1"/>
      <charset val="238"/>
    </font>
    <font>
      <b/>
      <sz val="10"/>
      <color rgb="FFED0000"/>
      <name val="Times New Roman CE"/>
      <charset val="238"/>
    </font>
    <font>
      <i/>
      <sz val="22"/>
      <name val="Times New Roman"/>
      <family val="1"/>
      <charset val="238"/>
    </font>
    <font>
      <i/>
      <sz val="22"/>
      <name val="Arial CE"/>
      <charset val="238"/>
    </font>
    <font>
      <b/>
      <sz val="12"/>
      <color indexed="10"/>
      <name val="Times New Roman"/>
      <family val="1"/>
      <charset val="238"/>
    </font>
    <font>
      <b/>
      <sz val="24"/>
      <name val="Times New Roman"/>
      <family val="1"/>
      <charset val="238"/>
    </font>
    <font>
      <b/>
      <sz val="20"/>
      <name val="Times New Roman"/>
      <family val="1"/>
      <charset val="238"/>
    </font>
    <font>
      <b/>
      <sz val="26"/>
      <name val="Times New Roman"/>
      <family val="1"/>
      <charset val="238"/>
    </font>
    <font>
      <sz val="10"/>
      <color rgb="FF000000"/>
      <name val="Arial CE"/>
    </font>
    <font>
      <b/>
      <sz val="10"/>
      <color rgb="FFC00000"/>
      <name val="Arial CE"/>
      <charset val="238"/>
    </font>
    <font>
      <sz val="10"/>
      <color rgb="FFFF0000"/>
      <name val="Times New Roman CE"/>
      <charset val="238"/>
    </font>
    <font>
      <sz val="9"/>
      <color rgb="FFFF0000"/>
      <name val="Times New Roman CE"/>
      <charset val="238"/>
    </font>
    <font>
      <sz val="9"/>
      <color rgb="FFFF0000"/>
      <name val="Arial CE"/>
      <charset val="238"/>
    </font>
    <font>
      <sz val="10"/>
      <color rgb="FFFF0000"/>
      <name val="Arial CE"/>
      <charset val="238"/>
    </font>
  </fonts>
  <fills count="77">
    <fill>
      <patternFill patternType="none"/>
    </fill>
    <fill>
      <patternFill patternType="gray125"/>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1"/>
        <bgColor indexed="31"/>
      </patternFill>
    </fill>
    <fill>
      <patternFill patternType="solid">
        <fgColor indexed="44"/>
        <bgColor indexed="31"/>
      </patternFill>
    </fill>
    <fill>
      <patternFill patternType="solid">
        <fgColor indexed="29"/>
        <bgColor indexed="45"/>
      </patternFill>
    </fill>
    <fill>
      <patternFill patternType="solid">
        <fgColor indexed="11"/>
        <bgColor indexed="19"/>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25"/>
      </patternFill>
    </fill>
    <fill>
      <patternFill patternType="solid">
        <fgColor indexed="57"/>
        <bgColor indexed="21"/>
      </patternFill>
    </fill>
    <fill>
      <patternFill patternType="solid">
        <fgColor indexed="53"/>
        <bgColor indexed="52"/>
      </patternFill>
    </fill>
    <fill>
      <patternFill patternType="solid">
        <fgColor indexed="22"/>
        <bgColor indexed="47"/>
      </patternFill>
    </fill>
    <fill>
      <patternFill patternType="solid">
        <fgColor indexed="55"/>
        <bgColor indexed="23"/>
      </patternFill>
    </fill>
    <fill>
      <patternFill patternType="solid">
        <fgColor indexed="26"/>
        <bgColor indexed="35"/>
      </patternFill>
    </fill>
    <fill>
      <patternFill patternType="solid">
        <fgColor indexed="43"/>
        <bgColor indexed="26"/>
      </patternFill>
    </fill>
    <fill>
      <patternFill patternType="solid">
        <fgColor indexed="9"/>
        <bgColor indexed="26"/>
      </patternFill>
    </fill>
    <fill>
      <patternFill patternType="solid">
        <fgColor indexed="15"/>
        <bgColor indexed="40"/>
      </patternFill>
    </fill>
    <fill>
      <patternFill patternType="solid">
        <fgColor indexed="35"/>
        <bgColor indexed="26"/>
      </patternFill>
    </fill>
    <fill>
      <patternFill patternType="solid">
        <fgColor indexed="19"/>
        <bgColor indexed="50"/>
      </patternFill>
    </fill>
    <fill>
      <patternFill patternType="solid">
        <fgColor indexed="34"/>
        <bgColor indexed="13"/>
      </patternFill>
    </fill>
    <fill>
      <patternFill patternType="solid">
        <fgColor indexed="47"/>
        <bgColor indexed="22"/>
      </patternFill>
    </fill>
    <fill>
      <patternFill patternType="solid">
        <fgColor indexed="13"/>
        <bgColor indexed="34"/>
      </patternFill>
    </fill>
    <fill>
      <patternFill patternType="solid">
        <fgColor indexed="9"/>
        <bgColor indexed="64"/>
      </patternFill>
    </fill>
    <fill>
      <patternFill patternType="solid">
        <fgColor indexed="13"/>
        <bgColor indexed="26"/>
      </patternFill>
    </fill>
    <fill>
      <patternFill patternType="solid">
        <fgColor indexed="26"/>
        <bgColor indexed="26"/>
      </patternFill>
    </fill>
    <fill>
      <patternFill patternType="solid">
        <fgColor indexed="19"/>
        <bgColor indexed="26"/>
      </patternFill>
    </fill>
    <fill>
      <patternFill patternType="solid">
        <fgColor indexed="49"/>
        <bgColor indexed="64"/>
      </patternFill>
    </fill>
    <fill>
      <patternFill patternType="solid">
        <fgColor indexed="49"/>
        <bgColor indexed="26"/>
      </patternFill>
    </fill>
    <fill>
      <patternFill patternType="solid">
        <fgColor indexed="9"/>
        <bgColor indexed="34"/>
      </patternFill>
    </fill>
    <fill>
      <patternFill patternType="solid">
        <fgColor indexed="13"/>
        <bgColor indexed="64"/>
      </patternFill>
    </fill>
    <fill>
      <patternFill patternType="solid">
        <fgColor indexed="51"/>
        <bgColor indexed="26"/>
      </patternFill>
    </fill>
    <fill>
      <patternFill patternType="solid">
        <fgColor indexed="41"/>
        <bgColor indexed="64"/>
      </patternFill>
    </fill>
    <fill>
      <patternFill patternType="solid">
        <fgColor indexed="38"/>
        <bgColor indexed="21"/>
      </patternFill>
    </fill>
    <fill>
      <patternFill patternType="solid">
        <fgColor indexed="13"/>
        <bgColor indexed="29"/>
      </patternFill>
    </fill>
    <fill>
      <patternFill patternType="solid">
        <fgColor indexed="19"/>
        <bgColor indexed="64"/>
      </patternFill>
    </fill>
    <fill>
      <patternFill patternType="solid">
        <fgColor indexed="8"/>
        <bgColor indexed="34"/>
      </patternFill>
    </fill>
    <fill>
      <patternFill patternType="solid">
        <fgColor indexed="13"/>
        <bgColor indexed="50"/>
      </patternFill>
    </fill>
    <fill>
      <patternFill patternType="solid">
        <fgColor indexed="13"/>
        <bgColor indexed="13"/>
      </patternFill>
    </fill>
    <fill>
      <patternFill patternType="solid">
        <fgColor indexed="13"/>
        <bgColor indexed="45"/>
      </patternFill>
    </fill>
    <fill>
      <patternFill patternType="solid">
        <fgColor indexed="13"/>
        <bgColor indexed="40"/>
      </patternFill>
    </fill>
    <fill>
      <patternFill patternType="solid">
        <fgColor indexed="13"/>
        <bgColor indexed="22"/>
      </patternFill>
    </fill>
    <fill>
      <patternFill patternType="solid">
        <fgColor indexed="13"/>
        <bgColor indexed="21"/>
      </patternFill>
    </fill>
    <fill>
      <patternFill patternType="solid">
        <fgColor indexed="51"/>
        <bgColor indexed="64"/>
      </patternFill>
    </fill>
    <fill>
      <patternFill patternType="solid">
        <fgColor theme="0"/>
        <bgColor indexed="29"/>
      </patternFill>
    </fill>
    <fill>
      <patternFill patternType="solid">
        <fgColor theme="0"/>
        <bgColor indexed="40"/>
      </patternFill>
    </fill>
    <fill>
      <patternFill patternType="solid">
        <fgColor theme="0"/>
        <bgColor indexed="24"/>
      </patternFill>
    </fill>
    <fill>
      <patternFill patternType="solid">
        <fgColor theme="0"/>
        <bgColor indexed="64"/>
      </patternFill>
    </fill>
    <fill>
      <patternFill patternType="solid">
        <fgColor theme="0"/>
        <bgColor indexed="34"/>
      </patternFill>
    </fill>
    <fill>
      <patternFill patternType="solid">
        <fgColor theme="0"/>
        <bgColor indexed="41"/>
      </patternFill>
    </fill>
    <fill>
      <patternFill patternType="solid">
        <fgColor theme="0"/>
        <bgColor indexed="27"/>
      </patternFill>
    </fill>
    <fill>
      <patternFill patternType="solid">
        <fgColor theme="0"/>
        <bgColor indexed="26"/>
      </patternFill>
    </fill>
    <fill>
      <patternFill patternType="solid">
        <fgColor rgb="FFFFFF00"/>
        <bgColor indexed="64"/>
      </patternFill>
    </fill>
    <fill>
      <patternFill patternType="solid">
        <fgColor rgb="FFFFFF00"/>
        <bgColor indexed="34"/>
      </patternFill>
    </fill>
    <fill>
      <patternFill patternType="solid">
        <fgColor rgb="FFFFFF00"/>
        <bgColor indexed="26"/>
      </patternFill>
    </fill>
    <fill>
      <patternFill patternType="solid">
        <fgColor theme="2"/>
        <bgColor indexed="26"/>
      </patternFill>
    </fill>
    <fill>
      <patternFill patternType="solid">
        <fgColor theme="2"/>
        <bgColor indexed="64"/>
      </patternFill>
    </fill>
    <fill>
      <patternFill patternType="solid">
        <fgColor theme="2"/>
        <bgColor indexed="3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CE3C"/>
        <bgColor indexed="64"/>
      </patternFill>
    </fill>
    <fill>
      <patternFill patternType="solid">
        <fgColor theme="6" tint="0.79998168889431442"/>
        <bgColor indexed="64"/>
      </patternFill>
    </fill>
    <fill>
      <patternFill patternType="solid">
        <fgColor rgb="FFFFFF00"/>
        <bgColor indexed="50"/>
      </patternFill>
    </fill>
    <fill>
      <patternFill patternType="solid">
        <fgColor rgb="FFFFFF00"/>
        <bgColor indexed="13"/>
      </patternFill>
    </fill>
    <fill>
      <patternFill patternType="solid">
        <fgColor rgb="FFFFFF00"/>
        <bgColor indexed="45"/>
      </patternFill>
    </fill>
    <fill>
      <patternFill patternType="solid">
        <fgColor rgb="FFFFFF00"/>
        <bgColor indexed="40"/>
      </patternFill>
    </fill>
    <fill>
      <patternFill patternType="solid">
        <fgColor rgb="FFFFFF00"/>
        <bgColor indexed="22"/>
      </patternFill>
    </fill>
    <fill>
      <patternFill patternType="solid">
        <fgColor rgb="FFFFFF00"/>
        <bgColor indexed="21"/>
      </patternFill>
    </fill>
    <fill>
      <patternFill patternType="solid">
        <fgColor rgb="FFFFFFE7"/>
        <bgColor indexed="64"/>
      </patternFill>
    </fill>
  </fills>
  <borders count="2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style="thin">
        <color indexed="8"/>
      </right>
      <top style="medium">
        <color indexed="8"/>
      </top>
      <bottom style="thin">
        <color indexed="8"/>
      </bottom>
      <diagonal/>
    </border>
    <border>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style="medium">
        <color indexed="8"/>
      </right>
      <top style="medium">
        <color indexed="8"/>
      </top>
      <bottom style="medium">
        <color indexed="8"/>
      </bottom>
      <diagonal/>
    </border>
    <border>
      <left/>
      <right/>
      <top style="medium">
        <color indexed="8"/>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medium">
        <color indexed="8"/>
      </right>
      <top style="thin">
        <color indexed="8"/>
      </top>
      <bottom/>
      <diagonal/>
    </border>
    <border>
      <left style="medium">
        <color indexed="8"/>
      </left>
      <right style="medium">
        <color indexed="8"/>
      </right>
      <top style="thin">
        <color indexed="8"/>
      </top>
      <bottom style="thin">
        <color indexed="8"/>
      </bottom>
      <diagonal/>
    </border>
    <border>
      <left/>
      <right style="medium">
        <color indexed="8"/>
      </right>
      <top/>
      <bottom/>
      <diagonal/>
    </border>
    <border>
      <left style="medium">
        <color indexed="8"/>
      </left>
      <right style="thin">
        <color indexed="8"/>
      </right>
      <top/>
      <bottom style="thin">
        <color indexed="8"/>
      </bottom>
      <diagonal/>
    </border>
    <border>
      <left style="medium">
        <color indexed="8"/>
      </left>
      <right style="thin">
        <color indexed="8"/>
      </right>
      <top style="medium">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medium">
        <color indexed="8"/>
      </left>
      <right/>
      <top/>
      <bottom/>
      <diagonal/>
    </border>
    <border>
      <left style="thin">
        <color indexed="8"/>
      </left>
      <right/>
      <top style="thin">
        <color indexed="8"/>
      </top>
      <bottom style="thin">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style="thin">
        <color indexed="8"/>
      </right>
      <top style="thin">
        <color indexed="8"/>
      </top>
      <bottom style="medium">
        <color indexed="8"/>
      </bottom>
      <diagonal/>
    </border>
    <border>
      <left/>
      <right/>
      <top/>
      <bottom style="medium">
        <color indexed="8"/>
      </bottom>
      <diagonal/>
    </border>
    <border>
      <left/>
      <right/>
      <top style="medium">
        <color indexed="8"/>
      </top>
      <bottom style="medium">
        <color indexed="8"/>
      </bottom>
      <diagonal/>
    </border>
    <border>
      <left/>
      <right style="medium">
        <color indexed="8"/>
      </right>
      <top style="thin">
        <color indexed="8"/>
      </top>
      <bottom/>
      <diagonal/>
    </border>
    <border>
      <left style="medium">
        <color indexed="8"/>
      </left>
      <right style="medium">
        <color indexed="8"/>
      </right>
      <top/>
      <bottom style="medium">
        <color indexed="8"/>
      </bottom>
      <diagonal/>
    </border>
    <border>
      <left style="thin">
        <color indexed="8"/>
      </left>
      <right style="thin">
        <color indexed="8"/>
      </right>
      <top/>
      <bottom/>
      <diagonal/>
    </border>
    <border>
      <left style="thin">
        <color indexed="8"/>
      </left>
      <right style="medium">
        <color indexed="8"/>
      </right>
      <top/>
      <bottom/>
      <diagonal/>
    </border>
    <border>
      <left/>
      <right style="medium">
        <color indexed="8"/>
      </right>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style="thin">
        <color indexed="8"/>
      </left>
      <right/>
      <top/>
      <bottom/>
      <diagonal/>
    </border>
    <border>
      <left/>
      <right style="thin">
        <color indexed="8"/>
      </right>
      <top/>
      <bottom/>
      <diagonal/>
    </border>
    <border>
      <left/>
      <right/>
      <top style="thin">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top style="thin">
        <color indexed="8"/>
      </top>
      <bottom style="medium">
        <color indexed="8"/>
      </bottom>
      <diagonal/>
    </border>
    <border>
      <left style="medium">
        <color indexed="8"/>
      </left>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medium">
        <color indexed="8"/>
      </right>
      <top/>
      <bottom/>
      <diagonal/>
    </border>
    <border>
      <left style="medium">
        <color indexed="8"/>
      </left>
      <right/>
      <top style="thin">
        <color indexed="8"/>
      </top>
      <bottom style="thin">
        <color indexed="8"/>
      </bottom>
      <diagonal/>
    </border>
    <border>
      <left style="medium">
        <color indexed="8"/>
      </left>
      <right style="thin">
        <color indexed="8"/>
      </right>
      <top/>
      <bottom/>
      <diagonal/>
    </border>
    <border>
      <left style="medium">
        <color indexed="8"/>
      </left>
      <right style="medium">
        <color indexed="8"/>
      </right>
      <top style="thin">
        <color indexed="8"/>
      </top>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diagonal/>
    </border>
    <border>
      <left style="medium">
        <color indexed="8"/>
      </left>
      <right style="medium">
        <color indexed="8"/>
      </right>
      <top/>
      <bottom style="thin">
        <color indexed="8"/>
      </bottom>
      <diagonal/>
    </border>
    <border>
      <left style="medium">
        <color indexed="8"/>
      </left>
      <right/>
      <top style="medium">
        <color indexed="8"/>
      </top>
      <bottom style="thin">
        <color indexed="8"/>
      </bottom>
      <diagonal/>
    </border>
    <border>
      <left/>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thin">
        <color indexed="8"/>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8"/>
      </left>
      <right/>
      <top/>
      <bottom style="medium">
        <color indexed="8"/>
      </bottom>
      <diagonal/>
    </border>
    <border>
      <left style="thin">
        <color indexed="8"/>
      </left>
      <right/>
      <top/>
      <bottom style="medium">
        <color indexed="8"/>
      </bottom>
      <diagonal/>
    </border>
    <border>
      <left style="medium">
        <color indexed="64"/>
      </left>
      <right style="thin">
        <color indexed="8"/>
      </right>
      <top/>
      <bottom style="thin">
        <color indexed="8"/>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8"/>
      </left>
      <right/>
      <top style="medium">
        <color indexed="8"/>
      </top>
      <bottom style="thin">
        <color indexed="8"/>
      </bottom>
      <diagonal/>
    </border>
    <border>
      <left style="thin">
        <color indexed="8"/>
      </left>
      <right/>
      <top style="thin">
        <color indexed="8"/>
      </top>
      <bottom/>
      <diagonal/>
    </border>
    <border>
      <left style="thin">
        <color indexed="8"/>
      </left>
      <right/>
      <top style="medium">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8"/>
      </right>
      <top style="medium">
        <color indexed="8"/>
      </top>
      <bottom/>
      <diagonal/>
    </border>
    <border>
      <left style="thin">
        <color indexed="8"/>
      </left>
      <right style="medium">
        <color indexed="64"/>
      </right>
      <top style="medium">
        <color indexed="8"/>
      </top>
      <bottom/>
      <diagonal/>
    </border>
    <border>
      <left style="medium">
        <color indexed="64"/>
      </left>
      <right style="thin">
        <color indexed="8"/>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64"/>
      </left>
      <right style="thin">
        <color indexed="8"/>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right style="thin">
        <color indexed="8"/>
      </right>
      <top style="medium">
        <color indexed="64"/>
      </top>
      <bottom style="medium">
        <color indexed="8"/>
      </bottom>
      <diagonal/>
    </border>
    <border>
      <left/>
      <right style="medium">
        <color indexed="64"/>
      </right>
      <top style="medium">
        <color indexed="64"/>
      </top>
      <bottom style="medium">
        <color indexed="8"/>
      </bottom>
      <diagonal/>
    </border>
    <border>
      <left/>
      <right style="medium">
        <color indexed="64"/>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medium">
        <color indexed="64"/>
      </left>
      <right/>
      <top style="medium">
        <color indexed="8"/>
      </top>
      <bottom/>
      <diagonal/>
    </border>
    <border>
      <left/>
      <right style="medium">
        <color indexed="64"/>
      </right>
      <top style="medium">
        <color indexed="8"/>
      </top>
      <bottom/>
      <diagonal/>
    </border>
    <border>
      <left/>
      <right style="medium">
        <color indexed="64"/>
      </right>
      <top/>
      <bottom style="medium">
        <color indexed="8"/>
      </bottom>
      <diagonal/>
    </border>
    <border>
      <left style="medium">
        <color indexed="8"/>
      </left>
      <right style="medium">
        <color indexed="64"/>
      </right>
      <top style="medium">
        <color indexed="8"/>
      </top>
      <bottom/>
      <diagonal/>
    </border>
    <border>
      <left style="thin">
        <color indexed="8"/>
      </left>
      <right style="medium">
        <color indexed="64"/>
      </right>
      <top/>
      <bottom style="medium">
        <color indexed="8"/>
      </bottom>
      <diagonal/>
    </border>
    <border>
      <left style="thin">
        <color indexed="8"/>
      </left>
      <right style="medium">
        <color indexed="64"/>
      </right>
      <top/>
      <bottom style="thin">
        <color indexed="8"/>
      </bottom>
      <diagonal/>
    </border>
    <border>
      <left style="thin">
        <color indexed="8"/>
      </left>
      <right style="thin">
        <color indexed="8"/>
      </right>
      <top/>
      <bottom style="medium">
        <color indexed="64"/>
      </bottom>
      <diagonal/>
    </border>
    <border>
      <left style="thin">
        <color indexed="8"/>
      </left>
      <right style="thin">
        <color indexed="8"/>
      </right>
      <top style="medium">
        <color indexed="8"/>
      </top>
      <bottom style="medium">
        <color indexed="64"/>
      </bottom>
      <diagonal/>
    </border>
    <border>
      <left/>
      <right style="medium">
        <color indexed="64"/>
      </right>
      <top style="medium">
        <color indexed="8"/>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8"/>
      </bottom>
      <diagonal/>
    </border>
    <border>
      <left style="medium">
        <color indexed="64"/>
      </left>
      <right style="thin">
        <color indexed="8"/>
      </right>
      <top style="thin">
        <color indexed="8"/>
      </top>
      <bottom style="medium">
        <color indexed="8"/>
      </bottom>
      <diagonal/>
    </border>
    <border>
      <left style="thin">
        <color indexed="8"/>
      </left>
      <right style="medium">
        <color indexed="64"/>
      </right>
      <top style="medium">
        <color indexed="8"/>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bottom style="medium">
        <color indexed="8"/>
      </bottom>
      <diagonal/>
    </border>
    <border>
      <left style="medium">
        <color indexed="64"/>
      </left>
      <right style="thin">
        <color indexed="8"/>
      </right>
      <top/>
      <bottom style="medium">
        <color indexed="64"/>
      </bottom>
      <diagonal/>
    </border>
    <border>
      <left style="thin">
        <color indexed="8"/>
      </left>
      <right style="medium">
        <color indexed="8"/>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8"/>
      </top>
      <bottom style="medium">
        <color indexed="64"/>
      </bottom>
      <diagonal/>
    </border>
    <border>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8"/>
      </bottom>
      <diagonal/>
    </border>
    <border>
      <left style="thin">
        <color indexed="8"/>
      </left>
      <right style="medium">
        <color indexed="64"/>
      </right>
      <top style="medium">
        <color indexed="8"/>
      </top>
      <bottom style="thin">
        <color indexed="8"/>
      </bottom>
      <diagonal/>
    </border>
    <border>
      <left/>
      <right/>
      <top style="thin">
        <color indexed="64"/>
      </top>
      <bottom/>
      <diagonal/>
    </border>
    <border>
      <left style="thin">
        <color indexed="64"/>
      </left>
      <right/>
      <top style="thin">
        <color indexed="64"/>
      </top>
      <bottom style="thin">
        <color indexed="64"/>
      </bottom>
      <diagonal/>
    </border>
    <border>
      <left style="medium">
        <color indexed="8"/>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64"/>
      </left>
      <right/>
      <top style="thin">
        <color indexed="8"/>
      </top>
      <bottom style="thin">
        <color indexed="8"/>
      </bottom>
      <diagonal/>
    </border>
    <border>
      <left/>
      <right/>
      <top/>
      <bottom style="medium">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top style="medium">
        <color indexed="64"/>
      </top>
      <bottom/>
      <diagonal/>
    </border>
    <border>
      <left style="medium">
        <color indexed="8"/>
      </left>
      <right/>
      <top style="medium">
        <color indexed="8"/>
      </top>
      <bottom/>
      <diagonal/>
    </border>
    <border>
      <left/>
      <right style="thin">
        <color indexed="8"/>
      </right>
      <top/>
      <bottom style="medium">
        <color indexed="64"/>
      </bottom>
      <diagonal/>
    </border>
    <border>
      <left/>
      <right style="medium">
        <color indexed="8"/>
      </right>
      <top style="medium">
        <color indexed="8"/>
      </top>
      <bottom style="thin">
        <color indexed="8"/>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top/>
      <bottom style="thin">
        <color indexed="8"/>
      </bottom>
      <diagonal/>
    </border>
    <border>
      <left/>
      <right style="medium">
        <color indexed="64"/>
      </right>
      <top style="thin">
        <color indexed="8"/>
      </top>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8"/>
      </top>
      <bottom/>
      <diagonal/>
    </border>
    <border>
      <left/>
      <right style="thin">
        <color indexed="64"/>
      </right>
      <top/>
      <bottom style="thin">
        <color indexed="64"/>
      </bottom>
      <diagonal/>
    </border>
    <border>
      <left/>
      <right style="thin">
        <color indexed="64"/>
      </right>
      <top style="medium">
        <color indexed="8"/>
      </top>
      <bottom/>
      <diagonal/>
    </border>
    <border>
      <left style="medium">
        <color indexed="64"/>
      </left>
      <right/>
      <top style="medium">
        <color indexed="8"/>
      </top>
      <bottom style="medium">
        <color indexed="8"/>
      </bottom>
      <diagonal/>
    </border>
    <border>
      <left/>
      <right style="thin">
        <color indexed="8"/>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thin">
        <color indexed="8"/>
      </right>
      <top style="medium">
        <color indexed="8"/>
      </top>
      <bottom/>
      <diagonal/>
    </border>
    <border>
      <left style="medium">
        <color indexed="64"/>
      </left>
      <right style="medium">
        <color indexed="64"/>
      </right>
      <top style="thin">
        <color indexed="8"/>
      </top>
      <bottom/>
      <diagonal/>
    </border>
    <border>
      <left style="medium">
        <color indexed="64"/>
      </left>
      <right style="medium">
        <color indexed="8"/>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64"/>
      </right>
      <top/>
      <bottom/>
      <diagonal/>
    </border>
    <border>
      <left style="thin">
        <color indexed="64"/>
      </left>
      <right style="thin">
        <color indexed="64"/>
      </right>
      <top style="medium">
        <color indexed="8"/>
      </top>
      <bottom/>
      <diagonal/>
    </border>
    <border>
      <left style="thin">
        <color indexed="64"/>
      </left>
      <right style="medium">
        <color indexed="64"/>
      </right>
      <top style="medium">
        <color indexed="8"/>
      </top>
      <bottom/>
      <diagonal/>
    </border>
    <border>
      <left style="medium">
        <color indexed="64"/>
      </left>
      <right style="thin">
        <color indexed="64"/>
      </right>
      <top style="medium">
        <color indexed="8"/>
      </top>
      <bottom style="medium">
        <color indexed="8"/>
      </bottom>
      <diagonal/>
    </border>
    <border>
      <left style="thin">
        <color indexed="64"/>
      </left>
      <right style="thin">
        <color indexed="64"/>
      </right>
      <top style="medium">
        <color indexed="8"/>
      </top>
      <bottom style="medium">
        <color indexed="8"/>
      </bottom>
      <diagonal/>
    </border>
    <border>
      <left style="thin">
        <color indexed="64"/>
      </left>
      <right style="thin">
        <color indexed="64"/>
      </right>
      <top style="medium">
        <color indexed="64"/>
      </top>
      <bottom style="medium">
        <color indexed="8"/>
      </bottom>
      <diagonal/>
    </border>
    <border>
      <left style="thin">
        <color indexed="64"/>
      </left>
      <right style="medium">
        <color indexed="64"/>
      </right>
      <top style="medium">
        <color indexed="8"/>
      </top>
      <bottom style="medium">
        <color indexed="8"/>
      </bottom>
      <diagonal/>
    </border>
    <border>
      <left style="medium">
        <color indexed="64"/>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medium">
        <color indexed="64"/>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medium">
        <color indexed="64"/>
      </right>
      <top style="thin">
        <color indexed="8"/>
      </top>
      <bottom style="thin">
        <color indexed="8"/>
      </bottom>
      <diagonal/>
    </border>
    <border>
      <left style="medium">
        <color indexed="64"/>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style="thin">
        <color indexed="64"/>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right style="thin">
        <color indexed="64"/>
      </right>
      <top/>
      <bottom/>
      <diagonal/>
    </border>
    <border>
      <left style="medium">
        <color indexed="64"/>
      </left>
      <right style="thin">
        <color indexed="64"/>
      </right>
      <top style="medium">
        <color indexed="8"/>
      </top>
      <bottom style="thin">
        <color indexed="8"/>
      </bottom>
      <diagonal/>
    </border>
    <border>
      <left style="thin">
        <color indexed="64"/>
      </left>
      <right style="thin">
        <color indexed="64"/>
      </right>
      <top style="medium">
        <color indexed="8"/>
      </top>
      <bottom style="thin">
        <color indexed="8"/>
      </bottom>
      <diagonal/>
    </border>
    <border>
      <left style="thin">
        <color indexed="64"/>
      </left>
      <right style="medium">
        <color indexed="64"/>
      </right>
      <top style="medium">
        <color indexed="8"/>
      </top>
      <bottom style="thin">
        <color indexed="8"/>
      </bottom>
      <diagonal/>
    </border>
    <border>
      <left style="thin">
        <color indexed="64"/>
      </left>
      <right style="medium">
        <color indexed="64"/>
      </right>
      <top style="thin">
        <color indexed="8"/>
      </top>
      <bottom/>
      <diagonal/>
    </border>
    <border>
      <left style="medium">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8"/>
      </bottom>
      <diagonal/>
    </border>
    <border>
      <left style="thin">
        <color indexed="64"/>
      </left>
      <right style="medium">
        <color indexed="64"/>
      </right>
      <top style="medium">
        <color indexed="64"/>
      </top>
      <bottom style="thin">
        <color indexed="8"/>
      </bottom>
      <diagonal/>
    </border>
    <border>
      <left style="medium">
        <color indexed="64"/>
      </left>
      <right style="thin">
        <color indexed="64"/>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64"/>
      </left>
      <right/>
      <top style="thin">
        <color indexed="8"/>
      </top>
      <bottom style="medium">
        <color indexed="64"/>
      </bottom>
      <diagonal/>
    </border>
    <border>
      <left style="medium">
        <color indexed="64"/>
      </left>
      <right/>
      <top style="thin">
        <color indexed="64"/>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style="medium">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style="medium">
        <color indexed="8"/>
      </left>
      <right style="medium">
        <color indexed="64"/>
      </right>
      <top style="thin">
        <color indexed="8"/>
      </top>
      <bottom style="thin">
        <color indexed="8"/>
      </bottom>
      <diagonal/>
    </border>
    <border>
      <left style="medium">
        <color indexed="8"/>
      </left>
      <right/>
      <top/>
      <bottom style="thin">
        <color indexed="8"/>
      </bottom>
      <diagonal/>
    </border>
    <border>
      <left style="thin">
        <color indexed="64"/>
      </left>
      <right/>
      <top style="thin">
        <color indexed="8"/>
      </top>
      <bottom/>
      <diagonal/>
    </border>
    <border>
      <left/>
      <right style="thin">
        <color indexed="8"/>
      </right>
      <top style="thin">
        <color indexed="8"/>
      </top>
      <bottom/>
      <diagonal/>
    </border>
    <border>
      <left style="thin">
        <color indexed="64"/>
      </left>
      <right/>
      <top/>
      <bottom style="thin">
        <color indexed="8"/>
      </bottom>
      <diagonal/>
    </border>
    <border>
      <left style="thin">
        <color indexed="8"/>
      </left>
      <right style="medium">
        <color indexed="8"/>
      </right>
      <top style="thin">
        <color indexed="8"/>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medium">
        <color indexed="64"/>
      </left>
      <right/>
      <top/>
      <bottom style="medium">
        <color indexed="8"/>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left/>
      <right style="thin">
        <color indexed="64"/>
      </right>
      <top style="medium">
        <color indexed="64"/>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8"/>
      </left>
      <right/>
      <top style="medium">
        <color indexed="64"/>
      </top>
      <bottom style="medium">
        <color indexed="8"/>
      </bottom>
      <diagonal/>
    </border>
    <border>
      <left style="thin">
        <color indexed="8"/>
      </left>
      <right style="thin">
        <color indexed="8"/>
      </right>
      <top style="thin">
        <color indexed="64"/>
      </top>
      <bottom style="thin">
        <color indexed="64"/>
      </bottom>
      <diagonal/>
    </border>
    <border>
      <left style="thin">
        <color indexed="64"/>
      </left>
      <right style="medium">
        <color indexed="8"/>
      </right>
      <top style="thin">
        <color indexed="64"/>
      </top>
      <bottom/>
      <diagonal/>
    </border>
    <border>
      <left style="medium">
        <color indexed="64"/>
      </left>
      <right/>
      <top style="medium">
        <color indexed="8"/>
      </top>
      <bottom style="medium">
        <color indexed="64"/>
      </bottom>
      <diagonal/>
    </border>
  </borders>
  <cellStyleXfs count="101">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20" borderId="1" applyNumberFormat="0" applyAlignment="0" applyProtection="0"/>
    <xf numFmtId="0" fontId="5" fillId="21" borderId="2" applyNumberFormat="0" applyAlignment="0" applyProtection="0"/>
    <xf numFmtId="0" fontId="6" fillId="0" borderId="0" applyNumberFormat="0" applyFill="0" applyBorder="0" applyAlignment="0" applyProtection="0"/>
    <xf numFmtId="164" fontId="139" fillId="0" borderId="0" applyFill="0" applyBorder="0" applyAlignment="0" applyProtection="0"/>
    <xf numFmtId="164" fontId="139" fillId="0" borderId="0" applyFill="0" applyBorder="0" applyAlignment="0" applyProtection="0"/>
    <xf numFmtId="164" fontId="139" fillId="0" borderId="0" applyFill="0" applyBorder="0" applyAlignment="0" applyProtection="0"/>
    <xf numFmtId="0" fontId="7" fillId="4" borderId="0" applyNumberFormat="0" applyBorder="0" applyAlignment="0" applyProtection="0"/>
    <xf numFmtId="0" fontId="8" fillId="0" borderId="4" applyNumberFormat="0" applyFill="0" applyAlignment="0" applyProtection="0"/>
    <xf numFmtId="0" fontId="9" fillId="0" borderId="3"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7" borderId="1" applyNumberFormat="0" applyAlignment="0" applyProtection="0"/>
    <xf numFmtId="0" fontId="139" fillId="22" borderId="7" applyNumberFormat="0" applyAlignment="0" applyProtection="0"/>
    <xf numFmtId="0" fontId="15" fillId="0" borderId="6" applyNumberFormat="0" applyFill="0" applyAlignment="0" applyProtection="0"/>
    <xf numFmtId="0" fontId="16" fillId="0" borderId="0" applyNumberFormat="0" applyFill="0" applyBorder="0" applyAlignment="0" applyProtection="0"/>
    <xf numFmtId="0" fontId="17" fillId="23" borderId="0" applyNumberFormat="0" applyBorder="0" applyAlignment="0" applyProtection="0"/>
    <xf numFmtId="0" fontId="1" fillId="0" borderId="0"/>
    <xf numFmtId="0" fontId="18" fillId="0" borderId="0"/>
    <xf numFmtId="0" fontId="18" fillId="0" borderId="0"/>
    <xf numFmtId="0" fontId="18" fillId="0" borderId="0"/>
    <xf numFmtId="0" fontId="18" fillId="0" borderId="0"/>
    <xf numFmtId="0" fontId="18" fillId="0" borderId="0"/>
    <xf numFmtId="0" fontId="144" fillId="0" borderId="0"/>
    <xf numFmtId="0" fontId="146" fillId="0" borderId="0"/>
    <xf numFmtId="0" fontId="153" fillId="0" borderId="0"/>
    <xf numFmtId="0" fontId="139" fillId="0" borderId="0"/>
    <xf numFmtId="0" fontId="18" fillId="0" borderId="0"/>
    <xf numFmtId="0" fontId="19" fillId="0" borderId="0"/>
    <xf numFmtId="0" fontId="18" fillId="0" borderId="0"/>
    <xf numFmtId="0" fontId="19" fillId="0" borderId="0"/>
    <xf numFmtId="0" fontId="19" fillId="0" borderId="0"/>
    <xf numFmtId="0" fontId="20" fillId="0" borderId="0"/>
    <xf numFmtId="0" fontId="20" fillId="0" borderId="0"/>
    <xf numFmtId="0" fontId="20" fillId="0" borderId="0"/>
    <xf numFmtId="0" fontId="139" fillId="0" borderId="0"/>
    <xf numFmtId="0" fontId="192" fillId="0" borderId="0"/>
    <xf numFmtId="0" fontId="20" fillId="0" borderId="0"/>
    <xf numFmtId="0" fontId="139" fillId="0" borderId="0"/>
    <xf numFmtId="0" fontId="1" fillId="0" borderId="0"/>
    <xf numFmtId="0" fontId="21" fillId="0" borderId="0"/>
    <xf numFmtId="0" fontId="18" fillId="0" borderId="0"/>
    <xf numFmtId="0" fontId="22" fillId="0" borderId="0"/>
    <xf numFmtId="0" fontId="20" fillId="0" borderId="0"/>
    <xf numFmtId="0" fontId="20" fillId="0" borderId="0"/>
    <xf numFmtId="0" fontId="1" fillId="0" borderId="0"/>
    <xf numFmtId="0" fontId="139" fillId="0" borderId="0"/>
    <xf numFmtId="0" fontId="139" fillId="0" borderId="0"/>
    <xf numFmtId="0" fontId="23" fillId="0" borderId="0"/>
    <xf numFmtId="0" fontId="1" fillId="0" borderId="0"/>
    <xf numFmtId="0" fontId="23" fillId="0" borderId="0"/>
    <xf numFmtId="0" fontId="24" fillId="0" borderId="0"/>
    <xf numFmtId="0" fontId="23" fillId="0" borderId="0"/>
    <xf numFmtId="0" fontId="24" fillId="0" borderId="0"/>
    <xf numFmtId="0" fontId="23" fillId="0" borderId="0"/>
    <xf numFmtId="0" fontId="23" fillId="0" borderId="0"/>
    <xf numFmtId="0" fontId="139" fillId="22" borderId="7" applyNumberFormat="0" applyAlignment="0" applyProtection="0"/>
    <xf numFmtId="0" fontId="25" fillId="20" borderId="8" applyNumberFormat="0" applyAlignment="0" applyProtection="0"/>
    <xf numFmtId="165" fontId="139" fillId="0" borderId="0" applyFill="0" applyBorder="0" applyAlignment="0" applyProtection="0"/>
    <xf numFmtId="165" fontId="139" fillId="0" borderId="0" applyFill="0" applyBorder="0" applyAlignment="0" applyProtection="0"/>
    <xf numFmtId="166" fontId="139" fillId="0" borderId="0" applyFill="0" applyBorder="0" applyAlignment="0" applyProtection="0"/>
    <xf numFmtId="44" fontId="139" fillId="0" borderId="0" applyFont="0" applyFill="0" applyBorder="0" applyAlignment="0" applyProtection="0"/>
    <xf numFmtId="9" fontId="139" fillId="0" borderId="0" applyFill="0" applyBorder="0" applyAlignment="0" applyProtection="0"/>
    <xf numFmtId="9" fontId="139" fillId="0" borderId="0" applyFill="0" applyBorder="0" applyAlignment="0" applyProtection="0"/>
    <xf numFmtId="9" fontId="139" fillId="0" borderId="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23" fillId="0" borderId="0"/>
    <xf numFmtId="0" fontId="36" fillId="0" borderId="0"/>
    <xf numFmtId="0" fontId="23" fillId="0" borderId="0"/>
    <xf numFmtId="0" fontId="1" fillId="0" borderId="0"/>
    <xf numFmtId="0" fontId="228" fillId="0" borderId="0"/>
  </cellStyleXfs>
  <cellXfs count="3843">
    <xf numFmtId="0" fontId="0" fillId="0" borderId="0" xfId="0"/>
    <xf numFmtId="0" fontId="29" fillId="24" borderId="10" xfId="0" applyFont="1" applyFill="1" applyBorder="1" applyAlignment="1">
      <alignment horizontal="center" vertical="center"/>
    </xf>
    <xf numFmtId="0" fontId="0" fillId="24" borderId="10" xfId="0" applyFill="1" applyBorder="1"/>
    <xf numFmtId="0" fontId="29" fillId="24" borderId="10" xfId="0" applyFont="1" applyFill="1" applyBorder="1" applyAlignment="1">
      <alignment vertical="center"/>
    </xf>
    <xf numFmtId="0" fontId="21" fillId="24" borderId="10" xfId="0" applyFont="1" applyFill="1" applyBorder="1" applyAlignment="1">
      <alignment vertical="center"/>
    </xf>
    <xf numFmtId="0" fontId="21" fillId="24" borderId="10" xfId="0" applyFont="1" applyFill="1" applyBorder="1" applyAlignment="1">
      <alignment horizontal="center" vertical="center" wrapText="1"/>
    </xf>
    <xf numFmtId="3" fontId="21" fillId="24" borderId="10" xfId="0" applyNumberFormat="1" applyFont="1" applyFill="1" applyBorder="1" applyAlignment="1">
      <alignment vertical="center"/>
    </xf>
    <xf numFmtId="0" fontId="21" fillId="24" borderId="10" xfId="0" applyFont="1" applyFill="1" applyBorder="1" applyAlignment="1">
      <alignment horizontal="justify" vertical="center" wrapText="1"/>
    </xf>
    <xf numFmtId="0" fontId="34" fillId="24" borderId="10" xfId="0" applyFont="1" applyFill="1" applyBorder="1" applyAlignment="1">
      <alignment horizontal="justify" vertical="center" wrapText="1"/>
    </xf>
    <xf numFmtId="3" fontId="34" fillId="24" borderId="10" xfId="0" applyNumberFormat="1" applyFont="1" applyFill="1" applyBorder="1" applyAlignment="1">
      <alignment vertical="center"/>
    </xf>
    <xf numFmtId="0" fontId="34" fillId="24" borderId="10" xfId="0" applyFont="1" applyFill="1" applyBorder="1" applyAlignment="1">
      <alignment vertical="center"/>
    </xf>
    <xf numFmtId="0" fontId="36" fillId="24" borderId="0" xfId="0" applyFont="1" applyFill="1" applyAlignment="1">
      <alignment vertical="center"/>
    </xf>
    <xf numFmtId="3" fontId="36" fillId="24" borderId="10" xfId="0" applyNumberFormat="1" applyFont="1" applyFill="1" applyBorder="1" applyAlignment="1">
      <alignment horizontal="center" vertical="center" wrapText="1"/>
    </xf>
    <xf numFmtId="3" fontId="36" fillId="24" borderId="0" xfId="0" applyNumberFormat="1" applyFont="1" applyFill="1" applyAlignment="1">
      <alignment vertical="center"/>
    </xf>
    <xf numFmtId="3" fontId="37" fillId="24" borderId="10" xfId="0" applyNumberFormat="1" applyFont="1" applyFill="1" applyBorder="1" applyAlignment="1">
      <alignment horizontal="justify" vertical="center" wrapText="1"/>
    </xf>
    <xf numFmtId="3" fontId="36" fillId="24" borderId="10" xfId="0" applyNumberFormat="1" applyFont="1" applyFill="1" applyBorder="1" applyAlignment="1">
      <alignment horizontal="justify" vertical="center" wrapText="1"/>
    </xf>
    <xf numFmtId="3" fontId="36" fillId="24" borderId="10" xfId="0" applyNumberFormat="1" applyFont="1" applyFill="1" applyBorder="1" applyAlignment="1">
      <alignment vertical="center"/>
    </xf>
    <xf numFmtId="3" fontId="29" fillId="24" borderId="0" xfId="0" applyNumberFormat="1" applyFont="1" applyFill="1" applyAlignment="1">
      <alignment vertical="center"/>
    </xf>
    <xf numFmtId="0" fontId="29" fillId="24" borderId="0" xfId="0" applyFont="1" applyFill="1" applyAlignment="1">
      <alignment vertical="center"/>
    </xf>
    <xf numFmtId="3" fontId="29" fillId="24" borderId="0" xfId="0" applyNumberFormat="1" applyFont="1" applyFill="1" applyAlignment="1">
      <alignment horizontal="left" vertical="center"/>
    </xf>
    <xf numFmtId="0" fontId="0" fillId="24" borderId="0" xfId="0" applyFill="1"/>
    <xf numFmtId="0" fontId="29" fillId="24" borderId="11" xfId="0" applyFont="1" applyFill="1" applyBorder="1" applyAlignment="1">
      <alignment vertical="center"/>
    </xf>
    <xf numFmtId="0" fontId="45" fillId="24" borderId="0" xfId="0" applyFont="1" applyFill="1" applyAlignment="1">
      <alignment vertical="center" wrapText="1"/>
    </xf>
    <xf numFmtId="3" fontId="45" fillId="24" borderId="0" xfId="0" applyNumberFormat="1" applyFont="1" applyFill="1" applyAlignment="1">
      <alignment vertical="center"/>
    </xf>
    <xf numFmtId="3" fontId="47" fillId="24" borderId="0" xfId="74" applyNumberFormat="1" applyFont="1" applyFill="1" applyAlignment="1" applyProtection="1">
      <alignment horizontal="right"/>
      <protection locked="0"/>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3" fontId="29" fillId="0" borderId="10" xfId="0" applyNumberFormat="1" applyFont="1" applyBorder="1" applyAlignment="1">
      <alignment vertical="center"/>
    </xf>
    <xf numFmtId="3" fontId="29" fillId="0" borderId="10" xfId="0" applyNumberFormat="1" applyFont="1" applyBorder="1" applyAlignment="1">
      <alignment horizontal="right" vertical="center"/>
    </xf>
    <xf numFmtId="3" fontId="0" fillId="0" borderId="0" xfId="0" applyNumberFormat="1"/>
    <xf numFmtId="3" fontId="36" fillId="24" borderId="0" xfId="0" applyNumberFormat="1" applyFont="1" applyFill="1" applyAlignment="1">
      <alignment horizontal="center" vertical="center"/>
    </xf>
    <xf numFmtId="3" fontId="36" fillId="24" borderId="0" xfId="0" applyNumberFormat="1" applyFont="1" applyFill="1" applyAlignment="1">
      <alignment horizontal="left" vertical="center"/>
    </xf>
    <xf numFmtId="3" fontId="37" fillId="24" borderId="0" xfId="0" applyNumberFormat="1" applyFont="1" applyFill="1" applyAlignment="1">
      <alignment vertical="center" wrapText="1"/>
    </xf>
    <xf numFmtId="3" fontId="37" fillId="24" borderId="0" xfId="0" applyNumberFormat="1" applyFont="1" applyFill="1" applyAlignment="1">
      <alignment vertical="center"/>
    </xf>
    <xf numFmtId="3" fontId="37" fillId="24" borderId="12" xfId="0" applyNumberFormat="1" applyFont="1" applyFill="1" applyBorder="1" applyAlignment="1">
      <alignment horizontal="center" vertical="center" wrapText="1"/>
    </xf>
    <xf numFmtId="0" fontId="36" fillId="24" borderId="10" xfId="0" applyFont="1" applyFill="1" applyBorder="1" applyAlignment="1">
      <alignment vertical="center"/>
    </xf>
    <xf numFmtId="3" fontId="36" fillId="24" borderId="10" xfId="0" applyNumberFormat="1" applyFont="1" applyFill="1" applyBorder="1" applyAlignment="1">
      <alignment horizontal="left" vertical="center" wrapText="1"/>
    </xf>
    <xf numFmtId="3" fontId="36" fillId="24" borderId="0" xfId="0" applyNumberFormat="1" applyFont="1" applyFill="1" applyAlignment="1">
      <alignment horizontal="right" vertical="center"/>
    </xf>
    <xf numFmtId="0" fontId="21" fillId="24" borderId="10" xfId="0" applyFont="1" applyFill="1" applyBorder="1"/>
    <xf numFmtId="3" fontId="37" fillId="24" borderId="0" xfId="0" applyNumberFormat="1" applyFont="1" applyFill="1" applyAlignment="1">
      <alignment horizontal="left" vertical="center"/>
    </xf>
    <xf numFmtId="0" fontId="23" fillId="0" borderId="0" xfId="79" applyFont="1" applyAlignment="1">
      <alignment vertical="center"/>
    </xf>
    <xf numFmtId="3" fontId="23" fillId="0" borderId="0" xfId="79" applyNumberFormat="1" applyFont="1" applyAlignment="1">
      <alignment vertical="center"/>
    </xf>
    <xf numFmtId="0" fontId="59" fillId="0" borderId="13" xfId="83" applyFont="1" applyBorder="1" applyAlignment="1">
      <alignment horizontal="center" vertical="center" wrapText="1"/>
    </xf>
    <xf numFmtId="3" fontId="47" fillId="0" borderId="10" xfId="74" applyNumberFormat="1" applyFont="1" applyBorder="1" applyAlignment="1" applyProtection="1">
      <alignment horizontal="center" vertical="center" wrapText="1"/>
      <protection locked="0"/>
    </xf>
    <xf numFmtId="0" fontId="61" fillId="0" borderId="0" xfId="79" applyFont="1" applyAlignment="1">
      <alignment vertical="center"/>
    </xf>
    <xf numFmtId="167" fontId="23" fillId="0" borderId="0" xfId="83" applyNumberFormat="1" applyAlignment="1">
      <alignment horizontal="center" vertical="center" wrapText="1"/>
    </xf>
    <xf numFmtId="167" fontId="23" fillId="24" borderId="0" xfId="83" applyNumberFormat="1" applyFill="1" applyAlignment="1">
      <alignment horizontal="center" vertical="center" wrapText="1"/>
    </xf>
    <xf numFmtId="3" fontId="23" fillId="0" borderId="0" xfId="83" applyNumberFormat="1" applyAlignment="1">
      <alignment vertical="center" wrapText="1"/>
    </xf>
    <xf numFmtId="167" fontId="23" fillId="0" borderId="0" xfId="83" applyNumberFormat="1" applyAlignment="1">
      <alignment vertical="center" wrapText="1"/>
    </xf>
    <xf numFmtId="167" fontId="23" fillId="24" borderId="0" xfId="83" applyNumberFormat="1" applyFill="1" applyAlignment="1">
      <alignment vertical="center" wrapText="1"/>
    </xf>
    <xf numFmtId="167" fontId="58" fillId="0" borderId="0" xfId="83" applyNumberFormat="1" applyFont="1" applyAlignment="1">
      <alignment horizontal="center" vertical="center" wrapText="1"/>
    </xf>
    <xf numFmtId="167" fontId="65" fillId="0" borderId="0" xfId="83" applyNumberFormat="1" applyFont="1" applyAlignment="1">
      <alignment horizontal="center" vertical="center" wrapText="1"/>
    </xf>
    <xf numFmtId="3" fontId="23" fillId="0" borderId="10" xfId="83" applyNumberFormat="1" applyBorder="1" applyAlignment="1">
      <alignment vertical="center" wrapText="1"/>
    </xf>
    <xf numFmtId="168" fontId="57" fillId="0" borderId="0" xfId="83" applyNumberFormat="1" applyFont="1" applyAlignment="1">
      <alignment vertical="center" wrapText="1"/>
    </xf>
    <xf numFmtId="3" fontId="23" fillId="24" borderId="0" xfId="83" applyNumberFormat="1" applyFill="1" applyAlignment="1">
      <alignment vertical="center" wrapText="1"/>
    </xf>
    <xf numFmtId="167" fontId="23" fillId="0" borderId="0" xfId="83" applyNumberFormat="1" applyAlignment="1">
      <alignment horizontal="right" vertical="center" wrapText="1"/>
    </xf>
    <xf numFmtId="3" fontId="23" fillId="0" borderId="0" xfId="83" applyNumberFormat="1" applyAlignment="1">
      <alignment horizontal="left" vertical="center" wrapText="1"/>
    </xf>
    <xf numFmtId="167" fontId="68" fillId="0" borderId="0" xfId="83" applyNumberFormat="1" applyFont="1" applyAlignment="1">
      <alignment horizontal="right" vertical="center" wrapText="1"/>
    </xf>
    <xf numFmtId="167" fontId="23" fillId="0" borderId="0" xfId="83" applyNumberFormat="1" applyAlignment="1">
      <alignment horizontal="left" vertical="center" wrapText="1"/>
    </xf>
    <xf numFmtId="3" fontId="23" fillId="24" borderId="0" xfId="80" applyNumberFormat="1" applyFill="1" applyAlignment="1">
      <alignment horizontal="left" vertical="center" wrapText="1"/>
    </xf>
    <xf numFmtId="0" fontId="24" fillId="0" borderId="0" xfId="79" applyAlignment="1">
      <alignment horizontal="center" vertical="center"/>
    </xf>
    <xf numFmtId="0" fontId="24" fillId="0" borderId="0" xfId="79" applyAlignment="1">
      <alignment vertical="center"/>
    </xf>
    <xf numFmtId="0" fontId="24" fillId="0" borderId="0" xfId="79" applyAlignment="1">
      <alignment horizontal="right" vertical="center"/>
    </xf>
    <xf numFmtId="3" fontId="24" fillId="0" borderId="0" xfId="79" applyNumberFormat="1" applyAlignment="1">
      <alignment vertical="center"/>
    </xf>
    <xf numFmtId="0" fontId="24" fillId="0" borderId="14" xfId="79" applyBorder="1" applyAlignment="1">
      <alignment vertical="center"/>
    </xf>
    <xf numFmtId="0" fontId="45" fillId="0" borderId="0" xfId="0" applyFont="1" applyAlignment="1">
      <alignment horizontal="center" vertical="center" wrapText="1"/>
    </xf>
    <xf numFmtId="0" fontId="71" fillId="0" borderId="0" xfId="77" applyFont="1" applyAlignment="1">
      <alignment horizontal="right" vertical="center"/>
    </xf>
    <xf numFmtId="0" fontId="73" fillId="0" borderId="15" xfId="77" applyFont="1" applyBorder="1" applyAlignment="1">
      <alignment horizontal="center" vertical="center" wrapText="1"/>
    </xf>
    <xf numFmtId="0" fontId="73" fillId="0" borderId="14" xfId="77" applyFont="1" applyBorder="1" applyAlignment="1">
      <alignment horizontal="center" vertical="center" wrapText="1"/>
    </xf>
    <xf numFmtId="3" fontId="73" fillId="0" borderId="15" xfId="77" applyNumberFormat="1" applyFont="1" applyBorder="1" applyAlignment="1">
      <alignment horizontal="center" vertical="center" wrapText="1"/>
    </xf>
    <xf numFmtId="3" fontId="73" fillId="0" borderId="16" xfId="77" applyNumberFormat="1" applyFont="1" applyBorder="1" applyAlignment="1">
      <alignment horizontal="center" vertical="center" wrapText="1"/>
    </xf>
    <xf numFmtId="0" fontId="73" fillId="0" borderId="17" xfId="77" applyFont="1" applyBorder="1" applyAlignment="1">
      <alignment horizontal="center" vertical="center" wrapText="1"/>
    </xf>
    <xf numFmtId="3" fontId="73" fillId="0" borderId="18" xfId="77" applyNumberFormat="1" applyFont="1" applyBorder="1" applyAlignment="1">
      <alignment horizontal="center" vertical="center" wrapText="1"/>
    </xf>
    <xf numFmtId="0" fontId="73" fillId="0" borderId="19" xfId="77" applyFont="1" applyBorder="1" applyAlignment="1">
      <alignment horizontal="center" vertical="center" wrapText="1"/>
    </xf>
    <xf numFmtId="0" fontId="73" fillId="0" borderId="0" xfId="77" applyFont="1" applyAlignment="1">
      <alignment horizontal="center" vertical="center" wrapText="1"/>
    </xf>
    <xf numFmtId="0" fontId="74" fillId="0" borderId="0" xfId="79" applyFont="1" applyAlignment="1">
      <alignment vertical="center"/>
    </xf>
    <xf numFmtId="0" fontId="31" fillId="0" borderId="20" xfId="0" applyFont="1" applyBorder="1" applyAlignment="1">
      <alignment horizontal="center" vertical="center" wrapText="1"/>
    </xf>
    <xf numFmtId="0" fontId="31" fillId="0" borderId="0" xfId="0" applyFont="1" applyAlignment="1">
      <alignment horizontal="center" vertical="center" wrapText="1"/>
    </xf>
    <xf numFmtId="0" fontId="60" fillId="0" borderId="0" xfId="83" applyFont="1" applyAlignment="1">
      <alignment horizontal="center" vertical="center" wrapText="1"/>
    </xf>
    <xf numFmtId="3" fontId="60" fillId="0" borderId="21" xfId="83" applyNumberFormat="1" applyFont="1" applyBorder="1" applyAlignment="1">
      <alignment horizontal="right" vertical="center" wrapText="1"/>
    </xf>
    <xf numFmtId="3" fontId="69" fillId="0" borderId="22" xfId="83" applyNumberFormat="1" applyFont="1" applyBorder="1" applyAlignment="1">
      <alignment horizontal="right" vertical="center" wrapText="1"/>
    </xf>
    <xf numFmtId="3" fontId="69" fillId="0" borderId="23" xfId="83" applyNumberFormat="1" applyFont="1" applyBorder="1" applyAlignment="1">
      <alignment horizontal="right" vertical="center" wrapText="1"/>
    </xf>
    <xf numFmtId="3" fontId="66" fillId="0" borderId="0" xfId="83" applyNumberFormat="1" applyFont="1" applyAlignment="1">
      <alignment horizontal="right" vertical="center" wrapText="1"/>
    </xf>
    <xf numFmtId="3" fontId="69" fillId="0" borderId="24" xfId="83" applyNumberFormat="1" applyFont="1" applyBorder="1" applyAlignment="1">
      <alignment horizontal="right" vertical="center" wrapText="1"/>
    </xf>
    <xf numFmtId="3" fontId="24" fillId="0" borderId="0" xfId="79" applyNumberFormat="1" applyAlignment="1">
      <alignment horizontal="center" vertical="center"/>
    </xf>
    <xf numFmtId="3" fontId="24" fillId="0" borderId="0" xfId="79" applyNumberFormat="1" applyAlignment="1">
      <alignment horizontal="right" vertical="center"/>
    </xf>
    <xf numFmtId="3" fontId="57" fillId="0" borderId="11" xfId="83" applyNumberFormat="1" applyFont="1" applyBorder="1" applyAlignment="1">
      <alignment horizontal="right" vertical="center" wrapText="1"/>
    </xf>
    <xf numFmtId="10" fontId="24" fillId="0" borderId="0" xfId="79" applyNumberFormat="1" applyAlignment="1">
      <alignment vertical="center"/>
    </xf>
    <xf numFmtId="0" fontId="23" fillId="0" borderId="0" xfId="83" applyAlignment="1">
      <alignment horizontal="left" vertical="center" wrapText="1"/>
    </xf>
    <xf numFmtId="0" fontId="23" fillId="0" borderId="0" xfId="83" applyAlignment="1">
      <alignment vertical="center" wrapText="1"/>
    </xf>
    <xf numFmtId="0" fontId="23" fillId="24" borderId="0" xfId="83" applyFill="1" applyAlignment="1">
      <alignment vertical="center" wrapText="1"/>
    </xf>
    <xf numFmtId="3" fontId="23" fillId="0" borderId="0" xfId="83" applyNumberFormat="1" applyAlignment="1">
      <alignment horizontal="right" vertical="center" wrapText="1" indent="1"/>
    </xf>
    <xf numFmtId="167" fontId="74" fillId="0" borderId="0" xfId="83" applyNumberFormat="1" applyFont="1" applyAlignment="1">
      <alignment vertical="center" wrapText="1"/>
    </xf>
    <xf numFmtId="0" fontId="59" fillId="0" borderId="19" xfId="83" applyFont="1" applyBorder="1" applyAlignment="1">
      <alignment horizontal="center" vertical="center" wrapText="1"/>
    </xf>
    <xf numFmtId="0" fontId="63" fillId="0" borderId="0" xfId="83" applyFont="1" applyAlignment="1">
      <alignment vertical="center"/>
    </xf>
    <xf numFmtId="0" fontId="0" fillId="0" borderId="0" xfId="0" applyAlignment="1">
      <alignment vertical="center"/>
    </xf>
    <xf numFmtId="3" fontId="47" fillId="0" borderId="25" xfId="74" applyNumberFormat="1" applyFont="1" applyBorder="1" applyAlignment="1" applyProtection="1">
      <alignment horizontal="center" vertical="center" wrapText="1"/>
      <protection locked="0"/>
    </xf>
    <xf numFmtId="0" fontId="76" fillId="0" borderId="0" xfId="79" applyFont="1" applyAlignment="1">
      <alignment vertical="center" textRotation="90" wrapText="1"/>
    </xf>
    <xf numFmtId="0" fontId="77" fillId="0" borderId="19" xfId="83" applyFont="1" applyBorder="1" applyAlignment="1">
      <alignment horizontal="center" vertical="center" wrapText="1"/>
    </xf>
    <xf numFmtId="0" fontId="63" fillId="0" borderId="0" xfId="83" applyFont="1" applyAlignment="1">
      <alignment horizontal="center" vertical="center" wrapText="1"/>
    </xf>
    <xf numFmtId="0" fontId="77" fillId="0" borderId="0" xfId="83" applyFont="1" applyAlignment="1">
      <alignment horizontal="center" vertical="center" wrapText="1"/>
    </xf>
    <xf numFmtId="3" fontId="59" fillId="0" borderId="19" xfId="83" applyNumberFormat="1" applyFont="1" applyBorder="1" applyAlignment="1">
      <alignment horizontal="right" vertical="center" wrapText="1"/>
    </xf>
    <xf numFmtId="3" fontId="59" fillId="0" borderId="0" xfId="83" applyNumberFormat="1" applyFont="1" applyAlignment="1">
      <alignment horizontal="right" vertical="center" wrapText="1"/>
    </xf>
    <xf numFmtId="3" fontId="77" fillId="23" borderId="26" xfId="79" applyNumberFormat="1" applyFont="1" applyFill="1" applyBorder="1" applyAlignment="1">
      <alignment horizontal="right" vertical="center" wrapText="1"/>
    </xf>
    <xf numFmtId="3" fontId="77" fillId="23" borderId="0" xfId="79" applyNumberFormat="1" applyFont="1" applyFill="1" applyAlignment="1">
      <alignment horizontal="right" vertical="center" wrapText="1"/>
    </xf>
    <xf numFmtId="3" fontId="77" fillId="0" borderId="0" xfId="83" applyNumberFormat="1" applyFont="1" applyAlignment="1">
      <alignment horizontal="right" vertical="center" wrapText="1"/>
    </xf>
    <xf numFmtId="3" fontId="66" fillId="0" borderId="22" xfId="79" applyNumberFormat="1" applyFont="1" applyBorder="1" applyAlignment="1" applyProtection="1">
      <alignment horizontal="right" vertical="center" wrapText="1"/>
      <protection locked="0"/>
    </xf>
    <xf numFmtId="3" fontId="66" fillId="0" borderId="0" xfId="79" applyNumberFormat="1" applyFont="1" applyAlignment="1" applyProtection="1">
      <alignment horizontal="right" vertical="center" wrapText="1"/>
      <protection locked="0"/>
    </xf>
    <xf numFmtId="0" fontId="80" fillId="0" borderId="0" xfId="83" applyFont="1" applyAlignment="1">
      <alignment vertical="center" wrapText="1"/>
    </xf>
    <xf numFmtId="3" fontId="66" fillId="0" borderId="27" xfId="79" applyNumberFormat="1" applyFont="1" applyBorder="1" applyAlignment="1" applyProtection="1">
      <alignment horizontal="right" vertical="center" wrapText="1"/>
      <protection locked="0"/>
    </xf>
    <xf numFmtId="0" fontId="81" fillId="0" borderId="0" xfId="83" applyFont="1" applyAlignment="1">
      <alignment vertical="center" wrapText="1"/>
    </xf>
    <xf numFmtId="3" fontId="77" fillId="23" borderId="28" xfId="79" applyNumberFormat="1" applyFont="1" applyFill="1" applyBorder="1" applyAlignment="1">
      <alignment horizontal="right" vertical="center" wrapText="1"/>
    </xf>
    <xf numFmtId="3" fontId="66" fillId="0" borderId="29" xfId="79" applyNumberFormat="1" applyFont="1" applyBorder="1" applyAlignment="1" applyProtection="1">
      <alignment horizontal="right" vertical="center" wrapText="1"/>
      <protection locked="0"/>
    </xf>
    <xf numFmtId="3" fontId="65" fillId="23" borderId="28" xfId="79" applyNumberFormat="1" applyFont="1" applyFill="1" applyBorder="1" applyAlignment="1">
      <alignment horizontal="right" vertical="center" wrapText="1"/>
    </xf>
    <xf numFmtId="3" fontId="65" fillId="23" borderId="0" xfId="79" applyNumberFormat="1" applyFont="1" applyFill="1" applyAlignment="1">
      <alignment horizontal="right" vertical="center" wrapText="1"/>
    </xf>
    <xf numFmtId="3" fontId="66" fillId="0" borderId="22" xfId="79" applyNumberFormat="1" applyFont="1" applyBorder="1" applyAlignment="1">
      <alignment horizontal="right" vertical="center" wrapText="1"/>
    </xf>
    <xf numFmtId="3" fontId="66" fillId="0" borderId="0" xfId="79" applyNumberFormat="1" applyFont="1" applyAlignment="1">
      <alignment horizontal="right" vertical="center" wrapText="1"/>
    </xf>
    <xf numFmtId="3" fontId="60" fillId="0" borderId="27" xfId="79" applyNumberFormat="1" applyFont="1" applyBorder="1" applyAlignment="1" applyProtection="1">
      <alignment horizontal="right" vertical="center" wrapText="1"/>
      <protection locked="0"/>
    </xf>
    <xf numFmtId="3" fontId="60" fillId="0" borderId="30" xfId="79" applyNumberFormat="1" applyFont="1" applyBorder="1" applyAlignment="1" applyProtection="1">
      <alignment horizontal="right" vertical="center" wrapText="1"/>
      <protection locked="0"/>
    </xf>
    <xf numFmtId="3" fontId="60" fillId="0" borderId="0" xfId="79" applyNumberFormat="1" applyFont="1" applyAlignment="1" applyProtection="1">
      <alignment horizontal="right" vertical="center" wrapText="1"/>
      <protection locked="0"/>
    </xf>
    <xf numFmtId="3" fontId="60" fillId="0" borderId="29" xfId="79" applyNumberFormat="1" applyFont="1" applyBorder="1" applyAlignment="1" applyProtection="1">
      <alignment horizontal="right" vertical="center" wrapText="1"/>
      <protection locked="0"/>
    </xf>
    <xf numFmtId="3" fontId="60" fillId="0" borderId="22" xfId="79" applyNumberFormat="1" applyFont="1" applyBorder="1" applyAlignment="1" applyProtection="1">
      <alignment horizontal="right" vertical="center" wrapText="1"/>
      <protection locked="0"/>
    </xf>
    <xf numFmtId="3" fontId="77" fillId="3" borderId="28" xfId="79" applyNumberFormat="1" applyFont="1" applyFill="1" applyBorder="1" applyAlignment="1">
      <alignment horizontal="right" vertical="center" wrapText="1"/>
    </xf>
    <xf numFmtId="3" fontId="77" fillId="3" borderId="0" xfId="79" applyNumberFormat="1" applyFont="1" applyFill="1" applyAlignment="1">
      <alignment horizontal="right" vertical="center" wrapText="1"/>
    </xf>
    <xf numFmtId="3" fontId="81" fillId="0" borderId="0" xfId="83" applyNumberFormat="1" applyFont="1" applyAlignment="1">
      <alignment vertical="center" wrapText="1"/>
    </xf>
    <xf numFmtId="3" fontId="83" fillId="0" borderId="0" xfId="0" applyNumberFormat="1" applyFont="1" applyAlignment="1">
      <alignment horizontal="right" vertical="top" wrapText="1"/>
    </xf>
    <xf numFmtId="3" fontId="61" fillId="0" borderId="0" xfId="83" applyNumberFormat="1" applyFont="1" applyAlignment="1">
      <alignment vertical="center" wrapText="1"/>
    </xf>
    <xf numFmtId="3" fontId="80" fillId="0" borderId="0" xfId="83" applyNumberFormat="1" applyFont="1" applyAlignment="1">
      <alignment vertical="center" wrapText="1"/>
    </xf>
    <xf numFmtId="3" fontId="65" fillId="3" borderId="28" xfId="79" applyNumberFormat="1" applyFont="1" applyFill="1" applyBorder="1" applyAlignment="1">
      <alignment horizontal="right" vertical="center" wrapText="1" indent="1"/>
    </xf>
    <xf numFmtId="0" fontId="66" fillId="0" borderId="0" xfId="83" applyFont="1" applyAlignment="1">
      <alignment horizontal="center" vertical="center" wrapText="1"/>
    </xf>
    <xf numFmtId="3" fontId="77" fillId="0" borderId="0" xfId="83" applyNumberFormat="1" applyFont="1" applyAlignment="1">
      <alignment horizontal="right" vertical="center" wrapText="1" indent="1"/>
    </xf>
    <xf numFmtId="3" fontId="66" fillId="0" borderId="0" xfId="83" applyNumberFormat="1" applyFont="1" applyAlignment="1">
      <alignment horizontal="right" vertical="center" wrapText="1" indent="1"/>
    </xf>
    <xf numFmtId="0" fontId="84" fillId="0" borderId="0" xfId="83" applyFont="1" applyAlignment="1">
      <alignment vertical="center" wrapText="1"/>
    </xf>
    <xf numFmtId="0" fontId="57" fillId="0" borderId="0" xfId="83" applyFont="1" applyAlignment="1">
      <alignment horizontal="right" vertical="center" wrapText="1"/>
    </xf>
    <xf numFmtId="3" fontId="23" fillId="25" borderId="0" xfId="83" applyNumberFormat="1" applyFill="1" applyAlignment="1">
      <alignment horizontal="right" vertical="center" wrapText="1" indent="1"/>
    </xf>
    <xf numFmtId="0" fontId="23" fillId="0" borderId="0" xfId="83" applyAlignment="1">
      <alignment horizontal="right" vertical="center" wrapText="1"/>
    </xf>
    <xf numFmtId="3" fontId="57" fillId="0" borderId="0" xfId="83" applyNumberFormat="1" applyFont="1" applyAlignment="1">
      <alignment vertical="center" wrapText="1"/>
    </xf>
    <xf numFmtId="0" fontId="60" fillId="0" borderId="0" xfId="83" applyFont="1" applyAlignment="1">
      <alignment vertical="center" wrapText="1"/>
    </xf>
    <xf numFmtId="0" fontId="45" fillId="0" borderId="20" xfId="0" applyFont="1" applyBorder="1" applyAlignment="1">
      <alignment vertical="center" wrapText="1"/>
    </xf>
    <xf numFmtId="0" fontId="45" fillId="0" borderId="14" xfId="0" applyFont="1" applyBorder="1" applyAlignment="1">
      <alignment vertical="center" wrapText="1"/>
    </xf>
    <xf numFmtId="0" fontId="63" fillId="0" borderId="31" xfId="83" applyFont="1" applyBorder="1" applyAlignment="1">
      <alignment vertical="center"/>
    </xf>
    <xf numFmtId="3" fontId="72" fillId="4" borderId="19" xfId="77" applyNumberFormat="1" applyFont="1" applyFill="1" applyBorder="1" applyAlignment="1">
      <alignment horizontal="center" vertical="center" wrapText="1"/>
    </xf>
    <xf numFmtId="49" fontId="66" fillId="0" borderId="32" xfId="79" applyNumberFormat="1" applyFont="1" applyBorder="1" applyAlignment="1">
      <alignment horizontal="center" vertical="center" wrapText="1"/>
    </xf>
    <xf numFmtId="0" fontId="79" fillId="0" borderId="12" xfId="83" applyFont="1" applyBorder="1" applyAlignment="1">
      <alignment horizontal="left" vertical="center" wrapText="1"/>
    </xf>
    <xf numFmtId="0" fontId="77" fillId="23" borderId="33" xfId="79" applyFont="1" applyFill="1" applyBorder="1" applyAlignment="1">
      <alignment horizontal="center" vertical="center" wrapText="1"/>
    </xf>
    <xf numFmtId="3" fontId="66" fillId="0" borderId="11" xfId="79" applyNumberFormat="1" applyFont="1" applyBorder="1" applyAlignment="1">
      <alignment horizontal="right" vertical="center" wrapText="1"/>
    </xf>
    <xf numFmtId="0" fontId="77" fillId="3" borderId="33" xfId="79" applyFont="1" applyFill="1" applyBorder="1" applyAlignment="1">
      <alignment horizontal="center" vertical="center" wrapText="1"/>
    </xf>
    <xf numFmtId="0" fontId="82" fillId="23" borderId="33" xfId="83" applyFont="1" applyFill="1" applyBorder="1" applyAlignment="1">
      <alignment horizontal="center" vertical="center" wrapText="1"/>
    </xf>
    <xf numFmtId="0" fontId="79" fillId="0" borderId="32" xfId="83" applyFont="1" applyBorder="1" applyAlignment="1">
      <alignment horizontal="center" vertical="center" wrapText="1"/>
    </xf>
    <xf numFmtId="0" fontId="79" fillId="0" borderId="34" xfId="83" applyFont="1" applyBorder="1" applyAlignment="1">
      <alignment horizontal="center" vertical="center" wrapText="1"/>
    </xf>
    <xf numFmtId="0" fontId="79" fillId="0" borderId="35" xfId="83" applyFont="1" applyBorder="1" applyAlignment="1">
      <alignment horizontal="center" vertical="center" wrapText="1"/>
    </xf>
    <xf numFmtId="0" fontId="82" fillId="3" borderId="33" xfId="83" applyFont="1" applyFill="1" applyBorder="1" applyAlignment="1">
      <alignment horizontal="center" vertical="center" wrapText="1"/>
    </xf>
    <xf numFmtId="0" fontId="82" fillId="3" borderId="36" xfId="83" applyFont="1" applyFill="1" applyBorder="1" applyAlignment="1">
      <alignment vertical="center" wrapText="1"/>
    </xf>
    <xf numFmtId="0" fontId="82" fillId="3" borderId="37" xfId="83" applyFont="1" applyFill="1" applyBorder="1" applyAlignment="1">
      <alignment horizontal="center" vertical="center" wrapText="1"/>
    </xf>
    <xf numFmtId="0" fontId="82" fillId="3" borderId="38" xfId="83" applyFont="1" applyFill="1" applyBorder="1" applyAlignment="1">
      <alignment vertical="center" wrapText="1"/>
    </xf>
    <xf numFmtId="167" fontId="77" fillId="0" borderId="39" xfId="83" applyNumberFormat="1" applyFont="1" applyBorder="1" applyAlignment="1">
      <alignment horizontal="right" vertical="center" wrapText="1"/>
    </xf>
    <xf numFmtId="167" fontId="77" fillId="0" borderId="0" xfId="83" applyNumberFormat="1" applyFont="1" applyAlignment="1">
      <alignment horizontal="right" vertical="center" wrapText="1"/>
    </xf>
    <xf numFmtId="167" fontId="77" fillId="0" borderId="31" xfId="83" applyNumberFormat="1" applyFont="1" applyBorder="1" applyAlignment="1">
      <alignment horizontal="right" vertical="center" wrapText="1"/>
    </xf>
    <xf numFmtId="0" fontId="77" fillId="23" borderId="36" xfId="79" applyFont="1" applyFill="1" applyBorder="1" applyAlignment="1">
      <alignment vertical="center" wrapText="1"/>
    </xf>
    <xf numFmtId="0" fontId="66" fillId="0" borderId="10" xfId="79" applyFont="1" applyBorder="1" applyAlignment="1">
      <alignment horizontal="left" vertical="center" wrapText="1"/>
    </xf>
    <xf numFmtId="0" fontId="66" fillId="0" borderId="12" xfId="79" applyFont="1" applyBorder="1" applyAlignment="1">
      <alignment horizontal="left" vertical="center" wrapText="1"/>
    </xf>
    <xf numFmtId="3" fontId="66" fillId="0" borderId="11" xfId="79" applyNumberFormat="1" applyFont="1" applyBorder="1" applyAlignment="1" applyProtection="1">
      <alignment horizontal="right" vertical="center" wrapText="1"/>
      <protection locked="0"/>
    </xf>
    <xf numFmtId="3" fontId="66" fillId="0" borderId="10" xfId="79" applyNumberFormat="1" applyFont="1" applyBorder="1" applyAlignment="1" applyProtection="1">
      <alignment horizontal="right" vertical="center" wrapText="1"/>
      <protection locked="0"/>
    </xf>
    <xf numFmtId="3" fontId="65" fillId="0" borderId="11" xfId="83" applyNumberFormat="1" applyFont="1" applyBorder="1" applyAlignment="1">
      <alignment horizontal="right" vertical="center" wrapText="1"/>
    </xf>
    <xf numFmtId="0" fontId="34" fillId="24" borderId="0" xfId="74" applyFont="1" applyFill="1" applyAlignment="1" applyProtection="1">
      <alignment horizontal="center" vertical="center"/>
      <protection locked="0"/>
    </xf>
    <xf numFmtId="0" fontId="21" fillId="24" borderId="0" xfId="74" applyFont="1" applyFill="1" applyAlignment="1" applyProtection="1">
      <alignment horizontal="justify" vertical="center"/>
      <protection locked="0"/>
    </xf>
    <xf numFmtId="49" fontId="21" fillId="24" borderId="0" xfId="74" applyNumberFormat="1" applyFont="1" applyFill="1" applyAlignment="1" applyProtection="1">
      <alignment horizontal="center" vertical="center"/>
      <protection locked="0"/>
    </xf>
    <xf numFmtId="0" fontId="21" fillId="24" borderId="0" xfId="74" applyFont="1" applyFill="1" applyAlignment="1" applyProtection="1">
      <alignment horizontal="center" vertical="center"/>
      <protection locked="0"/>
    </xf>
    <xf numFmtId="49" fontId="21" fillId="24" borderId="0" xfId="74" applyNumberFormat="1" applyFont="1" applyFill="1" applyAlignment="1" applyProtection="1">
      <alignment vertical="center"/>
      <protection locked="0"/>
    </xf>
    <xf numFmtId="3" fontId="21" fillId="24" borderId="0" xfId="74" applyNumberFormat="1" applyFont="1" applyFill="1" applyAlignment="1" applyProtection="1">
      <alignment horizontal="right" vertical="center"/>
      <protection locked="0"/>
    </xf>
    <xf numFmtId="0" fontId="21" fillId="24" borderId="0" xfId="74" applyFont="1" applyFill="1" applyAlignment="1" applyProtection="1">
      <alignment horizontal="right" vertical="center"/>
      <protection locked="0"/>
    </xf>
    <xf numFmtId="0" fontId="21" fillId="24" borderId="0" xfId="74" applyFont="1" applyFill="1" applyAlignment="1" applyProtection="1">
      <alignment vertical="center"/>
      <protection locked="0"/>
    </xf>
    <xf numFmtId="3" fontId="21" fillId="24" borderId="0" xfId="74" applyNumberFormat="1" applyFont="1" applyFill="1" applyAlignment="1" applyProtection="1">
      <alignment vertical="center"/>
      <protection locked="0"/>
    </xf>
    <xf numFmtId="3" fontId="34" fillId="24" borderId="0" xfId="74" applyNumberFormat="1" applyFont="1" applyFill="1" applyAlignment="1" applyProtection="1">
      <alignment vertical="center"/>
      <protection locked="0"/>
    </xf>
    <xf numFmtId="0" fontId="34" fillId="24" borderId="0" xfId="74" applyFont="1" applyFill="1" applyAlignment="1" applyProtection="1">
      <alignment vertical="center"/>
      <protection locked="0"/>
    </xf>
    <xf numFmtId="0" fontId="34" fillId="24" borderId="0" xfId="74" applyFont="1" applyFill="1" applyAlignment="1" applyProtection="1">
      <alignment horizontal="justify" vertical="center"/>
      <protection locked="0"/>
    </xf>
    <xf numFmtId="49" fontId="34" fillId="24" borderId="0" xfId="74" applyNumberFormat="1" applyFont="1" applyFill="1" applyAlignment="1" applyProtection="1">
      <alignment horizontal="center" vertical="center" wrapText="1"/>
      <protection locked="0"/>
    </xf>
    <xf numFmtId="0" fontId="88" fillId="24" borderId="0" xfId="74" applyFont="1" applyFill="1" applyAlignment="1" applyProtection="1">
      <alignment horizontal="center" vertical="center" wrapText="1"/>
      <protection locked="0"/>
    </xf>
    <xf numFmtId="167" fontId="56" fillId="24" borderId="0" xfId="83" applyNumberFormat="1" applyFont="1" applyFill="1" applyAlignment="1">
      <alignment horizontal="right" vertical="center"/>
    </xf>
    <xf numFmtId="0" fontId="34" fillId="24" borderId="10" xfId="74" applyFont="1" applyFill="1" applyBorder="1" applyAlignment="1" applyProtection="1">
      <alignment horizontal="center" vertical="center"/>
      <protection locked="0"/>
    </xf>
    <xf numFmtId="49" fontId="21" fillId="24" borderId="10" xfId="74" applyNumberFormat="1" applyFont="1" applyFill="1" applyBorder="1" applyAlignment="1" applyProtection="1">
      <alignment horizontal="center" vertical="center" wrapText="1"/>
      <protection locked="0"/>
    </xf>
    <xf numFmtId="0" fontId="21" fillId="24" borderId="25" xfId="74" applyFont="1" applyFill="1" applyBorder="1" applyAlignment="1" applyProtection="1">
      <alignment horizontal="center" vertical="center"/>
      <protection locked="0"/>
    </xf>
    <xf numFmtId="3" fontId="21" fillId="24" borderId="10" xfId="74" applyNumberFormat="1" applyFont="1" applyFill="1" applyBorder="1" applyAlignment="1" applyProtection="1">
      <alignment horizontal="center" vertical="center" wrapText="1"/>
      <protection locked="0"/>
    </xf>
    <xf numFmtId="3" fontId="21" fillId="24" borderId="40" xfId="74" applyNumberFormat="1" applyFont="1" applyFill="1" applyBorder="1" applyAlignment="1" applyProtection="1">
      <alignment horizontal="center" vertical="center" wrapText="1"/>
      <protection locked="0"/>
    </xf>
    <xf numFmtId="49" fontId="34" fillId="24" borderId="10" xfId="74" applyNumberFormat="1" applyFont="1" applyFill="1" applyBorder="1" applyAlignment="1" applyProtection="1">
      <alignment horizontal="center" vertical="center"/>
      <protection locked="0"/>
    </xf>
    <xf numFmtId="0" fontId="34" fillId="24" borderId="25" xfId="74" applyFont="1" applyFill="1" applyBorder="1" applyAlignment="1" applyProtection="1">
      <alignment horizontal="center" vertical="center"/>
      <protection locked="0"/>
    </xf>
    <xf numFmtId="3" fontId="34" fillId="24" borderId="10" xfId="74" applyNumberFormat="1" applyFont="1" applyFill="1" applyBorder="1" applyAlignment="1" applyProtection="1">
      <alignment horizontal="center" vertical="center" wrapText="1"/>
      <protection locked="0"/>
    </xf>
    <xf numFmtId="0" fontId="21" fillId="24" borderId="10" xfId="74" applyFont="1" applyFill="1" applyBorder="1" applyAlignment="1" applyProtection="1">
      <alignment horizontal="center" vertical="center"/>
      <protection locked="0"/>
    </xf>
    <xf numFmtId="49" fontId="34" fillId="24" borderId="40" xfId="74" applyNumberFormat="1" applyFont="1" applyFill="1" applyBorder="1" applyAlignment="1" applyProtection="1">
      <alignment horizontal="center" vertical="center"/>
      <protection locked="0"/>
    </xf>
    <xf numFmtId="0" fontId="21" fillId="24" borderId="25" xfId="74" applyFont="1" applyFill="1" applyBorder="1" applyAlignment="1" applyProtection="1">
      <alignment horizontal="center" vertical="center" wrapText="1"/>
      <protection locked="0"/>
    </xf>
    <xf numFmtId="0" fontId="21" fillId="24" borderId="10" xfId="74" applyFont="1" applyFill="1" applyBorder="1" applyAlignment="1" applyProtection="1">
      <alignment horizontal="center" vertical="center" wrapText="1"/>
      <protection locked="0"/>
    </xf>
    <xf numFmtId="49" fontId="21" fillId="24" borderId="10" xfId="74" applyNumberFormat="1" applyFont="1" applyFill="1" applyBorder="1" applyAlignment="1" applyProtection="1">
      <alignment horizontal="center" vertical="center"/>
      <protection locked="0"/>
    </xf>
    <xf numFmtId="3" fontId="21" fillId="24" borderId="10" xfId="74" applyNumberFormat="1" applyFont="1" applyFill="1" applyBorder="1" applyAlignment="1" applyProtection="1">
      <alignment horizontal="right" vertical="center"/>
      <protection locked="0"/>
    </xf>
    <xf numFmtId="168" fontId="21" fillId="24" borderId="10" xfId="74" applyNumberFormat="1" applyFont="1" applyFill="1" applyBorder="1" applyAlignment="1" applyProtection="1">
      <alignment horizontal="right" vertical="center"/>
      <protection locked="0"/>
    </xf>
    <xf numFmtId="3" fontId="21" fillId="24" borderId="40" xfId="74" applyNumberFormat="1" applyFont="1" applyFill="1" applyBorder="1" applyAlignment="1" applyProtection="1">
      <alignment horizontal="right" vertical="center"/>
      <protection locked="0"/>
    </xf>
    <xf numFmtId="3" fontId="21" fillId="24" borderId="10" xfId="74" applyNumberFormat="1" applyFont="1" applyFill="1" applyBorder="1" applyAlignment="1" applyProtection="1">
      <alignment horizontal="center" vertical="center"/>
      <protection locked="0"/>
    </xf>
    <xf numFmtId="0" fontId="89" fillId="24" borderId="10" xfId="74" applyFont="1" applyFill="1" applyBorder="1" applyAlignment="1" applyProtection="1">
      <alignment horizontal="center" vertical="center"/>
      <protection locked="0"/>
    </xf>
    <xf numFmtId="49" fontId="89" fillId="24" borderId="10" xfId="74" applyNumberFormat="1" applyFont="1" applyFill="1" applyBorder="1" applyAlignment="1" applyProtection="1">
      <alignment horizontal="center" vertical="center" wrapText="1"/>
      <protection locked="0"/>
    </xf>
    <xf numFmtId="0" fontId="89" fillId="24" borderId="10" xfId="74" applyFont="1" applyFill="1" applyBorder="1" applyAlignment="1" applyProtection="1">
      <alignment horizontal="center" vertical="center" wrapText="1"/>
      <protection locked="0"/>
    </xf>
    <xf numFmtId="3" fontId="89" fillId="24" borderId="10" xfId="74" applyNumberFormat="1" applyFont="1" applyFill="1" applyBorder="1" applyAlignment="1" applyProtection="1">
      <alignment horizontal="right" vertical="center"/>
      <protection locked="0"/>
    </xf>
    <xf numFmtId="168" fontId="89" fillId="24" borderId="10" xfId="74" applyNumberFormat="1" applyFont="1" applyFill="1" applyBorder="1" applyAlignment="1" applyProtection="1">
      <alignment horizontal="right" vertical="center"/>
      <protection locked="0"/>
    </xf>
    <xf numFmtId="3" fontId="89" fillId="24" borderId="40" xfId="74" applyNumberFormat="1" applyFont="1" applyFill="1" applyBorder="1" applyAlignment="1" applyProtection="1">
      <alignment horizontal="right" vertical="center"/>
      <protection locked="0"/>
    </xf>
    <xf numFmtId="3" fontId="89" fillId="24" borderId="0" xfId="74" applyNumberFormat="1" applyFont="1" applyFill="1" applyAlignment="1" applyProtection="1">
      <alignment horizontal="right" vertical="center"/>
      <protection locked="0"/>
    </xf>
    <xf numFmtId="0" fontId="89" fillId="24" borderId="0" xfId="74" applyFont="1" applyFill="1" applyAlignment="1" applyProtection="1">
      <alignment vertical="center"/>
      <protection locked="0"/>
    </xf>
    <xf numFmtId="49" fontId="89" fillId="24" borderId="10" xfId="74" applyNumberFormat="1" applyFont="1" applyFill="1" applyBorder="1" applyAlignment="1" applyProtection="1">
      <alignment horizontal="center" vertical="center"/>
      <protection locked="0"/>
    </xf>
    <xf numFmtId="49" fontId="34" fillId="24" borderId="10" xfId="74" applyNumberFormat="1" applyFont="1" applyFill="1" applyBorder="1" applyAlignment="1" applyProtection="1">
      <alignment horizontal="center" vertical="center" wrapText="1"/>
      <protection locked="0"/>
    </xf>
    <xf numFmtId="0" fontId="34" fillId="24" borderId="25" xfId="74" applyFont="1" applyFill="1" applyBorder="1" applyAlignment="1" applyProtection="1">
      <alignment horizontal="center" vertical="center" wrapText="1"/>
      <protection locked="0"/>
    </xf>
    <xf numFmtId="0" fontId="34" fillId="24" borderId="10" xfId="74" applyFont="1" applyFill="1" applyBorder="1" applyAlignment="1" applyProtection="1">
      <alignment horizontal="center" vertical="center" wrapText="1"/>
      <protection locked="0"/>
    </xf>
    <xf numFmtId="0" fontId="34" fillId="24" borderId="10" xfId="74" applyFont="1" applyFill="1" applyBorder="1" applyAlignment="1" applyProtection="1">
      <alignment horizontal="left" vertical="center" wrapText="1"/>
      <protection locked="0"/>
    </xf>
    <xf numFmtId="3" fontId="34" fillId="24" borderId="10" xfId="74" applyNumberFormat="1" applyFont="1" applyFill="1" applyBorder="1" applyAlignment="1" applyProtection="1">
      <alignment horizontal="right" vertical="center"/>
      <protection locked="0"/>
    </xf>
    <xf numFmtId="168" fontId="34" fillId="24" borderId="10" xfId="74" applyNumberFormat="1" applyFont="1" applyFill="1" applyBorder="1" applyAlignment="1" applyProtection="1">
      <alignment horizontal="right" vertical="center"/>
      <protection locked="0"/>
    </xf>
    <xf numFmtId="3" fontId="34" fillId="24" borderId="40" xfId="74" applyNumberFormat="1" applyFont="1" applyFill="1" applyBorder="1" applyAlignment="1" applyProtection="1">
      <alignment horizontal="right" vertical="center"/>
      <protection locked="0"/>
    </xf>
    <xf numFmtId="3" fontId="34" fillId="24" borderId="0" xfId="74" applyNumberFormat="1" applyFont="1" applyFill="1" applyAlignment="1" applyProtection="1">
      <alignment horizontal="right" vertical="center"/>
      <protection locked="0"/>
    </xf>
    <xf numFmtId="0" fontId="34" fillId="24" borderId="10" xfId="74" applyFont="1" applyFill="1" applyBorder="1" applyAlignment="1" applyProtection="1">
      <alignment horizontal="justify" vertical="center" wrapText="1"/>
      <protection locked="0"/>
    </xf>
    <xf numFmtId="0" fontId="21" fillId="24" borderId="10" xfId="74" applyFont="1" applyFill="1" applyBorder="1" applyAlignment="1" applyProtection="1">
      <alignment horizontal="justify" vertical="center" wrapText="1"/>
      <protection locked="0"/>
    </xf>
    <xf numFmtId="0" fontId="21" fillId="24" borderId="10" xfId="74" applyFont="1" applyFill="1" applyBorder="1" applyAlignment="1" applyProtection="1">
      <alignment vertical="center"/>
      <protection locked="0"/>
    </xf>
    <xf numFmtId="3" fontId="21" fillId="26" borderId="10" xfId="74" applyNumberFormat="1" applyFont="1" applyFill="1" applyBorder="1" applyAlignment="1" applyProtection="1">
      <alignment horizontal="right" vertical="center"/>
      <protection locked="0"/>
    </xf>
    <xf numFmtId="49" fontId="34" fillId="24" borderId="25" xfId="74" applyNumberFormat="1" applyFont="1" applyFill="1" applyBorder="1" applyAlignment="1" applyProtection="1">
      <alignment horizontal="center" vertical="center"/>
      <protection locked="0"/>
    </xf>
    <xf numFmtId="0" fontId="33" fillId="24" borderId="10" xfId="74" applyFont="1" applyFill="1" applyBorder="1" applyAlignment="1" applyProtection="1">
      <alignment horizontal="left" vertical="center"/>
      <protection locked="0"/>
    </xf>
    <xf numFmtId="49" fontId="33" fillId="24" borderId="10" xfId="74" applyNumberFormat="1" applyFont="1" applyFill="1" applyBorder="1" applyAlignment="1" applyProtection="1">
      <alignment horizontal="center" vertical="center"/>
      <protection locked="0"/>
    </xf>
    <xf numFmtId="0" fontId="33" fillId="24" borderId="10" xfId="74" applyFont="1" applyFill="1" applyBorder="1" applyAlignment="1" applyProtection="1">
      <alignment horizontal="center" vertical="center"/>
      <protection locked="0"/>
    </xf>
    <xf numFmtId="3" fontId="33" fillId="24" borderId="10" xfId="74" applyNumberFormat="1" applyFont="1" applyFill="1" applyBorder="1" applyAlignment="1" applyProtection="1">
      <alignment horizontal="right" vertical="center"/>
      <protection locked="0"/>
    </xf>
    <xf numFmtId="3" fontId="92" fillId="24" borderId="10" xfId="74" applyNumberFormat="1" applyFont="1" applyFill="1" applyBorder="1" applyAlignment="1" applyProtection="1">
      <alignment horizontal="right" vertical="center"/>
      <protection locked="0"/>
    </xf>
    <xf numFmtId="168" fontId="33" fillId="24" borderId="10" xfId="74" applyNumberFormat="1" applyFont="1" applyFill="1" applyBorder="1" applyAlignment="1" applyProtection="1">
      <alignment horizontal="right" vertical="center"/>
      <protection locked="0"/>
    </xf>
    <xf numFmtId="3" fontId="33" fillId="24" borderId="40" xfId="74" applyNumberFormat="1" applyFont="1" applyFill="1" applyBorder="1" applyAlignment="1" applyProtection="1">
      <alignment horizontal="right" vertical="center"/>
      <protection locked="0"/>
    </xf>
    <xf numFmtId="3" fontId="34" fillId="27" borderId="10" xfId="74" applyNumberFormat="1" applyFont="1" applyFill="1" applyBorder="1" applyAlignment="1" applyProtection="1">
      <alignment horizontal="right" vertical="center"/>
      <protection locked="0"/>
    </xf>
    <xf numFmtId="3" fontId="34" fillId="26" borderId="10" xfId="74" applyNumberFormat="1" applyFont="1" applyFill="1" applyBorder="1" applyAlignment="1" applyProtection="1">
      <alignment horizontal="right" vertical="center"/>
      <protection locked="0"/>
    </xf>
    <xf numFmtId="3" fontId="34" fillId="28" borderId="10" xfId="74" applyNumberFormat="1" applyFont="1" applyFill="1" applyBorder="1" applyAlignment="1" applyProtection="1">
      <alignment horizontal="right" vertical="center"/>
      <protection locked="0"/>
    </xf>
    <xf numFmtId="3" fontId="34" fillId="24" borderId="10" xfId="74" applyNumberFormat="1" applyFont="1" applyFill="1" applyBorder="1" applyAlignment="1" applyProtection="1">
      <alignment horizontal="center" vertical="center"/>
      <protection locked="0"/>
    </xf>
    <xf numFmtId="3" fontId="90" fillId="24" borderId="10" xfId="74" applyNumberFormat="1" applyFont="1" applyFill="1" applyBorder="1" applyAlignment="1" applyProtection="1">
      <alignment horizontal="right" vertical="center"/>
      <protection locked="0"/>
    </xf>
    <xf numFmtId="0" fontId="90" fillId="24" borderId="10" xfId="74" applyFont="1" applyFill="1" applyBorder="1" applyAlignment="1" applyProtection="1">
      <alignment horizontal="center" vertical="center"/>
      <protection locked="0"/>
    </xf>
    <xf numFmtId="49" fontId="90" fillId="24" borderId="10" xfId="74" applyNumberFormat="1" applyFont="1" applyFill="1" applyBorder="1" applyAlignment="1" applyProtection="1">
      <alignment horizontal="center" vertical="center" wrapText="1"/>
      <protection locked="0"/>
    </xf>
    <xf numFmtId="0" fontId="90" fillId="24" borderId="0" xfId="74" applyFont="1" applyFill="1" applyAlignment="1" applyProtection="1">
      <alignment vertical="center"/>
      <protection locked="0"/>
    </xf>
    <xf numFmtId="3" fontId="89" fillId="24" borderId="11" xfId="74" applyNumberFormat="1" applyFont="1" applyFill="1" applyBorder="1" applyAlignment="1" applyProtection="1">
      <alignment horizontal="right" vertical="center"/>
      <protection locked="0"/>
    </xf>
    <xf numFmtId="3" fontId="37" fillId="24" borderId="10" xfId="74" applyNumberFormat="1" applyFont="1" applyFill="1" applyBorder="1" applyAlignment="1" applyProtection="1">
      <alignment horizontal="right" vertical="center"/>
      <protection locked="0"/>
    </xf>
    <xf numFmtId="3" fontId="90" fillId="27" borderId="10" xfId="74" applyNumberFormat="1" applyFont="1" applyFill="1" applyBorder="1" applyAlignment="1" applyProtection="1">
      <alignment horizontal="right" vertical="center"/>
      <protection locked="0"/>
    </xf>
    <xf numFmtId="0" fontId="21" fillId="24" borderId="10" xfId="74" applyFont="1" applyFill="1" applyBorder="1" applyAlignment="1" applyProtection="1">
      <alignment horizontal="left" vertical="center" wrapText="1"/>
      <protection locked="0"/>
    </xf>
    <xf numFmtId="0" fontId="21" fillId="24" borderId="25" xfId="74" applyFont="1" applyFill="1" applyBorder="1" applyAlignment="1" applyProtection="1">
      <alignment horizontal="justify" vertical="center" wrapText="1"/>
      <protection locked="0"/>
    </xf>
    <xf numFmtId="49" fontId="21" fillId="24" borderId="25" xfId="74" applyNumberFormat="1" applyFont="1" applyFill="1" applyBorder="1" applyAlignment="1" applyProtection="1">
      <alignment horizontal="center" vertical="center"/>
      <protection locked="0"/>
    </xf>
    <xf numFmtId="1" fontId="21" fillId="24" borderId="10" xfId="74" applyNumberFormat="1" applyFont="1" applyFill="1" applyBorder="1" applyAlignment="1" applyProtection="1">
      <alignment horizontal="center" vertical="center" wrapText="1"/>
      <protection locked="0"/>
    </xf>
    <xf numFmtId="0" fontId="34" fillId="24" borderId="25" xfId="74" applyFont="1" applyFill="1" applyBorder="1" applyAlignment="1" applyProtection="1">
      <alignment horizontal="justify" vertical="center" wrapText="1"/>
      <protection locked="0"/>
    </xf>
    <xf numFmtId="0" fontId="89" fillId="24" borderId="25" xfId="74" applyFont="1" applyFill="1" applyBorder="1" applyAlignment="1" applyProtection="1">
      <alignment horizontal="justify" vertical="center" wrapText="1"/>
      <protection locked="0"/>
    </xf>
    <xf numFmtId="3" fontId="34" fillId="29" borderId="10" xfId="74" applyNumberFormat="1" applyFont="1" applyFill="1" applyBorder="1" applyAlignment="1" applyProtection="1">
      <alignment horizontal="right" vertical="center"/>
      <protection locked="0"/>
    </xf>
    <xf numFmtId="1" fontId="89" fillId="24" borderId="10" xfId="74" applyNumberFormat="1" applyFont="1" applyFill="1" applyBorder="1" applyAlignment="1" applyProtection="1">
      <alignment horizontal="center" vertical="center" wrapText="1"/>
      <protection locked="0"/>
    </xf>
    <xf numFmtId="49" fontId="34" fillId="30" borderId="10" xfId="74" applyNumberFormat="1" applyFont="1" applyFill="1" applyBorder="1" applyAlignment="1" applyProtection="1">
      <alignment horizontal="center" vertical="center"/>
      <protection locked="0"/>
    </xf>
    <xf numFmtId="3" fontId="34" fillId="30" borderId="10"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left" vertical="center" wrapText="1"/>
      <protection locked="0"/>
    </xf>
    <xf numFmtId="0" fontId="47" fillId="24" borderId="0" xfId="74" applyFont="1" applyFill="1" applyAlignment="1" applyProtection="1">
      <alignment vertical="center"/>
      <protection locked="0"/>
    </xf>
    <xf numFmtId="0" fontId="47" fillId="24" borderId="0" xfId="74" applyFont="1" applyFill="1" applyAlignment="1" applyProtection="1">
      <alignment horizontal="justify" vertical="center"/>
      <protection locked="0"/>
    </xf>
    <xf numFmtId="49" fontId="47" fillId="24" borderId="0" xfId="74" applyNumberFormat="1" applyFont="1" applyFill="1" applyAlignment="1" applyProtection="1">
      <alignment vertical="center"/>
      <protection locked="0"/>
    </xf>
    <xf numFmtId="3" fontId="47" fillId="24" borderId="0" xfId="74" applyNumberFormat="1" applyFont="1" applyFill="1" applyAlignment="1" applyProtection="1">
      <alignment horizontal="right" vertical="center"/>
      <protection locked="0"/>
    </xf>
    <xf numFmtId="3" fontId="47" fillId="24" borderId="0" xfId="74" applyNumberFormat="1" applyFont="1" applyFill="1" applyAlignment="1" applyProtection="1">
      <alignment vertical="center"/>
      <protection locked="0"/>
    </xf>
    <xf numFmtId="0" fontId="86" fillId="24" borderId="0" xfId="74" applyFont="1" applyFill="1" applyAlignment="1" applyProtection="1">
      <alignment vertical="center"/>
      <protection locked="0"/>
    </xf>
    <xf numFmtId="0" fontId="86" fillId="24" borderId="0" xfId="74" applyFont="1" applyFill="1" applyAlignment="1" applyProtection="1">
      <alignment horizontal="justify" vertical="center"/>
      <protection locked="0"/>
    </xf>
    <xf numFmtId="49" fontId="86" fillId="24" borderId="0" xfId="74" applyNumberFormat="1" applyFont="1" applyFill="1" applyAlignment="1" applyProtection="1">
      <alignment horizontal="center" vertical="center" wrapText="1"/>
      <protection locked="0"/>
    </xf>
    <xf numFmtId="3" fontId="86" fillId="24" borderId="0" xfId="74" applyNumberFormat="1" applyFont="1" applyFill="1" applyAlignment="1" applyProtection="1">
      <alignment vertical="center"/>
      <protection locked="0"/>
    </xf>
    <xf numFmtId="3" fontId="47" fillId="24" borderId="10" xfId="74" applyNumberFormat="1" applyFont="1" applyFill="1" applyBorder="1" applyAlignment="1" applyProtection="1">
      <alignment horizontal="center" vertical="center" wrapText="1"/>
      <protection locked="0"/>
    </xf>
    <xf numFmtId="0" fontId="47" fillId="24" borderId="10" xfId="74" applyFont="1" applyFill="1" applyBorder="1" applyAlignment="1" applyProtection="1">
      <alignment horizontal="center" vertical="center"/>
      <protection locked="0"/>
    </xf>
    <xf numFmtId="49" fontId="47" fillId="24" borderId="10" xfId="74" applyNumberFormat="1" applyFont="1" applyFill="1" applyBorder="1" applyAlignment="1" applyProtection="1">
      <alignment horizontal="center" vertical="center" wrapText="1"/>
      <protection locked="0"/>
    </xf>
    <xf numFmtId="0" fontId="86" fillId="24" borderId="10" xfId="74" applyFont="1" applyFill="1" applyBorder="1" applyAlignment="1" applyProtection="1">
      <alignment horizontal="center" vertical="center"/>
      <protection locked="0"/>
    </xf>
    <xf numFmtId="49" fontId="86" fillId="24" borderId="10" xfId="74" applyNumberFormat="1" applyFont="1" applyFill="1" applyBorder="1" applyAlignment="1" applyProtection="1">
      <alignment horizontal="center" vertical="center"/>
      <protection locked="0"/>
    </xf>
    <xf numFmtId="49" fontId="86" fillId="24" borderId="10" xfId="74" applyNumberFormat="1" applyFont="1" applyFill="1" applyBorder="1" applyAlignment="1" applyProtection="1">
      <alignment horizontal="right" vertical="center"/>
      <protection locked="0"/>
    </xf>
    <xf numFmtId="0" fontId="47" fillId="24" borderId="10" xfId="74" applyFont="1" applyFill="1" applyBorder="1" applyAlignment="1" applyProtection="1">
      <alignment vertical="center"/>
      <protection locked="0"/>
    </xf>
    <xf numFmtId="0" fontId="47" fillId="24" borderId="10" xfId="74" applyFont="1" applyFill="1" applyBorder="1" applyAlignment="1" applyProtection="1">
      <alignment horizontal="justify" vertical="center" wrapText="1"/>
      <protection locked="0"/>
    </xf>
    <xf numFmtId="49" fontId="47" fillId="24" borderId="10" xfId="74" applyNumberFormat="1" applyFont="1" applyFill="1" applyBorder="1" applyAlignment="1" applyProtection="1">
      <alignment horizontal="center" vertical="center"/>
      <protection locked="0"/>
    </xf>
    <xf numFmtId="3" fontId="86" fillId="24" borderId="10" xfId="74" applyNumberFormat="1" applyFont="1" applyFill="1" applyBorder="1" applyAlignment="1" applyProtection="1">
      <alignment horizontal="right" vertical="center"/>
      <protection locked="0"/>
    </xf>
    <xf numFmtId="168" fontId="0" fillId="24" borderId="0" xfId="0" applyNumberFormat="1" applyFill="1"/>
    <xf numFmtId="168" fontId="86" fillId="24" borderId="10" xfId="74" applyNumberFormat="1" applyFont="1" applyFill="1" applyBorder="1" applyAlignment="1" applyProtection="1">
      <alignment horizontal="right" vertical="center"/>
      <protection locked="0"/>
    </xf>
    <xf numFmtId="0" fontId="86" fillId="24" borderId="10" xfId="74" applyFont="1" applyFill="1" applyBorder="1" applyAlignment="1" applyProtection="1">
      <alignment horizontal="justify" vertical="center" wrapText="1"/>
      <protection locked="0"/>
    </xf>
    <xf numFmtId="0" fontId="86" fillId="24" borderId="10" xfId="74" applyFont="1" applyFill="1" applyBorder="1" applyAlignment="1" applyProtection="1">
      <alignment horizontal="center" vertical="center" wrapText="1"/>
      <protection locked="0"/>
    </xf>
    <xf numFmtId="49" fontId="86" fillId="24" borderId="10" xfId="74" applyNumberFormat="1" applyFont="1" applyFill="1" applyBorder="1" applyAlignment="1" applyProtection="1">
      <alignment horizontal="right" vertical="center" wrapText="1"/>
      <protection locked="0"/>
    </xf>
    <xf numFmtId="3" fontId="86" fillId="24" borderId="10" xfId="74" applyNumberFormat="1" applyFont="1" applyFill="1" applyBorder="1" applyAlignment="1" applyProtection="1">
      <alignment horizontal="right" vertical="center" wrapText="1"/>
      <protection locked="0"/>
    </xf>
    <xf numFmtId="168" fontId="86" fillId="24" borderId="10" xfId="74" applyNumberFormat="1" applyFont="1" applyFill="1" applyBorder="1" applyAlignment="1" applyProtection="1">
      <alignment horizontal="right" vertical="center" wrapText="1"/>
      <protection locked="0"/>
    </xf>
    <xf numFmtId="0" fontId="47" fillId="24" borderId="10" xfId="74" applyFont="1" applyFill="1" applyBorder="1" applyAlignment="1" applyProtection="1">
      <alignment horizontal="center" vertical="center" wrapText="1"/>
      <protection locked="0"/>
    </xf>
    <xf numFmtId="49" fontId="47" fillId="24" borderId="10" xfId="74" applyNumberFormat="1" applyFont="1" applyFill="1" applyBorder="1" applyAlignment="1" applyProtection="1">
      <alignment horizontal="right" vertical="center" wrapText="1"/>
      <protection locked="0"/>
    </xf>
    <xf numFmtId="3" fontId="47" fillId="24" borderId="10" xfId="74" applyNumberFormat="1" applyFont="1" applyFill="1" applyBorder="1" applyAlignment="1" applyProtection="1">
      <alignment horizontal="right" vertical="center"/>
      <protection locked="0"/>
    </xf>
    <xf numFmtId="3" fontId="47" fillId="24" borderId="10" xfId="74" applyNumberFormat="1" applyFont="1" applyFill="1" applyBorder="1" applyAlignment="1" applyProtection="1">
      <alignment horizontal="right" vertical="center" wrapText="1"/>
      <protection locked="0"/>
    </xf>
    <xf numFmtId="168" fontId="47" fillId="24" borderId="10" xfId="74" applyNumberFormat="1" applyFont="1" applyFill="1" applyBorder="1" applyAlignment="1" applyProtection="1">
      <alignment horizontal="right" vertical="center" wrapText="1"/>
      <protection locked="0"/>
    </xf>
    <xf numFmtId="0" fontId="47" fillId="24" borderId="10" xfId="74" applyFont="1" applyFill="1" applyBorder="1" applyAlignment="1" applyProtection="1">
      <alignment horizontal="right" vertical="center" wrapText="1"/>
      <protection locked="0"/>
    </xf>
    <xf numFmtId="0" fontId="86" fillId="24" borderId="10" xfId="74" applyFont="1" applyFill="1" applyBorder="1" applyAlignment="1" applyProtection="1">
      <alignment horizontal="right" vertical="center" wrapText="1"/>
      <protection locked="0"/>
    </xf>
    <xf numFmtId="168" fontId="47" fillId="24" borderId="10" xfId="74" applyNumberFormat="1" applyFont="1" applyFill="1" applyBorder="1" applyAlignment="1" applyProtection="1">
      <alignment horizontal="right" vertical="center"/>
      <protection locked="0"/>
    </xf>
    <xf numFmtId="0" fontId="86" fillId="24" borderId="10" xfId="74" applyFont="1" applyFill="1" applyBorder="1" applyAlignment="1" applyProtection="1">
      <alignment horizontal="left" vertical="center" wrapText="1"/>
      <protection locked="0"/>
    </xf>
    <xf numFmtId="3" fontId="47" fillId="24" borderId="10" xfId="74" applyNumberFormat="1" applyFont="1" applyFill="1" applyBorder="1" applyAlignment="1">
      <alignment horizontal="right" vertical="center"/>
    </xf>
    <xf numFmtId="168" fontId="47" fillId="24" borderId="10" xfId="74" applyNumberFormat="1" applyFont="1" applyFill="1" applyBorder="1" applyAlignment="1">
      <alignment horizontal="right" vertical="center"/>
    </xf>
    <xf numFmtId="49" fontId="86" fillId="24" borderId="10" xfId="74" applyNumberFormat="1" applyFont="1" applyFill="1" applyBorder="1" applyAlignment="1" applyProtection="1">
      <alignment horizontal="center" vertical="center" wrapText="1"/>
      <protection locked="0"/>
    </xf>
    <xf numFmtId="0" fontId="47" fillId="24" borderId="10" xfId="74" applyFont="1" applyFill="1" applyBorder="1" applyAlignment="1" applyProtection="1">
      <alignment horizontal="left" vertical="center" wrapText="1"/>
      <protection locked="0"/>
    </xf>
    <xf numFmtId="0" fontId="75" fillId="24" borderId="10" xfId="74" applyFont="1" applyFill="1" applyBorder="1" applyAlignment="1" applyProtection="1">
      <alignment horizontal="left" vertical="center"/>
      <protection locked="0"/>
    </xf>
    <xf numFmtId="49" fontId="75" fillId="24" borderId="10" xfId="74" applyNumberFormat="1" applyFont="1" applyFill="1" applyBorder="1" applyAlignment="1" applyProtection="1">
      <alignment horizontal="center" vertical="center"/>
      <protection locked="0"/>
    </xf>
    <xf numFmtId="3" fontId="75" fillId="24" borderId="10" xfId="74" applyNumberFormat="1" applyFont="1" applyFill="1" applyBorder="1" applyAlignment="1" applyProtection="1">
      <alignment horizontal="right" vertical="center"/>
      <protection locked="0"/>
    </xf>
    <xf numFmtId="3" fontId="86" fillId="24" borderId="0" xfId="74" applyNumberFormat="1" applyFont="1" applyFill="1" applyAlignment="1" applyProtection="1">
      <alignment horizontal="right" vertical="center"/>
      <protection locked="0"/>
    </xf>
    <xf numFmtId="3" fontId="35" fillId="0" borderId="0" xfId="0" applyNumberFormat="1" applyFont="1" applyAlignment="1">
      <alignment vertical="center"/>
    </xf>
    <xf numFmtId="0" fontId="36" fillId="0" borderId="0" xfId="0" applyFont="1" applyAlignment="1">
      <alignment vertical="center"/>
    </xf>
    <xf numFmtId="0" fontId="21" fillId="24" borderId="0" xfId="0" applyFont="1" applyFill="1" applyAlignment="1">
      <alignment vertical="center"/>
    </xf>
    <xf numFmtId="3" fontId="33" fillId="30" borderId="10" xfId="0" applyNumberFormat="1" applyFont="1" applyFill="1" applyBorder="1" applyAlignment="1">
      <alignment vertical="center"/>
    </xf>
    <xf numFmtId="0" fontId="29" fillId="0" borderId="0" xfId="0" applyFont="1" applyAlignment="1">
      <alignment horizontal="right" vertical="center"/>
    </xf>
    <xf numFmtId="3" fontId="29" fillId="0" borderId="0" xfId="0" applyNumberFormat="1" applyFont="1" applyAlignment="1">
      <alignment vertical="center"/>
    </xf>
    <xf numFmtId="0" fontId="0" fillId="24" borderId="0" xfId="0" applyFill="1" applyAlignment="1">
      <alignment vertical="center"/>
    </xf>
    <xf numFmtId="0" fontId="23" fillId="0" borderId="0" xfId="80" applyAlignment="1">
      <alignment horizontal="left" vertical="center" wrapText="1"/>
    </xf>
    <xf numFmtId="0" fontId="23" fillId="0" borderId="0" xfId="80" applyAlignment="1">
      <alignment vertical="center" wrapText="1"/>
    </xf>
    <xf numFmtId="3" fontId="23" fillId="0" borderId="0" xfId="80" applyNumberFormat="1" applyAlignment="1">
      <alignment vertical="center" wrapText="1"/>
    </xf>
    <xf numFmtId="0" fontId="0" fillId="0" borderId="0" xfId="0" applyAlignment="1">
      <alignment vertical="center" wrapText="1"/>
    </xf>
    <xf numFmtId="3" fontId="0" fillId="0" borderId="0" xfId="0" applyNumberFormat="1" applyAlignment="1">
      <alignment vertical="center" wrapText="1"/>
    </xf>
    <xf numFmtId="3" fontId="74" fillId="0" borderId="0" xfId="80" applyNumberFormat="1" applyFont="1" applyAlignment="1">
      <alignment vertical="center" wrapText="1"/>
    </xf>
    <xf numFmtId="167" fontId="74" fillId="0" borderId="0" xfId="80" applyNumberFormat="1" applyFont="1" applyAlignment="1">
      <alignment vertical="center" wrapText="1"/>
    </xf>
    <xf numFmtId="3" fontId="0" fillId="0" borderId="0" xfId="0" applyNumberFormat="1" applyAlignment="1">
      <alignment vertical="center"/>
    </xf>
    <xf numFmtId="3" fontId="63" fillId="0" borderId="0" xfId="80" applyNumberFormat="1" applyFont="1" applyAlignment="1">
      <alignment vertical="center"/>
    </xf>
    <xf numFmtId="0" fontId="63" fillId="0" borderId="0" xfId="80" applyFont="1" applyAlignment="1">
      <alignment vertical="center"/>
    </xf>
    <xf numFmtId="49" fontId="59" fillId="0" borderId="19" xfId="80" applyNumberFormat="1" applyFont="1" applyBorder="1" applyAlignment="1">
      <alignment horizontal="right" vertical="center"/>
    </xf>
    <xf numFmtId="3" fontId="59" fillId="0" borderId="0" xfId="80" applyNumberFormat="1" applyFont="1" applyAlignment="1">
      <alignment horizontal="right" vertical="center"/>
    </xf>
    <xf numFmtId="0" fontId="56" fillId="0" borderId="19" xfId="80" applyFont="1" applyBorder="1" applyAlignment="1">
      <alignment horizontal="right" vertical="center"/>
    </xf>
    <xf numFmtId="0" fontId="58" fillId="0" borderId="0" xfId="80" applyFont="1" applyAlignment="1">
      <alignment vertical="center"/>
    </xf>
    <xf numFmtId="0" fontId="59" fillId="0" borderId="19" xfId="80" applyFont="1" applyBorder="1" applyAlignment="1">
      <alignment horizontal="center" vertical="center" wrapText="1"/>
    </xf>
    <xf numFmtId="0" fontId="23" fillId="0" borderId="19" xfId="80" applyBorder="1" applyAlignment="1">
      <alignment horizontal="center" vertical="center" wrapText="1"/>
    </xf>
    <xf numFmtId="0" fontId="77" fillId="0" borderId="19" xfId="80" applyFont="1" applyBorder="1" applyAlignment="1">
      <alignment horizontal="center" vertical="center" wrapText="1"/>
    </xf>
    <xf numFmtId="3" fontId="63" fillId="0" borderId="0" xfId="80" applyNumberFormat="1" applyFont="1" applyAlignment="1">
      <alignment horizontal="center" vertical="center" wrapText="1"/>
    </xf>
    <xf numFmtId="0" fontId="63" fillId="0" borderId="0" xfId="80" applyFont="1" applyAlignment="1">
      <alignment horizontal="center" vertical="center" wrapText="1"/>
    </xf>
    <xf numFmtId="167" fontId="59" fillId="0" borderId="19" xfId="80" applyNumberFormat="1" applyFont="1" applyBorder="1" applyAlignment="1">
      <alignment horizontal="center" vertical="center" wrapText="1"/>
    </xf>
    <xf numFmtId="3" fontId="59" fillId="30" borderId="10" xfId="80" applyNumberFormat="1" applyFont="1" applyFill="1" applyBorder="1" applyAlignment="1">
      <alignment horizontal="center" vertical="center" wrapText="1"/>
    </xf>
    <xf numFmtId="167" fontId="59" fillId="0" borderId="19" xfId="80" applyNumberFormat="1" applyFont="1" applyBorder="1" applyAlignment="1">
      <alignment vertical="center" wrapText="1"/>
    </xf>
    <xf numFmtId="0" fontId="65" fillId="0" borderId="19" xfId="80" applyFont="1" applyBorder="1" applyAlignment="1">
      <alignment horizontal="center" vertical="center" wrapText="1"/>
    </xf>
    <xf numFmtId="0" fontId="65" fillId="0" borderId="19" xfId="80" applyFont="1" applyBorder="1" applyAlignment="1">
      <alignment horizontal="left" vertical="center" wrapText="1"/>
    </xf>
    <xf numFmtId="3" fontId="65" fillId="0" borderId="19" xfId="80" applyNumberFormat="1" applyFont="1" applyBorder="1" applyAlignment="1">
      <alignment horizontal="right" vertical="center" wrapText="1"/>
    </xf>
    <xf numFmtId="3" fontId="65" fillId="30" borderId="10" xfId="80" applyNumberFormat="1" applyFont="1" applyFill="1" applyBorder="1" applyAlignment="1">
      <alignment horizontal="right" vertical="center" wrapText="1"/>
    </xf>
    <xf numFmtId="167" fontId="65" fillId="0" borderId="19" xfId="80" applyNumberFormat="1" applyFont="1" applyBorder="1" applyAlignment="1">
      <alignment horizontal="right" vertical="center" wrapText="1"/>
    </xf>
    <xf numFmtId="168" fontId="65" fillId="0" borderId="19" xfId="80" applyNumberFormat="1" applyFont="1" applyBorder="1" applyAlignment="1">
      <alignment vertical="center" wrapText="1"/>
    </xf>
    <xf numFmtId="3" fontId="80" fillId="30" borderId="10" xfId="80" applyNumberFormat="1" applyFont="1" applyFill="1" applyBorder="1" applyAlignment="1">
      <alignment vertical="center" wrapText="1"/>
    </xf>
    <xf numFmtId="0" fontId="80" fillId="0" borderId="0" xfId="80" applyFont="1" applyAlignment="1">
      <alignment vertical="center" wrapText="1"/>
    </xf>
    <xf numFmtId="49" fontId="66" fillId="0" borderId="19" xfId="80" applyNumberFormat="1" applyFont="1" applyBorder="1" applyAlignment="1">
      <alignment horizontal="center" vertical="center" wrapText="1"/>
    </xf>
    <xf numFmtId="0" fontId="60" fillId="0" borderId="19" xfId="79" applyFont="1" applyBorder="1" applyAlignment="1">
      <alignment horizontal="left" vertical="center" wrapText="1"/>
    </xf>
    <xf numFmtId="3" fontId="66" fillId="30" borderId="10" xfId="80" applyNumberFormat="1" applyFont="1" applyFill="1" applyBorder="1" applyAlignment="1" applyProtection="1">
      <alignment horizontal="right" vertical="center" wrapText="1"/>
      <protection locked="0"/>
    </xf>
    <xf numFmtId="49" fontId="60" fillId="0" borderId="19" xfId="80" applyNumberFormat="1" applyFont="1" applyBorder="1" applyAlignment="1">
      <alignment horizontal="center" vertical="center" wrapText="1"/>
    </xf>
    <xf numFmtId="0" fontId="66" fillId="0" borderId="19" xfId="79" applyFont="1" applyBorder="1" applyAlignment="1">
      <alignment horizontal="left" vertical="center" wrapText="1"/>
    </xf>
    <xf numFmtId="0" fontId="81" fillId="0" borderId="0" xfId="80" applyFont="1" applyAlignment="1">
      <alignment vertical="center" wrapText="1"/>
    </xf>
    <xf numFmtId="167" fontId="66" fillId="0" borderId="19" xfId="80" applyNumberFormat="1" applyFont="1" applyBorder="1" applyAlignment="1" applyProtection="1">
      <alignment horizontal="right" vertical="center" wrapText="1"/>
      <protection locked="0"/>
    </xf>
    <xf numFmtId="0" fontId="60" fillId="0" borderId="19" xfId="80" applyFont="1" applyBorder="1" applyAlignment="1">
      <alignment horizontal="left" vertical="center" wrapText="1"/>
    </xf>
    <xf numFmtId="0" fontId="65" fillId="0" borderId="19" xfId="79" applyFont="1" applyBorder="1" applyAlignment="1">
      <alignment horizontal="left" vertical="center" wrapText="1"/>
    </xf>
    <xf numFmtId="3" fontId="65" fillId="30" borderId="10" xfId="80" applyNumberFormat="1" applyFont="1" applyFill="1" applyBorder="1" applyAlignment="1" applyProtection="1">
      <alignment horizontal="right" vertical="center" wrapText="1"/>
      <protection locked="0"/>
    </xf>
    <xf numFmtId="167" fontId="65" fillId="0" borderId="19" xfId="80" applyNumberFormat="1" applyFont="1" applyBorder="1" applyAlignment="1" applyProtection="1">
      <alignment horizontal="right" vertical="center" wrapText="1"/>
      <protection locked="0"/>
    </xf>
    <xf numFmtId="49" fontId="65" fillId="0" borderId="19" xfId="80" applyNumberFormat="1" applyFont="1" applyBorder="1" applyAlignment="1">
      <alignment horizontal="center" vertical="center" wrapText="1"/>
    </xf>
    <xf numFmtId="3" fontId="60" fillId="30" borderId="10" xfId="80" applyNumberFormat="1" applyFont="1" applyFill="1" applyBorder="1" applyAlignment="1" applyProtection="1">
      <alignment horizontal="right" vertical="center" wrapText="1"/>
      <protection locked="0"/>
    </xf>
    <xf numFmtId="168" fontId="65" fillId="0" borderId="19" xfId="80" applyNumberFormat="1" applyFont="1" applyBorder="1" applyAlignment="1">
      <alignment horizontal="right" vertical="center" wrapText="1"/>
    </xf>
    <xf numFmtId="0" fontId="82" fillId="0" borderId="19" xfId="80" applyFont="1" applyBorder="1" applyAlignment="1">
      <alignment horizontal="center" vertical="center" wrapText="1"/>
    </xf>
    <xf numFmtId="167" fontId="60" fillId="0" borderId="19" xfId="80" applyNumberFormat="1" applyFont="1" applyBorder="1" applyAlignment="1" applyProtection="1">
      <alignment horizontal="right" vertical="center" wrapText="1"/>
      <protection locked="0"/>
    </xf>
    <xf numFmtId="0" fontId="81" fillId="0" borderId="19" xfId="80" applyFont="1" applyBorder="1" applyAlignment="1">
      <alignment vertical="center" wrapText="1"/>
    </xf>
    <xf numFmtId="0" fontId="82" fillId="6" borderId="19" xfId="80" applyFont="1" applyFill="1" applyBorder="1" applyAlignment="1">
      <alignment horizontal="center" vertical="center" wrapText="1"/>
    </xf>
    <xf numFmtId="0" fontId="72" fillId="6" borderId="19" xfId="80" applyFont="1" applyFill="1" applyBorder="1" applyAlignment="1">
      <alignment horizontal="left" vertical="center" wrapText="1"/>
    </xf>
    <xf numFmtId="3" fontId="65" fillId="6" borderId="19" xfId="80" applyNumberFormat="1" applyFont="1" applyFill="1" applyBorder="1" applyAlignment="1">
      <alignment horizontal="right" vertical="center" wrapText="1"/>
    </xf>
    <xf numFmtId="3" fontId="77" fillId="30" borderId="10" xfId="80" applyNumberFormat="1" applyFont="1" applyFill="1" applyBorder="1" applyAlignment="1">
      <alignment horizontal="right" vertical="center" wrapText="1"/>
    </xf>
    <xf numFmtId="167" fontId="77" fillId="6" borderId="19" xfId="80" applyNumberFormat="1" applyFont="1" applyFill="1" applyBorder="1" applyAlignment="1">
      <alignment horizontal="right" vertical="center" wrapText="1"/>
    </xf>
    <xf numFmtId="168" fontId="65" fillId="6" borderId="19" xfId="80" applyNumberFormat="1" applyFont="1" applyFill="1" applyBorder="1" applyAlignment="1">
      <alignment vertical="center" wrapText="1"/>
    </xf>
    <xf numFmtId="0" fontId="81" fillId="6" borderId="0" xfId="80" applyFont="1" applyFill="1" applyAlignment="1">
      <alignment vertical="center" wrapText="1"/>
    </xf>
    <xf numFmtId="0" fontId="66" fillId="0" borderId="19" xfId="80" applyFont="1" applyBorder="1" applyAlignment="1">
      <alignment horizontal="center" vertical="center" wrapText="1"/>
    </xf>
    <xf numFmtId="0" fontId="59" fillId="0" borderId="19" xfId="80" applyFont="1" applyBorder="1" applyAlignment="1">
      <alignment horizontal="left" vertical="center" wrapText="1"/>
    </xf>
    <xf numFmtId="3" fontId="81" fillId="0" borderId="19" xfId="80" applyNumberFormat="1" applyFont="1" applyBorder="1" applyAlignment="1">
      <alignment vertical="center" wrapText="1"/>
    </xf>
    <xf numFmtId="168" fontId="81" fillId="0" borderId="19" xfId="80" applyNumberFormat="1" applyFont="1" applyBorder="1" applyAlignment="1">
      <alignment vertical="center" wrapText="1"/>
    </xf>
    <xf numFmtId="0" fontId="84" fillId="0" borderId="0" xfId="80" applyFont="1" applyAlignment="1">
      <alignment vertical="center" wrapText="1"/>
    </xf>
    <xf numFmtId="0" fontId="65" fillId="6" borderId="19" xfId="80" applyFont="1" applyFill="1" applyBorder="1" applyAlignment="1">
      <alignment horizontal="center" vertical="center" wrapText="1"/>
    </xf>
    <xf numFmtId="0" fontId="64" fillId="6" borderId="19" xfId="80" applyFont="1" applyFill="1" applyBorder="1" applyAlignment="1">
      <alignment horizontal="left" vertical="center" wrapText="1"/>
    </xf>
    <xf numFmtId="167" fontId="65" fillId="6" borderId="19" xfId="80" applyNumberFormat="1" applyFont="1" applyFill="1" applyBorder="1" applyAlignment="1">
      <alignment horizontal="right" vertical="center" wrapText="1"/>
    </xf>
    <xf numFmtId="0" fontId="23" fillId="6" borderId="0" xfId="80" applyFill="1" applyAlignment="1">
      <alignment vertical="center" wrapText="1"/>
    </xf>
    <xf numFmtId="3" fontId="23" fillId="0" borderId="19" xfId="80" applyNumberFormat="1" applyBorder="1" applyAlignment="1">
      <alignment horizontal="right" vertical="center" wrapText="1"/>
    </xf>
    <xf numFmtId="3" fontId="23" fillId="30" borderId="10" xfId="80" applyNumberFormat="1" applyFill="1" applyBorder="1" applyAlignment="1">
      <alignment horizontal="right" vertical="center" wrapText="1"/>
    </xf>
    <xf numFmtId="0" fontId="23" fillId="0" borderId="19" xfId="80" applyBorder="1" applyAlignment="1">
      <alignment horizontal="right" vertical="center" wrapText="1"/>
    </xf>
    <xf numFmtId="4" fontId="59" fillId="0" borderId="19" xfId="80" applyNumberFormat="1" applyFont="1" applyBorder="1" applyAlignment="1">
      <alignment horizontal="right" vertical="center" wrapText="1"/>
    </xf>
    <xf numFmtId="4" fontId="59" fillId="0" borderId="19" xfId="80" applyNumberFormat="1" applyFont="1" applyBorder="1" applyAlignment="1" applyProtection="1">
      <alignment horizontal="right" vertical="center" wrapText="1"/>
      <protection locked="0"/>
    </xf>
    <xf numFmtId="0" fontId="58" fillId="0" borderId="41" xfId="80" applyFont="1" applyBorder="1" applyAlignment="1">
      <alignment vertical="center" wrapText="1"/>
    </xf>
    <xf numFmtId="3" fontId="58" fillId="0" borderId="28" xfId="80" applyNumberFormat="1" applyFont="1" applyBorder="1" applyAlignment="1" applyProtection="1">
      <alignment horizontal="right" vertical="center" wrapText="1"/>
      <protection locked="0"/>
    </xf>
    <xf numFmtId="3" fontId="58" fillId="0" borderId="19" xfId="80" applyNumberFormat="1" applyFont="1" applyBorder="1" applyAlignment="1" applyProtection="1">
      <alignment horizontal="right" vertical="center" wrapText="1"/>
      <protection locked="0"/>
    </xf>
    <xf numFmtId="3" fontId="58" fillId="0" borderId="17" xfId="80" applyNumberFormat="1" applyFont="1" applyBorder="1" applyAlignment="1" applyProtection="1">
      <alignment horizontal="right" vertical="center" wrapText="1"/>
      <protection locked="0"/>
    </xf>
    <xf numFmtId="167" fontId="65" fillId="0" borderId="17" xfId="80" applyNumberFormat="1" applyFont="1" applyBorder="1" applyAlignment="1">
      <alignment horizontal="right" vertical="center" wrapText="1"/>
    </xf>
    <xf numFmtId="167" fontId="65" fillId="0" borderId="28" xfId="80" applyNumberFormat="1" applyFont="1" applyBorder="1" applyAlignment="1">
      <alignment horizontal="right" vertical="center" wrapText="1"/>
    </xf>
    <xf numFmtId="168" fontId="65" fillId="0" borderId="28" xfId="80" applyNumberFormat="1" applyFont="1" applyBorder="1" applyAlignment="1">
      <alignment vertical="center" wrapText="1"/>
    </xf>
    <xf numFmtId="3" fontId="65" fillId="0" borderId="0" xfId="80" applyNumberFormat="1" applyFont="1" applyAlignment="1">
      <alignment vertical="center" wrapText="1"/>
    </xf>
    <xf numFmtId="167" fontId="80" fillId="30" borderId="10" xfId="80" applyNumberFormat="1" applyFont="1" applyFill="1" applyBorder="1" applyAlignment="1">
      <alignment vertical="center" wrapText="1"/>
    </xf>
    <xf numFmtId="167" fontId="65" fillId="0" borderId="38" xfId="80" applyNumberFormat="1" applyFont="1" applyBorder="1" applyAlignment="1">
      <alignment horizontal="right" vertical="center" wrapText="1"/>
    </xf>
    <xf numFmtId="167" fontId="65" fillId="0" borderId="0" xfId="80" applyNumberFormat="1" applyFont="1" applyAlignment="1">
      <alignment horizontal="right" vertical="center" wrapText="1"/>
    </xf>
    <xf numFmtId="3" fontId="76" fillId="0" borderId="0" xfId="80" applyNumberFormat="1" applyFont="1" applyAlignment="1">
      <alignment vertical="center" wrapText="1"/>
    </xf>
    <xf numFmtId="0" fontId="57" fillId="0" borderId="0" xfId="80" applyFont="1" applyAlignment="1">
      <alignment horizontal="right" vertical="center" wrapText="1"/>
    </xf>
    <xf numFmtId="0" fontId="23" fillId="0" borderId="0" xfId="80" applyAlignment="1">
      <alignment horizontal="right" vertical="center" wrapText="1"/>
    </xf>
    <xf numFmtId="0" fontId="57" fillId="0" borderId="0" xfId="80" applyFont="1" applyAlignment="1">
      <alignment horizontal="center" vertical="center" wrapText="1"/>
    </xf>
    <xf numFmtId="3" fontId="23" fillId="0" borderId="0" xfId="80" applyNumberFormat="1" applyAlignment="1">
      <alignment horizontal="center" vertical="center" wrapText="1"/>
    </xf>
    <xf numFmtId="0" fontId="60" fillId="0" borderId="42" xfId="79" applyFont="1" applyBorder="1" applyAlignment="1">
      <alignment horizontal="left" vertical="center" wrapText="1"/>
    </xf>
    <xf numFmtId="0" fontId="60" fillId="0" borderId="10" xfId="79" applyFont="1" applyBorder="1" applyAlignment="1">
      <alignment horizontal="left" vertical="center" wrapText="1"/>
    </xf>
    <xf numFmtId="0" fontId="60" fillId="0" borderId="43" xfId="79" applyFont="1" applyBorder="1" applyAlignment="1">
      <alignment horizontal="left" vertical="center" wrapText="1"/>
    </xf>
    <xf numFmtId="0" fontId="64" fillId="6" borderId="36" xfId="80" applyFont="1" applyFill="1" applyBorder="1" applyAlignment="1">
      <alignment horizontal="left" vertical="center" wrapText="1"/>
    </xf>
    <xf numFmtId="167" fontId="65" fillId="6" borderId="17" xfId="80" applyNumberFormat="1" applyFont="1" applyFill="1" applyBorder="1" applyAlignment="1">
      <alignment horizontal="right" vertical="center" wrapText="1"/>
    </xf>
    <xf numFmtId="0" fontId="60" fillId="0" borderId="44" xfId="79" applyFont="1" applyBorder="1" applyAlignment="1">
      <alignment horizontal="left" vertical="center" wrapText="1" indent="1"/>
    </xf>
    <xf numFmtId="167" fontId="65" fillId="0" borderId="0" xfId="80" applyNumberFormat="1" applyFont="1" applyAlignment="1">
      <alignment horizontal="right" vertical="center" wrapText="1" indent="1"/>
    </xf>
    <xf numFmtId="0" fontId="59" fillId="0" borderId="45" xfId="80" applyFont="1" applyBorder="1" applyAlignment="1">
      <alignment horizontal="center" vertical="center" wrapText="1"/>
    </xf>
    <xf numFmtId="0" fontId="65" fillId="0" borderId="36" xfId="79" applyFont="1" applyBorder="1" applyAlignment="1">
      <alignment horizontal="left" vertical="center" wrapText="1" indent="1"/>
    </xf>
    <xf numFmtId="167" fontId="65" fillId="0" borderId="17" xfId="80" applyNumberFormat="1" applyFont="1" applyBorder="1" applyAlignment="1">
      <alignment horizontal="right" vertical="center" wrapText="1" indent="1"/>
    </xf>
    <xf numFmtId="0" fontId="66" fillId="0" borderId="11" xfId="79" applyFont="1" applyBorder="1" applyAlignment="1">
      <alignment horizontal="left" vertical="center" wrapText="1" indent="1"/>
    </xf>
    <xf numFmtId="0" fontId="66" fillId="0" borderId="10" xfId="79" applyFont="1" applyBorder="1" applyAlignment="1">
      <alignment horizontal="left" vertical="center" wrapText="1" indent="1"/>
    </xf>
    <xf numFmtId="0" fontId="60" fillId="0" borderId="10" xfId="79" applyFont="1" applyBorder="1" applyAlignment="1">
      <alignment horizontal="left" vertical="center" wrapText="1" indent="1"/>
    </xf>
    <xf numFmtId="0" fontId="64" fillId="6" borderId="36" xfId="80" applyFont="1" applyFill="1" applyBorder="1" applyAlignment="1">
      <alignment horizontal="left" vertical="center" wrapText="1" indent="1"/>
    </xf>
    <xf numFmtId="167" fontId="65" fillId="6" borderId="17" xfId="80" applyNumberFormat="1" applyFont="1" applyFill="1" applyBorder="1" applyAlignment="1">
      <alignment horizontal="right" vertical="center" wrapText="1" indent="1"/>
    </xf>
    <xf numFmtId="3" fontId="23" fillId="24" borderId="0" xfId="80" applyNumberFormat="1" applyFill="1" applyAlignment="1">
      <alignment vertical="center" wrapText="1"/>
    </xf>
    <xf numFmtId="3" fontId="74" fillId="24" borderId="0" xfId="80" applyNumberFormat="1" applyFont="1" applyFill="1" applyAlignment="1">
      <alignment vertical="center" wrapText="1"/>
    </xf>
    <xf numFmtId="3" fontId="63" fillId="24" borderId="0" xfId="80" applyNumberFormat="1" applyFont="1" applyFill="1" applyAlignment="1">
      <alignment vertical="center"/>
    </xf>
    <xf numFmtId="3" fontId="63" fillId="24" borderId="0" xfId="80" applyNumberFormat="1" applyFont="1" applyFill="1" applyAlignment="1">
      <alignment horizontal="left" vertical="center"/>
    </xf>
    <xf numFmtId="3" fontId="58" fillId="24" borderId="0" xfId="80" applyNumberFormat="1" applyFont="1" applyFill="1" applyAlignment="1">
      <alignment vertical="center"/>
    </xf>
    <xf numFmtId="3" fontId="77" fillId="24" borderId="10" xfId="80" applyNumberFormat="1" applyFont="1" applyFill="1" applyBorder="1" applyAlignment="1">
      <alignment horizontal="center" vertical="center" wrapText="1"/>
    </xf>
    <xf numFmtId="3" fontId="77" fillId="24" borderId="27" xfId="80" applyNumberFormat="1" applyFont="1" applyFill="1" applyBorder="1" applyAlignment="1">
      <alignment horizontal="left" vertical="center" wrapText="1"/>
    </xf>
    <xf numFmtId="3" fontId="77" fillId="24" borderId="17" xfId="80" applyNumberFormat="1" applyFont="1" applyFill="1" applyBorder="1" applyAlignment="1">
      <alignment horizontal="center" vertical="center" wrapText="1"/>
    </xf>
    <xf numFmtId="3" fontId="77" fillId="24" borderId="28" xfId="80" applyNumberFormat="1" applyFont="1" applyFill="1" applyBorder="1" applyAlignment="1">
      <alignment horizontal="center" vertical="center" wrapText="1"/>
    </xf>
    <xf numFmtId="3" fontId="63" fillId="24" borderId="0" xfId="80" applyNumberFormat="1" applyFont="1" applyFill="1" applyAlignment="1">
      <alignment horizontal="center" vertical="center" wrapText="1"/>
    </xf>
    <xf numFmtId="3" fontId="59" fillId="24" borderId="10" xfId="80" applyNumberFormat="1" applyFont="1" applyFill="1" applyBorder="1" applyAlignment="1">
      <alignment horizontal="center" vertical="center" wrapText="1"/>
    </xf>
    <xf numFmtId="3" fontId="59" fillId="24" borderId="40" xfId="80" applyNumberFormat="1" applyFont="1" applyFill="1" applyBorder="1" applyAlignment="1">
      <alignment horizontal="center" vertical="center" wrapText="1"/>
    </xf>
    <xf numFmtId="3" fontId="59" fillId="24" borderId="27" xfId="80" applyNumberFormat="1" applyFont="1" applyFill="1" applyBorder="1" applyAlignment="1">
      <alignment horizontal="left" vertical="center" wrapText="1"/>
    </xf>
    <xf numFmtId="3" fontId="59" fillId="24" borderId="46" xfId="80" applyNumberFormat="1" applyFont="1" applyFill="1" applyBorder="1" applyAlignment="1">
      <alignment horizontal="center" vertical="center" wrapText="1"/>
    </xf>
    <xf numFmtId="3" fontId="65" fillId="24" borderId="10" xfId="80" applyNumberFormat="1" applyFont="1" applyFill="1" applyBorder="1" applyAlignment="1">
      <alignment horizontal="center" vertical="center" wrapText="1"/>
    </xf>
    <xf numFmtId="3" fontId="65" fillId="24" borderId="10" xfId="80" applyNumberFormat="1" applyFont="1" applyFill="1" applyBorder="1" applyAlignment="1">
      <alignment horizontal="left" vertical="center" wrapText="1"/>
    </xf>
    <xf numFmtId="3" fontId="65" fillId="24" borderId="10" xfId="80" applyNumberFormat="1" applyFont="1" applyFill="1" applyBorder="1" applyAlignment="1">
      <alignment horizontal="right" vertical="center" wrapText="1"/>
    </xf>
    <xf numFmtId="3" fontId="65" fillId="24" borderId="27" xfId="80" applyNumberFormat="1" applyFont="1" applyFill="1" applyBorder="1" applyAlignment="1">
      <alignment horizontal="left" vertical="center" wrapText="1"/>
    </xf>
    <xf numFmtId="3" fontId="65" fillId="24" borderId="17" xfId="80" applyNumberFormat="1" applyFont="1" applyFill="1" applyBorder="1" applyAlignment="1">
      <alignment horizontal="right" vertical="center" wrapText="1"/>
    </xf>
    <xf numFmtId="3" fontId="65" fillId="24" borderId="28" xfId="80" applyNumberFormat="1" applyFont="1" applyFill="1" applyBorder="1" applyAlignment="1">
      <alignment horizontal="right" vertical="center" wrapText="1"/>
    </xf>
    <xf numFmtId="3" fontId="80" fillId="24" borderId="0" xfId="80" applyNumberFormat="1" applyFont="1" applyFill="1" applyAlignment="1">
      <alignment vertical="center" wrapText="1"/>
    </xf>
    <xf numFmtId="3" fontId="105" fillId="24" borderId="0" xfId="80" applyNumberFormat="1" applyFont="1" applyFill="1" applyAlignment="1">
      <alignment vertical="center" wrapText="1"/>
    </xf>
    <xf numFmtId="3" fontId="66" fillId="24" borderId="10" xfId="80" applyNumberFormat="1" applyFont="1" applyFill="1" applyBorder="1" applyAlignment="1">
      <alignment horizontal="center" vertical="center" wrapText="1"/>
    </xf>
    <xf numFmtId="3" fontId="66" fillId="24" borderId="10" xfId="79" applyNumberFormat="1" applyFont="1" applyFill="1" applyBorder="1" applyAlignment="1">
      <alignment horizontal="left" vertical="center" wrapText="1"/>
    </xf>
    <xf numFmtId="3" fontId="66" fillId="24" borderId="10" xfId="80" applyNumberFormat="1" applyFont="1" applyFill="1" applyBorder="1" applyAlignment="1" applyProtection="1">
      <alignment horizontal="right" vertical="center" wrapText="1"/>
      <protection locked="0"/>
    </xf>
    <xf numFmtId="3" fontId="66" fillId="24" borderId="27" xfId="80" applyNumberFormat="1" applyFont="1" applyFill="1" applyBorder="1" applyAlignment="1" applyProtection="1">
      <alignment horizontal="left" vertical="center" wrapText="1"/>
      <protection locked="0"/>
    </xf>
    <xf numFmtId="49" fontId="60" fillId="24" borderId="10" xfId="80" applyNumberFormat="1" applyFont="1" applyFill="1" applyBorder="1" applyAlignment="1">
      <alignment horizontal="center" vertical="center" wrapText="1"/>
    </xf>
    <xf numFmtId="0" fontId="60" fillId="24" borderId="10" xfId="79" applyFont="1" applyFill="1" applyBorder="1" applyAlignment="1">
      <alignment horizontal="left" vertical="center" wrapText="1"/>
    </xf>
    <xf numFmtId="3" fontId="81" fillId="24" borderId="0" xfId="80" applyNumberFormat="1" applyFont="1" applyFill="1" applyAlignment="1">
      <alignment vertical="center" wrapText="1"/>
    </xf>
    <xf numFmtId="3" fontId="60" fillId="24" borderId="10" xfId="80" applyNumberFormat="1" applyFont="1" applyFill="1" applyBorder="1" applyAlignment="1">
      <alignment horizontal="left" vertical="center" wrapText="1"/>
    </xf>
    <xf numFmtId="3" fontId="65" fillId="24" borderId="10" xfId="79" applyNumberFormat="1" applyFont="1" applyFill="1" applyBorder="1" applyAlignment="1">
      <alignment horizontal="left" vertical="center" wrapText="1"/>
    </xf>
    <xf numFmtId="3" fontId="65" fillId="24" borderId="10" xfId="80" applyNumberFormat="1" applyFont="1" applyFill="1" applyBorder="1" applyAlignment="1" applyProtection="1">
      <alignment horizontal="right" vertical="center" wrapText="1"/>
      <protection locked="0"/>
    </xf>
    <xf numFmtId="3" fontId="60" fillId="24" borderId="27" xfId="80" applyNumberFormat="1" applyFont="1" applyFill="1" applyBorder="1" applyAlignment="1" applyProtection="1">
      <alignment horizontal="left" vertical="center" wrapText="1"/>
      <protection locked="0"/>
    </xf>
    <xf numFmtId="3" fontId="60" fillId="24" borderId="10" xfId="79" applyNumberFormat="1" applyFont="1" applyFill="1" applyBorder="1" applyAlignment="1">
      <alignment horizontal="left" vertical="center" wrapText="1"/>
    </xf>
    <xf numFmtId="3" fontId="60" fillId="24" borderId="10" xfId="80" applyNumberFormat="1" applyFont="1" applyFill="1" applyBorder="1" applyAlignment="1" applyProtection="1">
      <alignment horizontal="right" vertical="center" wrapText="1"/>
      <protection locked="0"/>
    </xf>
    <xf numFmtId="3" fontId="60" fillId="24" borderId="12" xfId="79" applyNumberFormat="1" applyFont="1" applyFill="1" applyBorder="1" applyAlignment="1">
      <alignment horizontal="left" vertical="center" wrapText="1"/>
    </xf>
    <xf numFmtId="3" fontId="60" fillId="24" borderId="12" xfId="80" applyNumberFormat="1" applyFont="1" applyFill="1" applyBorder="1" applyAlignment="1">
      <alignment horizontal="right" vertical="center" wrapText="1"/>
    </xf>
    <xf numFmtId="3" fontId="60" fillId="24" borderId="12" xfId="80" applyNumberFormat="1" applyFont="1" applyFill="1" applyBorder="1" applyAlignment="1" applyProtection="1">
      <alignment horizontal="right" vertical="center" wrapText="1"/>
      <protection locked="0"/>
    </xf>
    <xf numFmtId="3" fontId="60" fillId="24" borderId="27" xfId="80" applyNumberFormat="1" applyFont="1" applyFill="1" applyBorder="1" applyAlignment="1">
      <alignment horizontal="left" vertical="center" wrapText="1"/>
    </xf>
    <xf numFmtId="3" fontId="65" fillId="24" borderId="13" xfId="80" applyNumberFormat="1" applyFont="1" applyFill="1" applyBorder="1" applyAlignment="1">
      <alignment horizontal="right" vertical="center" wrapText="1"/>
    </xf>
    <xf numFmtId="3" fontId="77" fillId="24" borderId="10" xfId="80" applyNumberFormat="1" applyFont="1" applyFill="1" applyBorder="1" applyAlignment="1">
      <alignment horizontal="right" vertical="center" wrapText="1"/>
    </xf>
    <xf numFmtId="3" fontId="65" fillId="24" borderId="47" xfId="80" applyNumberFormat="1" applyFont="1" applyFill="1" applyBorder="1" applyAlignment="1">
      <alignment horizontal="right" vertical="center" wrapText="1"/>
    </xf>
    <xf numFmtId="3" fontId="65" fillId="24" borderId="26" xfId="80" applyNumberFormat="1" applyFont="1" applyFill="1" applyBorder="1" applyAlignment="1">
      <alignment horizontal="right" vertical="center" wrapText="1"/>
    </xf>
    <xf numFmtId="3" fontId="84" fillId="24" borderId="0" xfId="80" applyNumberFormat="1" applyFont="1" applyFill="1" applyAlignment="1">
      <alignment vertical="center" wrapText="1"/>
    </xf>
    <xf numFmtId="3" fontId="66" fillId="24" borderId="12" xfId="79" applyNumberFormat="1" applyFont="1" applyFill="1" applyBorder="1" applyAlignment="1">
      <alignment horizontal="left" vertical="center" wrapText="1"/>
    </xf>
    <xf numFmtId="3" fontId="60" fillId="24" borderId="29" xfId="80" applyNumberFormat="1" applyFont="1" applyFill="1" applyBorder="1" applyAlignment="1" applyProtection="1">
      <alignment horizontal="left" vertical="center" wrapText="1"/>
      <protection locked="0"/>
    </xf>
    <xf numFmtId="3" fontId="23" fillId="24" borderId="48" xfId="80" applyNumberFormat="1" applyFill="1" applyBorder="1" applyAlignment="1">
      <alignment vertical="center" wrapText="1"/>
    </xf>
    <xf numFmtId="3" fontId="23" fillId="24" borderId="48" xfId="80" applyNumberFormat="1" applyFill="1" applyBorder="1" applyAlignment="1">
      <alignment horizontal="right" vertical="center" wrapText="1"/>
    </xf>
    <xf numFmtId="3" fontId="23" fillId="24" borderId="49" xfId="80" applyNumberFormat="1" applyFill="1" applyBorder="1" applyAlignment="1">
      <alignment horizontal="left" vertical="center" wrapText="1"/>
    </xf>
    <xf numFmtId="3" fontId="58" fillId="24" borderId="32" xfId="80" applyNumberFormat="1" applyFont="1" applyFill="1" applyBorder="1" applyAlignment="1">
      <alignment horizontal="left" vertical="center"/>
    </xf>
    <xf numFmtId="3" fontId="58" fillId="24" borderId="11" xfId="80" applyNumberFormat="1" applyFont="1" applyFill="1" applyBorder="1" applyAlignment="1">
      <alignment vertical="center" wrapText="1"/>
    </xf>
    <xf numFmtId="3" fontId="58" fillId="24" borderId="11" xfId="80" applyNumberFormat="1" applyFont="1" applyFill="1" applyBorder="1" applyAlignment="1" applyProtection="1">
      <alignment horizontal="right" vertical="center" wrapText="1"/>
      <protection locked="0"/>
    </xf>
    <xf numFmtId="3" fontId="59" fillId="24" borderId="22" xfId="80" applyNumberFormat="1" applyFont="1" applyFill="1" applyBorder="1" applyAlignment="1" applyProtection="1">
      <alignment horizontal="right" vertical="center" wrapText="1"/>
      <protection locked="0"/>
    </xf>
    <xf numFmtId="3" fontId="59" fillId="24" borderId="50" xfId="80" applyNumberFormat="1" applyFont="1" applyFill="1" applyBorder="1" applyAlignment="1" applyProtection="1">
      <alignment horizontal="right" vertical="center" wrapText="1"/>
      <protection locked="0"/>
    </xf>
    <xf numFmtId="3" fontId="59" fillId="24" borderId="26" xfId="80" applyNumberFormat="1" applyFont="1" applyFill="1" applyBorder="1" applyAlignment="1" applyProtection="1">
      <alignment horizontal="right" vertical="center" wrapText="1"/>
      <protection locked="0"/>
    </xf>
    <xf numFmtId="3" fontId="58" fillId="24" borderId="26" xfId="80" applyNumberFormat="1" applyFont="1" applyFill="1" applyBorder="1" applyAlignment="1" applyProtection="1">
      <alignment horizontal="left" vertical="center" wrapText="1"/>
      <protection locked="0"/>
    </xf>
    <xf numFmtId="3" fontId="65" fillId="24" borderId="50" xfId="80" applyNumberFormat="1" applyFont="1" applyFill="1" applyBorder="1" applyAlignment="1">
      <alignment horizontal="right" vertical="center" wrapText="1"/>
    </xf>
    <xf numFmtId="3" fontId="23" fillId="24" borderId="51" xfId="80" applyNumberFormat="1" applyFill="1" applyBorder="1" applyAlignment="1">
      <alignment horizontal="left" vertical="center" wrapText="1"/>
    </xf>
    <xf numFmtId="3" fontId="23" fillId="24" borderId="43" xfId="80" applyNumberFormat="1" applyFill="1" applyBorder="1" applyAlignment="1">
      <alignment horizontal="right" vertical="center" wrapText="1"/>
    </xf>
    <xf numFmtId="3" fontId="58" fillId="24" borderId="43" xfId="80" applyNumberFormat="1" applyFont="1" applyFill="1" applyBorder="1" applyAlignment="1" applyProtection="1">
      <alignment horizontal="right" vertical="center" wrapText="1"/>
      <protection locked="0"/>
    </xf>
    <xf numFmtId="3" fontId="59" fillId="24" borderId="52" xfId="80" applyNumberFormat="1" applyFont="1" applyFill="1" applyBorder="1" applyAlignment="1" applyProtection="1">
      <alignment horizontal="right" vertical="center" wrapText="1"/>
      <protection locked="0"/>
    </xf>
    <xf numFmtId="3" fontId="59" fillId="24" borderId="17" xfId="80" applyNumberFormat="1" applyFont="1" applyFill="1" applyBorder="1" applyAlignment="1" applyProtection="1">
      <alignment horizontal="right" vertical="center" wrapText="1"/>
      <protection locked="0"/>
    </xf>
    <xf numFmtId="3" fontId="59" fillId="24" borderId="28" xfId="80" applyNumberFormat="1" applyFont="1" applyFill="1" applyBorder="1" applyAlignment="1" applyProtection="1">
      <alignment horizontal="right" vertical="center" wrapText="1"/>
      <protection locked="0"/>
    </xf>
    <xf numFmtId="3" fontId="59" fillId="24" borderId="0" xfId="80" applyNumberFormat="1" applyFont="1" applyFill="1" applyAlignment="1" applyProtection="1">
      <alignment horizontal="right" vertical="center" wrapText="1"/>
      <protection locked="0"/>
    </xf>
    <xf numFmtId="3" fontId="23" fillId="24" borderId="0" xfId="80" applyNumberFormat="1" applyFill="1" applyAlignment="1">
      <alignment horizontal="right" vertical="center" wrapText="1"/>
    </xf>
    <xf numFmtId="3" fontId="57" fillId="24" borderId="0" xfId="80" applyNumberFormat="1" applyFont="1" applyFill="1" applyAlignment="1">
      <alignment horizontal="right" vertical="center" wrapText="1"/>
    </xf>
    <xf numFmtId="49" fontId="0" fillId="0" borderId="0" xfId="0" applyNumberFormat="1" applyAlignment="1">
      <alignment horizontal="center" vertical="center"/>
    </xf>
    <xf numFmtId="49" fontId="0" fillId="0" borderId="0" xfId="0" applyNumberFormat="1" applyAlignment="1">
      <alignment vertical="center"/>
    </xf>
    <xf numFmtId="3" fontId="103" fillId="0" borderId="0" xfId="29" applyNumberFormat="1" applyFont="1" applyFill="1" applyBorder="1" applyAlignment="1" applyProtection="1">
      <alignment vertical="center"/>
    </xf>
    <xf numFmtId="3" fontId="0" fillId="23" borderId="0" xfId="0" applyNumberFormat="1" applyFill="1" applyAlignment="1">
      <alignment vertical="center"/>
    </xf>
    <xf numFmtId="3" fontId="106" fillId="0" borderId="0" xfId="0" applyNumberFormat="1" applyFont="1" applyAlignment="1">
      <alignment vertical="center"/>
    </xf>
    <xf numFmtId="0" fontId="0" fillId="0" borderId="0" xfId="0" applyAlignment="1">
      <alignment horizontal="center" vertical="center" wrapText="1"/>
    </xf>
    <xf numFmtId="0" fontId="107" fillId="0" borderId="10" xfId="0" applyFont="1" applyBorder="1" applyAlignment="1">
      <alignment horizontal="center" vertical="center" wrapText="1"/>
    </xf>
    <xf numFmtId="49" fontId="107" fillId="0" borderId="10" xfId="0" applyNumberFormat="1" applyFont="1" applyBorder="1" applyAlignment="1">
      <alignment horizontal="center" vertical="center" wrapText="1"/>
    </xf>
    <xf numFmtId="49" fontId="47" fillId="0" borderId="10" xfId="74" applyNumberFormat="1" applyFont="1" applyBorder="1" applyAlignment="1" applyProtection="1">
      <alignment horizontal="center" vertical="center"/>
      <protection locked="0"/>
    </xf>
    <xf numFmtId="49" fontId="47" fillId="0" borderId="10" xfId="74" applyNumberFormat="1" applyFont="1" applyBorder="1" applyAlignment="1" applyProtection="1">
      <alignment horizontal="center" vertical="center" wrapText="1"/>
      <protection locked="0"/>
    </xf>
    <xf numFmtId="3" fontId="107" fillId="0" borderId="10" xfId="29" applyNumberFormat="1" applyFont="1" applyFill="1" applyBorder="1" applyAlignment="1" applyProtection="1">
      <alignment horizontal="center" vertical="center" wrapText="1"/>
    </xf>
    <xf numFmtId="3" fontId="88" fillId="23" borderId="10" xfId="0" applyNumberFormat="1" applyFont="1" applyFill="1" applyBorder="1" applyAlignment="1">
      <alignment horizontal="center" vertical="center" wrapText="1"/>
    </xf>
    <xf numFmtId="3" fontId="0" fillId="0" borderId="10" xfId="0" applyNumberFormat="1" applyBorder="1" applyAlignment="1">
      <alignment horizontal="center" vertical="center" wrapText="1"/>
    </xf>
    <xf numFmtId="0" fontId="0" fillId="0" borderId="10" xfId="0" applyBorder="1" applyAlignment="1">
      <alignment horizontal="center" vertical="center" wrapText="1"/>
    </xf>
    <xf numFmtId="0" fontId="0" fillId="0" borderId="10" xfId="0" applyBorder="1" applyAlignment="1">
      <alignment vertical="center"/>
    </xf>
    <xf numFmtId="0" fontId="0" fillId="3" borderId="10" xfId="0" applyFill="1" applyBorder="1" applyAlignment="1">
      <alignment horizontal="center" vertical="center"/>
    </xf>
    <xf numFmtId="0" fontId="0" fillId="0" borderId="10" xfId="0" applyBorder="1" applyAlignment="1">
      <alignment horizontal="center" vertical="center"/>
    </xf>
    <xf numFmtId="49" fontId="0" fillId="0" borderId="10" xfId="0" applyNumberFormat="1" applyBorder="1" applyAlignment="1">
      <alignment horizontal="center" vertical="center"/>
    </xf>
    <xf numFmtId="49" fontId="0" fillId="0" borderId="10" xfId="0" applyNumberFormat="1" applyBorder="1" applyAlignment="1">
      <alignment horizontal="center" vertical="center" wrapText="1"/>
    </xf>
    <xf numFmtId="49" fontId="47" fillId="3" borderId="10" xfId="74" applyNumberFormat="1" applyFont="1" applyFill="1" applyBorder="1" applyAlignment="1" applyProtection="1">
      <alignment horizontal="center" vertical="center"/>
      <protection locked="0"/>
    </xf>
    <xf numFmtId="3" fontId="0" fillId="0" borderId="10" xfId="0" applyNumberFormat="1" applyBorder="1" applyAlignment="1">
      <alignment vertical="center"/>
    </xf>
    <xf numFmtId="3" fontId="0" fillId="23" borderId="10" xfId="0" applyNumberFormat="1" applyFill="1" applyBorder="1" applyAlignment="1">
      <alignment vertical="center"/>
    </xf>
    <xf numFmtId="3" fontId="0" fillId="0" borderId="25" xfId="0" applyNumberFormat="1" applyBorder="1" applyAlignment="1">
      <alignment horizontal="center" vertical="center" wrapText="1"/>
    </xf>
    <xf numFmtId="0" fontId="88" fillId="0" borderId="10" xfId="0" applyFont="1" applyBorder="1" applyAlignment="1">
      <alignment vertical="center"/>
    </xf>
    <xf numFmtId="3" fontId="88" fillId="0" borderId="10" xfId="0" applyNumberFormat="1" applyFont="1" applyBorder="1" applyAlignment="1">
      <alignment vertical="center"/>
    </xf>
    <xf numFmtId="3" fontId="88" fillId="23" borderId="10" xfId="0" applyNumberFormat="1" applyFont="1" applyFill="1" applyBorder="1" applyAlignment="1">
      <alignment vertical="center"/>
    </xf>
    <xf numFmtId="3" fontId="0" fillId="0" borderId="25" xfId="0" applyNumberFormat="1" applyBorder="1" applyAlignment="1">
      <alignment vertical="center"/>
    </xf>
    <xf numFmtId="3" fontId="106" fillId="0" borderId="10" xfId="0" applyNumberFormat="1" applyFont="1" applyBorder="1" applyAlignment="1">
      <alignment vertical="center"/>
    </xf>
    <xf numFmtId="49" fontId="86" fillId="0" borderId="10" xfId="74" applyNumberFormat="1" applyFont="1" applyBorder="1" applyAlignment="1" applyProtection="1">
      <alignment horizontal="center" vertical="center"/>
      <protection locked="0"/>
    </xf>
    <xf numFmtId="49" fontId="0" fillId="0" borderId="10" xfId="0" applyNumberFormat="1" applyBorder="1" applyAlignment="1">
      <alignment vertical="center"/>
    </xf>
    <xf numFmtId="0" fontId="88" fillId="0" borderId="0" xfId="0" applyFont="1" applyAlignment="1">
      <alignment vertical="center"/>
    </xf>
    <xf numFmtId="0" fontId="34" fillId="0" borderId="10" xfId="0" applyFont="1" applyBorder="1" applyAlignment="1">
      <alignment horizontal="left" vertical="center" wrapText="1"/>
    </xf>
    <xf numFmtId="49" fontId="34" fillId="0" borderId="10" xfId="0" applyNumberFormat="1" applyFont="1" applyBorder="1" applyAlignment="1">
      <alignment horizontal="center" vertical="center" wrapText="1"/>
    </xf>
    <xf numFmtId="49" fontId="34" fillId="0" borderId="10" xfId="0" applyNumberFormat="1" applyFont="1" applyBorder="1" applyAlignment="1">
      <alignment horizontal="left" vertical="center" wrapText="1"/>
    </xf>
    <xf numFmtId="3" fontId="88" fillId="0" borderId="10" xfId="29" applyNumberFormat="1" applyFont="1" applyFill="1" applyBorder="1" applyAlignment="1" applyProtection="1">
      <alignment vertical="center"/>
    </xf>
    <xf numFmtId="3" fontId="88" fillId="23" borderId="10" xfId="29" applyNumberFormat="1" applyFont="1" applyFill="1" applyBorder="1" applyAlignment="1" applyProtection="1">
      <alignment vertical="center"/>
    </xf>
    <xf numFmtId="3" fontId="88" fillId="0" borderId="25" xfId="0" applyNumberFormat="1" applyFont="1" applyBorder="1" applyAlignment="1">
      <alignment vertical="center"/>
    </xf>
    <xf numFmtId="49" fontId="21" fillId="0" borderId="10"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88" fillId="30" borderId="10" xfId="0" applyFont="1" applyFill="1" applyBorder="1" applyAlignment="1">
      <alignment horizontal="justify" vertical="center" wrapText="1"/>
    </xf>
    <xf numFmtId="0" fontId="88" fillId="0" borderId="10" xfId="0" applyFont="1" applyBorder="1" applyAlignment="1">
      <alignment vertical="center" shrinkToFit="1"/>
    </xf>
    <xf numFmtId="0" fontId="0" fillId="0" borderId="0" xfId="0" applyAlignment="1">
      <alignment horizontal="center" vertical="center"/>
    </xf>
    <xf numFmtId="3" fontId="88" fillId="0" borderId="0" xfId="0" applyNumberFormat="1" applyFont="1" applyAlignment="1">
      <alignment vertical="center"/>
    </xf>
    <xf numFmtId="0" fontId="86" fillId="24" borderId="0" xfId="74" applyFont="1" applyFill="1" applyAlignment="1" applyProtection="1">
      <alignment horizontal="center" vertical="center"/>
      <protection locked="0"/>
    </xf>
    <xf numFmtId="0" fontId="109" fillId="24" borderId="12" xfId="74" applyFont="1" applyFill="1" applyBorder="1" applyAlignment="1" applyProtection="1">
      <alignment horizontal="center" vertical="center" wrapText="1" shrinkToFit="1"/>
      <protection locked="0"/>
    </xf>
    <xf numFmtId="49" fontId="21" fillId="24" borderId="10" xfId="0" applyNumberFormat="1" applyFont="1" applyFill="1" applyBorder="1" applyAlignment="1">
      <alignment horizontal="center" vertical="center"/>
    </xf>
    <xf numFmtId="0" fontId="86" fillId="24" borderId="10" xfId="74" applyFont="1" applyFill="1" applyBorder="1" applyAlignment="1" applyProtection="1">
      <alignment horizontal="justify" vertical="center"/>
      <protection locked="0"/>
    </xf>
    <xf numFmtId="3" fontId="47" fillId="30" borderId="10" xfId="74" applyNumberFormat="1" applyFont="1" applyFill="1" applyBorder="1" applyAlignment="1">
      <alignment horizontal="right" vertical="center"/>
    </xf>
    <xf numFmtId="0" fontId="110" fillId="24" borderId="0" xfId="74" applyFont="1" applyFill="1" applyAlignment="1" applyProtection="1">
      <alignment vertical="center"/>
      <protection locked="0"/>
    </xf>
    <xf numFmtId="168" fontId="75" fillId="24" borderId="10" xfId="74" applyNumberFormat="1" applyFont="1" applyFill="1" applyBorder="1" applyAlignment="1" applyProtection="1">
      <alignment horizontal="right" vertical="center"/>
      <protection locked="0"/>
    </xf>
    <xf numFmtId="3" fontId="47" fillId="24" borderId="10" xfId="0" applyNumberFormat="1" applyFont="1" applyFill="1" applyBorder="1" applyAlignment="1">
      <alignment horizontal="right" vertical="center" wrapText="1"/>
    </xf>
    <xf numFmtId="49" fontId="21" fillId="24" borderId="10" xfId="0" applyNumberFormat="1" applyFont="1" applyFill="1" applyBorder="1" applyAlignment="1">
      <alignment horizontal="center" vertical="center" wrapText="1"/>
    </xf>
    <xf numFmtId="3" fontId="60" fillId="24" borderId="53" xfId="80" applyNumberFormat="1" applyFont="1" applyFill="1" applyBorder="1" applyAlignment="1" applyProtection="1">
      <alignment horizontal="right" vertical="center" wrapText="1"/>
      <protection locked="0"/>
    </xf>
    <xf numFmtId="3" fontId="60" fillId="24" borderId="31" xfId="80" applyNumberFormat="1" applyFont="1" applyFill="1" applyBorder="1" applyAlignment="1" applyProtection="1">
      <alignment horizontal="right" vertical="center" wrapText="1"/>
      <protection locked="0"/>
    </xf>
    <xf numFmtId="3" fontId="60" fillId="24" borderId="54" xfId="80" applyNumberFormat="1" applyFont="1" applyFill="1" applyBorder="1" applyAlignment="1" applyProtection="1">
      <alignment horizontal="right" vertical="center" wrapText="1"/>
      <protection locked="0"/>
    </xf>
    <xf numFmtId="0" fontId="21" fillId="24" borderId="0" xfId="74" applyFont="1" applyFill="1" applyProtection="1">
      <protection locked="0"/>
    </xf>
    <xf numFmtId="0" fontId="21" fillId="24" borderId="0" xfId="74" applyFont="1" applyFill="1" applyAlignment="1" applyProtection="1">
      <alignment horizontal="justify"/>
      <protection locked="0"/>
    </xf>
    <xf numFmtId="49" fontId="21" fillId="24" borderId="0" xfId="74" applyNumberFormat="1" applyFont="1" applyFill="1" applyProtection="1">
      <protection locked="0"/>
    </xf>
    <xf numFmtId="3" fontId="21" fillId="24" borderId="0" xfId="74" applyNumberFormat="1" applyFont="1" applyFill="1" applyAlignment="1" applyProtection="1">
      <alignment horizontal="right"/>
      <protection locked="0"/>
    </xf>
    <xf numFmtId="3" fontId="21" fillId="24" borderId="0" xfId="74" applyNumberFormat="1" applyFont="1" applyFill="1" applyProtection="1">
      <protection locked="0"/>
    </xf>
    <xf numFmtId="0" fontId="34" fillId="24" borderId="0" xfId="74" applyFont="1" applyFill="1" applyProtection="1">
      <protection locked="0"/>
    </xf>
    <xf numFmtId="0" fontId="34" fillId="24" borderId="0" xfId="74" applyFont="1" applyFill="1" applyAlignment="1" applyProtection="1">
      <alignment horizontal="justify"/>
      <protection locked="0"/>
    </xf>
    <xf numFmtId="49" fontId="34" fillId="24" borderId="0" xfId="74" applyNumberFormat="1" applyFont="1" applyFill="1" applyAlignment="1" applyProtection="1">
      <alignment horizontal="center" wrapText="1"/>
      <protection locked="0"/>
    </xf>
    <xf numFmtId="0" fontId="88" fillId="24" borderId="0" xfId="74" applyFont="1" applyFill="1" applyAlignment="1" applyProtection="1">
      <alignment horizontal="center" wrapText="1"/>
      <protection locked="0"/>
    </xf>
    <xf numFmtId="3" fontId="34" fillId="24" borderId="0" xfId="74" applyNumberFormat="1" applyFont="1" applyFill="1" applyProtection="1">
      <protection locked="0"/>
    </xf>
    <xf numFmtId="3" fontId="21" fillId="24" borderId="10" xfId="74" applyNumberFormat="1" applyFont="1" applyFill="1" applyBorder="1" applyAlignment="1" applyProtection="1">
      <alignment horizontal="center" wrapText="1"/>
      <protection locked="0"/>
    </xf>
    <xf numFmtId="1" fontId="21" fillId="24" borderId="10" xfId="74" applyNumberFormat="1" applyFont="1" applyFill="1" applyBorder="1" applyAlignment="1" applyProtection="1">
      <alignment horizontal="center" vertical="center"/>
      <protection locked="0"/>
    </xf>
    <xf numFmtId="3" fontId="21" fillId="24" borderId="40" xfId="74" applyNumberFormat="1" applyFont="1" applyFill="1" applyBorder="1" applyAlignment="1" applyProtection="1">
      <alignment vertical="center"/>
      <protection locked="0"/>
    </xf>
    <xf numFmtId="0" fontId="89" fillId="24" borderId="10" xfId="74" applyFont="1" applyFill="1" applyBorder="1" applyAlignment="1" applyProtection="1">
      <alignment horizontal="justify" vertical="center" wrapText="1"/>
      <protection locked="0"/>
    </xf>
    <xf numFmtId="0" fontId="89" fillId="24" borderId="10" xfId="74" applyFont="1" applyFill="1" applyBorder="1" applyAlignment="1" applyProtection="1">
      <alignment horizontal="left" vertical="center" wrapText="1"/>
      <protection locked="0"/>
    </xf>
    <xf numFmtId="3" fontId="21" fillId="24" borderId="10" xfId="74" applyNumberFormat="1" applyFont="1" applyFill="1" applyBorder="1" applyAlignment="1">
      <alignment horizontal="right" vertical="center"/>
    </xf>
    <xf numFmtId="168" fontId="21" fillId="24" borderId="10" xfId="74" applyNumberFormat="1" applyFont="1" applyFill="1" applyBorder="1" applyAlignment="1">
      <alignment horizontal="right" vertical="center"/>
    </xf>
    <xf numFmtId="168" fontId="89" fillId="24" borderId="10" xfId="74" applyNumberFormat="1" applyFont="1" applyFill="1" applyBorder="1" applyAlignment="1">
      <alignment horizontal="right" vertical="center"/>
    </xf>
    <xf numFmtId="3" fontId="89" fillId="24" borderId="10" xfId="74" applyNumberFormat="1" applyFont="1" applyFill="1" applyBorder="1" applyAlignment="1">
      <alignment horizontal="right" vertical="center"/>
    </xf>
    <xf numFmtId="3" fontId="21" fillId="24" borderId="10" xfId="74" applyNumberFormat="1" applyFont="1" applyFill="1" applyBorder="1" applyAlignment="1" applyProtection="1">
      <alignment horizontal="right" vertical="center" wrapText="1"/>
      <protection locked="0"/>
    </xf>
    <xf numFmtId="168" fontId="21" fillId="24" borderId="10" xfId="74" applyNumberFormat="1" applyFont="1" applyFill="1" applyBorder="1" applyAlignment="1" applyProtection="1">
      <alignment horizontal="right" vertical="center" wrapText="1"/>
      <protection locked="0"/>
    </xf>
    <xf numFmtId="3" fontId="21" fillId="30" borderId="10" xfId="74" applyNumberFormat="1" applyFont="1" applyFill="1" applyBorder="1" applyAlignment="1" applyProtection="1">
      <alignment horizontal="right" vertical="center"/>
      <protection locked="0"/>
    </xf>
    <xf numFmtId="0" fontId="34" fillId="24" borderId="10" xfId="74" applyFont="1" applyFill="1" applyBorder="1" applyAlignment="1" applyProtection="1">
      <alignment horizontal="justify" vertical="center"/>
      <protection locked="0"/>
    </xf>
    <xf numFmtId="0" fontId="21" fillId="24" borderId="10" xfId="74" applyFont="1" applyFill="1" applyBorder="1" applyAlignment="1" applyProtection="1">
      <alignment horizontal="justify"/>
      <protection locked="0"/>
    </xf>
    <xf numFmtId="0" fontId="21" fillId="24" borderId="10" xfId="74" applyFont="1" applyFill="1" applyBorder="1" applyAlignment="1" applyProtection="1">
      <alignment horizontal="center"/>
      <protection locked="0"/>
    </xf>
    <xf numFmtId="49" fontId="21" fillId="24" borderId="10" xfId="74" applyNumberFormat="1" applyFont="1" applyFill="1" applyBorder="1" applyProtection="1">
      <protection locked="0"/>
    </xf>
    <xf numFmtId="0" fontId="34" fillId="24" borderId="10" xfId="74" applyFont="1" applyFill="1" applyBorder="1" applyAlignment="1" applyProtection="1">
      <alignment horizontal="justify"/>
      <protection locked="0"/>
    </xf>
    <xf numFmtId="0" fontId="34" fillId="24" borderId="10" xfId="74" applyFont="1" applyFill="1" applyBorder="1" applyAlignment="1" applyProtection="1">
      <alignment horizontal="center"/>
      <protection locked="0"/>
    </xf>
    <xf numFmtId="49" fontId="34" fillId="24" borderId="10" xfId="74" applyNumberFormat="1" applyFont="1" applyFill="1" applyBorder="1" applyProtection="1">
      <protection locked="0"/>
    </xf>
    <xf numFmtId="3" fontId="23" fillId="24" borderId="0" xfId="80" applyNumberFormat="1" applyFill="1" applyAlignment="1">
      <alignment horizontal="justify" vertical="center" wrapText="1"/>
    </xf>
    <xf numFmtId="3" fontId="23" fillId="24" borderId="0" xfId="80" applyNumberFormat="1" applyFill="1" applyAlignment="1">
      <alignment horizontal="center" vertical="center" wrapText="1"/>
    </xf>
    <xf numFmtId="3" fontId="60" fillId="24" borderId="10" xfId="80" applyNumberFormat="1" applyFont="1" applyFill="1" applyBorder="1" applyAlignment="1">
      <alignment horizontal="right" vertical="center" wrapText="1"/>
    </xf>
    <xf numFmtId="3" fontId="23" fillId="24" borderId="10" xfId="80" applyNumberFormat="1" applyFill="1" applyBorder="1" applyAlignment="1">
      <alignment horizontal="right" vertical="center" wrapText="1"/>
    </xf>
    <xf numFmtId="4" fontId="105" fillId="24" borderId="0" xfId="80" applyNumberFormat="1" applyFont="1" applyFill="1" applyAlignment="1">
      <alignment vertical="center" wrapText="1"/>
    </xf>
    <xf numFmtId="3" fontId="58" fillId="24" borderId="0" xfId="80" applyNumberFormat="1" applyFont="1" applyFill="1" applyAlignment="1">
      <alignment horizontal="left" vertical="center"/>
    </xf>
    <xf numFmtId="3" fontId="58" fillId="24" borderId="0" xfId="80" applyNumberFormat="1" applyFont="1" applyFill="1" applyAlignment="1">
      <alignment vertical="center" wrapText="1"/>
    </xf>
    <xf numFmtId="3" fontId="58" fillId="24" borderId="0" xfId="80" applyNumberFormat="1" applyFont="1" applyFill="1" applyAlignment="1" applyProtection="1">
      <alignment horizontal="right" vertical="center" wrapText="1"/>
      <protection locked="0"/>
    </xf>
    <xf numFmtId="3" fontId="60" fillId="24" borderId="0" xfId="80" applyNumberFormat="1" applyFont="1" applyFill="1" applyAlignment="1">
      <alignment horizontal="justify" vertical="center" wrapText="1"/>
    </xf>
    <xf numFmtId="3" fontId="65" fillId="24" borderId="0" xfId="80" applyNumberFormat="1" applyFont="1" applyFill="1" applyAlignment="1">
      <alignment horizontal="right" vertical="center" wrapText="1"/>
    </xf>
    <xf numFmtId="3" fontId="57" fillId="24" borderId="0" xfId="80" applyNumberFormat="1" applyFont="1" applyFill="1" applyAlignment="1">
      <alignment vertical="center" wrapText="1"/>
    </xf>
    <xf numFmtId="3" fontId="60" fillId="24" borderId="0" xfId="80" applyNumberFormat="1" applyFont="1" applyFill="1" applyAlignment="1">
      <alignment horizontal="left" vertical="center" wrapText="1"/>
    </xf>
    <xf numFmtId="0" fontId="23" fillId="24" borderId="10" xfId="80" applyFill="1" applyBorder="1" applyAlignment="1">
      <alignment horizontal="right" vertical="center" wrapText="1"/>
    </xf>
    <xf numFmtId="3" fontId="60" fillId="24" borderId="0" xfId="80" applyNumberFormat="1" applyFont="1" applyFill="1" applyAlignment="1">
      <alignment horizontal="right" vertical="center" wrapText="1"/>
    </xf>
    <xf numFmtId="167" fontId="65" fillId="24" borderId="10" xfId="80" applyNumberFormat="1" applyFont="1" applyFill="1" applyBorder="1" applyAlignment="1">
      <alignment horizontal="right" vertical="center" wrapText="1"/>
    </xf>
    <xf numFmtId="4" fontId="58" fillId="24" borderId="0" xfId="80" applyNumberFormat="1" applyFont="1" applyFill="1" applyAlignment="1" applyProtection="1">
      <alignment horizontal="right" vertical="center" wrapText="1"/>
      <protection locked="0"/>
    </xf>
    <xf numFmtId="3" fontId="57" fillId="24" borderId="0" xfId="80" applyNumberFormat="1" applyFont="1" applyFill="1" applyAlignment="1">
      <alignment horizontal="center" vertical="center" wrapText="1"/>
    </xf>
    <xf numFmtId="3" fontId="0" fillId="24" borderId="0" xfId="0" applyNumberFormat="1" applyFill="1" applyAlignment="1">
      <alignment vertical="center"/>
    </xf>
    <xf numFmtId="0" fontId="113" fillId="24" borderId="0" xfId="0" applyFont="1" applyFill="1" applyAlignment="1">
      <alignment vertical="center"/>
    </xf>
    <xf numFmtId="0" fontId="0" fillId="24" borderId="0" xfId="0" applyFill="1" applyAlignment="1">
      <alignment vertical="center" wrapText="1"/>
    </xf>
    <xf numFmtId="3" fontId="0" fillId="24" borderId="0" xfId="0" applyNumberFormat="1" applyFill="1" applyAlignment="1">
      <alignment horizontal="left" vertical="center"/>
    </xf>
    <xf numFmtId="0" fontId="114" fillId="24" borderId="0" xfId="0" applyFont="1" applyFill="1" applyAlignment="1">
      <alignment vertical="center"/>
    </xf>
    <xf numFmtId="3" fontId="114" fillId="24" borderId="0" xfId="0" applyNumberFormat="1" applyFont="1" applyFill="1" applyAlignment="1">
      <alignment vertical="center"/>
    </xf>
    <xf numFmtId="0" fontId="115" fillId="24" borderId="0" xfId="0" applyFont="1" applyFill="1" applyAlignment="1">
      <alignment vertical="center" wrapText="1"/>
    </xf>
    <xf numFmtId="3" fontId="116" fillId="24" borderId="0" xfId="0" applyNumberFormat="1" applyFont="1" applyFill="1" applyAlignment="1">
      <alignment vertical="center"/>
    </xf>
    <xf numFmtId="3" fontId="117" fillId="24" borderId="0" xfId="0" applyNumberFormat="1" applyFont="1" applyFill="1" applyAlignment="1">
      <alignment vertical="center"/>
    </xf>
    <xf numFmtId="3" fontId="88" fillId="24" borderId="0" xfId="0" applyNumberFormat="1" applyFont="1" applyFill="1" applyAlignment="1">
      <alignment horizontal="left" vertical="center"/>
    </xf>
    <xf numFmtId="3" fontId="113" fillId="24" borderId="0" xfId="0" applyNumberFormat="1" applyFont="1" applyFill="1" applyAlignment="1">
      <alignment vertical="center"/>
    </xf>
    <xf numFmtId="3" fontId="113" fillId="24" borderId="0" xfId="0" applyNumberFormat="1" applyFont="1" applyFill="1" applyAlignment="1">
      <alignment horizontal="left" vertical="center"/>
    </xf>
    <xf numFmtId="3" fontId="74" fillId="24" borderId="0" xfId="80" applyNumberFormat="1" applyFont="1" applyFill="1" applyAlignment="1">
      <alignment horizontal="center" vertical="center" wrapText="1"/>
    </xf>
    <xf numFmtId="3" fontId="63" fillId="24" borderId="0" xfId="80" applyNumberFormat="1" applyFont="1" applyFill="1" applyAlignment="1">
      <alignment horizontal="center" vertical="center"/>
    </xf>
    <xf numFmtId="3" fontId="58" fillId="24" borderId="0" xfId="80" applyNumberFormat="1" applyFont="1" applyFill="1" applyAlignment="1">
      <alignment horizontal="center" vertical="center"/>
    </xf>
    <xf numFmtId="3" fontId="69" fillId="24" borderId="0" xfId="80" applyNumberFormat="1" applyFont="1" applyFill="1" applyAlignment="1">
      <alignment horizontal="center" vertical="center" wrapText="1"/>
    </xf>
    <xf numFmtId="3" fontId="105" fillId="24" borderId="0" xfId="80" applyNumberFormat="1" applyFont="1" applyFill="1" applyAlignment="1">
      <alignment horizontal="center" vertical="center" wrapText="1"/>
    </xf>
    <xf numFmtId="169" fontId="105" fillId="24" borderId="0" xfId="80" applyNumberFormat="1" applyFont="1" applyFill="1" applyAlignment="1">
      <alignment horizontal="center" vertical="center" wrapText="1"/>
    </xf>
    <xf numFmtId="4" fontId="23" fillId="24" borderId="0" xfId="80" applyNumberFormat="1" applyFill="1" applyAlignment="1">
      <alignment vertical="center" wrapText="1"/>
    </xf>
    <xf numFmtId="0" fontId="0" fillId="0" borderId="0" xfId="0" applyAlignment="1">
      <alignment horizontal="center"/>
    </xf>
    <xf numFmtId="0" fontId="0" fillId="0" borderId="10" xfId="0" applyBorder="1"/>
    <xf numFmtId="0" fontId="88" fillId="0" borderId="10" xfId="0" applyFont="1" applyBorder="1" applyAlignment="1">
      <alignment horizontal="center" vertical="center"/>
    </xf>
    <xf numFmtId="0" fontId="88" fillId="0" borderId="25" xfId="0" applyFont="1" applyBorder="1" applyAlignment="1">
      <alignment horizontal="center" vertical="center" wrapText="1"/>
    </xf>
    <xf numFmtId="0" fontId="119" fillId="0" borderId="10" xfId="0" applyFont="1" applyBorder="1" applyAlignment="1">
      <alignment horizontal="center" vertical="center" wrapText="1"/>
    </xf>
    <xf numFmtId="3" fontId="88" fillId="0" borderId="10" xfId="0" applyNumberFormat="1" applyFont="1" applyBorder="1" applyAlignment="1">
      <alignment horizontal="center" vertical="center" wrapText="1"/>
    </xf>
    <xf numFmtId="3" fontId="88" fillId="0" borderId="55" xfId="0" applyNumberFormat="1" applyFont="1" applyBorder="1" applyAlignment="1">
      <alignment horizontal="center" vertical="center" wrapText="1"/>
    </xf>
    <xf numFmtId="49" fontId="0" fillId="0" borderId="25" xfId="0" applyNumberFormat="1" applyBorder="1" applyAlignment="1">
      <alignment horizontal="center"/>
    </xf>
    <xf numFmtId="49" fontId="0" fillId="0" borderId="10" xfId="0" applyNumberFormat="1" applyBorder="1" applyAlignment="1">
      <alignment horizontal="center"/>
    </xf>
    <xf numFmtId="0" fontId="0" fillId="0" borderId="10" xfId="0" applyBorder="1" applyAlignment="1">
      <alignment horizontal="center"/>
    </xf>
    <xf numFmtId="3" fontId="0" fillId="0" borderId="10" xfId="0" applyNumberFormat="1" applyBorder="1"/>
    <xf numFmtId="0" fontId="0" fillId="7" borderId="10" xfId="0" applyFill="1" applyBorder="1"/>
    <xf numFmtId="49" fontId="0" fillId="7" borderId="25" xfId="0" applyNumberFormat="1" applyFill="1" applyBorder="1" applyAlignment="1">
      <alignment horizontal="center"/>
    </xf>
    <xf numFmtId="49" fontId="0" fillId="7" borderId="10" xfId="0" applyNumberFormat="1" applyFill="1" applyBorder="1" applyAlignment="1">
      <alignment horizontal="center"/>
    </xf>
    <xf numFmtId="0" fontId="0" fillId="7" borderId="10" xfId="0" applyFill="1" applyBorder="1" applyAlignment="1">
      <alignment horizontal="center"/>
    </xf>
    <xf numFmtId="3" fontId="0" fillId="7" borderId="10" xfId="0" applyNumberFormat="1" applyFill="1" applyBorder="1"/>
    <xf numFmtId="0" fontId="0" fillId="0" borderId="10" xfId="0" applyBorder="1" applyAlignment="1">
      <alignment wrapText="1"/>
    </xf>
    <xf numFmtId="0" fontId="0" fillId="0" borderId="25" xfId="0" applyBorder="1" applyAlignment="1">
      <alignment horizontal="center"/>
    </xf>
    <xf numFmtId="3" fontId="0" fillId="0" borderId="0" xfId="0" applyNumberFormat="1" applyAlignment="1">
      <alignment horizontal="right"/>
    </xf>
    <xf numFmtId="3" fontId="47" fillId="30" borderId="10" xfId="74" applyNumberFormat="1" applyFont="1" applyFill="1" applyBorder="1" applyAlignment="1" applyProtection="1">
      <alignment horizontal="center" vertical="center" wrapText="1"/>
      <protection locked="0"/>
    </xf>
    <xf numFmtId="49" fontId="86" fillId="30" borderId="10" xfId="74" applyNumberFormat="1" applyFont="1" applyFill="1" applyBorder="1" applyAlignment="1" applyProtection="1">
      <alignment horizontal="center" vertical="center"/>
      <protection locked="0"/>
    </xf>
    <xf numFmtId="3" fontId="100" fillId="30" borderId="10" xfId="74" applyNumberFormat="1" applyFont="1" applyFill="1" applyBorder="1" applyAlignment="1" applyProtection="1">
      <alignment horizontal="right" vertical="center"/>
      <protection locked="0"/>
    </xf>
    <xf numFmtId="3" fontId="47" fillId="30" borderId="10" xfId="74" applyNumberFormat="1" applyFont="1" applyFill="1" applyBorder="1" applyAlignment="1" applyProtection="1">
      <alignment horizontal="right" vertical="center"/>
      <protection locked="0"/>
    </xf>
    <xf numFmtId="49" fontId="47" fillId="24" borderId="10" xfId="74" applyNumberFormat="1" applyFont="1" applyFill="1" applyBorder="1" applyAlignment="1" applyProtection="1">
      <alignment horizontal="justify" vertical="center" wrapText="1"/>
      <protection locked="0"/>
    </xf>
    <xf numFmtId="49" fontId="86" fillId="24" borderId="10" xfId="74" applyNumberFormat="1" applyFont="1" applyFill="1" applyBorder="1" applyAlignment="1" applyProtection="1">
      <alignment horizontal="justify" vertical="center" wrapText="1"/>
      <protection locked="0"/>
    </xf>
    <xf numFmtId="3" fontId="86" fillId="30" borderId="10" xfId="74" applyNumberFormat="1" applyFont="1" applyFill="1" applyBorder="1" applyAlignment="1" applyProtection="1">
      <alignment horizontal="right" vertical="center" wrapText="1"/>
      <protection locked="0"/>
    </xf>
    <xf numFmtId="3" fontId="47" fillId="30" borderId="10" xfId="74" applyNumberFormat="1" applyFont="1" applyFill="1" applyBorder="1" applyAlignment="1" applyProtection="1">
      <alignment horizontal="right" vertical="center" wrapText="1"/>
      <protection locked="0"/>
    </xf>
    <xf numFmtId="3" fontId="86" fillId="30" borderId="10" xfId="74" applyNumberFormat="1" applyFont="1" applyFill="1" applyBorder="1" applyAlignment="1" applyProtection="1">
      <alignment horizontal="right" vertical="center"/>
      <protection locked="0"/>
    </xf>
    <xf numFmtId="49" fontId="75" fillId="24" borderId="10" xfId="74" applyNumberFormat="1" applyFont="1" applyFill="1" applyBorder="1" applyAlignment="1" applyProtection="1">
      <alignment horizontal="left" vertical="center"/>
      <protection locked="0"/>
    </xf>
    <xf numFmtId="3" fontId="75" fillId="30" borderId="10" xfId="74" applyNumberFormat="1" applyFont="1" applyFill="1" applyBorder="1" applyAlignment="1" applyProtection="1">
      <alignment horizontal="right" vertical="center"/>
      <protection locked="0"/>
    </xf>
    <xf numFmtId="3" fontId="21" fillId="30" borderId="10" xfId="74" applyNumberFormat="1" applyFont="1" applyFill="1" applyBorder="1" applyAlignment="1" applyProtection="1">
      <alignment horizontal="center" vertical="center" wrapText="1"/>
      <protection locked="0"/>
    </xf>
    <xf numFmtId="0" fontId="86" fillId="24" borderId="25" xfId="74" applyFont="1" applyFill="1" applyBorder="1" applyAlignment="1" applyProtection="1">
      <alignment horizontal="center" vertical="center"/>
      <protection locked="0"/>
    </xf>
    <xf numFmtId="3" fontId="34" fillId="30" borderId="10" xfId="74" applyNumberFormat="1" applyFont="1" applyFill="1" applyBorder="1" applyAlignment="1" applyProtection="1">
      <alignment horizontal="center" vertical="center" wrapText="1"/>
      <protection locked="0"/>
    </xf>
    <xf numFmtId="3" fontId="21" fillId="24" borderId="10" xfId="74" applyNumberFormat="1" applyFont="1" applyFill="1" applyBorder="1" applyAlignment="1" applyProtection="1">
      <alignment vertical="center"/>
      <protection locked="0"/>
    </xf>
    <xf numFmtId="0" fontId="34" fillId="24" borderId="10" xfId="74" applyFont="1" applyFill="1" applyBorder="1" applyAlignment="1" applyProtection="1">
      <alignment horizontal="right" vertical="center"/>
      <protection locked="0"/>
    </xf>
    <xf numFmtId="49" fontId="34" fillId="24" borderId="10" xfId="74" applyNumberFormat="1" applyFont="1" applyFill="1" applyBorder="1" applyAlignment="1" applyProtection="1">
      <alignment horizontal="right" vertical="center"/>
      <protection locked="0"/>
    </xf>
    <xf numFmtId="49" fontId="34" fillId="30" borderId="10" xfId="74" applyNumberFormat="1" applyFont="1" applyFill="1" applyBorder="1" applyAlignment="1" applyProtection="1">
      <alignment horizontal="right" vertical="center"/>
      <protection locked="0"/>
    </xf>
    <xf numFmtId="0" fontId="21" fillId="24" borderId="10" xfId="74" applyFont="1" applyFill="1" applyBorder="1" applyAlignment="1" applyProtection="1">
      <alignment horizontal="right" vertical="center" wrapText="1"/>
      <protection locked="0"/>
    </xf>
    <xf numFmtId="49" fontId="21" fillId="24" borderId="10" xfId="74" applyNumberFormat="1" applyFont="1" applyFill="1" applyBorder="1" applyAlignment="1" applyProtection="1">
      <alignment horizontal="right" vertical="center"/>
      <protection locked="0"/>
    </xf>
    <xf numFmtId="49" fontId="21" fillId="24" borderId="10" xfId="74" applyNumberFormat="1" applyFont="1" applyFill="1" applyBorder="1" applyAlignment="1" applyProtection="1">
      <alignment horizontal="right" vertical="center" wrapText="1"/>
      <protection locked="0"/>
    </xf>
    <xf numFmtId="49" fontId="34" fillId="24" borderId="10" xfId="74" applyNumberFormat="1" applyFont="1" applyFill="1" applyBorder="1" applyAlignment="1" applyProtection="1">
      <alignment horizontal="right" vertical="center" wrapText="1"/>
      <protection locked="0"/>
    </xf>
    <xf numFmtId="0" fontId="34" fillId="24" borderId="10" xfId="74" applyFont="1" applyFill="1" applyBorder="1" applyAlignment="1" applyProtection="1">
      <alignment horizontal="right" vertical="center" wrapText="1"/>
      <protection locked="0"/>
    </xf>
    <xf numFmtId="1" fontId="21" fillId="24" borderId="10" xfId="74" applyNumberFormat="1" applyFont="1" applyFill="1" applyBorder="1" applyAlignment="1" applyProtection="1">
      <alignment horizontal="right" vertical="center" wrapText="1"/>
      <protection locked="0"/>
    </xf>
    <xf numFmtId="3" fontId="120" fillId="30" borderId="10" xfId="74" applyNumberFormat="1" applyFont="1" applyFill="1" applyBorder="1" applyAlignment="1" applyProtection="1">
      <alignment horizontal="right" vertical="center"/>
      <protection locked="0"/>
    </xf>
    <xf numFmtId="3" fontId="89" fillId="30" borderId="10" xfId="74" applyNumberFormat="1" applyFont="1" applyFill="1" applyBorder="1" applyAlignment="1" applyProtection="1">
      <alignment horizontal="right" vertical="center"/>
      <protection locked="0"/>
    </xf>
    <xf numFmtId="3" fontId="34" fillId="24" borderId="10" xfId="74" applyNumberFormat="1" applyFont="1" applyFill="1" applyBorder="1" applyAlignment="1" applyProtection="1">
      <alignment vertical="center"/>
      <protection locked="0"/>
    </xf>
    <xf numFmtId="9" fontId="21" fillId="24" borderId="0" xfId="90" applyFont="1" applyFill="1" applyBorder="1" applyAlignment="1" applyProtection="1">
      <alignment vertical="center"/>
      <protection locked="0"/>
    </xf>
    <xf numFmtId="9" fontId="89" fillId="24" borderId="10" xfId="90" applyFont="1" applyFill="1" applyBorder="1" applyAlignment="1" applyProtection="1">
      <alignment horizontal="justify" vertical="center" wrapText="1"/>
      <protection locked="0"/>
    </xf>
    <xf numFmtId="9" fontId="21" fillId="24" borderId="10" xfId="90" applyFont="1" applyFill="1" applyBorder="1" applyAlignment="1" applyProtection="1">
      <alignment horizontal="right" vertical="center" wrapText="1"/>
      <protection locked="0"/>
    </xf>
    <xf numFmtId="9" fontId="21" fillId="24" borderId="10" xfId="90" applyFont="1" applyFill="1" applyBorder="1" applyAlignment="1" applyProtection="1">
      <alignment horizontal="right" vertical="center"/>
      <protection locked="0"/>
    </xf>
    <xf numFmtId="3" fontId="89" fillId="24" borderId="10" xfId="74" applyNumberFormat="1" applyFont="1" applyFill="1" applyBorder="1" applyAlignment="1" applyProtection="1">
      <alignment vertical="center"/>
      <protection locked="0"/>
    </xf>
    <xf numFmtId="3" fontId="89" fillId="24" borderId="10" xfId="74" applyNumberFormat="1" applyFont="1" applyFill="1" applyBorder="1" applyAlignment="1" applyProtection="1">
      <alignment horizontal="left" vertical="center" wrapText="1"/>
      <protection locked="0"/>
    </xf>
    <xf numFmtId="0" fontId="89" fillId="24" borderId="10" xfId="74" applyFont="1" applyFill="1" applyBorder="1" applyAlignment="1" applyProtection="1">
      <alignment horizontal="right" vertical="center" wrapText="1"/>
      <protection locked="0"/>
    </xf>
    <xf numFmtId="49" fontId="89" fillId="24" borderId="10"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right" vertical="center"/>
      <protection locked="0"/>
    </xf>
    <xf numFmtId="49" fontId="33" fillId="24" borderId="10" xfId="74" applyNumberFormat="1" applyFont="1" applyFill="1" applyBorder="1" applyAlignment="1" applyProtection="1">
      <alignment horizontal="right" vertical="center"/>
      <protection locked="0"/>
    </xf>
    <xf numFmtId="3" fontId="33" fillId="30" borderId="10" xfId="74" applyNumberFormat="1" applyFont="1" applyFill="1" applyBorder="1" applyAlignment="1" applyProtection="1">
      <alignment horizontal="right" vertical="center"/>
      <protection locked="0"/>
    </xf>
    <xf numFmtId="0" fontId="29" fillId="24" borderId="12" xfId="74" applyFont="1" applyFill="1" applyBorder="1" applyAlignment="1" applyProtection="1">
      <alignment horizontal="center" vertical="center" wrapText="1" shrinkToFit="1"/>
      <protection locked="0"/>
    </xf>
    <xf numFmtId="0" fontId="34" fillId="30" borderId="10" xfId="74" applyFont="1" applyFill="1" applyBorder="1" applyAlignment="1" applyProtection="1">
      <alignment horizontal="center" vertical="center"/>
      <protection locked="0"/>
    </xf>
    <xf numFmtId="3" fontId="101" fillId="30" borderId="10"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justify" vertical="center" wrapText="1"/>
      <protection locked="0"/>
    </xf>
    <xf numFmtId="0" fontId="36" fillId="24" borderId="19" xfId="0" applyFont="1" applyFill="1" applyBorder="1" applyAlignment="1">
      <alignment horizontal="justify" vertical="center" wrapText="1"/>
    </xf>
    <xf numFmtId="0" fontId="21" fillId="24" borderId="10" xfId="74" applyFont="1" applyFill="1" applyBorder="1" applyAlignment="1" applyProtection="1">
      <alignment horizontal="justify" vertical="center"/>
      <protection locked="0"/>
    </xf>
    <xf numFmtId="49" fontId="21" fillId="24" borderId="10" xfId="74" applyNumberFormat="1" applyFont="1" applyFill="1" applyBorder="1" applyAlignment="1" applyProtection="1">
      <alignment vertical="center"/>
      <protection locked="0"/>
    </xf>
    <xf numFmtId="0" fontId="36" fillId="24" borderId="47" xfId="0" applyFont="1" applyFill="1" applyBorder="1" applyAlignment="1">
      <alignment horizontal="justify" vertical="center" wrapText="1"/>
    </xf>
    <xf numFmtId="0" fontId="37" fillId="24" borderId="47" xfId="0" applyFont="1" applyFill="1" applyBorder="1" applyAlignment="1">
      <alignment horizontal="justify" vertical="center" wrapText="1"/>
    </xf>
    <xf numFmtId="0" fontId="90" fillId="24" borderId="10" xfId="74" applyFont="1" applyFill="1" applyBorder="1" applyAlignment="1" applyProtection="1">
      <alignment horizontal="center" vertical="center" wrapText="1"/>
      <protection locked="0"/>
    </xf>
    <xf numFmtId="0" fontId="34" fillId="24" borderId="12" xfId="74" applyFont="1" applyFill="1" applyBorder="1" applyAlignment="1" applyProtection="1">
      <alignment horizontal="justify" vertical="center" wrapText="1"/>
      <protection locked="0"/>
    </xf>
    <xf numFmtId="0" fontId="34" fillId="24" borderId="12" xfId="74" applyFont="1" applyFill="1" applyBorder="1" applyAlignment="1" applyProtection="1">
      <alignment horizontal="center" vertical="center" wrapText="1"/>
      <protection locked="0"/>
    </xf>
    <xf numFmtId="49" fontId="34" fillId="24" borderId="12" xfId="74" applyNumberFormat="1" applyFont="1" applyFill="1" applyBorder="1" applyAlignment="1" applyProtection="1">
      <alignment horizontal="center" vertical="center" wrapText="1"/>
      <protection locked="0"/>
    </xf>
    <xf numFmtId="0" fontId="34" fillId="24" borderId="12" xfId="74" applyFont="1" applyFill="1" applyBorder="1" applyAlignment="1" applyProtection="1">
      <alignment horizontal="left" vertical="center" wrapText="1"/>
      <protection locked="0"/>
    </xf>
    <xf numFmtId="49" fontId="34" fillId="24" borderId="12" xfId="74" applyNumberFormat="1" applyFont="1" applyFill="1" applyBorder="1" applyAlignment="1" applyProtection="1">
      <alignment horizontal="center" vertical="center"/>
      <protection locked="0"/>
    </xf>
    <xf numFmtId="3" fontId="34" fillId="24" borderId="12" xfId="74" applyNumberFormat="1" applyFont="1" applyFill="1" applyBorder="1" applyAlignment="1" applyProtection="1">
      <alignment horizontal="right" vertical="center"/>
      <protection locked="0"/>
    </xf>
    <xf numFmtId="3" fontId="34" fillId="30" borderId="12" xfId="74" applyNumberFormat="1" applyFont="1" applyFill="1" applyBorder="1" applyAlignment="1" applyProtection="1">
      <alignment horizontal="right" vertical="center"/>
      <protection locked="0"/>
    </xf>
    <xf numFmtId="168" fontId="34" fillId="24" borderId="12" xfId="74" applyNumberFormat="1" applyFont="1" applyFill="1" applyBorder="1" applyAlignment="1" applyProtection="1">
      <alignment horizontal="right" vertical="center"/>
      <protection locked="0"/>
    </xf>
    <xf numFmtId="0" fontId="34" fillId="30" borderId="10" xfId="74" applyFont="1" applyFill="1" applyBorder="1" applyAlignment="1" applyProtection="1">
      <alignment horizontal="right" vertical="center" wrapText="1"/>
      <protection locked="0"/>
    </xf>
    <xf numFmtId="168" fontId="34" fillId="24" borderId="10" xfId="74" applyNumberFormat="1" applyFont="1" applyFill="1" applyBorder="1" applyAlignment="1" applyProtection="1">
      <alignment horizontal="right" vertical="center" wrapText="1"/>
      <protection locked="0"/>
    </xf>
    <xf numFmtId="0" fontId="34" fillId="24" borderId="11" xfId="74" applyFont="1" applyFill="1" applyBorder="1" applyAlignment="1" applyProtection="1">
      <alignment horizontal="center" vertical="center"/>
      <protection locked="0"/>
    </xf>
    <xf numFmtId="0" fontId="21" fillId="24" borderId="11" xfId="74" applyFont="1" applyFill="1" applyBorder="1" applyAlignment="1" applyProtection="1">
      <alignment horizontal="justify" vertical="center" wrapText="1"/>
      <protection locked="0"/>
    </xf>
    <xf numFmtId="0" fontId="21" fillId="24" borderId="11" xfId="74" applyFont="1" applyFill="1" applyBorder="1" applyAlignment="1" applyProtection="1">
      <alignment horizontal="center" vertical="center" wrapText="1"/>
      <protection locked="0"/>
    </xf>
    <xf numFmtId="49" fontId="21" fillId="24" borderId="11" xfId="74" applyNumberFormat="1" applyFont="1" applyFill="1" applyBorder="1" applyAlignment="1" applyProtection="1">
      <alignment horizontal="center" vertical="center" wrapText="1"/>
      <protection locked="0"/>
    </xf>
    <xf numFmtId="3" fontId="21" fillId="24" borderId="11" xfId="74" applyNumberFormat="1" applyFont="1" applyFill="1" applyBorder="1" applyAlignment="1">
      <alignment horizontal="right" vertical="center"/>
    </xf>
    <xf numFmtId="3" fontId="21" fillId="30" borderId="11" xfId="74" applyNumberFormat="1" applyFont="1" applyFill="1" applyBorder="1" applyAlignment="1">
      <alignment horizontal="right" vertical="center"/>
    </xf>
    <xf numFmtId="168" fontId="21" fillId="24" borderId="11" xfId="74" applyNumberFormat="1" applyFont="1" applyFill="1" applyBorder="1" applyAlignment="1">
      <alignment horizontal="right" vertical="center"/>
    </xf>
    <xf numFmtId="3" fontId="21" fillId="24" borderId="56" xfId="74" applyNumberFormat="1" applyFont="1" applyFill="1" applyBorder="1" applyAlignment="1" applyProtection="1">
      <alignment horizontal="right" vertical="center"/>
      <protection locked="0"/>
    </xf>
    <xf numFmtId="3" fontId="21" fillId="30" borderId="56" xfId="74" applyNumberFormat="1" applyFont="1" applyFill="1" applyBorder="1" applyAlignment="1" applyProtection="1">
      <alignment horizontal="right" vertical="center"/>
      <protection locked="0"/>
    </xf>
    <xf numFmtId="168" fontId="21" fillId="24" borderId="56" xfId="74" applyNumberFormat="1" applyFont="1" applyFill="1" applyBorder="1" applyAlignment="1" applyProtection="1">
      <alignment horizontal="right" vertical="center"/>
      <protection locked="0"/>
    </xf>
    <xf numFmtId="0" fontId="33" fillId="24" borderId="10" xfId="74" applyFont="1" applyFill="1" applyBorder="1" applyAlignment="1" applyProtection="1">
      <alignment horizontal="center" vertical="center" wrapText="1"/>
      <protection locked="0"/>
    </xf>
    <xf numFmtId="0" fontId="21" fillId="24" borderId="25" xfId="74" applyFont="1" applyFill="1" applyBorder="1" applyAlignment="1" applyProtection="1">
      <alignment horizontal="left" vertical="center"/>
      <protection locked="0"/>
    </xf>
    <xf numFmtId="0" fontId="21" fillId="24" borderId="10" xfId="74" applyFont="1" applyFill="1" applyBorder="1" applyAlignment="1" applyProtection="1">
      <alignment horizontal="right" vertical="center"/>
      <protection locked="0"/>
    </xf>
    <xf numFmtId="0" fontId="34" fillId="24" borderId="25" xfId="74" applyFont="1" applyFill="1" applyBorder="1" applyAlignment="1" applyProtection="1">
      <alignment horizontal="left" vertical="center"/>
      <protection locked="0"/>
    </xf>
    <xf numFmtId="0" fontId="21" fillId="24" borderId="21" xfId="74" applyFont="1" applyFill="1" applyBorder="1" applyAlignment="1" applyProtection="1">
      <alignment horizontal="center" vertical="center" wrapText="1"/>
      <protection locked="0"/>
    </xf>
    <xf numFmtId="0" fontId="21" fillId="24" borderId="21" xfId="74" applyFont="1" applyFill="1" applyBorder="1" applyAlignment="1" applyProtection="1">
      <alignment horizontal="justify" vertical="center" wrapText="1"/>
      <protection locked="0"/>
    </xf>
    <xf numFmtId="49" fontId="21" fillId="24" borderId="21" xfId="74" applyNumberFormat="1" applyFont="1" applyFill="1" applyBorder="1" applyAlignment="1" applyProtection="1">
      <alignment horizontal="justify" vertical="center" wrapText="1"/>
      <protection locked="0"/>
    </xf>
    <xf numFmtId="49" fontId="21" fillId="24" borderId="21" xfId="74" applyNumberFormat="1" applyFont="1" applyFill="1" applyBorder="1" applyAlignment="1" applyProtection="1">
      <alignment horizontal="center" vertical="center" wrapText="1"/>
      <protection locked="0"/>
    </xf>
    <xf numFmtId="0" fontId="89" fillId="24" borderId="25" xfId="74" applyFont="1" applyFill="1" applyBorder="1" applyAlignment="1" applyProtection="1">
      <alignment horizontal="left" vertical="center"/>
      <protection locked="0"/>
    </xf>
    <xf numFmtId="0" fontId="21" fillId="24" borderId="25" xfId="74" applyFont="1" applyFill="1" applyBorder="1" applyAlignment="1" applyProtection="1">
      <alignment vertical="center"/>
      <protection locked="0"/>
    </xf>
    <xf numFmtId="49" fontId="89" fillId="24" borderId="25" xfId="74" applyNumberFormat="1" applyFont="1" applyFill="1" applyBorder="1" applyAlignment="1" applyProtection="1">
      <alignment horizontal="center" vertical="center"/>
      <protection locked="0"/>
    </xf>
    <xf numFmtId="0" fontId="89" fillId="24" borderId="25" xfId="74" applyFont="1" applyFill="1" applyBorder="1" applyAlignment="1" applyProtection="1">
      <alignment horizontal="center" vertical="center"/>
      <protection locked="0"/>
    </xf>
    <xf numFmtId="0" fontId="102" fillId="24" borderId="25" xfId="74" applyFont="1" applyFill="1" applyBorder="1" applyAlignment="1" applyProtection="1">
      <alignment horizontal="left" vertical="center"/>
      <protection locked="0"/>
    </xf>
    <xf numFmtId="0" fontId="102" fillId="24" borderId="25" xfId="74" applyFont="1" applyFill="1" applyBorder="1" applyAlignment="1" applyProtection="1">
      <alignment horizontal="center" vertical="center"/>
      <protection locked="0"/>
    </xf>
    <xf numFmtId="0" fontId="102" fillId="24" borderId="10" xfId="74" applyFont="1" applyFill="1" applyBorder="1" applyAlignment="1" applyProtection="1">
      <alignment horizontal="center" vertical="center"/>
      <protection locked="0"/>
    </xf>
    <xf numFmtId="3" fontId="102" fillId="24" borderId="10" xfId="74" applyNumberFormat="1" applyFont="1" applyFill="1" applyBorder="1" applyAlignment="1" applyProtection="1">
      <alignment horizontal="right" vertical="center"/>
      <protection locked="0"/>
    </xf>
    <xf numFmtId="3" fontId="102" fillId="30" borderId="10" xfId="74" applyNumberFormat="1" applyFont="1" applyFill="1" applyBorder="1" applyAlignment="1" applyProtection="1">
      <alignment horizontal="right" vertical="center"/>
      <protection locked="0"/>
    </xf>
    <xf numFmtId="168" fontId="102" fillId="24" borderId="10" xfId="74" applyNumberFormat="1" applyFont="1" applyFill="1" applyBorder="1" applyAlignment="1" applyProtection="1">
      <alignment horizontal="right" vertical="center"/>
      <protection locked="0"/>
    </xf>
    <xf numFmtId="3" fontId="102" fillId="24" borderId="0" xfId="74" applyNumberFormat="1" applyFont="1" applyFill="1" applyAlignment="1" applyProtection="1">
      <alignment horizontal="right" vertical="center"/>
      <protection locked="0"/>
    </xf>
    <xf numFmtId="49" fontId="34" fillId="24" borderId="0" xfId="74" applyNumberFormat="1" applyFont="1" applyFill="1" applyAlignment="1" applyProtection="1">
      <alignment horizontal="right" vertical="center"/>
      <protection locked="0"/>
    </xf>
    <xf numFmtId="0" fontId="51" fillId="24" borderId="12" xfId="74" applyFont="1" applyFill="1" applyBorder="1" applyAlignment="1" applyProtection="1">
      <alignment horizontal="center" vertical="center"/>
      <protection locked="0"/>
    </xf>
    <xf numFmtId="49" fontId="51" fillId="24" borderId="12" xfId="74" applyNumberFormat="1" applyFont="1" applyFill="1" applyBorder="1" applyAlignment="1" applyProtection="1">
      <alignment horizontal="center" vertical="center"/>
      <protection locked="0"/>
    </xf>
    <xf numFmtId="49" fontId="21" fillId="24" borderId="12" xfId="74" applyNumberFormat="1" applyFont="1" applyFill="1" applyBorder="1" applyAlignment="1" applyProtection="1">
      <alignment horizontal="center" vertical="center" wrapText="1"/>
      <protection locked="0"/>
    </xf>
    <xf numFmtId="3" fontId="21" fillId="24" borderId="12" xfId="74" applyNumberFormat="1" applyFont="1" applyFill="1" applyBorder="1" applyAlignment="1" applyProtection="1">
      <alignment horizontal="center" vertical="center" wrapText="1"/>
      <protection locked="0"/>
    </xf>
    <xf numFmtId="3" fontId="21" fillId="30" borderId="12" xfId="74" applyNumberFormat="1" applyFont="1" applyFill="1" applyBorder="1" applyAlignment="1" applyProtection="1">
      <alignment horizontal="center" vertical="center" wrapText="1"/>
      <protection locked="0"/>
    </xf>
    <xf numFmtId="168" fontId="21" fillId="24" borderId="12" xfId="74" applyNumberFormat="1" applyFont="1" applyFill="1" applyBorder="1" applyAlignment="1" applyProtection="1">
      <alignment horizontal="center" vertical="center" wrapText="1"/>
      <protection locked="0"/>
    </xf>
    <xf numFmtId="0" fontId="34" fillId="24" borderId="10" xfId="74" applyFont="1" applyFill="1" applyBorder="1" applyAlignment="1" applyProtection="1">
      <alignment horizontal="left" vertical="center"/>
      <protection locked="0"/>
    </xf>
    <xf numFmtId="0" fontId="89" fillId="24" borderId="10" xfId="0" applyFont="1" applyFill="1" applyBorder="1" applyAlignment="1">
      <alignment horizontal="justify" vertical="center" wrapText="1"/>
    </xf>
    <xf numFmtId="49" fontId="89" fillId="24" borderId="10" xfId="0" applyNumberFormat="1" applyFont="1" applyFill="1" applyBorder="1" applyAlignment="1">
      <alignment horizontal="center" vertical="center" wrapText="1"/>
    </xf>
    <xf numFmtId="0" fontId="89" fillId="24" borderId="10" xfId="0" applyFont="1" applyFill="1" applyBorder="1" applyAlignment="1">
      <alignment horizontal="center" vertical="center" wrapText="1"/>
    </xf>
    <xf numFmtId="0" fontId="21" fillId="24" borderId="10" xfId="0" applyFont="1" applyFill="1" applyBorder="1" applyAlignment="1">
      <alignment horizontal="center"/>
    </xf>
    <xf numFmtId="0" fontId="21" fillId="24" borderId="10" xfId="0" applyFont="1" applyFill="1" applyBorder="1" applyAlignment="1">
      <alignment horizontal="center" vertical="center"/>
    </xf>
    <xf numFmtId="49" fontId="34" fillId="24" borderId="11" xfId="74" applyNumberFormat="1" applyFont="1" applyFill="1" applyBorder="1" applyAlignment="1" applyProtection="1">
      <alignment horizontal="center" vertical="center" wrapText="1"/>
      <protection locked="0"/>
    </xf>
    <xf numFmtId="0" fontId="34" fillId="24" borderId="11" xfId="74" applyFont="1" applyFill="1" applyBorder="1" applyAlignment="1" applyProtection="1">
      <alignment horizontal="center" vertical="center" wrapText="1"/>
      <protection locked="0"/>
    </xf>
    <xf numFmtId="0" fontId="34" fillId="24" borderId="11" xfId="74" applyFont="1" applyFill="1" applyBorder="1" applyAlignment="1" applyProtection="1">
      <alignment horizontal="justify" vertical="center" wrapText="1"/>
      <protection locked="0"/>
    </xf>
    <xf numFmtId="170" fontId="37" fillId="24" borderId="57" xfId="74" applyNumberFormat="1" applyFont="1" applyFill="1" applyBorder="1" applyAlignment="1" applyProtection="1">
      <alignment horizontal="center" vertical="center"/>
      <protection locked="0"/>
    </xf>
    <xf numFmtId="3" fontId="21" fillId="24" borderId="57" xfId="74" applyNumberFormat="1" applyFont="1" applyFill="1" applyBorder="1" applyAlignment="1" applyProtection="1">
      <alignment horizontal="right" vertical="center"/>
      <protection locked="0"/>
    </xf>
    <xf numFmtId="171" fontId="34" fillId="24" borderId="10" xfId="74" applyNumberFormat="1" applyFont="1" applyFill="1" applyBorder="1" applyAlignment="1" applyProtection="1">
      <alignment horizontal="right" vertical="center"/>
      <protection locked="0"/>
    </xf>
    <xf numFmtId="171" fontId="21" fillId="24" borderId="10" xfId="74" applyNumberFormat="1" applyFont="1" applyFill="1" applyBorder="1" applyAlignment="1" applyProtection="1">
      <alignment horizontal="right" vertical="center"/>
      <protection locked="0"/>
    </xf>
    <xf numFmtId="49" fontId="34" fillId="24" borderId="12" xfId="74" applyNumberFormat="1" applyFont="1" applyFill="1" applyBorder="1" applyAlignment="1" applyProtection="1">
      <alignment horizontal="right" vertical="center" wrapText="1"/>
      <protection locked="0"/>
    </xf>
    <xf numFmtId="0" fontId="34" fillId="24" borderId="12" xfId="74" applyFont="1" applyFill="1" applyBorder="1" applyAlignment="1" applyProtection="1">
      <alignment horizontal="right" vertical="center" wrapText="1"/>
      <protection locked="0"/>
    </xf>
    <xf numFmtId="49" fontId="34" fillId="24" borderId="12" xfId="74" applyNumberFormat="1" applyFont="1" applyFill="1" applyBorder="1" applyAlignment="1" applyProtection="1">
      <alignment horizontal="right" vertical="center"/>
      <protection locked="0"/>
    </xf>
    <xf numFmtId="171" fontId="34" fillId="24" borderId="10" xfId="74" applyNumberFormat="1" applyFont="1" applyFill="1" applyBorder="1" applyAlignment="1" applyProtection="1">
      <alignment horizontal="right" vertical="center" wrapText="1"/>
      <protection locked="0"/>
    </xf>
    <xf numFmtId="49" fontId="21" fillId="24" borderId="11" xfId="74" applyNumberFormat="1" applyFont="1" applyFill="1" applyBorder="1" applyAlignment="1" applyProtection="1">
      <alignment horizontal="right" vertical="center" wrapText="1"/>
      <protection locked="0"/>
    </xf>
    <xf numFmtId="0" fontId="21" fillId="24" borderId="11" xfId="74" applyFont="1" applyFill="1" applyBorder="1" applyAlignment="1" applyProtection="1">
      <alignment horizontal="right" vertical="center" wrapText="1"/>
      <protection locked="0"/>
    </xf>
    <xf numFmtId="49" fontId="21" fillId="24" borderId="11" xfId="74" applyNumberFormat="1" applyFont="1" applyFill="1" applyBorder="1" applyAlignment="1" applyProtection="1">
      <alignment horizontal="right" vertical="center"/>
      <protection locked="0"/>
    </xf>
    <xf numFmtId="171" fontId="21" fillId="24" borderId="11" xfId="74" applyNumberFormat="1" applyFont="1" applyFill="1" applyBorder="1" applyAlignment="1">
      <alignment horizontal="right" vertical="center"/>
    </xf>
    <xf numFmtId="3" fontId="21" fillId="30" borderId="10" xfId="74" applyNumberFormat="1" applyFont="1" applyFill="1" applyBorder="1" applyAlignment="1">
      <alignment horizontal="right" vertical="center"/>
    </xf>
    <xf numFmtId="171" fontId="21" fillId="24" borderId="10" xfId="74" applyNumberFormat="1" applyFont="1" applyFill="1" applyBorder="1" applyAlignment="1">
      <alignment horizontal="right" vertical="center"/>
    </xf>
    <xf numFmtId="49" fontId="89" fillId="24" borderId="10" xfId="74" applyNumberFormat="1" applyFont="1" applyFill="1" applyBorder="1" applyAlignment="1" applyProtection="1">
      <alignment horizontal="right" vertical="center" wrapText="1"/>
      <protection locked="0"/>
    </xf>
    <xf numFmtId="0" fontId="102" fillId="24" borderId="10" xfId="74" applyFont="1" applyFill="1" applyBorder="1" applyAlignment="1" applyProtection="1">
      <alignment horizontal="left" vertical="center" wrapText="1"/>
      <protection locked="0"/>
    </xf>
    <xf numFmtId="49" fontId="102" fillId="24" borderId="10" xfId="74" applyNumberFormat="1" applyFont="1" applyFill="1" applyBorder="1" applyAlignment="1" applyProtection="1">
      <alignment horizontal="right" vertical="center" wrapText="1"/>
      <protection locked="0"/>
    </xf>
    <xf numFmtId="0" fontId="102" fillId="24" borderId="10" xfId="74" applyFont="1" applyFill="1" applyBorder="1" applyAlignment="1" applyProtection="1">
      <alignment horizontal="right" vertical="center" wrapText="1"/>
      <protection locked="0"/>
    </xf>
    <xf numFmtId="0" fontId="102" fillId="24" borderId="10" xfId="74" applyFont="1" applyFill="1" applyBorder="1" applyAlignment="1" applyProtection="1">
      <alignment horizontal="right" vertical="center"/>
      <protection locked="0"/>
    </xf>
    <xf numFmtId="49" fontId="102" fillId="24" borderId="10" xfId="74" applyNumberFormat="1" applyFont="1" applyFill="1" applyBorder="1" applyAlignment="1" applyProtection="1">
      <alignment horizontal="right" vertical="center"/>
      <protection locked="0"/>
    </xf>
    <xf numFmtId="49" fontId="21" fillId="24" borderId="0" xfId="74" applyNumberFormat="1" applyFont="1" applyFill="1" applyAlignment="1" applyProtection="1">
      <alignment horizontal="right" vertical="center"/>
      <protection locked="0"/>
    </xf>
    <xf numFmtId="0" fontId="47" fillId="24" borderId="0" xfId="74" applyFont="1" applyFill="1" applyAlignment="1" applyProtection="1">
      <alignment horizontal="justify"/>
      <protection locked="0"/>
    </xf>
    <xf numFmtId="49" fontId="47" fillId="24" borderId="0" xfId="74" applyNumberFormat="1" applyFont="1" applyFill="1" applyAlignment="1" applyProtection="1">
      <alignment horizontal="justify"/>
      <protection locked="0"/>
    </xf>
    <xf numFmtId="49" fontId="47" fillId="24" borderId="0" xfId="74" applyNumberFormat="1" applyFont="1" applyFill="1" applyProtection="1">
      <protection locked="0"/>
    </xf>
    <xf numFmtId="0" fontId="47" fillId="24" borderId="0" xfId="74" applyFont="1" applyFill="1" applyProtection="1">
      <protection locked="0"/>
    </xf>
    <xf numFmtId="0" fontId="0" fillId="24" borderId="0" xfId="0" applyFill="1" applyAlignment="1">
      <alignment horizontal="right"/>
    </xf>
    <xf numFmtId="0" fontId="86" fillId="24" borderId="0" xfId="74" applyFont="1" applyFill="1" applyAlignment="1" applyProtection="1">
      <alignment horizontal="justify"/>
      <protection locked="0"/>
    </xf>
    <xf numFmtId="49" fontId="86" fillId="24" borderId="0" xfId="74" applyNumberFormat="1" applyFont="1" applyFill="1" applyAlignment="1" applyProtection="1">
      <alignment horizontal="justify"/>
      <protection locked="0"/>
    </xf>
    <xf numFmtId="0" fontId="88" fillId="24" borderId="0" xfId="74" applyFont="1" applyFill="1" applyAlignment="1" applyProtection="1">
      <alignment horizontal="right" vertical="center" wrapText="1"/>
      <protection locked="0"/>
    </xf>
    <xf numFmtId="0" fontId="86" fillId="24" borderId="0" xfId="74" applyFont="1" applyFill="1" applyProtection="1">
      <protection locked="0"/>
    </xf>
    <xf numFmtId="0" fontId="86" fillId="24" borderId="10" xfId="74" applyFont="1" applyFill="1" applyBorder="1" applyAlignment="1" applyProtection="1">
      <alignment horizontal="center"/>
      <protection locked="0"/>
    </xf>
    <xf numFmtId="0" fontId="86" fillId="24" borderId="25" xfId="74" applyFont="1" applyFill="1" applyBorder="1" applyAlignment="1" applyProtection="1">
      <alignment horizontal="center"/>
      <protection locked="0"/>
    </xf>
    <xf numFmtId="49" fontId="86" fillId="24" borderId="25" xfId="74" applyNumberFormat="1" applyFont="1" applyFill="1" applyBorder="1" applyAlignment="1" applyProtection="1">
      <alignment horizontal="center"/>
      <protection locked="0"/>
    </xf>
    <xf numFmtId="0" fontId="86" fillId="30" borderId="10" xfId="74" applyFont="1" applyFill="1" applyBorder="1" applyAlignment="1" applyProtection="1">
      <alignment horizontal="center"/>
      <protection locked="0"/>
    </xf>
    <xf numFmtId="3" fontId="86" fillId="24" borderId="10" xfId="74" applyNumberFormat="1" applyFont="1" applyFill="1" applyBorder="1" applyAlignment="1" applyProtection="1">
      <alignment horizontal="center" vertical="center"/>
      <protection locked="0"/>
    </xf>
    <xf numFmtId="3" fontId="86" fillId="30" borderId="10" xfId="74" applyNumberFormat="1" applyFont="1" applyFill="1" applyBorder="1" applyAlignment="1" applyProtection="1">
      <alignment horizontal="center" vertical="center"/>
      <protection locked="0"/>
    </xf>
    <xf numFmtId="3" fontId="47" fillId="24" borderId="10" xfId="74" applyNumberFormat="1" applyFont="1" applyFill="1" applyBorder="1" applyAlignment="1" applyProtection="1">
      <alignment horizontal="justify" vertical="center" wrapText="1"/>
      <protection locked="0"/>
    </xf>
    <xf numFmtId="3" fontId="101" fillId="30" borderId="10" xfId="74" applyNumberFormat="1" applyFont="1" applyFill="1" applyBorder="1" applyAlignment="1" applyProtection="1">
      <alignment horizontal="right" vertical="center" wrapText="1"/>
      <protection locked="0"/>
    </xf>
    <xf numFmtId="49" fontId="86" fillId="24" borderId="10" xfId="74" applyNumberFormat="1" applyFont="1" applyFill="1" applyBorder="1" applyAlignment="1" applyProtection="1">
      <alignment horizontal="left" vertical="center" wrapText="1"/>
      <protection locked="0"/>
    </xf>
    <xf numFmtId="3" fontId="86" fillId="24" borderId="0" xfId="74" applyNumberFormat="1" applyFont="1" applyFill="1" applyAlignment="1" applyProtection="1">
      <alignment horizontal="right"/>
      <protection locked="0"/>
    </xf>
    <xf numFmtId="3" fontId="23" fillId="0" borderId="0" xfId="76" applyNumberFormat="1"/>
    <xf numFmtId="3" fontId="23" fillId="0" borderId="0" xfId="76" applyNumberFormat="1" applyAlignment="1">
      <alignment vertical="center"/>
    </xf>
    <xf numFmtId="3" fontId="23" fillId="0" borderId="0" xfId="76" applyNumberFormat="1" applyAlignment="1">
      <alignment horizontal="center" vertical="center"/>
    </xf>
    <xf numFmtId="3" fontId="64" fillId="0" borderId="42" xfId="76" applyNumberFormat="1" applyFont="1" applyBorder="1" applyAlignment="1" applyProtection="1">
      <alignment horizontal="center" vertical="center"/>
      <protection locked="0"/>
    </xf>
    <xf numFmtId="3" fontId="60" fillId="0" borderId="58" xfId="76" applyNumberFormat="1" applyFont="1" applyBorder="1" applyAlignment="1" applyProtection="1">
      <alignment vertical="center"/>
      <protection locked="0"/>
    </xf>
    <xf numFmtId="3" fontId="60" fillId="0" borderId="10" xfId="76" applyNumberFormat="1" applyFont="1" applyBorder="1" applyAlignment="1" applyProtection="1">
      <alignment vertical="center"/>
      <protection locked="0"/>
    </xf>
    <xf numFmtId="3" fontId="60" fillId="0" borderId="12" xfId="76" applyNumberFormat="1" applyFont="1" applyBorder="1" applyAlignment="1" applyProtection="1">
      <alignment vertical="center"/>
      <protection locked="0"/>
    </xf>
    <xf numFmtId="3" fontId="23" fillId="0" borderId="0" xfId="76" applyNumberFormat="1" applyAlignment="1" applyProtection="1">
      <alignment vertical="center"/>
      <protection locked="0"/>
    </xf>
    <xf numFmtId="3" fontId="57" fillId="0" borderId="0" xfId="76" applyNumberFormat="1" applyFont="1" applyAlignment="1" applyProtection="1">
      <alignment horizontal="justify" vertical="center" wrapText="1"/>
      <protection locked="0"/>
    </xf>
    <xf numFmtId="3" fontId="60" fillId="0" borderId="43" xfId="76" applyNumberFormat="1" applyFont="1" applyBorder="1" applyAlignment="1" applyProtection="1">
      <alignment vertical="center"/>
      <protection locked="0"/>
    </xf>
    <xf numFmtId="0" fontId="81" fillId="0" borderId="0" xfId="79" applyFont="1" applyAlignment="1">
      <alignment vertical="center"/>
    </xf>
    <xf numFmtId="167" fontId="125" fillId="0" borderId="0" xfId="79" applyNumberFormat="1" applyFont="1" applyAlignment="1">
      <alignment horizontal="center" vertical="center"/>
    </xf>
    <xf numFmtId="0" fontId="126" fillId="0" borderId="0" xfId="82" applyFont="1" applyAlignment="1">
      <alignment vertical="center"/>
    </xf>
    <xf numFmtId="0" fontId="61" fillId="0" borderId="32" xfId="79" applyFont="1" applyBorder="1" applyAlignment="1">
      <alignment horizontal="center" vertical="center"/>
    </xf>
    <xf numFmtId="0" fontId="61" fillId="0" borderId="11" xfId="79" applyFont="1" applyBorder="1" applyAlignment="1" applyProtection="1">
      <alignment vertical="center"/>
      <protection locked="0"/>
    </xf>
    <xf numFmtId="172" fontId="61" fillId="0" borderId="11" xfId="29" applyNumberFormat="1" applyFont="1" applyFill="1" applyBorder="1" applyAlignment="1" applyProtection="1">
      <alignment vertical="center"/>
      <protection locked="0"/>
    </xf>
    <xf numFmtId="172" fontId="61" fillId="0" borderId="22" xfId="29" applyNumberFormat="1" applyFont="1" applyFill="1" applyBorder="1" applyAlignment="1" applyProtection="1">
      <alignment vertical="center"/>
    </xf>
    <xf numFmtId="0" fontId="61" fillId="0" borderId="34" xfId="79" applyFont="1" applyBorder="1" applyAlignment="1">
      <alignment horizontal="center" vertical="center"/>
    </xf>
    <xf numFmtId="0" fontId="61" fillId="0" borderId="10" xfId="79" applyFont="1" applyBorder="1" applyAlignment="1" applyProtection="1">
      <alignment vertical="center"/>
      <protection locked="0"/>
    </xf>
    <xf numFmtId="172" fontId="61" fillId="0" borderId="10" xfId="29" applyNumberFormat="1" applyFont="1" applyFill="1" applyBorder="1" applyAlignment="1" applyProtection="1">
      <alignment vertical="center"/>
      <protection locked="0"/>
    </xf>
    <xf numFmtId="172" fontId="61" fillId="0" borderId="27" xfId="29" applyNumberFormat="1" applyFont="1" applyFill="1" applyBorder="1" applyAlignment="1" applyProtection="1">
      <alignment vertical="center"/>
    </xf>
    <xf numFmtId="0" fontId="61" fillId="0" borderId="10" xfId="79" applyFont="1" applyBorder="1" applyAlignment="1" applyProtection="1">
      <alignment horizontal="justify" vertical="center" wrapText="1"/>
      <protection locked="0"/>
    </xf>
    <xf numFmtId="0" fontId="61" fillId="0" borderId="35" xfId="79" applyFont="1" applyBorder="1" applyAlignment="1">
      <alignment horizontal="center" vertical="center"/>
    </xf>
    <xf numFmtId="0" fontId="61" fillId="0" borderId="12" xfId="79" applyFont="1" applyBorder="1" applyAlignment="1" applyProtection="1">
      <alignment vertical="center"/>
      <protection locked="0"/>
    </xf>
    <xf numFmtId="172" fontId="61" fillId="0" borderId="12" xfId="29" applyNumberFormat="1" applyFont="1" applyFill="1" applyBorder="1" applyAlignment="1" applyProtection="1">
      <alignment vertical="center"/>
      <protection locked="0"/>
    </xf>
    <xf numFmtId="0" fontId="57" fillId="0" borderId="33" xfId="79" applyFont="1" applyBorder="1" applyAlignment="1">
      <alignment horizontal="center" vertical="center"/>
    </xf>
    <xf numFmtId="0" fontId="57" fillId="0" borderId="36" xfId="79" applyFont="1" applyBorder="1" applyAlignment="1">
      <alignment vertical="center"/>
    </xf>
    <xf numFmtId="172" fontId="57" fillId="0" borderId="36" xfId="79" applyNumberFormat="1" applyFont="1" applyBorder="1" applyAlignment="1">
      <alignment vertical="center"/>
    </xf>
    <xf numFmtId="172" fontId="57" fillId="0" borderId="28" xfId="79" applyNumberFormat="1" applyFont="1" applyBorder="1" applyAlignment="1">
      <alignment vertical="center"/>
    </xf>
    <xf numFmtId="0" fontId="124" fillId="0" borderId="0" xfId="79" applyFont="1" applyAlignment="1">
      <alignment vertical="center"/>
    </xf>
    <xf numFmtId="0" fontId="65" fillId="0" borderId="33" xfId="79" applyFont="1" applyBorder="1" applyAlignment="1">
      <alignment horizontal="center" vertical="center" wrapText="1"/>
    </xf>
    <xf numFmtId="0" fontId="65" fillId="0" borderId="28" xfId="79" applyFont="1" applyBorder="1" applyAlignment="1">
      <alignment horizontal="center" vertical="center" wrapText="1"/>
    </xf>
    <xf numFmtId="0" fontId="60" fillId="0" borderId="33" xfId="79" applyFont="1" applyBorder="1" applyAlignment="1">
      <alignment horizontal="center" vertical="center"/>
    </xf>
    <xf numFmtId="0" fontId="60" fillId="0" borderId="28" xfId="79" applyFont="1" applyBorder="1" applyAlignment="1">
      <alignment horizontal="center" vertical="center"/>
    </xf>
    <xf numFmtId="0" fontId="60" fillId="0" borderId="16" xfId="79" applyFont="1" applyBorder="1" applyAlignment="1">
      <alignment horizontal="center" vertical="center"/>
    </xf>
    <xf numFmtId="172" fontId="60" fillId="0" borderId="59" xfId="29" applyNumberFormat="1" applyFont="1" applyFill="1" applyBorder="1" applyAlignment="1" applyProtection="1">
      <alignment vertical="center"/>
      <protection locked="0"/>
    </xf>
    <xf numFmtId="0" fontId="60" fillId="0" borderId="34" xfId="79" applyFont="1" applyBorder="1" applyAlignment="1">
      <alignment horizontal="center" vertical="center"/>
    </xf>
    <xf numFmtId="172" fontId="60" fillId="0" borderId="27" xfId="29" applyNumberFormat="1" applyFont="1" applyFill="1" applyBorder="1" applyAlignment="1" applyProtection="1">
      <alignment vertical="center"/>
      <protection locked="0"/>
    </xf>
    <xf numFmtId="0" fontId="60" fillId="0" borderId="35" xfId="79" applyFont="1" applyBorder="1" applyAlignment="1">
      <alignment horizontal="center" vertical="center"/>
    </xf>
    <xf numFmtId="172" fontId="60" fillId="0" borderId="29" xfId="29" applyNumberFormat="1" applyFont="1" applyFill="1" applyBorder="1" applyAlignment="1" applyProtection="1">
      <alignment vertical="center"/>
      <protection locked="0"/>
    </xf>
    <xf numFmtId="0" fontId="65" fillId="0" borderId="33" xfId="79" applyFont="1" applyBorder="1" applyAlignment="1">
      <alignment horizontal="center" vertical="center"/>
    </xf>
    <xf numFmtId="172" fontId="65" fillId="0" borderId="28" xfId="29" applyNumberFormat="1" applyFont="1" applyFill="1" applyBorder="1" applyAlignment="1" applyProtection="1">
      <alignment vertical="center"/>
      <protection locked="0"/>
    </xf>
    <xf numFmtId="0" fontId="125" fillId="0" borderId="0" xfId="79" applyFont="1" applyAlignment="1">
      <alignment vertical="center"/>
    </xf>
    <xf numFmtId="167" fontId="129" fillId="0" borderId="44" xfId="79" applyNumberFormat="1" applyFont="1" applyBorder="1" applyAlignment="1">
      <alignment horizontal="left" vertical="center"/>
    </xf>
    <xf numFmtId="0" fontId="59" fillId="0" borderId="33" xfId="79" applyFont="1" applyBorder="1" applyAlignment="1">
      <alignment horizontal="center" vertical="center" wrapText="1"/>
    </xf>
    <xf numFmtId="0" fontId="59" fillId="0" borderId="36" xfId="79" applyFont="1" applyBorder="1" applyAlignment="1">
      <alignment horizontal="center" vertical="center" wrapText="1"/>
    </xf>
    <xf numFmtId="0" fontId="59" fillId="0" borderId="41" xfId="79" applyFont="1" applyBorder="1" applyAlignment="1">
      <alignment horizontal="center" vertical="center" wrapText="1"/>
    </xf>
    <xf numFmtId="0" fontId="59" fillId="0" borderId="17" xfId="79" applyFont="1" applyBorder="1" applyAlignment="1">
      <alignment horizontal="center" vertical="center" wrapText="1"/>
    </xf>
    <xf numFmtId="0" fontId="77" fillId="0" borderId="33" xfId="79" applyFont="1" applyBorder="1" applyAlignment="1">
      <alignment horizontal="center" vertical="center" wrapText="1"/>
    </xf>
    <xf numFmtId="0" fontId="77" fillId="0" borderId="36" xfId="79" applyFont="1" applyBorder="1" applyAlignment="1">
      <alignment horizontal="center" vertical="center" wrapText="1"/>
    </xf>
    <xf numFmtId="0" fontId="77" fillId="0" borderId="17" xfId="79" applyFont="1" applyBorder="1" applyAlignment="1">
      <alignment horizontal="center" vertical="center" wrapText="1"/>
    </xf>
    <xf numFmtId="0" fontId="63" fillId="0" borderId="20" xfId="79" applyFont="1" applyBorder="1" applyAlignment="1">
      <alignment horizontal="center" vertical="center" wrapText="1"/>
    </xf>
    <xf numFmtId="0" fontId="63" fillId="0" borderId="20" xfId="79" applyFont="1" applyBorder="1" applyAlignment="1">
      <alignment vertical="center" wrapText="1"/>
    </xf>
    <xf numFmtId="0" fontId="63" fillId="0" borderId="0" xfId="79" applyFont="1" applyAlignment="1">
      <alignment horizontal="center" vertical="center" wrapText="1"/>
    </xf>
    <xf numFmtId="0" fontId="63" fillId="0" borderId="0" xfId="79" applyFont="1" applyAlignment="1">
      <alignment vertical="center" wrapText="1"/>
    </xf>
    <xf numFmtId="0" fontId="56" fillId="0" borderId="44" xfId="83" applyFont="1" applyBorder="1" applyAlignment="1">
      <alignment horizontal="right" vertical="center"/>
    </xf>
    <xf numFmtId="0" fontId="77" fillId="23" borderId="42" xfId="79" applyFont="1" applyFill="1" applyBorder="1" applyAlignment="1">
      <alignment vertical="center" wrapText="1"/>
    </xf>
    <xf numFmtId="167" fontId="21" fillId="0" borderId="0" xfId="76" applyNumberFormat="1" applyFont="1" applyAlignment="1">
      <alignment horizontal="center" vertical="center" wrapText="1"/>
    </xf>
    <xf numFmtId="167" fontId="21" fillId="0" borderId="0" xfId="76" applyNumberFormat="1" applyFont="1" applyAlignment="1">
      <alignment vertical="center" wrapText="1"/>
    </xf>
    <xf numFmtId="167" fontId="90" fillId="0" borderId="0" xfId="76" applyNumberFormat="1" applyFont="1" applyAlignment="1">
      <alignment horizontal="right" vertical="center"/>
    </xf>
    <xf numFmtId="167" fontId="130" fillId="0" borderId="0" xfId="76" applyNumberFormat="1" applyFont="1" applyAlignment="1">
      <alignment vertical="center"/>
    </xf>
    <xf numFmtId="49" fontId="85" fillId="0" borderId="60" xfId="76" applyNumberFormat="1" applyFont="1" applyBorder="1" applyAlignment="1">
      <alignment horizontal="center" vertical="center"/>
    </xf>
    <xf numFmtId="167" fontId="85" fillId="0" borderId="52" xfId="76" applyNumberFormat="1" applyFont="1" applyBorder="1" applyAlignment="1">
      <alignment horizontal="center" vertical="center" wrapText="1"/>
    </xf>
    <xf numFmtId="167" fontId="130" fillId="0" borderId="0" xfId="76" applyNumberFormat="1" applyFont="1" applyAlignment="1">
      <alignment horizontal="center" vertical="center"/>
    </xf>
    <xf numFmtId="167" fontId="82" fillId="0" borderId="61" xfId="76" applyNumberFormat="1" applyFont="1" applyBorder="1" applyAlignment="1">
      <alignment horizontal="center" vertical="center" wrapText="1"/>
    </xf>
    <xf numFmtId="167" fontId="82" fillId="0" borderId="19" xfId="76" applyNumberFormat="1" applyFont="1" applyBorder="1" applyAlignment="1">
      <alignment horizontal="center" vertical="center" wrapText="1"/>
    </xf>
    <xf numFmtId="167" fontId="82" fillId="0" borderId="62" xfId="76" applyNumberFormat="1" applyFont="1" applyBorder="1" applyAlignment="1">
      <alignment horizontal="center" vertical="center" wrapText="1"/>
    </xf>
    <xf numFmtId="167" fontId="82" fillId="0" borderId="28" xfId="76" applyNumberFormat="1" applyFont="1" applyBorder="1" applyAlignment="1">
      <alignment horizontal="center" vertical="center" wrapText="1"/>
    </xf>
    <xf numFmtId="167" fontId="82" fillId="0" borderId="63" xfId="76" applyNumberFormat="1" applyFont="1" applyBorder="1" applyAlignment="1">
      <alignment horizontal="center" vertical="center" wrapText="1"/>
    </xf>
    <xf numFmtId="167" fontId="130" fillId="0" borderId="0" xfId="76" applyNumberFormat="1" applyFont="1" applyAlignment="1">
      <alignment horizontal="center" vertical="center" wrapText="1"/>
    </xf>
    <xf numFmtId="167" fontId="82" fillId="0" borderId="33" xfId="76" applyNumberFormat="1" applyFont="1" applyBorder="1" applyAlignment="1">
      <alignment horizontal="center" vertical="center" wrapText="1"/>
    </xf>
    <xf numFmtId="167" fontId="82" fillId="0" borderId="19" xfId="76" applyNumberFormat="1" applyFont="1" applyBorder="1" applyAlignment="1">
      <alignment horizontal="left" vertical="center" wrapText="1"/>
    </xf>
    <xf numFmtId="167" fontId="21" fillId="29" borderId="62" xfId="76" applyNumberFormat="1" applyFont="1" applyFill="1" applyBorder="1" applyAlignment="1">
      <alignment horizontal="left" vertical="center" wrapText="1"/>
    </xf>
    <xf numFmtId="3" fontId="79" fillId="0" borderId="61" xfId="76" applyNumberFormat="1" applyFont="1" applyBorder="1" applyAlignment="1" applyProtection="1">
      <alignment vertical="center" wrapText="1"/>
      <protection locked="0"/>
    </xf>
    <xf numFmtId="3" fontId="79" fillId="0" borderId="28" xfId="76" applyNumberFormat="1" applyFont="1" applyBorder="1" applyAlignment="1" applyProtection="1">
      <alignment vertical="center" wrapText="1"/>
      <protection locked="0"/>
    </xf>
    <xf numFmtId="3" fontId="79" fillId="0" borderId="19" xfId="76" applyNumberFormat="1" applyFont="1" applyBorder="1" applyAlignment="1" applyProtection="1">
      <alignment vertical="center" wrapText="1"/>
      <protection locked="0"/>
    </xf>
    <xf numFmtId="3" fontId="79" fillId="0" borderId="19" xfId="76" applyNumberFormat="1" applyFont="1" applyBorder="1" applyAlignment="1">
      <alignment vertical="center" wrapText="1"/>
    </xf>
    <xf numFmtId="167" fontId="82" fillId="0" borderId="34" xfId="76" applyNumberFormat="1" applyFont="1" applyBorder="1" applyAlignment="1">
      <alignment horizontal="center" vertical="center" wrapText="1"/>
    </xf>
    <xf numFmtId="167" fontId="79" fillId="0" borderId="30" xfId="76" applyNumberFormat="1" applyFont="1" applyBorder="1" applyAlignment="1" applyProtection="1">
      <alignment horizontal="left" vertical="center" wrapText="1"/>
      <protection locked="0"/>
    </xf>
    <xf numFmtId="173" fontId="21" fillId="0" borderId="10" xfId="76" applyNumberFormat="1" applyFont="1" applyBorder="1" applyAlignment="1" applyProtection="1">
      <alignment horizontal="left" vertical="center" wrapText="1"/>
      <protection locked="0"/>
    </xf>
    <xf numFmtId="3" fontId="79" fillId="0" borderId="30" xfId="76" applyNumberFormat="1" applyFont="1" applyBorder="1" applyAlignment="1" applyProtection="1">
      <alignment vertical="center" wrapText="1"/>
      <protection locked="0"/>
    </xf>
    <xf numFmtId="3" fontId="79" fillId="0" borderId="64" xfId="76" applyNumberFormat="1" applyFont="1" applyBorder="1" applyAlignment="1" applyProtection="1">
      <alignment vertical="center" wrapText="1"/>
      <protection locked="0"/>
    </xf>
    <xf numFmtId="3" fontId="79" fillId="0" borderId="10" xfId="76" applyNumberFormat="1" applyFont="1" applyBorder="1" applyAlignment="1" applyProtection="1">
      <alignment vertical="center" wrapText="1"/>
      <protection locked="0"/>
    </xf>
    <xf numFmtId="3" fontId="79" fillId="0" borderId="27" xfId="76" applyNumberFormat="1" applyFont="1" applyBorder="1" applyAlignment="1" applyProtection="1">
      <alignment vertical="center" wrapText="1"/>
      <protection locked="0"/>
    </xf>
    <xf numFmtId="3" fontId="79" fillId="0" borderId="30" xfId="76" applyNumberFormat="1" applyFont="1" applyBorder="1" applyAlignment="1">
      <alignment vertical="center" wrapText="1"/>
    </xf>
    <xf numFmtId="3" fontId="82" fillId="0" borderId="19" xfId="76" applyNumberFormat="1" applyFont="1" applyBorder="1" applyAlignment="1" applyProtection="1">
      <alignment vertical="center" wrapText="1"/>
      <protection locked="0"/>
    </xf>
    <xf numFmtId="3" fontId="82" fillId="0" borderId="61" xfId="76" applyNumberFormat="1" applyFont="1" applyBorder="1" applyAlignment="1" applyProtection="1">
      <alignment vertical="center" wrapText="1"/>
      <protection locked="0"/>
    </xf>
    <xf numFmtId="3" fontId="82" fillId="0" borderId="28" xfId="76" applyNumberFormat="1" applyFont="1" applyBorder="1" applyAlignment="1" applyProtection="1">
      <alignment vertical="center" wrapText="1"/>
      <protection locked="0"/>
    </xf>
    <xf numFmtId="3" fontId="82" fillId="0" borderId="19" xfId="76" applyNumberFormat="1" applyFont="1" applyBorder="1" applyAlignment="1">
      <alignment vertical="center" wrapText="1"/>
    </xf>
    <xf numFmtId="0" fontId="21" fillId="0" borderId="10" xfId="0" applyFont="1" applyBorder="1" applyAlignment="1">
      <alignment horizontal="center" vertical="center"/>
    </xf>
    <xf numFmtId="167" fontId="82" fillId="0" borderId="65" xfId="76" applyNumberFormat="1" applyFont="1" applyBorder="1" applyAlignment="1">
      <alignment horizontal="center" vertical="center" wrapText="1"/>
    </xf>
    <xf numFmtId="167" fontId="79" fillId="0" borderId="63" xfId="76" applyNumberFormat="1" applyFont="1" applyBorder="1" applyAlignment="1">
      <alignment horizontal="justify" vertical="center" wrapText="1"/>
    </xf>
    <xf numFmtId="3" fontId="79" fillId="0" borderId="39" xfId="76" applyNumberFormat="1" applyFont="1" applyBorder="1" applyAlignment="1" applyProtection="1">
      <alignment vertical="center" wrapText="1"/>
      <protection locked="0"/>
    </xf>
    <xf numFmtId="3" fontId="79" fillId="0" borderId="63" xfId="76" applyNumberFormat="1" applyFont="1" applyBorder="1" applyAlignment="1" applyProtection="1">
      <alignment vertical="center" wrapText="1"/>
      <protection locked="0"/>
    </xf>
    <xf numFmtId="3" fontId="79" fillId="0" borderId="48" xfId="76" applyNumberFormat="1" applyFont="1" applyBorder="1" applyAlignment="1" applyProtection="1">
      <alignment vertical="center" wrapText="1"/>
      <protection locked="0"/>
    </xf>
    <xf numFmtId="3" fontId="79" fillId="0" borderId="49" xfId="76" applyNumberFormat="1" applyFont="1" applyBorder="1" applyAlignment="1" applyProtection="1">
      <alignment vertical="center" wrapText="1"/>
      <protection locked="0"/>
    </xf>
    <xf numFmtId="3" fontId="79" fillId="0" borderId="15" xfId="76" applyNumberFormat="1" applyFont="1" applyBorder="1" applyAlignment="1">
      <alignment vertical="center" wrapText="1"/>
    </xf>
    <xf numFmtId="167" fontId="79" fillId="0" borderId="30" xfId="76" applyNumberFormat="1" applyFont="1" applyBorder="1" applyAlignment="1" applyProtection="1">
      <alignment horizontal="justify" vertical="center" wrapText="1"/>
      <protection locked="0"/>
    </xf>
    <xf numFmtId="3" fontId="79" fillId="24" borderId="10" xfId="76" applyNumberFormat="1" applyFont="1" applyFill="1" applyBorder="1" applyAlignment="1" applyProtection="1">
      <alignment vertical="center" wrapText="1"/>
      <protection locked="0"/>
    </xf>
    <xf numFmtId="3" fontId="47" fillId="0" borderId="10" xfId="74" applyNumberFormat="1" applyFont="1" applyBorder="1" applyAlignment="1" applyProtection="1">
      <alignment horizontal="right" vertical="center"/>
      <protection locked="0"/>
    </xf>
    <xf numFmtId="167" fontId="21" fillId="0" borderId="0" xfId="76" applyNumberFormat="1" applyFont="1" applyAlignment="1" applyProtection="1">
      <alignment vertical="center" wrapText="1"/>
      <protection locked="0"/>
    </xf>
    <xf numFmtId="167" fontId="79" fillId="0" borderId="66" xfId="76" applyNumberFormat="1" applyFont="1" applyBorder="1" applyAlignment="1" applyProtection="1">
      <alignment horizontal="justify" vertical="center" wrapText="1"/>
      <protection locked="0"/>
    </xf>
    <xf numFmtId="173" fontId="21" fillId="0" borderId="12" xfId="76" applyNumberFormat="1" applyFont="1" applyBorder="1" applyAlignment="1" applyProtection="1">
      <alignment horizontal="center" vertical="center" wrapText="1"/>
      <protection locked="0"/>
    </xf>
    <xf numFmtId="3" fontId="79" fillId="0" borderId="67" xfId="76" applyNumberFormat="1" applyFont="1" applyBorder="1" applyAlignment="1">
      <alignment vertical="center" wrapText="1"/>
    </xf>
    <xf numFmtId="3" fontId="79" fillId="0" borderId="66" xfId="76" applyNumberFormat="1" applyFont="1" applyBorder="1" applyAlignment="1" applyProtection="1">
      <alignment vertical="center" wrapText="1"/>
      <protection locked="0"/>
    </xf>
    <xf numFmtId="3" fontId="79" fillId="0" borderId="68" xfId="76" applyNumberFormat="1" applyFont="1" applyBorder="1" applyAlignment="1" applyProtection="1">
      <alignment vertical="center" wrapText="1"/>
      <protection locked="0"/>
    </xf>
    <xf numFmtId="3" fontId="79" fillId="0" borderId="12" xfId="76" applyNumberFormat="1" applyFont="1" applyBorder="1" applyAlignment="1" applyProtection="1">
      <alignment vertical="center" wrapText="1"/>
      <protection locked="0"/>
    </xf>
    <xf numFmtId="3" fontId="79" fillId="0" borderId="29" xfId="76" applyNumberFormat="1" applyFont="1" applyBorder="1" applyAlignment="1" applyProtection="1">
      <alignment vertical="center" wrapText="1"/>
      <protection locked="0"/>
    </xf>
    <xf numFmtId="3" fontId="79" fillId="0" borderId="63" xfId="76" applyNumberFormat="1" applyFont="1" applyBorder="1" applyAlignment="1">
      <alignment vertical="center" wrapText="1"/>
    </xf>
    <xf numFmtId="3" fontId="79" fillId="0" borderId="66" xfId="76" applyNumberFormat="1" applyFont="1" applyBorder="1" applyAlignment="1">
      <alignment vertical="center" wrapText="1"/>
    </xf>
    <xf numFmtId="167" fontId="79" fillId="0" borderId="69" xfId="76" applyNumberFormat="1" applyFont="1" applyBorder="1" applyAlignment="1" applyProtection="1">
      <alignment horizontal="justify" vertical="center" wrapText="1"/>
      <protection locked="0"/>
    </xf>
    <xf numFmtId="173" fontId="21" fillId="0" borderId="55" xfId="76" applyNumberFormat="1" applyFont="1" applyBorder="1" applyAlignment="1" applyProtection="1">
      <alignment horizontal="left" vertical="center" wrapText="1"/>
      <protection locked="0"/>
    </xf>
    <xf numFmtId="3" fontId="79" fillId="0" borderId="61" xfId="76" applyNumberFormat="1" applyFont="1" applyBorder="1" applyAlignment="1">
      <alignment vertical="center" wrapText="1"/>
    </xf>
    <xf numFmtId="3" fontId="79" fillId="0" borderId="36" xfId="76" applyNumberFormat="1" applyFont="1" applyBorder="1" applyAlignment="1">
      <alignment vertical="center" wrapText="1"/>
    </xf>
    <xf numFmtId="3" fontId="79" fillId="0" borderId="28" xfId="76" applyNumberFormat="1" applyFont="1" applyBorder="1" applyAlignment="1">
      <alignment vertical="center" wrapText="1"/>
    </xf>
    <xf numFmtId="0" fontId="35" fillId="0" borderId="0" xfId="0" applyFont="1" applyAlignment="1">
      <alignment vertical="center"/>
    </xf>
    <xf numFmtId="0" fontId="0" fillId="0" borderId="0" xfId="0" applyAlignment="1">
      <alignment horizontal="right" vertical="center"/>
    </xf>
    <xf numFmtId="0" fontId="37" fillId="0" borderId="70" xfId="0" applyFont="1" applyBorder="1" applyAlignment="1">
      <alignment vertical="center"/>
    </xf>
    <xf numFmtId="0" fontId="131" fillId="0" borderId="0" xfId="0" applyFont="1" applyAlignment="1">
      <alignment vertical="center"/>
    </xf>
    <xf numFmtId="0" fontId="37" fillId="0" borderId="64" xfId="0" applyFont="1" applyBorder="1" applyAlignment="1">
      <alignment horizontal="left" vertical="center"/>
    </xf>
    <xf numFmtId="0" fontId="37" fillId="0" borderId="10" xfId="0" applyFont="1" applyBorder="1" applyAlignment="1">
      <alignment horizontal="center" vertical="center" wrapText="1"/>
    </xf>
    <xf numFmtId="0" fontId="37" fillId="0" borderId="10" xfId="0" applyFont="1" applyBorder="1" applyAlignment="1">
      <alignment vertical="center" wrapText="1"/>
    </xf>
    <xf numFmtId="0" fontId="37" fillId="0" borderId="0" xfId="0" applyFont="1" applyAlignment="1">
      <alignment vertical="center"/>
    </xf>
    <xf numFmtId="0" fontId="36" fillId="0" borderId="64" xfId="0" applyFont="1" applyBorder="1" applyAlignment="1">
      <alignment horizontal="left" vertical="center"/>
    </xf>
    <xf numFmtId="0" fontId="36" fillId="0" borderId="10" xfId="0" applyFont="1" applyBorder="1" applyAlignment="1">
      <alignment vertical="center" wrapText="1"/>
    </xf>
    <xf numFmtId="0" fontId="36" fillId="0" borderId="10" xfId="0" applyFont="1" applyBorder="1" applyAlignment="1">
      <alignment vertical="center"/>
    </xf>
    <xf numFmtId="0" fontId="38" fillId="0" borderId="64" xfId="0" applyFont="1" applyBorder="1" applyAlignment="1">
      <alignment horizontal="left" vertical="center"/>
    </xf>
    <xf numFmtId="0" fontId="54" fillId="0" borderId="10" xfId="0" applyFont="1" applyBorder="1" applyAlignment="1">
      <alignment vertical="center" wrapText="1"/>
    </xf>
    <xf numFmtId="3" fontId="37" fillId="0" borderId="10" xfId="0" applyNumberFormat="1" applyFont="1" applyBorder="1" applyAlignment="1">
      <alignment horizontal="right" vertical="center"/>
    </xf>
    <xf numFmtId="0" fontId="38" fillId="0" borderId="0" xfId="0" applyFont="1" applyAlignment="1">
      <alignment vertical="center"/>
    </xf>
    <xf numFmtId="0" fontId="37" fillId="0" borderId="34" xfId="0" applyFont="1" applyBorder="1" applyAlignment="1">
      <alignment vertical="center"/>
    </xf>
    <xf numFmtId="0" fontId="37" fillId="0" borderId="10" xfId="0" applyFont="1" applyBorder="1" applyAlignment="1">
      <alignment vertical="center"/>
    </xf>
    <xf numFmtId="0" fontId="36" fillId="0" borderId="10" xfId="0" applyFont="1" applyBorder="1" applyAlignment="1">
      <alignment horizontal="justify" vertical="center" wrapText="1"/>
    </xf>
    <xf numFmtId="3" fontId="36" fillId="0" borderId="10" xfId="0" applyNumberFormat="1" applyFont="1" applyBorder="1" applyAlignment="1">
      <alignment horizontal="right" vertical="center"/>
    </xf>
    <xf numFmtId="3" fontId="54" fillId="0" borderId="10" xfId="0" applyNumberFormat="1" applyFont="1" applyBorder="1" applyAlignment="1">
      <alignment horizontal="right" vertical="center"/>
    </xf>
    <xf numFmtId="0" fontId="37" fillId="0" borderId="10" xfId="0" applyFont="1" applyBorder="1" applyAlignment="1">
      <alignment horizontal="center" vertical="center"/>
    </xf>
    <xf numFmtId="0" fontId="36" fillId="0" borderId="10" xfId="0" applyFont="1" applyBorder="1" applyAlignment="1">
      <alignment horizontal="right" vertical="center"/>
    </xf>
    <xf numFmtId="0" fontId="54" fillId="0" borderId="64" xfId="0" applyFont="1" applyBorder="1" applyAlignment="1">
      <alignment horizontal="left" vertical="center"/>
    </xf>
    <xf numFmtId="0" fontId="54" fillId="0" borderId="0" xfId="0" applyFont="1" applyAlignment="1">
      <alignment vertical="center"/>
    </xf>
    <xf numFmtId="0" fontId="36" fillId="0" borderId="10" xfId="0" applyFont="1" applyBorder="1" applyAlignment="1">
      <alignment horizontal="center" vertical="center"/>
    </xf>
    <xf numFmtId="0" fontId="37" fillId="0" borderId="10" xfId="0" applyFont="1" applyBorder="1" applyAlignment="1">
      <alignment horizontal="right" vertical="center"/>
    </xf>
    <xf numFmtId="0" fontId="37" fillId="0" borderId="40" xfId="0" applyFont="1" applyBorder="1" applyAlignment="1">
      <alignment horizontal="center" vertical="center" wrapText="1"/>
    </xf>
    <xf numFmtId="167" fontId="132" fillId="0" borderId="0" xfId="76" applyNumberFormat="1" applyFont="1" applyAlignment="1">
      <alignment vertical="center"/>
    </xf>
    <xf numFmtId="0" fontId="32" fillId="0" borderId="0" xfId="0" applyFont="1" applyAlignment="1">
      <alignment vertical="center"/>
    </xf>
    <xf numFmtId="0" fontId="35" fillId="0" borderId="64" xfId="0" applyFont="1" applyBorder="1" applyAlignment="1">
      <alignment horizontal="left" vertical="center"/>
    </xf>
    <xf numFmtId="0" fontId="133" fillId="0" borderId="64" xfId="0" applyFont="1" applyBorder="1" applyAlignment="1">
      <alignment horizontal="left" vertical="center"/>
    </xf>
    <xf numFmtId="3" fontId="37" fillId="0" borderId="10" xfId="0" applyNumberFormat="1" applyFont="1" applyBorder="1" applyAlignment="1">
      <alignment vertical="center"/>
    </xf>
    <xf numFmtId="0" fontId="133" fillId="0" borderId="0" xfId="0" applyFont="1" applyAlignment="1">
      <alignment vertical="center"/>
    </xf>
    <xf numFmtId="0" fontId="0" fillId="0" borderId="71" xfId="0" applyBorder="1" applyAlignment="1">
      <alignment horizontal="center" vertical="center" wrapText="1"/>
    </xf>
    <xf numFmtId="0" fontId="37" fillId="0" borderId="10" xfId="0" applyFont="1" applyBorder="1" applyAlignment="1">
      <alignment horizontal="justify" vertical="center" wrapText="1"/>
    </xf>
    <xf numFmtId="0" fontId="37" fillId="0" borderId="72" xfId="0" applyFont="1" applyBorder="1" applyAlignment="1">
      <alignment horizontal="left" vertical="center"/>
    </xf>
    <xf numFmtId="0" fontId="24" fillId="0" borderId="0" xfId="81" applyAlignment="1">
      <alignment vertical="center"/>
    </xf>
    <xf numFmtId="0" fontId="24" fillId="0" borderId="0" xfId="81" applyAlignment="1" applyProtection="1">
      <alignment vertical="center"/>
      <protection locked="0"/>
    </xf>
    <xf numFmtId="0" fontId="69" fillId="0" borderId="0" xfId="81" applyFont="1" applyAlignment="1">
      <alignment horizontal="right" vertical="center"/>
    </xf>
    <xf numFmtId="3" fontId="24" fillId="0" borderId="0" xfId="81" applyNumberFormat="1" applyAlignment="1" applyProtection="1">
      <alignment vertical="center"/>
      <protection locked="0"/>
    </xf>
    <xf numFmtId="0" fontId="64" fillId="0" borderId="73" xfId="81" applyFont="1" applyBorder="1" applyAlignment="1">
      <alignment horizontal="center" vertical="center" wrapText="1"/>
    </xf>
    <xf numFmtId="0" fontId="64" fillId="0" borderId="42" xfId="81" applyFont="1" applyBorder="1" applyAlignment="1">
      <alignment horizontal="center" vertical="center"/>
    </xf>
    <xf numFmtId="0" fontId="64" fillId="0" borderId="13" xfId="81" applyFont="1" applyBorder="1" applyAlignment="1">
      <alignment horizontal="center" vertical="center"/>
    </xf>
    <xf numFmtId="0" fontId="66" fillId="0" borderId="33" xfId="81" applyFont="1" applyBorder="1" applyAlignment="1">
      <alignment horizontal="left" vertical="center"/>
    </xf>
    <xf numFmtId="0" fontId="66" fillId="0" borderId="65" xfId="81" applyFont="1" applyBorder="1" applyAlignment="1">
      <alignment horizontal="left" vertical="center"/>
    </xf>
    <xf numFmtId="0" fontId="66" fillId="0" borderId="48" xfId="81" applyFont="1" applyBorder="1" applyAlignment="1">
      <alignment horizontal="left" vertical="center" wrapText="1"/>
    </xf>
    <xf numFmtId="3" fontId="66" fillId="0" borderId="48" xfId="81" applyNumberFormat="1" applyFont="1" applyBorder="1" applyAlignment="1" applyProtection="1">
      <alignment vertical="center"/>
      <protection locked="0"/>
    </xf>
    <xf numFmtId="3" fontId="66" fillId="0" borderId="49" xfId="81" applyNumberFormat="1" applyFont="1" applyBorder="1" applyAlignment="1">
      <alignment vertical="center"/>
    </xf>
    <xf numFmtId="3" fontId="24" fillId="0" borderId="0" xfId="81" applyNumberFormat="1" applyAlignment="1">
      <alignment vertical="center"/>
    </xf>
    <xf numFmtId="0" fontId="66" fillId="0" borderId="34" xfId="81" applyFont="1" applyBorder="1" applyAlignment="1">
      <alignment horizontal="left" vertical="center"/>
    </xf>
    <xf numFmtId="0" fontId="66" fillId="0" borderId="10" xfId="81" applyFont="1" applyBorder="1" applyAlignment="1">
      <alignment horizontal="left" vertical="center" wrapText="1"/>
    </xf>
    <xf numFmtId="3" fontId="66" fillId="0" borderId="10" xfId="81" applyNumberFormat="1" applyFont="1" applyBorder="1" applyAlignment="1" applyProtection="1">
      <alignment vertical="center"/>
      <protection locked="0"/>
    </xf>
    <xf numFmtId="3" fontId="66" fillId="0" borderId="27" xfId="81" applyNumberFormat="1" applyFont="1" applyBorder="1" applyAlignment="1">
      <alignment vertical="center"/>
    </xf>
    <xf numFmtId="0" fontId="66" fillId="0" borderId="11" xfId="81" applyFont="1" applyBorder="1" applyAlignment="1">
      <alignment horizontal="justify" vertical="center" wrapText="1"/>
    </xf>
    <xf numFmtId="3" fontId="66" fillId="0" borderId="11" xfId="81" applyNumberFormat="1" applyFont="1" applyBorder="1" applyAlignment="1" applyProtection="1">
      <alignment vertical="center"/>
      <protection locked="0"/>
    </xf>
    <xf numFmtId="3" fontId="66" fillId="0" borderId="22" xfId="81" applyNumberFormat="1" applyFont="1" applyBorder="1" applyAlignment="1">
      <alignment vertical="center"/>
    </xf>
    <xf numFmtId="0" fontId="66" fillId="0" borderId="10" xfId="81" applyFont="1" applyBorder="1" applyAlignment="1">
      <alignment horizontal="left" vertical="center"/>
    </xf>
    <xf numFmtId="0" fontId="59" fillId="0" borderId="36" xfId="81" applyFont="1" applyBorder="1" applyAlignment="1">
      <alignment horizontal="left" vertical="center"/>
    </xf>
    <xf numFmtId="3" fontId="77" fillId="0" borderId="36" xfId="81" applyNumberFormat="1" applyFont="1" applyBorder="1" applyAlignment="1">
      <alignment vertical="center"/>
    </xf>
    <xf numFmtId="3" fontId="77" fillId="0" borderId="28" xfId="81" applyNumberFormat="1" applyFont="1" applyBorder="1" applyAlignment="1">
      <alignment vertical="center"/>
    </xf>
    <xf numFmtId="0" fontId="66" fillId="0" borderId="32" xfId="81" applyFont="1" applyBorder="1" applyAlignment="1">
      <alignment horizontal="left" vertical="center"/>
    </xf>
    <xf numFmtId="0" fontId="66" fillId="0" borderId="11" xfId="81" applyFont="1" applyBorder="1" applyAlignment="1">
      <alignment horizontal="left" vertical="center"/>
    </xf>
    <xf numFmtId="0" fontId="77" fillId="0" borderId="33" xfId="81" applyFont="1" applyBorder="1" applyAlignment="1">
      <alignment horizontal="left" vertical="center"/>
    </xf>
    <xf numFmtId="0" fontId="24" fillId="0" borderId="0" xfId="81"/>
    <xf numFmtId="0" fontId="24" fillId="0" borderId="0" xfId="81" applyProtection="1">
      <protection locked="0"/>
    </xf>
    <xf numFmtId="0" fontId="56" fillId="0" borderId="0" xfId="83" applyFont="1" applyAlignment="1">
      <alignment horizontal="right"/>
    </xf>
    <xf numFmtId="0" fontId="66" fillId="0" borderId="33" xfId="81" applyFont="1" applyBorder="1" applyAlignment="1">
      <alignment horizontal="left" vertical="center" indent="1"/>
    </xf>
    <xf numFmtId="0" fontId="66" fillId="0" borderId="65" xfId="81" applyFont="1" applyBorder="1" applyAlignment="1">
      <alignment horizontal="left" vertical="center" indent="1"/>
    </xf>
    <xf numFmtId="0" fontId="66" fillId="0" borderId="48" xfId="81" applyFont="1" applyBorder="1" applyAlignment="1">
      <alignment horizontal="left" vertical="center" wrapText="1" indent="1"/>
    </xf>
    <xf numFmtId="3" fontId="66" fillId="22" borderId="48" xfId="81" applyNumberFormat="1" applyFont="1" applyFill="1" applyBorder="1" applyAlignment="1" applyProtection="1">
      <alignment vertical="center"/>
      <protection locked="0"/>
    </xf>
    <xf numFmtId="3" fontId="66" fillId="22" borderId="49" xfId="81" applyNumberFormat="1" applyFont="1" applyFill="1" applyBorder="1" applyAlignment="1">
      <alignment vertical="center"/>
    </xf>
    <xf numFmtId="0" fontId="66" fillId="0" borderId="34" xfId="81" applyFont="1" applyBorder="1" applyAlignment="1">
      <alignment horizontal="left" vertical="center" indent="1"/>
    </xf>
    <xf numFmtId="0" fontId="66" fillId="0" borderId="10" xfId="81" applyFont="1" applyBorder="1" applyAlignment="1">
      <alignment horizontal="left" vertical="center" wrapText="1" indent="1"/>
    </xf>
    <xf numFmtId="0" fontId="66" fillId="0" borderId="11" xfId="81" applyFont="1" applyBorder="1" applyAlignment="1">
      <alignment horizontal="left" vertical="center" wrapText="1" indent="1"/>
    </xf>
    <xf numFmtId="0" fontId="66" fillId="0" borderId="10" xfId="81" applyFont="1" applyBorder="1" applyAlignment="1">
      <alignment horizontal="left" vertical="center" indent="1"/>
    </xf>
    <xf numFmtId="3" fontId="66" fillId="22" borderId="10" xfId="81" applyNumberFormat="1" applyFont="1" applyFill="1" applyBorder="1" applyAlignment="1" applyProtection="1">
      <alignment vertical="center"/>
      <protection locked="0"/>
    </xf>
    <xf numFmtId="3" fontId="66" fillId="22" borderId="27" xfId="81" applyNumberFormat="1" applyFont="1" applyFill="1" applyBorder="1" applyAlignment="1">
      <alignment vertical="center"/>
    </xf>
    <xf numFmtId="0" fontId="59" fillId="0" borderId="36" xfId="81" applyFont="1" applyBorder="1" applyAlignment="1">
      <alignment horizontal="left" vertical="center" indent="1"/>
    </xf>
    <xf numFmtId="0" fontId="66" fillId="0" borderId="32" xfId="81" applyFont="1" applyBorder="1" applyAlignment="1">
      <alignment horizontal="left" vertical="center" indent="1"/>
    </xf>
    <xf numFmtId="0" fontId="66" fillId="0" borderId="11" xfId="81" applyFont="1" applyBorder="1" applyAlignment="1">
      <alignment horizontal="left" vertical="center" indent="1"/>
    </xf>
    <xf numFmtId="0" fontId="77" fillId="0" borderId="33" xfId="81" applyFont="1" applyBorder="1" applyAlignment="1">
      <alignment horizontal="left" vertical="center" indent="1"/>
    </xf>
    <xf numFmtId="0" fontId="59" fillId="0" borderId="36" xfId="81" applyFont="1" applyBorder="1" applyAlignment="1">
      <alignment horizontal="left" indent="1"/>
    </xf>
    <xf numFmtId="3" fontId="77" fillId="0" borderId="36" xfId="81" applyNumberFormat="1" applyFont="1" applyBorder="1"/>
    <xf numFmtId="3" fontId="77" fillId="0" borderId="28" xfId="81" applyNumberFormat="1" applyFont="1" applyBorder="1"/>
    <xf numFmtId="3" fontId="24" fillId="0" borderId="0" xfId="81" applyNumberFormat="1" applyProtection="1">
      <protection locked="0"/>
    </xf>
    <xf numFmtId="0" fontId="77" fillId="0" borderId="0" xfId="81" applyFont="1" applyAlignment="1">
      <alignment horizontal="left" vertical="center" indent="1"/>
    </xf>
    <xf numFmtId="0" fontId="59" fillId="0" borderId="0" xfId="81" applyFont="1" applyAlignment="1">
      <alignment horizontal="left" indent="1"/>
    </xf>
    <xf numFmtId="3" fontId="77" fillId="0" borderId="0" xfId="81" applyNumberFormat="1" applyFont="1"/>
    <xf numFmtId="0" fontId="61" fillId="0" borderId="0" xfId="81" applyFont="1"/>
    <xf numFmtId="3" fontId="66" fillId="0" borderId="29" xfId="81" applyNumberFormat="1" applyFont="1" applyBorder="1" applyAlignment="1">
      <alignment vertical="center"/>
    </xf>
    <xf numFmtId="3" fontId="77" fillId="0" borderId="62" xfId="81" applyNumberFormat="1" applyFont="1" applyBorder="1" applyAlignment="1">
      <alignment vertical="center"/>
    </xf>
    <xf numFmtId="3" fontId="65" fillId="0" borderId="19" xfId="81" applyNumberFormat="1" applyFont="1" applyBorder="1" applyAlignment="1">
      <alignment vertical="center"/>
    </xf>
    <xf numFmtId="3" fontId="66" fillId="0" borderId="52" xfId="81" applyNumberFormat="1" applyFont="1" applyBorder="1" applyAlignment="1">
      <alignment vertical="center"/>
    </xf>
    <xf numFmtId="3" fontId="65" fillId="0" borderId="22" xfId="81" applyNumberFormat="1" applyFont="1" applyBorder="1" applyAlignment="1">
      <alignment vertical="center"/>
    </xf>
    <xf numFmtId="3" fontId="65" fillId="0" borderId="27" xfId="81" applyNumberFormat="1" applyFont="1" applyBorder="1" applyAlignment="1">
      <alignment vertical="center"/>
    </xf>
    <xf numFmtId="0" fontId="69" fillId="0" borderId="0" xfId="79" applyFont="1" applyAlignment="1">
      <alignment horizontal="right" vertical="center"/>
    </xf>
    <xf numFmtId="0" fontId="69" fillId="0" borderId="0" xfId="79" applyFont="1" applyAlignment="1">
      <alignment horizontal="center" vertical="center" wrapText="1"/>
    </xf>
    <xf numFmtId="0" fontId="88" fillId="0" borderId="0" xfId="0" applyFont="1" applyAlignment="1">
      <alignment horizontal="center" vertical="center" wrapText="1"/>
    </xf>
    <xf numFmtId="167" fontId="129" fillId="0" borderId="0" xfId="79" applyNumberFormat="1" applyFont="1" applyAlignment="1">
      <alignment horizontal="left" vertical="center"/>
    </xf>
    <xf numFmtId="0" fontId="24" fillId="24" borderId="0" xfId="79" applyFill="1" applyAlignment="1">
      <alignment vertical="center"/>
    </xf>
    <xf numFmtId="0" fontId="66" fillId="24" borderId="0" xfId="79" applyFont="1" applyFill="1" applyAlignment="1">
      <alignment vertical="center"/>
    </xf>
    <xf numFmtId="0" fontId="66" fillId="0" borderId="0" xfId="79" applyFont="1" applyAlignment="1">
      <alignment vertical="center"/>
    </xf>
    <xf numFmtId="0" fontId="77" fillId="0" borderId="36" xfId="79" applyFont="1" applyBorder="1" applyAlignment="1">
      <alignment horizontal="left" vertical="center" wrapText="1"/>
    </xf>
    <xf numFmtId="3" fontId="77" fillId="0" borderId="36" xfId="79" applyNumberFormat="1" applyFont="1" applyBorder="1" applyAlignment="1">
      <alignment horizontal="right" vertical="center" wrapText="1"/>
    </xf>
    <xf numFmtId="3" fontId="77" fillId="0" borderId="36" xfId="79" applyNumberFormat="1" applyFont="1" applyBorder="1" applyAlignment="1" applyProtection="1">
      <alignment horizontal="right" vertical="center" wrapText="1"/>
      <protection locked="0"/>
    </xf>
    <xf numFmtId="49" fontId="66" fillId="24" borderId="0" xfId="79" applyNumberFormat="1" applyFont="1" applyFill="1" applyAlignment="1">
      <alignment horizontal="right" vertical="center"/>
    </xf>
    <xf numFmtId="0" fontId="61" fillId="24" borderId="0" xfId="79" applyFont="1" applyFill="1" applyAlignment="1">
      <alignment vertical="center"/>
    </xf>
    <xf numFmtId="0" fontId="82" fillId="0" borderId="36" xfId="78" applyFont="1" applyBorder="1" applyAlignment="1">
      <alignment horizontal="left" vertical="center" wrapText="1"/>
    </xf>
    <xf numFmtId="3" fontId="82" fillId="0" borderId="36" xfId="78" applyNumberFormat="1" applyFont="1" applyBorder="1" applyAlignment="1">
      <alignment horizontal="right" vertical="center" wrapText="1"/>
    </xf>
    <xf numFmtId="0" fontId="60" fillId="24" borderId="0" xfId="79" applyFont="1" applyFill="1" applyAlignment="1">
      <alignment vertical="center"/>
    </xf>
    <xf numFmtId="3" fontId="65" fillId="0" borderId="36" xfId="79" applyNumberFormat="1" applyFont="1" applyBorder="1" applyAlignment="1">
      <alignment horizontal="right" vertical="center" wrapText="1"/>
    </xf>
    <xf numFmtId="0" fontId="79" fillId="0" borderId="11" xfId="78" applyFont="1" applyBorder="1" applyAlignment="1">
      <alignment horizontal="left" vertical="center" wrapText="1"/>
    </xf>
    <xf numFmtId="49" fontId="61" fillId="24" borderId="0" xfId="79" applyNumberFormat="1" applyFont="1" applyFill="1" applyAlignment="1">
      <alignment horizontal="right" vertical="center"/>
    </xf>
    <xf numFmtId="0" fontId="79" fillId="0" borderId="10" xfId="78" applyFont="1" applyBorder="1" applyAlignment="1">
      <alignment horizontal="left" vertical="center" wrapText="1"/>
    </xf>
    <xf numFmtId="3" fontId="79" fillId="0" borderId="10" xfId="78" applyNumberFormat="1" applyFont="1" applyBorder="1" applyAlignment="1">
      <alignment horizontal="right" vertical="center" wrapText="1"/>
    </xf>
    <xf numFmtId="0" fontId="79" fillId="0" borderId="12" xfId="78" applyFont="1" applyBorder="1" applyAlignment="1">
      <alignment horizontal="left" vertical="center" wrapText="1"/>
    </xf>
    <xf numFmtId="3" fontId="66" fillId="0" borderId="12" xfId="79" applyNumberFormat="1" applyFont="1" applyBorder="1" applyAlignment="1" applyProtection="1">
      <alignment horizontal="right" vertical="center" wrapText="1"/>
      <protection locked="0"/>
    </xf>
    <xf numFmtId="3" fontId="65" fillId="0" borderId="36" xfId="79" applyNumberFormat="1" applyFont="1" applyBorder="1" applyAlignment="1" applyProtection="1">
      <alignment horizontal="right" vertical="center" wrapText="1"/>
      <protection locked="0"/>
    </xf>
    <xf numFmtId="174" fontId="63" fillId="0" borderId="20" xfId="79" applyNumberFormat="1" applyFont="1" applyBorder="1" applyAlignment="1">
      <alignment horizontal="right" vertical="center" wrapText="1"/>
    </xf>
    <xf numFmtId="0" fontId="66" fillId="0" borderId="20" xfId="79" applyFont="1" applyBorder="1" applyAlignment="1">
      <alignment horizontal="right" vertical="center" wrapText="1"/>
    </xf>
    <xf numFmtId="3" fontId="66" fillId="24" borderId="0" xfId="79" applyNumberFormat="1" applyFont="1" applyFill="1" applyAlignment="1">
      <alignment horizontal="right" vertical="center"/>
    </xf>
    <xf numFmtId="0" fontId="77" fillId="0" borderId="73" xfId="79" applyFont="1" applyBorder="1" applyAlignment="1">
      <alignment horizontal="center" vertical="center" wrapText="1"/>
    </xf>
    <xf numFmtId="0" fontId="77" fillId="0" borderId="36" xfId="79" applyFont="1" applyBorder="1" applyAlignment="1">
      <alignment vertical="center" wrapText="1"/>
    </xf>
    <xf numFmtId="0" fontId="65" fillId="0" borderId="38" xfId="79" applyFont="1" applyBorder="1" applyAlignment="1">
      <alignment vertical="center" wrapText="1"/>
    </xf>
    <xf numFmtId="3" fontId="65" fillId="0" borderId="38" xfId="79" applyNumberFormat="1" applyFont="1" applyBorder="1" applyAlignment="1">
      <alignment horizontal="right" vertical="center" wrapText="1"/>
    </xf>
    <xf numFmtId="3" fontId="66" fillId="0" borderId="12" xfId="79" applyNumberFormat="1" applyFont="1" applyBorder="1" applyAlignment="1">
      <alignment horizontal="right" vertical="center" wrapText="1"/>
    </xf>
    <xf numFmtId="3" fontId="79" fillId="0" borderId="12" xfId="78" applyNumberFormat="1" applyFont="1" applyBorder="1" applyAlignment="1">
      <alignment horizontal="right" vertical="center" wrapText="1"/>
    </xf>
    <xf numFmtId="0" fontId="65" fillId="0" borderId="36" xfId="79" applyFont="1" applyBorder="1" applyAlignment="1">
      <alignment horizontal="left" vertical="center" wrapText="1"/>
    </xf>
    <xf numFmtId="3" fontId="85" fillId="0" borderId="36" xfId="78" applyNumberFormat="1" applyFont="1" applyBorder="1" applyAlignment="1" applyProtection="1">
      <alignment horizontal="right" vertical="center" wrapText="1"/>
      <protection locked="0"/>
    </xf>
    <xf numFmtId="0" fontId="0" fillId="24" borderId="0" xfId="0" applyFill="1" applyAlignment="1">
      <alignment wrapText="1"/>
    </xf>
    <xf numFmtId="0" fontId="0" fillId="24" borderId="0" xfId="0" applyFill="1" applyAlignment="1">
      <alignment horizontal="center"/>
    </xf>
    <xf numFmtId="49" fontId="0" fillId="24" borderId="0" xfId="0" applyNumberFormat="1" applyFill="1" applyAlignment="1">
      <alignment horizontal="left" wrapText="1"/>
    </xf>
    <xf numFmtId="0" fontId="137" fillId="24" borderId="0" xfId="0" applyFont="1" applyFill="1" applyAlignment="1">
      <alignment horizontal="left"/>
    </xf>
    <xf numFmtId="0" fontId="21" fillId="24" borderId="0" xfId="0" applyFont="1" applyFill="1" applyAlignment="1">
      <alignment wrapText="1"/>
    </xf>
    <xf numFmtId="0" fontId="138" fillId="24" borderId="0" xfId="0" applyFont="1" applyFill="1" applyAlignment="1">
      <alignment wrapText="1"/>
    </xf>
    <xf numFmtId="49" fontId="0" fillId="24" borderId="0" xfId="0" applyNumberFormat="1" applyFill="1" applyAlignment="1">
      <alignment horizontal="center"/>
    </xf>
    <xf numFmtId="3" fontId="21" fillId="23" borderId="10" xfId="74" applyNumberFormat="1" applyFont="1" applyFill="1" applyBorder="1" applyAlignment="1" applyProtection="1">
      <alignment horizontal="right" vertical="center"/>
      <protection locked="0"/>
    </xf>
    <xf numFmtId="168" fontId="57" fillId="31" borderId="0" xfId="83" applyNumberFormat="1" applyFont="1" applyFill="1" applyAlignment="1">
      <alignment vertical="center" wrapText="1"/>
    </xf>
    <xf numFmtId="3" fontId="66" fillId="0" borderId="74" xfId="83" applyNumberFormat="1" applyFont="1" applyBorder="1" applyAlignment="1" applyProtection="1">
      <alignment horizontal="right" vertical="center" wrapText="1"/>
      <protection locked="0"/>
    </xf>
    <xf numFmtId="3" fontId="66" fillId="30" borderId="74" xfId="83" applyNumberFormat="1" applyFont="1" applyFill="1" applyBorder="1" applyAlignment="1" applyProtection="1">
      <alignment horizontal="right" vertical="center" wrapText="1"/>
      <protection locked="0"/>
    </xf>
    <xf numFmtId="3" fontId="60" fillId="0" borderId="74" xfId="83" applyNumberFormat="1" applyFont="1" applyBorder="1" applyAlignment="1">
      <alignment horizontal="right" vertical="center" wrapText="1"/>
    </xf>
    <xf numFmtId="3" fontId="60" fillId="30" borderId="74" xfId="83" applyNumberFormat="1" applyFont="1" applyFill="1" applyBorder="1" applyAlignment="1">
      <alignment horizontal="right" vertical="center" wrapText="1"/>
    </xf>
    <xf numFmtId="3" fontId="60" fillId="0" borderId="74" xfId="83" applyNumberFormat="1" applyFont="1" applyBorder="1" applyAlignment="1" applyProtection="1">
      <alignment horizontal="right" vertical="center" wrapText="1"/>
      <protection locked="0"/>
    </xf>
    <xf numFmtId="3" fontId="60" fillId="30" borderId="74" xfId="83" applyNumberFormat="1" applyFont="1" applyFill="1" applyBorder="1" applyAlignment="1" applyProtection="1">
      <alignment horizontal="right" vertical="center" wrapText="1"/>
      <protection locked="0"/>
    </xf>
    <xf numFmtId="3" fontId="66" fillId="24" borderId="74" xfId="83" applyNumberFormat="1" applyFont="1" applyFill="1" applyBorder="1" applyAlignment="1" applyProtection="1">
      <alignment horizontal="right" vertical="center" wrapText="1"/>
      <protection locked="0"/>
    </xf>
    <xf numFmtId="0" fontId="145" fillId="24" borderId="0" xfId="74" applyFont="1" applyFill="1" applyProtection="1">
      <protection locked="0"/>
    </xf>
    <xf numFmtId="3" fontId="60" fillId="0" borderId="10" xfId="76" quotePrefix="1" applyNumberFormat="1" applyFont="1" applyBorder="1" applyAlignment="1" applyProtection="1">
      <alignment vertical="center"/>
      <protection locked="0"/>
    </xf>
    <xf numFmtId="0" fontId="77" fillId="23" borderId="73" xfId="79" applyFont="1" applyFill="1" applyBorder="1" applyAlignment="1">
      <alignment horizontal="center" vertical="center" wrapText="1"/>
    </xf>
    <xf numFmtId="0" fontId="36" fillId="0" borderId="74" xfId="0" applyFont="1" applyBorder="1" applyAlignment="1">
      <alignment vertical="center"/>
    </xf>
    <xf numFmtId="3" fontId="36" fillId="0" borderId="75" xfId="0" applyNumberFormat="1" applyFont="1" applyBorder="1" applyAlignment="1">
      <alignment vertical="center"/>
    </xf>
    <xf numFmtId="0" fontId="36" fillId="0" borderId="74" xfId="0" applyFont="1" applyBorder="1" applyAlignment="1">
      <alignment horizontal="right" vertical="center"/>
    </xf>
    <xf numFmtId="168" fontId="66" fillId="24" borderId="0" xfId="79" applyNumberFormat="1" applyFont="1" applyFill="1" applyAlignment="1">
      <alignment horizontal="right" vertical="center"/>
    </xf>
    <xf numFmtId="3" fontId="89" fillId="32" borderId="10" xfId="74" applyNumberFormat="1" applyFont="1" applyFill="1" applyBorder="1" applyAlignment="1" applyProtection="1">
      <alignment horizontal="right" vertical="center"/>
      <protection locked="0"/>
    </xf>
    <xf numFmtId="49" fontId="21" fillId="32" borderId="10" xfId="74" applyNumberFormat="1" applyFont="1" applyFill="1" applyBorder="1" applyAlignment="1" applyProtection="1">
      <alignment horizontal="center" vertical="center" wrapText="1"/>
      <protection locked="0"/>
    </xf>
    <xf numFmtId="0" fontId="21" fillId="32" borderId="10" xfId="74" applyFont="1" applyFill="1" applyBorder="1" applyAlignment="1" applyProtection="1">
      <alignment horizontal="center" vertical="center" wrapText="1"/>
      <protection locked="0"/>
    </xf>
    <xf numFmtId="3" fontId="21" fillId="32" borderId="10" xfId="74" applyNumberFormat="1" applyFont="1" applyFill="1" applyBorder="1" applyAlignment="1" applyProtection="1">
      <alignment horizontal="right" vertical="center"/>
      <protection locked="0"/>
    </xf>
    <xf numFmtId="0" fontId="40" fillId="24" borderId="0" xfId="0" applyFont="1" applyFill="1" applyAlignment="1">
      <alignment vertical="center"/>
    </xf>
    <xf numFmtId="0" fontId="33" fillId="24" borderId="0" xfId="0" applyFont="1" applyFill="1" applyAlignment="1">
      <alignment vertical="center"/>
    </xf>
    <xf numFmtId="3" fontId="29" fillId="24" borderId="0" xfId="0" applyNumberFormat="1" applyFont="1" applyFill="1" applyAlignment="1">
      <alignment horizontal="center" vertical="center"/>
    </xf>
    <xf numFmtId="0" fontId="21" fillId="24" borderId="0" xfId="0" applyFont="1" applyFill="1" applyAlignment="1">
      <alignment horizontal="center" vertical="center"/>
    </xf>
    <xf numFmtId="3" fontId="29" fillId="24" borderId="74" xfId="0" applyNumberFormat="1" applyFont="1" applyFill="1" applyBorder="1" applyAlignment="1">
      <alignment vertical="center"/>
    </xf>
    <xf numFmtId="0" fontId="29" fillId="24" borderId="74" xfId="0" applyFont="1" applyFill="1" applyBorder="1" applyAlignment="1">
      <alignment vertical="center"/>
    </xf>
    <xf numFmtId="3" fontId="60" fillId="24" borderId="27" xfId="80" quotePrefix="1" applyNumberFormat="1" applyFont="1" applyFill="1" applyBorder="1" applyAlignment="1">
      <alignment horizontal="left" vertical="center" wrapText="1"/>
    </xf>
    <xf numFmtId="3" fontId="164" fillId="30" borderId="10" xfId="74" applyNumberFormat="1" applyFont="1" applyFill="1" applyBorder="1" applyAlignment="1" applyProtection="1">
      <alignment horizontal="right" vertical="center"/>
      <protection locked="0"/>
    </xf>
    <xf numFmtId="3" fontId="165" fillId="30" borderId="10" xfId="74" applyNumberFormat="1" applyFont="1" applyFill="1" applyBorder="1" applyAlignment="1" applyProtection="1">
      <alignment horizontal="right" vertical="center"/>
      <protection locked="0"/>
    </xf>
    <xf numFmtId="3" fontId="90" fillId="26" borderId="10" xfId="74" applyNumberFormat="1" applyFont="1" applyFill="1" applyBorder="1" applyAlignment="1" applyProtection="1">
      <alignment horizontal="right" vertical="center"/>
      <protection locked="0"/>
    </xf>
    <xf numFmtId="3" fontId="34" fillId="32" borderId="10" xfId="74" applyNumberFormat="1" applyFont="1" applyFill="1" applyBorder="1" applyAlignment="1" applyProtection="1">
      <alignment horizontal="right" vertical="center"/>
      <protection locked="0"/>
    </xf>
    <xf numFmtId="3" fontId="90" fillId="32" borderId="10" xfId="74" applyNumberFormat="1" applyFont="1" applyFill="1" applyBorder="1" applyAlignment="1" applyProtection="1">
      <alignment horizontal="right" vertical="center"/>
      <protection locked="0"/>
    </xf>
    <xf numFmtId="0" fontId="89" fillId="32" borderId="0" xfId="74" applyFont="1" applyFill="1" applyAlignment="1" applyProtection="1">
      <alignment vertical="center"/>
      <protection locked="0"/>
    </xf>
    <xf numFmtId="0" fontId="21" fillId="32" borderId="0" xfId="74" applyFont="1" applyFill="1" applyAlignment="1" applyProtection="1">
      <alignment vertical="center"/>
      <protection locked="0"/>
    </xf>
    <xf numFmtId="3" fontId="84" fillId="0" borderId="0" xfId="83" applyNumberFormat="1" applyFont="1" applyAlignment="1">
      <alignment vertical="center" wrapText="1"/>
    </xf>
    <xf numFmtId="0" fontId="80" fillId="0" borderId="0" xfId="83" applyFont="1" applyAlignment="1">
      <alignment horizontal="right" vertical="center" wrapText="1"/>
    </xf>
    <xf numFmtId="0" fontId="81" fillId="0" borderId="0" xfId="83" applyFont="1" applyAlignment="1">
      <alignment horizontal="right" vertical="center" wrapText="1"/>
    </xf>
    <xf numFmtId="3" fontId="37" fillId="24" borderId="0" xfId="0" applyNumberFormat="1" applyFont="1" applyFill="1" applyAlignment="1">
      <alignment horizontal="center" vertical="center"/>
    </xf>
    <xf numFmtId="3" fontId="36" fillId="24" borderId="12" xfId="0" applyNumberFormat="1" applyFont="1" applyFill="1" applyBorder="1" applyAlignment="1">
      <alignment horizontal="justify" vertical="center" wrapText="1"/>
    </xf>
    <xf numFmtId="3" fontId="36" fillId="24" borderId="12" xfId="0" applyNumberFormat="1" applyFont="1" applyFill="1" applyBorder="1" applyAlignment="1">
      <alignment horizontal="center" vertical="center" wrapText="1"/>
    </xf>
    <xf numFmtId="3" fontId="36" fillId="24" borderId="76" xfId="0" applyNumberFormat="1" applyFont="1" applyFill="1" applyBorder="1" applyAlignment="1">
      <alignment horizontal="justify" vertical="center" wrapText="1"/>
    </xf>
    <xf numFmtId="3" fontId="37" fillId="24" borderId="77" xfId="0" applyNumberFormat="1" applyFont="1" applyFill="1" applyBorder="1" applyAlignment="1">
      <alignment horizontal="center" vertical="center" wrapText="1"/>
    </xf>
    <xf numFmtId="0" fontId="36" fillId="24" borderId="76" xfId="0" applyFont="1" applyFill="1" applyBorder="1" applyAlignment="1">
      <alignment vertical="center"/>
    </xf>
    <xf numFmtId="3" fontId="36" fillId="33" borderId="76" xfId="0" applyNumberFormat="1" applyFont="1" applyFill="1" applyBorder="1" applyAlignment="1">
      <alignment horizontal="justify" vertical="center" wrapText="1"/>
    </xf>
    <xf numFmtId="3" fontId="36" fillId="33" borderId="10" xfId="0" applyNumberFormat="1" applyFont="1" applyFill="1" applyBorder="1" applyAlignment="1">
      <alignment vertical="center"/>
    </xf>
    <xf numFmtId="3" fontId="36" fillId="33" borderId="10" xfId="0" applyNumberFormat="1" applyFont="1" applyFill="1" applyBorder="1" applyAlignment="1">
      <alignment horizontal="justify" vertical="center" wrapText="1"/>
    </xf>
    <xf numFmtId="3" fontId="36" fillId="33" borderId="10" xfId="0" applyNumberFormat="1" applyFont="1" applyFill="1" applyBorder="1" applyAlignment="1">
      <alignment horizontal="center" vertical="center" wrapText="1"/>
    </xf>
    <xf numFmtId="3" fontId="36" fillId="33" borderId="74" xfId="0" applyNumberFormat="1" applyFont="1" applyFill="1" applyBorder="1" applyAlignment="1">
      <alignment horizontal="justify" vertical="center" wrapText="1"/>
    </xf>
    <xf numFmtId="3" fontId="36" fillId="33" borderId="74" xfId="0" applyNumberFormat="1" applyFont="1" applyFill="1" applyBorder="1" applyAlignment="1">
      <alignment horizontal="center" vertical="center"/>
    </xf>
    <xf numFmtId="3" fontId="36" fillId="33" borderId="74" xfId="0" applyNumberFormat="1" applyFont="1" applyFill="1" applyBorder="1" applyAlignment="1">
      <alignment vertical="center"/>
    </xf>
    <xf numFmtId="3" fontId="37" fillId="33" borderId="74" xfId="0" applyNumberFormat="1" applyFont="1" applyFill="1" applyBorder="1" applyAlignment="1">
      <alignment horizontal="justify" vertical="center" wrapText="1"/>
    </xf>
    <xf numFmtId="0" fontId="36" fillId="33" borderId="74" xfId="0" applyFont="1" applyFill="1" applyBorder="1" applyAlignment="1">
      <alignment horizontal="center" vertical="center" wrapText="1"/>
    </xf>
    <xf numFmtId="3" fontId="36" fillId="24" borderId="78" xfId="0" applyNumberFormat="1" applyFont="1" applyFill="1" applyBorder="1" applyAlignment="1">
      <alignment vertical="center" wrapText="1"/>
    </xf>
    <xf numFmtId="3" fontId="36" fillId="24" borderId="0" xfId="0" applyNumberFormat="1" applyFont="1" applyFill="1" applyAlignment="1">
      <alignment vertical="center" wrapText="1"/>
    </xf>
    <xf numFmtId="3" fontId="36" fillId="24" borderId="0" xfId="0" applyNumberFormat="1" applyFont="1" applyFill="1" applyAlignment="1">
      <alignment horizontal="center" vertical="center" wrapText="1"/>
    </xf>
    <xf numFmtId="3" fontId="36" fillId="24" borderId="0" xfId="0" applyNumberFormat="1" applyFont="1" applyFill="1" applyAlignment="1">
      <alignment horizontal="left" vertical="center" wrapText="1"/>
    </xf>
    <xf numFmtId="3" fontId="36" fillId="33" borderId="79" xfId="0" applyNumberFormat="1" applyFont="1" applyFill="1" applyBorder="1" applyAlignment="1">
      <alignment horizontal="justify" vertical="center" wrapText="1"/>
    </xf>
    <xf numFmtId="3" fontId="37" fillId="33" borderId="10" xfId="0" applyNumberFormat="1" applyFont="1" applyFill="1" applyBorder="1" applyAlignment="1">
      <alignment horizontal="justify" vertical="center" wrapText="1"/>
    </xf>
    <xf numFmtId="169" fontId="59" fillId="0" borderId="19" xfId="80" applyNumberFormat="1" applyFont="1" applyBorder="1" applyAlignment="1">
      <alignment horizontal="right" vertical="center" wrapText="1"/>
    </xf>
    <xf numFmtId="0" fontId="29" fillId="24" borderId="25" xfId="0" applyFont="1" applyFill="1" applyBorder="1" applyAlignment="1">
      <alignment vertical="center"/>
    </xf>
    <xf numFmtId="0" fontId="29" fillId="24" borderId="11" xfId="0" applyFont="1" applyFill="1" applyBorder="1" applyAlignment="1">
      <alignment horizontal="center" vertical="center"/>
    </xf>
    <xf numFmtId="0" fontId="0" fillId="24" borderId="11" xfId="0" applyFill="1" applyBorder="1"/>
    <xf numFmtId="0" fontId="21" fillId="24" borderId="11" xfId="0" applyFont="1" applyFill="1" applyBorder="1" applyAlignment="1">
      <alignment vertical="center"/>
    </xf>
    <xf numFmtId="167" fontId="23" fillId="31" borderId="0" xfId="83" applyNumberFormat="1" applyFill="1" applyAlignment="1">
      <alignment vertical="center" wrapText="1"/>
    </xf>
    <xf numFmtId="3" fontId="37" fillId="24" borderId="0" xfId="0" applyNumberFormat="1" applyFont="1" applyFill="1" applyAlignment="1">
      <alignment horizontal="right" vertical="center"/>
    </xf>
    <xf numFmtId="0" fontId="58" fillId="0" borderId="80" xfId="83" applyFont="1" applyBorder="1" applyAlignment="1">
      <alignment horizontal="left" vertical="center"/>
    </xf>
    <xf numFmtId="0" fontId="58" fillId="0" borderId="37" xfId="83" applyFont="1" applyBorder="1" applyAlignment="1">
      <alignment vertical="center" wrapText="1"/>
    </xf>
    <xf numFmtId="169" fontId="58" fillId="0" borderId="81" xfId="83" applyNumberFormat="1" applyFont="1" applyBorder="1" applyAlignment="1" applyProtection="1">
      <alignment horizontal="right" vertical="center" wrapText="1"/>
      <protection locked="0"/>
    </xf>
    <xf numFmtId="3" fontId="58" fillId="0" borderId="81" xfId="83" applyNumberFormat="1" applyFont="1" applyBorder="1" applyAlignment="1" applyProtection="1">
      <alignment horizontal="right" vertical="center" wrapText="1"/>
      <protection locked="0"/>
    </xf>
    <xf numFmtId="3" fontId="58" fillId="0" borderId="38" xfId="83" applyNumberFormat="1" applyFont="1" applyBorder="1" applyAlignment="1" applyProtection="1">
      <alignment horizontal="right" vertical="center" wrapText="1"/>
      <protection locked="0"/>
    </xf>
    <xf numFmtId="49" fontId="66" fillId="0" borderId="82" xfId="79" applyNumberFormat="1" applyFont="1" applyBorder="1" applyAlignment="1">
      <alignment horizontal="center" vertical="center" wrapText="1"/>
    </xf>
    <xf numFmtId="49" fontId="66" fillId="0" borderId="76" xfId="79" applyNumberFormat="1" applyFont="1" applyBorder="1" applyAlignment="1">
      <alignment horizontal="center" vertical="center" wrapText="1"/>
    </xf>
    <xf numFmtId="49" fontId="66" fillId="0" borderId="77" xfId="79" applyNumberFormat="1" applyFont="1" applyBorder="1" applyAlignment="1">
      <alignment horizontal="center" vertical="center" wrapText="1"/>
    </xf>
    <xf numFmtId="0" fontId="29" fillId="24" borderId="0" xfId="0" applyFont="1" applyFill="1" applyAlignment="1">
      <alignment horizontal="center" vertical="center"/>
    </xf>
    <xf numFmtId="0" fontId="29" fillId="24" borderId="74" xfId="0" applyFont="1" applyFill="1" applyBorder="1" applyAlignment="1">
      <alignment horizontal="justify" vertical="center" wrapText="1"/>
    </xf>
    <xf numFmtId="0" fontId="29" fillId="24" borderId="74" xfId="0" applyFont="1" applyFill="1" applyBorder="1" applyAlignment="1">
      <alignment horizontal="center" vertical="center" wrapText="1"/>
    </xf>
    <xf numFmtId="3" fontId="45" fillId="24" borderId="0" xfId="0" applyNumberFormat="1" applyFont="1" applyFill="1" applyAlignment="1">
      <alignment vertical="center" wrapText="1"/>
    </xf>
    <xf numFmtId="3" fontId="47" fillId="34" borderId="10" xfId="74" applyNumberFormat="1" applyFont="1" applyFill="1" applyBorder="1" applyAlignment="1" applyProtection="1">
      <alignment horizontal="right" vertical="center"/>
      <protection locked="0"/>
    </xf>
    <xf numFmtId="3" fontId="100" fillId="34" borderId="10" xfId="74" applyNumberFormat="1" applyFont="1" applyFill="1" applyBorder="1" applyAlignment="1" applyProtection="1">
      <alignment horizontal="right" vertical="center"/>
      <protection locked="0"/>
    </xf>
    <xf numFmtId="3" fontId="101" fillId="34" borderId="10" xfId="74" applyNumberFormat="1" applyFont="1" applyFill="1" applyBorder="1" applyAlignment="1" applyProtection="1">
      <alignment horizontal="right" vertical="center"/>
      <protection locked="0"/>
    </xf>
    <xf numFmtId="3" fontId="60" fillId="24" borderId="0" xfId="80" applyNumberFormat="1" applyFont="1" applyFill="1" applyAlignment="1">
      <alignment vertical="center" wrapText="1"/>
    </xf>
    <xf numFmtId="3" fontId="21" fillId="32" borderId="10" xfId="74" applyNumberFormat="1" applyFont="1" applyFill="1" applyBorder="1" applyAlignment="1" applyProtection="1">
      <alignment horizontal="center" vertical="center" wrapText="1"/>
      <protection locked="0"/>
    </xf>
    <xf numFmtId="3" fontId="34" fillId="32" borderId="10" xfId="74" applyNumberFormat="1" applyFont="1" applyFill="1" applyBorder="1" applyAlignment="1" applyProtection="1">
      <alignment horizontal="center" vertical="center" wrapText="1"/>
      <protection locked="0"/>
    </xf>
    <xf numFmtId="3" fontId="34" fillId="24" borderId="11" xfId="74" applyNumberFormat="1" applyFont="1" applyFill="1" applyBorder="1" applyAlignment="1" applyProtection="1">
      <alignment horizontal="center" vertical="center" wrapText="1"/>
      <protection locked="0"/>
    </xf>
    <xf numFmtId="0" fontId="166" fillId="0" borderId="83" xfId="0" applyFont="1" applyBorder="1" applyAlignment="1">
      <alignment horizontal="center" vertical="center" wrapText="1"/>
    </xf>
    <xf numFmtId="0" fontId="166" fillId="0" borderId="84" xfId="0" applyFont="1" applyBorder="1" applyAlignment="1">
      <alignment horizontal="center" vertical="center" wrapText="1"/>
    </xf>
    <xf numFmtId="0" fontId="167" fillId="0" borderId="85" xfId="0" applyFont="1" applyBorder="1" applyAlignment="1">
      <alignment vertical="center" wrapText="1"/>
    </xf>
    <xf numFmtId="0" fontId="167" fillId="0" borderId="85" xfId="0" applyFont="1" applyBorder="1" applyAlignment="1">
      <alignment horizontal="justify" vertical="center" wrapText="1"/>
    </xf>
    <xf numFmtId="3" fontId="167" fillId="0" borderId="85" xfId="0" applyNumberFormat="1" applyFont="1" applyBorder="1" applyAlignment="1">
      <alignment horizontal="right" vertical="center" wrapText="1"/>
    </xf>
    <xf numFmtId="3" fontId="166" fillId="0" borderId="85" xfId="0" applyNumberFormat="1" applyFont="1" applyBorder="1" applyAlignment="1">
      <alignment horizontal="right" vertical="center" wrapText="1"/>
    </xf>
    <xf numFmtId="0" fontId="166" fillId="35" borderId="0" xfId="0" applyFont="1" applyFill="1"/>
    <xf numFmtId="3" fontId="34" fillId="36" borderId="10" xfId="0" applyNumberFormat="1" applyFont="1" applyFill="1" applyBorder="1" applyAlignment="1">
      <alignment vertical="center"/>
    </xf>
    <xf numFmtId="0" fontId="37" fillId="0" borderId="83" xfId="0" applyFont="1" applyBorder="1" applyAlignment="1">
      <alignment horizontal="center" vertical="center" wrapText="1"/>
    </xf>
    <xf numFmtId="0" fontId="37" fillId="0" borderId="84" xfId="0" applyFont="1" applyBorder="1" applyAlignment="1">
      <alignment horizontal="center" vertical="center" wrapText="1"/>
    </xf>
    <xf numFmtId="3" fontId="21" fillId="24" borderId="10" xfId="0" applyNumberFormat="1" applyFont="1" applyFill="1" applyBorder="1" applyAlignment="1">
      <alignment horizontal="right" vertical="center"/>
    </xf>
    <xf numFmtId="3" fontId="21" fillId="36" borderId="25" xfId="0" applyNumberFormat="1" applyFont="1" applyFill="1" applyBorder="1" applyAlignment="1">
      <alignment vertical="center"/>
    </xf>
    <xf numFmtId="0" fontId="21" fillId="24" borderId="12" xfId="0" applyFont="1" applyFill="1" applyBorder="1" applyAlignment="1">
      <alignment vertical="center"/>
    </xf>
    <xf numFmtId="0" fontId="166" fillId="35" borderId="74" xfId="0" applyFont="1" applyFill="1" applyBorder="1"/>
    <xf numFmtId="0" fontId="88" fillId="37" borderId="10" xfId="0" applyFont="1" applyFill="1" applyBorder="1" applyAlignment="1">
      <alignment horizontal="justify" vertical="center" wrapText="1"/>
    </xf>
    <xf numFmtId="0" fontId="21" fillId="32" borderId="10" xfId="74" applyFont="1" applyFill="1" applyBorder="1" applyAlignment="1" applyProtection="1">
      <alignment horizontal="justify" vertical="center" wrapText="1"/>
      <protection locked="0"/>
    </xf>
    <xf numFmtId="49" fontId="34" fillId="32" borderId="10" xfId="74" applyNumberFormat="1" applyFont="1" applyFill="1" applyBorder="1" applyAlignment="1" applyProtection="1">
      <alignment horizontal="center" vertical="center"/>
      <protection locked="0"/>
    </xf>
    <xf numFmtId="3" fontId="33" fillId="32" borderId="10" xfId="74" applyNumberFormat="1" applyFont="1" applyFill="1" applyBorder="1" applyAlignment="1" applyProtection="1">
      <alignment horizontal="right" vertical="center"/>
      <protection locked="0"/>
    </xf>
    <xf numFmtId="3" fontId="21" fillId="32" borderId="0" xfId="74" applyNumberFormat="1" applyFont="1" applyFill="1" applyAlignment="1" applyProtection="1">
      <alignment horizontal="right" vertical="center"/>
      <protection locked="0"/>
    </xf>
    <xf numFmtId="3" fontId="60" fillId="0" borderId="86" xfId="76" applyNumberFormat="1" applyFont="1" applyBorder="1" applyAlignment="1" applyProtection="1">
      <alignment vertical="center"/>
      <protection locked="0"/>
    </xf>
    <xf numFmtId="3" fontId="60" fillId="0" borderId="40" xfId="76" applyNumberFormat="1" applyFont="1" applyBorder="1" applyAlignment="1" applyProtection="1">
      <alignment vertical="center"/>
      <protection locked="0"/>
    </xf>
    <xf numFmtId="3" fontId="60" fillId="0" borderId="87" xfId="76" applyNumberFormat="1" applyFont="1" applyBorder="1" applyAlignment="1" applyProtection="1">
      <alignment vertical="center"/>
      <protection locked="0"/>
    </xf>
    <xf numFmtId="3" fontId="60" fillId="0" borderId="24" xfId="76" applyNumberFormat="1" applyFont="1" applyBorder="1" applyAlignment="1" applyProtection="1">
      <alignment vertical="center"/>
      <protection locked="0"/>
    </xf>
    <xf numFmtId="3" fontId="60" fillId="0" borderId="60" xfId="76" applyNumberFormat="1" applyFont="1" applyBorder="1" applyAlignment="1" applyProtection="1">
      <alignment vertical="center"/>
      <protection locked="0"/>
    </xf>
    <xf numFmtId="3" fontId="64" fillId="0" borderId="88" xfId="76" applyNumberFormat="1" applyFont="1" applyBorder="1" applyAlignment="1" applyProtection="1">
      <alignment horizontal="center" vertical="center"/>
      <protection locked="0"/>
    </xf>
    <xf numFmtId="3" fontId="64" fillId="0" borderId="83" xfId="76" applyNumberFormat="1" applyFont="1" applyBorder="1" applyAlignment="1" applyProtection="1">
      <alignment horizontal="center" vertical="center"/>
      <protection locked="0"/>
    </xf>
    <xf numFmtId="3" fontId="23" fillId="0" borderId="89" xfId="76" applyNumberFormat="1" applyBorder="1" applyAlignment="1">
      <alignment vertical="center"/>
    </xf>
    <xf numFmtId="3" fontId="23" fillId="0" borderId="90" xfId="76" applyNumberFormat="1" applyBorder="1" applyAlignment="1">
      <alignment vertical="center"/>
    </xf>
    <xf numFmtId="3" fontId="23" fillId="0" borderId="91" xfId="76" applyNumberFormat="1" applyBorder="1" applyAlignment="1">
      <alignment vertical="center"/>
    </xf>
    <xf numFmtId="3" fontId="23" fillId="0" borderId="92" xfId="76" applyNumberFormat="1" applyBorder="1" applyAlignment="1">
      <alignment vertical="center"/>
    </xf>
    <xf numFmtId="3" fontId="23" fillId="0" borderId="93" xfId="76" applyNumberFormat="1" applyBorder="1" applyAlignment="1">
      <alignment vertical="center"/>
    </xf>
    <xf numFmtId="0" fontId="37" fillId="0" borderId="12" xfId="0" applyFont="1" applyBorder="1" applyAlignment="1">
      <alignment vertical="center"/>
    </xf>
    <xf numFmtId="0" fontId="37" fillId="0" borderId="12" xfId="0" applyFont="1" applyBorder="1" applyAlignment="1">
      <alignment vertical="center" wrapText="1"/>
    </xf>
    <xf numFmtId="0" fontId="37" fillId="0" borderId="25" xfId="0" applyFont="1" applyBorder="1" applyAlignment="1">
      <alignment vertical="center" wrapText="1"/>
    </xf>
    <xf numFmtId="0" fontId="36" fillId="31" borderId="10" xfId="0" applyFont="1" applyFill="1" applyBorder="1" applyAlignment="1">
      <alignment horizontal="justify" vertical="center" wrapText="1"/>
    </xf>
    <xf numFmtId="0" fontId="36" fillId="31" borderId="10" xfId="0" applyFont="1" applyFill="1" applyBorder="1" applyAlignment="1">
      <alignment vertical="center" wrapText="1"/>
    </xf>
    <xf numFmtId="3" fontId="36" fillId="31" borderId="10" xfId="0" applyNumberFormat="1" applyFont="1" applyFill="1" applyBorder="1" applyAlignment="1">
      <alignment horizontal="right" vertical="center"/>
    </xf>
    <xf numFmtId="0" fontId="36" fillId="31" borderId="10" xfId="0" applyFont="1" applyFill="1" applyBorder="1" applyAlignment="1">
      <alignment horizontal="right" vertical="center"/>
    </xf>
    <xf numFmtId="167" fontId="34" fillId="0" borderId="0" xfId="76" applyNumberFormat="1" applyFont="1" applyAlignment="1">
      <alignment vertical="center" wrapText="1"/>
    </xf>
    <xf numFmtId="3" fontId="82" fillId="0" borderId="0" xfId="76" applyNumberFormat="1" applyFont="1" applyAlignment="1" applyProtection="1">
      <alignment vertical="center" wrapText="1"/>
      <protection locked="0"/>
    </xf>
    <xf numFmtId="167" fontId="63" fillId="0" borderId="0" xfId="79" applyNumberFormat="1" applyFont="1" applyAlignment="1">
      <alignment horizontal="center" vertical="center"/>
    </xf>
    <xf numFmtId="0" fontId="59" fillId="38" borderId="36" xfId="79" applyFont="1" applyFill="1" applyBorder="1" applyAlignment="1">
      <alignment horizontal="center" vertical="center" wrapText="1"/>
    </xf>
    <xf numFmtId="0" fontId="77" fillId="38" borderId="36" xfId="79" applyFont="1" applyFill="1" applyBorder="1" applyAlignment="1">
      <alignment horizontal="center" vertical="center" wrapText="1"/>
    </xf>
    <xf numFmtId="3" fontId="77" fillId="38" borderId="36" xfId="79" applyNumberFormat="1" applyFont="1" applyFill="1" applyBorder="1" applyAlignment="1">
      <alignment horizontal="right" vertical="center" wrapText="1"/>
    </xf>
    <xf numFmtId="3" fontId="82" fillId="38" borderId="36" xfId="78" applyNumberFormat="1" applyFont="1" applyFill="1" applyBorder="1" applyAlignment="1">
      <alignment horizontal="right" vertical="center" wrapText="1"/>
    </xf>
    <xf numFmtId="3" fontId="65" fillId="38" borderId="36" xfId="79" applyNumberFormat="1" applyFont="1" applyFill="1" applyBorder="1" applyAlignment="1">
      <alignment horizontal="right" vertical="center" wrapText="1"/>
    </xf>
    <xf numFmtId="3" fontId="66" fillId="38" borderId="11" xfId="79" applyNumberFormat="1" applyFont="1" applyFill="1" applyBorder="1" applyAlignment="1">
      <alignment horizontal="right" vertical="center" wrapText="1"/>
    </xf>
    <xf numFmtId="3" fontId="79" fillId="38" borderId="10" xfId="78" applyNumberFormat="1" applyFont="1" applyFill="1" applyBorder="1" applyAlignment="1">
      <alignment horizontal="right" vertical="center" wrapText="1"/>
    </xf>
    <xf numFmtId="0" fontId="77" fillId="38" borderId="73" xfId="79" applyFont="1" applyFill="1" applyBorder="1" applyAlignment="1">
      <alignment horizontal="center" vertical="center" wrapText="1"/>
    </xf>
    <xf numFmtId="3" fontId="65" fillId="38" borderId="38" xfId="79" applyNumberFormat="1" applyFont="1" applyFill="1" applyBorder="1" applyAlignment="1">
      <alignment horizontal="right" vertical="center" wrapText="1"/>
    </xf>
    <xf numFmtId="3" fontId="66" fillId="38" borderId="12" xfId="79" applyNumberFormat="1" applyFont="1" applyFill="1" applyBorder="1" applyAlignment="1">
      <alignment horizontal="right" vertical="center" wrapText="1"/>
    </xf>
    <xf numFmtId="3" fontId="79" fillId="38" borderId="12" xfId="78" applyNumberFormat="1" applyFont="1" applyFill="1" applyBorder="1" applyAlignment="1">
      <alignment horizontal="right" vertical="center" wrapText="1"/>
    </xf>
    <xf numFmtId="0" fontId="56" fillId="0" borderId="0" xfId="78" applyFont="1" applyAlignment="1">
      <alignment horizontal="right" vertical="center"/>
    </xf>
    <xf numFmtId="0" fontId="66" fillId="24" borderId="74" xfId="79" applyFont="1" applyFill="1" applyBorder="1" applyAlignment="1">
      <alignment horizontal="center" vertical="center"/>
    </xf>
    <xf numFmtId="3" fontId="61" fillId="24" borderId="0" xfId="79" applyNumberFormat="1" applyFont="1" applyFill="1" applyAlignment="1">
      <alignment vertical="center"/>
    </xf>
    <xf numFmtId="10" fontId="66" fillId="24" borderId="74" xfId="79" applyNumberFormat="1" applyFont="1" applyFill="1" applyBorder="1" applyAlignment="1">
      <alignment horizontal="right" vertical="center"/>
    </xf>
    <xf numFmtId="0" fontId="78" fillId="0" borderId="0" xfId="79" applyFont="1" applyAlignment="1">
      <alignment vertical="center"/>
    </xf>
    <xf numFmtId="3" fontId="0" fillId="23" borderId="12" xfId="0" applyNumberFormat="1" applyFill="1" applyBorder="1" applyAlignment="1">
      <alignment vertical="center"/>
    </xf>
    <xf numFmtId="3" fontId="64" fillId="0" borderId="94" xfId="76" applyNumberFormat="1" applyFont="1" applyBorder="1" applyAlignment="1" applyProtection="1">
      <alignment vertical="center"/>
      <protection locked="0"/>
    </xf>
    <xf numFmtId="3" fontId="64" fillId="0" borderId="95" xfId="76" applyNumberFormat="1" applyFont="1" applyBorder="1" applyAlignment="1" applyProtection="1">
      <alignment horizontal="center" vertical="center"/>
      <protection locked="0"/>
    </xf>
    <xf numFmtId="3" fontId="60" fillId="0" borderId="96" xfId="76" applyNumberFormat="1" applyFont="1" applyBorder="1" applyAlignment="1" applyProtection="1">
      <alignment vertical="center"/>
      <protection locked="0"/>
    </xf>
    <xf numFmtId="3" fontId="67" fillId="0" borderId="76" xfId="76" applyNumberFormat="1" applyFont="1" applyBorder="1" applyAlignment="1" applyProtection="1">
      <alignment horizontal="left" vertical="center"/>
      <protection locked="0"/>
    </xf>
    <xf numFmtId="3" fontId="60" fillId="0" borderId="97" xfId="76" applyNumberFormat="1" applyFont="1" applyBorder="1" applyAlignment="1" applyProtection="1">
      <alignment vertical="center"/>
      <protection locked="0"/>
    </xf>
    <xf numFmtId="3" fontId="60" fillId="0" borderId="76" xfId="76" applyNumberFormat="1" applyFont="1" applyBorder="1" applyAlignment="1" applyProtection="1">
      <alignment vertical="center"/>
      <protection locked="0"/>
    </xf>
    <xf numFmtId="3" fontId="60" fillId="0" borderId="77" xfId="76" applyNumberFormat="1" applyFont="1" applyBorder="1" applyAlignment="1" applyProtection="1">
      <alignment vertical="center"/>
      <protection locked="0"/>
    </xf>
    <xf numFmtId="3" fontId="64" fillId="0" borderId="98" xfId="76" applyNumberFormat="1" applyFont="1" applyBorder="1" applyAlignment="1" applyProtection="1">
      <alignment vertical="center"/>
      <protection locked="0"/>
    </xf>
    <xf numFmtId="3" fontId="60" fillId="0" borderId="76" xfId="76" applyNumberFormat="1" applyFont="1" applyBorder="1" applyAlignment="1" applyProtection="1">
      <alignment horizontal="left" vertical="center"/>
      <protection locked="0"/>
    </xf>
    <xf numFmtId="3" fontId="64" fillId="0" borderId="99" xfId="76" applyNumberFormat="1" applyFont="1" applyBorder="1" applyAlignment="1" applyProtection="1">
      <alignment vertical="center"/>
      <protection locked="0"/>
    </xf>
    <xf numFmtId="0" fontId="59" fillId="38" borderId="45" xfId="79" applyFont="1" applyFill="1" applyBorder="1" applyAlignment="1">
      <alignment horizontal="center" vertical="center" wrapText="1"/>
    </xf>
    <xf numFmtId="0" fontId="77" fillId="38" borderId="45" xfId="79" applyFont="1" applyFill="1" applyBorder="1" applyAlignment="1">
      <alignment horizontal="center" vertical="center" wrapText="1"/>
    </xf>
    <xf numFmtId="3" fontId="77" fillId="38" borderId="45" xfId="79" applyNumberFormat="1" applyFont="1" applyFill="1" applyBorder="1" applyAlignment="1">
      <alignment horizontal="right" vertical="center" wrapText="1"/>
    </xf>
    <xf numFmtId="3" fontId="82" fillId="38" borderId="45" xfId="78" applyNumberFormat="1" applyFont="1" applyFill="1" applyBorder="1" applyAlignment="1">
      <alignment horizontal="right" vertical="center" wrapText="1"/>
    </xf>
    <xf numFmtId="3" fontId="65" fillId="38" borderId="45" xfId="79" applyNumberFormat="1" applyFont="1" applyFill="1" applyBorder="1" applyAlignment="1">
      <alignment horizontal="right" vertical="center" wrapText="1"/>
    </xf>
    <xf numFmtId="3" fontId="66" fillId="38" borderId="23" xfId="79" applyNumberFormat="1" applyFont="1" applyFill="1" applyBorder="1" applyAlignment="1">
      <alignment horizontal="right" vertical="center" wrapText="1"/>
    </xf>
    <xf numFmtId="3" fontId="79" fillId="38" borderId="71" xfId="78" applyNumberFormat="1" applyFont="1" applyFill="1" applyBorder="1" applyAlignment="1">
      <alignment horizontal="right" vertical="center" wrapText="1"/>
    </xf>
    <xf numFmtId="3" fontId="65" fillId="38" borderId="41" xfId="79" applyNumberFormat="1" applyFont="1" applyFill="1" applyBorder="1" applyAlignment="1">
      <alignment horizontal="right" vertical="center" wrapText="1"/>
    </xf>
    <xf numFmtId="0" fontId="59" fillId="38" borderId="41" xfId="79" applyFont="1" applyFill="1" applyBorder="1" applyAlignment="1">
      <alignment horizontal="center" vertical="center" wrapText="1"/>
    </xf>
    <xf numFmtId="0" fontId="77" fillId="38" borderId="20" xfId="79" applyFont="1" applyFill="1" applyBorder="1" applyAlignment="1">
      <alignment horizontal="center" vertical="center" wrapText="1"/>
    </xf>
    <xf numFmtId="3" fontId="65" fillId="38" borderId="44" xfId="79" applyNumberFormat="1" applyFont="1" applyFill="1" applyBorder="1" applyAlignment="1">
      <alignment horizontal="right" vertical="center" wrapText="1"/>
    </xf>
    <xf numFmtId="3" fontId="66" fillId="38" borderId="57" xfId="79" applyNumberFormat="1" applyFont="1" applyFill="1" applyBorder="1" applyAlignment="1">
      <alignment horizontal="right" vertical="center" wrapText="1"/>
    </xf>
    <xf numFmtId="3" fontId="79" fillId="38" borderId="57" xfId="78" applyNumberFormat="1" applyFont="1" applyFill="1" applyBorder="1" applyAlignment="1">
      <alignment horizontal="right" vertical="center" wrapText="1"/>
    </xf>
    <xf numFmtId="3" fontId="85" fillId="38" borderId="41" xfId="78" applyNumberFormat="1" applyFont="1" applyFill="1" applyBorder="1" applyAlignment="1">
      <alignment horizontal="right" vertical="center" wrapText="1"/>
    </xf>
    <xf numFmtId="0" fontId="59" fillId="0" borderId="100" xfId="79" applyFont="1" applyBorder="1" applyAlignment="1">
      <alignment horizontal="center" vertical="center" wrapText="1"/>
    </xf>
    <xf numFmtId="0" fontId="59" fillId="0" borderId="101" xfId="79" applyFont="1" applyBorder="1" applyAlignment="1">
      <alignment horizontal="center" vertical="center" wrapText="1"/>
    </xf>
    <xf numFmtId="0" fontId="59" fillId="38" borderId="101" xfId="79" applyFont="1" applyFill="1" applyBorder="1" applyAlignment="1">
      <alignment horizontal="center" vertical="center" wrapText="1"/>
    </xf>
    <xf numFmtId="0" fontId="59" fillId="0" borderId="102" xfId="79" applyFont="1" applyBorder="1" applyAlignment="1">
      <alignment horizontal="center" vertical="center" wrapText="1"/>
    </xf>
    <xf numFmtId="0" fontId="59" fillId="0" borderId="103" xfId="79" applyFont="1" applyBorder="1" applyAlignment="1">
      <alignment horizontal="center" vertical="center" wrapText="1"/>
    </xf>
    <xf numFmtId="0" fontId="77" fillId="0" borderId="98" xfId="79" applyFont="1" applyBorder="1" applyAlignment="1">
      <alignment horizontal="center" vertical="center" wrapText="1"/>
    </xf>
    <xf numFmtId="0" fontId="77" fillId="0" borderId="104" xfId="79" applyFont="1" applyBorder="1" applyAlignment="1">
      <alignment horizontal="center" vertical="center" wrapText="1"/>
    </xf>
    <xf numFmtId="3" fontId="77" fillId="0" borderId="105" xfId="79" applyNumberFormat="1" applyFont="1" applyBorder="1" applyAlignment="1" applyProtection="1">
      <alignment horizontal="right" vertical="center" wrapText="1"/>
      <protection locked="0"/>
    </xf>
    <xf numFmtId="3" fontId="77" fillId="0" borderId="104" xfId="79" applyNumberFormat="1" applyFont="1" applyBorder="1" applyAlignment="1" applyProtection="1">
      <alignment horizontal="right" vertical="center" wrapText="1"/>
      <protection locked="0"/>
    </xf>
    <xf numFmtId="3" fontId="65" fillId="0" borderId="104" xfId="79" applyNumberFormat="1" applyFont="1" applyBorder="1" applyAlignment="1">
      <alignment horizontal="right" vertical="center" wrapText="1"/>
    </xf>
    <xf numFmtId="3" fontId="66" fillId="0" borderId="106" xfId="79" applyNumberFormat="1" applyFont="1" applyBorder="1" applyAlignment="1">
      <alignment horizontal="right" vertical="center" wrapText="1"/>
    </xf>
    <xf numFmtId="3" fontId="66" fillId="0" borderId="97" xfId="79" applyNumberFormat="1" applyFont="1" applyBorder="1" applyAlignment="1" applyProtection="1">
      <alignment horizontal="right" vertical="center" wrapText="1"/>
      <protection locked="0"/>
    </xf>
    <xf numFmtId="3" fontId="66" fillId="0" borderId="107" xfId="79" applyNumberFormat="1" applyFont="1" applyBorder="1" applyAlignment="1" applyProtection="1">
      <alignment horizontal="right" vertical="center" wrapText="1"/>
      <protection locked="0"/>
    </xf>
    <xf numFmtId="3" fontId="66" fillId="0" borderId="108" xfId="79" applyNumberFormat="1" applyFont="1" applyBorder="1" applyAlignment="1" applyProtection="1">
      <alignment horizontal="right" vertical="center" wrapText="1"/>
      <protection locked="0"/>
    </xf>
    <xf numFmtId="3" fontId="65" fillId="0" borderId="105" xfId="79" applyNumberFormat="1" applyFont="1" applyBorder="1" applyAlignment="1">
      <alignment horizontal="right" vertical="center" wrapText="1"/>
    </xf>
    <xf numFmtId="3" fontId="65" fillId="0" borderId="105" xfId="79" applyNumberFormat="1" applyFont="1" applyBorder="1" applyAlignment="1" applyProtection="1">
      <alignment horizontal="right" vertical="center" wrapText="1"/>
      <protection locked="0"/>
    </xf>
    <xf numFmtId="0" fontId="63" fillId="0" borderId="109" xfId="79" applyFont="1" applyBorder="1" applyAlignment="1">
      <alignment horizontal="center" vertical="center" wrapText="1"/>
    </xf>
    <xf numFmtId="167" fontId="60" fillId="0" borderId="110" xfId="79" applyNumberFormat="1" applyFont="1" applyBorder="1" applyAlignment="1">
      <alignment horizontal="right" vertical="center" wrapText="1"/>
    </xf>
    <xf numFmtId="0" fontId="56" fillId="0" borderId="111" xfId="78" applyFont="1" applyBorder="1" applyAlignment="1">
      <alignment horizontal="right" vertical="center"/>
    </xf>
    <xf numFmtId="0" fontId="59" fillId="0" borderId="98" xfId="79" applyFont="1" applyBorder="1" applyAlignment="1">
      <alignment horizontal="center" vertical="center" wrapText="1"/>
    </xf>
    <xf numFmtId="0" fontId="59" fillId="0" borderId="105" xfId="79" applyFont="1" applyBorder="1" applyAlignment="1">
      <alignment horizontal="center" vertical="center" wrapText="1"/>
    </xf>
    <xf numFmtId="0" fontId="77" fillId="0" borderId="94" xfId="79" applyFont="1" applyBorder="1" applyAlignment="1">
      <alignment horizontal="center" vertical="center" wrapText="1"/>
    </xf>
    <xf numFmtId="0" fontId="77" fillId="0" borderId="112" xfId="79" applyFont="1" applyBorder="1" applyAlignment="1">
      <alignment horizontal="center" vertical="center" wrapText="1"/>
    </xf>
    <xf numFmtId="3" fontId="65" fillId="0" borderId="113" xfId="79" applyNumberFormat="1" applyFont="1" applyBorder="1" applyAlignment="1">
      <alignment horizontal="right" vertical="center" wrapText="1"/>
    </xf>
    <xf numFmtId="3" fontId="66" fillId="0" borderId="114" xfId="79" applyNumberFormat="1" applyFont="1" applyBorder="1" applyAlignment="1" applyProtection="1">
      <alignment horizontal="right" vertical="center" wrapText="1"/>
      <protection locked="0"/>
    </xf>
    <xf numFmtId="3" fontId="77" fillId="0" borderId="105" xfId="79" applyNumberFormat="1" applyFont="1" applyBorder="1" applyAlignment="1">
      <alignment horizontal="right" vertical="center" wrapText="1"/>
    </xf>
    <xf numFmtId="0" fontId="85" fillId="0" borderId="115" xfId="78" applyFont="1" applyBorder="1" applyAlignment="1">
      <alignment horizontal="left" vertical="center" wrapText="1"/>
    </xf>
    <xf numFmtId="3" fontId="85" fillId="38" borderId="116" xfId="78" applyNumberFormat="1" applyFont="1" applyFill="1" applyBorder="1" applyAlignment="1">
      <alignment horizontal="right" vertical="center" wrapText="1"/>
    </xf>
    <xf numFmtId="3" fontId="85" fillId="0" borderId="116" xfId="78" applyNumberFormat="1" applyFont="1" applyBorder="1" applyAlignment="1">
      <alignment horizontal="right" vertical="center" wrapText="1"/>
    </xf>
    <xf numFmtId="3" fontId="85" fillId="0" borderId="117" xfId="78" applyNumberFormat="1" applyFont="1" applyBorder="1" applyAlignment="1">
      <alignment horizontal="right" vertical="center" wrapText="1"/>
    </xf>
    <xf numFmtId="0" fontId="152" fillId="0" borderId="74" xfId="0" applyFont="1" applyBorder="1" applyAlignment="1">
      <alignment vertical="center"/>
    </xf>
    <xf numFmtId="3" fontId="57" fillId="24" borderId="83" xfId="80" applyNumberFormat="1" applyFont="1" applyFill="1" applyBorder="1" applyAlignment="1">
      <alignment horizontal="center" vertical="center" wrapText="1"/>
    </xf>
    <xf numFmtId="3" fontId="23" fillId="24" borderId="74" xfId="80" applyNumberFormat="1" applyFill="1" applyBorder="1" applyAlignment="1">
      <alignment vertical="center" wrapText="1"/>
    </xf>
    <xf numFmtId="0" fontId="168" fillId="0" borderId="0" xfId="80" applyFont="1" applyAlignment="1">
      <alignment horizontal="center" vertical="center" wrapText="1"/>
    </xf>
    <xf numFmtId="3" fontId="169" fillId="0" borderId="0" xfId="80" applyNumberFormat="1" applyFont="1" applyAlignment="1">
      <alignment vertical="center" wrapText="1"/>
    </xf>
    <xf numFmtId="0" fontId="29" fillId="32" borderId="74" xfId="0" applyFont="1" applyFill="1" applyBorder="1" applyAlignment="1">
      <alignment horizontal="justify" vertical="center" wrapText="1"/>
    </xf>
    <xf numFmtId="0" fontId="29" fillId="32" borderId="74" xfId="0" applyFont="1" applyFill="1" applyBorder="1" applyAlignment="1">
      <alignment horizontal="center" vertical="center" wrapText="1"/>
    </xf>
    <xf numFmtId="3" fontId="29" fillId="32" borderId="74" xfId="0" applyNumberFormat="1" applyFont="1" applyFill="1" applyBorder="1" applyAlignment="1">
      <alignment vertical="center"/>
    </xf>
    <xf numFmtId="3" fontId="170" fillId="24" borderId="118" xfId="0" applyNumberFormat="1" applyFont="1" applyFill="1" applyBorder="1" applyAlignment="1">
      <alignment vertical="center"/>
    </xf>
    <xf numFmtId="3" fontId="170" fillId="24" borderId="97" xfId="0" applyNumberFormat="1" applyFont="1" applyFill="1" applyBorder="1" applyAlignment="1">
      <alignment vertical="center" wrapText="1"/>
    </xf>
    <xf numFmtId="3" fontId="170" fillId="24" borderId="97" xfId="0" applyNumberFormat="1" applyFont="1" applyFill="1" applyBorder="1" applyAlignment="1">
      <alignment vertical="center"/>
    </xf>
    <xf numFmtId="3" fontId="170" fillId="33" borderId="75" xfId="0" applyNumberFormat="1" applyFont="1" applyFill="1" applyBorder="1" applyAlignment="1">
      <alignment vertical="center"/>
    </xf>
    <xf numFmtId="3" fontId="170" fillId="33" borderId="97" xfId="0" applyNumberFormat="1" applyFont="1" applyFill="1" applyBorder="1" applyAlignment="1">
      <alignment vertical="center"/>
    </xf>
    <xf numFmtId="3" fontId="170" fillId="33" borderId="97" xfId="0" applyNumberFormat="1" applyFont="1" applyFill="1" applyBorder="1" applyAlignment="1">
      <alignment vertical="center" wrapText="1"/>
    </xf>
    <xf numFmtId="3" fontId="171" fillId="24" borderId="0" xfId="0" applyNumberFormat="1" applyFont="1" applyFill="1" applyAlignment="1">
      <alignment vertical="center"/>
    </xf>
    <xf numFmtId="3" fontId="170" fillId="24" borderId="0" xfId="0" applyNumberFormat="1" applyFont="1" applyFill="1" applyAlignment="1">
      <alignment vertical="center"/>
    </xf>
    <xf numFmtId="3" fontId="21" fillId="27" borderId="10" xfId="74" applyNumberFormat="1" applyFont="1" applyFill="1" applyBorder="1" applyAlignment="1" applyProtection="1">
      <alignment horizontal="right" vertical="center"/>
      <protection locked="0"/>
    </xf>
    <xf numFmtId="3" fontId="21" fillId="28" borderId="10" xfId="74" applyNumberFormat="1" applyFont="1" applyFill="1" applyBorder="1" applyAlignment="1" applyProtection="1">
      <alignment horizontal="right" vertical="center"/>
      <protection locked="0"/>
    </xf>
    <xf numFmtId="3" fontId="89" fillId="27" borderId="10" xfId="74" applyNumberFormat="1" applyFont="1" applyFill="1" applyBorder="1" applyAlignment="1" applyProtection="1">
      <alignment horizontal="right" vertical="center"/>
      <protection locked="0"/>
    </xf>
    <xf numFmtId="3" fontId="89" fillId="29" borderId="10" xfId="74" applyNumberFormat="1" applyFont="1" applyFill="1" applyBorder="1" applyAlignment="1" applyProtection="1">
      <alignment horizontal="right" vertical="center"/>
      <protection locked="0"/>
    </xf>
    <xf numFmtId="3" fontId="66" fillId="0" borderId="74" xfId="79" applyNumberFormat="1" applyFont="1" applyBorder="1" applyAlignment="1">
      <alignment horizontal="right" vertical="center" wrapText="1"/>
    </xf>
    <xf numFmtId="3" fontId="86" fillId="24" borderId="40" xfId="74" applyNumberFormat="1" applyFont="1" applyFill="1" applyBorder="1" applyAlignment="1" applyProtection="1">
      <alignment horizontal="right" vertical="center"/>
      <protection locked="0"/>
    </xf>
    <xf numFmtId="3" fontId="65" fillId="24" borderId="74" xfId="80" applyNumberFormat="1" applyFont="1" applyFill="1" applyBorder="1" applyAlignment="1">
      <alignment horizontal="right" vertical="center" wrapText="1"/>
    </xf>
    <xf numFmtId="0" fontId="86" fillId="24" borderId="40" xfId="74" applyFont="1" applyFill="1" applyBorder="1" applyAlignment="1" applyProtection="1">
      <alignment horizontal="center" vertical="center"/>
      <protection locked="0"/>
    </xf>
    <xf numFmtId="49" fontId="86" fillId="24" borderId="40" xfId="74" applyNumberFormat="1" applyFont="1" applyFill="1" applyBorder="1" applyAlignment="1" applyProtection="1">
      <alignment horizontal="right" vertical="center"/>
      <protection locked="0"/>
    </xf>
    <xf numFmtId="3" fontId="47" fillId="24" borderId="40" xfId="74" applyNumberFormat="1" applyFont="1" applyFill="1" applyBorder="1" applyAlignment="1" applyProtection="1">
      <alignment horizontal="right" vertical="center"/>
      <protection locked="0"/>
    </xf>
    <xf numFmtId="3" fontId="75" fillId="24" borderId="40" xfId="74" applyNumberFormat="1" applyFont="1" applyFill="1" applyBorder="1" applyAlignment="1" applyProtection="1">
      <alignment horizontal="right" vertical="center"/>
      <protection locked="0"/>
    </xf>
    <xf numFmtId="3" fontId="47" fillId="24" borderId="25" xfId="74" applyNumberFormat="1" applyFont="1" applyFill="1" applyBorder="1" applyAlignment="1" applyProtection="1">
      <alignment horizontal="center" vertical="center" wrapText="1"/>
      <protection locked="0"/>
    </xf>
    <xf numFmtId="49" fontId="86" fillId="24" borderId="25" xfId="74" applyNumberFormat="1" applyFont="1" applyFill="1" applyBorder="1" applyAlignment="1" applyProtection="1">
      <alignment horizontal="right" vertical="center"/>
      <protection locked="0"/>
    </xf>
    <xf numFmtId="3" fontId="47" fillId="24" borderId="25" xfId="74" applyNumberFormat="1" applyFont="1" applyFill="1" applyBorder="1" applyAlignment="1" applyProtection="1">
      <alignment horizontal="right" vertical="center"/>
      <protection locked="0"/>
    </xf>
    <xf numFmtId="3" fontId="86" fillId="24" borderId="25" xfId="74" applyNumberFormat="1" applyFont="1" applyFill="1" applyBorder="1" applyAlignment="1" applyProtection="1">
      <alignment horizontal="right" vertical="center"/>
      <protection locked="0"/>
    </xf>
    <xf numFmtId="3" fontId="75" fillId="24" borderId="25" xfId="74" applyNumberFormat="1" applyFont="1" applyFill="1" applyBorder="1" applyAlignment="1" applyProtection="1">
      <alignment horizontal="right" vertical="center"/>
      <protection locked="0"/>
    </xf>
    <xf numFmtId="0" fontId="86" fillId="24" borderId="74" xfId="74" applyFont="1" applyFill="1" applyBorder="1" applyAlignment="1" applyProtection="1">
      <alignment horizontal="center" vertical="center"/>
      <protection locked="0"/>
    </xf>
    <xf numFmtId="49" fontId="86" fillId="24" borderId="74" xfId="74" applyNumberFormat="1" applyFont="1" applyFill="1" applyBorder="1" applyAlignment="1" applyProtection="1">
      <alignment horizontal="right" vertical="center"/>
      <protection locked="0"/>
    </xf>
    <xf numFmtId="3" fontId="47" fillId="24" borderId="74" xfId="74" applyNumberFormat="1" applyFont="1" applyFill="1" applyBorder="1" applyAlignment="1" applyProtection="1">
      <alignment horizontal="right" vertical="center"/>
      <protection locked="0"/>
    </xf>
    <xf numFmtId="3" fontId="86" fillId="24" borderId="74" xfId="74" applyNumberFormat="1" applyFont="1" applyFill="1" applyBorder="1" applyAlignment="1" applyProtection="1">
      <alignment horizontal="right" vertical="center"/>
      <protection locked="0"/>
    </xf>
    <xf numFmtId="3" fontId="60" fillId="24" borderId="74" xfId="80" applyNumberFormat="1" applyFont="1" applyFill="1" applyBorder="1" applyAlignment="1" applyProtection="1">
      <alignment horizontal="right" vertical="center" wrapText="1"/>
      <protection locked="0"/>
    </xf>
    <xf numFmtId="3" fontId="75" fillId="24" borderId="74" xfId="74" applyNumberFormat="1" applyFont="1" applyFill="1" applyBorder="1" applyAlignment="1" applyProtection="1">
      <alignment horizontal="right" vertical="center"/>
      <protection locked="0"/>
    </xf>
    <xf numFmtId="0" fontId="29" fillId="24" borderId="74" xfId="0" applyFont="1" applyFill="1" applyBorder="1" applyAlignment="1">
      <alignment vertical="center" wrapText="1"/>
    </xf>
    <xf numFmtId="0" fontId="33" fillId="24" borderId="74" xfId="0" applyFont="1" applyFill="1" applyBorder="1" applyAlignment="1">
      <alignment horizontal="center" vertical="center"/>
    </xf>
    <xf numFmtId="0" fontId="33" fillId="24" borderId="74" xfId="0" applyFont="1" applyFill="1" applyBorder="1" applyAlignment="1">
      <alignment vertical="center"/>
    </xf>
    <xf numFmtId="0" fontId="33" fillId="24" borderId="74" xfId="0" applyFont="1" applyFill="1" applyBorder="1" applyAlignment="1">
      <alignment horizontal="center" vertical="center" wrapText="1"/>
    </xf>
    <xf numFmtId="0" fontId="29" fillId="24" borderId="74" xfId="0" applyFont="1" applyFill="1" applyBorder="1" applyAlignment="1">
      <alignment horizontal="center" vertical="center"/>
    </xf>
    <xf numFmtId="3" fontId="41" fillId="24" borderId="74" xfId="0" applyNumberFormat="1" applyFont="1" applyFill="1" applyBorder="1" applyAlignment="1">
      <alignment vertical="center"/>
    </xf>
    <xf numFmtId="3" fontId="29" fillId="24" borderId="74" xfId="0" applyNumberFormat="1" applyFont="1" applyFill="1" applyBorder="1" applyAlignment="1">
      <alignment horizontal="center" vertical="center"/>
    </xf>
    <xf numFmtId="0" fontId="42" fillId="39" borderId="74" xfId="0" applyFont="1" applyFill="1" applyBorder="1" applyAlignment="1">
      <alignment vertical="center"/>
    </xf>
    <xf numFmtId="0" fontId="42" fillId="39" borderId="74" xfId="0" applyFont="1" applyFill="1" applyBorder="1" applyAlignment="1">
      <alignment horizontal="center" vertical="center"/>
    </xf>
    <xf numFmtId="3" fontId="42" fillId="39" borderId="74" xfId="0" applyNumberFormat="1" applyFont="1" applyFill="1" applyBorder="1" applyAlignment="1">
      <alignment vertical="center"/>
    </xf>
    <xf numFmtId="0" fontId="41" fillId="39" borderId="74" xfId="0" applyFont="1" applyFill="1" applyBorder="1" applyAlignment="1">
      <alignment vertical="center"/>
    </xf>
    <xf numFmtId="0" fontId="42" fillId="24" borderId="74" xfId="0" applyFont="1" applyFill="1" applyBorder="1" applyAlignment="1">
      <alignment horizontal="center" vertical="center" wrapText="1"/>
    </xf>
    <xf numFmtId="3" fontId="42" fillId="24" borderId="74" xfId="0" applyNumberFormat="1" applyFont="1" applyFill="1" applyBorder="1" applyAlignment="1">
      <alignment vertical="center"/>
    </xf>
    <xf numFmtId="0" fontId="42" fillId="24" borderId="74" xfId="0" applyFont="1" applyFill="1" applyBorder="1" applyAlignment="1">
      <alignment vertical="center" wrapText="1"/>
    </xf>
    <xf numFmtId="3" fontId="43" fillId="24" borderId="74" xfId="0" applyNumberFormat="1" applyFont="1" applyFill="1" applyBorder="1" applyAlignment="1">
      <alignment horizontal="justify" vertical="center"/>
    </xf>
    <xf numFmtId="3" fontId="29" fillId="24" borderId="74" xfId="0" applyNumberFormat="1" applyFont="1" applyFill="1" applyBorder="1" applyAlignment="1">
      <alignment horizontal="justify" vertical="center" wrapText="1"/>
    </xf>
    <xf numFmtId="0" fontId="43" fillId="24" borderId="74" xfId="0" applyFont="1" applyFill="1" applyBorder="1" applyAlignment="1">
      <alignment horizontal="justify" vertical="center"/>
    </xf>
    <xf numFmtId="0" fontId="43" fillId="24" borderId="74" xfId="0" applyFont="1" applyFill="1" applyBorder="1" applyAlignment="1">
      <alignment horizontal="justify" vertical="center" wrapText="1"/>
    </xf>
    <xf numFmtId="0" fontId="33" fillId="39" borderId="74" xfId="0" applyFont="1" applyFill="1" applyBorder="1" applyAlignment="1">
      <alignment vertical="center"/>
    </xf>
    <xf numFmtId="0" fontId="29" fillId="39" borderId="74" xfId="0" applyFont="1" applyFill="1" applyBorder="1" applyAlignment="1">
      <alignment horizontal="center" vertical="center"/>
    </xf>
    <xf numFmtId="3" fontId="33" fillId="39" borderId="74" xfId="0" applyNumberFormat="1" applyFont="1" applyFill="1" applyBorder="1" applyAlignment="1">
      <alignment vertical="center"/>
    </xf>
    <xf numFmtId="3" fontId="143" fillId="0" borderId="10" xfId="0" applyNumberFormat="1" applyFont="1" applyBorder="1" applyAlignment="1">
      <alignment horizontal="center" vertical="center" wrapText="1"/>
    </xf>
    <xf numFmtId="3" fontId="23" fillId="0" borderId="74" xfId="83" applyNumberFormat="1" applyBorder="1" applyAlignment="1">
      <alignment vertical="center" wrapText="1"/>
    </xf>
    <xf numFmtId="0" fontId="78" fillId="0" borderId="0" xfId="79" applyFont="1" applyAlignment="1">
      <alignment vertical="center" textRotation="90" wrapText="1"/>
    </xf>
    <xf numFmtId="3" fontId="21" fillId="24" borderId="0" xfId="74" applyNumberFormat="1" applyFont="1" applyFill="1" applyAlignment="1" applyProtection="1">
      <alignment horizontal="justify" vertical="center"/>
      <protection locked="0"/>
    </xf>
    <xf numFmtId="0" fontId="167" fillId="0" borderId="119" xfId="0" applyFont="1" applyBorder="1" applyAlignment="1">
      <alignment vertical="center" wrapText="1"/>
    </xf>
    <xf numFmtId="0" fontId="167" fillId="0" borderId="84" xfId="0" applyFont="1" applyBorder="1" applyAlignment="1">
      <alignment horizontal="justify" vertical="center" wrapText="1"/>
    </xf>
    <xf numFmtId="0" fontId="36" fillId="0" borderId="83" xfId="0" applyFont="1" applyBorder="1" applyAlignment="1">
      <alignment vertical="center" wrapText="1"/>
    </xf>
    <xf numFmtId="3" fontId="36" fillId="0" borderId="84" xfId="0" applyNumberFormat="1" applyFont="1" applyBorder="1" applyAlignment="1">
      <alignment horizontal="right" vertical="center" wrapText="1"/>
    </xf>
    <xf numFmtId="0" fontId="36" fillId="0" borderId="119" xfId="0" applyFont="1" applyBorder="1" applyAlignment="1">
      <alignment vertical="center" wrapText="1"/>
    </xf>
    <xf numFmtId="0" fontId="21" fillId="0" borderId="85" xfId="0" applyFont="1" applyBorder="1" applyAlignment="1">
      <alignment horizontal="justify" vertical="center" wrapText="1"/>
    </xf>
    <xf numFmtId="3" fontId="36" fillId="0" borderId="85" xfId="0" applyNumberFormat="1" applyFont="1" applyBorder="1" applyAlignment="1">
      <alignment horizontal="right" vertical="center" wrapText="1"/>
    </xf>
    <xf numFmtId="0" fontId="21" fillId="0" borderId="84" xfId="0" applyFont="1" applyBorder="1" applyAlignment="1">
      <alignment horizontal="justify" vertical="center" wrapText="1"/>
    </xf>
    <xf numFmtId="0" fontId="36" fillId="0" borderId="85" xfId="0" applyFont="1" applyBorder="1" applyAlignment="1">
      <alignment horizontal="right" vertical="center" wrapText="1"/>
    </xf>
    <xf numFmtId="3" fontId="21" fillId="32" borderId="10" xfId="0" applyNumberFormat="1" applyFont="1" applyFill="1" applyBorder="1" applyAlignment="1">
      <alignment vertical="center"/>
    </xf>
    <xf numFmtId="0" fontId="167" fillId="0" borderId="83" xfId="0" applyFont="1" applyBorder="1" applyAlignment="1">
      <alignment vertical="center" wrapText="1"/>
    </xf>
    <xf numFmtId="3" fontId="167" fillId="0" borderId="84" xfId="0" applyNumberFormat="1" applyFont="1" applyBorder="1" applyAlignment="1">
      <alignment horizontal="right" vertical="center" wrapText="1"/>
    </xf>
    <xf numFmtId="0" fontId="36" fillId="0" borderId="84" xfId="0" applyFont="1" applyBorder="1" applyAlignment="1">
      <alignment vertical="center" wrapText="1"/>
    </xf>
    <xf numFmtId="3" fontId="66" fillId="24" borderId="27" xfId="80" quotePrefix="1" applyNumberFormat="1" applyFont="1" applyFill="1" applyBorder="1" applyAlignment="1" applyProtection="1">
      <alignment horizontal="left" vertical="center" wrapText="1"/>
      <protection locked="0"/>
    </xf>
    <xf numFmtId="3" fontId="166" fillId="40" borderId="85" xfId="0" applyNumberFormat="1" applyFont="1" applyFill="1" applyBorder="1" applyAlignment="1">
      <alignment horizontal="right" vertical="center" wrapText="1"/>
    </xf>
    <xf numFmtId="3" fontId="89" fillId="24" borderId="0" xfId="74" applyNumberFormat="1" applyFont="1" applyFill="1" applyAlignment="1" applyProtection="1">
      <alignment vertical="center"/>
      <protection locked="0"/>
    </xf>
    <xf numFmtId="3" fontId="174" fillId="23" borderId="10" xfId="0" applyNumberFormat="1" applyFont="1" applyFill="1" applyBorder="1" applyAlignment="1">
      <alignment vertical="center"/>
    </xf>
    <xf numFmtId="3" fontId="174" fillId="23" borderId="74" xfId="0" applyNumberFormat="1" applyFont="1" applyFill="1" applyBorder="1" applyAlignment="1">
      <alignment vertical="center"/>
    </xf>
    <xf numFmtId="3" fontId="175" fillId="23" borderId="0" xfId="0" applyNumberFormat="1" applyFont="1" applyFill="1" applyAlignment="1">
      <alignment vertical="center"/>
    </xf>
    <xf numFmtId="3" fontId="34" fillId="32" borderId="10" xfId="74" applyNumberFormat="1" applyFont="1" applyFill="1" applyBorder="1" applyAlignment="1">
      <alignment horizontal="right" vertical="center" wrapText="1"/>
    </xf>
    <xf numFmtId="3" fontId="165" fillId="32" borderId="10" xfId="74" applyNumberFormat="1" applyFont="1" applyFill="1" applyBorder="1" applyAlignment="1" applyProtection="1">
      <alignment horizontal="right" vertical="center"/>
      <protection locked="0"/>
    </xf>
    <xf numFmtId="3" fontId="83" fillId="0" borderId="0" xfId="0" applyNumberFormat="1" applyFont="1" applyAlignment="1">
      <alignment horizontal="right" vertical="center" wrapText="1"/>
    </xf>
    <xf numFmtId="3" fontId="59" fillId="24" borderId="74" xfId="80" applyNumberFormat="1" applyFont="1" applyFill="1" applyBorder="1" applyAlignment="1">
      <alignment horizontal="center" vertical="center" wrapText="1"/>
    </xf>
    <xf numFmtId="3" fontId="23" fillId="24" borderId="74" xfId="80" applyNumberFormat="1" applyFill="1" applyBorder="1" applyAlignment="1">
      <alignment horizontal="center" vertical="center" wrapText="1"/>
    </xf>
    <xf numFmtId="3" fontId="77" fillId="24" borderId="74" xfId="80" applyNumberFormat="1" applyFont="1" applyFill="1" applyBorder="1" applyAlignment="1">
      <alignment horizontal="center" vertical="center" wrapText="1"/>
    </xf>
    <xf numFmtId="3" fontId="77" fillId="30" borderId="74" xfId="80" applyNumberFormat="1" applyFont="1" applyFill="1" applyBorder="1" applyAlignment="1">
      <alignment horizontal="center" vertical="center" wrapText="1"/>
    </xf>
    <xf numFmtId="3" fontId="59" fillId="30" borderId="74" xfId="80" applyNumberFormat="1" applyFont="1" applyFill="1" applyBorder="1" applyAlignment="1">
      <alignment horizontal="center" vertical="center" wrapText="1"/>
    </xf>
    <xf numFmtId="3" fontId="24" fillId="24" borderId="74" xfId="80" applyNumberFormat="1" applyFont="1" applyFill="1" applyBorder="1" applyAlignment="1">
      <alignment horizontal="left" vertical="center" wrapText="1"/>
    </xf>
    <xf numFmtId="3" fontId="65" fillId="24" borderId="74" xfId="80" applyNumberFormat="1" applyFont="1" applyFill="1" applyBorder="1" applyAlignment="1">
      <alignment horizontal="center" vertical="center" wrapText="1"/>
    </xf>
    <xf numFmtId="3" fontId="65" fillId="24" borderId="74" xfId="80" applyNumberFormat="1" applyFont="1" applyFill="1" applyBorder="1" applyAlignment="1">
      <alignment horizontal="left" vertical="center" wrapText="1"/>
    </xf>
    <xf numFmtId="3" fontId="60" fillId="24" borderId="74" xfId="80" applyNumberFormat="1" applyFont="1" applyFill="1" applyBorder="1" applyAlignment="1">
      <alignment horizontal="left" vertical="center" wrapText="1"/>
    </xf>
    <xf numFmtId="3" fontId="66" fillId="24" borderId="74" xfId="80" applyNumberFormat="1" applyFont="1" applyFill="1" applyBorder="1" applyAlignment="1">
      <alignment horizontal="center" vertical="center" wrapText="1"/>
    </xf>
    <xf numFmtId="3" fontId="60" fillId="24" borderId="74" xfId="79" applyNumberFormat="1" applyFont="1" applyFill="1" applyBorder="1" applyAlignment="1">
      <alignment horizontal="left" vertical="center" wrapText="1"/>
    </xf>
    <xf numFmtId="3" fontId="66" fillId="24" borderId="74" xfId="80" applyNumberFormat="1" applyFont="1" applyFill="1" applyBorder="1" applyAlignment="1" applyProtection="1">
      <alignment horizontal="right" vertical="center" wrapText="1"/>
      <protection locked="0"/>
    </xf>
    <xf numFmtId="3" fontId="66" fillId="30" borderId="74" xfId="80" applyNumberFormat="1" applyFont="1" applyFill="1" applyBorder="1" applyAlignment="1" applyProtection="1">
      <alignment horizontal="right" vertical="center" wrapText="1"/>
      <protection locked="0"/>
    </xf>
    <xf numFmtId="3" fontId="60" fillId="24" borderId="74" xfId="80" applyNumberFormat="1" applyFont="1" applyFill="1" applyBorder="1" applyAlignment="1">
      <alignment horizontal="center" vertical="center" wrapText="1"/>
    </xf>
    <xf numFmtId="3" fontId="66" fillId="24" borderId="74" xfId="79" applyNumberFormat="1" applyFont="1" applyFill="1" applyBorder="1" applyAlignment="1">
      <alignment horizontal="left" vertical="center" wrapText="1"/>
    </xf>
    <xf numFmtId="3" fontId="60" fillId="24" borderId="74" xfId="80" applyNumberFormat="1" applyFont="1" applyFill="1" applyBorder="1" applyAlignment="1">
      <alignment horizontal="right" vertical="center" wrapText="1"/>
    </xf>
    <xf numFmtId="3" fontId="65" fillId="24" borderId="74" xfId="79" applyNumberFormat="1" applyFont="1" applyFill="1" applyBorder="1" applyAlignment="1">
      <alignment horizontal="left" vertical="center" wrapText="1"/>
    </xf>
    <xf numFmtId="3" fontId="65" fillId="24" borderId="74" xfId="80" applyNumberFormat="1" applyFont="1" applyFill="1" applyBorder="1" applyAlignment="1" applyProtection="1">
      <alignment horizontal="right" vertical="center" wrapText="1"/>
      <protection locked="0"/>
    </xf>
    <xf numFmtId="3" fontId="81" fillId="24" borderId="74" xfId="80" applyNumberFormat="1" applyFont="1" applyFill="1" applyBorder="1" applyAlignment="1">
      <alignment vertical="center" wrapText="1"/>
    </xf>
    <xf numFmtId="3" fontId="60" fillId="30" borderId="74" xfId="80" applyNumberFormat="1" applyFont="1" applyFill="1" applyBorder="1" applyAlignment="1" applyProtection="1">
      <alignment horizontal="right" vertical="center" wrapText="1"/>
      <protection locked="0"/>
    </xf>
    <xf numFmtId="3" fontId="103" fillId="0" borderId="74" xfId="0" applyNumberFormat="1" applyFont="1" applyBorder="1"/>
    <xf numFmtId="3" fontId="72" fillId="24" borderId="74" xfId="80" applyNumberFormat="1" applyFont="1" applyFill="1" applyBorder="1" applyAlignment="1">
      <alignment horizontal="left" vertical="center" wrapText="1"/>
    </xf>
    <xf numFmtId="3" fontId="77" fillId="24" borderId="74" xfId="80" applyNumberFormat="1" applyFont="1" applyFill="1" applyBorder="1" applyAlignment="1">
      <alignment horizontal="right" vertical="center" wrapText="1"/>
    </xf>
    <xf numFmtId="3" fontId="23" fillId="24" borderId="74" xfId="80" applyNumberFormat="1" applyFill="1" applyBorder="1" applyAlignment="1">
      <alignment horizontal="right" vertical="center" wrapText="1"/>
    </xf>
    <xf numFmtId="0" fontId="21" fillId="0" borderId="74" xfId="0" applyFont="1" applyBorder="1" applyAlignment="1">
      <alignment vertical="center"/>
    </xf>
    <xf numFmtId="0" fontId="34" fillId="0" borderId="74" xfId="0" applyFont="1" applyBorder="1" applyAlignment="1">
      <alignment horizontal="center" vertical="center"/>
    </xf>
    <xf numFmtId="3" fontId="21" fillId="0" borderId="74" xfId="0" applyNumberFormat="1" applyFont="1" applyBorder="1" applyAlignment="1">
      <alignment horizontal="right" vertical="center"/>
    </xf>
    <xf numFmtId="0" fontId="21" fillId="0" borderId="74" xfId="0" applyFont="1" applyBorder="1" applyAlignment="1">
      <alignment horizontal="right" vertical="center"/>
    </xf>
    <xf numFmtId="3" fontId="34" fillId="0" borderId="74" xfId="0" applyNumberFormat="1" applyFont="1" applyBorder="1" applyAlignment="1">
      <alignment horizontal="right" vertical="center"/>
    </xf>
    <xf numFmtId="3" fontId="34" fillId="0" borderId="74" xfId="0" applyNumberFormat="1" applyFont="1" applyBorder="1" applyAlignment="1">
      <alignment vertical="center"/>
    </xf>
    <xf numFmtId="0" fontId="34" fillId="0" borderId="120" xfId="0" applyFont="1" applyBorder="1" applyAlignment="1">
      <alignment vertical="center" wrapText="1"/>
    </xf>
    <xf numFmtId="0" fontId="21" fillId="24" borderId="56" xfId="74" applyFont="1" applyFill="1" applyBorder="1" applyAlignment="1" applyProtection="1">
      <alignment horizontal="center" vertical="center"/>
      <protection locked="0"/>
    </xf>
    <xf numFmtId="3" fontId="69" fillId="0" borderId="121" xfId="76" applyNumberFormat="1" applyFont="1" applyBorder="1" applyAlignment="1" applyProtection="1">
      <alignment vertical="center" wrapText="1"/>
      <protection locked="0"/>
    </xf>
    <xf numFmtId="3" fontId="23" fillId="0" borderId="78" xfId="76" applyNumberFormat="1" applyBorder="1" applyAlignment="1" applyProtection="1">
      <alignment vertical="center"/>
      <protection locked="0"/>
    </xf>
    <xf numFmtId="3" fontId="23" fillId="0" borderId="118" xfId="76" applyNumberFormat="1" applyBorder="1" applyAlignment="1" applyProtection="1">
      <alignment vertical="center"/>
      <protection locked="0"/>
    </xf>
    <xf numFmtId="3" fontId="64" fillId="0" borderId="104" xfId="76" applyNumberFormat="1" applyFont="1" applyBorder="1" applyAlignment="1" applyProtection="1">
      <alignment horizontal="center" vertical="center"/>
      <protection locked="0"/>
    </xf>
    <xf numFmtId="3" fontId="60" fillId="0" borderId="114" xfId="76" applyNumberFormat="1" applyFont="1" applyBorder="1" applyAlignment="1" applyProtection="1">
      <alignment vertical="center"/>
      <protection locked="0"/>
    </xf>
    <xf numFmtId="3" fontId="60" fillId="0" borderId="122" xfId="76" applyNumberFormat="1" applyFont="1" applyBorder="1" applyAlignment="1" applyProtection="1">
      <alignment vertical="center"/>
      <protection locked="0"/>
    </xf>
    <xf numFmtId="3" fontId="65" fillId="0" borderId="116" xfId="76" applyNumberFormat="1" applyFont="1" applyBorder="1" applyAlignment="1" applyProtection="1">
      <alignment vertical="center"/>
      <protection locked="0"/>
    </xf>
    <xf numFmtId="3" fontId="65" fillId="0" borderId="123" xfId="76" applyNumberFormat="1" applyFont="1" applyBorder="1" applyAlignment="1" applyProtection="1">
      <alignment vertical="center"/>
      <protection locked="0"/>
    </xf>
    <xf numFmtId="3" fontId="65" fillId="0" borderId="36" xfId="76" applyNumberFormat="1" applyFont="1" applyBorder="1" applyAlignment="1" applyProtection="1">
      <alignment vertical="center"/>
      <protection locked="0"/>
    </xf>
    <xf numFmtId="3" fontId="65" fillId="0" borderId="105" xfId="76" applyNumberFormat="1" applyFont="1" applyBorder="1" applyAlignment="1" applyProtection="1">
      <alignment vertical="center"/>
      <protection locked="0"/>
    </xf>
    <xf numFmtId="3" fontId="23" fillId="0" borderId="118" xfId="76" applyNumberFormat="1" applyBorder="1" applyAlignment="1">
      <alignment vertical="center"/>
    </xf>
    <xf numFmtId="3" fontId="87" fillId="0" borderId="0" xfId="76" applyNumberFormat="1" applyFont="1" applyAlignment="1">
      <alignment vertical="center"/>
    </xf>
    <xf numFmtId="3" fontId="23" fillId="0" borderId="124" xfId="76" applyNumberFormat="1" applyBorder="1" applyAlignment="1">
      <alignment vertical="center"/>
    </xf>
    <xf numFmtId="3" fontId="23" fillId="0" borderId="125" xfId="76" applyNumberFormat="1" applyBorder="1" applyAlignment="1">
      <alignment vertical="center"/>
    </xf>
    <xf numFmtId="3" fontId="23" fillId="0" borderId="78" xfId="76" applyNumberFormat="1" applyBorder="1" applyAlignment="1">
      <alignment vertical="center"/>
    </xf>
    <xf numFmtId="3" fontId="57" fillId="0" borderId="126" xfId="76" applyNumberFormat="1" applyFont="1" applyBorder="1"/>
    <xf numFmtId="3" fontId="23" fillId="0" borderId="85" xfId="76" applyNumberFormat="1" applyBorder="1"/>
    <xf numFmtId="3" fontId="57" fillId="0" borderId="0" xfId="76" applyNumberFormat="1" applyFont="1" applyAlignment="1">
      <alignment vertical="center"/>
    </xf>
    <xf numFmtId="3" fontId="60" fillId="0" borderId="74" xfId="76" applyNumberFormat="1" applyFont="1" applyBorder="1" applyAlignment="1" applyProtection="1">
      <alignment vertical="center"/>
      <protection locked="0"/>
    </xf>
    <xf numFmtId="0" fontId="36" fillId="31" borderId="10" xfId="0" applyFont="1" applyFill="1" applyBorder="1" applyAlignment="1">
      <alignment vertical="center"/>
    </xf>
    <xf numFmtId="3" fontId="79" fillId="31" borderId="68" xfId="76" applyNumberFormat="1" applyFont="1" applyFill="1" applyBorder="1" applyAlignment="1" applyProtection="1">
      <alignment vertical="center" wrapText="1"/>
      <protection locked="0"/>
    </xf>
    <xf numFmtId="3" fontId="36" fillId="31" borderId="74" xfId="0" applyNumberFormat="1" applyFont="1" applyFill="1" applyBorder="1" applyAlignment="1">
      <alignment horizontal="right" vertical="center"/>
    </xf>
    <xf numFmtId="3" fontId="36" fillId="31" borderId="75" xfId="0" applyNumberFormat="1" applyFont="1" applyFill="1" applyBorder="1" applyAlignment="1">
      <alignment vertical="center"/>
    </xf>
    <xf numFmtId="167" fontId="21" fillId="0" borderId="127" xfId="76" applyNumberFormat="1" applyFont="1" applyBorder="1" applyAlignment="1">
      <alignment vertical="center" wrapText="1"/>
    </xf>
    <xf numFmtId="167" fontId="21" fillId="0" borderId="128" xfId="76" applyNumberFormat="1" applyFont="1" applyBorder="1" applyAlignment="1">
      <alignment vertical="center" wrapText="1"/>
    </xf>
    <xf numFmtId="167" fontId="21" fillId="0" borderId="119" xfId="76" applyNumberFormat="1" applyFont="1" applyBorder="1" applyAlignment="1">
      <alignment vertical="center" wrapText="1"/>
    </xf>
    <xf numFmtId="3" fontId="79" fillId="31" borderId="30" xfId="76" applyNumberFormat="1" applyFont="1" applyFill="1" applyBorder="1" applyAlignment="1" applyProtection="1">
      <alignment vertical="center" wrapText="1"/>
      <protection locked="0"/>
    </xf>
    <xf numFmtId="3" fontId="36" fillId="24" borderId="25" xfId="0" applyNumberFormat="1" applyFont="1" applyFill="1" applyBorder="1" applyAlignment="1">
      <alignment horizontal="justify" vertical="center" wrapText="1"/>
    </xf>
    <xf numFmtId="0" fontId="36" fillId="24" borderId="25" xfId="0" applyFont="1" applyFill="1" applyBorder="1" applyAlignment="1">
      <alignment vertical="center"/>
    </xf>
    <xf numFmtId="3" fontId="36" fillId="24" borderId="97" xfId="0" applyNumberFormat="1" applyFont="1" applyFill="1" applyBorder="1" applyAlignment="1">
      <alignment vertical="center"/>
    </xf>
    <xf numFmtId="0" fontId="36" fillId="24" borderId="97" xfId="0" applyFont="1" applyFill="1" applyBorder="1" applyAlignment="1">
      <alignment vertical="center"/>
    </xf>
    <xf numFmtId="0" fontId="109" fillId="24" borderId="74" xfId="74" applyFont="1" applyFill="1" applyBorder="1" applyAlignment="1" applyProtection="1">
      <alignment horizontal="center" vertical="center" wrapText="1" shrinkToFit="1"/>
      <protection locked="0"/>
    </xf>
    <xf numFmtId="49" fontId="47" fillId="24" borderId="74" xfId="74" applyNumberFormat="1" applyFont="1" applyFill="1" applyBorder="1" applyAlignment="1" applyProtection="1">
      <alignment horizontal="center" vertical="center"/>
      <protection locked="0"/>
    </xf>
    <xf numFmtId="3" fontId="21" fillId="24" borderId="74" xfId="74" applyNumberFormat="1" applyFont="1" applyFill="1" applyBorder="1" applyAlignment="1" applyProtection="1">
      <alignment horizontal="center" vertical="center" wrapText="1"/>
      <protection locked="0"/>
    </xf>
    <xf numFmtId="168" fontId="47" fillId="24" borderId="74" xfId="74" applyNumberFormat="1" applyFont="1" applyFill="1" applyBorder="1" applyAlignment="1" applyProtection="1">
      <alignment horizontal="right" vertical="center"/>
      <protection locked="0"/>
    </xf>
    <xf numFmtId="0" fontId="21" fillId="0" borderId="74" xfId="0" applyFont="1" applyBorder="1" applyAlignment="1">
      <alignment vertical="center" wrapText="1"/>
    </xf>
    <xf numFmtId="0" fontId="34" fillId="0" borderId="74" xfId="0" applyFont="1" applyBorder="1" applyAlignment="1">
      <alignment horizontal="justify" vertical="center" wrapText="1"/>
    </xf>
    <xf numFmtId="0" fontId="34" fillId="0" borderId="74" xfId="0" applyFont="1" applyBorder="1" applyAlignment="1">
      <alignment horizontal="center" vertical="center" wrapText="1"/>
    </xf>
    <xf numFmtId="0" fontId="21" fillId="0" borderId="0" xfId="0" applyFont="1" applyAlignment="1">
      <alignment vertical="center" wrapText="1"/>
    </xf>
    <xf numFmtId="0" fontId="34" fillId="0" borderId="74" xfId="0" applyFont="1" applyBorder="1" applyAlignment="1">
      <alignment vertical="center"/>
    </xf>
    <xf numFmtId="168" fontId="86" fillId="24" borderId="74" xfId="74" applyNumberFormat="1" applyFont="1" applyFill="1" applyBorder="1" applyAlignment="1" applyProtection="1">
      <alignment horizontal="right" vertical="center"/>
      <protection locked="0"/>
    </xf>
    <xf numFmtId="3" fontId="60" fillId="32" borderId="10" xfId="80" applyNumberFormat="1" applyFont="1" applyFill="1" applyBorder="1" applyAlignment="1" applyProtection="1">
      <alignment horizontal="right" vertical="center" wrapText="1"/>
      <protection locked="0"/>
    </xf>
    <xf numFmtId="3" fontId="66" fillId="32" borderId="10" xfId="80" applyNumberFormat="1" applyFont="1" applyFill="1" applyBorder="1" applyAlignment="1" applyProtection="1">
      <alignment horizontal="right" vertical="center" wrapText="1"/>
      <protection locked="0"/>
    </xf>
    <xf numFmtId="3" fontId="176" fillId="0" borderId="19" xfId="80" applyNumberFormat="1" applyFont="1" applyBorder="1" applyAlignment="1">
      <alignment horizontal="right" vertical="center" wrapText="1"/>
    </xf>
    <xf numFmtId="3" fontId="177" fillId="24" borderId="0" xfId="80" applyNumberFormat="1" applyFont="1" applyFill="1" applyAlignment="1">
      <alignment vertical="center" wrapText="1"/>
    </xf>
    <xf numFmtId="3" fontId="29" fillId="24" borderId="74" xfId="0" applyNumberFormat="1" applyFont="1" applyFill="1" applyBorder="1" applyAlignment="1">
      <alignment horizontal="left" vertical="center" wrapText="1"/>
    </xf>
    <xf numFmtId="3" fontId="89" fillId="9" borderId="10" xfId="74" applyNumberFormat="1" applyFont="1" applyFill="1" applyBorder="1" applyAlignment="1" applyProtection="1">
      <alignment horizontal="right" vertical="center"/>
      <protection locked="0"/>
    </xf>
    <xf numFmtId="3" fontId="89" fillId="14" borderId="10" xfId="74" applyNumberFormat="1" applyFont="1" applyFill="1" applyBorder="1" applyAlignment="1" applyProtection="1">
      <alignment horizontal="right" vertical="center"/>
      <protection locked="0"/>
    </xf>
    <xf numFmtId="3" fontId="89" fillId="27" borderId="12" xfId="74" applyNumberFormat="1" applyFont="1" applyFill="1" applyBorder="1" applyAlignment="1" applyProtection="1">
      <alignment horizontal="right" vertical="center"/>
      <protection locked="0"/>
    </xf>
    <xf numFmtId="3" fontId="164" fillId="27" borderId="10" xfId="74" applyNumberFormat="1" applyFont="1" applyFill="1" applyBorder="1" applyAlignment="1" applyProtection="1">
      <alignment horizontal="right" vertical="center"/>
      <protection locked="0"/>
    </xf>
    <xf numFmtId="3" fontId="21" fillId="41" borderId="10" xfId="74" applyNumberFormat="1" applyFont="1" applyFill="1" applyBorder="1" applyAlignment="1" applyProtection="1">
      <alignment horizontal="right" vertical="center"/>
      <protection locked="0"/>
    </xf>
    <xf numFmtId="3" fontId="175" fillId="0" borderId="0" xfId="0" applyNumberFormat="1" applyFont="1" applyAlignment="1">
      <alignment vertical="center"/>
    </xf>
    <xf numFmtId="3" fontId="79" fillId="24" borderId="10" xfId="74" applyNumberFormat="1" applyFont="1" applyFill="1" applyBorder="1" applyAlignment="1" applyProtection="1">
      <alignment horizontal="center" vertical="center" wrapText="1"/>
      <protection locked="0"/>
    </xf>
    <xf numFmtId="3" fontId="79" fillId="24" borderId="74" xfId="74" applyNumberFormat="1" applyFont="1" applyFill="1" applyBorder="1" applyAlignment="1" applyProtection="1">
      <alignment horizontal="center" vertical="center" wrapText="1"/>
      <protection locked="0"/>
    </xf>
    <xf numFmtId="0" fontId="34" fillId="0" borderId="74" xfId="0" applyFont="1" applyBorder="1" applyAlignment="1">
      <alignment vertical="center" wrapText="1"/>
    </xf>
    <xf numFmtId="3" fontId="100" fillId="24" borderId="74" xfId="74" applyNumberFormat="1" applyFont="1" applyFill="1" applyBorder="1" applyAlignment="1" applyProtection="1">
      <alignment horizontal="right" vertical="center"/>
      <protection locked="0"/>
    </xf>
    <xf numFmtId="3" fontId="21" fillId="24" borderId="25" xfId="74" applyNumberFormat="1" applyFont="1" applyFill="1" applyBorder="1" applyAlignment="1" applyProtection="1">
      <alignment horizontal="right" vertical="center"/>
      <protection locked="0"/>
    </xf>
    <xf numFmtId="3" fontId="21" fillId="24" borderId="74" xfId="74" applyNumberFormat="1" applyFont="1" applyFill="1" applyBorder="1" applyAlignment="1" applyProtection="1">
      <alignment horizontal="right" vertical="center"/>
      <protection locked="0"/>
    </xf>
    <xf numFmtId="3" fontId="89" fillId="24" borderId="129" xfId="74" applyNumberFormat="1" applyFont="1" applyFill="1" applyBorder="1" applyAlignment="1" applyProtection="1">
      <alignment horizontal="right" vertical="center"/>
      <protection locked="0"/>
    </xf>
    <xf numFmtId="3" fontId="89" fillId="27" borderId="129" xfId="74" applyNumberFormat="1" applyFont="1" applyFill="1" applyBorder="1" applyAlignment="1" applyProtection="1">
      <alignment horizontal="right" vertical="center"/>
      <protection locked="0"/>
    </xf>
    <xf numFmtId="3" fontId="89" fillId="27" borderId="130" xfId="74" applyNumberFormat="1" applyFont="1" applyFill="1" applyBorder="1" applyAlignment="1" applyProtection="1">
      <alignment horizontal="right" vertical="center"/>
      <protection locked="0"/>
    </xf>
    <xf numFmtId="0" fontId="167" fillId="0" borderId="119" xfId="0" applyFont="1" applyBorder="1" applyAlignment="1">
      <alignment horizontal="left" vertical="center" wrapText="1"/>
    </xf>
    <xf numFmtId="3" fontId="124" fillId="0" borderId="0" xfId="76" applyNumberFormat="1" applyFont="1" applyAlignment="1" applyProtection="1">
      <alignment horizontal="center" vertical="center"/>
      <protection locked="0"/>
    </xf>
    <xf numFmtId="3" fontId="57" fillId="0" borderId="0" xfId="76" applyNumberFormat="1" applyFont="1" applyAlignment="1" applyProtection="1">
      <alignment horizontal="justify" vertical="center"/>
      <protection locked="0"/>
    </xf>
    <xf numFmtId="0" fontId="0" fillId="0" borderId="0" xfId="0" applyAlignment="1">
      <alignment horizontal="justify" vertical="center"/>
    </xf>
    <xf numFmtId="3" fontId="55" fillId="0" borderId="0" xfId="76" applyNumberFormat="1" applyFont="1" applyAlignment="1" applyProtection="1">
      <alignment horizontal="right" vertical="center"/>
      <protection locked="0"/>
    </xf>
    <xf numFmtId="176" fontId="59" fillId="0" borderId="19" xfId="80" applyNumberFormat="1" applyFont="1" applyBorder="1" applyAlignment="1">
      <alignment horizontal="right" vertical="center" wrapText="1"/>
    </xf>
    <xf numFmtId="0" fontId="24" fillId="0" borderId="39" xfId="79" applyBorder="1" applyAlignment="1">
      <alignment vertical="center"/>
    </xf>
    <xf numFmtId="0" fontId="45" fillId="0" borderId="110" xfId="0" applyFont="1" applyBorder="1" applyAlignment="1">
      <alignment vertical="center" wrapText="1"/>
    </xf>
    <xf numFmtId="0" fontId="34" fillId="24" borderId="10" xfId="0" applyFont="1" applyFill="1" applyBorder="1" applyAlignment="1">
      <alignment horizontal="center" vertical="center"/>
    </xf>
    <xf numFmtId="0" fontId="34" fillId="31" borderId="10" xfId="74" applyFont="1" applyFill="1" applyBorder="1" applyAlignment="1" applyProtection="1">
      <alignment horizontal="center" vertical="center"/>
      <protection locked="0"/>
    </xf>
    <xf numFmtId="2" fontId="34" fillId="24" borderId="10" xfId="74" applyNumberFormat="1" applyFont="1" applyFill="1" applyBorder="1" applyAlignment="1" applyProtection="1">
      <alignment horizontal="center" vertical="center"/>
      <protection locked="0"/>
    </xf>
    <xf numFmtId="0" fontId="37" fillId="0" borderId="131" xfId="0" applyFont="1" applyBorder="1" applyAlignment="1">
      <alignment horizontal="center" vertical="center"/>
    </xf>
    <xf numFmtId="0" fontId="37" fillId="0" borderId="129" xfId="0" applyFont="1" applyBorder="1" applyAlignment="1">
      <alignment horizontal="center" vertical="center" wrapText="1"/>
    </xf>
    <xf numFmtId="0" fontId="37" fillId="0" borderId="132" xfId="0" applyFont="1" applyBorder="1" applyAlignment="1">
      <alignment horizontal="center" vertical="center" wrapText="1"/>
    </xf>
    <xf numFmtId="0" fontId="37" fillId="0" borderId="76" xfId="0" applyFont="1" applyBorder="1" applyAlignment="1">
      <alignment horizontal="justify" vertical="center" wrapText="1"/>
    </xf>
    <xf numFmtId="0" fontId="37" fillId="0" borderId="97" xfId="0" applyFont="1" applyBorder="1" applyAlignment="1">
      <alignment vertical="center" wrapText="1"/>
    </xf>
    <xf numFmtId="0" fontId="36" fillId="0" borderId="76" xfId="0" applyFont="1" applyBorder="1" applyAlignment="1">
      <alignment vertical="center"/>
    </xf>
    <xf numFmtId="3" fontId="36" fillId="0" borderId="97" xfId="0" applyNumberFormat="1" applyFont="1" applyBorder="1" applyAlignment="1">
      <alignment vertical="center"/>
    </xf>
    <xf numFmtId="0" fontId="54" fillId="0" borderId="76" xfId="0" applyFont="1" applyBorder="1" applyAlignment="1">
      <alignment vertical="center"/>
    </xf>
    <xf numFmtId="3" fontId="37" fillId="0" borderId="97" xfId="0" applyNumberFormat="1" applyFont="1" applyBorder="1" applyAlignment="1">
      <alignment horizontal="right" vertical="center"/>
    </xf>
    <xf numFmtId="0" fontId="37" fillId="0" borderId="76" xfId="0" applyFont="1" applyBorder="1" applyAlignment="1">
      <alignment vertical="center"/>
    </xf>
    <xf numFmtId="3" fontId="37" fillId="0" borderId="97" xfId="0" applyNumberFormat="1" applyFont="1" applyBorder="1" applyAlignment="1">
      <alignment vertical="center"/>
    </xf>
    <xf numFmtId="3" fontId="54" fillId="0" borderId="97" xfId="0" applyNumberFormat="1" applyFont="1" applyBorder="1" applyAlignment="1">
      <alignment horizontal="right" vertical="center"/>
    </xf>
    <xf numFmtId="3" fontId="37" fillId="0" borderId="97" xfId="0" applyNumberFormat="1" applyFont="1" applyBorder="1" applyAlignment="1">
      <alignment horizontal="center" vertical="center"/>
    </xf>
    <xf numFmtId="3" fontId="36" fillId="0" borderId="97" xfId="0" applyNumberFormat="1" applyFont="1" applyBorder="1" applyAlignment="1">
      <alignment horizontal="right" vertical="center"/>
    </xf>
    <xf numFmtId="3" fontId="37" fillId="0" borderId="97" xfId="0" applyNumberFormat="1" applyFont="1" applyBorder="1" applyAlignment="1">
      <alignment horizontal="center" vertical="center" wrapText="1"/>
    </xf>
    <xf numFmtId="0" fontId="37" fillId="0" borderId="97" xfId="0" applyFont="1" applyBorder="1" applyAlignment="1">
      <alignment horizontal="right" vertical="center"/>
    </xf>
    <xf numFmtId="0" fontId="36" fillId="31" borderId="76" xfId="0" applyFont="1" applyFill="1" applyBorder="1" applyAlignment="1">
      <alignment vertical="center"/>
    </xf>
    <xf numFmtId="3" fontId="36" fillId="31" borderId="97" xfId="0" applyNumberFormat="1" applyFont="1" applyFill="1" applyBorder="1" applyAlignment="1">
      <alignment vertical="center"/>
    </xf>
    <xf numFmtId="0" fontId="36" fillId="0" borderId="76" xfId="0" applyFont="1" applyBorder="1" applyAlignment="1">
      <alignment horizontal="justify" vertical="center" wrapText="1"/>
    </xf>
    <xf numFmtId="0" fontId="36" fillId="0" borderId="97" xfId="0" applyFont="1" applyBorder="1" applyAlignment="1">
      <alignment horizontal="center" vertical="center" wrapText="1"/>
    </xf>
    <xf numFmtId="3" fontId="36" fillId="0" borderId="97" xfId="0" applyNumberFormat="1" applyFont="1" applyBorder="1" applyAlignment="1">
      <alignment horizontal="right" vertical="center" wrapText="1"/>
    </xf>
    <xf numFmtId="0" fontId="36" fillId="31" borderId="76" xfId="0" applyFont="1" applyFill="1" applyBorder="1" applyAlignment="1">
      <alignment horizontal="justify" vertical="center" wrapText="1"/>
    </xf>
    <xf numFmtId="3" fontId="36" fillId="31" borderId="97" xfId="0" applyNumberFormat="1" applyFont="1" applyFill="1" applyBorder="1" applyAlignment="1">
      <alignment horizontal="right" vertical="center" wrapText="1"/>
    </xf>
    <xf numFmtId="3" fontId="36" fillId="0" borderId="97" xfId="0" applyNumberFormat="1" applyFont="1" applyBorder="1" applyAlignment="1">
      <alignment horizontal="justify" vertical="center" wrapText="1"/>
    </xf>
    <xf numFmtId="3" fontId="37" fillId="0" borderId="97" xfId="0" applyNumberFormat="1" applyFont="1" applyBorder="1" applyAlignment="1">
      <alignment horizontal="right" vertical="center" wrapText="1"/>
    </xf>
    <xf numFmtId="3" fontId="36" fillId="31" borderId="108" xfId="0" applyNumberFormat="1" applyFont="1" applyFill="1" applyBorder="1" applyAlignment="1">
      <alignment horizontal="right" vertical="center" wrapText="1"/>
    </xf>
    <xf numFmtId="0" fontId="37" fillId="0" borderId="77" xfId="0" applyFont="1" applyBorder="1" applyAlignment="1">
      <alignment vertical="center"/>
    </xf>
    <xf numFmtId="3" fontId="36" fillId="0" borderId="108" xfId="0" applyNumberFormat="1" applyFont="1" applyBorder="1" applyAlignment="1">
      <alignment horizontal="right" vertical="center" wrapText="1"/>
    </xf>
    <xf numFmtId="0" fontId="37" fillId="0" borderId="133" xfId="0" applyFont="1" applyBorder="1" applyAlignment="1">
      <alignment vertical="center"/>
    </xf>
    <xf numFmtId="0" fontId="37" fillId="0" borderId="130" xfId="0" applyFont="1" applyBorder="1" applyAlignment="1">
      <alignment horizontal="justify" vertical="center" wrapText="1"/>
    </xf>
    <xf numFmtId="0" fontId="37" fillId="0" borderId="130" xfId="0" applyFont="1" applyBorder="1" applyAlignment="1">
      <alignment vertical="center"/>
    </xf>
    <xf numFmtId="3" fontId="37" fillId="0" borderId="134" xfId="0" applyNumberFormat="1" applyFont="1" applyBorder="1" applyAlignment="1">
      <alignment vertical="center"/>
    </xf>
    <xf numFmtId="0" fontId="34" fillId="31" borderId="74" xfId="0" applyFont="1" applyFill="1" applyBorder="1" applyAlignment="1">
      <alignment horizontal="center" vertical="center"/>
    </xf>
    <xf numFmtId="3" fontId="173" fillId="24" borderId="0" xfId="74" applyNumberFormat="1" applyFont="1" applyFill="1" applyAlignment="1" applyProtection="1">
      <alignment horizontal="right" vertical="center"/>
      <protection locked="0"/>
    </xf>
    <xf numFmtId="3" fontId="77" fillId="42" borderId="19" xfId="79" applyNumberFormat="1" applyFont="1" applyFill="1" applyBorder="1" applyAlignment="1">
      <alignment horizontal="right" vertical="center" wrapText="1"/>
    </xf>
    <xf numFmtId="3" fontId="59" fillId="24" borderId="74" xfId="80" applyNumberFormat="1" applyFont="1" applyFill="1" applyBorder="1" applyAlignment="1">
      <alignment horizontal="center" vertical="center"/>
    </xf>
    <xf numFmtId="0" fontId="57" fillId="0" borderId="73" xfId="79" applyFont="1" applyBorder="1" applyAlignment="1">
      <alignment horizontal="center" vertical="center" wrapText="1"/>
    </xf>
    <xf numFmtId="0" fontId="57" fillId="0" borderId="42" xfId="79" applyFont="1" applyBorder="1" applyAlignment="1">
      <alignment horizontal="center" vertical="center" wrapText="1"/>
    </xf>
    <xf numFmtId="0" fontId="57" fillId="0" borderId="58" xfId="79" applyFont="1" applyBorder="1" applyAlignment="1">
      <alignment horizontal="center" vertical="center" wrapText="1"/>
    </xf>
    <xf numFmtId="0" fontId="57" fillId="0" borderId="13" xfId="79" applyFont="1" applyBorder="1" applyAlignment="1">
      <alignment horizontal="center" vertical="center" wrapText="1"/>
    </xf>
    <xf numFmtId="0" fontId="29" fillId="24" borderId="48" xfId="74" applyFont="1" applyFill="1" applyBorder="1" applyAlignment="1" applyProtection="1">
      <alignment horizontal="center" vertical="center" wrapText="1" shrinkToFit="1"/>
      <protection locked="0"/>
    </xf>
    <xf numFmtId="49" fontId="21" fillId="24" borderId="11" xfId="74" applyNumberFormat="1" applyFont="1" applyFill="1" applyBorder="1" applyAlignment="1" applyProtection="1">
      <alignment horizontal="center" vertical="center"/>
      <protection locked="0"/>
    </xf>
    <xf numFmtId="3" fontId="21" fillId="24" borderId="11" xfId="74" applyNumberFormat="1" applyFont="1" applyFill="1" applyBorder="1" applyAlignment="1" applyProtection="1">
      <alignment horizontal="center" vertical="center" wrapText="1"/>
      <protection locked="0"/>
    </xf>
    <xf numFmtId="0" fontId="34" fillId="24" borderId="74" xfId="74" applyFont="1" applyFill="1" applyBorder="1" applyAlignment="1" applyProtection="1">
      <alignment horizontal="center" vertical="center"/>
      <protection locked="0"/>
    </xf>
    <xf numFmtId="0" fontId="59" fillId="24" borderId="74" xfId="83" applyFont="1" applyFill="1" applyBorder="1" applyAlignment="1">
      <alignment horizontal="center" vertical="center" wrapText="1"/>
    </xf>
    <xf numFmtId="0" fontId="34" fillId="24" borderId="74" xfId="74" applyFont="1" applyFill="1" applyBorder="1" applyAlignment="1" applyProtection="1">
      <alignment horizontal="justify" vertical="center"/>
      <protection locked="0"/>
    </xf>
    <xf numFmtId="49" fontId="34" fillId="24" borderId="74" xfId="74" applyNumberFormat="1" applyFont="1" applyFill="1" applyBorder="1" applyAlignment="1" applyProtection="1">
      <alignment horizontal="center" vertical="center" wrapText="1"/>
      <protection locked="0"/>
    </xf>
    <xf numFmtId="0" fontId="85" fillId="24" borderId="74" xfId="83" applyFont="1" applyFill="1" applyBorder="1" applyAlignment="1">
      <alignment horizontal="center" vertical="center" wrapText="1"/>
    </xf>
    <xf numFmtId="167" fontId="69" fillId="24" borderId="74" xfId="83" applyNumberFormat="1" applyFont="1" applyFill="1" applyBorder="1" applyAlignment="1">
      <alignment horizontal="center" vertical="center"/>
    </xf>
    <xf numFmtId="167" fontId="34" fillId="24" borderId="10" xfId="83" applyNumberFormat="1" applyFont="1" applyFill="1" applyBorder="1" applyAlignment="1">
      <alignment horizontal="center" vertical="center"/>
    </xf>
    <xf numFmtId="0" fontId="77" fillId="0" borderId="135" xfId="79" applyFont="1" applyBorder="1" applyAlignment="1">
      <alignment horizontal="center" vertical="center" wrapText="1"/>
    </xf>
    <xf numFmtId="0" fontId="82" fillId="0" borderId="135" xfId="78" applyFont="1" applyBorder="1" applyAlignment="1">
      <alignment horizontal="center" vertical="center" wrapText="1"/>
    </xf>
    <xf numFmtId="0" fontId="82" fillId="0" borderId="136" xfId="78" applyFont="1" applyBorder="1" applyAlignment="1">
      <alignment horizontal="center" vertical="center" wrapText="1"/>
    </xf>
    <xf numFmtId="0" fontId="59" fillId="0" borderId="0" xfId="83" applyFont="1" applyAlignment="1">
      <alignment horizontal="center" vertical="center" wrapText="1"/>
    </xf>
    <xf numFmtId="0" fontId="59" fillId="0" borderId="137" xfId="83" applyFont="1" applyBorder="1" applyAlignment="1">
      <alignment horizontal="center" vertical="center" wrapText="1"/>
    </xf>
    <xf numFmtId="49" fontId="21" fillId="0" borderId="10" xfId="74" applyNumberFormat="1" applyFont="1" applyBorder="1" applyAlignment="1" applyProtection="1">
      <alignment horizontal="center" vertical="center"/>
      <protection locked="0"/>
    </xf>
    <xf numFmtId="0" fontId="65" fillId="0" borderId="19" xfId="79" applyFont="1" applyBorder="1" applyAlignment="1">
      <alignment horizontal="center" vertical="center" wrapText="1"/>
    </xf>
    <xf numFmtId="49" fontId="65" fillId="0" borderId="19" xfId="79" applyNumberFormat="1" applyFont="1" applyBorder="1" applyAlignment="1">
      <alignment horizontal="center" vertical="center" wrapText="1"/>
    </xf>
    <xf numFmtId="49" fontId="60" fillId="0" borderId="19" xfId="79" applyNumberFormat="1" applyFont="1" applyBorder="1" applyAlignment="1">
      <alignment horizontal="center" vertical="center" wrapText="1"/>
    </xf>
    <xf numFmtId="0" fontId="77" fillId="0" borderId="19" xfId="79" applyFont="1" applyBorder="1" applyAlignment="1">
      <alignment horizontal="center" vertical="center" wrapText="1"/>
    </xf>
    <xf numFmtId="49" fontId="66" fillId="0" borderId="19" xfId="79" applyNumberFormat="1" applyFont="1" applyBorder="1" applyAlignment="1">
      <alignment horizontal="center" vertical="center" wrapText="1"/>
    </xf>
    <xf numFmtId="0" fontId="61" fillId="0" borderId="45" xfId="80" applyFont="1" applyBorder="1" applyAlignment="1">
      <alignment horizontal="center" vertical="center" wrapText="1"/>
    </xf>
    <xf numFmtId="0" fontId="23" fillId="0" borderId="0" xfId="80" applyAlignment="1">
      <alignment horizontal="center" vertical="center" wrapText="1"/>
    </xf>
    <xf numFmtId="0" fontId="72" fillId="6" borderId="19" xfId="80" applyFont="1" applyFill="1" applyBorder="1" applyAlignment="1">
      <alignment horizontal="center" vertical="center" wrapText="1"/>
    </xf>
    <xf numFmtId="3" fontId="77" fillId="0" borderId="19" xfId="80" applyNumberFormat="1" applyFont="1" applyBorder="1" applyAlignment="1">
      <alignment horizontal="center" vertical="center" wrapText="1"/>
    </xf>
    <xf numFmtId="0" fontId="64" fillId="0" borderId="19" xfId="80" applyFont="1" applyBorder="1" applyAlignment="1">
      <alignment horizontal="center" vertical="center" wrapText="1"/>
    </xf>
    <xf numFmtId="3" fontId="128" fillId="30" borderId="10" xfId="80" applyNumberFormat="1" applyFont="1" applyFill="1" applyBorder="1" applyAlignment="1">
      <alignment vertical="center" wrapText="1"/>
    </xf>
    <xf numFmtId="0" fontId="124" fillId="0" borderId="0" xfId="80" applyFont="1" applyAlignment="1">
      <alignment vertical="center" wrapText="1"/>
    </xf>
    <xf numFmtId="3" fontId="64" fillId="0" borderId="19" xfId="80" applyNumberFormat="1" applyFont="1" applyBorder="1" applyAlignment="1">
      <alignment horizontal="center" vertical="center" wrapText="1"/>
    </xf>
    <xf numFmtId="3" fontId="65" fillId="24" borderId="10" xfId="79" applyNumberFormat="1" applyFont="1" applyFill="1" applyBorder="1" applyAlignment="1">
      <alignment horizontal="center" vertical="center" wrapText="1"/>
    </xf>
    <xf numFmtId="3" fontId="60" fillId="24" borderId="10" xfId="79" applyNumberFormat="1" applyFont="1" applyFill="1" applyBorder="1" applyAlignment="1">
      <alignment horizontal="center" vertical="center" wrapText="1"/>
    </xf>
    <xf numFmtId="3" fontId="60" fillId="24" borderId="12" xfId="79" applyNumberFormat="1" applyFont="1" applyFill="1" applyBorder="1" applyAlignment="1">
      <alignment horizontal="center" vertical="center" wrapText="1"/>
    </xf>
    <xf numFmtId="3" fontId="77" fillId="24" borderId="10" xfId="79" applyNumberFormat="1" applyFont="1" applyFill="1" applyBorder="1" applyAlignment="1">
      <alignment horizontal="center" vertical="center" wrapText="1"/>
    </xf>
    <xf numFmtId="3" fontId="66" fillId="24" borderId="10" xfId="79" applyNumberFormat="1" applyFont="1" applyFill="1" applyBorder="1" applyAlignment="1">
      <alignment horizontal="center" vertical="center" wrapText="1"/>
    </xf>
    <xf numFmtId="3" fontId="66" fillId="24" borderId="12" xfId="79" applyNumberFormat="1" applyFont="1" applyFill="1" applyBorder="1" applyAlignment="1">
      <alignment horizontal="center" vertical="center" wrapText="1"/>
    </xf>
    <xf numFmtId="3" fontId="23" fillId="24" borderId="48" xfId="80" applyNumberFormat="1" applyFill="1" applyBorder="1" applyAlignment="1">
      <alignment horizontal="center" vertical="center" wrapText="1"/>
    </xf>
    <xf numFmtId="3" fontId="61" fillId="24" borderId="11" xfId="80" applyNumberFormat="1" applyFont="1" applyFill="1" applyBorder="1" applyAlignment="1">
      <alignment horizontal="center" vertical="center" wrapText="1"/>
    </xf>
    <xf numFmtId="3" fontId="23" fillId="24" borderId="43" xfId="80" applyNumberFormat="1" applyFill="1" applyBorder="1" applyAlignment="1">
      <alignment horizontal="center" vertical="center" wrapText="1"/>
    </xf>
    <xf numFmtId="3" fontId="59" fillId="24" borderId="48" xfId="80" applyNumberFormat="1" applyFont="1" applyFill="1" applyBorder="1" applyAlignment="1">
      <alignment horizontal="center" vertical="center"/>
    </xf>
    <xf numFmtId="3" fontId="59" fillId="24" borderId="48" xfId="80" applyNumberFormat="1" applyFont="1" applyFill="1" applyBorder="1" applyAlignment="1">
      <alignment horizontal="right" vertical="center"/>
    </xf>
    <xf numFmtId="3" fontId="59" fillId="24" borderId="11" xfId="80" applyNumberFormat="1" applyFont="1" applyFill="1" applyBorder="1" applyAlignment="1">
      <alignment horizontal="center" vertical="center" wrapText="1"/>
    </xf>
    <xf numFmtId="3" fontId="72" fillId="24" borderId="11" xfId="77" applyNumberFormat="1" applyFont="1" applyFill="1" applyBorder="1" applyAlignment="1">
      <alignment horizontal="center" vertical="center" wrapText="1"/>
    </xf>
    <xf numFmtId="3" fontId="77" fillId="24" borderId="11" xfId="80" applyNumberFormat="1" applyFont="1" applyFill="1" applyBorder="1" applyAlignment="1">
      <alignment horizontal="center" vertical="center" wrapText="1"/>
    </xf>
    <xf numFmtId="3" fontId="64" fillId="24" borderId="74" xfId="80" applyNumberFormat="1" applyFont="1" applyFill="1" applyBorder="1" applyAlignment="1">
      <alignment horizontal="center" vertical="center" wrapText="1"/>
    </xf>
    <xf numFmtId="0" fontId="112" fillId="0" borderId="74" xfId="0" applyFont="1" applyBorder="1" applyAlignment="1">
      <alignment horizontal="center" vertical="center" wrapText="1"/>
    </xf>
    <xf numFmtId="3" fontId="160" fillId="24" borderId="0" xfId="80" applyNumberFormat="1" applyFont="1" applyFill="1" applyAlignment="1">
      <alignment vertical="center" wrapText="1"/>
    </xf>
    <xf numFmtId="0" fontId="109" fillId="24" borderId="48" xfId="74" applyFont="1" applyFill="1" applyBorder="1" applyAlignment="1" applyProtection="1">
      <alignment horizontal="center" vertical="center" wrapText="1" shrinkToFit="1"/>
      <protection locked="0"/>
    </xf>
    <xf numFmtId="49" fontId="47" fillId="24" borderId="11" xfId="74" applyNumberFormat="1" applyFont="1" applyFill="1" applyBorder="1" applyAlignment="1" applyProtection="1">
      <alignment horizontal="center" vertical="center" wrapText="1"/>
      <protection locked="0"/>
    </xf>
    <xf numFmtId="0" fontId="86" fillId="24" borderId="74" xfId="74" applyFont="1" applyFill="1" applyBorder="1" applyAlignment="1" applyProtection="1">
      <alignment vertical="center"/>
      <protection locked="0"/>
    </xf>
    <xf numFmtId="0" fontId="73" fillId="24" borderId="74" xfId="74" applyFont="1" applyFill="1" applyBorder="1" applyAlignment="1" applyProtection="1">
      <alignment horizontal="center" vertical="center" wrapText="1"/>
      <protection locked="0"/>
    </xf>
    <xf numFmtId="49" fontId="73" fillId="24" borderId="74" xfId="74" applyNumberFormat="1" applyFont="1" applyFill="1" applyBorder="1" applyAlignment="1" applyProtection="1">
      <alignment horizontal="center" vertical="center" wrapText="1"/>
      <protection locked="0"/>
    </xf>
    <xf numFmtId="0" fontId="86" fillId="24" borderId="11" xfId="74" applyFont="1" applyFill="1" applyBorder="1" applyAlignment="1" applyProtection="1">
      <alignment horizontal="center" vertical="center"/>
      <protection locked="0"/>
    </xf>
    <xf numFmtId="1" fontId="47" fillId="24" borderId="11" xfId="74" applyNumberFormat="1" applyFont="1" applyFill="1" applyBorder="1" applyAlignment="1" applyProtection="1">
      <alignment horizontal="center" vertical="center"/>
      <protection locked="0"/>
    </xf>
    <xf numFmtId="0" fontId="73" fillId="24" borderId="74" xfId="74" applyFont="1" applyFill="1" applyBorder="1" applyAlignment="1" applyProtection="1">
      <alignment horizontal="justify" vertical="center"/>
      <protection locked="0"/>
    </xf>
    <xf numFmtId="3" fontId="65" fillId="24" borderId="74" xfId="79" applyNumberFormat="1" applyFont="1" applyFill="1" applyBorder="1" applyAlignment="1">
      <alignment horizontal="center" vertical="center" wrapText="1"/>
    </xf>
    <xf numFmtId="3" fontId="72" fillId="24" borderId="74" xfId="80" applyNumberFormat="1" applyFont="1" applyFill="1" applyBorder="1" applyAlignment="1">
      <alignment horizontal="center" vertical="center" wrapText="1"/>
    </xf>
    <xf numFmtId="3" fontId="61" fillId="24" borderId="0" xfId="80" applyNumberFormat="1" applyFont="1" applyFill="1" applyAlignment="1">
      <alignment horizontal="center" vertical="center" wrapText="1"/>
    </xf>
    <xf numFmtId="3" fontId="60" fillId="24" borderId="74" xfId="79" applyNumberFormat="1" applyFont="1" applyFill="1" applyBorder="1" applyAlignment="1">
      <alignment horizontal="center" vertical="center" wrapText="1"/>
    </xf>
    <xf numFmtId="3" fontId="59" fillId="24" borderId="138" xfId="80" applyNumberFormat="1" applyFont="1" applyFill="1" applyBorder="1" applyAlignment="1">
      <alignment horizontal="center" vertical="center" wrapText="1"/>
    </xf>
    <xf numFmtId="0" fontId="58" fillId="24" borderId="74" xfId="83" applyFont="1" applyFill="1" applyBorder="1" applyAlignment="1">
      <alignment horizontal="center" vertical="center" wrapText="1"/>
    </xf>
    <xf numFmtId="49" fontId="89" fillId="31" borderId="10" xfId="74" applyNumberFormat="1" applyFont="1" applyFill="1" applyBorder="1" applyAlignment="1" applyProtection="1">
      <alignment horizontal="center" vertical="center"/>
      <protection locked="0"/>
    </xf>
    <xf numFmtId="3" fontId="23" fillId="0" borderId="0" xfId="76" applyNumberFormat="1" applyAlignment="1">
      <alignment horizontal="center"/>
    </xf>
    <xf numFmtId="3" fontId="67" fillId="0" borderId="74" xfId="76" applyNumberFormat="1" applyFont="1" applyBorder="1" applyAlignment="1" applyProtection="1">
      <alignment horizontal="left" vertical="center"/>
      <protection locked="0"/>
    </xf>
    <xf numFmtId="3" fontId="60" fillId="0" borderId="74" xfId="76" applyNumberFormat="1" applyFont="1" applyBorder="1" applyAlignment="1" applyProtection="1">
      <alignment horizontal="left" vertical="center"/>
      <protection locked="0"/>
    </xf>
    <xf numFmtId="3" fontId="23" fillId="0" borderId="139" xfId="76" applyNumberFormat="1" applyBorder="1" applyAlignment="1">
      <alignment horizontal="center" vertical="center"/>
    </xf>
    <xf numFmtId="3" fontId="23" fillId="0" borderId="79" xfId="76" applyNumberFormat="1" applyBorder="1" applyAlignment="1">
      <alignment horizontal="center" vertical="center"/>
    </xf>
    <xf numFmtId="3" fontId="23" fillId="0" borderId="140" xfId="76" applyNumberFormat="1" applyBorder="1" applyAlignment="1">
      <alignment horizontal="center" vertical="center"/>
    </xf>
    <xf numFmtId="3" fontId="23" fillId="0" borderId="124" xfId="76" applyNumberFormat="1" applyBorder="1" applyAlignment="1">
      <alignment horizontal="center" vertical="center"/>
    </xf>
    <xf numFmtId="3" fontId="60" fillId="0" borderId="75" xfId="76" applyNumberFormat="1" applyFont="1" applyBorder="1" applyAlignment="1" applyProtection="1">
      <alignment vertical="center"/>
      <protection locked="0"/>
    </xf>
    <xf numFmtId="3" fontId="57" fillId="0" borderId="141" xfId="76" applyNumberFormat="1" applyFont="1" applyBorder="1" applyAlignment="1" applyProtection="1">
      <alignment horizontal="center" vertical="center" wrapText="1"/>
      <protection locked="0"/>
    </xf>
    <xf numFmtId="0" fontId="88" fillId="0" borderId="141" xfId="0" applyFont="1" applyBorder="1" applyAlignment="1">
      <alignment horizontal="center" vertical="center" wrapText="1"/>
    </xf>
    <xf numFmtId="0" fontId="88" fillId="0" borderId="142" xfId="0" applyFont="1" applyBorder="1" applyAlignment="1">
      <alignment horizontal="center" vertical="center" wrapText="1"/>
    </xf>
    <xf numFmtId="3" fontId="23" fillId="0" borderId="143" xfId="76" applyNumberFormat="1" applyBorder="1" applyAlignment="1">
      <alignment horizontal="center" vertical="center"/>
    </xf>
    <xf numFmtId="3" fontId="60" fillId="0" borderId="138" xfId="76" applyNumberFormat="1" applyFont="1" applyBorder="1" applyAlignment="1" applyProtection="1">
      <alignment vertical="center"/>
      <protection locked="0"/>
    </xf>
    <xf numFmtId="3" fontId="60" fillId="0" borderId="144" xfId="76" applyNumberFormat="1" applyFont="1" applyBorder="1" applyAlignment="1" applyProtection="1">
      <alignment vertical="center"/>
      <protection locked="0"/>
    </xf>
    <xf numFmtId="3" fontId="23" fillId="0" borderId="145" xfId="76" applyNumberFormat="1" applyBorder="1" applyAlignment="1">
      <alignment horizontal="center" vertical="center"/>
    </xf>
    <xf numFmtId="3" fontId="64" fillId="0" borderId="146" xfId="76" applyNumberFormat="1" applyFont="1" applyBorder="1" applyAlignment="1" applyProtection="1">
      <alignment vertical="center"/>
      <protection locked="0"/>
    </xf>
    <xf numFmtId="3" fontId="64" fillId="0" borderId="146" xfId="76" applyNumberFormat="1" applyFont="1" applyBorder="1" applyAlignment="1" applyProtection="1">
      <alignment horizontal="center" vertical="center" wrapText="1"/>
      <protection locked="0"/>
    </xf>
    <xf numFmtId="3" fontId="64" fillId="0" borderId="147" xfId="76" applyNumberFormat="1" applyFont="1" applyBorder="1" applyAlignment="1" applyProtection="1">
      <alignment horizontal="center" vertical="center" wrapText="1"/>
      <protection locked="0"/>
    </xf>
    <xf numFmtId="3" fontId="23" fillId="0" borderId="148" xfId="76" applyNumberFormat="1" applyBorder="1" applyAlignment="1">
      <alignment horizontal="center" vertical="center"/>
    </xf>
    <xf numFmtId="3" fontId="60" fillId="0" borderId="149" xfId="76" applyNumberFormat="1" applyFont="1" applyBorder="1" applyAlignment="1" applyProtection="1">
      <alignment vertical="center"/>
      <protection locked="0"/>
    </xf>
    <xf numFmtId="3" fontId="60" fillId="0" borderId="150" xfId="76" applyNumberFormat="1" applyFont="1" applyBorder="1" applyAlignment="1" applyProtection="1">
      <alignment vertical="center"/>
      <protection locked="0"/>
    </xf>
    <xf numFmtId="3" fontId="23" fillId="0" borderId="151" xfId="76" applyNumberFormat="1" applyBorder="1" applyAlignment="1">
      <alignment horizontal="center" vertical="center"/>
    </xf>
    <xf numFmtId="3" fontId="64" fillId="0" borderId="152" xfId="76" applyNumberFormat="1" applyFont="1" applyBorder="1" applyAlignment="1" applyProtection="1">
      <alignment vertical="center"/>
      <protection locked="0"/>
    </xf>
    <xf numFmtId="3" fontId="64" fillId="0" borderId="152" xfId="76" applyNumberFormat="1" applyFont="1" applyBorder="1" applyAlignment="1" applyProtection="1">
      <alignment horizontal="center" vertical="center" wrapText="1"/>
      <protection locked="0"/>
    </xf>
    <xf numFmtId="3" fontId="64" fillId="0" borderId="153" xfId="76" applyNumberFormat="1" applyFont="1" applyBorder="1" applyAlignment="1" applyProtection="1">
      <alignment horizontal="center" vertical="center" wrapText="1"/>
      <protection locked="0"/>
    </xf>
    <xf numFmtId="3" fontId="65" fillId="0" borderId="146" xfId="76" applyNumberFormat="1" applyFont="1" applyBorder="1" applyAlignment="1" applyProtection="1">
      <alignment vertical="center"/>
      <protection locked="0"/>
    </xf>
    <xf numFmtId="3" fontId="65" fillId="0" borderId="147" xfId="76" applyNumberFormat="1" applyFont="1" applyBorder="1" applyAlignment="1" applyProtection="1">
      <alignment vertical="center"/>
      <protection locked="0"/>
    </xf>
    <xf numFmtId="3" fontId="60" fillId="0" borderId="23" xfId="76" applyNumberFormat="1" applyFont="1" applyBorder="1" applyAlignment="1" applyProtection="1">
      <alignment horizontal="left" vertical="center"/>
      <protection locked="0"/>
    </xf>
    <xf numFmtId="3" fontId="60" fillId="0" borderId="154" xfId="76" applyNumberFormat="1" applyFont="1" applyBorder="1" applyAlignment="1" applyProtection="1">
      <alignment horizontal="left" vertical="center"/>
      <protection locked="0"/>
    </xf>
    <xf numFmtId="3" fontId="64" fillId="0" borderId="155" xfId="76" applyNumberFormat="1" applyFont="1" applyBorder="1" applyAlignment="1" applyProtection="1">
      <alignment horizontal="left" indent="1"/>
      <protection locked="0"/>
    </xf>
    <xf numFmtId="0" fontId="57" fillId="0" borderId="36" xfId="79" applyFont="1" applyBorder="1" applyAlignment="1">
      <alignment horizontal="center" vertical="center" wrapText="1"/>
    </xf>
    <xf numFmtId="0" fontId="57" fillId="0" borderId="36" xfId="79" applyFont="1" applyBorder="1" applyAlignment="1">
      <alignment horizontal="center" vertical="center"/>
    </xf>
    <xf numFmtId="0" fontId="57" fillId="0" borderId="28" xfId="79" applyFont="1" applyBorder="1" applyAlignment="1">
      <alignment horizontal="center" vertical="center"/>
    </xf>
    <xf numFmtId="172" fontId="64" fillId="0" borderId="156" xfId="29" applyNumberFormat="1" applyFont="1" applyFill="1" applyBorder="1" applyAlignment="1" applyProtection="1">
      <alignment vertical="center"/>
      <protection locked="0"/>
    </xf>
    <xf numFmtId="0" fontId="64" fillId="0" borderId="145" xfId="79" applyFont="1" applyBorder="1" applyAlignment="1">
      <alignment horizontal="center" vertical="center"/>
    </xf>
    <xf numFmtId="172" fontId="64" fillId="0" borderId="147" xfId="29" applyNumberFormat="1" applyFont="1" applyFill="1" applyBorder="1" applyAlignment="1" applyProtection="1">
      <alignment vertical="center"/>
      <protection locked="0"/>
    </xf>
    <xf numFmtId="0" fontId="57" fillId="0" borderId="157" xfId="79" applyFont="1" applyBorder="1" applyAlignment="1">
      <alignment horizontal="center" vertical="center"/>
    </xf>
    <xf numFmtId="0" fontId="60" fillId="0" borderId="100" xfId="79" applyFont="1" applyBorder="1" applyAlignment="1">
      <alignment horizontal="center" vertical="center"/>
    </xf>
    <xf numFmtId="0" fontId="57" fillId="0" borderId="158" xfId="79" applyFont="1" applyBorder="1" applyAlignment="1">
      <alignment horizontal="center" vertical="center"/>
    </xf>
    <xf numFmtId="0" fontId="65" fillId="0" borderId="98" xfId="79" applyFont="1" applyBorder="1" applyAlignment="1">
      <alignment horizontal="center" vertical="center" wrapText="1"/>
    </xf>
    <xf numFmtId="0" fontId="65" fillId="0" borderId="105" xfId="79" applyFont="1" applyBorder="1" applyAlignment="1">
      <alignment horizontal="center" vertical="center" wrapText="1"/>
    </xf>
    <xf numFmtId="0" fontId="60" fillId="0" borderId="98" xfId="79" applyFont="1" applyBorder="1" applyAlignment="1">
      <alignment horizontal="center" vertical="center"/>
    </xf>
    <xf numFmtId="0" fontId="60" fillId="0" borderId="105" xfId="79" applyFont="1" applyBorder="1" applyAlignment="1">
      <alignment horizontal="center" vertical="center"/>
    </xf>
    <xf numFmtId="0" fontId="60" fillId="0" borderId="96" xfId="79" applyFont="1" applyBorder="1" applyAlignment="1">
      <alignment horizontal="center" vertical="center"/>
    </xf>
    <xf numFmtId="172" fontId="60" fillId="0" borderId="159" xfId="29" applyNumberFormat="1" applyFont="1" applyFill="1" applyBorder="1" applyAlignment="1" applyProtection="1">
      <alignment vertical="center"/>
      <protection locked="0"/>
    </xf>
    <xf numFmtId="0" fontId="60" fillId="0" borderId="76" xfId="79" applyFont="1" applyBorder="1" applyAlignment="1">
      <alignment horizontal="center" vertical="center"/>
    </xf>
    <xf numFmtId="172" fontId="60" fillId="0" borderId="97" xfId="29" applyNumberFormat="1" applyFont="1" applyFill="1" applyBorder="1" applyAlignment="1" applyProtection="1">
      <alignment vertical="center"/>
      <protection locked="0"/>
    </xf>
    <xf numFmtId="0" fontId="60" fillId="0" borderId="77" xfId="79" applyFont="1" applyBorder="1" applyAlignment="1">
      <alignment horizontal="center" vertical="center"/>
    </xf>
    <xf numFmtId="172" fontId="60" fillId="0" borderId="108" xfId="29" applyNumberFormat="1" applyFont="1" applyFill="1" applyBorder="1" applyAlignment="1" applyProtection="1">
      <alignment vertical="center"/>
      <protection locked="0"/>
    </xf>
    <xf numFmtId="3" fontId="59" fillId="24" borderId="49" xfId="80" applyNumberFormat="1" applyFont="1" applyFill="1" applyBorder="1" applyAlignment="1">
      <alignment horizontal="right" vertical="center"/>
    </xf>
    <xf numFmtId="3" fontId="72" fillId="24" borderId="24" xfId="77" applyNumberFormat="1" applyFont="1" applyFill="1" applyBorder="1" applyAlignment="1">
      <alignment horizontal="center" vertical="center" wrapText="1"/>
    </xf>
    <xf numFmtId="3" fontId="23" fillId="24" borderId="22" xfId="80" applyNumberFormat="1" applyFill="1" applyBorder="1" applyAlignment="1">
      <alignment horizontal="center" vertical="center" wrapText="1"/>
    </xf>
    <xf numFmtId="3" fontId="23" fillId="24" borderId="47" xfId="80" applyNumberFormat="1" applyFill="1" applyBorder="1" applyAlignment="1">
      <alignment horizontal="center" vertical="center" wrapText="1"/>
    </xf>
    <xf numFmtId="3" fontId="58" fillId="24" borderId="74" xfId="80" applyNumberFormat="1" applyFont="1" applyFill="1" applyBorder="1" applyAlignment="1">
      <alignment horizontal="left" vertical="center"/>
    </xf>
    <xf numFmtId="3" fontId="58" fillId="24" borderId="74" xfId="80" applyNumberFormat="1" applyFont="1" applyFill="1" applyBorder="1" applyAlignment="1">
      <alignment vertical="center"/>
    </xf>
    <xf numFmtId="167" fontId="34" fillId="24" borderId="40" xfId="83" applyNumberFormat="1" applyFont="1" applyFill="1" applyBorder="1" applyAlignment="1">
      <alignment horizontal="center" vertical="center"/>
    </xf>
    <xf numFmtId="3" fontId="21" fillId="30" borderId="11" xfId="74" applyNumberFormat="1" applyFont="1" applyFill="1" applyBorder="1" applyAlignment="1" applyProtection="1">
      <alignment horizontal="center" vertical="center" wrapText="1"/>
      <protection locked="0"/>
    </xf>
    <xf numFmtId="0" fontId="37" fillId="24" borderId="74" xfId="74" applyFont="1" applyFill="1" applyBorder="1" applyAlignment="1" applyProtection="1">
      <alignment horizontal="center" vertical="center" wrapText="1"/>
      <protection locked="0"/>
    </xf>
    <xf numFmtId="49" fontId="37" fillId="24" borderId="74" xfId="74" applyNumberFormat="1" applyFont="1" applyFill="1" applyBorder="1" applyAlignment="1" applyProtection="1">
      <alignment horizontal="center" vertical="center" wrapText="1"/>
      <protection locked="0"/>
    </xf>
    <xf numFmtId="0" fontId="29" fillId="24" borderId="74" xfId="74" applyFont="1" applyFill="1" applyBorder="1" applyAlignment="1" applyProtection="1">
      <alignment horizontal="center" vertical="center" wrapText="1" shrinkToFit="1"/>
      <protection locked="0"/>
    </xf>
    <xf numFmtId="49" fontId="21" fillId="24" borderId="74" xfId="74" applyNumberFormat="1" applyFont="1" applyFill="1" applyBorder="1" applyAlignment="1" applyProtection="1">
      <alignment horizontal="center" vertical="center" wrapText="1"/>
      <protection locked="0"/>
    </xf>
    <xf numFmtId="0" fontId="21" fillId="24" borderId="74" xfId="74" applyFont="1" applyFill="1" applyBorder="1" applyAlignment="1" applyProtection="1">
      <alignment horizontal="center" vertical="center"/>
      <protection locked="0"/>
    </xf>
    <xf numFmtId="3" fontId="34" fillId="32" borderId="74" xfId="74" applyNumberFormat="1" applyFont="1" applyFill="1" applyBorder="1" applyAlignment="1" applyProtection="1">
      <alignment horizontal="center" vertical="center" wrapText="1"/>
      <protection locked="0"/>
    </xf>
    <xf numFmtId="168" fontId="65" fillId="0" borderId="19" xfId="80" applyNumberFormat="1" applyFont="1" applyBorder="1" applyAlignment="1">
      <alignment horizontal="center" vertical="center" wrapText="1"/>
    </xf>
    <xf numFmtId="167" fontId="58" fillId="24" borderId="74" xfId="83" applyNumberFormat="1" applyFont="1" applyFill="1" applyBorder="1" applyAlignment="1">
      <alignment horizontal="center" vertical="center"/>
    </xf>
    <xf numFmtId="3" fontId="34" fillId="24" borderId="74" xfId="74" applyNumberFormat="1" applyFont="1" applyFill="1" applyBorder="1" applyAlignment="1" applyProtection="1">
      <alignment horizontal="center" vertical="center"/>
      <protection locked="0"/>
    </xf>
    <xf numFmtId="3" fontId="58" fillId="24" borderId="74" xfId="80" applyNumberFormat="1" applyFont="1" applyFill="1" applyBorder="1" applyAlignment="1">
      <alignment horizontal="center" vertical="center"/>
    </xf>
    <xf numFmtId="3" fontId="34" fillId="24" borderId="74" xfId="80" applyNumberFormat="1" applyFont="1" applyFill="1" applyBorder="1" applyAlignment="1">
      <alignment horizontal="center" vertical="center"/>
    </xf>
    <xf numFmtId="3" fontId="34" fillId="24" borderId="74" xfId="80" applyNumberFormat="1" applyFont="1" applyFill="1" applyBorder="1" applyAlignment="1">
      <alignment horizontal="center" vertical="center" wrapText="1"/>
    </xf>
    <xf numFmtId="0" fontId="21" fillId="0" borderId="57" xfId="0" applyFont="1" applyBorder="1" applyAlignment="1">
      <alignment vertical="center"/>
    </xf>
    <xf numFmtId="0" fontId="21" fillId="0" borderId="57" xfId="0" applyFont="1" applyBorder="1" applyAlignment="1">
      <alignment vertical="center" wrapText="1"/>
    </xf>
    <xf numFmtId="0" fontId="21" fillId="0" borderId="160" xfId="0" applyFont="1" applyBorder="1" applyAlignment="1">
      <alignment vertical="center" wrapText="1"/>
    </xf>
    <xf numFmtId="0" fontId="34" fillId="24" borderId="74" xfId="0" applyFont="1" applyFill="1" applyBorder="1" applyAlignment="1">
      <alignment horizontal="center" vertical="center" wrapText="1"/>
    </xf>
    <xf numFmtId="167" fontId="34" fillId="24" borderId="74" xfId="83" applyNumberFormat="1" applyFont="1" applyFill="1" applyBorder="1" applyAlignment="1">
      <alignment horizontal="center" vertical="center"/>
    </xf>
    <xf numFmtId="3" fontId="60" fillId="0" borderId="10" xfId="83" applyNumberFormat="1" applyFont="1" applyBorder="1" applyAlignment="1">
      <alignment horizontal="right" vertical="center"/>
    </xf>
    <xf numFmtId="0" fontId="163" fillId="0" borderId="0" xfId="83" applyFont="1" applyAlignment="1">
      <alignment vertical="center" wrapText="1"/>
    </xf>
    <xf numFmtId="0" fontId="66" fillId="0" borderId="0" xfId="83" applyFont="1" applyAlignment="1">
      <alignment vertical="center" wrapText="1"/>
    </xf>
    <xf numFmtId="3" fontId="66" fillId="0" borderId="0" xfId="83" applyNumberFormat="1" applyFont="1" applyAlignment="1">
      <alignment vertical="center" wrapText="1"/>
    </xf>
    <xf numFmtId="3" fontId="163" fillId="0" borderId="0" xfId="83" applyNumberFormat="1" applyFont="1" applyAlignment="1">
      <alignment vertical="center" wrapText="1"/>
    </xf>
    <xf numFmtId="0" fontId="77" fillId="0" borderId="13" xfId="83" applyFont="1" applyBorder="1" applyAlignment="1">
      <alignment horizontal="center" vertical="center" wrapText="1"/>
    </xf>
    <xf numFmtId="3" fontId="60" fillId="0" borderId="0" xfId="83" applyNumberFormat="1" applyFont="1" applyAlignment="1">
      <alignment vertical="center" wrapText="1"/>
    </xf>
    <xf numFmtId="3" fontId="60" fillId="0" borderId="0" xfId="83" applyNumberFormat="1" applyFont="1" applyAlignment="1">
      <alignment horizontal="right" vertical="center" wrapText="1" indent="1"/>
    </xf>
    <xf numFmtId="3" fontId="60" fillId="24" borderId="0" xfId="83" applyNumberFormat="1" applyFont="1" applyFill="1" applyAlignment="1">
      <alignment horizontal="right" vertical="center" wrapText="1" indent="1"/>
    </xf>
    <xf numFmtId="3" fontId="60" fillId="38" borderId="0" xfId="83" applyNumberFormat="1" applyFont="1" applyFill="1" applyAlignment="1">
      <alignment horizontal="right" vertical="center" wrapText="1" indent="1"/>
    </xf>
    <xf numFmtId="168" fontId="60" fillId="0" borderId="0" xfId="83" applyNumberFormat="1" applyFont="1" applyAlignment="1">
      <alignment horizontal="right" vertical="center" wrapText="1" indent="1"/>
    </xf>
    <xf numFmtId="0" fontId="77" fillId="0" borderId="37" xfId="83" applyFont="1" applyBorder="1" applyAlignment="1">
      <alignment horizontal="left" vertical="center"/>
    </xf>
    <xf numFmtId="0" fontId="77" fillId="0" borderId="44" xfId="83" applyFont="1" applyBorder="1" applyAlignment="1">
      <alignment vertical="center" wrapText="1"/>
    </xf>
    <xf numFmtId="169" fontId="77" fillId="0" borderId="19" xfId="83" applyNumberFormat="1" applyFont="1" applyBorder="1" applyAlignment="1" applyProtection="1">
      <alignment horizontal="right" vertical="center" wrapText="1" indent="1"/>
      <protection locked="0"/>
    </xf>
    <xf numFmtId="169" fontId="77" fillId="0" borderId="28" xfId="83" applyNumberFormat="1" applyFont="1" applyBorder="1" applyAlignment="1" applyProtection="1">
      <alignment horizontal="right" vertical="center" wrapText="1" indent="1"/>
      <protection locked="0"/>
    </xf>
    <xf numFmtId="169" fontId="77" fillId="38" borderId="28" xfId="83" applyNumberFormat="1" applyFont="1" applyFill="1" applyBorder="1" applyAlignment="1" applyProtection="1">
      <alignment horizontal="right" vertical="center" wrapText="1" indent="1"/>
      <protection locked="0"/>
    </xf>
    <xf numFmtId="168" fontId="77" fillId="0" borderId="28" xfId="83" applyNumberFormat="1" applyFont="1" applyBorder="1" applyAlignment="1" applyProtection="1">
      <alignment horizontal="right" vertical="center" wrapText="1" indent="1"/>
      <protection locked="0"/>
    </xf>
    <xf numFmtId="169" fontId="60" fillId="0" borderId="10" xfId="83" applyNumberFormat="1" applyFont="1" applyBorder="1" applyAlignment="1">
      <alignment horizontal="right" vertical="center"/>
    </xf>
    <xf numFmtId="3" fontId="60" fillId="0" borderId="0" xfId="83" applyNumberFormat="1" applyFont="1" applyAlignment="1">
      <alignment horizontal="right" vertical="center"/>
    </xf>
    <xf numFmtId="0" fontId="77" fillId="0" borderId="33" xfId="83" applyFont="1" applyBorder="1" applyAlignment="1">
      <alignment horizontal="left" vertical="center"/>
    </xf>
    <xf numFmtId="0" fontId="77" fillId="0" borderId="45" xfId="83" applyFont="1" applyBorder="1" applyAlignment="1">
      <alignment vertical="center" wrapText="1"/>
    </xf>
    <xf numFmtId="3" fontId="77" fillId="0" borderId="19" xfId="83" applyNumberFormat="1" applyFont="1" applyBorder="1" applyAlignment="1" applyProtection="1">
      <alignment horizontal="right" vertical="center" wrapText="1" indent="1"/>
      <protection locked="0"/>
    </xf>
    <xf numFmtId="3" fontId="77" fillId="24" borderId="17" xfId="83" applyNumberFormat="1" applyFont="1" applyFill="1" applyBorder="1" applyAlignment="1" applyProtection="1">
      <alignment horizontal="right" vertical="center" wrapText="1" indent="1"/>
      <protection locked="0"/>
    </xf>
    <xf numFmtId="3" fontId="77" fillId="0" borderId="28" xfId="83" applyNumberFormat="1" applyFont="1" applyBorder="1" applyAlignment="1" applyProtection="1">
      <alignment horizontal="right" vertical="center" wrapText="1" indent="1"/>
      <protection locked="0"/>
    </xf>
    <xf numFmtId="3" fontId="77" fillId="0" borderId="62" xfId="83" applyNumberFormat="1" applyFont="1" applyBorder="1" applyAlignment="1" applyProtection="1">
      <alignment horizontal="right" vertical="center" wrapText="1" indent="1"/>
      <protection locked="0"/>
    </xf>
    <xf numFmtId="3" fontId="77" fillId="38" borderId="62" xfId="83" applyNumberFormat="1" applyFont="1" applyFill="1" applyBorder="1" applyAlignment="1" applyProtection="1">
      <alignment horizontal="right" vertical="center" wrapText="1" indent="1"/>
      <protection locked="0"/>
    </xf>
    <xf numFmtId="0" fontId="60" fillId="0" borderId="0" xfId="83" applyFont="1" applyAlignment="1">
      <alignment horizontal="left" vertical="center" wrapText="1"/>
    </xf>
    <xf numFmtId="0" fontId="60" fillId="24" borderId="0" xfId="83" applyFont="1" applyFill="1" applyAlignment="1">
      <alignment vertical="center" wrapText="1"/>
    </xf>
    <xf numFmtId="10" fontId="60" fillId="0" borderId="0" xfId="83" applyNumberFormat="1" applyFont="1" applyAlignment="1">
      <alignment vertical="center" wrapText="1"/>
    </xf>
    <xf numFmtId="3" fontId="60" fillId="24" borderId="27" xfId="80" quotePrefix="1" applyNumberFormat="1" applyFont="1" applyFill="1" applyBorder="1" applyAlignment="1" applyProtection="1">
      <alignment horizontal="left" vertical="center" wrapText="1"/>
      <protection locked="0"/>
    </xf>
    <xf numFmtId="3" fontId="66" fillId="38" borderId="74" xfId="83" applyNumberFormat="1" applyFont="1" applyFill="1" applyBorder="1" applyAlignment="1" applyProtection="1">
      <alignment horizontal="right" vertical="center" wrapText="1"/>
      <protection locked="0"/>
    </xf>
    <xf numFmtId="4" fontId="23" fillId="24" borderId="0" xfId="80" applyNumberFormat="1" applyFill="1" applyAlignment="1">
      <alignment horizontal="right" vertical="center" wrapText="1"/>
    </xf>
    <xf numFmtId="3" fontId="109" fillId="24" borderId="10" xfId="0" applyNumberFormat="1" applyFont="1" applyFill="1" applyBorder="1" applyAlignment="1">
      <alignment horizontal="right" vertical="center"/>
    </xf>
    <xf numFmtId="3" fontId="29" fillId="24" borderId="0" xfId="0" applyNumberFormat="1" applyFont="1" applyFill="1" applyAlignment="1">
      <alignment horizontal="right" vertical="center"/>
    </xf>
    <xf numFmtId="3" fontId="181" fillId="24" borderId="0" xfId="80" applyNumberFormat="1" applyFont="1" applyFill="1" applyAlignment="1">
      <alignment vertical="center" wrapText="1"/>
    </xf>
    <xf numFmtId="3" fontId="73" fillId="24" borderId="108" xfId="0" applyNumberFormat="1" applyFont="1" applyFill="1" applyBorder="1" applyAlignment="1">
      <alignment horizontal="center" vertical="center" wrapText="1"/>
    </xf>
    <xf numFmtId="0" fontId="29" fillId="0" borderId="14" xfId="0" applyFont="1" applyBorder="1" applyAlignment="1">
      <alignment horizontal="center" vertical="center"/>
    </xf>
    <xf numFmtId="3" fontId="36" fillId="33" borderId="97" xfId="0" applyNumberFormat="1" applyFont="1" applyFill="1" applyBorder="1" applyAlignment="1">
      <alignment vertical="center"/>
    </xf>
    <xf numFmtId="3" fontId="80" fillId="0" borderId="0" xfId="80" applyNumberFormat="1" applyFont="1" applyAlignment="1">
      <alignment vertical="center" wrapText="1"/>
    </xf>
    <xf numFmtId="0" fontId="34" fillId="24" borderId="10" xfId="74" quotePrefix="1" applyFont="1" applyFill="1" applyBorder="1" applyAlignment="1" applyProtection="1">
      <alignment horizontal="center" vertical="center"/>
      <protection locked="0"/>
    </xf>
    <xf numFmtId="0" fontId="89" fillId="32" borderId="10" xfId="74" applyFont="1" applyFill="1" applyBorder="1" applyAlignment="1" applyProtection="1">
      <alignment horizontal="justify" vertical="center" wrapText="1"/>
      <protection locked="0"/>
    </xf>
    <xf numFmtId="3" fontId="36" fillId="0" borderId="161" xfId="0" applyNumberFormat="1" applyFont="1" applyBorder="1" applyAlignment="1">
      <alignment horizontal="justify" vertical="center" wrapText="1"/>
    </xf>
    <xf numFmtId="3" fontId="36" fillId="33" borderId="12" xfId="0" applyNumberFormat="1" applyFont="1" applyFill="1" applyBorder="1" applyAlignment="1">
      <alignment horizontal="justify" vertical="center" wrapText="1"/>
    </xf>
    <xf numFmtId="0" fontId="109" fillId="0" borderId="10" xfId="0" applyFont="1" applyBorder="1" applyAlignment="1">
      <alignment horizontal="center" vertical="center" wrapText="1"/>
    </xf>
    <xf numFmtId="3" fontId="21" fillId="24" borderId="0" xfId="74" applyNumberFormat="1" applyFont="1" applyFill="1" applyAlignment="1" applyProtection="1">
      <alignment horizontal="left" vertical="center"/>
      <protection locked="0"/>
    </xf>
    <xf numFmtId="49" fontId="21" fillId="0" borderId="10" xfId="74" applyNumberFormat="1" applyFont="1" applyBorder="1" applyAlignment="1" applyProtection="1">
      <alignment horizontal="center" vertical="center" wrapText="1"/>
      <protection locked="0"/>
    </xf>
    <xf numFmtId="0" fontId="21" fillId="0" borderId="10" xfId="74" applyFont="1" applyBorder="1" applyAlignment="1" applyProtection="1">
      <alignment horizontal="center" vertical="center" wrapText="1"/>
      <protection locked="0"/>
    </xf>
    <xf numFmtId="0" fontId="73" fillId="0" borderId="20" xfId="77" applyFont="1" applyBorder="1" applyAlignment="1">
      <alignment horizontal="center" vertical="center" wrapText="1"/>
    </xf>
    <xf numFmtId="0" fontId="73" fillId="0" borderId="13" xfId="77" applyFont="1" applyBorder="1" applyAlignment="1">
      <alignment horizontal="center" vertical="center" wrapText="1"/>
    </xf>
    <xf numFmtId="176" fontId="169" fillId="0" borderId="0" xfId="80" applyNumberFormat="1" applyFont="1" applyAlignment="1">
      <alignment vertical="center" wrapText="1"/>
    </xf>
    <xf numFmtId="0" fontId="59" fillId="0" borderId="15" xfId="80" applyFont="1" applyBorder="1" applyAlignment="1">
      <alignment vertical="center"/>
    </xf>
    <xf numFmtId="0" fontId="64" fillId="0" borderId="15" xfId="80" applyFont="1" applyBorder="1" applyAlignment="1">
      <alignment horizontal="center" vertical="center"/>
    </xf>
    <xf numFmtId="0" fontId="65" fillId="0" borderId="15" xfId="80" applyFont="1" applyBorder="1" applyAlignment="1">
      <alignment horizontal="center" vertical="center"/>
    </xf>
    <xf numFmtId="0" fontId="77" fillId="0" borderId="47" xfId="80" applyFont="1" applyBorder="1" applyAlignment="1">
      <alignment horizontal="center" vertical="center" wrapText="1"/>
    </xf>
    <xf numFmtId="3" fontId="77" fillId="30" borderId="11" xfId="80" applyNumberFormat="1" applyFont="1" applyFill="1" applyBorder="1" applyAlignment="1">
      <alignment horizontal="center" vertical="center" wrapText="1"/>
    </xf>
    <xf numFmtId="3" fontId="72" fillId="24" borderId="162" xfId="77" applyNumberFormat="1" applyFont="1" applyFill="1" applyBorder="1" applyAlignment="1">
      <alignment horizontal="center" vertical="center" wrapText="1"/>
    </xf>
    <xf numFmtId="3" fontId="59" fillId="0" borderId="163" xfId="80" applyNumberFormat="1" applyFont="1" applyBorder="1" applyAlignment="1">
      <alignment horizontal="center" vertical="center" wrapText="1"/>
    </xf>
    <xf numFmtId="3" fontId="36" fillId="0" borderId="76" xfId="0" applyNumberFormat="1" applyFont="1" applyBorder="1" applyAlignment="1">
      <alignment horizontal="justify" vertical="center" wrapText="1"/>
    </xf>
    <xf numFmtId="3" fontId="36" fillId="0" borderId="10" xfId="0" applyNumberFormat="1" applyFont="1" applyBorder="1" applyAlignment="1">
      <alignment horizontal="justify" vertical="center" wrapText="1"/>
    </xf>
    <xf numFmtId="3" fontId="36" fillId="0" borderId="10" xfId="0" applyNumberFormat="1" applyFont="1" applyBorder="1" applyAlignment="1">
      <alignment horizontal="center" vertical="center" wrapText="1"/>
    </xf>
    <xf numFmtId="3" fontId="36" fillId="0" borderId="10" xfId="0" applyNumberFormat="1" applyFont="1" applyBorder="1" applyAlignment="1">
      <alignment vertical="center"/>
    </xf>
    <xf numFmtId="3" fontId="36" fillId="0" borderId="10" xfId="0" applyNumberFormat="1" applyFont="1" applyBorder="1" applyAlignment="1">
      <alignment horizontal="left" vertical="center" wrapText="1"/>
    </xf>
    <xf numFmtId="3" fontId="36" fillId="0" borderId="164" xfId="0" applyNumberFormat="1" applyFont="1" applyBorder="1" applyAlignment="1">
      <alignment horizontal="justify" vertical="center" wrapText="1"/>
    </xf>
    <xf numFmtId="0" fontId="36" fillId="0" borderId="10" xfId="74" applyFont="1" applyBorder="1" applyAlignment="1" applyProtection="1">
      <alignment horizontal="left" vertical="center" wrapText="1"/>
      <protection locked="0"/>
    </xf>
    <xf numFmtId="3" fontId="170" fillId="0" borderId="97" xfId="0" applyNumberFormat="1" applyFont="1" applyBorder="1" applyAlignment="1">
      <alignment vertical="center"/>
    </xf>
    <xf numFmtId="3" fontId="37" fillId="0" borderId="10" xfId="0" applyNumberFormat="1" applyFont="1" applyBorder="1" applyAlignment="1">
      <alignment horizontal="center" vertical="center" wrapText="1"/>
    </xf>
    <xf numFmtId="3" fontId="37" fillId="0" borderId="10" xfId="0" applyNumberFormat="1" applyFont="1" applyBorder="1" applyAlignment="1">
      <alignment horizontal="left" vertical="center" wrapText="1"/>
    </xf>
    <xf numFmtId="0" fontId="170" fillId="0" borderId="97" xfId="0" applyFont="1" applyBorder="1" applyAlignment="1">
      <alignment vertical="center"/>
    </xf>
    <xf numFmtId="3" fontId="36" fillId="0" borderId="78" xfId="0" applyNumberFormat="1" applyFont="1" applyBorder="1" applyAlignment="1">
      <alignment vertical="center"/>
    </xf>
    <xf numFmtId="3" fontId="36" fillId="0" borderId="0" xfId="0" applyNumberFormat="1" applyFont="1" applyAlignment="1">
      <alignment vertical="center"/>
    </xf>
    <xf numFmtId="3" fontId="36" fillId="0" borderId="0" xfId="0" applyNumberFormat="1" applyFont="1" applyAlignment="1">
      <alignment horizontal="center" vertical="center"/>
    </xf>
    <xf numFmtId="3" fontId="36" fillId="0" borderId="0" xfId="0" applyNumberFormat="1" applyFont="1" applyAlignment="1">
      <alignment horizontal="left" vertical="center"/>
    </xf>
    <xf numFmtId="3" fontId="170" fillId="0" borderId="118" xfId="0" applyNumberFormat="1" applyFont="1" applyBorder="1" applyAlignment="1">
      <alignment vertical="center"/>
    </xf>
    <xf numFmtId="3" fontId="39" fillId="0" borderId="126" xfId="0" applyNumberFormat="1" applyFont="1" applyBorder="1" applyAlignment="1">
      <alignment vertical="center"/>
    </xf>
    <xf numFmtId="3" fontId="36" fillId="0" borderId="165" xfId="0" applyNumberFormat="1" applyFont="1" applyBorder="1" applyAlignment="1">
      <alignment vertical="center"/>
    </xf>
    <xf numFmtId="3" fontId="36" fillId="0" borderId="165" xfId="0" applyNumberFormat="1" applyFont="1" applyBorder="1" applyAlignment="1">
      <alignment horizontal="center" vertical="center"/>
    </xf>
    <xf numFmtId="3" fontId="36" fillId="0" borderId="165" xfId="0" applyNumberFormat="1" applyFont="1" applyBorder="1" applyAlignment="1">
      <alignment horizontal="left" vertical="center"/>
    </xf>
    <xf numFmtId="3" fontId="170" fillId="0" borderId="85" xfId="0" applyNumberFormat="1" applyFont="1" applyBorder="1" applyAlignment="1">
      <alignment vertical="center"/>
    </xf>
    <xf numFmtId="17" fontId="34" fillId="24" borderId="10" xfId="74" quotePrefix="1" applyNumberFormat="1" applyFont="1" applyFill="1" applyBorder="1" applyAlignment="1" applyProtection="1">
      <alignment horizontal="center" vertical="center"/>
      <protection locked="0"/>
    </xf>
    <xf numFmtId="3" fontId="36" fillId="24" borderId="77" xfId="0" applyNumberFormat="1" applyFont="1" applyFill="1" applyBorder="1" applyAlignment="1">
      <alignment horizontal="justify" vertical="center" wrapText="1"/>
    </xf>
    <xf numFmtId="3" fontId="36" fillId="24" borderId="12" xfId="0" applyNumberFormat="1" applyFont="1" applyFill="1" applyBorder="1" applyAlignment="1">
      <alignment vertical="center"/>
    </xf>
    <xf numFmtId="3" fontId="36" fillId="24" borderId="12" xfId="0" applyNumberFormat="1" applyFont="1" applyFill="1" applyBorder="1" applyAlignment="1">
      <alignment vertical="center" wrapText="1"/>
    </xf>
    <xf numFmtId="3" fontId="170" fillId="24" borderId="108" xfId="0" applyNumberFormat="1" applyFont="1" applyFill="1" applyBorder="1" applyAlignment="1">
      <alignment horizontal="right" vertical="center" wrapText="1"/>
    </xf>
    <xf numFmtId="3" fontId="36" fillId="0" borderId="166" xfId="0" applyNumberFormat="1" applyFont="1" applyBorder="1" applyAlignment="1">
      <alignment horizontal="justify" vertical="center" wrapText="1"/>
    </xf>
    <xf numFmtId="3" fontId="36" fillId="0" borderId="48" xfId="0" applyNumberFormat="1" applyFont="1" applyBorder="1" applyAlignment="1">
      <alignment horizontal="justify" vertical="center" wrapText="1"/>
    </xf>
    <xf numFmtId="3" fontId="36" fillId="0" borderId="48" xfId="0" applyNumberFormat="1" applyFont="1" applyBorder="1" applyAlignment="1">
      <alignment horizontal="center" vertical="center" wrapText="1"/>
    </xf>
    <xf numFmtId="3" fontId="36" fillId="0" borderId="48" xfId="0" applyNumberFormat="1" applyFont="1" applyBorder="1" applyAlignment="1">
      <alignment vertical="center"/>
    </xf>
    <xf numFmtId="0" fontId="36" fillId="0" borderId="48" xfId="74" applyFont="1" applyBorder="1" applyAlignment="1" applyProtection="1">
      <alignment horizontal="left" vertical="center" wrapText="1"/>
      <protection locked="0"/>
    </xf>
    <xf numFmtId="3" fontId="170" fillId="0" borderId="167" xfId="0" applyNumberFormat="1" applyFont="1" applyBorder="1" applyAlignment="1">
      <alignment vertical="center"/>
    </xf>
    <xf numFmtId="3" fontId="36" fillId="0" borderId="131" xfId="0" applyNumberFormat="1" applyFont="1" applyBorder="1" applyAlignment="1">
      <alignment horizontal="justify" vertical="center" wrapText="1"/>
    </xf>
    <xf numFmtId="3" fontId="36" fillId="0" borderId="129" xfId="0" applyNumberFormat="1" applyFont="1" applyBorder="1" applyAlignment="1">
      <alignment horizontal="justify" vertical="center" wrapText="1"/>
    </xf>
    <xf numFmtId="3" fontId="36" fillId="0" borderId="129" xfId="0" applyNumberFormat="1" applyFont="1" applyBorder="1" applyAlignment="1">
      <alignment horizontal="center" vertical="center" wrapText="1"/>
    </xf>
    <xf numFmtId="3" fontId="36" fillId="0" borderId="129" xfId="0" applyNumberFormat="1" applyFont="1" applyBorder="1" applyAlignment="1">
      <alignment vertical="center"/>
    </xf>
    <xf numFmtId="3" fontId="36" fillId="0" borderId="129" xfId="0" applyNumberFormat="1" applyFont="1" applyBorder="1" applyAlignment="1">
      <alignment horizontal="left" vertical="center" wrapText="1"/>
    </xf>
    <xf numFmtId="3" fontId="170" fillId="0" borderId="132" xfId="0" applyNumberFormat="1" applyFont="1" applyBorder="1" applyAlignment="1">
      <alignment horizontal="right" vertical="center" wrapText="1"/>
    </xf>
    <xf numFmtId="3" fontId="36" fillId="0" borderId="133" xfId="0" applyNumberFormat="1" applyFont="1" applyBorder="1" applyAlignment="1">
      <alignment vertical="center"/>
    </xf>
    <xf numFmtId="3" fontId="36" fillId="0" borderId="130" xfId="0" applyNumberFormat="1" applyFont="1" applyBorder="1" applyAlignment="1">
      <alignment horizontal="center" vertical="center" wrapText="1"/>
    </xf>
    <xf numFmtId="3" fontId="36" fillId="0" borderId="130" xfId="0" applyNumberFormat="1" applyFont="1" applyBorder="1" applyAlignment="1">
      <alignment vertical="center"/>
    </xf>
    <xf numFmtId="3" fontId="36" fillId="0" borderId="130" xfId="0" applyNumberFormat="1" applyFont="1" applyBorder="1" applyAlignment="1">
      <alignment horizontal="justify" vertical="center" wrapText="1"/>
    </xf>
    <xf numFmtId="3" fontId="36" fillId="0" borderId="130" xfId="0" applyNumberFormat="1" applyFont="1" applyBorder="1" applyAlignment="1">
      <alignment horizontal="left" vertical="center" wrapText="1"/>
    </xf>
    <xf numFmtId="3" fontId="36" fillId="0" borderId="134" xfId="0" applyNumberFormat="1" applyFont="1" applyBorder="1" applyAlignment="1">
      <alignment vertical="center"/>
    </xf>
    <xf numFmtId="0" fontId="34" fillId="24" borderId="168" xfId="74" applyFont="1" applyFill="1" applyBorder="1" applyAlignment="1" applyProtection="1">
      <alignment vertical="center"/>
      <protection locked="0"/>
    </xf>
    <xf numFmtId="0" fontId="29" fillId="0" borderId="76" xfId="0" applyFont="1" applyBorder="1" applyAlignment="1">
      <alignment horizontal="justify" vertical="center" wrapText="1"/>
    </xf>
    <xf numFmtId="3" fontId="29" fillId="0" borderId="97" xfId="0" applyNumberFormat="1" applyFont="1" applyBorder="1" applyAlignment="1">
      <alignment vertical="center"/>
    </xf>
    <xf numFmtId="3" fontId="37" fillId="0" borderId="157" xfId="0" applyNumberFormat="1" applyFont="1" applyBorder="1" applyAlignment="1">
      <alignment horizontal="justify" vertical="center" wrapText="1"/>
    </xf>
    <xf numFmtId="3" fontId="37" fillId="0" borderId="169" xfId="0" applyNumberFormat="1" applyFont="1" applyBorder="1" applyAlignment="1">
      <alignment horizontal="justify" vertical="center" wrapText="1"/>
    </xf>
    <xf numFmtId="3" fontId="37" fillId="0" borderId="169" xfId="0" applyNumberFormat="1" applyFont="1" applyBorder="1" applyAlignment="1">
      <alignment horizontal="center" vertical="center" wrapText="1"/>
    </xf>
    <xf numFmtId="3" fontId="37" fillId="0" borderId="156" xfId="0" applyNumberFormat="1" applyFont="1" applyBorder="1" applyAlignment="1">
      <alignment vertical="center"/>
    </xf>
    <xf numFmtId="3" fontId="37" fillId="0" borderId="169" xfId="0" applyNumberFormat="1" applyFont="1" applyBorder="1" applyAlignment="1">
      <alignment horizontal="left" vertical="center" wrapText="1"/>
    </xf>
    <xf numFmtId="3" fontId="73" fillId="0" borderId="156" xfId="0" applyNumberFormat="1" applyFont="1" applyBorder="1" applyAlignment="1">
      <alignment vertical="center"/>
    </xf>
    <xf numFmtId="3" fontId="60" fillId="24" borderId="74" xfId="80" quotePrefix="1" applyNumberFormat="1" applyFont="1" applyFill="1" applyBorder="1" applyAlignment="1">
      <alignment horizontal="left" vertical="center" wrapText="1"/>
    </xf>
    <xf numFmtId="0" fontId="51" fillId="24" borderId="0" xfId="0" applyFont="1" applyFill="1" applyAlignment="1">
      <alignment vertical="center"/>
    </xf>
    <xf numFmtId="3" fontId="36" fillId="0" borderId="25" xfId="0" applyNumberFormat="1" applyFont="1" applyBorder="1" applyAlignment="1">
      <alignment horizontal="left" vertical="center" wrapText="1"/>
    </xf>
    <xf numFmtId="3" fontId="36" fillId="0" borderId="12" xfId="0" applyNumberFormat="1" applyFont="1" applyBorder="1" applyAlignment="1">
      <alignment horizontal="justify" vertical="center" wrapText="1"/>
    </xf>
    <xf numFmtId="3" fontId="36" fillId="0" borderId="12" xfId="0" applyNumberFormat="1" applyFont="1" applyBorder="1" applyAlignment="1">
      <alignment horizontal="center" vertical="center" wrapText="1"/>
    </xf>
    <xf numFmtId="3" fontId="36" fillId="0" borderId="12" xfId="0" applyNumberFormat="1" applyFont="1" applyBorder="1" applyAlignment="1">
      <alignment vertical="center"/>
    </xf>
    <xf numFmtId="3" fontId="36" fillId="0" borderId="74" xfId="0" applyNumberFormat="1" applyFont="1" applyBorder="1" applyAlignment="1">
      <alignment horizontal="justify" vertical="center" wrapText="1"/>
    </xf>
    <xf numFmtId="3" fontId="36" fillId="0" borderId="74" xfId="0" applyNumberFormat="1" applyFont="1" applyBorder="1" applyAlignment="1">
      <alignment horizontal="center" vertical="center" wrapText="1"/>
    </xf>
    <xf numFmtId="3" fontId="36" fillId="0" borderId="74" xfId="0" applyNumberFormat="1" applyFont="1" applyBorder="1" applyAlignment="1">
      <alignment vertical="center"/>
    </xf>
    <xf numFmtId="3" fontId="170" fillId="0" borderId="74" xfId="0" applyNumberFormat="1" applyFont="1" applyBorder="1" applyAlignment="1">
      <alignment horizontal="right" vertical="center" wrapText="1"/>
    </xf>
    <xf numFmtId="3" fontId="36" fillId="0" borderId="79" xfId="0" applyNumberFormat="1" applyFont="1" applyBorder="1" applyAlignment="1">
      <alignment horizontal="justify" vertical="center" wrapText="1"/>
    </xf>
    <xf numFmtId="3" fontId="72" fillId="24" borderId="21" xfId="77" applyNumberFormat="1" applyFont="1" applyFill="1" applyBorder="1" applyAlignment="1">
      <alignment horizontal="center" vertical="center" wrapText="1"/>
    </xf>
    <xf numFmtId="0" fontId="64" fillId="30" borderId="74" xfId="83" applyFont="1" applyFill="1" applyBorder="1" applyAlignment="1">
      <alignment horizontal="center" vertical="center" wrapText="1"/>
    </xf>
    <xf numFmtId="3" fontId="72" fillId="24" borderId="74" xfId="77" applyNumberFormat="1" applyFont="1" applyFill="1" applyBorder="1" applyAlignment="1">
      <alignment horizontal="center" vertical="center" wrapText="1"/>
    </xf>
    <xf numFmtId="0" fontId="85" fillId="0" borderId="141" xfId="0" applyFont="1" applyBorder="1" applyAlignment="1">
      <alignment horizontal="center" vertical="center" wrapText="1"/>
    </xf>
    <xf numFmtId="0" fontId="21" fillId="24" borderId="25" xfId="74" quotePrefix="1" applyFont="1" applyFill="1" applyBorder="1" applyAlignment="1" applyProtection="1">
      <alignment horizontal="center" vertical="center" wrapText="1"/>
      <protection locked="0"/>
    </xf>
    <xf numFmtId="0" fontId="0" fillId="0" borderId="170" xfId="0" applyBorder="1"/>
    <xf numFmtId="0" fontId="0" fillId="0" borderId="125" xfId="0" applyBorder="1"/>
    <xf numFmtId="0" fontId="77" fillId="0" borderId="0" xfId="83" applyFont="1" applyAlignment="1">
      <alignment horizontal="left" vertical="center" wrapText="1"/>
    </xf>
    <xf numFmtId="3" fontId="60" fillId="0" borderId="106" xfId="83" applyNumberFormat="1" applyFont="1" applyBorder="1" applyAlignment="1">
      <alignment horizontal="right" vertical="center" wrapText="1"/>
    </xf>
    <xf numFmtId="167" fontId="60" fillId="0" borderId="171" xfId="83" applyNumberFormat="1" applyFont="1" applyBorder="1" applyAlignment="1">
      <alignment vertical="center" wrapText="1"/>
    </xf>
    <xf numFmtId="167" fontId="74" fillId="0" borderId="124" xfId="83" applyNumberFormat="1" applyFont="1" applyBorder="1" applyAlignment="1">
      <alignment vertical="center" wrapText="1"/>
    </xf>
    <xf numFmtId="167" fontId="74" fillId="0" borderId="170" xfId="83" applyNumberFormat="1" applyFont="1" applyBorder="1" applyAlignment="1">
      <alignment vertical="center" wrapText="1"/>
    </xf>
    <xf numFmtId="167" fontId="74" fillId="0" borderId="125" xfId="83" applyNumberFormat="1" applyFont="1" applyBorder="1" applyAlignment="1">
      <alignment vertical="center" wrapText="1"/>
    </xf>
    <xf numFmtId="0" fontId="63" fillId="0" borderId="118" xfId="83" applyFont="1" applyBorder="1" applyAlignment="1">
      <alignment vertical="center"/>
    </xf>
    <xf numFmtId="0" fontId="63" fillId="0" borderId="118" xfId="83" applyFont="1" applyBorder="1" applyAlignment="1">
      <alignment horizontal="center" vertical="center" wrapText="1"/>
    </xf>
    <xf numFmtId="3" fontId="60" fillId="0" borderId="82" xfId="83" applyNumberFormat="1" applyFont="1" applyBorder="1" applyAlignment="1">
      <alignment horizontal="right" vertical="center" wrapText="1"/>
    </xf>
    <xf numFmtId="3" fontId="60" fillId="0" borderId="172" xfId="83" applyNumberFormat="1" applyFont="1" applyBorder="1" applyAlignment="1">
      <alignment horizontal="right" vertical="center" wrapText="1"/>
    </xf>
    <xf numFmtId="3" fontId="60" fillId="0" borderId="85" xfId="83" applyNumberFormat="1" applyFont="1" applyBorder="1" applyAlignment="1">
      <alignment horizontal="right" vertical="center" wrapText="1"/>
    </xf>
    <xf numFmtId="3" fontId="60" fillId="0" borderId="129" xfId="83" applyNumberFormat="1" applyFont="1" applyBorder="1" applyAlignment="1">
      <alignment horizontal="right" vertical="center" wrapText="1"/>
    </xf>
    <xf numFmtId="3" fontId="60" fillId="0" borderId="132" xfId="83" applyNumberFormat="1" applyFont="1" applyBorder="1" applyAlignment="1">
      <alignment horizontal="right" vertical="center" wrapText="1"/>
    </xf>
    <xf numFmtId="177" fontId="60" fillId="0" borderId="136" xfId="83" applyNumberFormat="1" applyFont="1" applyBorder="1" applyAlignment="1">
      <alignment horizontal="right" vertical="center" wrapText="1"/>
    </xf>
    <xf numFmtId="177" fontId="60" fillId="0" borderId="172" xfId="83" applyNumberFormat="1" applyFont="1" applyBorder="1" applyAlignment="1">
      <alignment horizontal="right" vertical="center" wrapText="1"/>
    </xf>
    <xf numFmtId="177" fontId="60" fillId="0" borderId="85" xfId="83" applyNumberFormat="1" applyFont="1" applyBorder="1" applyAlignment="1">
      <alignment horizontal="right" vertical="center" wrapText="1"/>
    </xf>
    <xf numFmtId="3" fontId="34" fillId="24" borderId="0" xfId="74" applyNumberFormat="1" applyFont="1" applyFill="1" applyAlignment="1" applyProtection="1">
      <alignment horizontal="left" vertical="center"/>
      <protection locked="0"/>
    </xf>
    <xf numFmtId="3" fontId="34" fillId="24" borderId="84" xfId="74" applyNumberFormat="1" applyFont="1" applyFill="1" applyBorder="1" applyAlignment="1" applyProtection="1">
      <alignment horizontal="left" vertical="center"/>
      <protection locked="0"/>
    </xf>
    <xf numFmtId="3" fontId="34" fillId="24" borderId="74" xfId="74" applyNumberFormat="1" applyFont="1" applyFill="1" applyBorder="1" applyAlignment="1" applyProtection="1">
      <alignment horizontal="right" vertical="center"/>
      <protection locked="0"/>
    </xf>
    <xf numFmtId="3" fontId="34" fillId="24" borderId="25" xfId="74" applyNumberFormat="1" applyFont="1" applyFill="1" applyBorder="1" applyAlignment="1" applyProtection="1">
      <alignment horizontal="right" vertical="center"/>
      <protection locked="0"/>
    </xf>
    <xf numFmtId="168" fontId="34" fillId="24" borderId="10" xfId="74" applyNumberFormat="1" applyFont="1" applyFill="1" applyBorder="1" applyAlignment="1">
      <alignment horizontal="right" vertical="center"/>
    </xf>
    <xf numFmtId="0" fontId="184" fillId="0" borderId="83" xfId="0" applyFont="1" applyBorder="1" applyAlignment="1">
      <alignment vertical="center" wrapText="1"/>
    </xf>
    <xf numFmtId="0" fontId="184" fillId="0" borderId="84" xfId="0" applyFont="1" applyBorder="1" applyAlignment="1">
      <alignment horizontal="justify" vertical="center" wrapText="1"/>
    </xf>
    <xf numFmtId="0" fontId="184" fillId="0" borderId="119" xfId="0" applyFont="1" applyBorder="1" applyAlignment="1">
      <alignment vertical="center" wrapText="1"/>
    </xf>
    <xf numFmtId="0" fontId="184" fillId="0" borderId="85" xfId="0" applyFont="1" applyBorder="1" applyAlignment="1">
      <alignment vertical="center" wrapText="1"/>
    </xf>
    <xf numFmtId="0" fontId="184" fillId="0" borderId="85" xfId="0" applyFont="1" applyBorder="1" applyAlignment="1">
      <alignment horizontal="justify" vertical="center" wrapText="1"/>
    </xf>
    <xf numFmtId="3" fontId="184" fillId="0" borderId="84" xfId="0" applyNumberFormat="1" applyFont="1" applyBorder="1" applyAlignment="1">
      <alignment horizontal="right" vertical="center" wrapText="1"/>
    </xf>
    <xf numFmtId="3" fontId="184" fillId="0" borderId="85" xfId="0" applyNumberFormat="1" applyFont="1" applyBorder="1" applyAlignment="1">
      <alignment horizontal="right" vertical="center" wrapText="1"/>
    </xf>
    <xf numFmtId="0" fontId="184" fillId="0" borderId="84" xfId="0" applyFont="1" applyBorder="1" applyAlignment="1">
      <alignment vertical="center" wrapText="1"/>
    </xf>
    <xf numFmtId="0" fontId="185" fillId="0" borderId="84" xfId="0" applyFont="1" applyBorder="1" applyAlignment="1">
      <alignment horizontal="justify" vertical="center" wrapText="1"/>
    </xf>
    <xf numFmtId="0" fontId="185" fillId="0" borderId="85" xfId="0" applyFont="1" applyBorder="1" applyAlignment="1">
      <alignment horizontal="justify" vertical="center" wrapText="1"/>
    </xf>
    <xf numFmtId="0" fontId="34" fillId="24" borderId="0" xfId="74" applyFont="1" applyFill="1" applyAlignment="1" applyProtection="1">
      <alignment horizontal="center" vertical="center" wrapText="1"/>
      <protection locked="0"/>
    </xf>
    <xf numFmtId="167" fontId="90" fillId="24" borderId="0" xfId="83" applyNumberFormat="1" applyFont="1" applyFill="1" applyAlignment="1">
      <alignment horizontal="right" vertical="center"/>
    </xf>
    <xf numFmtId="0" fontId="21" fillId="24" borderId="0" xfId="0" applyFont="1" applyFill="1"/>
    <xf numFmtId="0" fontId="186" fillId="24" borderId="0" xfId="74" applyFont="1" applyFill="1" applyAlignment="1" applyProtection="1">
      <alignment vertical="center"/>
      <protection locked="0"/>
    </xf>
    <xf numFmtId="0" fontId="21" fillId="0" borderId="0" xfId="79" applyFont="1" applyAlignment="1">
      <alignment vertical="center"/>
    </xf>
    <xf numFmtId="167" fontId="90" fillId="0" borderId="145" xfId="79" applyNumberFormat="1" applyFont="1" applyBorder="1" applyAlignment="1">
      <alignment horizontal="left" vertical="center"/>
    </xf>
    <xf numFmtId="167" fontId="34" fillId="0" borderId="146" xfId="79" applyNumberFormat="1" applyFont="1" applyBorder="1" applyAlignment="1">
      <alignment horizontal="center" vertical="center"/>
    </xf>
    <xf numFmtId="0" fontId="85" fillId="0" borderId="146" xfId="0" applyFont="1" applyBorder="1" applyAlignment="1">
      <alignment horizontal="center" vertical="center" wrapText="1"/>
    </xf>
    <xf numFmtId="0" fontId="85" fillId="0" borderId="84" xfId="0" applyFont="1" applyBorder="1" applyAlignment="1">
      <alignment horizontal="center" vertical="center" wrapText="1"/>
    </xf>
    <xf numFmtId="167" fontId="90" fillId="0" borderId="0" xfId="83" applyNumberFormat="1" applyFont="1" applyAlignment="1">
      <alignment horizontal="left" vertical="center"/>
    </xf>
    <xf numFmtId="0" fontId="34" fillId="0" borderId="145" xfId="79" applyFont="1" applyBorder="1" applyAlignment="1">
      <alignment horizontal="center" vertical="center" wrapText="1"/>
    </xf>
    <xf numFmtId="0" fontId="34" fillId="0" borderId="146" xfId="79" applyFont="1" applyBorder="1" applyAlignment="1">
      <alignment horizontal="center" vertical="center" wrapText="1"/>
    </xf>
    <xf numFmtId="0" fontId="85" fillId="0" borderId="146" xfId="83" applyFont="1" applyBorder="1" applyAlignment="1">
      <alignment horizontal="center" vertical="center" wrapText="1"/>
    </xf>
    <xf numFmtId="0" fontId="85" fillId="38" borderId="146" xfId="83" applyFont="1" applyFill="1" applyBorder="1" applyAlignment="1">
      <alignment horizontal="center" vertical="center" wrapText="1"/>
    </xf>
    <xf numFmtId="0" fontId="79" fillId="0" borderId="0" xfId="79" applyFont="1" applyAlignment="1">
      <alignment horizontal="center" vertical="center" textRotation="90" wrapText="1"/>
    </xf>
    <xf numFmtId="0" fontId="85" fillId="0" borderId="13" xfId="83" applyFont="1" applyBorder="1" applyAlignment="1">
      <alignment horizontal="center" vertical="center" wrapText="1"/>
    </xf>
    <xf numFmtId="3" fontId="34" fillId="38" borderId="49" xfId="79" applyNumberFormat="1" applyFont="1" applyFill="1" applyBorder="1" applyAlignment="1">
      <alignment horizontal="center" vertical="center" wrapText="1"/>
    </xf>
    <xf numFmtId="3" fontId="34" fillId="0" borderId="13" xfId="79" applyNumberFormat="1" applyFont="1" applyBorder="1" applyAlignment="1">
      <alignment horizontal="center" vertical="center" wrapText="1"/>
    </xf>
    <xf numFmtId="3" fontId="34" fillId="23" borderId="28" xfId="79" applyNumberFormat="1" applyFont="1" applyFill="1" applyBorder="1" applyAlignment="1">
      <alignment horizontal="right" vertical="center" wrapText="1"/>
    </xf>
    <xf numFmtId="3" fontId="34" fillId="23" borderId="17" xfId="79" applyNumberFormat="1" applyFont="1" applyFill="1" applyBorder="1" applyAlignment="1">
      <alignment horizontal="right" vertical="center" wrapText="1"/>
    </xf>
    <xf numFmtId="3" fontId="34" fillId="32" borderId="28" xfId="79" applyNumberFormat="1" applyFont="1" applyFill="1" applyBorder="1" applyAlignment="1">
      <alignment horizontal="right" vertical="center" wrapText="1"/>
    </xf>
    <xf numFmtId="3" fontId="21" fillId="0" borderId="0" xfId="79" applyNumberFormat="1" applyFont="1" applyAlignment="1">
      <alignment vertical="center"/>
    </xf>
    <xf numFmtId="3" fontId="21" fillId="0" borderId="22" xfId="79" applyNumberFormat="1" applyFont="1" applyBorder="1" applyAlignment="1" applyProtection="1">
      <alignment horizontal="right" vertical="center" wrapText="1"/>
      <protection locked="0"/>
    </xf>
    <xf numFmtId="3" fontId="21" fillId="0" borderId="53" xfId="79" applyNumberFormat="1" applyFont="1" applyBorder="1" applyAlignment="1" applyProtection="1">
      <alignment horizontal="right" vertical="center" wrapText="1"/>
      <protection locked="0"/>
    </xf>
    <xf numFmtId="3" fontId="21" fillId="38" borderId="22" xfId="79" applyNumberFormat="1" applyFont="1" applyFill="1" applyBorder="1" applyAlignment="1" applyProtection="1">
      <alignment horizontal="right" vertical="center" wrapText="1"/>
      <protection locked="0"/>
    </xf>
    <xf numFmtId="3" fontId="21" fillId="0" borderId="22" xfId="79" applyNumberFormat="1" applyFont="1" applyBorder="1" applyAlignment="1">
      <alignment horizontal="right" vertical="center" wrapText="1"/>
    </xf>
    <xf numFmtId="3" fontId="21" fillId="0" borderId="53" xfId="79" applyNumberFormat="1" applyFont="1" applyBorder="1" applyAlignment="1">
      <alignment horizontal="right" vertical="center" wrapText="1"/>
    </xf>
    <xf numFmtId="3" fontId="21" fillId="38" borderId="22" xfId="79" applyNumberFormat="1" applyFont="1" applyFill="1" applyBorder="1" applyAlignment="1">
      <alignment horizontal="right" vertical="center" wrapText="1"/>
    </xf>
    <xf numFmtId="3" fontId="21" fillId="0" borderId="27" xfId="79" applyNumberFormat="1" applyFont="1" applyBorder="1" applyAlignment="1" applyProtection="1">
      <alignment horizontal="right" vertical="center" wrapText="1"/>
      <protection locked="0"/>
    </xf>
    <xf numFmtId="3" fontId="21" fillId="0" borderId="54" xfId="79" applyNumberFormat="1" applyFont="1" applyBorder="1" applyAlignment="1" applyProtection="1">
      <alignment horizontal="right" vertical="center" wrapText="1"/>
      <protection locked="0"/>
    </xf>
    <xf numFmtId="3" fontId="21" fillId="38" borderId="27" xfId="79" applyNumberFormat="1" applyFont="1" applyFill="1" applyBorder="1" applyAlignment="1" applyProtection="1">
      <alignment horizontal="right" vertical="center" wrapText="1"/>
      <protection locked="0"/>
    </xf>
    <xf numFmtId="0" fontId="96" fillId="0" borderId="0" xfId="83" applyFont="1" applyAlignment="1">
      <alignment horizontal="right" vertical="center" wrapText="1"/>
    </xf>
    <xf numFmtId="3" fontId="34" fillId="3" borderId="28" xfId="79" applyNumberFormat="1" applyFont="1" applyFill="1" applyBorder="1" applyAlignment="1">
      <alignment horizontal="right" vertical="center" wrapText="1"/>
    </xf>
    <xf numFmtId="3" fontId="34" fillId="3" borderId="17" xfId="79" applyNumberFormat="1" applyFont="1" applyFill="1" applyBorder="1" applyAlignment="1">
      <alignment horizontal="right" vertical="center" wrapText="1"/>
    </xf>
    <xf numFmtId="3" fontId="34" fillId="42" borderId="28" xfId="79" applyNumberFormat="1" applyFont="1" applyFill="1" applyBorder="1" applyAlignment="1">
      <alignment horizontal="right" vertical="center" wrapText="1"/>
    </xf>
    <xf numFmtId="3" fontId="34" fillId="0" borderId="0" xfId="79" applyNumberFormat="1" applyFont="1" applyAlignment="1">
      <alignment horizontal="right" vertical="center" wrapText="1"/>
    </xf>
    <xf numFmtId="0" fontId="21" fillId="38" borderId="0" xfId="79" applyFont="1" applyFill="1" applyAlignment="1">
      <alignment vertical="center"/>
    </xf>
    <xf numFmtId="168" fontId="21" fillId="0" borderId="0" xfId="79" applyNumberFormat="1" applyFont="1" applyAlignment="1">
      <alignment vertical="center"/>
    </xf>
    <xf numFmtId="3" fontId="34" fillId="38" borderId="37" xfId="79" applyNumberFormat="1" applyFont="1" applyFill="1" applyBorder="1" applyAlignment="1">
      <alignment horizontal="center" vertical="center" wrapText="1"/>
    </xf>
    <xf numFmtId="0" fontId="34" fillId="0" borderId="33" xfId="79" applyFont="1" applyBorder="1" applyAlignment="1">
      <alignment horizontal="center" vertical="center" wrapText="1"/>
    </xf>
    <xf numFmtId="3" fontId="21" fillId="0" borderId="59" xfId="79" applyNumberFormat="1" applyFont="1" applyBorder="1" applyAlignment="1" applyProtection="1">
      <alignment horizontal="right" vertical="center" wrapText="1"/>
      <protection locked="0"/>
    </xf>
    <xf numFmtId="3" fontId="21" fillId="0" borderId="173" xfId="79" applyNumberFormat="1" applyFont="1" applyBorder="1" applyAlignment="1" applyProtection="1">
      <alignment horizontal="right" vertical="center" wrapText="1"/>
      <protection locked="0"/>
    </xf>
    <xf numFmtId="3" fontId="21" fillId="38" borderId="59" xfId="79" applyNumberFormat="1" applyFont="1" applyFill="1" applyBorder="1" applyAlignment="1" applyProtection="1">
      <alignment horizontal="right" vertical="center" wrapText="1"/>
      <protection locked="0"/>
    </xf>
    <xf numFmtId="3" fontId="21" fillId="0" borderId="29" xfId="79" applyNumberFormat="1" applyFont="1" applyBorder="1" applyAlignment="1" applyProtection="1">
      <alignment horizontal="right" vertical="center" wrapText="1"/>
      <protection locked="0"/>
    </xf>
    <xf numFmtId="3" fontId="21" fillId="0" borderId="46" xfId="79" applyNumberFormat="1" applyFont="1" applyBorder="1" applyAlignment="1" applyProtection="1">
      <alignment horizontal="right" vertical="center" wrapText="1"/>
      <protection locked="0"/>
    </xf>
    <xf numFmtId="3" fontId="21" fillId="38" borderId="29" xfId="79" applyNumberFormat="1" applyFont="1" applyFill="1" applyBorder="1" applyAlignment="1" applyProtection="1">
      <alignment horizontal="right" vertical="center" wrapText="1"/>
      <protection locked="0"/>
    </xf>
    <xf numFmtId="3" fontId="21" fillId="38" borderId="54" xfId="79" applyNumberFormat="1" applyFont="1" applyFill="1" applyBorder="1" applyAlignment="1" applyProtection="1">
      <alignment horizontal="right" vertical="center" wrapText="1"/>
      <protection locked="0"/>
    </xf>
    <xf numFmtId="3" fontId="34" fillId="0" borderId="0" xfId="79" applyNumberFormat="1" applyFont="1" applyAlignment="1">
      <alignment vertical="center"/>
    </xf>
    <xf numFmtId="3" fontId="21" fillId="0" borderId="31" xfId="79" applyNumberFormat="1" applyFont="1" applyBorder="1" applyAlignment="1" applyProtection="1">
      <alignment horizontal="right" vertical="center" wrapText="1"/>
      <protection locked="0"/>
    </xf>
    <xf numFmtId="0" fontId="21" fillId="24" borderId="0" xfId="79" applyFont="1" applyFill="1" applyAlignment="1">
      <alignment vertical="center"/>
    </xf>
    <xf numFmtId="3" fontId="21" fillId="0" borderId="0" xfId="79" applyNumberFormat="1" applyFont="1" applyAlignment="1">
      <alignment horizontal="right" vertical="center"/>
    </xf>
    <xf numFmtId="10" fontId="21" fillId="0" borderId="0" xfId="79" applyNumberFormat="1" applyFont="1" applyAlignment="1">
      <alignment vertical="center"/>
    </xf>
    <xf numFmtId="3" fontId="34" fillId="0" borderId="17" xfId="79" applyNumberFormat="1" applyFont="1" applyBorder="1" applyAlignment="1">
      <alignment horizontal="right" vertical="center" wrapText="1"/>
    </xf>
    <xf numFmtId="3" fontId="34" fillId="0" borderId="28" xfId="79" applyNumberFormat="1" applyFont="1" applyBorder="1" applyAlignment="1">
      <alignment horizontal="right" vertical="center" wrapText="1"/>
    </xf>
    <xf numFmtId="0" fontId="34" fillId="0" borderId="74" xfId="79" applyFont="1" applyBorder="1" applyAlignment="1">
      <alignment horizontal="justify" vertical="center" wrapText="1"/>
    </xf>
    <xf numFmtId="3" fontId="34" fillId="0" borderId="74" xfId="79" applyNumberFormat="1" applyFont="1" applyBorder="1" applyAlignment="1">
      <alignment horizontal="right" vertical="center" wrapText="1"/>
    </xf>
    <xf numFmtId="3" fontId="34" fillId="38" borderId="74" xfId="79" applyNumberFormat="1" applyFont="1" applyFill="1" applyBorder="1" applyAlignment="1">
      <alignment horizontal="right" vertical="center" wrapText="1"/>
    </xf>
    <xf numFmtId="0" fontId="34" fillId="0" borderId="74" xfId="79" applyFont="1" applyBorder="1" applyAlignment="1">
      <alignment vertical="center" wrapText="1"/>
    </xf>
    <xf numFmtId="176" fontId="34" fillId="0" borderId="19" xfId="79" applyNumberFormat="1" applyFont="1" applyBorder="1" applyAlignment="1">
      <alignment horizontal="right" vertical="center" wrapText="1"/>
    </xf>
    <xf numFmtId="169" fontId="34" fillId="0" borderId="19" xfId="79" applyNumberFormat="1" applyFont="1" applyBorder="1" applyAlignment="1">
      <alignment horizontal="right" vertical="center" wrapText="1"/>
    </xf>
    <xf numFmtId="0" fontId="21" fillId="0" borderId="0" xfId="79" applyFont="1" applyAlignment="1">
      <alignment horizontal="center" vertical="center"/>
    </xf>
    <xf numFmtId="3" fontId="34" fillId="0" borderId="0" xfId="79" applyNumberFormat="1" applyFont="1" applyAlignment="1">
      <alignment horizontal="right" vertical="center"/>
    </xf>
    <xf numFmtId="3" fontId="187" fillId="0" borderId="0" xfId="79" applyNumberFormat="1" applyFont="1" applyAlignment="1">
      <alignment horizontal="right" vertical="center"/>
    </xf>
    <xf numFmtId="0" fontId="21" fillId="0" borderId="0" xfId="79" applyFont="1" applyAlignment="1">
      <alignment horizontal="right" vertical="center"/>
    </xf>
    <xf numFmtId="3" fontId="101" fillId="0" borderId="0" xfId="79" applyNumberFormat="1" applyFont="1" applyAlignment="1">
      <alignment horizontal="right" vertical="center"/>
    </xf>
    <xf numFmtId="3" fontId="21" fillId="24" borderId="0" xfId="79" applyNumberFormat="1" applyFont="1" applyFill="1" applyAlignment="1">
      <alignment vertical="center"/>
    </xf>
    <xf numFmtId="0" fontId="21" fillId="24" borderId="93" xfId="79" applyFont="1" applyFill="1" applyBorder="1" applyAlignment="1">
      <alignment vertical="center"/>
    </xf>
    <xf numFmtId="0" fontId="21" fillId="24" borderId="160" xfId="79" applyFont="1" applyFill="1" applyBorder="1" applyAlignment="1">
      <alignment vertical="center"/>
    </xf>
    <xf numFmtId="169" fontId="34" fillId="38" borderId="174" xfId="79" applyNumberFormat="1" applyFont="1" applyFill="1" applyBorder="1" applyAlignment="1">
      <alignment horizontal="right" vertical="center" wrapText="1"/>
    </xf>
    <xf numFmtId="3" fontId="89" fillId="24" borderId="25" xfId="74" applyNumberFormat="1" applyFont="1" applyFill="1" applyBorder="1" applyAlignment="1" applyProtection="1">
      <alignment horizontal="right" vertical="center"/>
      <protection locked="0"/>
    </xf>
    <xf numFmtId="0" fontId="23" fillId="0" borderId="0" xfId="83" applyAlignment="1">
      <alignment vertical="center"/>
    </xf>
    <xf numFmtId="3" fontId="60" fillId="31" borderId="74" xfId="83" applyNumberFormat="1" applyFont="1" applyFill="1" applyBorder="1" applyAlignment="1" applyProtection="1">
      <alignment horizontal="right" vertical="center" wrapText="1"/>
      <protection locked="0"/>
    </xf>
    <xf numFmtId="0" fontId="29" fillId="0" borderId="0" xfId="0" applyFont="1" applyAlignment="1">
      <alignment vertical="center"/>
    </xf>
    <xf numFmtId="0" fontId="29" fillId="0" borderId="0" xfId="0" applyFont="1" applyAlignment="1">
      <alignment horizontal="center" vertical="center"/>
    </xf>
    <xf numFmtId="0" fontId="29" fillId="0" borderId="0" xfId="0" applyFont="1"/>
    <xf numFmtId="0" fontId="29" fillId="0" borderId="74" xfId="0" applyFont="1" applyBorder="1" applyAlignment="1">
      <alignment vertical="center"/>
    </xf>
    <xf numFmtId="0" fontId="21" fillId="0" borderId="0" xfId="0" applyFont="1" applyAlignment="1">
      <alignment vertical="center"/>
    </xf>
    <xf numFmtId="3" fontId="34" fillId="0" borderId="0" xfId="79" applyNumberFormat="1" applyFont="1" applyAlignment="1">
      <alignment horizontal="left" vertical="center"/>
    </xf>
    <xf numFmtId="3" fontId="64" fillId="0" borderId="0" xfId="76" applyNumberFormat="1" applyFont="1" applyAlignment="1" applyProtection="1">
      <alignment vertical="center"/>
      <protection locked="0"/>
    </xf>
    <xf numFmtId="3" fontId="65" fillId="0" borderId="0" xfId="76" applyNumberFormat="1" applyFont="1" applyAlignment="1" applyProtection="1">
      <alignment vertical="center"/>
      <protection locked="0"/>
    </xf>
    <xf numFmtId="0" fontId="34" fillId="0" borderId="138" xfId="0" applyFont="1" applyBorder="1" applyAlignment="1">
      <alignment horizontal="center"/>
    </xf>
    <xf numFmtId="3" fontId="190" fillId="30" borderId="10" xfId="74" applyNumberFormat="1" applyFont="1" applyFill="1" applyBorder="1" applyAlignment="1" applyProtection="1">
      <alignment horizontal="right" vertical="center"/>
      <protection locked="0"/>
    </xf>
    <xf numFmtId="3" fontId="36" fillId="0" borderId="77" xfId="0" applyNumberFormat="1" applyFont="1" applyBorder="1" applyAlignment="1">
      <alignment vertical="center"/>
    </xf>
    <xf numFmtId="3" fontId="36" fillId="0" borderId="12" xfId="0" applyNumberFormat="1" applyFont="1" applyBorder="1" applyAlignment="1">
      <alignment vertical="center" wrapText="1"/>
    </xf>
    <xf numFmtId="3" fontId="36" fillId="0" borderId="108" xfId="0" applyNumberFormat="1" applyFont="1" applyBorder="1" applyAlignment="1">
      <alignment vertical="center"/>
    </xf>
    <xf numFmtId="3" fontId="36" fillId="0" borderId="10" xfId="0" applyNumberFormat="1" applyFont="1" applyBorder="1" applyAlignment="1">
      <alignment vertical="center" wrapText="1"/>
    </xf>
    <xf numFmtId="3" fontId="58" fillId="23" borderId="62" xfId="79" applyNumberFormat="1" applyFont="1" applyFill="1" applyBorder="1" applyAlignment="1">
      <alignment horizontal="right" vertical="center" wrapText="1"/>
    </xf>
    <xf numFmtId="3" fontId="61" fillId="0" borderId="24" xfId="79" applyNumberFormat="1" applyFont="1" applyBorder="1" applyAlignment="1" applyProtection="1">
      <alignment horizontal="right" vertical="center" wrapText="1"/>
      <protection locked="0"/>
    </xf>
    <xf numFmtId="3" fontId="61" fillId="0" borderId="24" xfId="79" applyNumberFormat="1" applyFont="1" applyBorder="1" applyAlignment="1">
      <alignment horizontal="right" vertical="center" wrapText="1"/>
    </xf>
    <xf numFmtId="3" fontId="23" fillId="0" borderId="24" xfId="79" applyNumberFormat="1" applyFont="1" applyBorder="1" applyAlignment="1" applyProtection="1">
      <alignment horizontal="right" vertical="center" wrapText="1"/>
      <protection locked="0"/>
    </xf>
    <xf numFmtId="3" fontId="23" fillId="0" borderId="40" xfId="79" applyNumberFormat="1" applyFont="1" applyBorder="1" applyAlignment="1" applyProtection="1">
      <alignment horizontal="right" vertical="center" wrapText="1"/>
      <protection locked="0"/>
    </xf>
    <xf numFmtId="3" fontId="58" fillId="3" borderId="62" xfId="79" applyNumberFormat="1" applyFont="1" applyFill="1" applyBorder="1" applyAlignment="1">
      <alignment horizontal="right" vertical="center" wrapText="1"/>
    </xf>
    <xf numFmtId="3" fontId="57" fillId="3" borderId="62" xfId="79" applyNumberFormat="1" applyFont="1" applyFill="1" applyBorder="1" applyAlignment="1">
      <alignment horizontal="right" vertical="center" wrapText="1"/>
    </xf>
    <xf numFmtId="0" fontId="59" fillId="0" borderId="88" xfId="83" applyFont="1" applyBorder="1" applyAlignment="1">
      <alignment horizontal="center" vertical="center" wrapText="1"/>
    </xf>
    <xf numFmtId="3" fontId="58" fillId="0" borderId="61" xfId="79" applyNumberFormat="1" applyFont="1" applyBorder="1" applyAlignment="1">
      <alignment horizontal="center" vertical="center" wrapText="1"/>
    </xf>
    <xf numFmtId="3" fontId="61" fillId="0" borderId="86" xfId="79" applyNumberFormat="1" applyFont="1" applyBorder="1" applyAlignment="1" applyProtection="1">
      <alignment horizontal="right" vertical="center" wrapText="1"/>
      <protection locked="0"/>
    </xf>
    <xf numFmtId="3" fontId="61" fillId="0" borderId="40" xfId="79" applyNumberFormat="1" applyFont="1" applyBorder="1" applyAlignment="1" applyProtection="1">
      <alignment horizontal="right" vertical="center" wrapText="1"/>
      <protection locked="0"/>
    </xf>
    <xf numFmtId="3" fontId="61" fillId="0" borderId="87" xfId="79" applyNumberFormat="1" applyFont="1" applyBorder="1" applyAlignment="1" applyProtection="1">
      <alignment horizontal="right" vertical="center" wrapText="1"/>
      <protection locked="0"/>
    </xf>
    <xf numFmtId="3" fontId="61" fillId="0" borderId="71" xfId="79" applyNumberFormat="1" applyFont="1" applyBorder="1" applyAlignment="1" applyProtection="1">
      <alignment horizontal="right" vertical="center" wrapText="1"/>
      <protection locked="0"/>
    </xf>
    <xf numFmtId="167" fontId="85" fillId="0" borderId="0" xfId="76" applyNumberFormat="1" applyFont="1" applyAlignment="1">
      <alignment horizontal="center" vertical="center"/>
    </xf>
    <xf numFmtId="0" fontId="47" fillId="32" borderId="10" xfId="74" applyFont="1" applyFill="1" applyBorder="1" applyAlignment="1" applyProtection="1">
      <alignment horizontal="center" vertical="center" wrapText="1"/>
      <protection locked="0"/>
    </xf>
    <xf numFmtId="3" fontId="34" fillId="0" borderId="74" xfId="0" applyNumberFormat="1" applyFont="1" applyBorder="1" applyAlignment="1">
      <alignment horizontal="center" vertical="center"/>
    </xf>
    <xf numFmtId="0" fontId="34" fillId="0" borderId="175" xfId="0" applyFont="1" applyBorder="1" applyAlignment="1">
      <alignment horizontal="center" vertical="center" wrapText="1"/>
    </xf>
    <xf numFmtId="0" fontId="21" fillId="0" borderId="175" xfId="0" applyFont="1" applyBorder="1" applyAlignment="1">
      <alignment vertical="center" wrapText="1"/>
    </xf>
    <xf numFmtId="0" fontId="34" fillId="0" borderId="175" xfId="0" applyFont="1" applyBorder="1" applyAlignment="1">
      <alignment horizontal="justify" vertical="center" wrapText="1"/>
    </xf>
    <xf numFmtId="3" fontId="59" fillId="24" borderId="167" xfId="80" applyNumberFormat="1" applyFont="1" applyFill="1" applyBorder="1" applyAlignment="1">
      <alignment horizontal="right" vertical="center"/>
    </xf>
    <xf numFmtId="3" fontId="59" fillId="24" borderId="79" xfId="80" applyNumberFormat="1" applyFont="1" applyFill="1" applyBorder="1" applyAlignment="1">
      <alignment horizontal="center" vertical="center"/>
    </xf>
    <xf numFmtId="3" fontId="58" fillId="24" borderId="75" xfId="80" applyNumberFormat="1" applyFont="1" applyFill="1" applyBorder="1" applyAlignment="1">
      <alignment horizontal="center" vertical="center"/>
    </xf>
    <xf numFmtId="3" fontId="59" fillId="24" borderId="79" xfId="80" applyNumberFormat="1" applyFont="1" applyFill="1" applyBorder="1" applyAlignment="1">
      <alignment horizontal="center" vertical="center" wrapText="1"/>
    </xf>
    <xf numFmtId="0" fontId="59" fillId="24" borderId="114" xfId="83" applyFont="1" applyFill="1" applyBorder="1" applyAlignment="1">
      <alignment horizontal="center" vertical="center" wrapText="1"/>
    </xf>
    <xf numFmtId="3" fontId="77" fillId="24" borderId="176" xfId="80" applyNumberFormat="1" applyFont="1" applyFill="1" applyBorder="1" applyAlignment="1">
      <alignment horizontal="center" vertical="center" wrapText="1"/>
    </xf>
    <xf numFmtId="3" fontId="77" fillId="24" borderId="97" xfId="80" applyNumberFormat="1" applyFont="1" applyFill="1" applyBorder="1" applyAlignment="1">
      <alignment horizontal="center" vertical="center" wrapText="1"/>
    </xf>
    <xf numFmtId="3" fontId="59" fillId="24" borderId="76" xfId="80" applyNumberFormat="1" applyFont="1" applyFill="1" applyBorder="1" applyAlignment="1">
      <alignment horizontal="center" vertical="center" wrapText="1"/>
    </xf>
    <xf numFmtId="3" fontId="63" fillId="24" borderId="118" xfId="80" applyNumberFormat="1" applyFont="1" applyFill="1" applyBorder="1" applyAlignment="1">
      <alignment horizontal="center" vertical="center" wrapText="1"/>
    </xf>
    <xf numFmtId="3" fontId="77" fillId="24" borderId="76" xfId="80" applyNumberFormat="1" applyFont="1" applyFill="1" applyBorder="1" applyAlignment="1">
      <alignment horizontal="center" vertical="center" wrapText="1"/>
    </xf>
    <xf numFmtId="168" fontId="65" fillId="24" borderId="97" xfId="80" applyNumberFormat="1" applyFont="1" applyFill="1" applyBorder="1" applyAlignment="1">
      <alignment horizontal="right" vertical="center" wrapText="1"/>
    </xf>
    <xf numFmtId="168" fontId="66" fillId="24" borderId="97" xfId="80" applyNumberFormat="1" applyFont="1" applyFill="1" applyBorder="1" applyAlignment="1" applyProtection="1">
      <alignment horizontal="right" vertical="center" wrapText="1"/>
      <protection locked="0"/>
    </xf>
    <xf numFmtId="168" fontId="65" fillId="24" borderId="97" xfId="80" applyNumberFormat="1" applyFont="1" applyFill="1" applyBorder="1" applyAlignment="1" applyProtection="1">
      <alignment horizontal="right" vertical="center" wrapText="1"/>
      <protection locked="0"/>
    </xf>
    <xf numFmtId="3" fontId="65" fillId="24" borderId="76" xfId="80" applyNumberFormat="1" applyFont="1" applyFill="1" applyBorder="1" applyAlignment="1">
      <alignment horizontal="center" vertical="center" wrapText="1"/>
    </xf>
    <xf numFmtId="3" fontId="82" fillId="24" borderId="76" xfId="80" applyNumberFormat="1" applyFont="1" applyFill="1" applyBorder="1" applyAlignment="1">
      <alignment horizontal="center" vertical="center" wrapText="1"/>
    </xf>
    <xf numFmtId="168" fontId="60" fillId="24" borderId="97" xfId="80" applyNumberFormat="1" applyFont="1" applyFill="1" applyBorder="1" applyAlignment="1" applyProtection="1">
      <alignment horizontal="right" vertical="center" wrapText="1"/>
      <protection locked="0"/>
    </xf>
    <xf numFmtId="3" fontId="81" fillId="24" borderId="77" xfId="80" applyNumberFormat="1" applyFont="1" applyFill="1" applyBorder="1" applyAlignment="1">
      <alignment vertical="center" wrapText="1"/>
    </xf>
    <xf numFmtId="3" fontId="66" fillId="24" borderId="78" xfId="80" applyNumberFormat="1" applyFont="1" applyFill="1" applyBorder="1" applyAlignment="1">
      <alignment horizontal="center" vertical="center" wrapText="1"/>
    </xf>
    <xf numFmtId="3" fontId="160" fillId="24" borderId="78" xfId="80" applyNumberFormat="1" applyFont="1" applyFill="1" applyBorder="1" applyAlignment="1">
      <alignment horizontal="left" vertical="center" wrapText="1"/>
    </xf>
    <xf numFmtId="3" fontId="59" fillId="24" borderId="75" xfId="80" applyNumberFormat="1" applyFont="1" applyFill="1" applyBorder="1" applyAlignment="1">
      <alignment horizontal="center" vertical="center" wrapText="1"/>
    </xf>
    <xf numFmtId="3" fontId="59" fillId="24" borderId="114" xfId="80" applyNumberFormat="1" applyFont="1" applyFill="1" applyBorder="1" applyAlignment="1">
      <alignment horizontal="center" vertical="center" wrapText="1"/>
    </xf>
    <xf numFmtId="3" fontId="65" fillId="24" borderId="77" xfId="80" applyNumberFormat="1" applyFont="1" applyFill="1" applyBorder="1" applyAlignment="1">
      <alignment horizontal="center" vertical="center" wrapText="1"/>
    </xf>
    <xf numFmtId="168" fontId="60" fillId="24" borderId="108" xfId="80" applyNumberFormat="1" applyFont="1" applyFill="1" applyBorder="1" applyAlignment="1" applyProtection="1">
      <alignment horizontal="right" vertical="center" wrapText="1"/>
      <protection locked="0"/>
    </xf>
    <xf numFmtId="3" fontId="23" fillId="24" borderId="166" xfId="80" applyNumberFormat="1" applyFill="1" applyBorder="1" applyAlignment="1">
      <alignment horizontal="left" vertical="center" wrapText="1"/>
    </xf>
    <xf numFmtId="168" fontId="23" fillId="24" borderId="167" xfId="80" applyNumberFormat="1" applyFill="1" applyBorder="1" applyAlignment="1">
      <alignment vertical="center" wrapText="1"/>
    </xf>
    <xf numFmtId="3" fontId="60" fillId="24" borderId="25" xfId="80" applyNumberFormat="1" applyFont="1" applyFill="1" applyBorder="1" applyAlignment="1">
      <alignment horizontal="center" vertical="center" wrapText="1"/>
    </xf>
    <xf numFmtId="0" fontId="34" fillId="0" borderId="177" xfId="0" applyFont="1" applyBorder="1" applyAlignment="1">
      <alignment horizontal="center" vertical="center"/>
    </xf>
    <xf numFmtId="0" fontId="59" fillId="24" borderId="97" xfId="83" applyFont="1" applyFill="1" applyBorder="1" applyAlignment="1">
      <alignment horizontal="center" vertical="center" wrapText="1"/>
    </xf>
    <xf numFmtId="3" fontId="63" fillId="24" borderId="97" xfId="80" applyNumberFormat="1" applyFont="1" applyFill="1" applyBorder="1" applyAlignment="1">
      <alignment horizontal="center" vertical="center" wrapText="1"/>
    </xf>
    <xf numFmtId="168" fontId="60" fillId="24" borderId="97" xfId="80" applyNumberFormat="1" applyFont="1" applyFill="1" applyBorder="1" applyAlignment="1">
      <alignment vertical="center" wrapText="1"/>
    </xf>
    <xf numFmtId="3" fontId="81" fillId="24" borderId="97" xfId="80" applyNumberFormat="1" applyFont="1" applyFill="1" applyBorder="1" applyAlignment="1">
      <alignment horizontal="justify" vertical="center" wrapText="1"/>
    </xf>
    <xf numFmtId="0" fontId="34" fillId="0" borderId="75" xfId="0" applyFont="1" applyBorder="1" applyAlignment="1">
      <alignment horizontal="center" vertical="center"/>
    </xf>
    <xf numFmtId="3" fontId="65" fillId="24" borderId="97" xfId="80" applyNumberFormat="1" applyFont="1" applyFill="1" applyBorder="1" applyAlignment="1">
      <alignment horizontal="center" vertical="center" wrapText="1"/>
    </xf>
    <xf numFmtId="176" fontId="59" fillId="24" borderId="130" xfId="80" applyNumberFormat="1" applyFont="1" applyFill="1" applyBorder="1" applyAlignment="1" applyProtection="1">
      <alignment horizontal="right" vertical="center" wrapText="1"/>
      <protection locked="0"/>
    </xf>
    <xf numFmtId="177" fontId="59" fillId="24" borderId="130" xfId="80" applyNumberFormat="1" applyFont="1" applyFill="1" applyBorder="1" applyAlignment="1" applyProtection="1">
      <alignment horizontal="right" vertical="center" wrapText="1"/>
      <protection locked="0"/>
    </xf>
    <xf numFmtId="3" fontId="77" fillId="24" borderId="25" xfId="80" applyNumberFormat="1" applyFont="1" applyFill="1" applyBorder="1" applyAlignment="1">
      <alignment horizontal="center" vertical="center" wrapText="1"/>
    </xf>
    <xf numFmtId="3" fontId="77" fillId="24" borderId="120" xfId="80" applyNumberFormat="1" applyFont="1" applyFill="1" applyBorder="1" applyAlignment="1">
      <alignment horizontal="center" vertical="center" wrapText="1"/>
    </xf>
    <xf numFmtId="0" fontId="64" fillId="24" borderId="97" xfId="83" applyFont="1" applyFill="1" applyBorder="1" applyAlignment="1">
      <alignment horizontal="center" vertical="center" wrapText="1"/>
    </xf>
    <xf numFmtId="3" fontId="59" fillId="24" borderId="97" xfId="80" applyNumberFormat="1" applyFont="1" applyFill="1" applyBorder="1" applyAlignment="1">
      <alignment horizontal="center" vertical="center" wrapText="1"/>
    </xf>
    <xf numFmtId="3" fontId="84" fillId="24" borderId="97" xfId="80" applyNumberFormat="1" applyFont="1" applyFill="1" applyBorder="1" applyAlignment="1">
      <alignment vertical="center" wrapText="1"/>
    </xf>
    <xf numFmtId="0" fontId="34" fillId="0" borderId="75" xfId="0" applyFont="1" applyBorder="1" applyAlignment="1">
      <alignment horizontal="center" vertical="center" wrapText="1"/>
    </xf>
    <xf numFmtId="168" fontId="60" fillId="24" borderId="97" xfId="80" applyNumberFormat="1" applyFont="1" applyFill="1" applyBorder="1" applyAlignment="1">
      <alignment horizontal="right" vertical="center" wrapText="1"/>
    </xf>
    <xf numFmtId="4" fontId="59" fillId="24" borderId="130" xfId="80" applyNumberFormat="1" applyFont="1" applyFill="1" applyBorder="1" applyAlignment="1" applyProtection="1">
      <alignment horizontal="right" vertical="center" wrapText="1"/>
      <protection locked="0"/>
    </xf>
    <xf numFmtId="3" fontId="84" fillId="24" borderId="97" xfId="80" applyNumberFormat="1" applyFont="1" applyFill="1" applyBorder="1" applyAlignment="1">
      <alignment horizontal="left" vertical="center" wrapText="1"/>
    </xf>
    <xf numFmtId="0" fontId="34" fillId="0" borderId="178" xfId="0" applyFont="1" applyBorder="1" applyAlignment="1">
      <alignment horizontal="center" vertical="center"/>
    </xf>
    <xf numFmtId="0" fontId="64" fillId="24" borderId="75" xfId="83" applyFont="1" applyFill="1" applyBorder="1" applyAlignment="1">
      <alignment horizontal="center" vertical="center" wrapText="1"/>
    </xf>
    <xf numFmtId="3" fontId="77" fillId="24" borderId="75" xfId="80" applyNumberFormat="1" applyFont="1" applyFill="1" applyBorder="1" applyAlignment="1">
      <alignment horizontal="center" vertical="center" wrapText="1"/>
    </xf>
    <xf numFmtId="168" fontId="65" fillId="24" borderId="75" xfId="80" applyNumberFormat="1" applyFont="1" applyFill="1" applyBorder="1" applyAlignment="1">
      <alignment horizontal="right" vertical="center" wrapText="1"/>
    </xf>
    <xf numFmtId="168" fontId="60" fillId="24" borderId="75" xfId="80" applyNumberFormat="1" applyFont="1" applyFill="1" applyBorder="1" applyAlignment="1" applyProtection="1">
      <alignment horizontal="right" vertical="center" wrapText="1"/>
      <protection locked="0"/>
    </xf>
    <xf numFmtId="3" fontId="84" fillId="24" borderId="75" xfId="80" applyNumberFormat="1" applyFont="1" applyFill="1" applyBorder="1" applyAlignment="1">
      <alignment vertical="center" wrapText="1"/>
    </xf>
    <xf numFmtId="168" fontId="60" fillId="24" borderId="75" xfId="80" applyNumberFormat="1" applyFont="1" applyFill="1" applyBorder="1" applyAlignment="1">
      <alignment horizontal="right" vertical="center" wrapText="1"/>
    </xf>
    <xf numFmtId="167" fontId="64" fillId="0" borderId="74" xfId="83" applyNumberFormat="1" applyFont="1" applyBorder="1" applyAlignment="1">
      <alignment horizontal="center" vertical="center" wrapText="1"/>
    </xf>
    <xf numFmtId="167" fontId="59" fillId="31" borderId="74" xfId="83" applyNumberFormat="1" applyFont="1" applyFill="1" applyBorder="1" applyAlignment="1">
      <alignment horizontal="center" vertical="center" wrapText="1"/>
    </xf>
    <xf numFmtId="3" fontId="59" fillId="31" borderId="74" xfId="83" applyNumberFormat="1" applyFont="1" applyFill="1" applyBorder="1" applyAlignment="1">
      <alignment horizontal="center" vertical="center" wrapText="1"/>
    </xf>
    <xf numFmtId="3" fontId="59" fillId="37" borderId="74" xfId="83" applyNumberFormat="1" applyFont="1" applyFill="1" applyBorder="1" applyAlignment="1">
      <alignment horizontal="center" vertical="center" wrapText="1"/>
    </xf>
    <xf numFmtId="0" fontId="0" fillId="0" borderId="74" xfId="0" applyBorder="1"/>
    <xf numFmtId="0" fontId="59" fillId="0" borderId="74" xfId="83" applyFont="1" applyBorder="1" applyAlignment="1">
      <alignment horizontal="center" vertical="center" wrapText="1"/>
    </xf>
    <xf numFmtId="0" fontId="59" fillId="30" borderId="74" xfId="83" applyFont="1" applyFill="1" applyBorder="1" applyAlignment="1">
      <alignment horizontal="center" vertical="center" wrapText="1"/>
    </xf>
    <xf numFmtId="0" fontId="59" fillId="37" borderId="74" xfId="83" applyFont="1" applyFill="1" applyBorder="1" applyAlignment="1">
      <alignment horizontal="center" vertical="center" wrapText="1"/>
    </xf>
    <xf numFmtId="167" fontId="65" fillId="0" borderId="74" xfId="83" applyNumberFormat="1" applyFont="1" applyBorder="1" applyAlignment="1">
      <alignment horizontal="center" vertical="center" wrapText="1"/>
    </xf>
    <xf numFmtId="3" fontId="65" fillId="0" borderId="74" xfId="83" applyNumberFormat="1" applyFont="1" applyBorder="1" applyAlignment="1">
      <alignment horizontal="center" vertical="center" wrapText="1"/>
    </xf>
    <xf numFmtId="3" fontId="65" fillId="30" borderId="74" xfId="83" applyNumberFormat="1" applyFont="1" applyFill="1" applyBorder="1" applyAlignment="1">
      <alignment horizontal="center" vertical="center" wrapText="1"/>
    </xf>
    <xf numFmtId="3" fontId="65" fillId="37" borderId="74" xfId="83" applyNumberFormat="1" applyFont="1" applyFill="1" applyBorder="1" applyAlignment="1">
      <alignment horizontal="center" vertical="center" wrapText="1"/>
    </xf>
    <xf numFmtId="167" fontId="23" fillId="0" borderId="74" xfId="83" applyNumberFormat="1" applyBorder="1" applyAlignment="1">
      <alignment horizontal="center" vertical="center" wrapText="1"/>
    </xf>
    <xf numFmtId="167" fontId="66" fillId="0" borderId="74" xfId="83" applyNumberFormat="1" applyFont="1" applyBorder="1" applyAlignment="1">
      <alignment horizontal="left" vertical="center" wrapText="1"/>
    </xf>
    <xf numFmtId="168" fontId="66" fillId="37" borderId="74" xfId="83" applyNumberFormat="1" applyFont="1" applyFill="1" applyBorder="1" applyAlignment="1" applyProtection="1">
      <alignment horizontal="right" vertical="center" wrapText="1"/>
      <protection locked="0"/>
    </xf>
    <xf numFmtId="167" fontId="65" fillId="0" borderId="74" xfId="83" applyNumberFormat="1" applyFont="1" applyBorder="1" applyAlignment="1" applyProtection="1">
      <alignment horizontal="left" vertical="center" wrapText="1"/>
      <protection locked="0"/>
    </xf>
    <xf numFmtId="167" fontId="66" fillId="0" borderId="74" xfId="83" applyNumberFormat="1" applyFont="1" applyBorder="1" applyAlignment="1" applyProtection="1">
      <alignment horizontal="left" vertical="center" wrapText="1"/>
      <protection locked="0"/>
    </xf>
    <xf numFmtId="167" fontId="60" fillId="0" borderId="74" xfId="83" applyNumberFormat="1" applyFont="1" applyBorder="1" applyAlignment="1" applyProtection="1">
      <alignment horizontal="left" vertical="center" wrapText="1"/>
      <protection locked="0"/>
    </xf>
    <xf numFmtId="167" fontId="57" fillId="0" borderId="74" xfId="83" applyNumberFormat="1" applyFont="1" applyBorder="1" applyAlignment="1">
      <alignment horizontal="center" vertical="center" wrapText="1"/>
    </xf>
    <xf numFmtId="167" fontId="65" fillId="0" borderId="74" xfId="83" applyNumberFormat="1" applyFont="1" applyBorder="1" applyAlignment="1">
      <alignment horizontal="left" vertical="center" wrapText="1"/>
    </xf>
    <xf numFmtId="3" fontId="65" fillId="0" borderId="74" xfId="83" applyNumberFormat="1" applyFont="1" applyBorder="1" applyAlignment="1">
      <alignment horizontal="right" vertical="center" wrapText="1"/>
    </xf>
    <xf numFmtId="3" fontId="65" fillId="30" borderId="74" xfId="83" applyNumberFormat="1" applyFont="1" applyFill="1" applyBorder="1" applyAlignment="1">
      <alignment horizontal="right" vertical="center" wrapText="1"/>
    </xf>
    <xf numFmtId="168" fontId="65" fillId="37" borderId="74" xfId="83" applyNumberFormat="1" applyFont="1" applyFill="1" applyBorder="1" applyAlignment="1">
      <alignment horizontal="right" vertical="center" wrapText="1"/>
    </xf>
    <xf numFmtId="167" fontId="67" fillId="0" borderId="74" xfId="83" applyNumberFormat="1" applyFont="1" applyBorder="1" applyAlignment="1">
      <alignment horizontal="left" vertical="center" wrapText="1"/>
    </xf>
    <xf numFmtId="168" fontId="60" fillId="37" borderId="74" xfId="83" applyNumberFormat="1" applyFont="1" applyFill="1" applyBorder="1" applyAlignment="1">
      <alignment horizontal="right" vertical="center" wrapText="1"/>
    </xf>
    <xf numFmtId="167" fontId="60" fillId="0" borderId="74" xfId="83" applyNumberFormat="1" applyFont="1" applyBorder="1" applyAlignment="1">
      <alignment horizontal="left" vertical="center" wrapText="1"/>
    </xf>
    <xf numFmtId="168" fontId="60" fillId="37" borderId="74" xfId="83" applyNumberFormat="1" applyFont="1" applyFill="1" applyBorder="1" applyAlignment="1" applyProtection="1">
      <alignment horizontal="right" vertical="center" wrapText="1"/>
      <protection locked="0"/>
    </xf>
    <xf numFmtId="167" fontId="23" fillId="0" borderId="74" xfId="83" quotePrefix="1" applyNumberFormat="1" applyBorder="1" applyAlignment="1">
      <alignment horizontal="center" vertical="center" wrapText="1"/>
    </xf>
    <xf numFmtId="167" fontId="57" fillId="0" borderId="74" xfId="83" applyNumberFormat="1" applyFont="1" applyBorder="1" applyAlignment="1">
      <alignment horizontal="left" vertical="center" wrapText="1"/>
    </xf>
    <xf numFmtId="3" fontId="57" fillId="0" borderId="74" xfId="83" applyNumberFormat="1" applyFont="1" applyBorder="1" applyAlignment="1">
      <alignment horizontal="right" vertical="center" wrapText="1"/>
    </xf>
    <xf numFmtId="3" fontId="57" fillId="30" borderId="74" xfId="83" applyNumberFormat="1" applyFont="1" applyFill="1" applyBorder="1" applyAlignment="1">
      <alignment horizontal="right" vertical="center" wrapText="1"/>
    </xf>
    <xf numFmtId="168" fontId="57" fillId="37" borderId="74" xfId="83" applyNumberFormat="1" applyFont="1" applyFill="1" applyBorder="1" applyAlignment="1">
      <alignment horizontal="right" vertical="center" wrapText="1"/>
    </xf>
    <xf numFmtId="0" fontId="77" fillId="24" borderId="74" xfId="83" applyFont="1" applyFill="1" applyBorder="1" applyAlignment="1">
      <alignment horizontal="center" vertical="center" wrapText="1"/>
    </xf>
    <xf numFmtId="167" fontId="65" fillId="31" borderId="74" xfId="83" applyNumberFormat="1" applyFont="1" applyFill="1" applyBorder="1" applyAlignment="1">
      <alignment horizontal="center" vertical="center" wrapText="1"/>
    </xf>
    <xf numFmtId="3" fontId="67" fillId="0" borderId="74" xfId="83" applyNumberFormat="1" applyFont="1" applyBorder="1" applyAlignment="1">
      <alignment horizontal="right" vertical="center" wrapText="1"/>
    </xf>
    <xf numFmtId="3" fontId="67" fillId="30" borderId="74" xfId="83" applyNumberFormat="1" applyFont="1" applyFill="1" applyBorder="1" applyAlignment="1">
      <alignment horizontal="right" vertical="center" wrapText="1"/>
    </xf>
    <xf numFmtId="168" fontId="67" fillId="37" borderId="74" xfId="83" applyNumberFormat="1" applyFont="1" applyFill="1" applyBorder="1" applyAlignment="1">
      <alignment horizontal="right" vertical="center" wrapText="1"/>
    </xf>
    <xf numFmtId="3" fontId="72" fillId="52" borderId="33" xfId="77" applyNumberFormat="1" applyFont="1" applyFill="1" applyBorder="1" applyAlignment="1">
      <alignment horizontal="center" vertical="center" wrapText="1"/>
    </xf>
    <xf numFmtId="3" fontId="72" fillId="53" borderId="19" xfId="77" applyNumberFormat="1" applyFont="1" applyFill="1" applyBorder="1" applyAlignment="1">
      <alignment horizontal="center" vertical="center" wrapText="1"/>
    </xf>
    <xf numFmtId="3" fontId="72" fillId="54" borderId="45" xfId="77" applyNumberFormat="1" applyFont="1" applyFill="1" applyBorder="1" applyAlignment="1">
      <alignment horizontal="center" vertical="center" wrapText="1"/>
    </xf>
    <xf numFmtId="3" fontId="72" fillId="53" borderId="0" xfId="77" applyNumberFormat="1" applyFont="1" applyFill="1" applyAlignment="1">
      <alignment horizontal="center" vertical="center" wrapText="1"/>
    </xf>
    <xf numFmtId="0" fontId="60" fillId="55" borderId="0" xfId="79" applyFont="1" applyFill="1" applyAlignment="1">
      <alignment vertical="center"/>
    </xf>
    <xf numFmtId="0" fontId="24" fillId="55" borderId="0" xfId="79" applyFill="1" applyAlignment="1">
      <alignment vertical="center"/>
    </xf>
    <xf numFmtId="0" fontId="63" fillId="55" borderId="74" xfId="83" applyFont="1" applyFill="1" applyBorder="1" applyAlignment="1">
      <alignment horizontal="center" vertical="center" wrapText="1"/>
    </xf>
    <xf numFmtId="0" fontId="37" fillId="0" borderId="74" xfId="0" applyFont="1" applyBorder="1" applyAlignment="1">
      <alignment horizontal="center" vertical="center"/>
    </xf>
    <xf numFmtId="0" fontId="59" fillId="55" borderId="74" xfId="83" applyFont="1" applyFill="1" applyBorder="1" applyAlignment="1">
      <alignment horizontal="center" vertical="center" wrapText="1"/>
    </xf>
    <xf numFmtId="0" fontId="0" fillId="55" borderId="74" xfId="0" applyFill="1" applyBorder="1"/>
    <xf numFmtId="0" fontId="59" fillId="56" borderId="74" xfId="83" applyFont="1" applyFill="1" applyBorder="1" applyAlignment="1">
      <alignment horizontal="center" vertical="center" wrapText="1"/>
    </xf>
    <xf numFmtId="3" fontId="72" fillId="57" borderId="74" xfId="77" applyNumberFormat="1" applyFont="1" applyFill="1" applyBorder="1" applyAlignment="1">
      <alignment horizontal="center" vertical="center" wrapText="1"/>
    </xf>
    <xf numFmtId="3" fontId="72" fillId="52" borderId="74" xfId="77" applyNumberFormat="1" applyFont="1" applyFill="1" applyBorder="1" applyAlignment="1">
      <alignment horizontal="center" vertical="center" wrapText="1"/>
    </xf>
    <xf numFmtId="3" fontId="72" fillId="53" borderId="74" xfId="77" applyNumberFormat="1" applyFont="1" applyFill="1" applyBorder="1" applyAlignment="1">
      <alignment horizontal="center" vertical="center" wrapText="1"/>
    </xf>
    <xf numFmtId="3" fontId="72" fillId="54" borderId="74" xfId="77" applyNumberFormat="1" applyFont="1" applyFill="1" applyBorder="1" applyAlignment="1">
      <alignment horizontal="center" vertical="center" wrapText="1"/>
    </xf>
    <xf numFmtId="3" fontId="72" fillId="58" borderId="74" xfId="77" applyNumberFormat="1" applyFont="1" applyFill="1" applyBorder="1" applyAlignment="1">
      <alignment horizontal="center" vertical="center" wrapText="1"/>
    </xf>
    <xf numFmtId="0" fontId="63" fillId="0" borderId="74" xfId="79" applyFont="1" applyBorder="1" applyAlignment="1">
      <alignment horizontal="center" vertical="center" wrapText="1"/>
    </xf>
    <xf numFmtId="0" fontId="73" fillId="0" borderId="74" xfId="77" applyFont="1" applyBorder="1" applyAlignment="1">
      <alignment horizontal="center" vertical="center" wrapText="1"/>
    </xf>
    <xf numFmtId="167" fontId="59" fillId="0" borderId="74" xfId="83" applyNumberFormat="1" applyFont="1" applyBorder="1" applyAlignment="1">
      <alignment horizontal="right" vertical="center" wrapText="1"/>
    </xf>
    <xf numFmtId="0" fontId="75" fillId="0" borderId="74" xfId="77" applyFont="1" applyBorder="1" applyAlignment="1">
      <alignment horizontal="center" vertical="center" wrapText="1"/>
    </xf>
    <xf numFmtId="0" fontId="31" fillId="0" borderId="74" xfId="0" applyFont="1" applyBorder="1" applyAlignment="1">
      <alignment horizontal="center" vertical="center" wrapText="1"/>
    </xf>
    <xf numFmtId="3" fontId="63" fillId="23" borderId="74" xfId="79" applyNumberFormat="1" applyFont="1" applyFill="1" applyBorder="1" applyAlignment="1">
      <alignment horizontal="center" vertical="center" wrapText="1"/>
    </xf>
    <xf numFmtId="3" fontId="63" fillId="23" borderId="74" xfId="79" applyNumberFormat="1" applyFont="1" applyFill="1" applyBorder="1" applyAlignment="1">
      <alignment horizontal="justify" vertical="center" wrapText="1"/>
    </xf>
    <xf numFmtId="3" fontId="63" fillId="23" borderId="74" xfId="79" applyNumberFormat="1" applyFont="1" applyFill="1" applyBorder="1" applyAlignment="1">
      <alignment horizontal="right" vertical="center" wrapText="1"/>
    </xf>
    <xf numFmtId="3" fontId="74" fillId="0" borderId="74" xfId="79" applyNumberFormat="1" applyFont="1" applyBorder="1" applyAlignment="1">
      <alignment horizontal="center" vertical="center" wrapText="1"/>
    </xf>
    <xf numFmtId="3" fontId="36" fillId="0" borderId="74" xfId="83" applyNumberFormat="1" applyFont="1" applyBorder="1" applyAlignment="1">
      <alignment horizontal="left" vertical="center" wrapText="1"/>
    </xf>
    <xf numFmtId="3" fontId="74" fillId="0" borderId="74" xfId="79" applyNumberFormat="1" applyFont="1" applyBorder="1" applyAlignment="1" applyProtection="1">
      <alignment horizontal="right" vertical="center" wrapText="1"/>
      <protection locked="0"/>
    </xf>
    <xf numFmtId="3" fontId="74" fillId="0" borderId="74" xfId="79" applyNumberFormat="1" applyFont="1" applyBorder="1" applyAlignment="1">
      <alignment horizontal="right" vertical="center"/>
    </xf>
    <xf numFmtId="3" fontId="63" fillId="23" borderId="74" xfId="79" applyNumberFormat="1" applyFont="1" applyFill="1" applyBorder="1" applyAlignment="1">
      <alignment horizontal="left" vertical="center" wrapText="1"/>
    </xf>
    <xf numFmtId="3" fontId="74" fillId="0" borderId="74" xfId="79" applyNumberFormat="1" applyFont="1" applyBorder="1" applyAlignment="1">
      <alignment horizontal="right" vertical="center" wrapText="1"/>
    </xf>
    <xf numFmtId="3" fontId="24" fillId="0" borderId="74" xfId="79" applyNumberFormat="1" applyBorder="1" applyAlignment="1" applyProtection="1">
      <alignment horizontal="right" vertical="center" wrapText="1"/>
      <protection locked="0"/>
    </xf>
    <xf numFmtId="3" fontId="63" fillId="3" borderId="74" xfId="79" applyNumberFormat="1" applyFont="1" applyFill="1" applyBorder="1" applyAlignment="1">
      <alignment horizontal="center" vertical="center" wrapText="1"/>
    </xf>
    <xf numFmtId="3" fontId="63" fillId="3" borderId="74" xfId="79" applyNumberFormat="1" applyFont="1" applyFill="1" applyBorder="1" applyAlignment="1">
      <alignment horizontal="left" vertical="center" wrapText="1"/>
    </xf>
    <xf numFmtId="3" fontId="63" fillId="3" borderId="74" xfId="79" applyNumberFormat="1" applyFont="1" applyFill="1" applyBorder="1" applyAlignment="1">
      <alignment horizontal="right" vertical="center" wrapText="1"/>
    </xf>
    <xf numFmtId="3" fontId="36" fillId="0" borderId="74" xfId="83" applyNumberFormat="1" applyFont="1" applyBorder="1" applyAlignment="1">
      <alignment vertical="center" wrapText="1"/>
    </xf>
    <xf numFmtId="3" fontId="74" fillId="43" borderId="74" xfId="79" applyNumberFormat="1" applyFont="1" applyFill="1" applyBorder="1" applyAlignment="1">
      <alignment horizontal="right" vertical="center"/>
    </xf>
    <xf numFmtId="3" fontId="74" fillId="31" borderId="74" xfId="79" applyNumberFormat="1" applyFont="1" applyFill="1" applyBorder="1" applyAlignment="1">
      <alignment horizontal="right" vertical="center"/>
    </xf>
    <xf numFmtId="3" fontId="36" fillId="0" borderId="74" xfId="83" applyNumberFormat="1" applyFont="1" applyBorder="1" applyAlignment="1">
      <alignment horizontal="center" vertical="center" wrapText="1"/>
    </xf>
    <xf numFmtId="3" fontId="37" fillId="3" borderId="74" xfId="83" applyNumberFormat="1" applyFont="1" applyFill="1" applyBorder="1" applyAlignment="1">
      <alignment horizontal="center" vertical="center" wrapText="1"/>
    </xf>
    <xf numFmtId="3" fontId="37" fillId="3" borderId="74" xfId="83" applyNumberFormat="1" applyFont="1" applyFill="1" applyBorder="1" applyAlignment="1">
      <alignment vertical="center" wrapText="1"/>
    </xf>
    <xf numFmtId="3" fontId="69" fillId="3" borderId="74" xfId="79" applyNumberFormat="1" applyFont="1" applyFill="1" applyBorder="1" applyAlignment="1">
      <alignment horizontal="right" vertical="center" wrapText="1"/>
    </xf>
    <xf numFmtId="3" fontId="70" fillId="0" borderId="74" xfId="79" applyNumberFormat="1" applyFont="1" applyBorder="1" applyAlignment="1">
      <alignment horizontal="left" vertical="center"/>
    </xf>
    <xf numFmtId="3" fontId="69" fillId="0" borderId="74" xfId="79" applyNumberFormat="1" applyFont="1" applyBorder="1" applyAlignment="1">
      <alignment horizontal="center" vertical="center"/>
    </xf>
    <xf numFmtId="3" fontId="74" fillId="0" borderId="74" xfId="79" applyNumberFormat="1" applyFont="1" applyBorder="1" applyAlignment="1">
      <alignment horizontal="left" vertical="center" wrapText="1"/>
    </xf>
    <xf numFmtId="49" fontId="74" fillId="0" borderId="74" xfId="79" applyNumberFormat="1" applyFont="1" applyBorder="1" applyAlignment="1">
      <alignment horizontal="center" vertical="center" wrapText="1"/>
    </xf>
    <xf numFmtId="0" fontId="74" fillId="0" borderId="74" xfId="79" applyFont="1" applyBorder="1" applyAlignment="1">
      <alignment horizontal="left" vertical="center" wrapText="1"/>
    </xf>
    <xf numFmtId="0" fontId="74" fillId="0" borderId="74" xfId="79" applyFont="1" applyBorder="1" applyAlignment="1">
      <alignment horizontal="left" vertical="center"/>
    </xf>
    <xf numFmtId="3" fontId="24" fillId="0" borderId="74" xfId="79" applyNumberFormat="1" applyBorder="1" applyAlignment="1">
      <alignment horizontal="right" vertical="center"/>
    </xf>
    <xf numFmtId="0" fontId="37" fillId="55" borderId="74" xfId="0" applyFont="1" applyFill="1" applyBorder="1" applyAlignment="1">
      <alignment horizontal="center" vertical="center"/>
    </xf>
    <xf numFmtId="3" fontId="66" fillId="55" borderId="74" xfId="83" applyNumberFormat="1" applyFont="1" applyFill="1" applyBorder="1" applyAlignment="1">
      <alignment horizontal="right" vertical="center" wrapText="1"/>
    </xf>
    <xf numFmtId="0" fontId="24" fillId="55" borderId="74" xfId="79" applyFill="1" applyBorder="1" applyAlignment="1">
      <alignment vertical="center"/>
    </xf>
    <xf numFmtId="0" fontId="77" fillId="0" borderId="0" xfId="83" applyFont="1" applyAlignment="1">
      <alignment horizontal="left" vertical="center" wrapText="1" indent="1"/>
    </xf>
    <xf numFmtId="0" fontId="59" fillId="0" borderId="74" xfId="83" applyFont="1" applyBorder="1" applyAlignment="1">
      <alignment horizontal="center" vertical="center"/>
    </xf>
    <xf numFmtId="0" fontId="77" fillId="0" borderId="74" xfId="83" applyFont="1" applyBorder="1" applyAlignment="1">
      <alignment horizontal="center" vertical="center" wrapText="1"/>
    </xf>
    <xf numFmtId="0" fontId="77" fillId="38" borderId="74" xfId="83" applyFont="1" applyFill="1" applyBorder="1" applyAlignment="1">
      <alignment horizontal="center" vertical="center" wrapText="1"/>
    </xf>
    <xf numFmtId="3" fontId="77" fillId="0" borderId="74" xfId="83" applyNumberFormat="1" applyFont="1" applyBorder="1" applyAlignment="1">
      <alignment horizontal="center" vertical="center" wrapText="1"/>
    </xf>
    <xf numFmtId="3" fontId="59" fillId="0" borderId="74" xfId="83" applyNumberFormat="1" applyFont="1" applyBorder="1" applyAlignment="1">
      <alignment horizontal="right" vertical="center" wrapText="1"/>
    </xf>
    <xf numFmtId="3" fontId="59" fillId="24" borderId="74" xfId="83" applyNumberFormat="1" applyFont="1" applyFill="1" applyBorder="1" applyAlignment="1">
      <alignment horizontal="right" vertical="center" wrapText="1"/>
    </xf>
    <xf numFmtId="3" fontId="59" fillId="38" borderId="74" xfId="83" applyNumberFormat="1" applyFont="1" applyFill="1" applyBorder="1" applyAlignment="1">
      <alignment horizontal="right" vertical="center" wrapText="1"/>
    </xf>
    <xf numFmtId="0" fontId="77" fillId="23" borderId="74" xfId="79" applyFont="1" applyFill="1" applyBorder="1" applyAlignment="1">
      <alignment horizontal="center" vertical="center" wrapText="1"/>
    </xf>
    <xf numFmtId="0" fontId="77" fillId="23" borderId="74" xfId="79" applyFont="1" applyFill="1" applyBorder="1" applyAlignment="1">
      <alignment horizontal="justify" vertical="center" wrapText="1"/>
    </xf>
    <xf numFmtId="3" fontId="77" fillId="23" borderId="74" xfId="79" applyNumberFormat="1" applyFont="1" applyFill="1" applyBorder="1" applyAlignment="1">
      <alignment horizontal="right" vertical="center" wrapText="1"/>
    </xf>
    <xf numFmtId="3" fontId="77" fillId="32" borderId="74" xfId="79" applyNumberFormat="1" applyFont="1" applyFill="1" applyBorder="1" applyAlignment="1">
      <alignment horizontal="right" vertical="center" wrapText="1"/>
    </xf>
    <xf numFmtId="168" fontId="77" fillId="23" borderId="74" xfId="79" applyNumberFormat="1" applyFont="1" applyFill="1" applyBorder="1" applyAlignment="1">
      <alignment horizontal="right" vertical="center" wrapText="1"/>
    </xf>
    <xf numFmtId="49" fontId="66" fillId="0" borderId="74" xfId="79" applyNumberFormat="1" applyFont="1" applyBorder="1" applyAlignment="1">
      <alignment horizontal="center" vertical="center" wrapText="1"/>
    </xf>
    <xf numFmtId="0" fontId="79" fillId="0" borderId="74" xfId="83" applyFont="1" applyBorder="1" applyAlignment="1">
      <alignment horizontal="left" vertical="center" wrapText="1"/>
    </xf>
    <xf numFmtId="3" fontId="66" fillId="0" borderId="74" xfId="79" applyNumberFormat="1" applyFont="1" applyBorder="1" applyAlignment="1" applyProtection="1">
      <alignment horizontal="right" vertical="center" wrapText="1"/>
      <protection locked="0"/>
    </xf>
    <xf numFmtId="3" fontId="66" fillId="38" borderId="74" xfId="79" applyNumberFormat="1" applyFont="1" applyFill="1" applyBorder="1" applyAlignment="1" applyProtection="1">
      <alignment horizontal="right" vertical="center" wrapText="1"/>
      <protection locked="0"/>
    </xf>
    <xf numFmtId="168" fontId="60" fillId="24" borderId="74" xfId="79" applyNumberFormat="1" applyFont="1" applyFill="1" applyBorder="1" applyAlignment="1">
      <alignment horizontal="right" vertical="center" wrapText="1"/>
    </xf>
    <xf numFmtId="0" fontId="82" fillId="23" borderId="74" xfId="83" applyFont="1" applyFill="1" applyBorder="1" applyAlignment="1">
      <alignment horizontal="left" vertical="center" wrapText="1"/>
    </xf>
    <xf numFmtId="168" fontId="66" fillId="0" borderId="74" xfId="79" applyNumberFormat="1" applyFont="1" applyBorder="1" applyAlignment="1" applyProtection="1">
      <alignment horizontal="right" vertical="center" wrapText="1"/>
      <protection locked="0"/>
    </xf>
    <xf numFmtId="0" fontId="77" fillId="23" borderId="74" xfId="79" applyFont="1" applyFill="1" applyBorder="1" applyAlignment="1">
      <alignment horizontal="left" vertical="center" wrapText="1"/>
    </xf>
    <xf numFmtId="3" fontId="65" fillId="23" borderId="74" xfId="79" applyNumberFormat="1" applyFont="1" applyFill="1" applyBorder="1" applyAlignment="1">
      <alignment horizontal="right" vertical="center" wrapText="1"/>
    </xf>
    <xf numFmtId="3" fontId="65" fillId="32" borderId="74" xfId="79" applyNumberFormat="1" applyFont="1" applyFill="1" applyBorder="1" applyAlignment="1">
      <alignment horizontal="right" vertical="center" wrapText="1"/>
    </xf>
    <xf numFmtId="168" fontId="65" fillId="23" borderId="74" xfId="79" applyNumberFormat="1" applyFont="1" applyFill="1" applyBorder="1" applyAlignment="1">
      <alignment horizontal="right" vertical="center" wrapText="1"/>
    </xf>
    <xf numFmtId="3" fontId="66" fillId="38" borderId="74" xfId="79" applyNumberFormat="1" applyFont="1" applyFill="1" applyBorder="1" applyAlignment="1">
      <alignment horizontal="right" vertical="center" wrapText="1"/>
    </xf>
    <xf numFmtId="3" fontId="60" fillId="0" borderId="74" xfId="79" applyNumberFormat="1" applyFont="1" applyBorder="1" applyAlignment="1" applyProtection="1">
      <alignment horizontal="right" vertical="center" wrapText="1"/>
      <protection locked="0"/>
    </xf>
    <xf numFmtId="3" fontId="60" fillId="38" borderId="74" xfId="79" applyNumberFormat="1" applyFont="1" applyFill="1" applyBorder="1" applyAlignment="1" applyProtection="1">
      <alignment horizontal="right" vertical="center" wrapText="1"/>
      <protection locked="0"/>
    </xf>
    <xf numFmtId="3" fontId="60" fillId="0" borderId="74" xfId="79" applyNumberFormat="1" applyFont="1" applyBorder="1" applyAlignment="1" applyProtection="1">
      <alignment horizontal="right" vertical="center" wrapText="1" indent="1"/>
      <protection locked="0"/>
    </xf>
    <xf numFmtId="168" fontId="60" fillId="0" borderId="74" xfId="79" applyNumberFormat="1" applyFont="1" applyBorder="1" applyAlignment="1" applyProtection="1">
      <alignment horizontal="right" vertical="center" wrapText="1" indent="1"/>
      <protection locked="0"/>
    </xf>
    <xf numFmtId="168" fontId="60" fillId="0" borderId="74" xfId="79" applyNumberFormat="1" applyFont="1" applyBorder="1" applyAlignment="1" applyProtection="1">
      <alignment horizontal="right" vertical="center" wrapText="1"/>
      <protection locked="0"/>
    </xf>
    <xf numFmtId="0" fontId="77" fillId="3" borderId="74" xfId="79" applyFont="1" applyFill="1" applyBorder="1" applyAlignment="1">
      <alignment horizontal="center" vertical="center" wrapText="1"/>
    </xf>
    <xf numFmtId="0" fontId="82" fillId="3" borderId="74" xfId="83" applyFont="1" applyFill="1" applyBorder="1" applyAlignment="1">
      <alignment wrapText="1"/>
    </xf>
    <xf numFmtId="3" fontId="77" fillId="3" borderId="74" xfId="79" applyNumberFormat="1" applyFont="1" applyFill="1" applyBorder="1" applyAlignment="1">
      <alignment horizontal="right" vertical="center" wrapText="1"/>
    </xf>
    <xf numFmtId="3" fontId="77" fillId="42" borderId="74" xfId="79" applyNumberFormat="1" applyFont="1" applyFill="1" applyBorder="1" applyAlignment="1">
      <alignment horizontal="right" vertical="center" wrapText="1"/>
    </xf>
    <xf numFmtId="168" fontId="77" fillId="3" borderId="74" xfId="79" applyNumberFormat="1" applyFont="1" applyFill="1" applyBorder="1" applyAlignment="1">
      <alignment horizontal="right" vertical="center" wrapText="1"/>
    </xf>
    <xf numFmtId="0" fontId="82" fillId="23" borderId="74" xfId="83" applyFont="1" applyFill="1" applyBorder="1" applyAlignment="1">
      <alignment horizontal="center" wrapText="1"/>
    </xf>
    <xf numFmtId="168" fontId="77" fillId="23" borderId="74" xfId="79" applyNumberFormat="1" applyFont="1" applyFill="1" applyBorder="1" applyAlignment="1">
      <alignment horizontal="right" vertical="center" wrapText="1" indent="1"/>
    </xf>
    <xf numFmtId="0" fontId="79" fillId="0" borderId="74" xfId="83" applyFont="1" applyBorder="1" applyAlignment="1">
      <alignment horizontal="center" wrapText="1"/>
    </xf>
    <xf numFmtId="0" fontId="82" fillId="3" borderId="74" xfId="83" applyFont="1" applyFill="1" applyBorder="1" applyAlignment="1">
      <alignment horizontal="center" wrapText="1"/>
    </xf>
    <xf numFmtId="168" fontId="77" fillId="0" borderId="0" xfId="83" applyNumberFormat="1" applyFont="1" applyAlignment="1">
      <alignment horizontal="right" vertical="center" wrapText="1" indent="1"/>
    </xf>
    <xf numFmtId="0" fontId="77" fillId="0" borderId="74" xfId="83" applyFont="1" applyBorder="1" applyAlignment="1">
      <alignment horizontal="center" vertical="center"/>
    </xf>
    <xf numFmtId="0" fontId="66" fillId="0" borderId="74" xfId="79" applyFont="1" applyBorder="1" applyAlignment="1">
      <alignment horizontal="left" vertical="center" wrapText="1" indent="1"/>
    </xf>
    <xf numFmtId="0" fontId="66" fillId="0" borderId="74" xfId="79" applyFont="1" applyBorder="1" applyAlignment="1">
      <alignment horizontal="left" indent="6"/>
    </xf>
    <xf numFmtId="0" fontId="66" fillId="0" borderId="74" xfId="79" applyFont="1" applyBorder="1" applyAlignment="1">
      <alignment horizontal="left" vertical="center" wrapText="1" indent="6"/>
    </xf>
    <xf numFmtId="49" fontId="65" fillId="0" borderId="74" xfId="79" applyNumberFormat="1" applyFont="1" applyBorder="1" applyAlignment="1">
      <alignment horizontal="center" vertical="center" wrapText="1"/>
    </xf>
    <xf numFmtId="0" fontId="79" fillId="0" borderId="74" xfId="83" applyFont="1" applyBorder="1" applyAlignment="1">
      <alignment horizontal="left" vertical="center" wrapText="1" indent="1"/>
    </xf>
    <xf numFmtId="0" fontId="77" fillId="3" borderId="74" xfId="79" applyFont="1" applyFill="1" applyBorder="1" applyAlignment="1">
      <alignment horizontal="left" vertical="center" wrapText="1"/>
    </xf>
    <xf numFmtId="0" fontId="65" fillId="23" borderId="74" xfId="79" applyFont="1" applyFill="1" applyBorder="1" applyAlignment="1">
      <alignment horizontal="left" vertical="center" wrapText="1" indent="1"/>
    </xf>
    <xf numFmtId="168" fontId="66" fillId="0" borderId="74" xfId="79" applyNumberFormat="1" applyFont="1" applyBorder="1" applyAlignment="1" applyProtection="1">
      <alignment horizontal="right" vertical="center" wrapText="1" indent="1"/>
      <protection locked="0"/>
    </xf>
    <xf numFmtId="0" fontId="23" fillId="55" borderId="0" xfId="83" applyFill="1" applyAlignment="1">
      <alignment vertical="center" wrapText="1"/>
    </xf>
    <xf numFmtId="0" fontId="23" fillId="55" borderId="118" xfId="83" applyFill="1" applyBorder="1" applyAlignment="1">
      <alignment vertical="center" wrapText="1"/>
    </xf>
    <xf numFmtId="0" fontId="23" fillId="55" borderId="31" xfId="83" applyFill="1" applyBorder="1" applyAlignment="1">
      <alignment vertical="center" wrapText="1"/>
    </xf>
    <xf numFmtId="0" fontId="77" fillId="55" borderId="0" xfId="83" applyFont="1" applyFill="1" applyAlignment="1">
      <alignment horizontal="center" vertical="center" wrapText="1"/>
    </xf>
    <xf numFmtId="0" fontId="63" fillId="55" borderId="0" xfId="83" applyFont="1" applyFill="1" applyAlignment="1">
      <alignment horizontal="center" vertical="center" wrapText="1"/>
    </xf>
    <xf numFmtId="3" fontId="60" fillId="0" borderId="23" xfId="83" applyNumberFormat="1" applyFont="1" applyBorder="1" applyAlignment="1">
      <alignment horizontal="right" vertical="center" wrapText="1"/>
    </xf>
    <xf numFmtId="0" fontId="63" fillId="0" borderId="74" xfId="83" applyFont="1" applyBorder="1" applyAlignment="1">
      <alignment horizontal="center" vertical="center" wrapText="1"/>
    </xf>
    <xf numFmtId="0" fontId="58" fillId="0" borderId="74" xfId="83" applyFont="1" applyBorder="1" applyAlignment="1">
      <alignment horizontal="center" vertical="center" wrapText="1"/>
    </xf>
    <xf numFmtId="0" fontId="75" fillId="0" borderId="74" xfId="77" applyFont="1" applyBorder="1" applyAlignment="1">
      <alignment horizontal="center" vertical="center"/>
    </xf>
    <xf numFmtId="0" fontId="72" fillId="0" borderId="74" xfId="77" applyFont="1" applyBorder="1" applyAlignment="1">
      <alignment horizontal="center" vertical="center"/>
    </xf>
    <xf numFmtId="0" fontId="0" fillId="0" borderId="74" xfId="0" applyBorder="1" applyAlignment="1">
      <alignment vertical="center"/>
    </xf>
    <xf numFmtId="3" fontId="60" fillId="31" borderId="74" xfId="83" applyNumberFormat="1" applyFont="1" applyFill="1" applyBorder="1" applyAlignment="1">
      <alignment horizontal="right" vertical="center" wrapText="1"/>
    </xf>
    <xf numFmtId="3" fontId="60" fillId="24" borderId="74" xfId="83" applyNumberFormat="1" applyFont="1" applyFill="1" applyBorder="1" applyAlignment="1">
      <alignment horizontal="right" vertical="center" wrapText="1"/>
    </xf>
    <xf numFmtId="3" fontId="65" fillId="3" borderId="74" xfId="79" applyNumberFormat="1" applyFont="1" applyFill="1" applyBorder="1" applyAlignment="1">
      <alignment horizontal="right" vertical="center" wrapText="1"/>
    </xf>
    <xf numFmtId="0" fontId="82" fillId="0" borderId="74" xfId="83" applyFont="1" applyBorder="1" applyAlignment="1">
      <alignment horizontal="left" vertical="center" wrapText="1"/>
    </xf>
    <xf numFmtId="0" fontId="79" fillId="0" borderId="74" xfId="83" applyFont="1" applyBorder="1" applyAlignment="1">
      <alignment vertical="center" wrapText="1"/>
    </xf>
    <xf numFmtId="3" fontId="65" fillId="23" borderId="74" xfId="83" applyNumberFormat="1" applyFont="1" applyFill="1" applyBorder="1" applyAlignment="1">
      <alignment horizontal="right" vertical="center" wrapText="1"/>
    </xf>
    <xf numFmtId="3" fontId="77" fillId="23" borderId="74" xfId="79" applyNumberFormat="1" applyFont="1" applyFill="1" applyBorder="1" applyAlignment="1" applyProtection="1">
      <alignment horizontal="right" vertical="center" wrapText="1"/>
      <protection locked="0"/>
    </xf>
    <xf numFmtId="0" fontId="82" fillId="3" borderId="74" xfId="83" applyFont="1" applyFill="1" applyBorder="1" applyAlignment="1">
      <alignment vertical="center" wrapText="1"/>
    </xf>
    <xf numFmtId="0" fontId="77" fillId="23" borderId="74" xfId="79" applyFont="1" applyFill="1" applyBorder="1" applyAlignment="1">
      <alignment vertical="center" wrapText="1"/>
    </xf>
    <xf numFmtId="0" fontId="66" fillId="0" borderId="74" xfId="79" applyFont="1" applyBorder="1" applyAlignment="1">
      <alignment horizontal="left" vertical="center" wrapText="1"/>
    </xf>
    <xf numFmtId="0" fontId="66" fillId="0" borderId="74" xfId="79" applyFont="1" applyBorder="1" applyAlignment="1">
      <alignment horizontal="left" vertical="center"/>
    </xf>
    <xf numFmtId="0" fontId="66" fillId="24" borderId="74" xfId="79" applyFont="1" applyFill="1" applyBorder="1" applyAlignment="1">
      <alignment horizontal="left" vertical="center" wrapText="1"/>
    </xf>
    <xf numFmtId="3" fontId="66" fillId="24" borderId="74" xfId="79" applyNumberFormat="1" applyFont="1" applyFill="1" applyBorder="1" applyAlignment="1" applyProtection="1">
      <alignment horizontal="right" vertical="center" wrapText="1"/>
      <protection locked="0"/>
    </xf>
    <xf numFmtId="0" fontId="79" fillId="24" borderId="74" xfId="83" applyFont="1" applyFill="1" applyBorder="1" applyAlignment="1">
      <alignment horizontal="left" vertical="center" wrapText="1"/>
    </xf>
    <xf numFmtId="0" fontId="65" fillId="23" borderId="74" xfId="79" applyFont="1" applyFill="1" applyBorder="1" applyAlignment="1">
      <alignment horizontal="left" vertical="center" wrapText="1"/>
    </xf>
    <xf numFmtId="0" fontId="65" fillId="3" borderId="74" xfId="79" applyFont="1" applyFill="1" applyBorder="1" applyAlignment="1">
      <alignment horizontal="left" vertical="center" wrapText="1"/>
    </xf>
    <xf numFmtId="3" fontId="82" fillId="23" borderId="74" xfId="83" applyNumberFormat="1" applyFont="1" applyFill="1" applyBorder="1" applyAlignment="1">
      <alignment horizontal="right" vertical="center" wrapText="1"/>
    </xf>
    <xf numFmtId="3" fontId="82" fillId="3" borderId="74" xfId="83" applyNumberFormat="1" applyFont="1" applyFill="1" applyBorder="1" applyAlignment="1">
      <alignment horizontal="right" vertical="center" wrapText="1"/>
    </xf>
    <xf numFmtId="0" fontId="77" fillId="0" borderId="74" xfId="83" applyFont="1" applyBorder="1" applyAlignment="1">
      <alignment horizontal="justify" vertical="center" wrapText="1"/>
    </xf>
    <xf numFmtId="176" fontId="77" fillId="0" borderId="74" xfId="83" applyNumberFormat="1" applyFont="1" applyBorder="1" applyAlignment="1" applyProtection="1">
      <alignment horizontal="right" vertical="center" wrapText="1"/>
      <protection locked="0"/>
    </xf>
    <xf numFmtId="177" fontId="77" fillId="0" borderId="74" xfId="83" applyNumberFormat="1" applyFont="1" applyBorder="1" applyAlignment="1" applyProtection="1">
      <alignment horizontal="right" vertical="center" wrapText="1"/>
      <protection locked="0"/>
    </xf>
    <xf numFmtId="0" fontId="21" fillId="24" borderId="0" xfId="0" applyFont="1" applyFill="1" applyAlignment="1">
      <alignment vertical="center" wrapText="1"/>
    </xf>
    <xf numFmtId="0" fontId="34" fillId="24" borderId="74" xfId="83" applyFont="1" applyFill="1" applyBorder="1" applyAlignment="1">
      <alignment horizontal="center" vertical="center" wrapText="1"/>
    </xf>
    <xf numFmtId="168" fontId="21" fillId="0" borderId="74" xfId="0" applyNumberFormat="1" applyFont="1" applyBorder="1" applyAlignment="1">
      <alignment vertical="center"/>
    </xf>
    <xf numFmtId="3" fontId="72" fillId="58" borderId="120" xfId="77" applyNumberFormat="1" applyFont="1" applyFill="1" applyBorder="1" applyAlignment="1">
      <alignment horizontal="center" vertical="center" wrapText="1"/>
    </xf>
    <xf numFmtId="3" fontId="74" fillId="24" borderId="74" xfId="79" applyNumberFormat="1" applyFont="1" applyFill="1" applyBorder="1" applyAlignment="1">
      <alignment horizontal="right" vertical="center"/>
    </xf>
    <xf numFmtId="3" fontId="77" fillId="23" borderId="161" xfId="79" applyNumberFormat="1" applyFont="1" applyFill="1" applyBorder="1" applyAlignment="1">
      <alignment horizontal="right" vertical="center" wrapText="1"/>
    </xf>
    <xf numFmtId="3" fontId="65" fillId="23" borderId="161" xfId="79" applyNumberFormat="1" applyFont="1" applyFill="1" applyBorder="1" applyAlignment="1">
      <alignment horizontal="right" vertical="center" wrapText="1"/>
    </xf>
    <xf numFmtId="3" fontId="66" fillId="0" borderId="161" xfId="79" applyNumberFormat="1" applyFont="1" applyBorder="1" applyAlignment="1">
      <alignment horizontal="right" vertical="center" wrapText="1"/>
    </xf>
    <xf numFmtId="3" fontId="65" fillId="3" borderId="161" xfId="79" applyNumberFormat="1" applyFont="1" applyFill="1" applyBorder="1" applyAlignment="1">
      <alignment horizontal="right" vertical="center" wrapText="1"/>
    </xf>
    <xf numFmtId="3" fontId="77" fillId="3" borderId="161" xfId="79" applyNumberFormat="1" applyFont="1" applyFill="1" applyBorder="1" applyAlignment="1">
      <alignment horizontal="right" vertical="center" wrapText="1"/>
    </xf>
    <xf numFmtId="3" fontId="82" fillId="23" borderId="161" xfId="83" applyNumberFormat="1" applyFont="1" applyFill="1" applyBorder="1" applyAlignment="1">
      <alignment horizontal="right" vertical="center" wrapText="1"/>
    </xf>
    <xf numFmtId="3" fontId="82" fillId="3" borderId="161" xfId="83" applyNumberFormat="1" applyFont="1" applyFill="1" applyBorder="1" applyAlignment="1">
      <alignment horizontal="right" vertical="center" wrapText="1"/>
    </xf>
    <xf numFmtId="177" fontId="77" fillId="0" borderId="161" xfId="83" applyNumberFormat="1" applyFont="1" applyBorder="1" applyAlignment="1" applyProtection="1">
      <alignment horizontal="right" vertical="center" wrapText="1"/>
      <protection locked="0"/>
    </xf>
    <xf numFmtId="177" fontId="60" fillId="0" borderId="44" xfId="83" applyNumberFormat="1" applyFont="1" applyBorder="1" applyAlignment="1">
      <alignment horizontal="right" vertical="center" wrapText="1"/>
    </xf>
    <xf numFmtId="3" fontId="58" fillId="0" borderId="26" xfId="83" applyNumberFormat="1" applyFont="1" applyBorder="1" applyAlignment="1" applyProtection="1">
      <alignment horizontal="right" vertical="center" wrapText="1"/>
      <protection locked="0"/>
    </xf>
    <xf numFmtId="0" fontId="45" fillId="0" borderId="74" xfId="0" applyFont="1" applyBorder="1" applyAlignment="1">
      <alignment horizontal="center" vertical="center" wrapText="1"/>
    </xf>
    <xf numFmtId="3" fontId="72" fillId="59" borderId="74" xfId="77" applyNumberFormat="1" applyFont="1" applyFill="1" applyBorder="1" applyAlignment="1">
      <alignment horizontal="center" vertical="center" wrapText="1"/>
    </xf>
    <xf numFmtId="3" fontId="86" fillId="0" borderId="74" xfId="77" applyNumberFormat="1" applyFont="1" applyBorder="1" applyAlignment="1">
      <alignment horizontal="center" vertical="center" wrapText="1"/>
    </xf>
    <xf numFmtId="3" fontId="65" fillId="7" borderId="74" xfId="83" applyNumberFormat="1" applyFont="1" applyFill="1" applyBorder="1" applyAlignment="1">
      <alignment horizontal="right" vertical="center" wrapText="1"/>
    </xf>
    <xf numFmtId="3" fontId="66" fillId="0" borderId="74" xfId="83" applyNumberFormat="1" applyFont="1" applyBorder="1" applyAlignment="1">
      <alignment horizontal="right" vertical="center" wrapText="1"/>
    </xf>
    <xf numFmtId="0" fontId="143" fillId="0" borderId="74" xfId="0" applyFont="1" applyBorder="1"/>
    <xf numFmtId="3" fontId="33" fillId="24" borderId="161" xfId="0" applyNumberFormat="1" applyFont="1" applyFill="1" applyBorder="1" applyAlignment="1">
      <alignment vertical="center"/>
    </xf>
    <xf numFmtId="3" fontId="204" fillId="24" borderId="83" xfId="0" applyNumberFormat="1" applyFont="1" applyFill="1" applyBorder="1" applyAlignment="1">
      <alignment horizontal="center" vertical="center"/>
    </xf>
    <xf numFmtId="0" fontId="31" fillId="24" borderId="74" xfId="0" applyFont="1" applyFill="1" applyBorder="1" applyAlignment="1">
      <alignment horizontal="center" vertical="center" wrapText="1"/>
    </xf>
    <xf numFmtId="0" fontId="29" fillId="24" borderId="74" xfId="0" applyFont="1" applyFill="1" applyBorder="1" applyAlignment="1">
      <alignment horizontal="left" vertical="center"/>
    </xf>
    <xf numFmtId="3" fontId="29" fillId="24" borderId="74" xfId="0" applyNumberFormat="1" applyFont="1" applyFill="1" applyBorder="1" applyAlignment="1">
      <alignment horizontal="center" vertical="center" wrapText="1"/>
    </xf>
    <xf numFmtId="0" fontId="96" fillId="24" borderId="74" xfId="0" quotePrefix="1" applyFont="1" applyFill="1" applyBorder="1" applyAlignment="1">
      <alignment horizontal="center" vertical="center" wrapText="1"/>
    </xf>
    <xf numFmtId="0" fontId="96" fillId="24" borderId="74" xfId="0" applyFont="1" applyFill="1" applyBorder="1" applyAlignment="1">
      <alignment horizontal="center" vertical="center" wrapText="1"/>
    </xf>
    <xf numFmtId="3" fontId="29" fillId="24" borderId="74" xfId="0" quotePrefix="1" applyNumberFormat="1" applyFont="1" applyFill="1" applyBorder="1" applyAlignment="1">
      <alignment horizontal="center" vertical="center" wrapText="1"/>
    </xf>
    <xf numFmtId="3" fontId="29" fillId="24" borderId="74" xfId="0" applyNumberFormat="1" applyFont="1" applyFill="1" applyBorder="1" applyAlignment="1">
      <alignment horizontal="left" vertical="center"/>
    </xf>
    <xf numFmtId="0" fontId="0" fillId="24" borderId="74" xfId="0" applyFill="1" applyBorder="1"/>
    <xf numFmtId="3" fontId="33" fillId="24" borderId="74" xfId="0" applyNumberFormat="1" applyFont="1" applyFill="1" applyBorder="1" applyAlignment="1">
      <alignment horizontal="left" vertical="center"/>
    </xf>
    <xf numFmtId="0" fontId="47" fillId="0" borderId="171" xfId="0" applyFont="1" applyBorder="1" applyAlignment="1">
      <alignment vertical="center"/>
    </xf>
    <xf numFmtId="0" fontId="47" fillId="0" borderId="20" xfId="0" applyFont="1" applyBorder="1" applyAlignment="1">
      <alignment vertical="center"/>
    </xf>
    <xf numFmtId="0" fontId="47" fillId="0" borderId="0" xfId="0" applyFont="1" applyAlignment="1">
      <alignment vertical="center"/>
    </xf>
    <xf numFmtId="0" fontId="109" fillId="0" borderId="34" xfId="0" applyFont="1" applyBorder="1" applyAlignment="1">
      <alignment horizontal="center" vertical="center" textRotation="90"/>
    </xf>
    <xf numFmtId="0" fontId="75" fillId="0" borderId="10" xfId="0" applyFont="1" applyBorder="1" applyAlignment="1">
      <alignment horizontal="center" vertical="center"/>
    </xf>
    <xf numFmtId="0" fontId="75" fillId="0" borderId="27" xfId="0" applyFont="1" applyBorder="1" applyAlignment="1">
      <alignment horizontal="center" vertical="center" wrapText="1"/>
    </xf>
    <xf numFmtId="0" fontId="47" fillId="0" borderId="0" xfId="0" applyFont="1" applyAlignment="1">
      <alignment horizontal="center" vertical="center"/>
    </xf>
    <xf numFmtId="0" fontId="46" fillId="0" borderId="34" xfId="0" applyFont="1" applyBorder="1" applyAlignment="1">
      <alignment horizontal="center" vertical="center"/>
    </xf>
    <xf numFmtId="0" fontId="109" fillId="0" borderId="10" xfId="0" applyFont="1" applyBorder="1" applyAlignment="1">
      <alignment horizontal="justify" vertical="center" wrapText="1"/>
    </xf>
    <xf numFmtId="3" fontId="109" fillId="0" borderId="10" xfId="0" applyNumberFormat="1" applyFont="1" applyBorder="1" applyAlignment="1">
      <alignment horizontal="right" vertical="center"/>
    </xf>
    <xf numFmtId="3" fontId="75" fillId="0" borderId="27" xfId="0" applyNumberFormat="1" applyFont="1" applyBorder="1" applyAlignment="1">
      <alignment vertical="center"/>
    </xf>
    <xf numFmtId="0" fontId="47" fillId="0" borderId="0" xfId="0" applyFont="1" applyAlignment="1">
      <alignment vertical="center" wrapText="1"/>
    </xf>
    <xf numFmtId="0" fontId="75" fillId="24" borderId="43" xfId="0" applyFont="1" applyFill="1" applyBorder="1" applyAlignment="1">
      <alignment vertical="center"/>
    </xf>
    <xf numFmtId="3" fontId="75" fillId="24" borderId="43" xfId="0" applyNumberFormat="1" applyFont="1" applyFill="1" applyBorder="1" applyAlignment="1">
      <alignment vertical="center"/>
    </xf>
    <xf numFmtId="3" fontId="75" fillId="24" borderId="52" xfId="0" applyNumberFormat="1" applyFont="1" applyFill="1" applyBorder="1" applyAlignment="1">
      <alignment vertical="center"/>
    </xf>
    <xf numFmtId="0" fontId="47" fillId="24" borderId="0" xfId="0" applyFont="1" applyFill="1" applyAlignment="1">
      <alignment vertical="center" wrapText="1"/>
    </xf>
    <xf numFmtId="0" fontId="47" fillId="24" borderId="0" xfId="0" applyFont="1" applyFill="1" applyAlignment="1">
      <alignment vertical="center"/>
    </xf>
    <xf numFmtId="3" fontId="47" fillId="0" borderId="0" xfId="0" applyNumberFormat="1" applyFont="1" applyAlignment="1">
      <alignment vertical="center"/>
    </xf>
    <xf numFmtId="3" fontId="59" fillId="24" borderId="164" xfId="80" applyNumberFormat="1" applyFont="1" applyFill="1" applyBorder="1" applyAlignment="1">
      <alignment horizontal="center" vertical="center"/>
    </xf>
    <xf numFmtId="3" fontId="24" fillId="0" borderId="91" xfId="79" applyNumberFormat="1" applyBorder="1" applyAlignment="1">
      <alignment horizontal="right" vertical="center"/>
    </xf>
    <xf numFmtId="0" fontId="37" fillId="0" borderId="138" xfId="0" applyFont="1" applyBorder="1" applyAlignment="1">
      <alignment horizontal="center" vertical="center"/>
    </xf>
    <xf numFmtId="0" fontId="0" fillId="0" borderId="47" xfId="0" applyBorder="1" applyAlignment="1">
      <alignment horizontal="right" vertical="center"/>
    </xf>
    <xf numFmtId="3" fontId="60" fillId="0" borderId="71" xfId="83" applyNumberFormat="1" applyFont="1" applyBorder="1" applyAlignment="1">
      <alignment horizontal="right" vertical="center"/>
    </xf>
    <xf numFmtId="0" fontId="77" fillId="0" borderId="20" xfId="83" applyFont="1" applyBorder="1" applyAlignment="1">
      <alignment horizontal="center" vertical="center" wrapText="1"/>
    </xf>
    <xf numFmtId="49" fontId="34" fillId="24" borderId="74" xfId="74" applyNumberFormat="1" applyFont="1" applyFill="1" applyBorder="1" applyAlignment="1" applyProtection="1">
      <alignment horizontal="center" vertical="center"/>
      <protection locked="0"/>
    </xf>
    <xf numFmtId="3" fontId="34" fillId="24" borderId="74" xfId="74" applyNumberFormat="1" applyFont="1" applyFill="1" applyBorder="1" applyAlignment="1" applyProtection="1">
      <alignment horizontal="center" vertical="center" wrapText="1"/>
      <protection locked="0"/>
    </xf>
    <xf numFmtId="0" fontId="21" fillId="24" borderId="74" xfId="74" applyFont="1" applyFill="1" applyBorder="1" applyAlignment="1" applyProtection="1">
      <alignment horizontal="justify" vertical="center" wrapText="1"/>
      <protection locked="0"/>
    </xf>
    <xf numFmtId="0" fontId="21" fillId="24" borderId="74" xfId="74" applyFont="1" applyFill="1" applyBorder="1" applyAlignment="1" applyProtection="1">
      <alignment horizontal="center" vertical="center" wrapText="1"/>
      <protection locked="0"/>
    </xf>
    <xf numFmtId="49" fontId="21" fillId="24" borderId="74" xfId="74" applyNumberFormat="1" applyFont="1" applyFill="1" applyBorder="1" applyAlignment="1" applyProtection="1">
      <alignment horizontal="center" vertical="center"/>
      <protection locked="0"/>
    </xf>
    <xf numFmtId="3" fontId="21" fillId="24" borderId="74" xfId="74" applyNumberFormat="1" applyFont="1" applyFill="1" applyBorder="1" applyAlignment="1" applyProtection="1">
      <alignment horizontal="justify" vertical="center" wrapText="1"/>
      <protection locked="0"/>
    </xf>
    <xf numFmtId="0" fontId="21" fillId="24" borderId="74" xfId="74" applyFont="1" applyFill="1" applyBorder="1" applyAlignment="1" applyProtection="1">
      <alignment horizontal="justify" wrapText="1"/>
      <protection locked="0"/>
    </xf>
    <xf numFmtId="0" fontId="89" fillId="24" borderId="74" xfId="74" applyFont="1" applyFill="1" applyBorder="1" applyAlignment="1" applyProtection="1">
      <alignment horizontal="center" vertical="center"/>
      <protection locked="0"/>
    </xf>
    <xf numFmtId="49" fontId="89" fillId="24" borderId="74" xfId="74" applyNumberFormat="1" applyFont="1" applyFill="1" applyBorder="1" applyAlignment="1" applyProtection="1">
      <alignment horizontal="center" vertical="center" wrapText="1"/>
      <protection locked="0"/>
    </xf>
    <xf numFmtId="0" fontId="89" fillId="24" borderId="74" xfId="74" applyFont="1" applyFill="1" applyBorder="1" applyAlignment="1" applyProtection="1">
      <alignment horizontal="center" vertical="center" wrapText="1"/>
      <protection locked="0"/>
    </xf>
    <xf numFmtId="49" fontId="90" fillId="24" borderId="74" xfId="74" applyNumberFormat="1" applyFont="1" applyFill="1" applyBorder="1" applyAlignment="1" applyProtection="1">
      <alignment horizontal="center" vertical="center"/>
      <protection locked="0"/>
    </xf>
    <xf numFmtId="3" fontId="89" fillId="24" borderId="74" xfId="74" applyNumberFormat="1" applyFont="1" applyFill="1" applyBorder="1" applyAlignment="1" applyProtection="1">
      <alignment horizontal="right" vertical="center"/>
      <protection locked="0"/>
    </xf>
    <xf numFmtId="0" fontId="34" fillId="24" borderId="74" xfId="74" applyFont="1" applyFill="1" applyBorder="1" applyAlignment="1" applyProtection="1">
      <alignment horizontal="left" vertical="center" wrapText="1"/>
      <protection locked="0"/>
    </xf>
    <xf numFmtId="0" fontId="34" fillId="24" borderId="74" xfId="74" applyFont="1" applyFill="1" applyBorder="1" applyAlignment="1" applyProtection="1">
      <alignment horizontal="center" vertical="center" wrapText="1"/>
      <protection locked="0"/>
    </xf>
    <xf numFmtId="0" fontId="21" fillId="24" borderId="74" xfId="74" applyFont="1" applyFill="1" applyBorder="1" applyAlignment="1" applyProtection="1">
      <alignment horizontal="left" vertical="center" wrapText="1"/>
      <protection locked="0"/>
    </xf>
    <xf numFmtId="0" fontId="34" fillId="24" borderId="74" xfId="74" applyFont="1" applyFill="1" applyBorder="1" applyAlignment="1" applyProtection="1">
      <alignment horizontal="justify" vertical="center" wrapText="1"/>
      <protection locked="0"/>
    </xf>
    <xf numFmtId="0" fontId="21" fillId="28" borderId="74" xfId="74" applyFont="1" applyFill="1" applyBorder="1" applyAlignment="1" applyProtection="1">
      <alignment horizontal="center" vertical="center" wrapText="1"/>
      <protection locked="0"/>
    </xf>
    <xf numFmtId="0" fontId="36" fillId="24" borderId="74" xfId="74" applyFont="1" applyFill="1" applyBorder="1" applyAlignment="1" applyProtection="1">
      <alignment horizontal="justify" vertical="center" wrapText="1"/>
      <protection locked="0"/>
    </xf>
    <xf numFmtId="0" fontId="21" fillId="24" borderId="74" xfId="74" applyFont="1" applyFill="1" applyBorder="1" applyAlignment="1" applyProtection="1">
      <alignment vertical="center"/>
      <protection locked="0"/>
    </xf>
    <xf numFmtId="0" fontId="21" fillId="24" borderId="74" xfId="74" applyFont="1" applyFill="1" applyBorder="1" applyAlignment="1" applyProtection="1">
      <alignment vertical="center" wrapText="1"/>
      <protection locked="0"/>
    </xf>
    <xf numFmtId="0" fontId="183" fillId="24" borderId="74" xfId="74" applyFont="1" applyFill="1" applyBorder="1" applyAlignment="1" applyProtection="1">
      <alignment horizontal="justify" vertical="center" wrapText="1"/>
      <protection locked="0"/>
    </xf>
    <xf numFmtId="49" fontId="91" fillId="24" borderId="74" xfId="74" applyNumberFormat="1" applyFont="1" applyFill="1" applyBorder="1" applyAlignment="1" applyProtection="1">
      <alignment horizontal="center" vertical="center"/>
      <protection locked="0"/>
    </xf>
    <xf numFmtId="0" fontId="189" fillId="24" borderId="74" xfId="74" applyFont="1" applyFill="1" applyBorder="1" applyAlignment="1" applyProtection="1">
      <alignment horizontal="justify" vertical="center" wrapText="1"/>
      <protection locked="0"/>
    </xf>
    <xf numFmtId="49" fontId="189" fillId="24" borderId="74" xfId="74" applyNumberFormat="1" applyFont="1" applyFill="1" applyBorder="1" applyAlignment="1" applyProtection="1">
      <alignment horizontal="center" vertical="center" wrapText="1"/>
      <protection locked="0"/>
    </xf>
    <xf numFmtId="0" fontId="189" fillId="24" borderId="74" xfId="74" applyFont="1" applyFill="1" applyBorder="1" applyAlignment="1" applyProtection="1">
      <alignment horizontal="center" vertical="center" wrapText="1"/>
      <protection locked="0"/>
    </xf>
    <xf numFmtId="0" fontId="33" fillId="24" borderId="74" xfId="74" applyFont="1" applyFill="1" applyBorder="1" applyAlignment="1" applyProtection="1">
      <alignment horizontal="left" vertical="center"/>
      <protection locked="0"/>
    </xf>
    <xf numFmtId="49" fontId="33" fillId="24" borderId="74" xfId="74" applyNumberFormat="1" applyFont="1" applyFill="1" applyBorder="1" applyAlignment="1" applyProtection="1">
      <alignment horizontal="center" vertical="center"/>
      <protection locked="0"/>
    </xf>
    <xf numFmtId="0" fontId="33" fillId="24" borderId="74" xfId="74" applyFont="1" applyFill="1" applyBorder="1" applyAlignment="1" applyProtection="1">
      <alignment horizontal="center" vertical="center"/>
      <protection locked="0"/>
    </xf>
    <xf numFmtId="3" fontId="33" fillId="24" borderId="74" xfId="74" applyNumberFormat="1" applyFont="1" applyFill="1" applyBorder="1" applyAlignment="1" applyProtection="1">
      <alignment horizontal="right" vertical="center"/>
      <protection locked="0"/>
    </xf>
    <xf numFmtId="0" fontId="91" fillId="24" borderId="74" xfId="74" applyFont="1" applyFill="1" applyBorder="1" applyAlignment="1" applyProtection="1">
      <alignment horizontal="center" vertical="center" wrapText="1"/>
      <protection locked="0"/>
    </xf>
    <xf numFmtId="0" fontId="89" fillId="24" borderId="74" xfId="74" applyFont="1" applyFill="1" applyBorder="1" applyAlignment="1" applyProtection="1">
      <alignment horizontal="justify" vertical="center" wrapText="1"/>
      <protection locked="0"/>
    </xf>
    <xf numFmtId="0" fontId="89" fillId="32" borderId="74" xfId="74" applyFont="1" applyFill="1" applyBorder="1" applyAlignment="1" applyProtection="1">
      <alignment horizontal="justify" vertical="center" wrapText="1"/>
      <protection locked="0"/>
    </xf>
    <xf numFmtId="49" fontId="89" fillId="24" borderId="74" xfId="74" applyNumberFormat="1" applyFont="1" applyFill="1" applyBorder="1" applyAlignment="1" applyProtection="1">
      <alignment horizontal="center" vertical="center"/>
      <protection locked="0"/>
    </xf>
    <xf numFmtId="0" fontId="93" fillId="24" borderId="74" xfId="74" applyFont="1" applyFill="1" applyBorder="1" applyAlignment="1" applyProtection="1">
      <alignment horizontal="center" vertical="center" wrapText="1"/>
      <protection locked="0"/>
    </xf>
    <xf numFmtId="3" fontId="93" fillId="24" borderId="74" xfId="74" applyNumberFormat="1" applyFont="1" applyFill="1" applyBorder="1" applyAlignment="1" applyProtection="1">
      <alignment horizontal="right" vertical="center"/>
      <protection locked="0"/>
    </xf>
    <xf numFmtId="0" fontId="21" fillId="24" borderId="74" xfId="74" applyFont="1" applyFill="1" applyBorder="1" applyAlignment="1" applyProtection="1">
      <alignment horizontal="justify" vertical="center"/>
      <protection locked="0"/>
    </xf>
    <xf numFmtId="49" fontId="21" fillId="24" borderId="74" xfId="74" applyNumberFormat="1" applyFont="1" applyFill="1" applyBorder="1" applyAlignment="1" applyProtection="1">
      <alignment vertical="center"/>
      <protection locked="0"/>
    </xf>
    <xf numFmtId="0" fontId="89" fillId="24" borderId="74" xfId="74" applyFont="1" applyFill="1" applyBorder="1" applyAlignment="1" applyProtection="1">
      <alignment horizontal="left" vertical="center" wrapText="1"/>
      <protection locked="0"/>
    </xf>
    <xf numFmtId="3" fontId="89" fillId="32" borderId="74" xfId="74" applyNumberFormat="1" applyFont="1" applyFill="1" applyBorder="1" applyAlignment="1" applyProtection="1">
      <alignment horizontal="right" vertical="center"/>
      <protection locked="0"/>
    </xf>
    <xf numFmtId="0" fontId="89" fillId="32" borderId="74" xfId="74" applyFont="1" applyFill="1" applyBorder="1" applyAlignment="1" applyProtection="1">
      <alignment horizontal="left" vertical="center" wrapText="1"/>
      <protection locked="0"/>
    </xf>
    <xf numFmtId="49" fontId="89" fillId="32" borderId="74" xfId="74" applyNumberFormat="1" applyFont="1" applyFill="1" applyBorder="1" applyAlignment="1" applyProtection="1">
      <alignment horizontal="center" vertical="center" wrapText="1"/>
      <protection locked="0"/>
    </xf>
    <xf numFmtId="49" fontId="89" fillId="32" borderId="74" xfId="74" applyNumberFormat="1" applyFont="1" applyFill="1" applyBorder="1" applyAlignment="1" applyProtection="1">
      <alignment horizontal="center" vertical="center"/>
      <protection locked="0"/>
    </xf>
    <xf numFmtId="0" fontId="90" fillId="24" borderId="74" xfId="74" applyFont="1" applyFill="1" applyBorder="1" applyAlignment="1" applyProtection="1">
      <alignment horizontal="justify" vertical="center" wrapText="1"/>
      <protection locked="0"/>
    </xf>
    <xf numFmtId="49" fontId="90" fillId="24" borderId="74" xfId="74" applyNumberFormat="1" applyFont="1" applyFill="1" applyBorder="1" applyAlignment="1" applyProtection="1">
      <alignment horizontal="center" vertical="center" wrapText="1"/>
      <protection locked="0"/>
    </xf>
    <xf numFmtId="3" fontId="90" fillId="24" borderId="74" xfId="74" applyNumberFormat="1" applyFont="1" applyFill="1" applyBorder="1" applyAlignment="1" applyProtection="1">
      <alignment horizontal="right" vertical="center"/>
      <protection locked="0"/>
    </xf>
    <xf numFmtId="0" fontId="90" fillId="24" borderId="74" xfId="74" applyFont="1" applyFill="1" applyBorder="1" applyAlignment="1" applyProtection="1">
      <alignment horizontal="center" vertical="center" wrapText="1"/>
      <protection locked="0"/>
    </xf>
    <xf numFmtId="0" fontId="89" fillId="24" borderId="74" xfId="74" applyFont="1" applyFill="1" applyBorder="1" applyAlignment="1" applyProtection="1">
      <alignment vertical="center"/>
      <protection locked="0"/>
    </xf>
    <xf numFmtId="0" fontId="21" fillId="26" borderId="74" xfId="74" applyFont="1" applyFill="1" applyBorder="1" applyAlignment="1" applyProtection="1">
      <alignment horizontal="justify" vertical="center" wrapText="1"/>
      <protection locked="0"/>
    </xf>
    <xf numFmtId="49" fontId="89" fillId="28" borderId="74" xfId="74" applyNumberFormat="1" applyFont="1" applyFill="1" applyBorder="1" applyAlignment="1" applyProtection="1">
      <alignment horizontal="center" vertical="center" wrapText="1"/>
      <protection locked="0"/>
    </xf>
    <xf numFmtId="49" fontId="54" fillId="24" borderId="74" xfId="74" applyNumberFormat="1" applyFont="1" applyFill="1" applyBorder="1" applyAlignment="1" applyProtection="1">
      <alignment horizontal="center" vertical="center" wrapText="1"/>
      <protection locked="0"/>
    </xf>
    <xf numFmtId="0" fontId="54" fillId="24" borderId="74" xfId="74" applyFont="1" applyFill="1" applyBorder="1" applyAlignment="1" applyProtection="1">
      <alignment horizontal="center" vertical="center" wrapText="1"/>
      <protection locked="0"/>
    </xf>
    <xf numFmtId="0" fontId="54" fillId="24" borderId="74" xfId="74" applyFont="1" applyFill="1" applyBorder="1" applyAlignment="1" applyProtection="1">
      <alignment horizontal="justify" vertical="center" wrapText="1"/>
      <protection locked="0"/>
    </xf>
    <xf numFmtId="49" fontId="38" fillId="24" borderId="74" xfId="74" applyNumberFormat="1" applyFont="1" applyFill="1" applyBorder="1" applyAlignment="1" applyProtection="1">
      <alignment horizontal="center" vertical="center" wrapText="1"/>
      <protection locked="0"/>
    </xf>
    <xf numFmtId="0" fontId="38" fillId="24" borderId="74" xfId="74" applyFont="1" applyFill="1" applyBorder="1" applyAlignment="1" applyProtection="1">
      <alignment horizontal="center" vertical="center" wrapText="1"/>
      <protection locked="0"/>
    </xf>
    <xf numFmtId="0" fontId="38" fillId="24" borderId="74" xfId="74" applyFont="1" applyFill="1" applyBorder="1" applyAlignment="1" applyProtection="1">
      <alignment horizontal="justify" vertical="center" wrapText="1"/>
      <protection locked="0"/>
    </xf>
    <xf numFmtId="0" fontId="21" fillId="32" borderId="74" xfId="74" applyFont="1" applyFill="1" applyBorder="1" applyAlignment="1" applyProtection="1">
      <alignment horizontal="center" vertical="center" wrapText="1"/>
      <protection locked="0"/>
    </xf>
    <xf numFmtId="49" fontId="21" fillId="24" borderId="74" xfId="74" applyNumberFormat="1" applyFont="1" applyFill="1" applyBorder="1" applyAlignment="1" applyProtection="1">
      <alignment horizontal="left" vertical="center"/>
      <protection locked="0"/>
    </xf>
    <xf numFmtId="1" fontId="21" fillId="24" borderId="74" xfId="74" applyNumberFormat="1" applyFont="1" applyFill="1" applyBorder="1" applyAlignment="1" applyProtection="1">
      <alignment horizontal="center" vertical="center" wrapText="1"/>
      <protection locked="0"/>
    </xf>
    <xf numFmtId="0" fontId="96" fillId="0" borderId="74" xfId="0" applyFont="1" applyBorder="1" applyAlignment="1">
      <alignment horizontal="justify" vertical="center" wrapText="1"/>
    </xf>
    <xf numFmtId="0" fontId="21" fillId="31" borderId="74" xfId="0" applyFont="1" applyFill="1" applyBorder="1" applyAlignment="1">
      <alignment horizontal="justify" vertical="center" wrapText="1"/>
    </xf>
    <xf numFmtId="3" fontId="21" fillId="0" borderId="74" xfId="74" applyNumberFormat="1" applyFont="1" applyBorder="1" applyAlignment="1" applyProtection="1">
      <alignment horizontal="right" vertical="center"/>
      <protection locked="0"/>
    </xf>
    <xf numFmtId="0" fontId="21" fillId="0" borderId="74" xfId="0" applyFont="1" applyBorder="1" applyAlignment="1">
      <alignment horizontal="justify" vertical="center" wrapText="1"/>
    </xf>
    <xf numFmtId="0" fontId="33" fillId="24" borderId="74" xfId="74" applyFont="1" applyFill="1" applyBorder="1" applyAlignment="1" applyProtection="1">
      <alignment horizontal="justify" vertical="center" wrapText="1"/>
      <protection locked="0"/>
    </xf>
    <xf numFmtId="49" fontId="33" fillId="24" borderId="74" xfId="74" applyNumberFormat="1" applyFont="1" applyFill="1" applyBorder="1" applyAlignment="1" applyProtection="1">
      <alignment horizontal="center" vertical="center" wrapText="1"/>
      <protection locked="0"/>
    </xf>
    <xf numFmtId="0" fontId="33" fillId="24" borderId="74" xfId="74" applyFont="1" applyFill="1" applyBorder="1" applyAlignment="1" applyProtection="1">
      <alignment horizontal="center" vertical="center" wrapText="1"/>
      <protection locked="0"/>
    </xf>
    <xf numFmtId="0" fontId="21" fillId="26" borderId="74" xfId="74" applyFont="1" applyFill="1" applyBorder="1" applyAlignment="1" applyProtection="1">
      <alignment horizontal="center" vertical="center" wrapText="1"/>
      <protection locked="0"/>
    </xf>
    <xf numFmtId="1" fontId="89" fillId="24" borderId="74" xfId="74" applyNumberFormat="1" applyFont="1" applyFill="1" applyBorder="1" applyAlignment="1" applyProtection="1">
      <alignment horizontal="center" vertical="center" wrapText="1"/>
      <protection locked="0"/>
    </xf>
    <xf numFmtId="0" fontId="34" fillId="30" borderId="74" xfId="74" applyFont="1" applyFill="1" applyBorder="1" applyAlignment="1" applyProtection="1">
      <alignment horizontal="justify" vertical="center" wrapText="1"/>
      <protection locked="0"/>
    </xf>
    <xf numFmtId="49" fontId="34" fillId="30" borderId="74" xfId="74" applyNumberFormat="1" applyFont="1" applyFill="1" applyBorder="1" applyAlignment="1" applyProtection="1">
      <alignment horizontal="center" vertical="center" wrapText="1"/>
      <protection locked="0"/>
    </xf>
    <xf numFmtId="1" fontId="34" fillId="30" borderId="74" xfId="74" applyNumberFormat="1" applyFont="1" applyFill="1" applyBorder="1" applyAlignment="1" applyProtection="1">
      <alignment horizontal="center" vertical="center" wrapText="1"/>
      <protection locked="0"/>
    </xf>
    <xf numFmtId="0" fontId="34" fillId="30" borderId="74" xfId="74" applyFont="1" applyFill="1" applyBorder="1" applyAlignment="1" applyProtection="1">
      <alignment horizontal="center" vertical="center" wrapText="1"/>
      <protection locked="0"/>
    </xf>
    <xf numFmtId="49" fontId="34" fillId="30" borderId="74" xfId="74" applyNumberFormat="1" applyFont="1" applyFill="1" applyBorder="1" applyAlignment="1" applyProtection="1">
      <alignment horizontal="center" vertical="center"/>
      <protection locked="0"/>
    </xf>
    <xf numFmtId="3" fontId="34" fillId="30" borderId="74" xfId="74" applyNumberFormat="1" applyFont="1" applyFill="1" applyBorder="1" applyAlignment="1" applyProtection="1">
      <alignment horizontal="right" vertical="center"/>
      <protection locked="0"/>
    </xf>
    <xf numFmtId="3" fontId="21" fillId="32" borderId="74" xfId="74" applyNumberFormat="1" applyFont="1" applyFill="1" applyBorder="1" applyAlignment="1" applyProtection="1">
      <alignment horizontal="right" vertical="center"/>
      <protection locked="0"/>
    </xf>
    <xf numFmtId="3" fontId="186" fillId="24" borderId="74" xfId="74" applyNumberFormat="1" applyFont="1" applyFill="1" applyBorder="1" applyAlignment="1" applyProtection="1">
      <alignment horizontal="right" vertical="center"/>
      <protection locked="0"/>
    </xf>
    <xf numFmtId="3" fontId="21" fillId="24" borderId="161" xfId="74" applyNumberFormat="1" applyFont="1" applyFill="1" applyBorder="1" applyAlignment="1" applyProtection="1">
      <alignment horizontal="center" vertical="center" wrapText="1"/>
      <protection locked="0"/>
    </xf>
    <xf numFmtId="3" fontId="21" fillId="24" borderId="74" xfId="74" applyNumberFormat="1" applyFont="1" applyFill="1" applyBorder="1" applyAlignment="1" applyProtection="1">
      <alignment horizontal="center" vertical="center"/>
      <protection locked="0"/>
    </xf>
    <xf numFmtId="3" fontId="90" fillId="32" borderId="74" xfId="74" applyNumberFormat="1" applyFont="1" applyFill="1" applyBorder="1" applyAlignment="1" applyProtection="1">
      <alignment horizontal="right" vertical="center"/>
      <protection locked="0"/>
    </xf>
    <xf numFmtId="3" fontId="54" fillId="24" borderId="74" xfId="74" applyNumberFormat="1" applyFont="1" applyFill="1" applyBorder="1" applyAlignment="1" applyProtection="1">
      <alignment horizontal="right" vertical="center"/>
      <protection locked="0"/>
    </xf>
    <xf numFmtId="3" fontId="37" fillId="24" borderId="74" xfId="74" applyNumberFormat="1" applyFont="1" applyFill="1" applyBorder="1" applyAlignment="1" applyProtection="1">
      <alignment horizontal="right" vertical="center"/>
      <protection locked="0"/>
    </xf>
    <xf numFmtId="3" fontId="38" fillId="24" borderId="74" xfId="74" applyNumberFormat="1" applyFont="1" applyFill="1" applyBorder="1" applyAlignment="1" applyProtection="1">
      <alignment horizontal="right" vertical="center"/>
      <protection locked="0"/>
    </xf>
    <xf numFmtId="3" fontId="36" fillId="24" borderId="74" xfId="74" applyNumberFormat="1" applyFont="1" applyFill="1" applyBorder="1" applyAlignment="1" applyProtection="1">
      <alignment horizontal="right" vertical="center"/>
      <protection locked="0"/>
    </xf>
    <xf numFmtId="0" fontId="59" fillId="0" borderId="179" xfId="80" applyFont="1" applyBorder="1" applyAlignment="1">
      <alignment horizontal="center" vertical="center"/>
    </xf>
    <xf numFmtId="0" fontId="59" fillId="0" borderId="180" xfId="80" applyFont="1" applyBorder="1" applyAlignment="1">
      <alignment horizontal="center" vertical="center"/>
    </xf>
    <xf numFmtId="3" fontId="59" fillId="24" borderId="48" xfId="80" applyNumberFormat="1" applyFont="1" applyFill="1" applyBorder="1" applyAlignment="1" applyProtection="1">
      <alignment horizontal="center" vertical="center"/>
      <protection locked="0"/>
    </xf>
    <xf numFmtId="3" fontId="59" fillId="24" borderId="48" xfId="80" applyNumberFormat="1" applyFont="1" applyFill="1" applyBorder="1" applyAlignment="1" applyProtection="1">
      <alignment horizontal="right" vertical="center"/>
      <protection locked="0"/>
    </xf>
    <xf numFmtId="3" fontId="59" fillId="24" borderId="11" xfId="80" applyNumberFormat="1" applyFont="1" applyFill="1" applyBorder="1" applyAlignment="1" applyProtection="1">
      <alignment horizontal="right" vertical="center"/>
      <protection locked="0"/>
    </xf>
    <xf numFmtId="3" fontId="59" fillId="24" borderId="114" xfId="80" applyNumberFormat="1" applyFont="1" applyFill="1" applyBorder="1" applyAlignment="1" applyProtection="1">
      <alignment horizontal="right" vertical="center"/>
      <protection locked="0"/>
    </xf>
    <xf numFmtId="0" fontId="118" fillId="24" borderId="11" xfId="0" applyFont="1" applyFill="1" applyBorder="1" applyAlignment="1">
      <alignment vertical="center"/>
    </xf>
    <xf numFmtId="0" fontId="118" fillId="24" borderId="114" xfId="0" applyFont="1" applyFill="1" applyBorder="1" applyAlignment="1">
      <alignment vertical="center"/>
    </xf>
    <xf numFmtId="3" fontId="59" fillId="24" borderId="181" xfId="80" applyNumberFormat="1" applyFont="1" applyFill="1" applyBorder="1" applyAlignment="1" applyProtection="1">
      <alignment horizontal="center" vertical="center"/>
      <protection locked="0"/>
    </xf>
    <xf numFmtId="3" fontId="59" fillId="24" borderId="181" xfId="80" applyNumberFormat="1" applyFont="1" applyFill="1" applyBorder="1" applyAlignment="1" applyProtection="1">
      <alignment horizontal="right" vertical="center"/>
      <protection locked="0"/>
    </xf>
    <xf numFmtId="3" fontId="59" fillId="24" borderId="138" xfId="80" applyNumberFormat="1" applyFont="1" applyFill="1" applyBorder="1" applyAlignment="1" applyProtection="1">
      <alignment horizontal="right" vertical="center"/>
      <protection locked="0"/>
    </xf>
    <xf numFmtId="3" fontId="59" fillId="24" borderId="144" xfId="80" applyNumberFormat="1" applyFont="1" applyFill="1" applyBorder="1" applyAlignment="1" applyProtection="1">
      <alignment horizontal="right" vertical="center"/>
      <protection locked="0"/>
    </xf>
    <xf numFmtId="3" fontId="59" fillId="24" borderId="182" xfId="80" applyNumberFormat="1" applyFont="1" applyFill="1" applyBorder="1" applyAlignment="1">
      <alignment horizontal="center" vertical="center"/>
    </xf>
    <xf numFmtId="0" fontId="118" fillId="24" borderId="48" xfId="0" applyFont="1" applyFill="1" applyBorder="1" applyAlignment="1">
      <alignment horizontal="center" vertical="center"/>
    </xf>
    <xf numFmtId="0" fontId="118" fillId="24" borderId="48" xfId="0" applyFont="1" applyFill="1" applyBorder="1" applyAlignment="1">
      <alignment vertical="center"/>
    </xf>
    <xf numFmtId="3" fontId="24" fillId="24" borderId="48" xfId="80" applyNumberFormat="1" applyFont="1" applyFill="1" applyBorder="1" applyAlignment="1">
      <alignment horizontal="right" vertical="center"/>
    </xf>
    <xf numFmtId="0" fontId="21" fillId="0" borderId="74" xfId="0" applyFont="1" applyBorder="1" applyAlignment="1">
      <alignment horizontal="right" vertical="center" wrapText="1"/>
    </xf>
    <xf numFmtId="3" fontId="59" fillId="24" borderId="183" xfId="80" applyNumberFormat="1" applyFont="1" applyFill="1" applyBorder="1" applyAlignment="1">
      <alignment horizontal="center" vertical="center"/>
    </xf>
    <xf numFmtId="0" fontId="29" fillId="0" borderId="74" xfId="0" applyFont="1" applyBorder="1" applyAlignment="1">
      <alignment horizontal="center" vertical="center" wrapText="1"/>
    </xf>
    <xf numFmtId="3" fontId="205" fillId="24" borderId="74" xfId="74" applyNumberFormat="1" applyFont="1" applyFill="1" applyBorder="1" applyAlignment="1" applyProtection="1">
      <alignment horizontal="right" vertical="center"/>
      <protection locked="0"/>
    </xf>
    <xf numFmtId="3" fontId="65" fillId="60" borderId="19" xfId="80" applyNumberFormat="1" applyFont="1" applyFill="1" applyBorder="1" applyAlignment="1">
      <alignment horizontal="right" vertical="center" wrapText="1"/>
    </xf>
    <xf numFmtId="3" fontId="77" fillId="61" borderId="10" xfId="80" applyNumberFormat="1" applyFont="1" applyFill="1" applyBorder="1" applyAlignment="1">
      <alignment horizontal="right" vertical="center" wrapText="1"/>
    </xf>
    <xf numFmtId="3" fontId="23" fillId="61" borderId="10" xfId="80" applyNumberFormat="1" applyFill="1" applyBorder="1" applyAlignment="1">
      <alignment horizontal="right" vertical="center" wrapText="1"/>
    </xf>
    <xf numFmtId="176" fontId="59" fillId="60" borderId="19" xfId="80" applyNumberFormat="1" applyFont="1" applyFill="1" applyBorder="1" applyAlignment="1">
      <alignment horizontal="right" vertical="center" wrapText="1"/>
    </xf>
    <xf numFmtId="0" fontId="109" fillId="0" borderId="12" xfId="0" applyFont="1" applyBorder="1" applyAlignment="1">
      <alignment horizontal="justify" vertical="center" wrapText="1"/>
    </xf>
    <xf numFmtId="3" fontId="109" fillId="24" borderId="12" xfId="0" applyNumberFormat="1" applyFont="1" applyFill="1" applyBorder="1" applyAlignment="1">
      <alignment horizontal="right" vertical="center"/>
    </xf>
    <xf numFmtId="3" fontId="109" fillId="0" borderId="12" xfId="0" applyNumberFormat="1" applyFont="1" applyBorder="1" applyAlignment="1">
      <alignment horizontal="right" vertical="center"/>
    </xf>
    <xf numFmtId="3" fontId="45" fillId="24" borderId="0" xfId="0" applyNumberFormat="1" applyFont="1" applyFill="1" applyAlignment="1">
      <alignment horizontal="left" vertical="center" wrapText="1"/>
    </xf>
    <xf numFmtId="3" fontId="21" fillId="0" borderId="0" xfId="79" applyNumberFormat="1" applyFont="1" applyAlignment="1">
      <alignment horizontal="center" vertical="center"/>
    </xf>
    <xf numFmtId="0" fontId="0" fillId="24" borderId="25" xfId="0" applyFill="1" applyBorder="1" applyAlignment="1">
      <alignment vertical="center"/>
    </xf>
    <xf numFmtId="0" fontId="0" fillId="24" borderId="10" xfId="0" applyFill="1" applyBorder="1" applyAlignment="1">
      <alignment vertical="center"/>
    </xf>
    <xf numFmtId="3" fontId="36" fillId="0" borderId="183" xfId="0" applyNumberFormat="1" applyFont="1" applyBorder="1" applyAlignment="1">
      <alignment horizontal="justify" vertical="center" wrapText="1"/>
    </xf>
    <xf numFmtId="3" fontId="84" fillId="0" borderId="0" xfId="80" applyNumberFormat="1" applyFont="1" applyAlignment="1">
      <alignment vertical="center" wrapText="1"/>
    </xf>
    <xf numFmtId="0" fontId="37" fillId="0" borderId="184" xfId="0" applyFont="1" applyBorder="1" applyAlignment="1">
      <alignment horizontal="center" vertical="center"/>
    </xf>
    <xf numFmtId="0" fontId="73" fillId="0" borderId="185" xfId="77" applyFont="1" applyBorder="1" applyAlignment="1">
      <alignment horizontal="center" vertical="center" wrapText="1"/>
    </xf>
    <xf numFmtId="0" fontId="31" fillId="0" borderId="185" xfId="0" applyFont="1" applyBorder="1" applyAlignment="1">
      <alignment horizontal="center" vertical="center" wrapText="1"/>
    </xf>
    <xf numFmtId="3" fontId="66" fillId="55" borderId="120" xfId="83" applyNumberFormat="1" applyFont="1" applyFill="1" applyBorder="1" applyAlignment="1">
      <alignment horizontal="right" vertical="center" wrapText="1"/>
    </xf>
    <xf numFmtId="3" fontId="60" fillId="0" borderId="25" xfId="83" applyNumberFormat="1" applyFont="1" applyBorder="1" applyAlignment="1">
      <alignment horizontal="right" vertical="center" wrapText="1"/>
    </xf>
    <xf numFmtId="0" fontId="24" fillId="0" borderId="74" xfId="79" applyBorder="1" applyAlignment="1">
      <alignment vertical="center"/>
    </xf>
    <xf numFmtId="0" fontId="60" fillId="55" borderId="74" xfId="79" applyFont="1" applyFill="1" applyBorder="1" applyAlignment="1">
      <alignment vertical="center"/>
    </xf>
    <xf numFmtId="0" fontId="24" fillId="0" borderId="74" xfId="83" applyFont="1" applyBorder="1" applyAlignment="1">
      <alignment horizontal="center" vertical="center" wrapText="1"/>
    </xf>
    <xf numFmtId="0" fontId="63" fillId="0" borderId="138" xfId="83" applyFont="1" applyBorder="1" applyAlignment="1">
      <alignment horizontal="center" vertical="center" wrapText="1"/>
    </xf>
    <xf numFmtId="3" fontId="21" fillId="59" borderId="10" xfId="74" applyNumberFormat="1" applyFont="1" applyFill="1" applyBorder="1" applyAlignment="1" applyProtection="1">
      <alignment horizontal="right" vertical="center"/>
      <protection locked="0"/>
    </xf>
    <xf numFmtId="49" fontId="97" fillId="24" borderId="10" xfId="74" applyNumberFormat="1" applyFont="1" applyFill="1" applyBorder="1" applyAlignment="1" applyProtection="1">
      <alignment horizontal="center" vertical="center" wrapText="1"/>
      <protection locked="0"/>
    </xf>
    <xf numFmtId="0" fontId="21" fillId="24" borderId="25" xfId="74" applyFont="1" applyFill="1" applyBorder="1" applyAlignment="1" applyProtection="1">
      <alignment horizontal="left" vertical="center" wrapText="1"/>
      <protection locked="0"/>
    </xf>
    <xf numFmtId="3" fontId="205" fillId="30" borderId="10" xfId="74" applyNumberFormat="1" applyFont="1" applyFill="1" applyBorder="1" applyAlignment="1" applyProtection="1">
      <alignment horizontal="right" vertical="center"/>
      <protection locked="0"/>
    </xf>
    <xf numFmtId="3" fontId="206" fillId="27" borderId="10" xfId="74" applyNumberFormat="1" applyFont="1" applyFill="1" applyBorder="1" applyAlignment="1" applyProtection="1">
      <alignment horizontal="right" vertical="center"/>
      <protection locked="0"/>
    </xf>
    <xf numFmtId="3" fontId="52" fillId="23" borderId="10" xfId="0" applyNumberFormat="1" applyFont="1" applyFill="1" applyBorder="1" applyAlignment="1">
      <alignment vertical="center"/>
    </xf>
    <xf numFmtId="168" fontId="34" fillId="0" borderId="74" xfId="0" applyNumberFormat="1" applyFont="1" applyBorder="1" applyAlignment="1">
      <alignment vertical="center"/>
    </xf>
    <xf numFmtId="0" fontId="89" fillId="62" borderId="74" xfId="74" applyFont="1" applyFill="1" applyBorder="1" applyAlignment="1" applyProtection="1">
      <alignment horizontal="justify" vertical="center" wrapText="1"/>
      <protection locked="0"/>
    </xf>
    <xf numFmtId="0" fontId="29" fillId="0" borderId="74" xfId="0" applyFont="1" applyBorder="1" applyAlignment="1">
      <alignment horizontal="justify" vertical="center" wrapText="1"/>
    </xf>
    <xf numFmtId="3" fontId="29" fillId="0" borderId="74" xfId="0" applyNumberFormat="1" applyFont="1" applyBorder="1" applyAlignment="1">
      <alignment vertical="center"/>
    </xf>
    <xf numFmtId="0" fontId="45" fillId="0" borderId="0" xfId="0" applyFont="1" applyAlignment="1">
      <alignment vertical="center" wrapText="1"/>
    </xf>
    <xf numFmtId="3" fontId="45" fillId="0" borderId="0" xfId="0" applyNumberFormat="1" applyFont="1" applyAlignment="1">
      <alignment vertical="center"/>
    </xf>
    <xf numFmtId="0" fontId="207" fillId="0" borderId="74" xfId="0" applyFont="1" applyBorder="1" applyAlignment="1">
      <alignment horizontal="justify" vertical="center" wrapText="1"/>
    </xf>
    <xf numFmtId="0" fontId="207" fillId="24" borderId="74" xfId="0" applyFont="1" applyFill="1" applyBorder="1" applyAlignment="1">
      <alignment horizontal="center" vertical="center" wrapText="1"/>
    </xf>
    <xf numFmtId="3" fontId="207" fillId="0" borderId="74" xfId="0" applyNumberFormat="1" applyFont="1" applyBorder="1" applyAlignment="1">
      <alignment vertical="center"/>
    </xf>
    <xf numFmtId="0" fontId="36" fillId="0" borderId="130" xfId="0" applyFont="1" applyBorder="1" applyAlignment="1">
      <alignment vertical="center" wrapText="1"/>
    </xf>
    <xf numFmtId="0" fontId="86" fillId="24" borderId="10" xfId="74" applyFont="1" applyFill="1" applyBorder="1" applyAlignment="1" applyProtection="1">
      <alignment vertical="center"/>
      <protection locked="0"/>
    </xf>
    <xf numFmtId="3" fontId="89" fillId="59" borderId="74" xfId="74" applyNumberFormat="1" applyFont="1" applyFill="1" applyBorder="1" applyAlignment="1" applyProtection="1">
      <alignment horizontal="right" vertical="center"/>
      <protection locked="0"/>
    </xf>
    <xf numFmtId="3" fontId="120" fillId="32" borderId="10" xfId="74" applyNumberFormat="1" applyFont="1" applyFill="1" applyBorder="1" applyAlignment="1" applyProtection="1">
      <alignment horizontal="right" vertical="center"/>
      <protection locked="0"/>
    </xf>
    <xf numFmtId="0" fontId="89" fillId="24" borderId="0" xfId="74" applyFont="1" applyFill="1" applyProtection="1">
      <protection locked="0"/>
    </xf>
    <xf numFmtId="0" fontId="208" fillId="24" borderId="74" xfId="74" applyFont="1" applyFill="1" applyBorder="1" applyAlignment="1" applyProtection="1">
      <alignment horizontal="justify" vertical="center" wrapText="1"/>
      <protection locked="0"/>
    </xf>
    <xf numFmtId="0" fontId="46" fillId="0" borderId="83" xfId="0" applyFont="1" applyBorder="1" applyAlignment="1">
      <alignment vertical="center" wrapText="1"/>
    </xf>
    <xf numFmtId="10" fontId="21" fillId="24" borderId="10" xfId="74" applyNumberFormat="1" applyFont="1" applyFill="1" applyBorder="1" applyAlignment="1" applyProtection="1">
      <alignment horizontal="right" vertical="center"/>
      <protection locked="0"/>
    </xf>
    <xf numFmtId="3" fontId="66" fillId="55" borderId="74" xfId="79" applyNumberFormat="1" applyFont="1" applyFill="1" applyBorder="1" applyAlignment="1" applyProtection="1">
      <alignment horizontal="right" vertical="center" wrapText="1"/>
      <protection locked="0"/>
    </xf>
    <xf numFmtId="3" fontId="60" fillId="55" borderId="74" xfId="79" applyNumberFormat="1" applyFont="1" applyFill="1" applyBorder="1" applyAlignment="1" applyProtection="1">
      <alignment horizontal="right" vertical="center" wrapText="1"/>
      <protection locked="0"/>
    </xf>
    <xf numFmtId="49" fontId="34" fillId="62" borderId="74" xfId="74" applyNumberFormat="1" applyFont="1" applyFill="1" applyBorder="1" applyAlignment="1" applyProtection="1">
      <alignment horizontal="center" vertical="center" wrapText="1"/>
      <protection locked="0"/>
    </xf>
    <xf numFmtId="0" fontId="34" fillId="62" borderId="74" xfId="74" applyFont="1" applyFill="1" applyBorder="1" applyAlignment="1" applyProtection="1">
      <alignment horizontal="center" vertical="center" wrapText="1"/>
      <protection locked="0"/>
    </xf>
    <xf numFmtId="49" fontId="89" fillId="62" borderId="74" xfId="74" applyNumberFormat="1" applyFont="1" applyFill="1" applyBorder="1" applyAlignment="1" applyProtection="1">
      <alignment horizontal="center" vertical="center" wrapText="1"/>
      <protection locked="0"/>
    </xf>
    <xf numFmtId="49" fontId="89" fillId="62" borderId="74" xfId="74" applyNumberFormat="1" applyFont="1" applyFill="1" applyBorder="1" applyAlignment="1" applyProtection="1">
      <alignment horizontal="center" vertical="center"/>
      <protection locked="0"/>
    </xf>
    <xf numFmtId="1" fontId="21" fillId="62" borderId="74" xfId="74" applyNumberFormat="1" applyFont="1" applyFill="1" applyBorder="1" applyAlignment="1" applyProtection="1">
      <alignment horizontal="center" vertical="center" wrapText="1"/>
      <protection locked="0"/>
    </xf>
    <xf numFmtId="0" fontId="21" fillId="55" borderId="74" xfId="74" applyFont="1" applyFill="1" applyBorder="1" applyAlignment="1" applyProtection="1">
      <alignment horizontal="justify" vertical="center" wrapText="1"/>
      <protection locked="0"/>
    </xf>
    <xf numFmtId="3" fontId="89" fillId="59" borderId="10" xfId="74" applyNumberFormat="1" applyFont="1" applyFill="1" applyBorder="1" applyAlignment="1" applyProtection="1">
      <alignment horizontal="right" vertical="center"/>
      <protection locked="0"/>
    </xf>
    <xf numFmtId="0" fontId="36" fillId="0" borderId="83" xfId="0" applyFont="1" applyBorder="1" applyAlignment="1">
      <alignment horizontal="justify" vertical="center" wrapText="1"/>
    </xf>
    <xf numFmtId="0" fontId="36" fillId="0" borderId="119" xfId="0" applyFont="1" applyBorder="1" applyAlignment="1">
      <alignment horizontal="justify" vertical="center" wrapText="1"/>
    </xf>
    <xf numFmtId="0" fontId="37" fillId="0" borderId="119" xfId="0" applyFont="1" applyBorder="1" applyAlignment="1">
      <alignment horizontal="justify" vertical="center" wrapText="1"/>
    </xf>
    <xf numFmtId="3" fontId="82" fillId="24" borderId="186" xfId="80" applyNumberFormat="1" applyFont="1" applyFill="1" applyBorder="1" applyAlignment="1">
      <alignment horizontal="center" vertical="center" wrapText="1"/>
    </xf>
    <xf numFmtId="3" fontId="60" fillId="30" borderId="12" xfId="80" applyNumberFormat="1" applyFont="1" applyFill="1" applyBorder="1" applyAlignment="1" applyProtection="1">
      <alignment horizontal="right" vertical="center" wrapText="1"/>
      <protection locked="0"/>
    </xf>
    <xf numFmtId="3" fontId="65" fillId="24" borderId="14" xfId="80" applyNumberFormat="1" applyFont="1" applyFill="1" applyBorder="1" applyAlignment="1">
      <alignment horizontal="right" vertical="center" wrapText="1"/>
    </xf>
    <xf numFmtId="3" fontId="209" fillId="0" borderId="0" xfId="79" applyNumberFormat="1" applyFont="1" applyAlignment="1">
      <alignment horizontal="right" vertical="center"/>
    </xf>
    <xf numFmtId="3" fontId="205" fillId="0" borderId="0" xfId="79" applyNumberFormat="1" applyFont="1" applyAlignment="1">
      <alignment vertical="center"/>
    </xf>
    <xf numFmtId="168" fontId="23" fillId="0" borderId="0" xfId="80" applyNumberFormat="1" applyAlignment="1">
      <alignment vertical="center" wrapText="1"/>
    </xf>
    <xf numFmtId="0" fontId="21" fillId="24" borderId="74" xfId="74" quotePrefix="1" applyFont="1" applyFill="1" applyBorder="1" applyAlignment="1" applyProtection="1">
      <alignment horizontal="center" vertical="center" wrapText="1"/>
      <protection locked="0"/>
    </xf>
    <xf numFmtId="49" fontId="21" fillId="24" borderId="74" xfId="74" quotePrefix="1" applyNumberFormat="1" applyFont="1" applyFill="1" applyBorder="1" applyAlignment="1" applyProtection="1">
      <alignment horizontal="center" vertical="center" wrapText="1"/>
      <protection locked="0"/>
    </xf>
    <xf numFmtId="0" fontId="77" fillId="0" borderId="36" xfId="79" applyFont="1" applyBorder="1" applyAlignment="1">
      <alignment horizontal="justify" vertical="center" wrapText="1"/>
    </xf>
    <xf numFmtId="0" fontId="36" fillId="0" borderId="77" xfId="0" applyFont="1" applyBorder="1" applyAlignment="1">
      <alignment vertical="center"/>
    </xf>
    <xf numFmtId="0" fontId="36" fillId="0" borderId="12" xfId="0" applyFont="1" applyBorder="1" applyAlignment="1">
      <alignment vertical="center" wrapText="1"/>
    </xf>
    <xf numFmtId="0" fontId="36" fillId="0" borderId="12" xfId="0" applyFont="1" applyBorder="1" applyAlignment="1">
      <alignment vertical="center"/>
    </xf>
    <xf numFmtId="167" fontId="195" fillId="0" borderId="0" xfId="76" applyNumberFormat="1" applyFont="1" applyAlignment="1">
      <alignment vertical="center" wrapText="1"/>
    </xf>
    <xf numFmtId="167" fontId="195" fillId="0" borderId="0" xfId="76" applyNumberFormat="1" applyFont="1" applyAlignment="1">
      <alignment horizontal="center" vertical="center" wrapText="1"/>
    </xf>
    <xf numFmtId="0" fontId="89" fillId="24" borderId="10" xfId="74" quotePrefix="1" applyFont="1" applyFill="1" applyBorder="1" applyAlignment="1" applyProtection="1">
      <alignment horizontal="center" vertical="center"/>
      <protection locked="0"/>
    </xf>
    <xf numFmtId="0" fontId="82" fillId="23" borderId="36" xfId="83" applyFont="1" applyFill="1" applyBorder="1" applyAlignment="1">
      <alignment horizontal="left" vertical="center" wrapText="1"/>
    </xf>
    <xf numFmtId="167" fontId="77" fillId="23" borderId="28" xfId="79" applyNumberFormat="1" applyFont="1" applyFill="1" applyBorder="1" applyAlignment="1">
      <alignment horizontal="right" vertical="center" wrapText="1"/>
    </xf>
    <xf numFmtId="3" fontId="61" fillId="0" borderId="0" xfId="79" applyNumberFormat="1" applyFont="1" applyAlignment="1">
      <alignment vertical="center"/>
    </xf>
    <xf numFmtId="0" fontId="79" fillId="0" borderId="11" xfId="83" applyFont="1" applyBorder="1" applyAlignment="1">
      <alignment horizontal="left" vertical="center" wrapText="1"/>
    </xf>
    <xf numFmtId="3" fontId="66" fillId="0" borderId="58" xfId="79" applyNumberFormat="1" applyFont="1" applyBorder="1" applyAlignment="1" applyProtection="1">
      <alignment horizontal="right" vertical="center" wrapText="1"/>
      <protection locked="0"/>
    </xf>
    <xf numFmtId="3" fontId="66" fillId="0" borderId="23" xfId="79" applyNumberFormat="1" applyFont="1" applyBorder="1" applyAlignment="1" applyProtection="1">
      <alignment horizontal="right" vertical="center" wrapText="1"/>
      <protection locked="0"/>
    </xf>
    <xf numFmtId="3" fontId="66" fillId="0" borderId="38" xfId="79" applyNumberFormat="1" applyFont="1" applyBorder="1" applyAlignment="1" applyProtection="1">
      <alignment horizontal="right" vertical="center" wrapText="1"/>
      <protection locked="0"/>
    </xf>
    <xf numFmtId="0" fontId="79" fillId="0" borderId="10" xfId="83" applyFont="1" applyBorder="1" applyAlignment="1">
      <alignment horizontal="left" vertical="center" wrapText="1"/>
    </xf>
    <xf numFmtId="0" fontId="77" fillId="23" borderId="36" xfId="79" applyFont="1" applyFill="1" applyBorder="1" applyAlignment="1">
      <alignment horizontal="left" vertical="center" wrapText="1"/>
    </xf>
    <xf numFmtId="3" fontId="60" fillId="0" borderId="11" xfId="79" applyNumberFormat="1" applyFont="1" applyBorder="1" applyAlignment="1" applyProtection="1">
      <alignment horizontal="right" vertical="center" wrapText="1"/>
      <protection locked="0"/>
    </xf>
    <xf numFmtId="3" fontId="60" fillId="0" borderId="10" xfId="79" applyNumberFormat="1" applyFont="1" applyBorder="1" applyAlignment="1" applyProtection="1">
      <alignment horizontal="right" vertical="center" wrapText="1"/>
      <protection locked="0"/>
    </xf>
    <xf numFmtId="3" fontId="60" fillId="0" borderId="12" xfId="79" applyNumberFormat="1" applyFont="1" applyBorder="1" applyAlignment="1" applyProtection="1">
      <alignment horizontal="right" vertical="center" wrapText="1"/>
      <protection locked="0"/>
    </xf>
    <xf numFmtId="0" fontId="77" fillId="3" borderId="36" xfId="79" applyFont="1" applyFill="1" applyBorder="1" applyAlignment="1">
      <alignment horizontal="left" vertical="center" wrapText="1"/>
    </xf>
    <xf numFmtId="3" fontId="65" fillId="3" borderId="28" xfId="79" applyNumberFormat="1" applyFont="1" applyFill="1" applyBorder="1" applyAlignment="1">
      <alignment horizontal="right" vertical="center" wrapText="1"/>
    </xf>
    <xf numFmtId="3" fontId="77" fillId="23" borderId="28" xfId="79" applyNumberFormat="1" applyFont="1" applyFill="1" applyBorder="1" applyAlignment="1" applyProtection="1">
      <alignment horizontal="right" vertical="center" wrapText="1"/>
      <protection locked="0"/>
    </xf>
    <xf numFmtId="167" fontId="63" fillId="0" borderId="20" xfId="79" applyNumberFormat="1" applyFont="1" applyBorder="1" applyAlignment="1">
      <alignment horizontal="right" vertical="center" wrapText="1"/>
    </xf>
    <xf numFmtId="167" fontId="66" fillId="0" borderId="20" xfId="79" applyNumberFormat="1" applyFont="1" applyBorder="1" applyAlignment="1" applyProtection="1">
      <alignment horizontal="right" vertical="center" wrapText="1"/>
      <protection locked="0"/>
    </xf>
    <xf numFmtId="167" fontId="60" fillId="0" borderId="20" xfId="79" applyNumberFormat="1" applyFont="1" applyBorder="1" applyAlignment="1" applyProtection="1">
      <alignment horizontal="right" vertical="center" wrapText="1"/>
      <protection locked="0"/>
    </xf>
    <xf numFmtId="167" fontId="63" fillId="0" borderId="0" xfId="79" applyNumberFormat="1" applyFont="1" applyAlignment="1">
      <alignment horizontal="right" vertical="center" wrapText="1"/>
    </xf>
    <xf numFmtId="167" fontId="66" fillId="0" borderId="0" xfId="79" applyNumberFormat="1" applyFont="1" applyAlignment="1" applyProtection="1">
      <alignment horizontal="right" vertical="center" wrapText="1"/>
      <protection locked="0"/>
    </xf>
    <xf numFmtId="167" fontId="60" fillId="0" borderId="0" xfId="79" applyNumberFormat="1" applyFont="1" applyAlignment="1" applyProtection="1">
      <alignment horizontal="right" vertical="center" wrapText="1"/>
      <protection locked="0"/>
    </xf>
    <xf numFmtId="167" fontId="77" fillId="23" borderId="36" xfId="79" applyNumberFormat="1" applyFont="1" applyFill="1" applyBorder="1" applyAlignment="1">
      <alignment horizontal="right" vertical="center" wrapText="1"/>
    </xf>
    <xf numFmtId="0" fontId="66" fillId="0" borderId="58" xfId="79" applyFont="1" applyBorder="1" applyAlignment="1">
      <alignment horizontal="left" vertical="center" wrapText="1"/>
    </xf>
    <xf numFmtId="3" fontId="66" fillId="0" borderId="173" xfId="79" applyNumberFormat="1" applyFont="1" applyBorder="1" applyAlignment="1" applyProtection="1">
      <alignment horizontal="right" vertical="center" wrapText="1"/>
      <protection locked="0"/>
    </xf>
    <xf numFmtId="3" fontId="66" fillId="0" borderId="40" xfId="79" applyNumberFormat="1" applyFont="1" applyBorder="1" applyAlignment="1" applyProtection="1">
      <alignment horizontal="right" vertical="center" wrapText="1"/>
      <protection locked="0"/>
    </xf>
    <xf numFmtId="3" fontId="66" fillId="0" borderId="53" xfId="79" applyNumberFormat="1" applyFont="1" applyBorder="1" applyAlignment="1" applyProtection="1">
      <alignment horizontal="right" vertical="center" wrapText="1"/>
      <protection locked="0"/>
    </xf>
    <xf numFmtId="0" fontId="66" fillId="0" borderId="25" xfId="79" applyFont="1" applyBorder="1" applyAlignment="1">
      <alignment horizontal="left" vertical="center" wrapText="1"/>
    </xf>
    <xf numFmtId="0" fontId="66" fillId="0" borderId="0" xfId="79" applyFont="1" applyAlignment="1">
      <alignment horizontal="left" vertical="center" wrapText="1"/>
    </xf>
    <xf numFmtId="0" fontId="66" fillId="0" borderId="10" xfId="79" applyFont="1" applyBorder="1" applyAlignment="1">
      <alignment horizontal="left" vertical="center"/>
    </xf>
    <xf numFmtId="0" fontId="66" fillId="0" borderId="43" xfId="79" applyFont="1" applyBorder="1" applyAlignment="1">
      <alignment horizontal="left" vertical="center" wrapText="1"/>
    </xf>
    <xf numFmtId="3" fontId="66" fillId="0" borderId="60" xfId="79" applyNumberFormat="1" applyFont="1" applyBorder="1" applyAlignment="1" applyProtection="1">
      <alignment horizontal="right" vertical="center" wrapText="1"/>
      <protection locked="0"/>
    </xf>
    <xf numFmtId="3" fontId="66" fillId="0" borderId="24" xfId="79" applyNumberFormat="1" applyFont="1" applyBorder="1" applyAlignment="1" applyProtection="1">
      <alignment horizontal="right" vertical="center" wrapText="1"/>
      <protection locked="0"/>
    </xf>
    <xf numFmtId="0" fontId="66" fillId="0" borderId="11" xfId="79" applyFont="1" applyBorder="1" applyAlignment="1">
      <alignment horizontal="left" vertical="center" wrapText="1"/>
    </xf>
    <xf numFmtId="3" fontId="66" fillId="0" borderId="57" xfId="79" applyNumberFormat="1" applyFont="1" applyBorder="1" applyAlignment="1" applyProtection="1">
      <alignment horizontal="right" vertical="center" wrapText="1"/>
      <protection locked="0"/>
    </xf>
    <xf numFmtId="0" fontId="65" fillId="23" borderId="36" xfId="79" applyFont="1" applyFill="1" applyBorder="1" applyAlignment="1">
      <alignment horizontal="left" vertical="center" wrapText="1"/>
    </xf>
    <xf numFmtId="3" fontId="66" fillId="0" borderId="87" xfId="79" applyNumberFormat="1" applyFont="1" applyBorder="1" applyAlignment="1" applyProtection="1">
      <alignment horizontal="right" vertical="center" wrapText="1"/>
      <protection locked="0"/>
    </xf>
    <xf numFmtId="0" fontId="65" fillId="3" borderId="36" xfId="79" applyFont="1" applyFill="1" applyBorder="1" applyAlignment="1">
      <alignment horizontal="left" vertical="center" wrapText="1"/>
    </xf>
    <xf numFmtId="3" fontId="66" fillId="0" borderId="71" xfId="79" applyNumberFormat="1" applyFont="1" applyBorder="1" applyAlignment="1" applyProtection="1">
      <alignment horizontal="right" vertical="center" wrapText="1"/>
      <protection locked="0"/>
    </xf>
    <xf numFmtId="0" fontId="66" fillId="0" borderId="48" xfId="79" applyFont="1" applyBorder="1" applyAlignment="1">
      <alignment horizontal="left" vertical="center" wrapText="1"/>
    </xf>
    <xf numFmtId="3" fontId="82" fillId="23" borderId="28" xfId="83" applyNumberFormat="1" applyFont="1" applyFill="1" applyBorder="1" applyAlignment="1">
      <alignment horizontal="right" vertical="center" wrapText="1"/>
    </xf>
    <xf numFmtId="3" fontId="85" fillId="3" borderId="28" xfId="83" applyNumberFormat="1" applyFont="1" applyFill="1" applyBorder="1" applyAlignment="1">
      <alignment horizontal="right" vertical="center" wrapText="1"/>
    </xf>
    <xf numFmtId="0" fontId="85" fillId="3" borderId="38" xfId="83" applyFont="1" applyFill="1" applyBorder="1" applyAlignment="1">
      <alignment horizontal="left" vertical="center" wrapText="1"/>
    </xf>
    <xf numFmtId="3" fontId="85" fillId="3" borderId="0" xfId="83" applyNumberFormat="1" applyFont="1" applyFill="1" applyAlignment="1">
      <alignment horizontal="right" vertical="center" wrapText="1"/>
    </xf>
    <xf numFmtId="168" fontId="78" fillId="0" borderId="0" xfId="79" applyNumberFormat="1" applyFont="1" applyAlignment="1">
      <alignment vertical="center"/>
    </xf>
    <xf numFmtId="168" fontId="78" fillId="0" borderId="74" xfId="79" applyNumberFormat="1" applyFont="1" applyBorder="1" applyAlignment="1">
      <alignment horizontal="center" vertical="center"/>
    </xf>
    <xf numFmtId="168" fontId="160" fillId="0" borderId="74" xfId="79" applyNumberFormat="1" applyFont="1" applyBorder="1" applyAlignment="1">
      <alignment horizontal="center" vertical="center"/>
    </xf>
    <xf numFmtId="168" fontId="151" fillId="0" borderId="0" xfId="0" applyNumberFormat="1" applyFont="1" applyAlignment="1">
      <alignment vertical="center"/>
    </xf>
    <xf numFmtId="49" fontId="66" fillId="0" borderId="34" xfId="79" applyNumberFormat="1" applyFont="1" applyBorder="1" applyAlignment="1">
      <alignment horizontal="center" vertical="center" wrapText="1"/>
    </xf>
    <xf numFmtId="49" fontId="66" fillId="0" borderId="35" xfId="79" applyNumberFormat="1" applyFont="1" applyBorder="1" applyAlignment="1">
      <alignment horizontal="center" vertical="center" wrapText="1"/>
    </xf>
    <xf numFmtId="49" fontId="66" fillId="0" borderId="16" xfId="79" applyNumberFormat="1" applyFont="1" applyBorder="1" applyAlignment="1">
      <alignment horizontal="center" vertical="center" wrapText="1"/>
    </xf>
    <xf numFmtId="49" fontId="66" fillId="0" borderId="65" xfId="79" applyNumberFormat="1" applyFont="1" applyBorder="1" applyAlignment="1">
      <alignment horizontal="center" vertical="center" wrapText="1"/>
    </xf>
    <xf numFmtId="3" fontId="66" fillId="0" borderId="0" xfId="79" applyNumberFormat="1" applyFont="1" applyAlignment="1">
      <alignment vertical="center"/>
    </xf>
    <xf numFmtId="3" fontId="21" fillId="59" borderId="74" xfId="74" applyNumberFormat="1" applyFont="1" applyFill="1" applyBorder="1" applyAlignment="1" applyProtection="1">
      <alignment horizontal="right" vertical="center"/>
      <protection locked="0"/>
    </xf>
    <xf numFmtId="3" fontId="21" fillId="59" borderId="74" xfId="74" applyNumberFormat="1" applyFont="1" applyFill="1" applyBorder="1" applyAlignment="1" applyProtection="1">
      <alignment horizontal="center" vertical="center" wrapText="1"/>
      <protection locked="0"/>
    </xf>
    <xf numFmtId="3" fontId="34" fillId="59" borderId="74" xfId="74" applyNumberFormat="1" applyFont="1" applyFill="1" applyBorder="1" applyAlignment="1" applyProtection="1">
      <alignment horizontal="center" vertical="center" wrapText="1"/>
      <protection locked="0"/>
    </xf>
    <xf numFmtId="49" fontId="34" fillId="59" borderId="74" xfId="74" applyNumberFormat="1" applyFont="1" applyFill="1" applyBorder="1" applyAlignment="1" applyProtection="1">
      <alignment horizontal="center" vertical="center"/>
      <protection locked="0"/>
    </xf>
    <xf numFmtId="3" fontId="34" fillId="59" borderId="74" xfId="74" applyNumberFormat="1" applyFont="1" applyFill="1" applyBorder="1" applyAlignment="1" applyProtection="1">
      <alignment horizontal="right" vertical="center"/>
      <protection locked="0"/>
    </xf>
    <xf numFmtId="3" fontId="33" fillId="59" borderId="74" xfId="74" applyNumberFormat="1" applyFont="1" applyFill="1" applyBorder="1" applyAlignment="1" applyProtection="1">
      <alignment horizontal="right" vertical="center"/>
      <protection locked="0"/>
    </xf>
    <xf numFmtId="0" fontId="34" fillId="59" borderId="74" xfId="74" applyFont="1" applyFill="1" applyBorder="1" applyAlignment="1" applyProtection="1">
      <alignment horizontal="center" vertical="center"/>
      <protection locked="0"/>
    </xf>
    <xf numFmtId="3" fontId="34" fillId="59" borderId="74" xfId="74" applyNumberFormat="1" applyFont="1" applyFill="1" applyBorder="1" applyAlignment="1" applyProtection="1">
      <alignment horizontal="center" vertical="center"/>
      <protection locked="0"/>
    </xf>
    <xf numFmtId="3" fontId="90" fillId="59" borderId="74" xfId="74" applyNumberFormat="1" applyFont="1" applyFill="1" applyBorder="1" applyAlignment="1" applyProtection="1">
      <alignment horizontal="right" vertical="center"/>
      <protection locked="0"/>
    </xf>
    <xf numFmtId="3" fontId="21" fillId="55" borderId="74" xfId="74" applyNumberFormat="1" applyFont="1" applyFill="1" applyBorder="1" applyAlignment="1" applyProtection="1">
      <alignment horizontal="right" vertical="center"/>
      <protection locked="0"/>
    </xf>
    <xf numFmtId="3" fontId="34" fillId="56" borderId="74" xfId="74" applyNumberFormat="1" applyFont="1" applyFill="1" applyBorder="1" applyAlignment="1" applyProtection="1">
      <alignment horizontal="right" vertical="center"/>
      <protection locked="0"/>
    </xf>
    <xf numFmtId="3" fontId="21" fillId="59" borderId="0" xfId="74" applyNumberFormat="1" applyFont="1" applyFill="1" applyAlignment="1" applyProtection="1">
      <alignment horizontal="right" vertical="center"/>
      <protection locked="0"/>
    </xf>
    <xf numFmtId="3" fontId="34" fillId="59" borderId="0" xfId="74" applyNumberFormat="1" applyFont="1" applyFill="1" applyAlignment="1" applyProtection="1">
      <alignment horizontal="right" vertical="center"/>
      <protection locked="0"/>
    </xf>
    <xf numFmtId="3" fontId="89" fillId="59" borderId="0" xfId="74" applyNumberFormat="1" applyFont="1" applyFill="1" applyAlignment="1" applyProtection="1">
      <alignment horizontal="right" vertical="center"/>
      <protection locked="0"/>
    </xf>
    <xf numFmtId="3" fontId="34" fillId="24" borderId="10" xfId="74" applyNumberFormat="1" applyFont="1" applyFill="1" applyBorder="1" applyAlignment="1">
      <alignment horizontal="right" vertical="center" wrapText="1"/>
    </xf>
    <xf numFmtId="3" fontId="21" fillId="24" borderId="10" xfId="74" applyNumberFormat="1" applyFont="1" applyFill="1" applyBorder="1" applyAlignment="1">
      <alignment horizontal="right" vertical="center" wrapText="1"/>
    </xf>
    <xf numFmtId="3" fontId="89" fillId="24" borderId="10" xfId="74" applyNumberFormat="1" applyFont="1" applyFill="1" applyBorder="1" applyAlignment="1" applyProtection="1">
      <alignment horizontal="right" vertical="center" wrapText="1"/>
      <protection locked="0"/>
    </xf>
    <xf numFmtId="3" fontId="34" fillId="24" borderId="10" xfId="74" applyNumberFormat="1" applyFont="1" applyFill="1" applyBorder="1" applyAlignment="1" applyProtection="1">
      <alignment horizontal="right" vertical="center" wrapText="1"/>
      <protection locked="0"/>
    </xf>
    <xf numFmtId="3" fontId="21" fillId="24" borderId="10" xfId="0" applyNumberFormat="1" applyFont="1" applyFill="1" applyBorder="1" applyAlignment="1">
      <alignment horizontal="right" vertical="center" wrapText="1"/>
    </xf>
    <xf numFmtId="3" fontId="89" fillId="24" borderId="10" xfId="0" applyNumberFormat="1" applyFont="1" applyFill="1" applyBorder="1" applyAlignment="1">
      <alignment horizontal="right" vertical="center" wrapText="1"/>
    </xf>
    <xf numFmtId="3" fontId="21" fillId="24" borderId="10" xfId="0" applyNumberFormat="1" applyFont="1" applyFill="1" applyBorder="1" applyAlignment="1" applyProtection="1">
      <alignment horizontal="right" vertical="center"/>
      <protection locked="0"/>
    </xf>
    <xf numFmtId="3" fontId="21" fillId="24" borderId="10" xfId="0" applyNumberFormat="1" applyFont="1" applyFill="1" applyBorder="1" applyAlignment="1" applyProtection="1">
      <alignment horizontal="right" vertical="center" wrapText="1"/>
      <protection locked="0"/>
    </xf>
    <xf numFmtId="167" fontId="56" fillId="59" borderId="0" xfId="83" applyNumberFormat="1" applyFont="1" applyFill="1" applyAlignment="1">
      <alignment horizontal="right" vertical="center"/>
    </xf>
    <xf numFmtId="3" fontId="21" fillId="59" borderId="10" xfId="74" applyNumberFormat="1" applyFont="1" applyFill="1" applyBorder="1" applyAlignment="1" applyProtection="1">
      <alignment horizontal="center" vertical="center" wrapText="1"/>
      <protection locked="0"/>
    </xf>
    <xf numFmtId="3" fontId="34" fillId="59" borderId="10" xfId="74" applyNumberFormat="1" applyFont="1" applyFill="1" applyBorder="1" applyAlignment="1" applyProtection="1">
      <alignment horizontal="center" vertical="center" wrapText="1"/>
      <protection locked="0"/>
    </xf>
    <xf numFmtId="49" fontId="34" fillId="59" borderId="10" xfId="74" applyNumberFormat="1" applyFont="1" applyFill="1" applyBorder="1" applyAlignment="1" applyProtection="1">
      <alignment horizontal="center" vertical="center"/>
      <protection locked="0"/>
    </xf>
    <xf numFmtId="3" fontId="34" fillId="59" borderId="10" xfId="74" applyNumberFormat="1" applyFont="1" applyFill="1" applyBorder="1" applyAlignment="1" applyProtection="1">
      <alignment horizontal="right" vertical="center"/>
      <protection locked="0"/>
    </xf>
    <xf numFmtId="3" fontId="21" fillId="59" borderId="10" xfId="74" applyNumberFormat="1" applyFont="1" applyFill="1" applyBorder="1" applyAlignment="1">
      <alignment horizontal="right" vertical="center"/>
    </xf>
    <xf numFmtId="3" fontId="89" fillId="59" borderId="10" xfId="74" applyNumberFormat="1" applyFont="1" applyFill="1" applyBorder="1" applyAlignment="1">
      <alignment horizontal="right" vertical="center"/>
    </xf>
    <xf numFmtId="3" fontId="89" fillId="59" borderId="12" xfId="74" applyNumberFormat="1" applyFont="1" applyFill="1" applyBorder="1" applyAlignment="1">
      <alignment horizontal="right" vertical="center"/>
    </xf>
    <xf numFmtId="3" fontId="21" fillId="59" borderId="10" xfId="74" applyNumberFormat="1" applyFont="1" applyFill="1" applyBorder="1" applyAlignment="1" applyProtection="1">
      <alignment horizontal="right" vertical="center" wrapText="1"/>
      <protection locked="0"/>
    </xf>
    <xf numFmtId="3" fontId="47" fillId="59" borderId="10" xfId="0" applyNumberFormat="1" applyFont="1" applyFill="1" applyBorder="1" applyAlignment="1">
      <alignment horizontal="right" vertical="center" wrapText="1"/>
    </xf>
    <xf numFmtId="3" fontId="33" fillId="59" borderId="10" xfId="74" applyNumberFormat="1" applyFont="1" applyFill="1" applyBorder="1" applyAlignment="1" applyProtection="1">
      <alignment horizontal="right" vertical="center"/>
      <protection locked="0"/>
    </xf>
    <xf numFmtId="3" fontId="21" fillId="59" borderId="0" xfId="74" applyNumberFormat="1" applyFont="1" applyFill="1" applyAlignment="1" applyProtection="1">
      <alignment horizontal="right"/>
      <protection locked="0"/>
    </xf>
    <xf numFmtId="167" fontId="90" fillId="59" borderId="0" xfId="83" applyNumberFormat="1" applyFont="1" applyFill="1" applyAlignment="1">
      <alignment horizontal="right" vertical="center"/>
    </xf>
    <xf numFmtId="49" fontId="34" fillId="59" borderId="10" xfId="74" applyNumberFormat="1" applyFont="1" applyFill="1" applyBorder="1" applyAlignment="1" applyProtection="1">
      <alignment horizontal="right" vertical="center"/>
      <protection locked="0"/>
    </xf>
    <xf numFmtId="0" fontId="21" fillId="59" borderId="10" xfId="0" applyFont="1" applyFill="1" applyBorder="1"/>
    <xf numFmtId="0" fontId="58" fillId="59" borderId="74" xfId="83" applyFont="1" applyFill="1" applyBorder="1" applyAlignment="1">
      <alignment horizontal="center" vertical="center" wrapText="1"/>
    </xf>
    <xf numFmtId="3" fontId="21" fillId="59" borderId="11" xfId="74" applyNumberFormat="1" applyFont="1" applyFill="1" applyBorder="1" applyAlignment="1" applyProtection="1">
      <alignment horizontal="center" vertical="center" wrapText="1"/>
      <protection locked="0"/>
    </xf>
    <xf numFmtId="0" fontId="34" fillId="59" borderId="10" xfId="74" applyFont="1" applyFill="1" applyBorder="1" applyAlignment="1" applyProtection="1">
      <alignment horizontal="center" vertical="center"/>
      <protection locked="0"/>
    </xf>
    <xf numFmtId="3" fontId="21" fillId="59" borderId="0" xfId="74" applyNumberFormat="1" applyFont="1" applyFill="1" applyAlignment="1" applyProtection="1">
      <alignment vertical="center"/>
      <protection locked="0"/>
    </xf>
    <xf numFmtId="0" fontId="34" fillId="59" borderId="74" xfId="83" applyFont="1" applyFill="1" applyBorder="1" applyAlignment="1">
      <alignment horizontal="center" vertical="center" wrapText="1"/>
    </xf>
    <xf numFmtId="0" fontId="21" fillId="55" borderId="74" xfId="0" applyFont="1" applyFill="1" applyBorder="1" applyAlignment="1">
      <alignment vertical="center"/>
    </xf>
    <xf numFmtId="3" fontId="34" fillId="59" borderId="11" xfId="74" applyNumberFormat="1" applyFont="1" applyFill="1" applyBorder="1" applyAlignment="1" applyProtection="1">
      <alignment horizontal="right" vertical="center"/>
      <protection locked="0"/>
    </xf>
    <xf numFmtId="0" fontId="59" fillId="59" borderId="74" xfId="83" applyFont="1" applyFill="1" applyBorder="1" applyAlignment="1">
      <alignment horizontal="center" vertical="center" wrapText="1"/>
    </xf>
    <xf numFmtId="3" fontId="34" fillId="59" borderId="12" xfId="74" applyNumberFormat="1" applyFont="1" applyFill="1" applyBorder="1" applyAlignment="1" applyProtection="1">
      <alignment horizontal="right" vertical="center"/>
      <protection locked="0"/>
    </xf>
    <xf numFmtId="0" fontId="34" fillId="59" borderId="10" xfId="74" applyFont="1" applyFill="1" applyBorder="1" applyAlignment="1" applyProtection="1">
      <alignment horizontal="right" vertical="center" wrapText="1"/>
      <protection locked="0"/>
    </xf>
    <xf numFmtId="3" fontId="21" fillId="59" borderId="56" xfId="74" applyNumberFormat="1" applyFont="1" applyFill="1" applyBorder="1" applyAlignment="1" applyProtection="1">
      <alignment horizontal="right" vertical="center"/>
      <protection locked="0"/>
    </xf>
    <xf numFmtId="0" fontId="34" fillId="59" borderId="74" xfId="0" applyFont="1" applyFill="1" applyBorder="1" applyAlignment="1">
      <alignment horizontal="center" vertical="center" wrapText="1"/>
    </xf>
    <xf numFmtId="49" fontId="21" fillId="59" borderId="10" xfId="74" applyNumberFormat="1" applyFont="1" applyFill="1" applyBorder="1" applyAlignment="1" applyProtection="1">
      <alignment horizontal="right" vertical="center"/>
      <protection locked="0"/>
    </xf>
    <xf numFmtId="3" fontId="102" fillId="59" borderId="10" xfId="74" applyNumberFormat="1" applyFont="1" applyFill="1" applyBorder="1" applyAlignment="1" applyProtection="1">
      <alignment horizontal="right" vertical="center"/>
      <protection locked="0"/>
    </xf>
    <xf numFmtId="167" fontId="34" fillId="59" borderId="74" xfId="83" applyNumberFormat="1" applyFont="1" applyFill="1" applyBorder="1" applyAlignment="1">
      <alignment horizontal="center" vertical="center"/>
    </xf>
    <xf numFmtId="3" fontId="21" fillId="59" borderId="12" xfId="74" applyNumberFormat="1" applyFont="1" applyFill="1" applyBorder="1" applyAlignment="1" applyProtection="1">
      <alignment horizontal="center" vertical="center" wrapText="1"/>
      <protection locked="0"/>
    </xf>
    <xf numFmtId="3" fontId="36" fillId="55" borderId="83" xfId="0" applyNumberFormat="1" applyFont="1" applyFill="1" applyBorder="1" applyAlignment="1">
      <alignment horizontal="right" vertical="center" wrapText="1"/>
    </xf>
    <xf numFmtId="3" fontId="36" fillId="55" borderId="119" xfId="0" applyNumberFormat="1" applyFont="1" applyFill="1" applyBorder="1" applyAlignment="1">
      <alignment horizontal="right" vertical="center" wrapText="1"/>
    </xf>
    <xf numFmtId="3" fontId="21" fillId="59" borderId="11" xfId="74" applyNumberFormat="1" applyFont="1" applyFill="1" applyBorder="1" applyAlignment="1">
      <alignment horizontal="right" vertical="center"/>
    </xf>
    <xf numFmtId="3" fontId="60" fillId="0" borderId="187" xfId="83" applyNumberFormat="1" applyFont="1" applyBorder="1" applyAlignment="1">
      <alignment horizontal="right" vertical="center" wrapText="1"/>
    </xf>
    <xf numFmtId="0" fontId="0" fillId="0" borderId="20" xfId="0" applyBorder="1"/>
    <xf numFmtId="0" fontId="0" fillId="0" borderId="161" xfId="0" applyBorder="1"/>
    <xf numFmtId="3" fontId="72" fillId="58" borderId="161" xfId="77" applyNumberFormat="1" applyFont="1" applyFill="1" applyBorder="1" applyAlignment="1">
      <alignment horizontal="center" vertical="center" wrapText="1"/>
    </xf>
    <xf numFmtId="3" fontId="86" fillId="0" borderId="161" xfId="77" applyNumberFormat="1" applyFont="1" applyBorder="1" applyAlignment="1">
      <alignment horizontal="center" vertical="center" wrapText="1"/>
    </xf>
    <xf numFmtId="0" fontId="75" fillId="0" borderId="161" xfId="77" applyFont="1" applyBorder="1" applyAlignment="1">
      <alignment horizontal="center" vertical="center" wrapText="1"/>
    </xf>
    <xf numFmtId="3" fontId="65" fillId="0" borderId="161" xfId="83" applyNumberFormat="1" applyFont="1" applyBorder="1" applyAlignment="1">
      <alignment horizontal="right" vertical="center" wrapText="1"/>
    </xf>
    <xf numFmtId="3" fontId="65" fillId="7" borderId="161" xfId="83" applyNumberFormat="1" applyFont="1" applyFill="1" applyBorder="1" applyAlignment="1">
      <alignment horizontal="right" vertical="center" wrapText="1"/>
    </xf>
    <xf numFmtId="3" fontId="65" fillId="23" borderId="161" xfId="83" applyNumberFormat="1" applyFont="1" applyFill="1" applyBorder="1" applyAlignment="1">
      <alignment horizontal="right" vertical="center" wrapText="1"/>
    </xf>
    <xf numFmtId="0" fontId="60" fillId="0" borderId="188" xfId="83" applyFont="1" applyBorder="1" applyAlignment="1">
      <alignment vertical="center"/>
    </xf>
    <xf numFmtId="0" fontId="60" fillId="0" borderId="189" xfId="83" applyFont="1" applyBorder="1" applyAlignment="1">
      <alignment vertical="center"/>
    </xf>
    <xf numFmtId="0" fontId="87" fillId="55" borderId="189" xfId="83" applyFont="1" applyFill="1" applyBorder="1" applyAlignment="1">
      <alignment horizontal="center" vertical="center" wrapText="1"/>
    </xf>
    <xf numFmtId="0" fontId="60" fillId="0" borderId="189" xfId="83" applyFont="1" applyBorder="1" applyAlignment="1">
      <alignment horizontal="center" vertical="center" wrapText="1"/>
    </xf>
    <xf numFmtId="0" fontId="87" fillId="0" borderId="189" xfId="83" applyFont="1" applyBorder="1" applyAlignment="1">
      <alignment horizontal="center" vertical="center" wrapText="1"/>
    </xf>
    <xf numFmtId="3" fontId="60" fillId="0" borderId="128" xfId="83" applyNumberFormat="1" applyFont="1" applyBorder="1" applyAlignment="1">
      <alignment horizontal="right" vertical="center" wrapText="1"/>
    </xf>
    <xf numFmtId="3" fontId="60" fillId="0" borderId="190" xfId="83" applyNumberFormat="1" applyFont="1" applyBorder="1" applyAlignment="1">
      <alignment horizontal="right" vertical="center" wrapText="1"/>
    </xf>
    <xf numFmtId="0" fontId="60" fillId="0" borderId="138" xfId="83" applyFont="1" applyBorder="1" applyAlignment="1">
      <alignment horizontal="left" vertical="center" wrapText="1"/>
    </xf>
    <xf numFmtId="0" fontId="60" fillId="0" borderId="138" xfId="83" applyFont="1" applyBorder="1" applyAlignment="1">
      <alignment vertical="center" wrapText="1"/>
    </xf>
    <xf numFmtId="3" fontId="60" fillId="0" borderId="138" xfId="83" applyNumberFormat="1" applyFont="1" applyBorder="1" applyAlignment="1">
      <alignment horizontal="right" vertical="center" wrapText="1"/>
    </xf>
    <xf numFmtId="3" fontId="60" fillId="0" borderId="92" xfId="83" applyNumberFormat="1" applyFont="1" applyBorder="1" applyAlignment="1">
      <alignment horizontal="right" vertical="center" wrapText="1"/>
    </xf>
    <xf numFmtId="3" fontId="34" fillId="24" borderId="120" xfId="74" applyNumberFormat="1" applyFont="1" applyFill="1" applyBorder="1" applyAlignment="1" applyProtection="1">
      <alignment horizontal="center" vertical="center" wrapText="1"/>
      <protection locked="0"/>
    </xf>
    <xf numFmtId="49" fontId="34" fillId="24" borderId="120" xfId="74" applyNumberFormat="1" applyFont="1" applyFill="1" applyBorder="1" applyAlignment="1" applyProtection="1">
      <alignment horizontal="center" vertical="center"/>
      <protection locked="0"/>
    </xf>
    <xf numFmtId="3" fontId="21" fillId="24" borderId="120" xfId="74" applyNumberFormat="1" applyFont="1" applyFill="1" applyBorder="1" applyAlignment="1" applyProtection="1">
      <alignment horizontal="right" vertical="center"/>
      <protection locked="0"/>
    </xf>
    <xf numFmtId="3" fontId="89" fillId="24" borderId="120" xfId="74" applyNumberFormat="1" applyFont="1" applyFill="1" applyBorder="1" applyAlignment="1" applyProtection="1">
      <alignment horizontal="right" vertical="center"/>
      <protection locked="0"/>
    </xf>
    <xf numFmtId="3" fontId="34" fillId="24" borderId="120" xfId="74" applyNumberFormat="1" applyFont="1" applyFill="1" applyBorder="1" applyAlignment="1" applyProtection="1">
      <alignment horizontal="right" vertical="center"/>
      <protection locked="0"/>
    </xf>
    <xf numFmtId="3" fontId="33" fillId="24" borderId="120" xfId="74" applyNumberFormat="1" applyFont="1" applyFill="1" applyBorder="1" applyAlignment="1" applyProtection="1">
      <alignment horizontal="right" vertical="center"/>
      <protection locked="0"/>
    </xf>
    <xf numFmtId="0" fontId="34" fillId="24" borderId="120" xfId="74" applyFont="1" applyFill="1" applyBorder="1" applyAlignment="1" applyProtection="1">
      <alignment horizontal="center" vertical="center"/>
      <protection locked="0"/>
    </xf>
    <xf numFmtId="3" fontId="34" fillId="24" borderId="120" xfId="74" applyNumberFormat="1" applyFont="1" applyFill="1" applyBorder="1" applyAlignment="1" applyProtection="1">
      <alignment horizontal="center" vertical="center"/>
      <protection locked="0"/>
    </xf>
    <xf numFmtId="3" fontId="89" fillId="32" borderId="120" xfId="74" applyNumberFormat="1" applyFont="1" applyFill="1" applyBorder="1" applyAlignment="1" applyProtection="1">
      <alignment horizontal="right" vertical="center"/>
      <protection locked="0"/>
    </xf>
    <xf numFmtId="3" fontId="90" fillId="24" borderId="120" xfId="74" applyNumberFormat="1" applyFont="1" applyFill="1" applyBorder="1" applyAlignment="1" applyProtection="1">
      <alignment horizontal="right" vertical="center"/>
      <protection locked="0"/>
    </xf>
    <xf numFmtId="3" fontId="21" fillId="32" borderId="120" xfId="74" applyNumberFormat="1" applyFont="1" applyFill="1" applyBorder="1" applyAlignment="1" applyProtection="1">
      <alignment horizontal="right" vertical="center"/>
      <protection locked="0"/>
    </xf>
    <xf numFmtId="3" fontId="21" fillId="27" borderId="74" xfId="74" applyNumberFormat="1" applyFont="1" applyFill="1" applyBorder="1" applyAlignment="1" applyProtection="1">
      <alignment horizontal="right" vertical="center"/>
      <protection locked="0"/>
    </xf>
    <xf numFmtId="168" fontId="21" fillId="24" borderId="74" xfId="74" applyNumberFormat="1" applyFont="1" applyFill="1" applyBorder="1" applyAlignment="1" applyProtection="1">
      <alignment horizontal="right" vertical="center"/>
      <protection locked="0"/>
    </xf>
    <xf numFmtId="3" fontId="34" fillId="27" borderId="74" xfId="74" applyNumberFormat="1" applyFont="1" applyFill="1" applyBorder="1" applyAlignment="1" applyProtection="1">
      <alignment horizontal="right" vertical="center"/>
      <protection locked="0"/>
    </xf>
    <xf numFmtId="168" fontId="34" fillId="24" borderId="74" xfId="74" applyNumberFormat="1" applyFont="1" applyFill="1" applyBorder="1" applyAlignment="1" applyProtection="1">
      <alignment horizontal="right" vertical="center"/>
      <protection locked="0"/>
    </xf>
    <xf numFmtId="3" fontId="21" fillId="28" borderId="74" xfId="74" applyNumberFormat="1" applyFont="1" applyFill="1" applyBorder="1" applyAlignment="1" applyProtection="1">
      <alignment horizontal="right" vertical="center"/>
      <protection locked="0"/>
    </xf>
    <xf numFmtId="3" fontId="21" fillId="26" borderId="74" xfId="74" applyNumberFormat="1" applyFont="1" applyFill="1" applyBorder="1" applyAlignment="1" applyProtection="1">
      <alignment horizontal="right" vertical="center"/>
      <protection locked="0"/>
    </xf>
    <xf numFmtId="3" fontId="92" fillId="24" borderId="74" xfId="74" applyNumberFormat="1" applyFont="1" applyFill="1" applyBorder="1" applyAlignment="1" applyProtection="1">
      <alignment horizontal="right" vertical="center"/>
      <protection locked="0"/>
    </xf>
    <xf numFmtId="168" fontId="33" fillId="24" borderId="74" xfId="74" applyNumberFormat="1" applyFont="1" applyFill="1" applyBorder="1" applyAlignment="1" applyProtection="1">
      <alignment horizontal="right" vertical="center"/>
      <protection locked="0"/>
    </xf>
    <xf numFmtId="168" fontId="34" fillId="24" borderId="74" xfId="74" applyNumberFormat="1" applyFont="1" applyFill="1" applyBorder="1" applyAlignment="1" applyProtection="1">
      <alignment horizontal="center" vertical="center"/>
      <protection locked="0"/>
    </xf>
    <xf numFmtId="3" fontId="34" fillId="26" borderId="74" xfId="74" applyNumberFormat="1" applyFont="1" applyFill="1" applyBorder="1" applyAlignment="1" applyProtection="1">
      <alignment horizontal="right" vertical="center"/>
      <protection locked="0"/>
    </xf>
    <xf numFmtId="3" fontId="34" fillId="28" borderId="74" xfId="74" applyNumberFormat="1" applyFont="1" applyFill="1" applyBorder="1" applyAlignment="1" applyProtection="1">
      <alignment horizontal="right" vertical="center"/>
      <protection locked="0"/>
    </xf>
    <xf numFmtId="3" fontId="89" fillId="27" borderId="74" xfId="74" applyNumberFormat="1" applyFont="1" applyFill="1" applyBorder="1" applyAlignment="1" applyProtection="1">
      <alignment horizontal="right" vertical="center"/>
      <protection locked="0"/>
    </xf>
    <xf numFmtId="168" fontId="89" fillId="24" borderId="74" xfId="74" applyNumberFormat="1" applyFont="1" applyFill="1" applyBorder="1" applyAlignment="1" applyProtection="1">
      <alignment horizontal="right" vertical="center"/>
      <protection locked="0"/>
    </xf>
    <xf numFmtId="168" fontId="89" fillId="32" borderId="74" xfId="74" applyNumberFormat="1" applyFont="1" applyFill="1" applyBorder="1" applyAlignment="1" applyProtection="1">
      <alignment horizontal="right" vertical="center"/>
      <protection locked="0"/>
    </xf>
    <xf numFmtId="3" fontId="89" fillId="9" borderId="74" xfId="74" applyNumberFormat="1" applyFont="1" applyFill="1" applyBorder="1" applyAlignment="1" applyProtection="1">
      <alignment horizontal="right" vertical="center"/>
      <protection locked="0"/>
    </xf>
    <xf numFmtId="168" fontId="90" fillId="24" borderId="74" xfId="74" applyNumberFormat="1" applyFont="1" applyFill="1" applyBorder="1" applyAlignment="1" applyProtection="1">
      <alignment horizontal="right" vertical="center"/>
      <protection locked="0"/>
    </xf>
    <xf numFmtId="3" fontId="89" fillId="14" borderId="74" xfId="74" applyNumberFormat="1" applyFont="1" applyFill="1" applyBorder="1" applyAlignment="1" applyProtection="1">
      <alignment horizontal="right" vertical="center"/>
      <protection locked="0"/>
    </xf>
    <xf numFmtId="3" fontId="210" fillId="62" borderId="74" xfId="74" applyNumberFormat="1" applyFont="1" applyFill="1" applyBorder="1" applyAlignment="1" applyProtection="1">
      <alignment horizontal="right" vertical="center"/>
      <protection locked="0"/>
    </xf>
    <xf numFmtId="3" fontId="90" fillId="27" borderId="74" xfId="74" applyNumberFormat="1" applyFont="1" applyFill="1" applyBorder="1" applyAlignment="1" applyProtection="1">
      <alignment horizontal="right" vertical="center"/>
      <protection locked="0"/>
    </xf>
    <xf numFmtId="3" fontId="90" fillId="26" borderId="74" xfId="74" applyNumberFormat="1" applyFont="1" applyFill="1" applyBorder="1" applyAlignment="1" applyProtection="1">
      <alignment horizontal="right" vertical="center"/>
      <protection locked="0"/>
    </xf>
    <xf numFmtId="3" fontId="36" fillId="55" borderId="74" xfId="0" applyNumberFormat="1" applyFont="1" applyFill="1" applyBorder="1"/>
    <xf numFmtId="3" fontId="89" fillId="29" borderId="74" xfId="74" applyNumberFormat="1" applyFont="1" applyFill="1" applyBorder="1" applyAlignment="1" applyProtection="1">
      <alignment horizontal="right" vertical="center"/>
      <protection locked="0"/>
    </xf>
    <xf numFmtId="3" fontId="34" fillId="29" borderId="74" xfId="74" applyNumberFormat="1" applyFont="1" applyFill="1" applyBorder="1" applyAlignment="1" applyProtection="1">
      <alignment horizontal="right" vertical="center"/>
      <protection locked="0"/>
    </xf>
    <xf numFmtId="3" fontId="206" fillId="27" borderId="74" xfId="74" applyNumberFormat="1" applyFont="1" applyFill="1" applyBorder="1" applyAlignment="1" applyProtection="1">
      <alignment horizontal="right" vertical="center"/>
      <protection locked="0"/>
    </xf>
    <xf numFmtId="3" fontId="21" fillId="41" borderId="74" xfId="74" applyNumberFormat="1" applyFont="1" applyFill="1" applyBorder="1" applyAlignment="1" applyProtection="1">
      <alignment horizontal="right" vertical="center"/>
      <protection locked="0"/>
    </xf>
    <xf numFmtId="0" fontId="34" fillId="24" borderId="161" xfId="74" applyFont="1" applyFill="1" applyBorder="1" applyAlignment="1" applyProtection="1">
      <alignment horizontal="center" vertical="center"/>
      <protection locked="0"/>
    </xf>
    <xf numFmtId="49" fontId="34" fillId="24" borderId="161" xfId="74" applyNumberFormat="1" applyFont="1" applyFill="1" applyBorder="1" applyAlignment="1" applyProtection="1">
      <alignment horizontal="center" vertical="center"/>
      <protection locked="0"/>
    </xf>
    <xf numFmtId="3" fontId="21" fillId="24" borderId="161" xfId="74" applyNumberFormat="1" applyFont="1" applyFill="1" applyBorder="1" applyAlignment="1" applyProtection="1">
      <alignment horizontal="right" vertical="center"/>
      <protection locked="0"/>
    </xf>
    <xf numFmtId="3" fontId="21" fillId="24" borderId="161" xfId="74" applyNumberFormat="1" applyFont="1" applyFill="1" applyBorder="1" applyAlignment="1" applyProtection="1">
      <alignment horizontal="center" vertical="center"/>
      <protection locked="0"/>
    </xf>
    <xf numFmtId="3" fontId="89" fillId="24" borderId="161" xfId="74" applyNumberFormat="1" applyFont="1" applyFill="1" applyBorder="1" applyAlignment="1" applyProtection="1">
      <alignment horizontal="right" vertical="center"/>
      <protection locked="0"/>
    </xf>
    <xf numFmtId="3" fontId="34" fillId="24" borderId="161" xfId="74" applyNumberFormat="1" applyFont="1" applyFill="1" applyBorder="1" applyAlignment="1" applyProtection="1">
      <alignment horizontal="right" vertical="center"/>
      <protection locked="0"/>
    </xf>
    <xf numFmtId="0" fontId="0" fillId="24" borderId="161" xfId="0" applyFill="1" applyBorder="1"/>
    <xf numFmtId="3" fontId="33" fillId="24" borderId="161" xfId="74" applyNumberFormat="1" applyFont="1" applyFill="1" applyBorder="1" applyAlignment="1" applyProtection="1">
      <alignment horizontal="right" vertical="center"/>
      <protection locked="0"/>
    </xf>
    <xf numFmtId="3" fontId="34" fillId="24" borderId="161" xfId="74" applyNumberFormat="1" applyFont="1" applyFill="1" applyBorder="1" applyAlignment="1" applyProtection="1">
      <alignment horizontal="center" vertical="center"/>
      <protection locked="0"/>
    </xf>
    <xf numFmtId="3" fontId="90" fillId="24" borderId="161" xfId="74" applyNumberFormat="1" applyFont="1" applyFill="1" applyBorder="1" applyAlignment="1" applyProtection="1">
      <alignment horizontal="right" vertical="center"/>
      <protection locked="0"/>
    </xf>
    <xf numFmtId="3" fontId="90" fillId="32" borderId="161" xfId="74" applyNumberFormat="1" applyFont="1" applyFill="1" applyBorder="1" applyAlignment="1" applyProtection="1">
      <alignment horizontal="right" vertical="center"/>
      <protection locked="0"/>
    </xf>
    <xf numFmtId="3" fontId="54" fillId="24" borderId="161" xfId="74" applyNumberFormat="1" applyFont="1" applyFill="1" applyBorder="1" applyAlignment="1" applyProtection="1">
      <alignment horizontal="right" vertical="center"/>
      <protection locked="0"/>
    </xf>
    <xf numFmtId="3" fontId="37" fillId="24" borderId="161" xfId="74" applyNumberFormat="1" applyFont="1" applyFill="1" applyBorder="1" applyAlignment="1" applyProtection="1">
      <alignment horizontal="right" vertical="center"/>
      <protection locked="0"/>
    </xf>
    <xf numFmtId="3" fontId="38" fillId="24" borderId="161" xfId="74" applyNumberFormat="1" applyFont="1" applyFill="1" applyBorder="1" applyAlignment="1" applyProtection="1">
      <alignment horizontal="right" vertical="center"/>
      <protection locked="0"/>
    </xf>
    <xf numFmtId="3" fontId="36" fillId="24" borderId="161" xfId="74" applyNumberFormat="1" applyFont="1" applyFill="1" applyBorder="1" applyAlignment="1" applyProtection="1">
      <alignment horizontal="right" vertical="center"/>
      <protection locked="0"/>
    </xf>
    <xf numFmtId="3" fontId="21" fillId="32" borderId="161" xfId="74" applyNumberFormat="1" applyFont="1" applyFill="1" applyBorder="1" applyAlignment="1" applyProtection="1">
      <alignment horizontal="right" vertical="center"/>
      <protection locked="0"/>
    </xf>
    <xf numFmtId="3" fontId="186" fillId="24" borderId="161" xfId="74" applyNumberFormat="1" applyFont="1" applyFill="1" applyBorder="1" applyAlignment="1" applyProtection="1">
      <alignment horizontal="right" vertical="center"/>
      <protection locked="0"/>
    </xf>
    <xf numFmtId="0" fontId="34" fillId="24" borderId="74" xfId="74" applyFont="1" applyFill="1" applyBorder="1" applyAlignment="1" applyProtection="1">
      <alignment vertical="center"/>
      <protection locked="0"/>
    </xf>
    <xf numFmtId="3" fontId="21" fillId="24" borderId="74" xfId="74" applyNumberFormat="1" applyFont="1" applyFill="1" applyBorder="1" applyAlignment="1" applyProtection="1">
      <alignment vertical="center"/>
      <protection locked="0"/>
    </xf>
    <xf numFmtId="3" fontId="89" fillId="24" borderId="74" xfId="74" applyNumberFormat="1" applyFont="1" applyFill="1" applyBorder="1" applyAlignment="1" applyProtection="1">
      <alignment vertical="center"/>
      <protection locked="0"/>
    </xf>
    <xf numFmtId="0" fontId="21" fillId="32" borderId="74" xfId="74" applyFont="1" applyFill="1" applyBorder="1" applyAlignment="1" applyProtection="1">
      <alignment vertical="center"/>
      <protection locked="0"/>
    </xf>
    <xf numFmtId="3" fontId="21" fillId="24" borderId="74" xfId="74" applyNumberFormat="1" applyFont="1" applyFill="1" applyBorder="1" applyAlignment="1" applyProtection="1">
      <alignment horizontal="left" vertical="center"/>
      <protection locked="0"/>
    </xf>
    <xf numFmtId="0" fontId="186" fillId="24" borderId="74" xfId="74" applyFont="1" applyFill="1" applyBorder="1" applyAlignment="1" applyProtection="1">
      <alignment vertical="center"/>
      <protection locked="0"/>
    </xf>
    <xf numFmtId="0" fontId="59" fillId="0" borderId="47" xfId="80" applyFont="1" applyBorder="1" applyAlignment="1">
      <alignment vertical="center"/>
    </xf>
    <xf numFmtId="0" fontId="59" fillId="0" borderId="47" xfId="80" applyFont="1" applyBorder="1" applyAlignment="1">
      <alignment horizontal="center" vertical="center"/>
    </xf>
    <xf numFmtId="49" fontId="59" fillId="0" borderId="47" xfId="80" applyNumberFormat="1" applyFont="1" applyBorder="1" applyAlignment="1">
      <alignment horizontal="right" vertical="center"/>
    </xf>
    <xf numFmtId="0" fontId="63" fillId="0" borderId="47" xfId="80" applyFont="1" applyBorder="1" applyAlignment="1">
      <alignment vertical="center"/>
    </xf>
    <xf numFmtId="3" fontId="59" fillId="24" borderId="144" xfId="80" applyNumberFormat="1" applyFont="1" applyFill="1" applyBorder="1" applyAlignment="1">
      <alignment horizontal="center" vertical="center" wrapText="1"/>
    </xf>
    <xf numFmtId="49" fontId="86" fillId="24" borderId="25" xfId="74" applyNumberFormat="1" applyFont="1" applyFill="1" applyBorder="1" applyAlignment="1" applyProtection="1">
      <alignment horizontal="center" vertical="center"/>
      <protection locked="0"/>
    </xf>
    <xf numFmtId="49" fontId="47" fillId="24" borderId="74" xfId="74" applyNumberFormat="1" applyFont="1" applyFill="1" applyBorder="1" applyAlignment="1" applyProtection="1">
      <alignment horizontal="center" vertical="center" wrapText="1"/>
      <protection locked="0"/>
    </xf>
    <xf numFmtId="49" fontId="86" fillId="24" borderId="74" xfId="74" applyNumberFormat="1" applyFont="1" applyFill="1" applyBorder="1" applyAlignment="1" applyProtection="1">
      <alignment horizontal="center" vertical="center"/>
      <protection locked="0"/>
    </xf>
    <xf numFmtId="49" fontId="86" fillId="30" borderId="74" xfId="74" applyNumberFormat="1" applyFont="1" applyFill="1" applyBorder="1" applyAlignment="1" applyProtection="1">
      <alignment horizontal="center" vertical="center"/>
      <protection locked="0"/>
    </xf>
    <xf numFmtId="0" fontId="47" fillId="24" borderId="74" xfId="74" applyFont="1" applyFill="1" applyBorder="1" applyAlignment="1" applyProtection="1">
      <alignment horizontal="justify" vertical="center" wrapText="1"/>
      <protection locked="0"/>
    </xf>
    <xf numFmtId="3" fontId="47" fillId="30" borderId="74" xfId="74" applyNumberFormat="1" applyFont="1" applyFill="1" applyBorder="1" applyAlignment="1" applyProtection="1">
      <alignment horizontal="right" vertical="center"/>
      <protection locked="0"/>
    </xf>
    <xf numFmtId="0" fontId="86" fillId="24" borderId="74" xfId="74" applyFont="1" applyFill="1" applyBorder="1" applyAlignment="1" applyProtection="1">
      <alignment horizontal="left" vertical="center" wrapText="1"/>
      <protection locked="0"/>
    </xf>
    <xf numFmtId="3" fontId="86" fillId="30" borderId="74" xfId="74" applyNumberFormat="1" applyFont="1" applyFill="1" applyBorder="1" applyAlignment="1" applyProtection="1">
      <alignment horizontal="right" vertical="center"/>
      <protection locked="0"/>
    </xf>
    <xf numFmtId="0" fontId="86" fillId="24" borderId="74" xfId="74" applyFont="1" applyFill="1" applyBorder="1" applyAlignment="1" applyProtection="1">
      <alignment horizontal="justify" vertical="center" wrapText="1"/>
      <protection locked="0"/>
    </xf>
    <xf numFmtId="49" fontId="86" fillId="24" borderId="74" xfId="74" applyNumberFormat="1" applyFont="1" applyFill="1" applyBorder="1" applyAlignment="1" applyProtection="1">
      <alignment horizontal="center" vertical="center" wrapText="1"/>
      <protection locked="0"/>
    </xf>
    <xf numFmtId="0" fontId="75" fillId="24" borderId="74" xfId="74" applyFont="1" applyFill="1" applyBorder="1" applyAlignment="1" applyProtection="1">
      <alignment horizontal="left" vertical="center"/>
      <protection locked="0"/>
    </xf>
    <xf numFmtId="49" fontId="75" fillId="24" borderId="74" xfId="74" applyNumberFormat="1" applyFont="1" applyFill="1" applyBorder="1" applyAlignment="1" applyProtection="1">
      <alignment horizontal="center" vertical="center"/>
      <protection locked="0"/>
    </xf>
    <xf numFmtId="3" fontId="75" fillId="30" borderId="74" xfId="74" applyNumberFormat="1" applyFont="1" applyFill="1" applyBorder="1" applyAlignment="1" applyProtection="1">
      <alignment horizontal="right" vertical="center"/>
      <protection locked="0"/>
    </xf>
    <xf numFmtId="168" fontId="75" fillId="24" borderId="74" xfId="74" applyNumberFormat="1" applyFont="1" applyFill="1" applyBorder="1" applyAlignment="1" applyProtection="1">
      <alignment horizontal="right" vertical="center"/>
      <protection locked="0"/>
    </xf>
    <xf numFmtId="0" fontId="82" fillId="0" borderId="74" xfId="83" applyFont="1" applyBorder="1" applyAlignment="1">
      <alignment horizontal="center" vertical="center" wrapText="1"/>
    </xf>
    <xf numFmtId="0" fontId="82" fillId="23" borderId="74" xfId="83" applyFont="1" applyFill="1" applyBorder="1" applyAlignment="1">
      <alignment horizontal="center" vertical="center" wrapText="1"/>
    </xf>
    <xf numFmtId="0" fontId="79" fillId="0" borderId="74" xfId="83" applyFont="1" applyBorder="1" applyAlignment="1">
      <alignment horizontal="center" vertical="center" wrapText="1"/>
    </xf>
    <xf numFmtId="0" fontId="82" fillId="3" borderId="74" xfId="83" applyFont="1" applyFill="1" applyBorder="1" applyAlignment="1">
      <alignment horizontal="center" vertical="center" wrapText="1"/>
    </xf>
    <xf numFmtId="0" fontId="77" fillId="3" borderId="74" xfId="79" applyFont="1" applyFill="1" applyBorder="1" applyAlignment="1">
      <alignment horizontal="justify" vertical="center" wrapText="1"/>
    </xf>
    <xf numFmtId="0" fontId="59" fillId="0" borderId="184" xfId="83" applyFont="1" applyBorder="1" applyAlignment="1">
      <alignment horizontal="center" vertical="center" wrapText="1"/>
    </xf>
    <xf numFmtId="3" fontId="63" fillId="23" borderId="161" xfId="79" applyNumberFormat="1" applyFont="1" applyFill="1" applyBorder="1" applyAlignment="1">
      <alignment horizontal="right" vertical="center" wrapText="1"/>
    </xf>
    <xf numFmtId="3" fontId="74" fillId="0" borderId="161" xfId="79" applyNumberFormat="1" applyFont="1" applyBorder="1" applyAlignment="1">
      <alignment horizontal="right" vertical="center"/>
    </xf>
    <xf numFmtId="3" fontId="63" fillId="3" borderId="161" xfId="79" applyNumberFormat="1" applyFont="1" applyFill="1" applyBorder="1" applyAlignment="1">
      <alignment horizontal="right" vertical="center" wrapText="1"/>
    </xf>
    <xf numFmtId="3" fontId="69" fillId="3" borderId="161" xfId="79" applyNumberFormat="1" applyFont="1" applyFill="1" applyBorder="1" applyAlignment="1">
      <alignment horizontal="right" vertical="center" wrapText="1"/>
    </xf>
    <xf numFmtId="3" fontId="69" fillId="0" borderId="161" xfId="79" applyNumberFormat="1" applyFont="1" applyBorder="1" applyAlignment="1">
      <alignment horizontal="center" vertical="center"/>
    </xf>
    <xf numFmtId="3" fontId="72" fillId="57" borderId="161" xfId="77" applyNumberFormat="1" applyFont="1" applyFill="1" applyBorder="1" applyAlignment="1">
      <alignment horizontal="center" vertical="center" wrapText="1"/>
    </xf>
    <xf numFmtId="0" fontId="63" fillId="0" borderId="161" xfId="79" applyFont="1" applyBorder="1" applyAlignment="1">
      <alignment horizontal="center" vertical="center" wrapText="1"/>
    </xf>
    <xf numFmtId="3" fontId="24" fillId="0" borderId="161" xfId="79" applyNumberFormat="1" applyBorder="1" applyAlignment="1">
      <alignment horizontal="right" vertical="center"/>
    </xf>
    <xf numFmtId="0" fontId="31" fillId="0" borderId="13" xfId="0" applyFont="1" applyBorder="1" applyAlignment="1">
      <alignment horizontal="center" vertical="center" wrapText="1"/>
    </xf>
    <xf numFmtId="0" fontId="31" fillId="0" borderId="191"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57" xfId="0" applyFont="1" applyBorder="1" applyAlignment="1">
      <alignment horizontal="center" vertical="center" wrapText="1"/>
    </xf>
    <xf numFmtId="0" fontId="31" fillId="0" borderId="63" xfId="0" applyFont="1" applyBorder="1" applyAlignment="1">
      <alignment horizontal="center" vertical="center" wrapText="1"/>
    </xf>
    <xf numFmtId="0" fontId="60" fillId="0" borderId="149" xfId="83" applyFont="1" applyBorder="1" applyAlignment="1">
      <alignment horizontal="center" vertical="center" wrapText="1"/>
    </xf>
    <xf numFmtId="3" fontId="69" fillId="0" borderId="74" xfId="83" applyNumberFormat="1" applyFont="1" applyBorder="1" applyAlignment="1">
      <alignment horizontal="right" vertical="center" wrapText="1"/>
    </xf>
    <xf numFmtId="3" fontId="71" fillId="0" borderId="74" xfId="77" applyNumberFormat="1" applyFont="1" applyBorder="1" applyAlignment="1">
      <alignment horizontal="right" vertical="center"/>
    </xf>
    <xf numFmtId="3" fontId="73" fillId="0" borderId="74" xfId="77" applyNumberFormat="1" applyFont="1" applyBorder="1" applyAlignment="1">
      <alignment horizontal="center" vertical="center" wrapText="1"/>
    </xf>
    <xf numFmtId="0" fontId="74" fillId="0" borderId="74" xfId="79" applyFont="1" applyBorder="1" applyAlignment="1">
      <alignment vertical="center"/>
    </xf>
    <xf numFmtId="3" fontId="24" fillId="0" borderId="74" xfId="79" applyNumberFormat="1" applyBorder="1" applyAlignment="1">
      <alignment vertical="center"/>
    </xf>
    <xf numFmtId="3" fontId="36" fillId="0" borderId="25" xfId="0" applyNumberFormat="1" applyFont="1" applyBorder="1" applyAlignment="1">
      <alignment horizontal="justify" vertical="center" wrapText="1"/>
    </xf>
    <xf numFmtId="3" fontId="96" fillId="24" borderId="10" xfId="0" applyNumberFormat="1" applyFont="1" applyFill="1" applyBorder="1" applyAlignment="1">
      <alignment horizontal="justify" vertical="center" wrapText="1"/>
    </xf>
    <xf numFmtId="3" fontId="96" fillId="33" borderId="74" xfId="0" applyNumberFormat="1" applyFont="1" applyFill="1" applyBorder="1" applyAlignment="1">
      <alignment horizontal="justify" vertical="center" wrapText="1"/>
    </xf>
    <xf numFmtId="3" fontId="96" fillId="33" borderId="74" xfId="0" applyNumberFormat="1" applyFont="1" applyFill="1" applyBorder="1" applyAlignment="1">
      <alignment horizontal="left" vertical="center" wrapText="1"/>
    </xf>
    <xf numFmtId="3" fontId="96" fillId="24" borderId="10" xfId="0" applyNumberFormat="1" applyFont="1" applyFill="1" applyBorder="1" applyAlignment="1">
      <alignment horizontal="left" vertical="center" wrapText="1"/>
    </xf>
    <xf numFmtId="3" fontId="96" fillId="24" borderId="12" xfId="0" applyNumberFormat="1" applyFont="1" applyFill="1" applyBorder="1" applyAlignment="1">
      <alignment horizontal="left" vertical="center" wrapText="1"/>
    </xf>
    <xf numFmtId="3" fontId="96" fillId="33" borderId="10" xfId="0" applyNumberFormat="1" applyFont="1" applyFill="1" applyBorder="1" applyAlignment="1">
      <alignment horizontal="left" vertical="center" wrapText="1"/>
    </xf>
    <xf numFmtId="3" fontId="96" fillId="33" borderId="10" xfId="0" applyNumberFormat="1" applyFont="1" applyFill="1" applyBorder="1" applyAlignment="1">
      <alignment horizontal="justify" vertical="center" wrapText="1"/>
    </xf>
    <xf numFmtId="3" fontId="96" fillId="33" borderId="12" xfId="0" applyNumberFormat="1" applyFont="1" applyFill="1" applyBorder="1" applyAlignment="1">
      <alignment horizontal="justify" vertical="center" wrapText="1"/>
    </xf>
    <xf numFmtId="3" fontId="36" fillId="33" borderId="75" xfId="0" applyNumberFormat="1" applyFont="1" applyFill="1" applyBorder="1" applyAlignment="1">
      <alignment vertical="center"/>
    </xf>
    <xf numFmtId="3" fontId="96" fillId="33" borderId="0" xfId="0" applyNumberFormat="1" applyFont="1" applyFill="1" applyAlignment="1">
      <alignment horizontal="justify" vertical="center" wrapText="1"/>
    </xf>
    <xf numFmtId="0" fontId="29" fillId="0" borderId="37" xfId="0" applyFont="1" applyBorder="1" applyAlignment="1">
      <alignment horizontal="center" vertical="center"/>
    </xf>
    <xf numFmtId="0" fontId="33" fillId="24" borderId="38" xfId="0" applyFont="1" applyFill="1" applyBorder="1" applyAlignment="1">
      <alignment vertical="center"/>
    </xf>
    <xf numFmtId="3" fontId="33" fillId="24" borderId="38" xfId="0" applyNumberFormat="1" applyFont="1" applyFill="1" applyBorder="1" applyAlignment="1">
      <alignment vertical="center"/>
    </xf>
    <xf numFmtId="3" fontId="33" fillId="24" borderId="26" xfId="0" applyNumberFormat="1" applyFont="1" applyFill="1" applyBorder="1" applyAlignment="1">
      <alignment vertical="center"/>
    </xf>
    <xf numFmtId="0" fontId="29" fillId="0" borderId="74" xfId="0" applyFont="1" applyBorder="1" applyAlignment="1">
      <alignment horizontal="center" vertical="center" textRotation="90"/>
    </xf>
    <xf numFmtId="0" fontId="33" fillId="0" borderId="74" xfId="0" applyFont="1" applyBorder="1" applyAlignment="1">
      <alignment horizontal="center" vertical="center"/>
    </xf>
    <xf numFmtId="3" fontId="29" fillId="0" borderId="74" xfId="0" applyNumberFormat="1" applyFont="1" applyBorder="1" applyAlignment="1">
      <alignment horizontal="center" vertical="center" wrapText="1"/>
    </xf>
    <xf numFmtId="0" fontId="33" fillId="0" borderId="74" xfId="0" applyFont="1" applyBorder="1" applyAlignment="1">
      <alignment horizontal="center" vertical="center" wrapText="1"/>
    </xf>
    <xf numFmtId="0" fontId="29" fillId="0" borderId="74" xfId="0" applyFont="1" applyBorder="1" applyAlignment="1">
      <alignment horizontal="center" vertical="center"/>
    </xf>
    <xf numFmtId="3" fontId="33" fillId="0" borderId="74" xfId="0" applyNumberFormat="1" applyFont="1" applyBorder="1" applyAlignment="1">
      <alignment vertical="center"/>
    </xf>
    <xf numFmtId="3" fontId="29" fillId="0" borderId="74" xfId="0" applyNumberFormat="1" applyFont="1" applyBorder="1" applyAlignment="1">
      <alignment vertical="center" wrapText="1"/>
    </xf>
    <xf numFmtId="3" fontId="178" fillId="24" borderId="74" xfId="0" applyNumberFormat="1" applyFont="1" applyFill="1" applyBorder="1" applyAlignment="1">
      <alignment horizontal="right" vertical="center"/>
    </xf>
    <xf numFmtId="3" fontId="33" fillId="24" borderId="74" xfId="0" applyNumberFormat="1" applyFont="1" applyFill="1" applyBorder="1" applyAlignment="1">
      <alignment vertical="center"/>
    </xf>
    <xf numFmtId="175" fontId="29" fillId="24" borderId="74" xfId="0" applyNumberFormat="1" applyFont="1" applyFill="1" applyBorder="1" applyAlignment="1">
      <alignment horizontal="right" vertical="center"/>
    </xf>
    <xf numFmtId="175" fontId="33" fillId="24" borderId="74" xfId="0" applyNumberFormat="1" applyFont="1" applyFill="1" applyBorder="1" applyAlignment="1">
      <alignment horizontal="right" vertical="center"/>
    </xf>
    <xf numFmtId="0" fontId="29" fillId="0" borderId="161" xfId="0" applyFont="1" applyBorder="1" applyAlignment="1">
      <alignment vertical="center"/>
    </xf>
    <xf numFmtId="0" fontId="29" fillId="0" borderId="175" xfId="0" applyFont="1" applyBorder="1" applyAlignment="1">
      <alignment vertical="center"/>
    </xf>
    <xf numFmtId="0" fontId="29" fillId="0" borderId="120" xfId="0" applyFont="1" applyBorder="1" applyAlignment="1">
      <alignment horizontal="center" vertical="center"/>
    </xf>
    <xf numFmtId="3" fontId="21" fillId="0" borderId="0" xfId="0" applyNumberFormat="1" applyFont="1"/>
    <xf numFmtId="167" fontId="59" fillId="37" borderId="74" xfId="83" applyNumberFormat="1" applyFont="1" applyFill="1" applyBorder="1" applyAlignment="1">
      <alignment horizontal="center" vertical="center" wrapText="1"/>
    </xf>
    <xf numFmtId="3" fontId="23" fillId="0" borderId="0" xfId="83" applyNumberFormat="1" applyAlignment="1">
      <alignment horizontal="right" vertical="center" wrapText="1"/>
    </xf>
    <xf numFmtId="0" fontId="89" fillId="62" borderId="10" xfId="74" applyFont="1" applyFill="1" applyBorder="1" applyAlignment="1" applyProtection="1">
      <alignment horizontal="left" vertical="center" wrapText="1"/>
      <protection locked="0"/>
    </xf>
    <xf numFmtId="49" fontId="21" fillId="62" borderId="10" xfId="74" applyNumberFormat="1" applyFont="1" applyFill="1" applyBorder="1" applyAlignment="1" applyProtection="1">
      <alignment horizontal="right" vertical="center" wrapText="1"/>
      <protection locked="0"/>
    </xf>
    <xf numFmtId="0" fontId="21" fillId="62" borderId="10" xfId="74" applyFont="1" applyFill="1" applyBorder="1" applyAlignment="1" applyProtection="1">
      <alignment horizontal="right" vertical="center" wrapText="1"/>
      <protection locked="0"/>
    </xf>
    <xf numFmtId="0" fontId="21" fillId="62" borderId="10" xfId="74" applyFont="1" applyFill="1" applyBorder="1" applyAlignment="1" applyProtection="1">
      <alignment horizontal="center" vertical="center" wrapText="1"/>
      <protection locked="0"/>
    </xf>
    <xf numFmtId="49" fontId="21" fillId="62" borderId="10" xfId="74" applyNumberFormat="1" applyFont="1" applyFill="1" applyBorder="1" applyAlignment="1" applyProtection="1">
      <alignment horizontal="right" vertical="center"/>
      <protection locked="0"/>
    </xf>
    <xf numFmtId="3" fontId="89" fillId="62" borderId="10" xfId="74" applyNumberFormat="1" applyFont="1" applyFill="1" applyBorder="1" applyAlignment="1" applyProtection="1">
      <alignment horizontal="right" vertical="center"/>
      <protection locked="0"/>
    </xf>
    <xf numFmtId="16" fontId="34" fillId="24" borderId="10" xfId="74" quotePrefix="1" applyNumberFormat="1" applyFont="1" applyFill="1" applyBorder="1" applyAlignment="1" applyProtection="1">
      <alignment horizontal="center" vertical="center"/>
      <protection locked="0"/>
    </xf>
    <xf numFmtId="0" fontId="0" fillId="0" borderId="74" xfId="0" applyBorder="1" applyAlignment="1">
      <alignment horizontal="left" vertical="center" wrapText="1"/>
    </xf>
    <xf numFmtId="0" fontId="0" fillId="0" borderId="74" xfId="0" applyBorder="1" applyAlignment="1">
      <alignment horizontal="center" vertical="center"/>
    </xf>
    <xf numFmtId="3" fontId="29" fillId="24" borderId="74" xfId="0" quotePrefix="1" applyNumberFormat="1" applyFont="1" applyFill="1" applyBorder="1" applyAlignment="1">
      <alignment horizontal="right" vertical="center" wrapText="1"/>
    </xf>
    <xf numFmtId="3" fontId="76" fillId="24" borderId="29" xfId="80" quotePrefix="1" applyNumberFormat="1" applyFont="1" applyFill="1" applyBorder="1" applyAlignment="1">
      <alignment horizontal="left" vertical="center" wrapText="1"/>
    </xf>
    <xf numFmtId="49" fontId="23" fillId="0" borderId="74" xfId="83" applyNumberFormat="1" applyBorder="1" applyAlignment="1">
      <alignment horizontal="center" vertical="center" textRotation="90" wrapText="1"/>
    </xf>
    <xf numFmtId="49" fontId="23" fillId="0" borderId="10" xfId="83" applyNumberFormat="1" applyBorder="1" applyAlignment="1">
      <alignment horizontal="center" vertical="center" textRotation="90" wrapText="1"/>
    </xf>
    <xf numFmtId="49" fontId="23" fillId="0" borderId="0" xfId="83" applyNumberFormat="1" applyAlignment="1">
      <alignment horizontal="center" vertical="center" textRotation="90" wrapText="1"/>
    </xf>
    <xf numFmtId="3" fontId="97" fillId="24" borderId="74" xfId="74" applyNumberFormat="1" applyFont="1" applyFill="1" applyBorder="1" applyAlignment="1" applyProtection="1">
      <alignment horizontal="center" vertical="center" wrapText="1"/>
      <protection locked="0"/>
    </xf>
    <xf numFmtId="0" fontId="34" fillId="63" borderId="10" xfId="74" applyFont="1" applyFill="1" applyBorder="1" applyAlignment="1" applyProtection="1">
      <alignment horizontal="center" vertical="center"/>
      <protection locked="0"/>
    </xf>
    <xf numFmtId="49" fontId="34" fillId="63" borderId="10" xfId="74" applyNumberFormat="1" applyFont="1" applyFill="1" applyBorder="1" applyAlignment="1" applyProtection="1">
      <alignment horizontal="right" vertical="center"/>
      <protection locked="0"/>
    </xf>
    <xf numFmtId="3" fontId="34" fillId="63" borderId="10" xfId="74" applyNumberFormat="1" applyFont="1" applyFill="1" applyBorder="1" applyAlignment="1" applyProtection="1">
      <alignment horizontal="right" vertical="center"/>
      <protection locked="0"/>
    </xf>
    <xf numFmtId="3" fontId="21" fillId="63" borderId="10" xfId="74" applyNumberFormat="1" applyFont="1" applyFill="1" applyBorder="1" applyAlignment="1" applyProtection="1">
      <alignment horizontal="right" vertical="center"/>
      <protection locked="0"/>
    </xf>
    <xf numFmtId="3" fontId="34" fillId="63" borderId="12" xfId="74" applyNumberFormat="1" applyFont="1" applyFill="1" applyBorder="1" applyAlignment="1" applyProtection="1">
      <alignment horizontal="right" vertical="center"/>
      <protection locked="0"/>
    </xf>
    <xf numFmtId="0" fontId="34" fillId="63" borderId="10" xfId="74" applyFont="1" applyFill="1" applyBorder="1" applyAlignment="1" applyProtection="1">
      <alignment horizontal="right" vertical="center" wrapText="1"/>
      <protection locked="0"/>
    </xf>
    <xf numFmtId="3" fontId="21" fillId="63" borderId="11" xfId="74" applyNumberFormat="1" applyFont="1" applyFill="1" applyBorder="1" applyAlignment="1">
      <alignment horizontal="right" vertical="center"/>
    </xf>
    <xf numFmtId="3" fontId="21" fillId="63" borderId="10" xfId="74" applyNumberFormat="1" applyFont="1" applyFill="1" applyBorder="1" applyAlignment="1">
      <alignment horizontal="right" vertical="center"/>
    </xf>
    <xf numFmtId="3" fontId="89" fillId="63" borderId="10" xfId="74" applyNumberFormat="1" applyFont="1" applyFill="1" applyBorder="1" applyAlignment="1" applyProtection="1">
      <alignment horizontal="right" vertical="center"/>
      <protection locked="0"/>
    </xf>
    <xf numFmtId="3" fontId="102" fillId="63" borderId="10" xfId="74" applyNumberFormat="1" applyFont="1" applyFill="1" applyBorder="1" applyAlignment="1" applyProtection="1">
      <alignment horizontal="right" vertical="center"/>
      <protection locked="0"/>
    </xf>
    <xf numFmtId="0" fontId="59" fillId="64" borderId="74" xfId="83" applyFont="1" applyFill="1" applyBorder="1" applyAlignment="1">
      <alignment horizontal="center" vertical="center" wrapText="1"/>
    </xf>
    <xf numFmtId="0" fontId="58" fillId="63" borderId="74" xfId="79" applyFont="1" applyFill="1" applyBorder="1" applyAlignment="1">
      <alignment horizontal="center" vertical="center" wrapText="1"/>
    </xf>
    <xf numFmtId="3" fontId="66" fillId="64" borderId="74" xfId="83" applyNumberFormat="1" applyFont="1" applyFill="1" applyBorder="1" applyAlignment="1" applyProtection="1">
      <alignment horizontal="right" vertical="center" wrapText="1"/>
      <protection locked="0"/>
    </xf>
    <xf numFmtId="3" fontId="65" fillId="64" borderId="74" xfId="83" applyNumberFormat="1" applyFont="1" applyFill="1" applyBorder="1" applyAlignment="1">
      <alignment horizontal="right" vertical="center" wrapText="1"/>
    </xf>
    <xf numFmtId="3" fontId="60" fillId="64" borderId="74" xfId="83" applyNumberFormat="1" applyFont="1" applyFill="1" applyBorder="1" applyAlignment="1">
      <alignment horizontal="right" vertical="center" wrapText="1"/>
    </xf>
    <xf numFmtId="3" fontId="60" fillId="64" borderId="74" xfId="83" applyNumberFormat="1" applyFont="1" applyFill="1" applyBorder="1" applyAlignment="1" applyProtection="1">
      <alignment horizontal="right" vertical="center" wrapText="1"/>
      <protection locked="0"/>
    </xf>
    <xf numFmtId="3" fontId="57" fillId="64" borderId="74" xfId="83" applyNumberFormat="1" applyFont="1" applyFill="1" applyBorder="1" applyAlignment="1">
      <alignment horizontal="right" vertical="center" wrapText="1"/>
    </xf>
    <xf numFmtId="0" fontId="82" fillId="63" borderId="146" xfId="83" applyFont="1" applyFill="1" applyBorder="1" applyAlignment="1">
      <alignment horizontal="center" vertical="center" wrapText="1"/>
    </xf>
    <xf numFmtId="0" fontId="82" fillId="0" borderId="141" xfId="0" applyFont="1" applyBorder="1" applyAlignment="1">
      <alignment horizontal="center" vertical="center" wrapText="1"/>
    </xf>
    <xf numFmtId="0" fontId="77" fillId="63" borderId="74" xfId="83" applyFont="1" applyFill="1" applyBorder="1" applyAlignment="1">
      <alignment horizontal="center" vertical="center" wrapText="1"/>
    </xf>
    <xf numFmtId="167" fontId="65" fillId="64" borderId="74" xfId="83" applyNumberFormat="1" applyFont="1" applyFill="1" applyBorder="1" applyAlignment="1">
      <alignment horizontal="center" vertical="center" wrapText="1"/>
    </xf>
    <xf numFmtId="3" fontId="67" fillId="64" borderId="74" xfId="83" applyNumberFormat="1" applyFont="1" applyFill="1" applyBorder="1" applyAlignment="1">
      <alignment horizontal="right" vertical="center" wrapText="1"/>
    </xf>
    <xf numFmtId="3" fontId="66" fillId="63" borderId="74" xfId="83" applyNumberFormat="1" applyFont="1" applyFill="1" applyBorder="1" applyAlignment="1" applyProtection="1">
      <alignment horizontal="right" vertical="center" wrapText="1"/>
      <protection locked="0"/>
    </xf>
    <xf numFmtId="0" fontId="77" fillId="64" borderId="74" xfId="83" applyFont="1" applyFill="1" applyBorder="1" applyAlignment="1">
      <alignment horizontal="center" vertical="center" wrapText="1"/>
    </xf>
    <xf numFmtId="0" fontId="77" fillId="0" borderId="184" xfId="83" applyFont="1" applyBorder="1" applyAlignment="1">
      <alignment horizontal="center" vertical="center" wrapText="1"/>
    </xf>
    <xf numFmtId="3" fontId="79" fillId="63" borderId="74" xfId="74" applyNumberFormat="1" applyFont="1" applyFill="1" applyBorder="1" applyAlignment="1" applyProtection="1">
      <alignment horizontal="center" vertical="center" wrapText="1"/>
      <protection locked="0"/>
    </xf>
    <xf numFmtId="3" fontId="34" fillId="63" borderId="74" xfId="74" applyNumberFormat="1" applyFont="1" applyFill="1" applyBorder="1" applyAlignment="1" applyProtection="1">
      <alignment horizontal="center" vertical="center" wrapText="1"/>
      <protection locked="0"/>
    </xf>
    <xf numFmtId="49" fontId="34" fillId="63" borderId="74" xfId="74" applyNumberFormat="1" applyFont="1" applyFill="1" applyBorder="1" applyAlignment="1" applyProtection="1">
      <alignment horizontal="center" vertical="center"/>
      <protection locked="0"/>
    </xf>
    <xf numFmtId="3" fontId="21" fillId="63" borderId="74" xfId="74" applyNumberFormat="1" applyFont="1" applyFill="1" applyBorder="1" applyAlignment="1" applyProtection="1">
      <alignment horizontal="right" vertical="center"/>
      <protection locked="0"/>
    </xf>
    <xf numFmtId="3" fontId="34" fillId="63" borderId="74" xfId="74" applyNumberFormat="1" applyFont="1" applyFill="1" applyBorder="1" applyAlignment="1" applyProtection="1">
      <alignment horizontal="right" vertical="center"/>
      <protection locked="0"/>
    </xf>
    <xf numFmtId="3" fontId="33" fillId="63" borderId="74" xfId="74" applyNumberFormat="1" applyFont="1" applyFill="1" applyBorder="1" applyAlignment="1" applyProtection="1">
      <alignment horizontal="right" vertical="center"/>
      <protection locked="0"/>
    </xf>
    <xf numFmtId="0" fontId="34" fillId="63" borderId="74" xfId="74" applyFont="1" applyFill="1" applyBorder="1" applyAlignment="1" applyProtection="1">
      <alignment horizontal="center" vertical="center"/>
      <protection locked="0"/>
    </xf>
    <xf numFmtId="3" fontId="89" fillId="63" borderId="74" xfId="74" applyNumberFormat="1" applyFont="1" applyFill="1" applyBorder="1" applyAlignment="1" applyProtection="1">
      <alignment horizontal="right" vertical="center"/>
      <protection locked="0"/>
    </xf>
    <xf numFmtId="3" fontId="93" fillId="63" borderId="74" xfId="74" applyNumberFormat="1" applyFont="1" applyFill="1" applyBorder="1" applyAlignment="1" applyProtection="1">
      <alignment horizontal="right" vertical="center"/>
      <protection locked="0"/>
    </xf>
    <xf numFmtId="3" fontId="34" fillId="63" borderId="74" xfId="74" applyNumberFormat="1" applyFont="1" applyFill="1" applyBorder="1" applyAlignment="1" applyProtection="1">
      <alignment horizontal="center" vertical="center"/>
      <protection locked="0"/>
    </xf>
    <xf numFmtId="3" fontId="90" fillId="63" borderId="74" xfId="74" applyNumberFormat="1" applyFont="1" applyFill="1" applyBorder="1" applyAlignment="1" applyProtection="1">
      <alignment horizontal="right" vertical="center"/>
      <protection locked="0"/>
    </xf>
    <xf numFmtId="3" fontId="34" fillId="65" borderId="74" xfId="74" applyNumberFormat="1" applyFont="1" applyFill="1" applyBorder="1" applyAlignment="1" applyProtection="1">
      <alignment horizontal="right" vertical="center"/>
      <protection locked="0"/>
    </xf>
    <xf numFmtId="0" fontId="59" fillId="64" borderId="137" xfId="83" applyFont="1" applyFill="1" applyBorder="1" applyAlignment="1">
      <alignment horizontal="center" vertical="center" wrapText="1"/>
    </xf>
    <xf numFmtId="0" fontId="77" fillId="64" borderId="47" xfId="80" applyFont="1" applyFill="1" applyBorder="1" applyAlignment="1">
      <alignment horizontal="center" vertical="center" wrapText="1"/>
    </xf>
    <xf numFmtId="0" fontId="59" fillId="64" borderId="19" xfId="80" applyFont="1" applyFill="1" applyBorder="1" applyAlignment="1">
      <alignment horizontal="center" vertical="center" wrapText="1"/>
    </xf>
    <xf numFmtId="3" fontId="65" fillId="64" borderId="19" xfId="80" applyNumberFormat="1" applyFont="1" applyFill="1" applyBorder="1" applyAlignment="1">
      <alignment horizontal="right" vertical="center" wrapText="1"/>
    </xf>
    <xf numFmtId="3" fontId="59" fillId="63" borderId="11" xfId="80" applyNumberFormat="1" applyFont="1" applyFill="1" applyBorder="1" applyAlignment="1">
      <alignment horizontal="center" vertical="center" wrapText="1"/>
    </xf>
    <xf numFmtId="0" fontId="59" fillId="63" borderId="74" xfId="83" applyFont="1" applyFill="1" applyBorder="1" applyAlignment="1">
      <alignment horizontal="center" vertical="center" wrapText="1"/>
    </xf>
    <xf numFmtId="3" fontId="79" fillId="63" borderId="11" xfId="74" applyNumberFormat="1" applyFont="1" applyFill="1" applyBorder="1" applyAlignment="1" applyProtection="1">
      <alignment horizontal="center" vertical="center" wrapText="1"/>
      <protection locked="0"/>
    </xf>
    <xf numFmtId="3" fontId="21" fillId="63" borderId="11" xfId="74" applyNumberFormat="1" applyFont="1" applyFill="1" applyBorder="1" applyAlignment="1" applyProtection="1">
      <alignment horizontal="center" vertical="center" wrapText="1"/>
      <protection locked="0"/>
    </xf>
    <xf numFmtId="3" fontId="79" fillId="63" borderId="10" xfId="74" applyNumberFormat="1" applyFont="1" applyFill="1" applyBorder="1" applyAlignment="1" applyProtection="1">
      <alignment horizontal="center" vertical="center" wrapText="1"/>
      <protection locked="0"/>
    </xf>
    <xf numFmtId="0" fontId="64" fillId="63" borderId="11" xfId="83" applyFont="1" applyFill="1" applyBorder="1" applyAlignment="1">
      <alignment horizontal="center" vertical="center" wrapText="1"/>
    </xf>
    <xf numFmtId="0" fontId="64" fillId="63" borderId="138" xfId="83" applyFont="1" applyFill="1" applyBorder="1" applyAlignment="1">
      <alignment horizontal="center" vertical="center" wrapText="1"/>
    </xf>
    <xf numFmtId="3" fontId="77" fillId="63" borderId="10" xfId="80" applyNumberFormat="1" applyFont="1" applyFill="1" applyBorder="1" applyAlignment="1">
      <alignment horizontal="center" vertical="center" wrapText="1"/>
    </xf>
    <xf numFmtId="3" fontId="77" fillId="63" borderId="74" xfId="80" applyNumberFormat="1" applyFont="1" applyFill="1" applyBorder="1" applyAlignment="1">
      <alignment horizontal="center" vertical="center" wrapText="1"/>
    </xf>
    <xf numFmtId="0" fontId="86" fillId="63" borderId="74" xfId="74" applyFont="1" applyFill="1" applyBorder="1" applyAlignment="1" applyProtection="1">
      <alignment horizontal="center" vertical="center"/>
      <protection locked="0"/>
    </xf>
    <xf numFmtId="49" fontId="86" fillId="63" borderId="74" xfId="74" applyNumberFormat="1" applyFont="1" applyFill="1" applyBorder="1" applyAlignment="1" applyProtection="1">
      <alignment horizontal="center" vertical="center"/>
      <protection locked="0"/>
    </xf>
    <xf numFmtId="3" fontId="47" fillId="63" borderId="74" xfId="74" applyNumberFormat="1" applyFont="1" applyFill="1" applyBorder="1" applyAlignment="1" applyProtection="1">
      <alignment horizontal="right" vertical="center"/>
      <protection locked="0"/>
    </xf>
    <xf numFmtId="3" fontId="86" fillId="63" borderId="74" xfId="74" applyNumberFormat="1" applyFont="1" applyFill="1" applyBorder="1" applyAlignment="1" applyProtection="1">
      <alignment horizontal="right" vertical="center"/>
      <protection locked="0"/>
    </xf>
    <xf numFmtId="3" fontId="75" fillId="63" borderId="74" xfId="74" applyNumberFormat="1" applyFont="1" applyFill="1" applyBorder="1" applyAlignment="1" applyProtection="1">
      <alignment horizontal="right" vertical="center"/>
      <protection locked="0"/>
    </xf>
    <xf numFmtId="3" fontId="21" fillId="63" borderId="10" xfId="74" applyNumberFormat="1" applyFont="1" applyFill="1" applyBorder="1" applyAlignment="1" applyProtection="1">
      <alignment horizontal="center" vertical="center" wrapText="1"/>
      <protection locked="0"/>
    </xf>
    <xf numFmtId="3" fontId="34" fillId="63" borderId="10" xfId="74" applyNumberFormat="1" applyFont="1" applyFill="1" applyBorder="1" applyAlignment="1" applyProtection="1">
      <alignment horizontal="center" vertical="center" wrapText="1"/>
      <protection locked="0"/>
    </xf>
    <xf numFmtId="3" fontId="89" fillId="63" borderId="10" xfId="74" applyNumberFormat="1" applyFont="1" applyFill="1" applyBorder="1" applyAlignment="1">
      <alignment horizontal="right" vertical="center"/>
    </xf>
    <xf numFmtId="3" fontId="33" fillId="63" borderId="10" xfId="74" applyNumberFormat="1" applyFont="1" applyFill="1" applyBorder="1" applyAlignment="1" applyProtection="1">
      <alignment horizontal="right" vertical="center"/>
      <protection locked="0"/>
    </xf>
    <xf numFmtId="49" fontId="34" fillId="63" borderId="10" xfId="74" applyNumberFormat="1" applyFont="1" applyFill="1" applyBorder="1" applyAlignment="1" applyProtection="1">
      <alignment horizontal="center" vertical="center"/>
      <protection locked="0"/>
    </xf>
    <xf numFmtId="3" fontId="21" fillId="63" borderId="74" xfId="74" applyNumberFormat="1" applyFont="1" applyFill="1" applyBorder="1" applyAlignment="1" applyProtection="1">
      <alignment horizontal="center" vertical="center" wrapText="1"/>
      <protection locked="0"/>
    </xf>
    <xf numFmtId="0" fontId="21" fillId="64" borderId="74" xfId="0" applyFont="1" applyFill="1" applyBorder="1" applyAlignment="1">
      <alignment vertical="center"/>
    </xf>
    <xf numFmtId="3" fontId="21" fillId="63" borderId="0" xfId="74" applyNumberFormat="1" applyFont="1" applyFill="1" applyAlignment="1" applyProtection="1">
      <alignment horizontal="right" vertical="center"/>
      <protection locked="0"/>
    </xf>
    <xf numFmtId="3" fontId="34" fillId="63" borderId="0" xfId="74" applyNumberFormat="1" applyFont="1" applyFill="1" applyAlignment="1" applyProtection="1">
      <alignment horizontal="right" vertical="center"/>
      <protection locked="0"/>
    </xf>
    <xf numFmtId="3" fontId="21" fillId="63" borderId="40" xfId="74" applyNumberFormat="1" applyFont="1" applyFill="1" applyBorder="1" applyAlignment="1" applyProtection="1">
      <alignment horizontal="right" vertical="center"/>
      <protection locked="0"/>
    </xf>
    <xf numFmtId="3" fontId="34" fillId="63" borderId="40" xfId="74" applyNumberFormat="1" applyFont="1" applyFill="1" applyBorder="1" applyAlignment="1" applyProtection="1">
      <alignment horizontal="right" vertical="center"/>
      <protection locked="0"/>
    </xf>
    <xf numFmtId="3" fontId="21" fillId="63" borderId="56" xfId="74" applyNumberFormat="1" applyFont="1" applyFill="1" applyBorder="1" applyAlignment="1" applyProtection="1">
      <alignment horizontal="right" vertical="center"/>
      <protection locked="0"/>
    </xf>
    <xf numFmtId="3" fontId="21" fillId="62" borderId="74" xfId="74" applyNumberFormat="1" applyFont="1" applyFill="1" applyBorder="1" applyAlignment="1" applyProtection="1">
      <alignment horizontal="center" vertical="center" wrapText="1"/>
      <protection locked="0"/>
    </xf>
    <xf numFmtId="0" fontId="34" fillId="62" borderId="74" xfId="74" applyFont="1" applyFill="1" applyBorder="1" applyAlignment="1" applyProtection="1">
      <alignment horizontal="center" vertical="center"/>
      <protection locked="0"/>
    </xf>
    <xf numFmtId="0" fontId="21" fillId="60" borderId="74" xfId="0" applyFont="1" applyFill="1" applyBorder="1" applyAlignment="1">
      <alignment vertical="center"/>
    </xf>
    <xf numFmtId="3" fontId="34" fillId="62" borderId="74" xfId="74" applyNumberFormat="1" applyFont="1" applyFill="1" applyBorder="1" applyAlignment="1" applyProtection="1">
      <alignment horizontal="right" vertical="center"/>
      <protection locked="0"/>
    </xf>
    <xf numFmtId="3" fontId="21" fillId="62" borderId="74" xfId="74" applyNumberFormat="1" applyFont="1" applyFill="1" applyBorder="1" applyAlignment="1" applyProtection="1">
      <alignment horizontal="right" vertical="center"/>
      <protection locked="0"/>
    </xf>
    <xf numFmtId="3" fontId="21" fillId="44" borderId="10" xfId="74" applyNumberFormat="1" applyFont="1" applyFill="1" applyBorder="1" applyAlignment="1" applyProtection="1">
      <alignment horizontal="right" vertical="center"/>
      <protection locked="0"/>
    </xf>
    <xf numFmtId="3" fontId="34" fillId="30" borderId="10" xfId="74" applyNumberFormat="1" applyFont="1" applyFill="1" applyBorder="1" applyAlignment="1">
      <alignment horizontal="right" vertical="center" wrapText="1"/>
    </xf>
    <xf numFmtId="3" fontId="21" fillId="30" borderId="10" xfId="74" applyNumberFormat="1" applyFont="1" applyFill="1" applyBorder="1" applyAlignment="1">
      <alignment horizontal="right" vertical="center" wrapText="1"/>
    </xf>
    <xf numFmtId="3" fontId="89" fillId="30" borderId="10" xfId="74" applyNumberFormat="1" applyFont="1" applyFill="1" applyBorder="1" applyAlignment="1" applyProtection="1">
      <alignment horizontal="right" vertical="center" wrapText="1"/>
      <protection locked="0"/>
    </xf>
    <xf numFmtId="3" fontId="34" fillId="30" borderId="10" xfId="74" applyNumberFormat="1" applyFont="1" applyFill="1" applyBorder="1" applyAlignment="1" applyProtection="1">
      <alignment horizontal="right" vertical="center" wrapText="1"/>
      <protection locked="0"/>
    </xf>
    <xf numFmtId="3" fontId="21" fillId="30" borderId="10" xfId="74" applyNumberFormat="1" applyFont="1" applyFill="1" applyBorder="1" applyAlignment="1" applyProtection="1">
      <alignment horizontal="right" vertical="center" wrapText="1"/>
      <protection locked="0"/>
    </xf>
    <xf numFmtId="0" fontId="64" fillId="32" borderId="11" xfId="83" applyFont="1" applyFill="1" applyBorder="1" applyAlignment="1">
      <alignment horizontal="center" vertical="center" wrapText="1"/>
    </xf>
    <xf numFmtId="3" fontId="77" fillId="30" borderId="10" xfId="80" applyNumberFormat="1" applyFont="1" applyFill="1" applyBorder="1" applyAlignment="1">
      <alignment horizontal="center" vertical="center" wrapText="1"/>
    </xf>
    <xf numFmtId="3" fontId="197" fillId="30" borderId="10" xfId="80" applyNumberFormat="1" applyFont="1" applyFill="1" applyBorder="1" applyAlignment="1" applyProtection="1">
      <alignment horizontal="right" vertical="center" wrapText="1"/>
      <protection locked="0"/>
    </xf>
    <xf numFmtId="0" fontId="34" fillId="0" borderId="149" xfId="0" applyFont="1" applyBorder="1" applyAlignment="1">
      <alignment horizontal="center" vertical="center" wrapText="1"/>
    </xf>
    <xf numFmtId="3" fontId="59" fillId="32" borderId="74" xfId="80" applyNumberFormat="1" applyFont="1" applyFill="1" applyBorder="1" applyAlignment="1">
      <alignment horizontal="center" vertical="center" wrapText="1"/>
    </xf>
    <xf numFmtId="3" fontId="65" fillId="30" borderId="74" xfId="80" applyNumberFormat="1" applyFont="1" applyFill="1" applyBorder="1" applyAlignment="1">
      <alignment horizontal="right" vertical="center" wrapText="1"/>
    </xf>
    <xf numFmtId="3" fontId="77" fillId="30" borderId="74" xfId="80" applyNumberFormat="1" applyFont="1" applyFill="1" applyBorder="1" applyAlignment="1">
      <alignment horizontal="right" vertical="center" wrapText="1"/>
    </xf>
    <xf numFmtId="3" fontId="23" fillId="30" borderId="74" xfId="80" applyNumberFormat="1" applyFill="1" applyBorder="1" applyAlignment="1">
      <alignment horizontal="right" vertical="center" wrapText="1"/>
    </xf>
    <xf numFmtId="177" fontId="59" fillId="30" borderId="74" xfId="80" applyNumberFormat="1" applyFont="1" applyFill="1" applyBorder="1" applyAlignment="1" applyProtection="1">
      <alignment horizontal="right" vertical="center" wrapText="1"/>
      <protection locked="0"/>
    </xf>
    <xf numFmtId="3" fontId="21" fillId="32" borderId="10" xfId="74" applyNumberFormat="1" applyFont="1" applyFill="1" applyBorder="1" applyAlignment="1">
      <alignment horizontal="right" vertical="center"/>
    </xf>
    <xf numFmtId="3" fontId="89" fillId="32" borderId="10" xfId="74" applyNumberFormat="1" applyFont="1" applyFill="1" applyBorder="1" applyAlignment="1">
      <alignment horizontal="right" vertical="center"/>
    </xf>
    <xf numFmtId="3" fontId="21" fillId="32" borderId="10" xfId="74" applyNumberFormat="1" applyFont="1" applyFill="1" applyBorder="1" applyAlignment="1" applyProtection="1">
      <alignment horizontal="right" vertical="center" wrapText="1"/>
      <protection locked="0"/>
    </xf>
    <xf numFmtId="3" fontId="34" fillId="32" borderId="10" xfId="74" applyNumberFormat="1" applyFont="1" applyFill="1" applyBorder="1" applyAlignment="1" applyProtection="1">
      <alignment horizontal="right" vertical="center" wrapText="1"/>
      <protection locked="0"/>
    </xf>
    <xf numFmtId="3" fontId="34" fillId="32" borderId="10" xfId="74" applyNumberFormat="1" applyFont="1" applyFill="1" applyBorder="1" applyAlignment="1">
      <alignment horizontal="right" vertical="center"/>
    </xf>
    <xf numFmtId="3" fontId="89" fillId="32" borderId="10" xfId="74" applyNumberFormat="1" applyFont="1" applyFill="1" applyBorder="1" applyAlignment="1" applyProtection="1">
      <alignment horizontal="right" vertical="center" wrapText="1"/>
      <protection locked="0"/>
    </xf>
    <xf numFmtId="49" fontId="34" fillId="32" borderId="10" xfId="74" applyNumberFormat="1" applyFont="1" applyFill="1" applyBorder="1" applyAlignment="1" applyProtection="1">
      <alignment horizontal="right" vertical="center"/>
      <protection locked="0"/>
    </xf>
    <xf numFmtId="3" fontId="21" fillId="32" borderId="11" xfId="74" applyNumberFormat="1" applyFont="1" applyFill="1" applyBorder="1" applyAlignment="1" applyProtection="1">
      <alignment horizontal="center" vertical="center" wrapText="1"/>
      <protection locked="0"/>
    </xf>
    <xf numFmtId="0" fontId="34" fillId="38" borderId="74" xfId="0" applyFont="1" applyFill="1" applyBorder="1" applyAlignment="1">
      <alignment horizontal="center" vertical="center"/>
    </xf>
    <xf numFmtId="3" fontId="34" fillId="38" borderId="74" xfId="0" applyNumberFormat="1" applyFont="1" applyFill="1" applyBorder="1" applyAlignment="1">
      <alignment horizontal="right" vertical="center"/>
    </xf>
    <xf numFmtId="3" fontId="34" fillId="38" borderId="74" xfId="0" applyNumberFormat="1" applyFont="1" applyFill="1" applyBorder="1" applyAlignment="1">
      <alignment vertical="center"/>
    </xf>
    <xf numFmtId="0" fontId="77" fillId="64" borderId="19" xfId="80" applyFont="1" applyFill="1" applyBorder="1" applyAlignment="1">
      <alignment horizontal="center" vertical="center" wrapText="1"/>
    </xf>
    <xf numFmtId="0" fontId="64" fillId="30" borderId="169" xfId="83" applyFont="1" applyFill="1" applyBorder="1" applyAlignment="1">
      <alignment horizontal="center" vertical="center" wrapText="1"/>
    </xf>
    <xf numFmtId="3" fontId="65" fillId="38" borderId="19" xfId="80" applyNumberFormat="1" applyFont="1" applyFill="1" applyBorder="1" applyAlignment="1">
      <alignment horizontal="right" vertical="center" wrapText="1"/>
    </xf>
    <xf numFmtId="0" fontId="77" fillId="38" borderId="19" xfId="80" applyFont="1" applyFill="1" applyBorder="1" applyAlignment="1">
      <alignment horizontal="center" vertical="center" wrapText="1"/>
    </xf>
    <xf numFmtId="176" fontId="59" fillId="38" borderId="19" xfId="80" applyNumberFormat="1" applyFont="1" applyFill="1" applyBorder="1" applyAlignment="1">
      <alignment horizontal="right" vertical="center" wrapText="1"/>
    </xf>
    <xf numFmtId="3" fontId="34" fillId="32" borderId="11" xfId="74" applyNumberFormat="1" applyFont="1" applyFill="1" applyBorder="1" applyAlignment="1" applyProtection="1">
      <alignment horizontal="center" vertical="center" wrapText="1"/>
      <protection locked="0"/>
    </xf>
    <xf numFmtId="3" fontId="21" fillId="45" borderId="10" xfId="74" applyNumberFormat="1" applyFont="1" applyFill="1" applyBorder="1" applyAlignment="1" applyProtection="1">
      <alignment horizontal="right" vertical="center"/>
      <protection locked="0"/>
    </xf>
    <xf numFmtId="3" fontId="34" fillId="45" borderId="10" xfId="74" applyNumberFormat="1" applyFont="1" applyFill="1" applyBorder="1" applyAlignment="1" applyProtection="1">
      <alignment horizontal="right" vertical="center"/>
      <protection locked="0"/>
    </xf>
    <xf numFmtId="3" fontId="21" fillId="46" borderId="10" xfId="74" applyNumberFormat="1" applyFont="1" applyFill="1" applyBorder="1" applyAlignment="1" applyProtection="1">
      <alignment horizontal="right" vertical="center"/>
      <protection locked="0"/>
    </xf>
    <xf numFmtId="0" fontId="34" fillId="32" borderId="10" xfId="74" applyFont="1" applyFill="1" applyBorder="1" applyAlignment="1" applyProtection="1">
      <alignment horizontal="center" vertical="center"/>
      <protection locked="0"/>
    </xf>
    <xf numFmtId="3" fontId="34" fillId="46" borderId="10" xfId="74" applyNumberFormat="1" applyFont="1" applyFill="1" applyBorder="1" applyAlignment="1" applyProtection="1">
      <alignment horizontal="right" vertical="center"/>
      <protection locked="0"/>
    </xf>
    <xf numFmtId="3" fontId="89" fillId="45" borderId="10" xfId="74" applyNumberFormat="1" applyFont="1" applyFill="1" applyBorder="1" applyAlignment="1" applyProtection="1">
      <alignment horizontal="right" vertical="center"/>
      <protection locked="0"/>
    </xf>
    <xf numFmtId="3" fontId="34" fillId="32" borderId="0" xfId="74" applyNumberFormat="1" applyFont="1" applyFill="1" applyAlignment="1" applyProtection="1">
      <alignment horizontal="right" vertical="center"/>
      <protection locked="0"/>
    </xf>
    <xf numFmtId="3" fontId="34" fillId="32" borderId="10" xfId="74" applyNumberFormat="1" applyFont="1" applyFill="1" applyBorder="1" applyAlignment="1" applyProtection="1">
      <alignment horizontal="center" vertical="center"/>
      <protection locked="0"/>
    </xf>
    <xf numFmtId="3" fontId="89" fillId="47" borderId="10" xfId="74" applyNumberFormat="1" applyFont="1" applyFill="1" applyBorder="1" applyAlignment="1" applyProtection="1">
      <alignment horizontal="right" vertical="center"/>
      <protection locked="0"/>
    </xf>
    <xf numFmtId="3" fontId="89" fillId="48" borderId="10" xfId="74" applyNumberFormat="1" applyFont="1" applyFill="1" applyBorder="1" applyAlignment="1" applyProtection="1">
      <alignment horizontal="right" vertical="center"/>
      <protection locked="0"/>
    </xf>
    <xf numFmtId="3" fontId="89" fillId="45" borderId="12" xfId="74" applyNumberFormat="1" applyFont="1" applyFill="1" applyBorder="1" applyAlignment="1" applyProtection="1">
      <alignment horizontal="right" vertical="center"/>
      <protection locked="0"/>
    </xf>
    <xf numFmtId="3" fontId="89" fillId="45" borderId="129" xfId="74" applyNumberFormat="1" applyFont="1" applyFill="1" applyBorder="1" applyAlignment="1" applyProtection="1">
      <alignment horizontal="right" vertical="center"/>
      <protection locked="0"/>
    </xf>
    <xf numFmtId="3" fontId="89" fillId="45" borderId="130" xfId="74" applyNumberFormat="1" applyFont="1" applyFill="1" applyBorder="1" applyAlignment="1" applyProtection="1">
      <alignment horizontal="right" vertical="center"/>
      <protection locked="0"/>
    </xf>
    <xf numFmtId="3" fontId="89" fillId="32" borderId="129" xfId="74" applyNumberFormat="1" applyFont="1" applyFill="1" applyBorder="1" applyAlignment="1" applyProtection="1">
      <alignment horizontal="right" vertical="center"/>
      <protection locked="0"/>
    </xf>
    <xf numFmtId="3" fontId="122" fillId="32" borderId="11" xfId="74" applyNumberFormat="1" applyFont="1" applyFill="1" applyBorder="1" applyAlignment="1" applyProtection="1">
      <alignment horizontal="right" vertical="center"/>
      <protection locked="0"/>
    </xf>
    <xf numFmtId="3" fontId="90" fillId="45" borderId="10" xfId="74" applyNumberFormat="1" applyFont="1" applyFill="1" applyBorder="1" applyAlignment="1" applyProtection="1">
      <alignment horizontal="right" vertical="center"/>
      <protection locked="0"/>
    </xf>
    <xf numFmtId="3" fontId="89" fillId="49" borderId="10" xfId="74" applyNumberFormat="1" applyFont="1" applyFill="1" applyBorder="1" applyAlignment="1" applyProtection="1">
      <alignment horizontal="right" vertical="center"/>
      <protection locked="0"/>
    </xf>
    <xf numFmtId="3" fontId="34" fillId="49" borderId="10" xfId="74" applyNumberFormat="1" applyFont="1" applyFill="1" applyBorder="1" applyAlignment="1" applyProtection="1">
      <alignment horizontal="right" vertical="center"/>
      <protection locked="0"/>
    </xf>
    <xf numFmtId="3" fontId="21" fillId="50" borderId="10" xfId="74" applyNumberFormat="1" applyFont="1" applyFill="1" applyBorder="1" applyAlignment="1" applyProtection="1">
      <alignment horizontal="right" vertical="center"/>
      <protection locked="0"/>
    </xf>
    <xf numFmtId="3" fontId="21" fillId="34" borderId="10" xfId="74" applyNumberFormat="1" applyFont="1" applyFill="1" applyBorder="1" applyAlignment="1" applyProtection="1">
      <alignment horizontal="right" vertical="center"/>
      <protection locked="0"/>
    </xf>
    <xf numFmtId="3" fontId="34" fillId="34" borderId="10" xfId="74" applyNumberFormat="1" applyFont="1" applyFill="1" applyBorder="1" applyAlignment="1" applyProtection="1">
      <alignment horizontal="right" vertical="center"/>
      <protection locked="0"/>
    </xf>
    <xf numFmtId="0" fontId="59" fillId="38" borderId="74" xfId="83" applyFont="1" applyFill="1" applyBorder="1" applyAlignment="1">
      <alignment horizontal="center" vertical="center" wrapText="1"/>
    </xf>
    <xf numFmtId="3" fontId="23" fillId="25" borderId="0" xfId="83" applyNumberFormat="1" applyFill="1" applyAlignment="1">
      <alignment horizontal="left" vertical="center" indent="1"/>
    </xf>
    <xf numFmtId="0" fontId="34" fillId="30" borderId="10" xfId="74" applyFont="1" applyFill="1" applyBorder="1" applyAlignment="1" applyProtection="1">
      <alignment horizontal="center"/>
      <protection locked="0"/>
    </xf>
    <xf numFmtId="3" fontId="34" fillId="30" borderId="10" xfId="74" applyNumberFormat="1" applyFont="1" applyFill="1" applyBorder="1" applyAlignment="1" applyProtection="1">
      <alignment horizontal="center" vertical="center"/>
      <protection locked="0"/>
    </xf>
    <xf numFmtId="3" fontId="47" fillId="24" borderId="0" xfId="74" applyNumberFormat="1" applyFont="1" applyFill="1" applyProtection="1">
      <protection locked="0"/>
    </xf>
    <xf numFmtId="3" fontId="21" fillId="38" borderId="192" xfId="79" applyNumberFormat="1" applyFont="1" applyFill="1" applyBorder="1" applyAlignment="1" applyProtection="1">
      <alignment horizontal="right" vertical="center" wrapText="1"/>
      <protection locked="0"/>
    </xf>
    <xf numFmtId="176" fontId="34" fillId="38" borderId="174" xfId="79" applyNumberFormat="1" applyFont="1" applyFill="1" applyBorder="1" applyAlignment="1">
      <alignment horizontal="right" vertical="center" wrapText="1"/>
    </xf>
    <xf numFmtId="0" fontId="34" fillId="0" borderId="74" xfId="0" applyFont="1" applyBorder="1" applyAlignment="1">
      <alignment horizontal="center"/>
    </xf>
    <xf numFmtId="168" fontId="34" fillId="0" borderId="74" xfId="79" applyNumberFormat="1" applyFont="1" applyBorder="1" applyAlignment="1">
      <alignment horizontal="right" vertical="center" wrapText="1"/>
    </xf>
    <xf numFmtId="176" fontId="34" fillId="0" borderId="74" xfId="79" applyNumberFormat="1" applyFont="1" applyBorder="1" applyAlignment="1">
      <alignment horizontal="right" vertical="center" wrapText="1"/>
    </xf>
    <xf numFmtId="4" fontId="34" fillId="0" borderId="74" xfId="79" applyNumberFormat="1" applyFont="1" applyBorder="1" applyAlignment="1">
      <alignment horizontal="right" vertical="center" wrapText="1"/>
    </xf>
    <xf numFmtId="0" fontId="34" fillId="55" borderId="74" xfId="74" applyFont="1" applyFill="1" applyBorder="1" applyAlignment="1" applyProtection="1">
      <alignment horizontal="center" vertical="center"/>
      <protection locked="0"/>
    </xf>
    <xf numFmtId="0" fontId="21" fillId="55" borderId="74" xfId="74" applyFont="1" applyFill="1" applyBorder="1" applyAlignment="1" applyProtection="1">
      <alignment horizontal="center" vertical="center"/>
      <protection locked="0"/>
    </xf>
    <xf numFmtId="0" fontId="89" fillId="55" borderId="74" xfId="74" applyFont="1" applyFill="1" applyBorder="1" applyAlignment="1" applyProtection="1">
      <alignment horizontal="center" vertical="center"/>
      <protection locked="0"/>
    </xf>
    <xf numFmtId="0" fontId="21" fillId="55" borderId="74" xfId="74" quotePrefix="1" applyFont="1" applyFill="1" applyBorder="1" applyAlignment="1" applyProtection="1">
      <alignment horizontal="center" vertical="center"/>
      <protection locked="0"/>
    </xf>
    <xf numFmtId="0" fontId="21" fillId="55" borderId="74" xfId="74" applyFont="1" applyFill="1" applyBorder="1" applyAlignment="1" applyProtection="1">
      <alignment vertical="center"/>
      <protection locked="0"/>
    </xf>
    <xf numFmtId="0" fontId="188" fillId="55" borderId="74" xfId="74" applyFont="1" applyFill="1" applyBorder="1" applyAlignment="1" applyProtection="1">
      <alignment horizontal="center" vertical="center"/>
      <protection locked="0"/>
    </xf>
    <xf numFmtId="49" fontId="21" fillId="55" borderId="74" xfId="74" applyNumberFormat="1" applyFont="1" applyFill="1" applyBorder="1" applyAlignment="1" applyProtection="1">
      <alignment horizontal="center" vertical="center"/>
      <protection locked="0"/>
    </xf>
    <xf numFmtId="0" fontId="90" fillId="55" borderId="74" xfId="74" applyFont="1" applyFill="1" applyBorder="1" applyAlignment="1" applyProtection="1">
      <alignment horizontal="center" vertical="center"/>
      <protection locked="0"/>
    </xf>
    <xf numFmtId="0" fontId="209" fillId="55" borderId="74" xfId="74" applyFont="1" applyFill="1" applyBorder="1" applyAlignment="1" applyProtection="1">
      <alignment horizontal="center" vertical="center"/>
      <protection locked="0"/>
    </xf>
    <xf numFmtId="3" fontId="191" fillId="55" borderId="74" xfId="74" applyNumberFormat="1" applyFont="1" applyFill="1" applyBorder="1" applyAlignment="1" applyProtection="1">
      <alignment horizontal="center" vertical="center"/>
      <protection locked="0"/>
    </xf>
    <xf numFmtId="49" fontId="34" fillId="55" borderId="74" xfId="74" applyNumberFormat="1" applyFont="1" applyFill="1" applyBorder="1" applyAlignment="1" applyProtection="1">
      <alignment horizontal="center" vertical="center"/>
      <protection locked="0"/>
    </xf>
    <xf numFmtId="0" fontId="98" fillId="55" borderId="74" xfId="74" applyFont="1" applyFill="1" applyBorder="1" applyAlignment="1" applyProtection="1">
      <alignment horizontal="left" vertical="center"/>
      <protection locked="0"/>
    </xf>
    <xf numFmtId="0" fontId="34" fillId="55" borderId="0" xfId="74" applyFont="1" applyFill="1" applyAlignment="1" applyProtection="1">
      <alignment horizontal="center" vertical="center"/>
      <protection locked="0"/>
    </xf>
    <xf numFmtId="176" fontId="59" fillId="0" borderId="17" xfId="80" applyNumberFormat="1" applyFont="1" applyBorder="1" applyAlignment="1">
      <alignment horizontal="right" vertical="center" wrapText="1"/>
    </xf>
    <xf numFmtId="0" fontId="23" fillId="0" borderId="15" xfId="80" applyBorder="1" applyAlignment="1">
      <alignment horizontal="left" vertical="center" wrapText="1"/>
    </xf>
    <xf numFmtId="0" fontId="23" fillId="0" borderId="15" xfId="80" applyBorder="1" applyAlignment="1">
      <alignment horizontal="center" vertical="center" wrapText="1"/>
    </xf>
    <xf numFmtId="0" fontId="23" fillId="0" borderId="15" xfId="80" applyBorder="1" applyAlignment="1">
      <alignment vertical="center" wrapText="1"/>
    </xf>
    <xf numFmtId="3" fontId="23" fillId="0" borderId="15" xfId="80" applyNumberFormat="1" applyBorder="1" applyAlignment="1">
      <alignment horizontal="right" vertical="center" wrapText="1"/>
    </xf>
    <xf numFmtId="0" fontId="58" fillId="0" borderId="193" xfId="80" applyFont="1" applyBorder="1" applyAlignment="1">
      <alignment horizontal="left" vertical="center"/>
    </xf>
    <xf numFmtId="0" fontId="57" fillId="0" borderId="194" xfId="80" applyFont="1" applyBorder="1" applyAlignment="1">
      <alignment horizontal="center" vertical="center" wrapText="1"/>
    </xf>
    <xf numFmtId="176" fontId="59" fillId="0" borderId="194" xfId="80" applyNumberFormat="1" applyFont="1" applyBorder="1" applyAlignment="1">
      <alignment horizontal="right" vertical="center" wrapText="1"/>
    </xf>
    <xf numFmtId="0" fontId="58" fillId="0" borderId="98" xfId="80" applyFont="1" applyBorder="1" applyAlignment="1">
      <alignment horizontal="left" vertical="center"/>
    </xf>
    <xf numFmtId="0" fontId="23" fillId="0" borderId="126" xfId="80" applyBorder="1" applyAlignment="1">
      <alignment horizontal="left" vertical="center" wrapText="1"/>
    </xf>
    <xf numFmtId="0" fontId="57" fillId="0" borderId="42" xfId="80" applyFont="1" applyBorder="1" applyAlignment="1">
      <alignment vertical="center" wrapText="1"/>
    </xf>
    <xf numFmtId="167" fontId="65" fillId="0" borderId="87" xfId="80" applyNumberFormat="1" applyFont="1" applyBorder="1" applyAlignment="1">
      <alignment horizontal="right" vertical="center" wrapText="1"/>
    </xf>
    <xf numFmtId="0" fontId="23" fillId="0" borderId="146" xfId="80" applyBorder="1" applyAlignment="1">
      <alignment vertical="center" wrapText="1"/>
    </xf>
    <xf numFmtId="3" fontId="59" fillId="63" borderId="10" xfId="80" applyNumberFormat="1" applyFont="1" applyFill="1" applyBorder="1" applyAlignment="1">
      <alignment horizontal="center" vertical="center" wrapText="1"/>
    </xf>
    <xf numFmtId="3" fontId="65" fillId="63" borderId="10" xfId="80" applyNumberFormat="1" applyFont="1" applyFill="1" applyBorder="1" applyAlignment="1">
      <alignment horizontal="right" vertical="center" wrapText="1"/>
    </xf>
    <xf numFmtId="3" fontId="66" fillId="63" borderId="10" xfId="80" applyNumberFormat="1" applyFont="1" applyFill="1" applyBorder="1" applyAlignment="1" applyProtection="1">
      <alignment horizontal="right" vertical="center" wrapText="1"/>
      <protection locked="0"/>
    </xf>
    <xf numFmtId="3" fontId="65" fillId="63" borderId="10" xfId="80" applyNumberFormat="1" applyFont="1" applyFill="1" applyBorder="1" applyAlignment="1" applyProtection="1">
      <alignment horizontal="right" vertical="center" wrapText="1"/>
      <protection locked="0"/>
    </xf>
    <xf numFmtId="3" fontId="60" fillId="63" borderId="10" xfId="80" applyNumberFormat="1" applyFont="1" applyFill="1" applyBorder="1" applyAlignment="1" applyProtection="1">
      <alignment horizontal="right" vertical="center" wrapText="1"/>
      <protection locked="0"/>
    </xf>
    <xf numFmtId="3" fontId="59" fillId="63" borderId="74" xfId="80" applyNumberFormat="1" applyFont="1" applyFill="1" applyBorder="1" applyAlignment="1">
      <alignment horizontal="center" vertical="center" wrapText="1"/>
    </xf>
    <xf numFmtId="3" fontId="65" fillId="63" borderId="74" xfId="80" applyNumberFormat="1" applyFont="1" applyFill="1" applyBorder="1" applyAlignment="1">
      <alignment horizontal="right" vertical="center" wrapText="1"/>
    </xf>
    <xf numFmtId="3" fontId="66" fillId="63" borderId="74" xfId="80" applyNumberFormat="1" applyFont="1" applyFill="1" applyBorder="1" applyAlignment="1" applyProtection="1">
      <alignment horizontal="right" vertical="center" wrapText="1"/>
      <protection locked="0"/>
    </xf>
    <xf numFmtId="3" fontId="60" fillId="63" borderId="74" xfId="80" applyNumberFormat="1" applyFont="1" applyFill="1" applyBorder="1" applyAlignment="1">
      <alignment horizontal="right" vertical="center" wrapText="1"/>
    </xf>
    <xf numFmtId="3" fontId="65" fillId="63" borderId="74" xfId="80" applyNumberFormat="1" applyFont="1" applyFill="1" applyBorder="1" applyAlignment="1" applyProtection="1">
      <alignment horizontal="right" vertical="center" wrapText="1"/>
      <protection locked="0"/>
    </xf>
    <xf numFmtId="3" fontId="60" fillId="63" borderId="74" xfId="80" applyNumberFormat="1" applyFont="1" applyFill="1" applyBorder="1" applyAlignment="1" applyProtection="1">
      <alignment horizontal="right" vertical="center" wrapText="1"/>
      <protection locked="0"/>
    </xf>
    <xf numFmtId="3" fontId="77" fillId="63" borderId="74" xfId="80" applyNumberFormat="1" applyFont="1" applyFill="1" applyBorder="1" applyAlignment="1">
      <alignment horizontal="right" vertical="center" wrapText="1"/>
    </xf>
    <xf numFmtId="3" fontId="34" fillId="64" borderId="74" xfId="79" applyNumberFormat="1" applyFont="1" applyFill="1" applyBorder="1" applyAlignment="1">
      <alignment horizontal="right" vertical="center" wrapText="1"/>
    </xf>
    <xf numFmtId="176" fontId="34" fillId="64" borderId="74" xfId="79" applyNumberFormat="1" applyFont="1" applyFill="1" applyBorder="1" applyAlignment="1">
      <alignment horizontal="right" vertical="center" wrapText="1"/>
    </xf>
    <xf numFmtId="3" fontId="66" fillId="64" borderId="74" xfId="79" applyNumberFormat="1" applyFont="1" applyFill="1" applyBorder="1" applyAlignment="1" applyProtection="1">
      <alignment horizontal="right" vertical="center" wrapText="1"/>
      <protection locked="0"/>
    </xf>
    <xf numFmtId="3" fontId="66" fillId="64" borderId="74" xfId="79" applyNumberFormat="1" applyFont="1" applyFill="1" applyBorder="1" applyAlignment="1">
      <alignment horizontal="right" vertical="center" wrapText="1"/>
    </xf>
    <xf numFmtId="3" fontId="60" fillId="64" borderId="74" xfId="79" applyNumberFormat="1" applyFont="1" applyFill="1" applyBorder="1" applyAlignment="1" applyProtection="1">
      <alignment horizontal="right" vertical="center" wrapText="1"/>
      <protection locked="0"/>
    </xf>
    <xf numFmtId="176" fontId="59" fillId="64" borderId="195" xfId="80" applyNumberFormat="1" applyFont="1" applyFill="1" applyBorder="1" applyAlignment="1">
      <alignment horizontal="right" vertical="center" wrapText="1"/>
    </xf>
    <xf numFmtId="3" fontId="58" fillId="64" borderId="104" xfId="80" applyNumberFormat="1" applyFont="1" applyFill="1" applyBorder="1" applyAlignment="1" applyProtection="1">
      <alignment horizontal="right" vertical="center" wrapText="1"/>
      <protection locked="0"/>
    </xf>
    <xf numFmtId="167" fontId="65" fillId="64" borderId="167" xfId="80" applyNumberFormat="1" applyFont="1" applyFill="1" applyBorder="1" applyAlignment="1">
      <alignment horizontal="right" vertical="center" wrapText="1"/>
    </xf>
    <xf numFmtId="3" fontId="23" fillId="64" borderId="147" xfId="80" applyNumberFormat="1" applyFill="1" applyBorder="1" applyAlignment="1">
      <alignment vertical="center" wrapText="1"/>
    </xf>
    <xf numFmtId="3" fontId="77" fillId="63" borderId="11" xfId="80" applyNumberFormat="1" applyFont="1" applyFill="1" applyBorder="1" applyAlignment="1">
      <alignment horizontal="center" vertical="center" wrapText="1"/>
    </xf>
    <xf numFmtId="3" fontId="60" fillId="63" borderId="12" xfId="80" applyNumberFormat="1" applyFont="1" applyFill="1" applyBorder="1" applyAlignment="1">
      <alignment horizontal="right" vertical="center" wrapText="1"/>
    </xf>
    <xf numFmtId="3" fontId="60" fillId="63" borderId="12" xfId="80" applyNumberFormat="1" applyFont="1" applyFill="1" applyBorder="1" applyAlignment="1" applyProtection="1">
      <alignment horizontal="right" vertical="center" wrapText="1"/>
      <protection locked="0"/>
    </xf>
    <xf numFmtId="3" fontId="23" fillId="63" borderId="48" xfId="80" applyNumberFormat="1" applyFill="1" applyBorder="1" applyAlignment="1">
      <alignment horizontal="right" vertical="center" wrapText="1"/>
    </xf>
    <xf numFmtId="3" fontId="0" fillId="64" borderId="10" xfId="0" applyNumberFormat="1" applyFill="1" applyBorder="1" applyAlignment="1">
      <alignment vertical="center"/>
    </xf>
    <xf numFmtId="3" fontId="88" fillId="64" borderId="10" xfId="0" applyNumberFormat="1" applyFont="1" applyFill="1" applyBorder="1" applyAlignment="1">
      <alignment vertical="center"/>
    </xf>
    <xf numFmtId="3" fontId="88" fillId="64" borderId="10" xfId="29" applyNumberFormat="1" applyFont="1" applyFill="1" applyBorder="1" applyAlignment="1" applyProtection="1">
      <alignment vertical="center"/>
    </xf>
    <xf numFmtId="3" fontId="0" fillId="64" borderId="0" xfId="0" applyNumberFormat="1" applyFill="1" applyAlignment="1">
      <alignment vertical="center"/>
    </xf>
    <xf numFmtId="3" fontId="88" fillId="64" borderId="0" xfId="0" applyNumberFormat="1" applyFont="1" applyFill="1" applyAlignment="1">
      <alignment vertical="center"/>
    </xf>
    <xf numFmtId="3" fontId="175" fillId="64" borderId="0" xfId="0" applyNumberFormat="1" applyFont="1" applyFill="1" applyAlignment="1">
      <alignment vertical="center"/>
    </xf>
    <xf numFmtId="3" fontId="34" fillId="63" borderId="10" xfId="74" applyNumberFormat="1" applyFont="1" applyFill="1" applyBorder="1" applyAlignment="1">
      <alignment horizontal="right" vertical="center" wrapText="1"/>
    </xf>
    <xf numFmtId="3" fontId="21" fillId="63" borderId="10" xfId="74" applyNumberFormat="1" applyFont="1" applyFill="1" applyBorder="1" applyAlignment="1" applyProtection="1">
      <alignment horizontal="right" vertical="center" wrapText="1"/>
      <protection locked="0"/>
    </xf>
    <xf numFmtId="3" fontId="21" fillId="63" borderId="10" xfId="74" applyNumberFormat="1" applyFont="1" applyFill="1" applyBorder="1" applyAlignment="1">
      <alignment horizontal="right" vertical="center" wrapText="1"/>
    </xf>
    <xf numFmtId="3" fontId="34" fillId="63" borderId="10" xfId="74" applyNumberFormat="1" applyFont="1" applyFill="1" applyBorder="1" applyAlignment="1" applyProtection="1">
      <alignment horizontal="right" vertical="center" wrapText="1"/>
      <protection locked="0"/>
    </xf>
    <xf numFmtId="3" fontId="34" fillId="63" borderId="10" xfId="74" applyNumberFormat="1" applyFont="1" applyFill="1" applyBorder="1" applyAlignment="1">
      <alignment horizontal="right" vertical="center"/>
    </xf>
    <xf numFmtId="3" fontId="89" fillId="63" borderId="10" xfId="74" applyNumberFormat="1" applyFont="1" applyFill="1" applyBorder="1" applyAlignment="1" applyProtection="1">
      <alignment horizontal="right" vertical="center" wrapText="1"/>
      <protection locked="0"/>
    </xf>
    <xf numFmtId="0" fontId="21" fillId="64" borderId="74" xfId="0" applyFont="1" applyFill="1" applyBorder="1" applyAlignment="1">
      <alignment horizontal="center" vertical="center"/>
    </xf>
    <xf numFmtId="3" fontId="21" fillId="64" borderId="74" xfId="0" applyNumberFormat="1" applyFont="1" applyFill="1" applyBorder="1" applyAlignment="1">
      <alignment horizontal="right" vertical="center"/>
    </xf>
    <xf numFmtId="0" fontId="21" fillId="64" borderId="74" xfId="0" applyFont="1" applyFill="1" applyBorder="1" applyAlignment="1">
      <alignment horizontal="right" vertical="center"/>
    </xf>
    <xf numFmtId="3" fontId="34" fillId="64" borderId="74" xfId="0" applyNumberFormat="1" applyFont="1" applyFill="1" applyBorder="1" applyAlignment="1">
      <alignment horizontal="right" vertical="center"/>
    </xf>
    <xf numFmtId="3" fontId="34" fillId="64" borderId="74" xfId="0" applyNumberFormat="1" applyFont="1" applyFill="1" applyBorder="1" applyAlignment="1">
      <alignment vertical="center"/>
    </xf>
    <xf numFmtId="0" fontId="139" fillId="63" borderId="0" xfId="0" applyFont="1" applyFill="1"/>
    <xf numFmtId="3" fontId="21" fillId="32" borderId="40" xfId="74" applyNumberFormat="1" applyFont="1" applyFill="1" applyBorder="1" applyAlignment="1" applyProtection="1">
      <alignment horizontal="center" vertical="center" wrapText="1"/>
      <protection locked="0"/>
    </xf>
    <xf numFmtId="0" fontId="86" fillId="32" borderId="40" xfId="74" applyFont="1" applyFill="1" applyBorder="1" applyAlignment="1" applyProtection="1">
      <alignment horizontal="center" vertical="center"/>
      <protection locked="0"/>
    </xf>
    <xf numFmtId="49" fontId="86" fillId="32" borderId="40" xfId="74" applyNumberFormat="1" applyFont="1" applyFill="1" applyBorder="1" applyAlignment="1" applyProtection="1">
      <alignment horizontal="right" vertical="center"/>
      <protection locked="0"/>
    </xf>
    <xf numFmtId="3" fontId="47" fillId="32" borderId="40" xfId="74" applyNumberFormat="1" applyFont="1" applyFill="1" applyBorder="1" applyAlignment="1" applyProtection="1">
      <alignment horizontal="right" vertical="center"/>
      <protection locked="0"/>
    </xf>
    <xf numFmtId="3" fontId="86" fillId="32" borderId="40" xfId="74" applyNumberFormat="1" applyFont="1" applyFill="1" applyBorder="1" applyAlignment="1" applyProtection="1">
      <alignment horizontal="right" vertical="center"/>
      <protection locked="0"/>
    </xf>
    <xf numFmtId="3" fontId="75" fillId="32" borderId="40" xfId="74" applyNumberFormat="1" applyFont="1" applyFill="1" applyBorder="1" applyAlignment="1" applyProtection="1">
      <alignment horizontal="right" vertical="center"/>
      <protection locked="0"/>
    </xf>
    <xf numFmtId="0" fontId="86" fillId="24" borderId="91" xfId="74" applyFont="1" applyFill="1" applyBorder="1" applyAlignment="1" applyProtection="1">
      <alignment vertical="center"/>
      <protection locked="0"/>
    </xf>
    <xf numFmtId="0" fontId="47" fillId="24" borderId="91" xfId="74" applyFont="1" applyFill="1" applyBorder="1" applyAlignment="1" applyProtection="1">
      <alignment vertical="center"/>
      <protection locked="0"/>
    </xf>
    <xf numFmtId="3" fontId="97" fillId="24" borderId="10" xfId="74" applyNumberFormat="1" applyFont="1" applyFill="1" applyBorder="1" applyAlignment="1" applyProtection="1">
      <alignment horizontal="center" vertical="center" wrapText="1"/>
      <protection locked="0"/>
    </xf>
    <xf numFmtId="167" fontId="57" fillId="0" borderId="74" xfId="83" applyNumberFormat="1" applyFont="1" applyBorder="1" applyAlignment="1">
      <alignment horizontal="center" vertical="center" textRotation="180" wrapText="1"/>
    </xf>
    <xf numFmtId="167" fontId="57" fillId="0" borderId="0" xfId="83" applyNumberFormat="1" applyFont="1" applyAlignment="1">
      <alignment horizontal="center" vertical="center" textRotation="180" wrapText="1"/>
    </xf>
    <xf numFmtId="0" fontId="37" fillId="24" borderId="0" xfId="74" applyFont="1" applyFill="1" applyAlignment="1" applyProtection="1">
      <alignment horizontal="center" vertical="center" wrapText="1"/>
      <protection locked="0"/>
    </xf>
    <xf numFmtId="3" fontId="34" fillId="0" borderId="14" xfId="79" applyNumberFormat="1" applyFont="1" applyBorder="1" applyAlignment="1">
      <alignment horizontal="center" vertical="center" wrapText="1"/>
    </xf>
    <xf numFmtId="3" fontId="34" fillId="0" borderId="17" xfId="79" applyNumberFormat="1" applyFont="1" applyBorder="1" applyAlignment="1">
      <alignment horizontal="center" vertical="center" wrapText="1"/>
    </xf>
    <xf numFmtId="3" fontId="34" fillId="0" borderId="45" xfId="79" applyNumberFormat="1" applyFont="1" applyBorder="1" applyAlignment="1">
      <alignment horizontal="right" vertical="center" wrapText="1"/>
    </xf>
    <xf numFmtId="167" fontId="34" fillId="0" borderId="147" xfId="79" applyNumberFormat="1" applyFont="1" applyBorder="1" applyAlignment="1">
      <alignment horizontal="center" vertical="center"/>
    </xf>
    <xf numFmtId="0" fontId="85" fillId="0" borderId="142" xfId="0" applyFont="1" applyBorder="1" applyAlignment="1">
      <alignment horizontal="center" vertical="center" wrapText="1"/>
    </xf>
    <xf numFmtId="0" fontId="34" fillId="0" borderId="79" xfId="0" applyFont="1" applyBorder="1" applyAlignment="1">
      <alignment horizontal="center"/>
    </xf>
    <xf numFmtId="0" fontId="34" fillId="0" borderId="75" xfId="0" applyFont="1" applyBorder="1" applyAlignment="1">
      <alignment horizontal="center"/>
    </xf>
    <xf numFmtId="0" fontId="34" fillId="0" borderId="79" xfId="79" applyFont="1" applyBorder="1" applyAlignment="1">
      <alignment horizontal="center" vertical="center" wrapText="1"/>
    </xf>
    <xf numFmtId="3" fontId="34" fillId="0" borderId="75" xfId="79" applyNumberFormat="1" applyFont="1" applyBorder="1" applyAlignment="1">
      <alignment horizontal="right" vertical="center" wrapText="1"/>
    </xf>
    <xf numFmtId="176" fontId="34" fillId="0" borderId="75" xfId="79" applyNumberFormat="1" applyFont="1" applyBorder="1" applyAlignment="1">
      <alignment horizontal="right" vertical="center" wrapText="1"/>
    </xf>
    <xf numFmtId="0" fontId="34" fillId="0" borderId="140" xfId="79" applyFont="1" applyBorder="1" applyAlignment="1">
      <alignment horizontal="center" vertical="center"/>
    </xf>
    <xf numFmtId="0" fontId="34" fillId="0" borderId="174" xfId="79" applyFont="1" applyBorder="1" applyAlignment="1">
      <alignment horizontal="left" vertical="center"/>
    </xf>
    <xf numFmtId="3" fontId="34" fillId="0" borderId="174" xfId="79" applyNumberFormat="1" applyFont="1" applyBorder="1" applyAlignment="1">
      <alignment horizontal="right" vertical="center"/>
    </xf>
    <xf numFmtId="3" fontId="34" fillId="64" borderId="174" xfId="79" applyNumberFormat="1" applyFont="1" applyFill="1" applyBorder="1" applyAlignment="1">
      <alignment horizontal="right" vertical="center"/>
    </xf>
    <xf numFmtId="3" fontId="187" fillId="0" borderId="174" xfId="79" applyNumberFormat="1" applyFont="1" applyBorder="1" applyAlignment="1">
      <alignment horizontal="right" vertical="center"/>
    </xf>
    <xf numFmtId="3" fontId="187" fillId="0" borderId="174" xfId="79" applyNumberFormat="1" applyFont="1" applyBorder="1" applyAlignment="1">
      <alignment horizontal="left" vertical="center"/>
    </xf>
    <xf numFmtId="3" fontId="21" fillId="0" borderId="174" xfId="79" applyNumberFormat="1" applyFont="1" applyBorder="1" applyAlignment="1">
      <alignment horizontal="right" vertical="center"/>
    </xf>
    <xf numFmtId="0" fontId="21" fillId="0" borderId="141" xfId="79" applyFont="1" applyBorder="1" applyAlignment="1">
      <alignment vertical="center"/>
    </xf>
    <xf numFmtId="0" fontId="34" fillId="0" borderId="196" xfId="79" applyFont="1" applyBorder="1" applyAlignment="1">
      <alignment horizontal="center" vertical="center" wrapText="1"/>
    </xf>
    <xf numFmtId="0" fontId="34" fillId="0" borderId="181" xfId="79" applyFont="1" applyBorder="1" applyAlignment="1">
      <alignment horizontal="center" vertical="center" wrapText="1"/>
    </xf>
    <xf numFmtId="0" fontId="34" fillId="24" borderId="181" xfId="79" applyFont="1" applyFill="1" applyBorder="1" applyAlignment="1">
      <alignment horizontal="center" vertical="center" wrapText="1"/>
    </xf>
    <xf numFmtId="3" fontId="34" fillId="0" borderId="181" xfId="79" applyNumberFormat="1" applyFont="1" applyBorder="1" applyAlignment="1">
      <alignment horizontal="center" vertical="center" wrapText="1"/>
    </xf>
    <xf numFmtId="3" fontId="34" fillId="38" borderId="181" xfId="79" applyNumberFormat="1" applyFont="1" applyFill="1" applyBorder="1" applyAlignment="1">
      <alignment horizontal="center" vertical="center" wrapText="1"/>
    </xf>
    <xf numFmtId="3" fontId="34" fillId="0" borderId="197" xfId="79" applyNumberFormat="1" applyFont="1" applyBorder="1" applyAlignment="1">
      <alignment horizontal="center" vertical="center" wrapText="1"/>
    </xf>
    <xf numFmtId="3" fontId="34" fillId="0" borderId="198" xfId="79" applyNumberFormat="1" applyFont="1" applyBorder="1" applyAlignment="1">
      <alignment horizontal="center" vertical="center" wrapText="1"/>
    </xf>
    <xf numFmtId="0" fontId="34" fillId="23" borderId="199" xfId="79" applyFont="1" applyFill="1" applyBorder="1" applyAlignment="1">
      <alignment horizontal="center" vertical="center" wrapText="1"/>
    </xf>
    <xf numFmtId="0" fontId="34" fillId="23" borderId="200" xfId="79" applyFont="1" applyFill="1" applyBorder="1" applyAlignment="1">
      <alignment horizontal="justify" vertical="center" wrapText="1"/>
    </xf>
    <xf numFmtId="3" fontId="34" fillId="23" borderId="200" xfId="79" applyNumberFormat="1" applyFont="1" applyFill="1" applyBorder="1" applyAlignment="1">
      <alignment horizontal="right" vertical="center" wrapText="1"/>
    </xf>
    <xf numFmtId="3" fontId="34" fillId="23" borderId="201" xfId="79" applyNumberFormat="1" applyFont="1" applyFill="1" applyBorder="1" applyAlignment="1">
      <alignment horizontal="right" vertical="center" wrapText="1"/>
    </xf>
    <xf numFmtId="3" fontId="34" fillId="32" borderId="200" xfId="79" applyNumberFormat="1" applyFont="1" applyFill="1" applyBorder="1" applyAlignment="1">
      <alignment horizontal="right" vertical="center" wrapText="1"/>
    </xf>
    <xf numFmtId="168" fontId="34" fillId="23" borderId="200" xfId="79" applyNumberFormat="1" applyFont="1" applyFill="1" applyBorder="1" applyAlignment="1">
      <alignment horizontal="right" vertical="center" wrapText="1"/>
    </xf>
    <xf numFmtId="3" fontId="34" fillId="23" borderId="202" xfId="79" applyNumberFormat="1" applyFont="1" applyFill="1" applyBorder="1" applyAlignment="1">
      <alignment horizontal="right" vertical="center" wrapText="1"/>
    </xf>
    <xf numFmtId="49" fontId="21" fillId="0" borderId="203" xfId="79" applyNumberFormat="1" applyFont="1" applyBorder="1" applyAlignment="1">
      <alignment horizontal="center" vertical="center" wrapText="1"/>
    </xf>
    <xf numFmtId="0" fontId="21" fillId="0" borderId="204" xfId="83" applyFont="1" applyBorder="1" applyAlignment="1">
      <alignment horizontal="left" vertical="center" wrapText="1"/>
    </xf>
    <xf numFmtId="3" fontId="21" fillId="0" borderId="204" xfId="79" applyNumberFormat="1" applyFont="1" applyBorder="1" applyAlignment="1" applyProtection="1">
      <alignment horizontal="right" vertical="center" wrapText="1"/>
      <protection locked="0"/>
    </xf>
    <xf numFmtId="3" fontId="21" fillId="64" borderId="204" xfId="79" applyNumberFormat="1" applyFont="1" applyFill="1" applyBorder="1" applyAlignment="1" applyProtection="1">
      <alignment horizontal="right" vertical="center" wrapText="1"/>
      <protection locked="0"/>
    </xf>
    <xf numFmtId="3" fontId="21" fillId="38" borderId="204" xfId="79" applyNumberFormat="1" applyFont="1" applyFill="1" applyBorder="1" applyAlignment="1" applyProtection="1">
      <alignment horizontal="right" vertical="center" wrapText="1"/>
      <protection locked="0"/>
    </xf>
    <xf numFmtId="168" fontId="21" fillId="0" borderId="204" xfId="79" applyNumberFormat="1" applyFont="1" applyBorder="1" applyAlignment="1" applyProtection="1">
      <alignment horizontal="right" vertical="center" wrapText="1"/>
      <protection locked="0"/>
    </xf>
    <xf numFmtId="3" fontId="21" fillId="0" borderId="205" xfId="79" applyNumberFormat="1" applyFont="1" applyBorder="1" applyAlignment="1" applyProtection="1">
      <alignment horizontal="right" vertical="center" wrapText="1"/>
      <protection locked="0"/>
    </xf>
    <xf numFmtId="49" fontId="21" fillId="0" borderId="206" xfId="79" applyNumberFormat="1" applyFont="1" applyBorder="1" applyAlignment="1">
      <alignment horizontal="center" vertical="center" wrapText="1"/>
    </xf>
    <xf numFmtId="0" fontId="21" fillId="0" borderId="207" xfId="83" applyFont="1" applyBorder="1" applyAlignment="1">
      <alignment horizontal="left" vertical="center" wrapText="1"/>
    </xf>
    <xf numFmtId="49" fontId="21" fillId="0" borderId="208" xfId="79" applyNumberFormat="1" applyFont="1" applyBorder="1" applyAlignment="1">
      <alignment horizontal="center" vertical="center" wrapText="1"/>
    </xf>
    <xf numFmtId="0" fontId="21" fillId="0" borderId="209" xfId="83" applyFont="1" applyBorder="1" applyAlignment="1">
      <alignment horizontal="left" vertical="center" wrapText="1"/>
    </xf>
    <xf numFmtId="0" fontId="34" fillId="23" borderId="200" xfId="79" applyFont="1" applyFill="1" applyBorder="1" applyAlignment="1">
      <alignment horizontal="left" vertical="center" wrapText="1"/>
    </xf>
    <xf numFmtId="168" fontId="21" fillId="0" borderId="207" xfId="79" applyNumberFormat="1" applyFont="1" applyBorder="1" applyAlignment="1" applyProtection="1">
      <alignment horizontal="right" vertical="center" wrapText="1"/>
      <protection locked="0"/>
    </xf>
    <xf numFmtId="3" fontId="21" fillId="0" borderId="204" xfId="79" applyNumberFormat="1" applyFont="1" applyBorder="1" applyAlignment="1">
      <alignment horizontal="right" vertical="center" wrapText="1"/>
    </xf>
    <xf numFmtId="3" fontId="21" fillId="64" borderId="204" xfId="79" applyNumberFormat="1" applyFont="1" applyFill="1" applyBorder="1" applyAlignment="1">
      <alignment horizontal="right" vertical="center" wrapText="1"/>
    </xf>
    <xf numFmtId="3" fontId="21" fillId="38" borderId="204" xfId="79" applyNumberFormat="1" applyFont="1" applyFill="1" applyBorder="1" applyAlignment="1">
      <alignment horizontal="right" vertical="center" wrapText="1"/>
    </xf>
    <xf numFmtId="168" fontId="21" fillId="0" borderId="204" xfId="79" applyNumberFormat="1" applyFont="1" applyBorder="1" applyAlignment="1">
      <alignment horizontal="right" vertical="center" wrapText="1"/>
    </xf>
    <xf numFmtId="3" fontId="21" fillId="0" borderId="205" xfId="79" applyNumberFormat="1" applyFont="1" applyBorder="1" applyAlignment="1">
      <alignment horizontal="right" vertical="center" wrapText="1"/>
    </xf>
    <xf numFmtId="3" fontId="21" fillId="0" borderId="207" xfId="79" applyNumberFormat="1" applyFont="1" applyBorder="1" applyAlignment="1" applyProtection="1">
      <alignment horizontal="right" vertical="center" wrapText="1"/>
      <protection locked="0"/>
    </xf>
    <xf numFmtId="3" fontId="21" fillId="64" borderId="207" xfId="79" applyNumberFormat="1" applyFont="1" applyFill="1" applyBorder="1" applyAlignment="1" applyProtection="1">
      <alignment horizontal="right" vertical="center" wrapText="1"/>
      <protection locked="0"/>
    </xf>
    <xf numFmtId="3" fontId="21" fillId="38" borderId="207" xfId="79" applyNumberFormat="1" applyFont="1" applyFill="1" applyBorder="1" applyAlignment="1" applyProtection="1">
      <alignment horizontal="right" vertical="center" wrapText="1"/>
      <protection locked="0"/>
    </xf>
    <xf numFmtId="3" fontId="21" fillId="0" borderId="210" xfId="79" applyNumberFormat="1" applyFont="1" applyBorder="1" applyAlignment="1" applyProtection="1">
      <alignment horizontal="right" vertical="center" wrapText="1"/>
      <protection locked="0"/>
    </xf>
    <xf numFmtId="0" fontId="34" fillId="3" borderId="199" xfId="79" applyFont="1" applyFill="1" applyBorder="1" applyAlignment="1">
      <alignment horizontal="center" vertical="center" wrapText="1"/>
    </xf>
    <xf numFmtId="0" fontId="34" fillId="3" borderId="200" xfId="79" applyFont="1" applyFill="1" applyBorder="1" applyAlignment="1">
      <alignment horizontal="left" vertical="center" wrapText="1"/>
    </xf>
    <xf numFmtId="3" fontId="34" fillId="3" borderId="200" xfId="79" applyNumberFormat="1" applyFont="1" applyFill="1" applyBorder="1" applyAlignment="1">
      <alignment horizontal="right" vertical="center" wrapText="1"/>
    </xf>
    <xf numFmtId="3" fontId="34" fillId="42" borderId="200" xfId="79" applyNumberFormat="1" applyFont="1" applyFill="1" applyBorder="1" applyAlignment="1">
      <alignment horizontal="right" vertical="center" wrapText="1"/>
    </xf>
    <xf numFmtId="168" fontId="34" fillId="3" borderId="200" xfId="79" applyNumberFormat="1" applyFont="1" applyFill="1" applyBorder="1" applyAlignment="1">
      <alignment horizontal="right" vertical="center" wrapText="1"/>
    </xf>
    <xf numFmtId="3" fontId="34" fillId="3" borderId="202" xfId="79" applyNumberFormat="1" applyFont="1" applyFill="1" applyBorder="1" applyAlignment="1">
      <alignment horizontal="right" vertical="center" wrapText="1"/>
    </xf>
    <xf numFmtId="0" fontId="21" fillId="0" borderId="209" xfId="83" applyFont="1" applyBorder="1" applyAlignment="1">
      <alignment vertical="center" wrapText="1"/>
    </xf>
    <xf numFmtId="0" fontId="21" fillId="0" borderId="203" xfId="83" applyFont="1" applyBorder="1" applyAlignment="1">
      <alignment horizontal="center" vertical="center" wrapText="1"/>
    </xf>
    <xf numFmtId="0" fontId="21" fillId="0" borderId="206" xfId="83" applyFont="1" applyBorder="1" applyAlignment="1">
      <alignment horizontal="center" vertical="center" wrapText="1"/>
    </xf>
    <xf numFmtId="0" fontId="21" fillId="0" borderId="208" xfId="83" applyFont="1" applyBorder="1" applyAlignment="1">
      <alignment horizontal="center" vertical="center" wrapText="1"/>
    </xf>
    <xf numFmtId="3" fontId="21" fillId="0" borderId="209" xfId="79" applyNumberFormat="1" applyFont="1" applyBorder="1" applyAlignment="1" applyProtection="1">
      <alignment horizontal="right" vertical="center" wrapText="1"/>
      <protection locked="0"/>
    </xf>
    <xf numFmtId="3" fontId="21" fillId="38" borderId="209" xfId="79" applyNumberFormat="1" applyFont="1" applyFill="1" applyBorder="1" applyAlignment="1" applyProtection="1">
      <alignment horizontal="right" vertical="center" wrapText="1"/>
      <protection locked="0"/>
    </xf>
    <xf numFmtId="168" fontId="21" fillId="0" borderId="209" xfId="79" applyNumberFormat="1" applyFont="1" applyBorder="1" applyAlignment="1" applyProtection="1">
      <alignment horizontal="right" vertical="center" wrapText="1"/>
      <protection locked="0"/>
    </xf>
    <xf numFmtId="3" fontId="34" fillId="23" borderId="197" xfId="79" applyNumberFormat="1" applyFont="1" applyFill="1" applyBorder="1" applyAlignment="1">
      <alignment horizontal="right" vertical="center" wrapText="1"/>
    </xf>
    <xf numFmtId="0" fontId="34" fillId="23" borderId="145" xfId="79" applyFont="1" applyFill="1" applyBorder="1" applyAlignment="1">
      <alignment horizontal="center" vertical="center" wrapText="1"/>
    </xf>
    <xf numFmtId="0" fontId="34" fillId="23" borderId="146" xfId="79" applyFont="1" applyFill="1" applyBorder="1" applyAlignment="1">
      <alignment horizontal="left" vertical="center" wrapText="1"/>
    </xf>
    <xf numFmtId="3" fontId="34" fillId="23" borderId="146" xfId="79" applyNumberFormat="1" applyFont="1" applyFill="1" applyBorder="1" applyAlignment="1">
      <alignment horizontal="right" vertical="center" wrapText="1"/>
    </xf>
    <xf numFmtId="3" fontId="34" fillId="32" borderId="146" xfId="79" applyNumberFormat="1" applyFont="1" applyFill="1" applyBorder="1" applyAlignment="1">
      <alignment horizontal="right" vertical="center" wrapText="1"/>
    </xf>
    <xf numFmtId="168" fontId="34" fillId="23" borderId="146" xfId="79" applyNumberFormat="1" applyFont="1" applyFill="1" applyBorder="1" applyAlignment="1">
      <alignment horizontal="right" vertical="center" wrapText="1"/>
    </xf>
    <xf numFmtId="3" fontId="34" fillId="23" borderId="147" xfId="79" applyNumberFormat="1" applyFont="1" applyFill="1" applyBorder="1" applyAlignment="1">
      <alignment horizontal="right" vertical="center" wrapText="1"/>
    </xf>
    <xf numFmtId="0" fontId="34" fillId="23" borderId="211" xfId="79" applyFont="1" applyFill="1" applyBorder="1" applyAlignment="1">
      <alignment horizontal="center" vertical="center" wrapText="1"/>
    </xf>
    <xf numFmtId="0" fontId="34" fillId="23" borderId="212" xfId="79" applyFont="1" applyFill="1" applyBorder="1" applyAlignment="1">
      <alignment horizontal="left" vertical="center" wrapText="1"/>
    </xf>
    <xf numFmtId="3" fontId="34" fillId="23" borderId="212" xfId="79" applyNumberFormat="1" applyFont="1" applyFill="1" applyBorder="1" applyAlignment="1">
      <alignment horizontal="right" vertical="center" wrapText="1"/>
    </xf>
    <xf numFmtId="3" fontId="34" fillId="32" borderId="212" xfId="79" applyNumberFormat="1" applyFont="1" applyFill="1" applyBorder="1" applyAlignment="1">
      <alignment horizontal="right" vertical="center" wrapText="1"/>
    </xf>
    <xf numFmtId="168" fontId="34" fillId="23" borderId="212" xfId="79" applyNumberFormat="1" applyFont="1" applyFill="1" applyBorder="1" applyAlignment="1">
      <alignment horizontal="right" vertical="center" wrapText="1"/>
    </xf>
    <xf numFmtId="0" fontId="34" fillId="3" borderId="151" xfId="83" applyFont="1" applyFill="1" applyBorder="1" applyAlignment="1">
      <alignment horizontal="center" vertical="center" wrapText="1"/>
    </xf>
    <xf numFmtId="0" fontId="34" fillId="3" borderId="152" xfId="83" applyFont="1" applyFill="1" applyBorder="1" applyAlignment="1">
      <alignment vertical="center" wrapText="1"/>
    </xf>
    <xf numFmtId="3" fontId="34" fillId="3" borderId="213" xfId="79" applyNumberFormat="1" applyFont="1" applyFill="1" applyBorder="1" applyAlignment="1">
      <alignment horizontal="right" vertical="center" wrapText="1"/>
    </xf>
    <xf numFmtId="3" fontId="34" fillId="42" borderId="213" xfId="79" applyNumberFormat="1" applyFont="1" applyFill="1" applyBorder="1" applyAlignment="1">
      <alignment horizontal="right" vertical="center" wrapText="1"/>
    </xf>
    <xf numFmtId="168" fontId="34" fillId="3" borderId="213" xfId="79" applyNumberFormat="1" applyFont="1" applyFill="1" applyBorder="1" applyAlignment="1">
      <alignment horizontal="right" vertical="center" wrapText="1"/>
    </xf>
    <xf numFmtId="3" fontId="34" fillId="3" borderId="214" xfId="79" applyNumberFormat="1" applyFont="1" applyFill="1" applyBorder="1" applyAlignment="1">
      <alignment horizontal="right" vertical="center" wrapText="1"/>
    </xf>
    <xf numFmtId="0" fontId="34" fillId="0" borderId="215" xfId="79" applyFont="1" applyBorder="1" applyAlignment="1">
      <alignment horizontal="center" vertical="center" wrapText="1"/>
    </xf>
    <xf numFmtId="0" fontId="34" fillId="0" borderId="181" xfId="79" applyFont="1" applyBorder="1" applyAlignment="1">
      <alignment vertical="center" wrapText="1"/>
    </xf>
    <xf numFmtId="3" fontId="34" fillId="0" borderId="181" xfId="79" applyNumberFormat="1" applyFont="1" applyBorder="1" applyAlignment="1">
      <alignment horizontal="right" vertical="center" wrapText="1"/>
    </xf>
    <xf numFmtId="3" fontId="34" fillId="24" borderId="181" xfId="79" applyNumberFormat="1" applyFont="1" applyFill="1" applyBorder="1" applyAlignment="1">
      <alignment horizontal="right" vertical="center" wrapText="1"/>
    </xf>
    <xf numFmtId="0" fontId="21" fillId="0" borderId="181" xfId="79" applyFont="1" applyBorder="1" applyAlignment="1">
      <alignment vertical="center"/>
    </xf>
    <xf numFmtId="3" fontId="21" fillId="0" borderId="181" xfId="79" applyNumberFormat="1" applyFont="1" applyBorder="1" applyAlignment="1">
      <alignment vertical="center"/>
    </xf>
    <xf numFmtId="0" fontId="21" fillId="38" borderId="181" xfId="79" applyFont="1" applyFill="1" applyBorder="1" applyAlignment="1">
      <alignment vertical="center"/>
    </xf>
    <xf numFmtId="168" fontId="21" fillId="0" borderId="181" xfId="79" applyNumberFormat="1" applyFont="1" applyBorder="1" applyAlignment="1">
      <alignment vertical="center"/>
    </xf>
    <xf numFmtId="0" fontId="21" fillId="0" borderId="91" xfId="79" applyFont="1" applyBorder="1" applyAlignment="1">
      <alignment vertical="center"/>
    </xf>
    <xf numFmtId="0" fontId="34" fillId="24" borderId="181" xfId="79" applyFont="1" applyFill="1" applyBorder="1" applyAlignment="1">
      <alignment vertical="center" wrapText="1"/>
    </xf>
    <xf numFmtId="0" fontId="34" fillId="0" borderId="211" xfId="79" applyFont="1" applyBorder="1" applyAlignment="1">
      <alignment horizontal="center" vertical="center" wrapText="1"/>
    </xf>
    <xf numFmtId="0" fontId="34" fillId="0" borderId="212" xfId="79" applyFont="1" applyBorder="1" applyAlignment="1">
      <alignment horizontal="center" vertical="center" wrapText="1"/>
    </xf>
    <xf numFmtId="0" fontId="34" fillId="24" borderId="212" xfId="79" applyFont="1" applyFill="1" applyBorder="1" applyAlignment="1">
      <alignment horizontal="center" vertical="center" wrapText="1"/>
    </xf>
    <xf numFmtId="3" fontId="34" fillId="38" borderId="212" xfId="79" applyNumberFormat="1" applyFont="1" applyFill="1" applyBorder="1" applyAlignment="1">
      <alignment horizontal="center" vertical="center" wrapText="1"/>
    </xf>
    <xf numFmtId="3" fontId="34" fillId="0" borderId="212" xfId="79" applyNumberFormat="1" applyFont="1" applyBorder="1" applyAlignment="1">
      <alignment horizontal="center" vertical="center" wrapText="1"/>
    </xf>
    <xf numFmtId="3" fontId="34" fillId="0" borderId="200" xfId="79" applyNumberFormat="1" applyFont="1" applyBorder="1" applyAlignment="1">
      <alignment horizontal="center" vertical="center" wrapText="1"/>
    </xf>
    <xf numFmtId="3" fontId="34" fillId="0" borderId="202" xfId="79" applyNumberFormat="1" applyFont="1" applyBorder="1" applyAlignment="1">
      <alignment horizontal="center" vertical="center" wrapText="1"/>
    </xf>
    <xf numFmtId="49" fontId="21" fillId="0" borderId="216" xfId="79" applyNumberFormat="1" applyFont="1" applyBorder="1" applyAlignment="1">
      <alignment horizontal="center" vertical="center" wrapText="1"/>
    </xf>
    <xf numFmtId="0" fontId="21" fillId="0" borderId="217" xfId="79" applyFont="1" applyBorder="1" applyAlignment="1">
      <alignment horizontal="left" vertical="center" wrapText="1"/>
    </xf>
    <xf numFmtId="3" fontId="21" fillId="0" borderId="217" xfId="79" applyNumberFormat="1" applyFont="1" applyBorder="1" applyAlignment="1" applyProtection="1">
      <alignment horizontal="right" vertical="center" wrapText="1"/>
      <protection locked="0"/>
    </xf>
    <xf numFmtId="3" fontId="21" fillId="64" borderId="217" xfId="79" applyNumberFormat="1" applyFont="1" applyFill="1" applyBorder="1" applyAlignment="1" applyProtection="1">
      <alignment horizontal="right" vertical="center" wrapText="1"/>
      <protection locked="0"/>
    </xf>
    <xf numFmtId="3" fontId="21" fillId="38" borderId="217" xfId="79" applyNumberFormat="1" applyFont="1" applyFill="1" applyBorder="1" applyAlignment="1" applyProtection="1">
      <alignment horizontal="right" vertical="center" wrapText="1"/>
      <protection locked="0"/>
    </xf>
    <xf numFmtId="168" fontId="21" fillId="0" borderId="217" xfId="79" applyNumberFormat="1" applyFont="1" applyBorder="1" applyAlignment="1" applyProtection="1">
      <alignment horizontal="right" vertical="center" wrapText="1"/>
      <protection locked="0"/>
    </xf>
    <xf numFmtId="3" fontId="21" fillId="0" borderId="218" xfId="79" applyNumberFormat="1" applyFont="1" applyBorder="1" applyAlignment="1" applyProtection="1">
      <alignment horizontal="right" vertical="center" wrapText="1"/>
      <protection locked="0"/>
    </xf>
    <xf numFmtId="0" fontId="21" fillId="0" borderId="207" xfId="79" applyFont="1" applyBorder="1" applyAlignment="1">
      <alignment horizontal="left" vertical="center" wrapText="1"/>
    </xf>
    <xf numFmtId="3" fontId="21" fillId="64" borderId="209" xfId="79" applyNumberFormat="1" applyFont="1" applyFill="1" applyBorder="1" applyAlignment="1" applyProtection="1">
      <alignment horizontal="right" vertical="center" wrapText="1"/>
      <protection locked="0"/>
    </xf>
    <xf numFmtId="3" fontId="21" fillId="0" borderId="219" xfId="79" applyNumberFormat="1" applyFont="1" applyBorder="1" applyAlignment="1" applyProtection="1">
      <alignment horizontal="right" vertical="center" wrapText="1"/>
      <protection locked="0"/>
    </xf>
    <xf numFmtId="0" fontId="21" fillId="0" borderId="181" xfId="79" applyFont="1" applyBorder="1" applyAlignment="1">
      <alignment horizontal="left" vertical="center" wrapText="1"/>
    </xf>
    <xf numFmtId="0" fontId="21" fillId="0" borderId="207" xfId="79" applyFont="1" applyBorder="1" applyAlignment="1">
      <alignment horizontal="left" vertical="center"/>
    </xf>
    <xf numFmtId="49" fontId="21" fillId="0" borderId="196" xfId="79" applyNumberFormat="1" applyFont="1" applyBorder="1" applyAlignment="1">
      <alignment horizontal="center" vertical="center" wrapText="1"/>
    </xf>
    <xf numFmtId="0" fontId="21" fillId="0" borderId="209" xfId="79" applyFont="1" applyBorder="1" applyAlignment="1">
      <alignment horizontal="left" vertical="center" wrapText="1"/>
    </xf>
    <xf numFmtId="49" fontId="21" fillId="0" borderId="220" xfId="79" applyNumberFormat="1" applyFont="1" applyBorder="1" applyAlignment="1">
      <alignment horizontal="center" vertical="center" wrapText="1"/>
    </xf>
    <xf numFmtId="0" fontId="21" fillId="0" borderId="221" xfId="79" applyFont="1" applyBorder="1" applyAlignment="1">
      <alignment horizontal="left" vertical="center" wrapText="1"/>
    </xf>
    <xf numFmtId="0" fontId="21" fillId="0" borderId="204" xfId="79" applyFont="1" applyBorder="1" applyAlignment="1">
      <alignment horizontal="left" vertical="center" wrapText="1"/>
    </xf>
    <xf numFmtId="0" fontId="21" fillId="0" borderId="196" xfId="79" applyFont="1" applyBorder="1" applyAlignment="1">
      <alignment horizontal="center" vertical="center"/>
    </xf>
    <xf numFmtId="0" fontId="21" fillId="24" borderId="181" xfId="79" applyFont="1" applyFill="1" applyBorder="1" applyAlignment="1">
      <alignment vertical="center"/>
    </xf>
    <xf numFmtId="3" fontId="21" fillId="0" borderId="181" xfId="79" applyNumberFormat="1" applyFont="1" applyBorder="1" applyAlignment="1">
      <alignment horizontal="right" vertical="center"/>
    </xf>
    <xf numFmtId="0" fontId="21" fillId="0" borderId="222" xfId="79" applyFont="1" applyBorder="1" applyAlignment="1">
      <alignment vertical="center"/>
    </xf>
    <xf numFmtId="3" fontId="21" fillId="0" borderId="153" xfId="79" applyNumberFormat="1" applyFont="1" applyBorder="1" applyAlignment="1">
      <alignment horizontal="right" vertical="center"/>
    </xf>
    <xf numFmtId="167" fontId="90" fillId="0" borderId="223" xfId="79" applyNumberFormat="1" applyFont="1" applyBorder="1" applyAlignment="1">
      <alignment horizontal="left" vertical="center"/>
    </xf>
    <xf numFmtId="167" fontId="34" fillId="0" borderId="141" xfId="79" applyNumberFormat="1" applyFont="1" applyBorder="1" applyAlignment="1">
      <alignment horizontal="center" vertical="center"/>
    </xf>
    <xf numFmtId="167" fontId="85" fillId="24" borderId="141" xfId="83" applyNumberFormat="1" applyFont="1" applyFill="1" applyBorder="1" applyAlignment="1">
      <alignment horizontal="center" vertical="center" wrapText="1"/>
    </xf>
    <xf numFmtId="3" fontId="47" fillId="0" borderId="224" xfId="74" applyNumberFormat="1" applyFont="1" applyBorder="1" applyAlignment="1" applyProtection="1">
      <alignment horizontal="center" vertical="center" wrapText="1"/>
      <protection locked="0"/>
    </xf>
    <xf numFmtId="3" fontId="154" fillId="0" borderId="224" xfId="74" applyNumberFormat="1" applyFont="1" applyBorder="1" applyAlignment="1" applyProtection="1">
      <alignment horizontal="center" vertical="center" wrapText="1"/>
      <protection locked="0"/>
    </xf>
    <xf numFmtId="3" fontId="154" fillId="0" borderId="225" xfId="74" applyNumberFormat="1" applyFont="1" applyBorder="1" applyAlignment="1" applyProtection="1">
      <alignment horizontal="center" vertical="center" wrapText="1"/>
      <protection locked="0"/>
    </xf>
    <xf numFmtId="0" fontId="34" fillId="3" borderId="226" xfId="79" applyFont="1" applyFill="1" applyBorder="1" applyAlignment="1">
      <alignment horizontal="center" vertical="center" wrapText="1"/>
    </xf>
    <xf numFmtId="0" fontId="34" fillId="3" borderId="213" xfId="79" applyFont="1" applyFill="1" applyBorder="1" applyAlignment="1">
      <alignment horizontal="left" vertical="center" wrapText="1"/>
    </xf>
    <xf numFmtId="167" fontId="90" fillId="0" borderId="139" xfId="79" applyNumberFormat="1" applyFont="1" applyBorder="1" applyAlignment="1">
      <alignment horizontal="left" vertical="center"/>
    </xf>
    <xf numFmtId="167" fontId="34" fillId="0" borderId="227" xfId="79" applyNumberFormat="1" applyFont="1" applyBorder="1" applyAlignment="1">
      <alignment horizontal="center" vertical="center"/>
    </xf>
    <xf numFmtId="167" fontId="85" fillId="24" borderId="227" xfId="83" applyNumberFormat="1" applyFont="1" applyFill="1" applyBorder="1" applyAlignment="1">
      <alignment horizontal="center" vertical="center" wrapText="1"/>
    </xf>
    <xf numFmtId="0" fontId="85" fillId="0" borderId="227" xfId="0" applyFont="1" applyBorder="1" applyAlignment="1">
      <alignment horizontal="center" vertical="center" wrapText="1"/>
    </xf>
    <xf numFmtId="0" fontId="85" fillId="0" borderId="228" xfId="0" applyFont="1" applyBorder="1" applyAlignment="1">
      <alignment horizontal="center" vertical="center" wrapText="1"/>
    </xf>
    <xf numFmtId="3" fontId="72" fillId="24" borderId="161" xfId="77" applyNumberFormat="1" applyFont="1" applyFill="1" applyBorder="1" applyAlignment="1">
      <alignment horizontal="center" vertical="center" wrapText="1"/>
    </xf>
    <xf numFmtId="3" fontId="77" fillId="24" borderId="62" xfId="80" applyNumberFormat="1" applyFont="1" applyFill="1" applyBorder="1" applyAlignment="1">
      <alignment horizontal="center" vertical="center" wrapText="1"/>
    </xf>
    <xf numFmtId="3" fontId="59" fillId="24" borderId="57" xfId="80" applyNumberFormat="1" applyFont="1" applyFill="1" applyBorder="1" applyAlignment="1">
      <alignment horizontal="center" vertical="center" wrapText="1"/>
    </xf>
    <xf numFmtId="3" fontId="65" fillId="24" borderId="40" xfId="80" applyNumberFormat="1" applyFont="1" applyFill="1" applyBorder="1" applyAlignment="1">
      <alignment horizontal="right" vertical="center" wrapText="1"/>
    </xf>
    <xf numFmtId="3" fontId="66" fillId="24" borderId="40" xfId="80" applyNumberFormat="1" applyFont="1" applyFill="1" applyBorder="1" applyAlignment="1" applyProtection="1">
      <alignment horizontal="right" vertical="center" wrapText="1"/>
      <protection locked="0"/>
    </xf>
    <xf numFmtId="3" fontId="65" fillId="24" borderId="40" xfId="80" applyNumberFormat="1" applyFont="1" applyFill="1" applyBorder="1" applyAlignment="1" applyProtection="1">
      <alignment horizontal="right" vertical="center" wrapText="1"/>
      <protection locked="0"/>
    </xf>
    <xf numFmtId="3" fontId="60" fillId="24" borderId="40" xfId="80" applyNumberFormat="1" applyFont="1" applyFill="1" applyBorder="1" applyAlignment="1" applyProtection="1">
      <alignment horizontal="right" vertical="center" wrapText="1"/>
      <protection locked="0"/>
    </xf>
    <xf numFmtId="3" fontId="60" fillId="24" borderId="87" xfId="80" applyNumberFormat="1" applyFont="1" applyFill="1" applyBorder="1" applyAlignment="1" applyProtection="1">
      <alignment horizontal="right" vertical="center" wrapText="1"/>
      <protection locked="0"/>
    </xf>
    <xf numFmtId="3" fontId="77" fillId="24" borderId="229" xfId="80" applyNumberFormat="1" applyFont="1" applyFill="1" applyBorder="1" applyAlignment="1">
      <alignment horizontal="center" vertical="center" wrapText="1"/>
    </xf>
    <xf numFmtId="3" fontId="59" fillId="24" borderId="229" xfId="80" applyNumberFormat="1" applyFont="1" applyFill="1" applyBorder="1" applyAlignment="1">
      <alignment horizontal="center" vertical="center" wrapText="1"/>
    </xf>
    <xf numFmtId="3" fontId="65" fillId="24" borderId="229" xfId="80" applyNumberFormat="1" applyFont="1" applyFill="1" applyBorder="1" applyAlignment="1">
      <alignment horizontal="right" vertical="center" wrapText="1"/>
    </xf>
    <xf numFmtId="3" fontId="65" fillId="24" borderId="27" xfId="80" applyNumberFormat="1" applyFont="1" applyFill="1" applyBorder="1" applyAlignment="1">
      <alignment horizontal="right" vertical="center" wrapText="1"/>
    </xf>
    <xf numFmtId="3" fontId="65" fillId="24" borderId="22" xfId="80" applyNumberFormat="1" applyFont="1" applyFill="1" applyBorder="1" applyAlignment="1">
      <alignment horizontal="right" vertical="center" wrapText="1"/>
    </xf>
    <xf numFmtId="3" fontId="34" fillId="24" borderId="10" xfId="74" applyNumberFormat="1" applyFont="1" applyFill="1" applyBorder="1" applyAlignment="1">
      <alignment horizontal="right" vertical="center"/>
    </xf>
    <xf numFmtId="3" fontId="154" fillId="24" borderId="74" xfId="77" applyNumberFormat="1" applyFont="1" applyFill="1" applyBorder="1" applyAlignment="1">
      <alignment horizontal="center" vertical="center" wrapText="1"/>
    </xf>
    <xf numFmtId="0" fontId="154" fillId="24" borderId="74" xfId="83" applyFont="1" applyFill="1" applyBorder="1" applyAlignment="1">
      <alignment horizontal="center" vertical="center" wrapText="1"/>
    </xf>
    <xf numFmtId="3" fontId="66" fillId="24" borderId="164" xfId="80" applyNumberFormat="1" applyFont="1" applyFill="1" applyBorder="1" applyAlignment="1">
      <alignment horizontal="center" vertical="center" wrapText="1"/>
    </xf>
    <xf numFmtId="3" fontId="66" fillId="24" borderId="182" xfId="80" applyNumberFormat="1" applyFont="1" applyFill="1" applyBorder="1" applyAlignment="1">
      <alignment horizontal="center" vertical="center" wrapText="1"/>
    </xf>
    <xf numFmtId="3" fontId="65" fillId="24" borderId="25" xfId="80" applyNumberFormat="1" applyFont="1" applyFill="1" applyBorder="1" applyAlignment="1">
      <alignment horizontal="right" vertical="center" wrapText="1"/>
    </xf>
    <xf numFmtId="3" fontId="65" fillId="24" borderId="120" xfId="80" applyNumberFormat="1" applyFont="1" applyFill="1" applyBorder="1" applyAlignment="1">
      <alignment horizontal="right" vertical="center" wrapText="1"/>
    </xf>
    <xf numFmtId="3" fontId="84" fillId="24" borderId="25" xfId="80" applyNumberFormat="1" applyFont="1" applyFill="1" applyBorder="1" applyAlignment="1">
      <alignment vertical="center" wrapText="1"/>
    </xf>
    <xf numFmtId="3" fontId="66" fillId="24" borderId="175" xfId="80" applyNumberFormat="1" applyFont="1" applyFill="1" applyBorder="1" applyAlignment="1">
      <alignment horizontal="center" vertical="center" wrapText="1"/>
    </xf>
    <xf numFmtId="3" fontId="59" fillId="24" borderId="175" xfId="80" applyNumberFormat="1" applyFont="1" applyFill="1" applyBorder="1" applyAlignment="1">
      <alignment horizontal="left" vertical="center" wrapText="1"/>
    </xf>
    <xf numFmtId="3" fontId="77" fillId="24" borderId="175" xfId="80" applyNumberFormat="1" applyFont="1" applyFill="1" applyBorder="1" applyAlignment="1">
      <alignment horizontal="right" vertical="center" wrapText="1"/>
    </xf>
    <xf numFmtId="3" fontId="77" fillId="63" borderId="175" xfId="80" applyNumberFormat="1" applyFont="1" applyFill="1" applyBorder="1" applyAlignment="1">
      <alignment horizontal="right" vertical="center" wrapText="1"/>
    </xf>
    <xf numFmtId="3" fontId="81" fillId="24" borderId="175" xfId="80" applyNumberFormat="1" applyFont="1" applyFill="1" applyBorder="1" applyAlignment="1">
      <alignment vertical="center" wrapText="1"/>
    </xf>
    <xf numFmtId="3" fontId="81" fillId="24" borderId="175" xfId="80" applyNumberFormat="1" applyFont="1" applyFill="1" applyBorder="1" applyAlignment="1">
      <alignment horizontal="justify" vertical="center" wrapText="1"/>
    </xf>
    <xf numFmtId="3" fontId="65" fillId="24" borderId="175" xfId="80" applyNumberFormat="1" applyFont="1" applyFill="1" applyBorder="1" applyAlignment="1">
      <alignment horizontal="right" vertical="center" wrapText="1"/>
    </xf>
    <xf numFmtId="3" fontId="84" fillId="24" borderId="175" xfId="80" applyNumberFormat="1" applyFont="1" applyFill="1" applyBorder="1" applyAlignment="1">
      <alignment vertical="center" wrapText="1"/>
    </xf>
    <xf numFmtId="3" fontId="84" fillId="24" borderId="175" xfId="80" applyNumberFormat="1" applyFont="1" applyFill="1" applyBorder="1" applyAlignment="1">
      <alignment horizontal="left" vertical="center" wrapText="1"/>
    </xf>
    <xf numFmtId="3" fontId="60" fillId="24" borderId="175" xfId="80" applyNumberFormat="1" applyFont="1" applyFill="1" applyBorder="1" applyAlignment="1">
      <alignment horizontal="right" vertical="center" wrapText="1"/>
    </xf>
    <xf numFmtId="3" fontId="66" fillId="24" borderId="164" xfId="80" applyNumberFormat="1" applyFont="1" applyFill="1" applyBorder="1" applyAlignment="1">
      <alignment horizontal="left" vertical="center" wrapText="1"/>
    </xf>
    <xf numFmtId="3" fontId="77" fillId="24" borderId="164" xfId="80" applyNumberFormat="1" applyFont="1" applyFill="1" applyBorder="1" applyAlignment="1">
      <alignment horizontal="center" vertical="center" wrapText="1"/>
    </xf>
    <xf numFmtId="3" fontId="65" fillId="24" borderId="164" xfId="80" applyNumberFormat="1" applyFont="1" applyFill="1" applyBorder="1" applyAlignment="1">
      <alignment horizontal="center" vertical="center" wrapText="1"/>
    </xf>
    <xf numFmtId="3" fontId="23" fillId="24" borderId="164" xfId="80" applyNumberFormat="1" applyFill="1" applyBorder="1" applyAlignment="1">
      <alignment horizontal="left" vertical="center" wrapText="1"/>
    </xf>
    <xf numFmtId="0" fontId="58" fillId="24" borderId="230" xfId="80" applyFont="1" applyFill="1" applyBorder="1" applyAlignment="1">
      <alignment horizontal="left" vertical="center"/>
    </xf>
    <xf numFmtId="3" fontId="66" fillId="24" borderId="182" xfId="80" applyNumberFormat="1" applyFont="1" applyFill="1" applyBorder="1" applyAlignment="1">
      <alignment horizontal="left" vertical="center" wrapText="1"/>
    </xf>
    <xf numFmtId="3" fontId="77" fillId="24" borderId="182" xfId="80" applyNumberFormat="1" applyFont="1" applyFill="1" applyBorder="1" applyAlignment="1">
      <alignment horizontal="center" vertical="center" wrapText="1"/>
    </xf>
    <xf numFmtId="3" fontId="65" fillId="24" borderId="182" xfId="80" applyNumberFormat="1" applyFont="1" applyFill="1" applyBorder="1" applyAlignment="1">
      <alignment horizontal="center" vertical="center" wrapText="1"/>
    </xf>
    <xf numFmtId="3" fontId="23" fillId="24" borderId="182" xfId="80" applyNumberFormat="1" applyFill="1" applyBorder="1" applyAlignment="1">
      <alignment horizontal="left" vertical="center" wrapText="1"/>
    </xf>
    <xf numFmtId="0" fontId="58" fillId="24" borderId="231" xfId="80" applyFont="1" applyFill="1" applyBorder="1" applyAlignment="1">
      <alignment horizontal="left" vertical="center"/>
    </xf>
    <xf numFmtId="0" fontId="34" fillId="0" borderId="120" xfId="0" applyFont="1" applyBorder="1" applyAlignment="1">
      <alignment horizontal="center" vertical="center"/>
    </xf>
    <xf numFmtId="3" fontId="65" fillId="24" borderId="232" xfId="80" applyNumberFormat="1" applyFont="1" applyFill="1" applyBorder="1" applyAlignment="1">
      <alignment horizontal="right" vertical="center" wrapText="1"/>
    </xf>
    <xf numFmtId="0" fontId="34" fillId="0" borderId="120" xfId="0" applyFont="1" applyBorder="1" applyAlignment="1">
      <alignment horizontal="center" vertical="center" wrapText="1"/>
    </xf>
    <xf numFmtId="3" fontId="34" fillId="63" borderId="74" xfId="80" applyNumberFormat="1" applyFont="1" applyFill="1" applyBorder="1" applyAlignment="1">
      <alignment horizontal="center" vertical="center"/>
    </xf>
    <xf numFmtId="3" fontId="77" fillId="24" borderId="74" xfId="79" applyNumberFormat="1" applyFont="1" applyFill="1" applyBorder="1" applyAlignment="1">
      <alignment horizontal="center" vertical="center" wrapText="1"/>
    </xf>
    <xf numFmtId="3" fontId="66" fillId="24" borderId="74" xfId="80" applyNumberFormat="1" applyFont="1" applyFill="1" applyBorder="1" applyAlignment="1">
      <alignment horizontal="justify" vertical="center" wrapText="1"/>
    </xf>
    <xf numFmtId="3" fontId="66" fillId="24" borderId="74" xfId="79" applyNumberFormat="1" applyFont="1" applyFill="1" applyBorder="1" applyAlignment="1">
      <alignment horizontal="center" vertical="center" wrapText="1"/>
    </xf>
    <xf numFmtId="3" fontId="66" fillId="24" borderId="74" xfId="80" quotePrefix="1" applyNumberFormat="1" applyFont="1" applyFill="1" applyBorder="1" applyAlignment="1">
      <alignment horizontal="justify" vertical="center" wrapText="1"/>
    </xf>
    <xf numFmtId="3" fontId="64" fillId="24" borderId="74" xfId="80" applyNumberFormat="1" applyFont="1" applyFill="1" applyBorder="1" applyAlignment="1">
      <alignment horizontal="left" vertical="center" wrapText="1"/>
    </xf>
    <xf numFmtId="3" fontId="66" fillId="24" borderId="74" xfId="80" applyNumberFormat="1" applyFont="1" applyFill="1" applyBorder="1" applyAlignment="1">
      <alignment horizontal="left" vertical="center" wrapText="1"/>
    </xf>
    <xf numFmtId="3" fontId="23" fillId="63" borderId="74" xfId="80" applyNumberFormat="1" applyFill="1" applyBorder="1" applyAlignment="1">
      <alignment horizontal="right" vertical="center" wrapText="1"/>
    </xf>
    <xf numFmtId="3" fontId="57" fillId="24" borderId="74" xfId="80" applyNumberFormat="1" applyFont="1" applyFill="1" applyBorder="1" applyAlignment="1">
      <alignment horizontal="center" vertical="center" wrapText="1"/>
    </xf>
    <xf numFmtId="3" fontId="77" fillId="24" borderId="74" xfId="80" applyNumberFormat="1" applyFont="1" applyFill="1" applyBorder="1" applyAlignment="1">
      <alignment vertical="center" wrapText="1"/>
    </xf>
    <xf numFmtId="176" fontId="59" fillId="24" borderId="74" xfId="80" applyNumberFormat="1" applyFont="1" applyFill="1" applyBorder="1" applyAlignment="1" applyProtection="1">
      <alignment horizontal="right" vertical="center" wrapText="1"/>
      <protection locked="0"/>
    </xf>
    <xf numFmtId="176" fontId="59" fillId="63" borderId="74" xfId="80" applyNumberFormat="1" applyFont="1" applyFill="1" applyBorder="1" applyAlignment="1" applyProtection="1">
      <alignment horizontal="right" vertical="center" wrapText="1"/>
      <protection locked="0"/>
    </xf>
    <xf numFmtId="177" fontId="59" fillId="24" borderId="74" xfId="80" applyNumberFormat="1" applyFont="1" applyFill="1" applyBorder="1" applyAlignment="1" applyProtection="1">
      <alignment horizontal="right" vertical="center" wrapText="1"/>
      <protection locked="0"/>
    </xf>
    <xf numFmtId="4" fontId="66" fillId="24" borderId="74" xfId="80" applyNumberFormat="1" applyFont="1" applyFill="1" applyBorder="1" applyAlignment="1">
      <alignment horizontal="justify" vertical="center" wrapText="1"/>
    </xf>
    <xf numFmtId="169" fontId="65" fillId="24" borderId="74" xfId="80" applyNumberFormat="1" applyFont="1" applyFill="1" applyBorder="1" applyAlignment="1">
      <alignment horizontal="right" vertical="center" wrapText="1"/>
    </xf>
    <xf numFmtId="3" fontId="34" fillId="63" borderId="74" xfId="80" applyNumberFormat="1" applyFont="1" applyFill="1" applyBorder="1" applyAlignment="1">
      <alignment horizontal="center" vertical="center" wrapText="1"/>
    </xf>
    <xf numFmtId="3" fontId="84" fillId="24" borderId="74" xfId="80" applyNumberFormat="1" applyFont="1" applyFill="1" applyBorder="1" applyAlignment="1">
      <alignment vertical="center" wrapText="1"/>
    </xf>
    <xf numFmtId="3" fontId="84" fillId="24" borderId="74" xfId="80" applyNumberFormat="1" applyFont="1" applyFill="1" applyBorder="1" applyAlignment="1">
      <alignment horizontal="left" vertical="center" wrapText="1"/>
    </xf>
    <xf numFmtId="4" fontId="59" fillId="24" borderId="74" xfId="80" applyNumberFormat="1" applyFont="1" applyFill="1" applyBorder="1" applyAlignment="1" applyProtection="1">
      <alignment horizontal="right" vertical="center" wrapText="1"/>
      <protection locked="0"/>
    </xf>
    <xf numFmtId="4" fontId="59" fillId="63" borderId="74" xfId="80" applyNumberFormat="1" applyFont="1" applyFill="1" applyBorder="1" applyAlignment="1" applyProtection="1">
      <alignment horizontal="right" vertical="center" wrapText="1"/>
      <protection locked="0"/>
    </xf>
    <xf numFmtId="4" fontId="60" fillId="24" borderId="74" xfId="80" applyNumberFormat="1" applyFont="1" applyFill="1" applyBorder="1" applyAlignment="1">
      <alignment horizontal="left" vertical="center" wrapText="1"/>
    </xf>
    <xf numFmtId="3" fontId="60" fillId="24" borderId="74" xfId="80" applyNumberFormat="1" applyFont="1" applyFill="1" applyBorder="1" applyAlignment="1" applyProtection="1">
      <alignment horizontal="left" vertical="center" wrapText="1"/>
      <protection locked="0"/>
    </xf>
    <xf numFmtId="177" fontId="59" fillId="63" borderId="74" xfId="80" applyNumberFormat="1" applyFont="1" applyFill="1" applyBorder="1" applyAlignment="1" applyProtection="1">
      <alignment horizontal="right" vertical="center" wrapText="1"/>
      <protection locked="0"/>
    </xf>
    <xf numFmtId="3" fontId="77" fillId="24" borderId="74" xfId="80" applyNumberFormat="1" applyFont="1" applyFill="1" applyBorder="1" applyAlignment="1">
      <alignment horizontal="left" vertical="center" wrapText="1"/>
    </xf>
    <xf numFmtId="0" fontId="0" fillId="0" borderId="74" xfId="0" applyBorder="1" applyAlignment="1">
      <alignment horizontal="right"/>
    </xf>
    <xf numFmtId="4" fontId="60" fillId="24" borderId="74" xfId="80" quotePrefix="1" applyNumberFormat="1" applyFont="1" applyFill="1" applyBorder="1" applyAlignment="1">
      <alignment horizontal="left" vertical="center" wrapText="1"/>
    </xf>
    <xf numFmtId="0" fontId="23" fillId="24" borderId="74" xfId="80" applyFill="1" applyBorder="1" applyAlignment="1">
      <alignment horizontal="right" vertical="center" wrapText="1"/>
    </xf>
    <xf numFmtId="0" fontId="23" fillId="63" borderId="74" xfId="80" applyFill="1" applyBorder="1" applyAlignment="1">
      <alignment horizontal="right" vertical="center" wrapText="1"/>
    </xf>
    <xf numFmtId="3" fontId="59" fillId="24" borderId="182" xfId="80" applyNumberFormat="1" applyFont="1" applyFill="1" applyBorder="1" applyAlignment="1">
      <alignment horizontal="center" vertical="center" wrapText="1"/>
    </xf>
    <xf numFmtId="3" fontId="59" fillId="24" borderId="164" xfId="80" applyNumberFormat="1" applyFont="1" applyFill="1" applyBorder="1" applyAlignment="1">
      <alignment horizontal="center" vertical="center" wrapText="1"/>
    </xf>
    <xf numFmtId="3" fontId="82" fillId="24" borderId="164" xfId="80" applyNumberFormat="1" applyFont="1" applyFill="1" applyBorder="1" applyAlignment="1">
      <alignment horizontal="center" vertical="center" wrapText="1"/>
    </xf>
    <xf numFmtId="3" fontId="81" fillId="24" borderId="164" xfId="80" applyNumberFormat="1" applyFont="1" applyFill="1" applyBorder="1" applyAlignment="1">
      <alignment vertical="center" wrapText="1"/>
    </xf>
    <xf numFmtId="3" fontId="82" fillId="24" borderId="182" xfId="80" applyNumberFormat="1" applyFont="1" applyFill="1" applyBorder="1" applyAlignment="1">
      <alignment horizontal="center" vertical="center" wrapText="1"/>
    </xf>
    <xf numFmtId="3" fontId="81" fillId="24" borderId="182" xfId="80" applyNumberFormat="1" applyFont="1" applyFill="1" applyBorder="1" applyAlignment="1">
      <alignment vertical="center" wrapText="1"/>
    </xf>
    <xf numFmtId="3" fontId="23" fillId="24" borderId="25" xfId="80" applyNumberFormat="1" applyFill="1" applyBorder="1" applyAlignment="1">
      <alignment horizontal="center" vertical="center" wrapText="1"/>
    </xf>
    <xf numFmtId="3" fontId="59" fillId="24" borderId="25" xfId="80" applyNumberFormat="1" applyFont="1" applyFill="1" applyBorder="1" applyAlignment="1">
      <alignment horizontal="center" vertical="center" wrapText="1"/>
    </xf>
    <xf numFmtId="3" fontId="23" fillId="24" borderId="120" xfId="80" applyNumberFormat="1" applyFill="1" applyBorder="1" applyAlignment="1">
      <alignment horizontal="center" vertical="center" wrapText="1"/>
    </xf>
    <xf numFmtId="3" fontId="59" fillId="24" borderId="120" xfId="80" applyNumberFormat="1" applyFont="1" applyFill="1" applyBorder="1" applyAlignment="1">
      <alignment horizontal="center" vertical="center" wrapText="1"/>
    </xf>
    <xf numFmtId="0" fontId="64" fillId="24" borderId="74" xfId="83" applyFont="1" applyFill="1" applyBorder="1" applyAlignment="1">
      <alignment horizontal="center" vertical="center" wrapText="1"/>
    </xf>
    <xf numFmtId="0" fontId="64" fillId="63" borderId="74" xfId="83" applyFont="1" applyFill="1" applyBorder="1" applyAlignment="1">
      <alignment horizontal="center" vertical="center" wrapText="1"/>
    </xf>
    <xf numFmtId="3" fontId="60" fillId="24" borderId="74" xfId="80" applyNumberFormat="1" applyFont="1" applyFill="1" applyBorder="1" applyAlignment="1">
      <alignment horizontal="justify" vertical="center" wrapText="1"/>
    </xf>
    <xf numFmtId="3" fontId="24" fillId="24" borderId="74" xfId="80" applyNumberFormat="1" applyFont="1" applyFill="1" applyBorder="1" applyAlignment="1">
      <alignment horizontal="justify" vertical="center" wrapText="1"/>
    </xf>
    <xf numFmtId="3" fontId="149" fillId="24" borderId="74" xfId="80" quotePrefix="1" applyNumberFormat="1" applyFont="1" applyFill="1" applyBorder="1" applyAlignment="1">
      <alignment horizontal="justify" vertical="center" wrapText="1"/>
    </xf>
    <xf numFmtId="3" fontId="150" fillId="24" borderId="74" xfId="80" applyNumberFormat="1" applyFont="1" applyFill="1" applyBorder="1" applyAlignment="1">
      <alignment horizontal="justify" vertical="center" wrapText="1"/>
    </xf>
    <xf numFmtId="3" fontId="111" fillId="24" borderId="74" xfId="80" quotePrefix="1" applyNumberFormat="1" applyFont="1" applyFill="1" applyBorder="1" applyAlignment="1">
      <alignment horizontal="justify" vertical="center" wrapText="1"/>
    </xf>
    <xf numFmtId="3" fontId="77" fillId="24" borderId="74" xfId="80" applyNumberFormat="1" applyFont="1" applyFill="1" applyBorder="1" applyAlignment="1" applyProtection="1">
      <alignment horizontal="right" vertical="center" wrapText="1"/>
      <protection locked="0"/>
    </xf>
    <xf numFmtId="3" fontId="65" fillId="30" borderId="74" xfId="80" applyNumberFormat="1" applyFont="1" applyFill="1" applyBorder="1" applyAlignment="1" applyProtection="1">
      <alignment horizontal="right" vertical="center" wrapText="1"/>
      <protection locked="0"/>
    </xf>
    <xf numFmtId="3" fontId="111" fillId="24" borderId="74" xfId="80" applyNumberFormat="1" applyFont="1" applyFill="1" applyBorder="1" applyAlignment="1">
      <alignment horizontal="justify" vertical="center" wrapText="1"/>
    </xf>
    <xf numFmtId="3" fontId="77" fillId="24" borderId="74" xfId="80" applyNumberFormat="1" applyFont="1" applyFill="1" applyBorder="1" applyAlignment="1">
      <alignment horizontal="justify" vertical="center" wrapText="1"/>
    </xf>
    <xf numFmtId="3" fontId="60" fillId="24" borderId="74" xfId="79" applyNumberFormat="1" applyFont="1" applyFill="1" applyBorder="1" applyAlignment="1">
      <alignment horizontal="justify" vertical="center" wrapText="1"/>
    </xf>
    <xf numFmtId="3" fontId="76" fillId="24" borderId="74" xfId="80" applyNumberFormat="1" applyFont="1" applyFill="1" applyBorder="1" applyAlignment="1">
      <alignment horizontal="left" vertical="center" wrapText="1"/>
    </xf>
    <xf numFmtId="167" fontId="65" fillId="24" borderId="74" xfId="80" applyNumberFormat="1" applyFont="1" applyFill="1" applyBorder="1" applyAlignment="1">
      <alignment horizontal="right" vertical="center" wrapText="1"/>
    </xf>
    <xf numFmtId="167" fontId="65" fillId="63" borderId="74" xfId="80" applyNumberFormat="1" applyFont="1" applyFill="1" applyBorder="1" applyAlignment="1">
      <alignment horizontal="right" vertical="center" wrapText="1"/>
    </xf>
    <xf numFmtId="3" fontId="57" fillId="24" borderId="74" xfId="80" applyNumberFormat="1" applyFont="1" applyFill="1" applyBorder="1" applyAlignment="1">
      <alignment horizontal="right" vertical="center" wrapText="1"/>
    </xf>
    <xf numFmtId="3" fontId="24" fillId="24" borderId="74" xfId="80" applyNumberFormat="1" applyFont="1" applyFill="1" applyBorder="1" applyAlignment="1">
      <alignment horizontal="right" vertical="center" wrapText="1"/>
    </xf>
    <xf numFmtId="0" fontId="97" fillId="24" borderId="10" xfId="74" applyFont="1" applyFill="1" applyBorder="1" applyAlignment="1" applyProtection="1">
      <alignment horizontal="justify" vertical="center" wrapText="1"/>
      <protection locked="0"/>
    </xf>
    <xf numFmtId="3" fontId="18" fillId="0" borderId="0" xfId="0" applyNumberFormat="1" applyFont="1" applyAlignment="1">
      <alignment vertical="center"/>
    </xf>
    <xf numFmtId="0" fontId="36" fillId="24" borderId="74" xfId="0" applyFont="1" applyFill="1" applyBorder="1" applyAlignment="1">
      <alignment horizontal="justify" vertical="center" wrapText="1"/>
    </xf>
    <xf numFmtId="0" fontId="89" fillId="62" borderId="10" xfId="74" applyFont="1" applyFill="1" applyBorder="1" applyAlignment="1" applyProtection="1">
      <alignment horizontal="justify" vertical="center" wrapText="1"/>
      <protection locked="0"/>
    </xf>
    <xf numFmtId="3" fontId="211" fillId="24" borderId="74" xfId="74" applyNumberFormat="1" applyFont="1" applyFill="1" applyBorder="1" applyAlignment="1" applyProtection="1">
      <alignment horizontal="right" vertical="center"/>
      <protection locked="0"/>
    </xf>
    <xf numFmtId="3" fontId="100" fillId="32" borderId="10" xfId="74" applyNumberFormat="1" applyFont="1" applyFill="1" applyBorder="1" applyAlignment="1" applyProtection="1">
      <alignment horizontal="right" vertical="center"/>
      <protection locked="0"/>
    </xf>
    <xf numFmtId="3" fontId="101" fillId="32" borderId="10" xfId="74" applyNumberFormat="1" applyFont="1" applyFill="1" applyBorder="1" applyAlignment="1" applyProtection="1">
      <alignment horizontal="right" vertical="center"/>
      <protection locked="0"/>
    </xf>
    <xf numFmtId="3" fontId="120" fillId="27" borderId="74" xfId="74" applyNumberFormat="1" applyFont="1" applyFill="1" applyBorder="1" applyAlignment="1" applyProtection="1">
      <alignment horizontal="right" vertical="center"/>
      <protection locked="0"/>
    </xf>
    <xf numFmtId="3" fontId="212" fillId="30" borderId="10" xfId="74" applyNumberFormat="1" applyFont="1" applyFill="1" applyBorder="1" applyAlignment="1" applyProtection="1">
      <alignment horizontal="right" vertical="center"/>
      <protection locked="0"/>
    </xf>
    <xf numFmtId="167" fontId="58" fillId="24" borderId="74" xfId="83" applyNumberFormat="1" applyFont="1" applyFill="1" applyBorder="1" applyAlignment="1">
      <alignment horizontal="center" vertical="center" wrapText="1"/>
    </xf>
    <xf numFmtId="3" fontId="143" fillId="23" borderId="10" xfId="0" applyNumberFormat="1" applyFont="1" applyFill="1" applyBorder="1" applyAlignment="1">
      <alignment horizontal="center" vertical="center" wrapText="1"/>
    </xf>
    <xf numFmtId="3" fontId="21" fillId="62" borderId="0" xfId="74" applyNumberFormat="1" applyFont="1" applyFill="1" applyAlignment="1" applyProtection="1">
      <alignment horizontal="right" vertical="center"/>
      <protection locked="0"/>
    </xf>
    <xf numFmtId="3" fontId="34" fillId="62" borderId="0" xfId="74" applyNumberFormat="1" applyFont="1" applyFill="1" applyAlignment="1" applyProtection="1">
      <alignment horizontal="right" vertical="center"/>
      <protection locked="0"/>
    </xf>
    <xf numFmtId="3" fontId="47" fillId="24" borderId="0" xfId="74" applyNumberFormat="1" applyFont="1" applyFill="1" applyAlignment="1" applyProtection="1">
      <alignment horizontal="center" vertical="center" wrapText="1"/>
      <protection locked="0"/>
    </xf>
    <xf numFmtId="3" fontId="47" fillId="24" borderId="0" xfId="74" applyNumberFormat="1" applyFont="1" applyFill="1" applyAlignment="1" applyProtection="1">
      <alignment horizontal="right" vertical="center" wrapText="1"/>
      <protection locked="0"/>
    </xf>
    <xf numFmtId="3" fontId="86" fillId="24" borderId="0" xfId="74" applyNumberFormat="1" applyFont="1" applyFill="1" applyAlignment="1" applyProtection="1">
      <alignment horizontal="right" vertical="center" wrapText="1"/>
      <protection locked="0"/>
    </xf>
    <xf numFmtId="3" fontId="47" fillId="24" borderId="0" xfId="74" applyNumberFormat="1" applyFont="1" applyFill="1" applyAlignment="1">
      <alignment horizontal="right" vertical="center"/>
    </xf>
    <xf numFmtId="3" fontId="75" fillId="24" borderId="0" xfId="74" applyNumberFormat="1" applyFont="1" applyFill="1" applyAlignment="1" applyProtection="1">
      <alignment horizontal="right" vertical="center"/>
      <protection locked="0"/>
    </xf>
    <xf numFmtId="3" fontId="46" fillId="24" borderId="97" xfId="0" applyNumberFormat="1" applyFont="1" applyFill="1" applyBorder="1" applyAlignment="1">
      <alignment vertical="center"/>
    </xf>
    <xf numFmtId="3" fontId="29" fillId="0" borderId="0" xfId="0" applyNumberFormat="1" applyFont="1" applyAlignment="1">
      <alignment horizontal="center" vertical="center"/>
    </xf>
    <xf numFmtId="3" fontId="54" fillId="24" borderId="133" xfId="0" applyNumberFormat="1" applyFont="1" applyFill="1" applyBorder="1" applyAlignment="1">
      <alignment horizontal="justify" vertical="center" wrapText="1"/>
    </xf>
    <xf numFmtId="3" fontId="54" fillId="24" borderId="130" xfId="0" applyNumberFormat="1" applyFont="1" applyFill="1" applyBorder="1" applyAlignment="1">
      <alignment vertical="center" wrapText="1"/>
    </xf>
    <xf numFmtId="3" fontId="36" fillId="24" borderId="130" xfId="0" applyNumberFormat="1" applyFont="1" applyFill="1" applyBorder="1" applyAlignment="1">
      <alignment horizontal="center" vertical="center" wrapText="1"/>
    </xf>
    <xf numFmtId="3" fontId="54" fillId="24" borderId="130" xfId="0" applyNumberFormat="1" applyFont="1" applyFill="1" applyBorder="1" applyAlignment="1">
      <alignment vertical="center"/>
    </xf>
    <xf numFmtId="3" fontId="36" fillId="24" borderId="130" xfId="0" applyNumberFormat="1" applyFont="1" applyFill="1" applyBorder="1" applyAlignment="1">
      <alignment horizontal="left" vertical="center" wrapText="1"/>
    </xf>
    <xf numFmtId="3" fontId="54" fillId="24" borderId="130" xfId="0" applyNumberFormat="1" applyFont="1" applyFill="1" applyBorder="1" applyAlignment="1">
      <alignment horizontal="center" vertical="center" wrapText="1"/>
    </xf>
    <xf numFmtId="3" fontId="172" fillId="24" borderId="134" xfId="0" applyNumberFormat="1" applyFont="1" applyFill="1" applyBorder="1" applyAlignment="1">
      <alignment vertical="center"/>
    </xf>
    <xf numFmtId="3" fontId="36" fillId="24" borderId="131" xfId="0" applyNumberFormat="1" applyFont="1" applyFill="1" applyBorder="1" applyAlignment="1">
      <alignment horizontal="justify" vertical="center" wrapText="1"/>
    </xf>
    <xf numFmtId="3" fontId="36" fillId="24" borderId="129" xfId="0" applyNumberFormat="1" applyFont="1" applyFill="1" applyBorder="1" applyAlignment="1">
      <alignment horizontal="justify" vertical="center" wrapText="1"/>
    </xf>
    <xf numFmtId="3" fontId="36" fillId="24" borderId="129" xfId="0" applyNumberFormat="1" applyFont="1" applyFill="1" applyBorder="1" applyAlignment="1">
      <alignment horizontal="center" vertical="center" wrapText="1"/>
    </xf>
    <xf numFmtId="3" fontId="36" fillId="24" borderId="129" xfId="0" applyNumberFormat="1" applyFont="1" applyFill="1" applyBorder="1" applyAlignment="1">
      <alignment vertical="center"/>
    </xf>
    <xf numFmtId="3" fontId="36" fillId="24" borderId="129" xfId="0" applyNumberFormat="1" applyFont="1" applyFill="1" applyBorder="1" applyAlignment="1">
      <alignment vertical="center" wrapText="1"/>
    </xf>
    <xf numFmtId="3" fontId="170" fillId="24" borderId="132" xfId="0" applyNumberFormat="1" applyFont="1" applyFill="1" applyBorder="1" applyAlignment="1">
      <alignment horizontal="right" vertical="center" wrapText="1"/>
    </xf>
    <xf numFmtId="3" fontId="36" fillId="0" borderId="148" xfId="0" applyNumberFormat="1" applyFont="1" applyBorder="1" applyAlignment="1">
      <alignment horizontal="justify" vertical="center" wrapText="1"/>
    </xf>
    <xf numFmtId="0" fontId="29" fillId="59" borderId="74" xfId="0" applyFont="1" applyFill="1" applyBorder="1" applyAlignment="1">
      <alignment horizontal="justify" vertical="center" wrapText="1"/>
    </xf>
    <xf numFmtId="0" fontId="39" fillId="24" borderId="74" xfId="0" applyFont="1" applyFill="1" applyBorder="1" applyAlignment="1">
      <alignment vertical="center"/>
    </xf>
    <xf numFmtId="3" fontId="21" fillId="0" borderId="97" xfId="0" applyNumberFormat="1" applyFont="1" applyBorder="1" applyAlignment="1">
      <alignment vertical="center"/>
    </xf>
    <xf numFmtId="3" fontId="79" fillId="0" borderId="97" xfId="0" applyNumberFormat="1" applyFont="1" applyBorder="1" applyAlignment="1">
      <alignment horizontal="center" vertical="center"/>
    </xf>
    <xf numFmtId="3" fontId="79" fillId="0" borderId="97" xfId="0" applyNumberFormat="1" applyFont="1" applyBorder="1" applyAlignment="1">
      <alignment horizontal="center" vertical="center" wrapText="1"/>
    </xf>
    <xf numFmtId="0" fontId="51" fillId="0" borderId="0" xfId="0" applyFont="1" applyAlignment="1">
      <alignment horizontal="center" vertical="center"/>
    </xf>
    <xf numFmtId="0" fontId="31" fillId="0" borderId="0" xfId="0" applyFont="1" applyAlignment="1">
      <alignment vertical="center"/>
    </xf>
    <xf numFmtId="0" fontId="33" fillId="0" borderId="76" xfId="0" applyFont="1" applyBorder="1" applyAlignment="1">
      <alignment vertical="center"/>
    </xf>
    <xf numFmtId="0" fontId="33" fillId="0" borderId="10" xfId="0" applyFont="1" applyBorder="1" applyAlignment="1">
      <alignment vertical="center"/>
    </xf>
    <xf numFmtId="0" fontId="33" fillId="0" borderId="10" xfId="0" applyFont="1" applyBorder="1" applyAlignment="1">
      <alignment horizontal="center" vertical="center"/>
    </xf>
    <xf numFmtId="0" fontId="33" fillId="0" borderId="10" xfId="0" applyFont="1" applyBorder="1" applyAlignment="1">
      <alignment horizontal="justify" vertical="center"/>
    </xf>
    <xf numFmtId="0" fontId="33" fillId="0" borderId="97" xfId="0" applyFont="1" applyBorder="1" applyAlignment="1">
      <alignment horizontal="center" vertical="center"/>
    </xf>
    <xf numFmtId="0" fontId="52" fillId="0" borderId="0" xfId="0" applyFont="1" applyAlignment="1">
      <alignment vertical="center"/>
    </xf>
    <xf numFmtId="0" fontId="53" fillId="0" borderId="10" xfId="0" applyFont="1" applyBorder="1" applyAlignment="1">
      <alignment vertical="center" wrapText="1"/>
    </xf>
    <xf numFmtId="0" fontId="33" fillId="0" borderId="133" xfId="0" applyFont="1" applyBorder="1" applyAlignment="1">
      <alignment vertical="center"/>
    </xf>
    <xf numFmtId="0" fontId="33" fillId="0" borderId="130" xfId="0" applyFont="1" applyBorder="1" applyAlignment="1">
      <alignment vertical="center"/>
    </xf>
    <xf numFmtId="0" fontId="29" fillId="0" borderId="130" xfId="0" applyFont="1" applyBorder="1" applyAlignment="1">
      <alignment horizontal="center" vertical="center"/>
    </xf>
    <xf numFmtId="3" fontId="33" fillId="0" borderId="130" xfId="0" applyNumberFormat="1" applyFont="1" applyBorder="1" applyAlignment="1">
      <alignment vertical="center"/>
    </xf>
    <xf numFmtId="0" fontId="29" fillId="0" borderId="130" xfId="0" applyFont="1" applyBorder="1" applyAlignment="1">
      <alignment vertical="center"/>
    </xf>
    <xf numFmtId="3" fontId="33" fillId="0" borderId="134" xfId="0" applyNumberFormat="1" applyFont="1" applyBorder="1" applyAlignment="1">
      <alignment vertical="center"/>
    </xf>
    <xf numFmtId="0" fontId="29" fillId="66" borderId="10" xfId="0" applyFont="1" applyFill="1" applyBorder="1" applyAlignment="1">
      <alignment horizontal="justify" vertical="center" wrapText="1"/>
    </xf>
    <xf numFmtId="0" fontId="29" fillId="66" borderId="10" xfId="0" applyFont="1" applyFill="1" applyBorder="1" applyAlignment="1">
      <alignment horizontal="center" vertical="center" wrapText="1"/>
    </xf>
    <xf numFmtId="3" fontId="29" fillId="66" borderId="97" xfId="0" applyNumberFormat="1" applyFont="1" applyFill="1" applyBorder="1" applyAlignment="1">
      <alignment vertical="center"/>
    </xf>
    <xf numFmtId="0" fontId="29" fillId="67" borderId="10" xfId="0" applyFont="1" applyFill="1" applyBorder="1" applyAlignment="1">
      <alignment horizontal="justify" vertical="center" wrapText="1"/>
    </xf>
    <xf numFmtId="0" fontId="29" fillId="67" borderId="10" xfId="0" applyFont="1" applyFill="1" applyBorder="1" applyAlignment="1">
      <alignment horizontal="center" vertical="center" wrapText="1"/>
    </xf>
    <xf numFmtId="3" fontId="29" fillId="67" borderId="97" xfId="0" applyNumberFormat="1" applyFont="1" applyFill="1" applyBorder="1" applyAlignment="1">
      <alignment vertical="center"/>
    </xf>
    <xf numFmtId="0" fontId="29" fillId="68" borderId="10" xfId="0" applyFont="1" applyFill="1" applyBorder="1" applyAlignment="1">
      <alignment horizontal="justify" vertical="center" wrapText="1"/>
    </xf>
    <xf numFmtId="0" fontId="29" fillId="68" borderId="10" xfId="0" applyFont="1" applyFill="1" applyBorder="1" applyAlignment="1">
      <alignment horizontal="center" vertical="center" wrapText="1"/>
    </xf>
    <xf numFmtId="3" fontId="29" fillId="68" borderId="97" xfId="0" applyNumberFormat="1" applyFont="1" applyFill="1" applyBorder="1" applyAlignment="1">
      <alignment vertical="center"/>
    </xf>
    <xf numFmtId="0" fontId="29" fillId="69" borderId="10" xfId="0" applyFont="1" applyFill="1" applyBorder="1" applyAlignment="1">
      <alignment horizontal="justify" vertical="center" wrapText="1"/>
    </xf>
    <xf numFmtId="0" fontId="29" fillId="69" borderId="10" xfId="0" applyFont="1" applyFill="1" applyBorder="1" applyAlignment="1">
      <alignment horizontal="center" vertical="center" wrapText="1"/>
    </xf>
    <xf numFmtId="3" fontId="79" fillId="0" borderId="107" xfId="0" applyNumberFormat="1" applyFont="1" applyBorder="1" applyAlignment="1">
      <alignment horizontal="center" vertical="center"/>
    </xf>
    <xf numFmtId="3" fontId="21" fillId="0" borderId="107" xfId="0" applyNumberFormat="1" applyFont="1" applyBorder="1" applyAlignment="1">
      <alignment vertical="center"/>
    </xf>
    <xf numFmtId="0" fontId="29" fillId="0" borderId="82" xfId="0" applyFont="1" applyBorder="1" applyAlignment="1">
      <alignment horizontal="justify" vertical="center" wrapText="1"/>
    </xf>
    <xf numFmtId="0" fontId="29" fillId="0" borderId="11" xfId="0" applyFont="1" applyBorder="1" applyAlignment="1">
      <alignment horizontal="justify" vertical="center" wrapText="1"/>
    </xf>
    <xf numFmtId="0" fontId="29" fillId="0" borderId="11" xfId="0" applyFont="1" applyBorder="1" applyAlignment="1">
      <alignment horizontal="center" vertical="center" wrapText="1"/>
    </xf>
    <xf numFmtId="3" fontId="29" fillId="0" borderId="11" xfId="0" applyNumberFormat="1" applyFont="1" applyBorder="1" applyAlignment="1">
      <alignment vertical="center"/>
    </xf>
    <xf numFmtId="3" fontId="29" fillId="0" borderId="114" xfId="0" applyNumberFormat="1" applyFont="1" applyBorder="1" applyAlignment="1">
      <alignment vertical="center"/>
    </xf>
    <xf numFmtId="3" fontId="29" fillId="69" borderId="97" xfId="0" applyNumberFormat="1" applyFont="1" applyFill="1" applyBorder="1" applyAlignment="1">
      <alignment vertical="center"/>
    </xf>
    <xf numFmtId="0" fontId="29" fillId="0" borderId="133" xfId="0" applyFont="1" applyBorder="1" applyAlignment="1">
      <alignment horizontal="justify" vertical="center" wrapText="1"/>
    </xf>
    <xf numFmtId="0" fontId="29" fillId="0" borderId="130" xfId="0" applyFont="1" applyBorder="1" applyAlignment="1">
      <alignment horizontal="justify" vertical="center" wrapText="1"/>
    </xf>
    <xf numFmtId="0" fontId="29" fillId="0" borderId="130" xfId="0" applyFont="1" applyBorder="1" applyAlignment="1">
      <alignment horizontal="center" vertical="center" wrapText="1"/>
    </xf>
    <xf numFmtId="3" fontId="29" fillId="0" borderId="130" xfId="0" applyNumberFormat="1" applyFont="1" applyBorder="1" applyAlignment="1">
      <alignment vertical="center"/>
    </xf>
    <xf numFmtId="3" fontId="29" fillId="0" borderId="134" xfId="0" applyNumberFormat="1" applyFont="1" applyBorder="1" applyAlignment="1">
      <alignment vertical="center"/>
    </xf>
    <xf numFmtId="3" fontId="36" fillId="0" borderId="206" xfId="0" applyNumberFormat="1" applyFont="1" applyBorder="1" applyAlignment="1">
      <alignment horizontal="justify" vertical="center" wrapText="1"/>
    </xf>
    <xf numFmtId="16" fontId="34" fillId="24" borderId="74" xfId="74" quotePrefix="1" applyNumberFormat="1" applyFont="1" applyFill="1" applyBorder="1" applyAlignment="1" applyProtection="1">
      <alignment horizontal="center" vertical="center"/>
      <protection locked="0"/>
    </xf>
    <xf numFmtId="0" fontId="90" fillId="24" borderId="74" xfId="74" applyFont="1" applyFill="1" applyBorder="1" applyAlignment="1" applyProtection="1">
      <alignment horizontal="center" vertical="center"/>
      <protection locked="0"/>
    </xf>
    <xf numFmtId="0" fontId="34" fillId="24" borderId="74" xfId="74" quotePrefix="1" applyFont="1" applyFill="1" applyBorder="1" applyAlignment="1" applyProtection="1">
      <alignment horizontal="center" vertical="center"/>
      <protection locked="0"/>
    </xf>
    <xf numFmtId="0" fontId="59" fillId="55" borderId="137" xfId="83" applyFont="1" applyFill="1" applyBorder="1" applyAlignment="1">
      <alignment horizontal="center" vertical="center" wrapText="1"/>
    </xf>
    <xf numFmtId="0" fontId="64" fillId="56" borderId="169" xfId="83" applyFont="1" applyFill="1" applyBorder="1" applyAlignment="1">
      <alignment horizontal="center" vertical="center" wrapText="1"/>
    </xf>
    <xf numFmtId="3" fontId="72" fillId="59" borderId="162" xfId="77" applyNumberFormat="1" applyFont="1" applyFill="1" applyBorder="1" applyAlignment="1">
      <alignment horizontal="center" vertical="center" wrapText="1"/>
    </xf>
    <xf numFmtId="3" fontId="72" fillId="55" borderId="162" xfId="77" applyNumberFormat="1" applyFont="1" applyFill="1" applyBorder="1" applyAlignment="1">
      <alignment horizontal="center" vertical="center" wrapText="1"/>
    </xf>
    <xf numFmtId="3" fontId="72" fillId="53" borderId="162" xfId="77" applyNumberFormat="1" applyFont="1" applyFill="1" applyBorder="1" applyAlignment="1">
      <alignment horizontal="center" vertical="center" wrapText="1"/>
    </xf>
    <xf numFmtId="3" fontId="72" fillId="54" borderId="162" xfId="77" applyNumberFormat="1" applyFont="1" applyFill="1" applyBorder="1" applyAlignment="1">
      <alignment horizontal="center" vertical="center" wrapText="1"/>
    </xf>
    <xf numFmtId="3" fontId="72" fillId="58" borderId="162" xfId="77" applyNumberFormat="1" applyFont="1" applyFill="1" applyBorder="1" applyAlignment="1">
      <alignment horizontal="center" vertical="center" wrapText="1"/>
    </xf>
    <xf numFmtId="3" fontId="72" fillId="53" borderId="180" xfId="77" applyNumberFormat="1" applyFont="1" applyFill="1" applyBorder="1" applyAlignment="1">
      <alignment horizontal="center" vertical="center" wrapText="1"/>
    </xf>
    <xf numFmtId="3" fontId="72" fillId="54" borderId="17" xfId="77" applyNumberFormat="1" applyFont="1" applyFill="1" applyBorder="1" applyAlignment="1">
      <alignment horizontal="center" vertical="center" wrapText="1"/>
    </xf>
    <xf numFmtId="3" fontId="72" fillId="58" borderId="19" xfId="77" applyNumberFormat="1" applyFont="1" applyFill="1" applyBorder="1" applyAlignment="1">
      <alignment horizontal="center" vertical="center" wrapText="1"/>
    </xf>
    <xf numFmtId="0" fontId="78" fillId="55" borderId="19" xfId="80" applyFont="1" applyFill="1" applyBorder="1" applyAlignment="1">
      <alignment horizontal="center" vertical="center" textRotation="90" wrapText="1"/>
    </xf>
    <xf numFmtId="0" fontId="23" fillId="55" borderId="19" xfId="80" applyFill="1" applyBorder="1" applyAlignment="1">
      <alignment horizontal="center" vertical="center" wrapText="1"/>
    </xf>
    <xf numFmtId="0" fontId="77" fillId="55" borderId="137" xfId="83" applyFont="1" applyFill="1" applyBorder="1" applyAlignment="1">
      <alignment horizontal="center" vertical="center" wrapText="1"/>
    </xf>
    <xf numFmtId="0" fontId="77" fillId="55" borderId="19" xfId="80" applyFont="1" applyFill="1" applyBorder="1" applyAlignment="1">
      <alignment horizontal="center" vertical="center" wrapText="1"/>
    </xf>
    <xf numFmtId="3" fontId="77" fillId="24" borderId="233" xfId="80" applyNumberFormat="1" applyFont="1" applyFill="1" applyBorder="1" applyAlignment="1">
      <alignment horizontal="center" vertical="center" wrapText="1"/>
    </xf>
    <xf numFmtId="3" fontId="21" fillId="24" borderId="25" xfId="74" applyNumberFormat="1" applyFont="1" applyFill="1" applyBorder="1" applyAlignment="1" applyProtection="1">
      <alignment horizontal="center" vertical="center" wrapText="1"/>
      <protection locked="0"/>
    </xf>
    <xf numFmtId="0" fontId="34" fillId="30" borderId="74" xfId="74" applyFont="1" applyFill="1" applyBorder="1" applyAlignment="1" applyProtection="1">
      <alignment horizontal="center" vertical="center"/>
      <protection locked="0"/>
    </xf>
    <xf numFmtId="3" fontId="21" fillId="24" borderId="74" xfId="74" applyNumberFormat="1" applyFont="1" applyFill="1" applyBorder="1" applyAlignment="1">
      <alignment horizontal="right" vertical="center"/>
    </xf>
    <xf numFmtId="3" fontId="21" fillId="63" borderId="74" xfId="74" applyNumberFormat="1" applyFont="1" applyFill="1" applyBorder="1" applyAlignment="1">
      <alignment horizontal="right" vertical="center"/>
    </xf>
    <xf numFmtId="3" fontId="21" fillId="30" borderId="74" xfId="74" applyNumberFormat="1" applyFont="1" applyFill="1" applyBorder="1" applyAlignment="1">
      <alignment horizontal="right" vertical="center"/>
    </xf>
    <xf numFmtId="168" fontId="21" fillId="24" borderId="74" xfId="74" applyNumberFormat="1" applyFont="1" applyFill="1" applyBorder="1" applyAlignment="1">
      <alignment horizontal="right" vertical="center"/>
    </xf>
    <xf numFmtId="3" fontId="21" fillId="24" borderId="25" xfId="74" applyNumberFormat="1" applyFont="1" applyFill="1" applyBorder="1" applyAlignment="1">
      <alignment horizontal="right" vertical="center"/>
    </xf>
    <xf numFmtId="3" fontId="21" fillId="0" borderId="74" xfId="74" applyNumberFormat="1" applyFont="1" applyBorder="1" applyAlignment="1">
      <alignment horizontal="right" vertical="center"/>
    </xf>
    <xf numFmtId="3" fontId="21" fillId="30" borderId="74" xfId="74" applyNumberFormat="1" applyFont="1" applyFill="1" applyBorder="1" applyAlignment="1" applyProtection="1">
      <alignment horizontal="right" vertical="center"/>
      <protection locked="0"/>
    </xf>
    <xf numFmtId="3" fontId="34" fillId="24" borderId="74" xfId="74" applyNumberFormat="1" applyFont="1" applyFill="1" applyBorder="1" applyAlignment="1">
      <alignment horizontal="right" vertical="center" wrapText="1"/>
    </xf>
    <xf numFmtId="3" fontId="34" fillId="63" borderId="74" xfId="74" applyNumberFormat="1" applyFont="1" applyFill="1" applyBorder="1" applyAlignment="1">
      <alignment horizontal="right" vertical="center" wrapText="1"/>
    </xf>
    <xf numFmtId="3" fontId="34" fillId="30" borderId="74" xfId="74" applyNumberFormat="1" applyFont="1" applyFill="1" applyBorder="1" applyAlignment="1">
      <alignment horizontal="right" vertical="center" wrapText="1"/>
    </xf>
    <xf numFmtId="168" fontId="34" fillId="24" borderId="74" xfId="74" applyNumberFormat="1" applyFont="1" applyFill="1" applyBorder="1" applyAlignment="1">
      <alignment horizontal="right" vertical="center" wrapText="1"/>
    </xf>
    <xf numFmtId="3" fontId="34" fillId="24" borderId="25" xfId="74" applyNumberFormat="1" applyFont="1" applyFill="1" applyBorder="1" applyAlignment="1">
      <alignment horizontal="right" vertical="center" wrapText="1"/>
    </xf>
    <xf numFmtId="49" fontId="21" fillId="24" borderId="74" xfId="74" applyNumberFormat="1" applyFont="1" applyFill="1" applyBorder="1" applyAlignment="1" applyProtection="1">
      <alignment horizontal="justify" vertical="center" wrapText="1"/>
      <protection locked="0"/>
    </xf>
    <xf numFmtId="3" fontId="21" fillId="24" borderId="74" xfId="74" applyNumberFormat="1" applyFont="1" applyFill="1" applyBorder="1" applyAlignment="1">
      <alignment horizontal="right" vertical="center" wrapText="1"/>
    </xf>
    <xf numFmtId="3" fontId="21" fillId="63" borderId="74" xfId="74" applyNumberFormat="1" applyFont="1" applyFill="1" applyBorder="1" applyAlignment="1">
      <alignment horizontal="right" vertical="center" wrapText="1"/>
    </xf>
    <xf numFmtId="3" fontId="21" fillId="30" borderId="74" xfId="74" applyNumberFormat="1" applyFont="1" applyFill="1" applyBorder="1" applyAlignment="1">
      <alignment horizontal="right" vertical="center" wrapText="1"/>
    </xf>
    <xf numFmtId="168" fontId="21" fillId="24" borderId="74" xfId="74" applyNumberFormat="1" applyFont="1" applyFill="1" applyBorder="1" applyAlignment="1">
      <alignment horizontal="right" vertical="center" wrapText="1"/>
    </xf>
    <xf numFmtId="3" fontId="21" fillId="24" borderId="25" xfId="74" applyNumberFormat="1" applyFont="1" applyFill="1" applyBorder="1" applyAlignment="1">
      <alignment horizontal="right" vertical="center" wrapText="1"/>
    </xf>
    <xf numFmtId="3" fontId="89" fillId="24" borderId="74" xfId="74" applyNumberFormat="1" applyFont="1" applyFill="1" applyBorder="1" applyAlignment="1" applyProtection="1">
      <alignment horizontal="right" vertical="center" wrapText="1"/>
      <protection locked="0"/>
    </xf>
    <xf numFmtId="3" fontId="89" fillId="63" borderId="74" xfId="74" applyNumberFormat="1" applyFont="1" applyFill="1" applyBorder="1" applyAlignment="1" applyProtection="1">
      <alignment horizontal="right" vertical="center" wrapText="1"/>
      <protection locked="0"/>
    </xf>
    <xf numFmtId="3" fontId="89" fillId="30" borderId="74" xfId="74" applyNumberFormat="1" applyFont="1" applyFill="1" applyBorder="1" applyAlignment="1" applyProtection="1">
      <alignment horizontal="right" vertical="center" wrapText="1"/>
      <protection locked="0"/>
    </xf>
    <xf numFmtId="168" fontId="89" fillId="24" borderId="74" xfId="74" applyNumberFormat="1" applyFont="1" applyFill="1" applyBorder="1" applyAlignment="1" applyProtection="1">
      <alignment horizontal="right" vertical="center" wrapText="1"/>
      <protection locked="0"/>
    </xf>
    <xf numFmtId="3" fontId="89" fillId="24" borderId="25" xfId="74" applyNumberFormat="1" applyFont="1" applyFill="1" applyBorder="1" applyAlignment="1" applyProtection="1">
      <alignment horizontal="right" vertical="center" wrapText="1"/>
      <protection locked="0"/>
    </xf>
    <xf numFmtId="49" fontId="34" fillId="24" borderId="74" xfId="74" applyNumberFormat="1" applyFont="1" applyFill="1" applyBorder="1" applyAlignment="1" applyProtection="1">
      <alignment horizontal="justify" vertical="center" wrapText="1"/>
      <protection locked="0"/>
    </xf>
    <xf numFmtId="3" fontId="34" fillId="24" borderId="74" xfId="74" applyNumberFormat="1" applyFont="1" applyFill="1" applyBorder="1" applyAlignment="1" applyProtection="1">
      <alignment horizontal="right" vertical="center" wrapText="1"/>
      <protection locked="0"/>
    </xf>
    <xf numFmtId="3" fontId="34" fillId="63" borderId="74" xfId="74" applyNumberFormat="1" applyFont="1" applyFill="1" applyBorder="1" applyAlignment="1" applyProtection="1">
      <alignment horizontal="right" vertical="center" wrapText="1"/>
      <protection locked="0"/>
    </xf>
    <xf numFmtId="3" fontId="34" fillId="30" borderId="74" xfId="74" applyNumberFormat="1" applyFont="1" applyFill="1" applyBorder="1" applyAlignment="1" applyProtection="1">
      <alignment horizontal="right" vertical="center" wrapText="1"/>
      <protection locked="0"/>
    </xf>
    <xf numFmtId="168" fontId="34" fillId="24" borderId="74" xfId="74" applyNumberFormat="1" applyFont="1" applyFill="1" applyBorder="1" applyAlignment="1" applyProtection="1">
      <alignment horizontal="right" vertical="center" wrapText="1"/>
      <protection locked="0"/>
    </xf>
    <xf numFmtId="3" fontId="34" fillId="24" borderId="25" xfId="74" applyNumberFormat="1" applyFont="1" applyFill="1" applyBorder="1" applyAlignment="1" applyProtection="1">
      <alignment horizontal="right" vertical="center" wrapText="1"/>
      <protection locked="0"/>
    </xf>
    <xf numFmtId="3" fontId="21" fillId="24" borderId="74" xfId="74" applyNumberFormat="1" applyFont="1" applyFill="1" applyBorder="1" applyAlignment="1" applyProtection="1">
      <alignment horizontal="right" vertical="center" wrapText="1"/>
      <protection locked="0"/>
    </xf>
    <xf numFmtId="3" fontId="21" fillId="63" borderId="74" xfId="74" applyNumberFormat="1" applyFont="1" applyFill="1" applyBorder="1" applyAlignment="1" applyProtection="1">
      <alignment horizontal="right" vertical="center" wrapText="1"/>
      <protection locked="0"/>
    </xf>
    <xf numFmtId="3" fontId="21" fillId="30" borderId="74" xfId="74" applyNumberFormat="1" applyFont="1" applyFill="1" applyBorder="1" applyAlignment="1" applyProtection="1">
      <alignment horizontal="right" vertical="center" wrapText="1"/>
      <protection locked="0"/>
    </xf>
    <xf numFmtId="168" fontId="21" fillId="24" borderId="74" xfId="74" applyNumberFormat="1" applyFont="1" applyFill="1" applyBorder="1" applyAlignment="1" applyProtection="1">
      <alignment horizontal="right" vertical="center" wrapText="1"/>
      <protection locked="0"/>
    </xf>
    <xf numFmtId="3" fontId="21" fillId="24" borderId="25" xfId="74" applyNumberFormat="1" applyFont="1" applyFill="1" applyBorder="1" applyAlignment="1" applyProtection="1">
      <alignment horizontal="right" vertical="center" wrapText="1"/>
      <protection locked="0"/>
    </xf>
    <xf numFmtId="3" fontId="89" fillId="30" borderId="74" xfId="74" applyNumberFormat="1" applyFont="1" applyFill="1" applyBorder="1" applyAlignment="1" applyProtection="1">
      <alignment horizontal="right" vertical="center"/>
      <protection locked="0"/>
    </xf>
    <xf numFmtId="0" fontId="34" fillId="24" borderId="74" xfId="74" applyFont="1" applyFill="1" applyBorder="1" applyAlignment="1" applyProtection="1">
      <alignment horizontal="left" vertical="center"/>
      <protection locked="0"/>
    </xf>
    <xf numFmtId="49" fontId="34" fillId="24" borderId="74" xfId="74" applyNumberFormat="1" applyFont="1" applyFill="1" applyBorder="1" applyAlignment="1" applyProtection="1">
      <alignment horizontal="left" vertical="center"/>
      <protection locked="0"/>
    </xf>
    <xf numFmtId="168" fontId="34" fillId="0" borderId="74" xfId="74" applyNumberFormat="1" applyFont="1" applyBorder="1" applyAlignment="1" applyProtection="1">
      <alignment horizontal="right" vertical="center"/>
      <protection locked="0"/>
    </xf>
    <xf numFmtId="0" fontId="21" fillId="24" borderId="74" xfId="74" applyFont="1" applyFill="1" applyBorder="1" applyAlignment="1" applyProtection="1">
      <alignment horizontal="left" vertical="center"/>
      <protection locked="0"/>
    </xf>
    <xf numFmtId="0" fontId="29" fillId="24" borderId="74" xfId="74" applyFont="1" applyFill="1" applyBorder="1" applyAlignment="1" applyProtection="1">
      <alignment horizontal="center" vertical="center"/>
      <protection locked="0"/>
    </xf>
    <xf numFmtId="49" fontId="33" fillId="24" borderId="74" xfId="74" applyNumberFormat="1" applyFont="1" applyFill="1" applyBorder="1" applyAlignment="1" applyProtection="1">
      <alignment horizontal="left" vertical="center"/>
      <protection locked="0"/>
    </xf>
    <xf numFmtId="3" fontId="33" fillId="30" borderId="74" xfId="74" applyNumberFormat="1" applyFont="1" applyFill="1" applyBorder="1" applyAlignment="1" applyProtection="1">
      <alignment horizontal="right" vertical="center"/>
      <protection locked="0"/>
    </xf>
    <xf numFmtId="3" fontId="33" fillId="24" borderId="25" xfId="74" applyNumberFormat="1" applyFont="1" applyFill="1" applyBorder="1" applyAlignment="1" applyProtection="1">
      <alignment horizontal="right" vertical="center"/>
      <protection locked="0"/>
    </xf>
    <xf numFmtId="3" fontId="21" fillId="24" borderId="74" xfId="0" applyNumberFormat="1" applyFont="1" applyFill="1" applyBorder="1" applyAlignment="1">
      <alignment horizontal="right" vertical="center" wrapText="1"/>
    </xf>
    <xf numFmtId="168" fontId="21" fillId="24" borderId="74" xfId="0" applyNumberFormat="1" applyFont="1" applyFill="1" applyBorder="1" applyAlignment="1">
      <alignment horizontal="right" vertical="center" wrapText="1"/>
    </xf>
    <xf numFmtId="3" fontId="21" fillId="24" borderId="25" xfId="0" applyNumberFormat="1" applyFont="1" applyFill="1" applyBorder="1" applyAlignment="1">
      <alignment horizontal="right" vertical="center" wrapText="1"/>
    </xf>
    <xf numFmtId="3" fontId="21" fillId="24" borderId="74" xfId="0" applyNumberFormat="1" applyFont="1" applyFill="1" applyBorder="1" applyAlignment="1" applyProtection="1">
      <alignment horizontal="right" vertical="center"/>
      <protection locked="0"/>
    </xf>
    <xf numFmtId="168" fontId="21" fillId="24" borderId="74"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3" fontId="21" fillId="24" borderId="74" xfId="0" applyNumberFormat="1" applyFont="1" applyFill="1" applyBorder="1" applyAlignment="1" applyProtection="1">
      <alignment horizontal="right" vertical="center" wrapText="1"/>
      <protection locked="0"/>
    </xf>
    <xf numFmtId="168" fontId="21" fillId="24" borderId="74" xfId="0" applyNumberFormat="1" applyFont="1" applyFill="1" applyBorder="1" applyAlignment="1" applyProtection="1">
      <alignment horizontal="right" vertical="center" wrapText="1"/>
      <protection locked="0"/>
    </xf>
    <xf numFmtId="3" fontId="21" fillId="24" borderId="25" xfId="0" applyNumberFormat="1" applyFont="1" applyFill="1" applyBorder="1" applyAlignment="1" applyProtection="1">
      <alignment horizontal="right" vertical="center" wrapText="1"/>
      <protection locked="0"/>
    </xf>
    <xf numFmtId="0" fontId="29" fillId="24" borderId="74" xfId="74" applyFont="1" applyFill="1" applyBorder="1" applyAlignment="1" applyProtection="1">
      <alignment horizontal="center" vertical="center" wrapText="1"/>
      <protection locked="0"/>
    </xf>
    <xf numFmtId="49" fontId="33" fillId="24" borderId="74" xfId="74" applyNumberFormat="1" applyFont="1" applyFill="1" applyBorder="1" applyAlignment="1" applyProtection="1">
      <alignment horizontal="justify" vertical="center" wrapText="1"/>
      <protection locked="0"/>
    </xf>
    <xf numFmtId="49" fontId="21" fillId="24" borderId="74" xfId="74" applyNumberFormat="1" applyFont="1" applyFill="1" applyBorder="1" applyAlignment="1" applyProtection="1">
      <alignment horizontal="justify" vertical="center"/>
      <protection locked="0"/>
    </xf>
    <xf numFmtId="0" fontId="34" fillId="24" borderId="234" xfId="74" applyFont="1" applyFill="1" applyBorder="1" applyAlignment="1" applyProtection="1">
      <alignment horizontal="center" vertical="center"/>
      <protection locked="0"/>
    </xf>
    <xf numFmtId="0" fontId="21" fillId="24" borderId="234" xfId="74" applyFont="1" applyFill="1" applyBorder="1" applyAlignment="1" applyProtection="1">
      <alignment horizontal="justify" vertical="center"/>
      <protection locked="0"/>
    </xf>
    <xf numFmtId="49" fontId="21" fillId="24" borderId="234" xfId="74" applyNumberFormat="1" applyFont="1" applyFill="1" applyBorder="1" applyAlignment="1" applyProtection="1">
      <alignment horizontal="center" vertical="center"/>
      <protection locked="0"/>
    </xf>
    <xf numFmtId="0" fontId="21" fillId="24" borderId="234" xfId="74" applyFont="1" applyFill="1" applyBorder="1" applyAlignment="1" applyProtection="1">
      <alignment horizontal="center" vertical="center"/>
      <protection locked="0"/>
    </xf>
    <xf numFmtId="49" fontId="21" fillId="24" borderId="234" xfId="74" applyNumberFormat="1" applyFont="1" applyFill="1" applyBorder="1" applyAlignment="1" applyProtection="1">
      <alignment horizontal="justify" vertical="center"/>
      <protection locked="0"/>
    </xf>
    <xf numFmtId="49" fontId="21" fillId="24" borderId="234" xfId="74" applyNumberFormat="1" applyFont="1" applyFill="1" applyBorder="1" applyAlignment="1" applyProtection="1">
      <alignment vertical="center"/>
      <protection locked="0"/>
    </xf>
    <xf numFmtId="3" fontId="21" fillId="24" borderId="234" xfId="74" applyNumberFormat="1" applyFont="1" applyFill="1" applyBorder="1" applyAlignment="1">
      <alignment horizontal="right" vertical="center"/>
    </xf>
    <xf numFmtId="3" fontId="21" fillId="63" borderId="234" xfId="74" applyNumberFormat="1" applyFont="1" applyFill="1" applyBorder="1" applyAlignment="1">
      <alignment horizontal="right" vertical="center"/>
    </xf>
    <xf numFmtId="3" fontId="21" fillId="30" borderId="234" xfId="74" applyNumberFormat="1" applyFont="1" applyFill="1" applyBorder="1" applyAlignment="1">
      <alignment horizontal="right" vertical="center"/>
    </xf>
    <xf numFmtId="168" fontId="21" fillId="24" borderId="234" xfId="74" applyNumberFormat="1" applyFont="1" applyFill="1" applyBorder="1" applyAlignment="1">
      <alignment horizontal="right" vertical="center"/>
    </xf>
    <xf numFmtId="3" fontId="21" fillId="24" borderId="234" xfId="74" applyNumberFormat="1" applyFont="1" applyFill="1" applyBorder="1" applyAlignment="1" applyProtection="1">
      <alignment horizontal="right" vertical="center"/>
      <protection locked="0"/>
    </xf>
    <xf numFmtId="49" fontId="21" fillId="24" borderId="0" xfId="74" applyNumberFormat="1" applyFont="1" applyFill="1" applyAlignment="1" applyProtection="1">
      <alignment horizontal="justify" vertical="center"/>
      <protection locked="0"/>
    </xf>
    <xf numFmtId="0" fontId="33" fillId="24" borderId="74" xfId="74" applyFont="1" applyFill="1" applyBorder="1" applyAlignment="1" applyProtection="1">
      <alignment horizontal="left" vertical="center" wrapText="1"/>
      <protection locked="0"/>
    </xf>
    <xf numFmtId="0" fontId="82" fillId="0" borderId="142" xfId="0" applyFont="1" applyBorder="1" applyAlignment="1">
      <alignment horizontal="center" vertical="center" wrapText="1"/>
    </xf>
    <xf numFmtId="0" fontId="77" fillId="37" borderId="74" xfId="83" applyFont="1" applyFill="1" applyBorder="1" applyAlignment="1">
      <alignment horizontal="center" vertical="center" wrapText="1"/>
    </xf>
    <xf numFmtId="3" fontId="154" fillId="59" borderId="162" xfId="77" applyNumberFormat="1" applyFont="1" applyFill="1" applyBorder="1" applyAlignment="1">
      <alignment horizontal="center" vertical="center" wrapText="1"/>
    </xf>
    <xf numFmtId="3" fontId="21" fillId="70" borderId="74" xfId="74" applyNumberFormat="1" applyFont="1" applyFill="1" applyBorder="1" applyAlignment="1" applyProtection="1">
      <alignment horizontal="right" vertical="center"/>
      <protection locked="0"/>
    </xf>
    <xf numFmtId="3" fontId="122" fillId="62" borderId="74" xfId="74" applyNumberFormat="1" applyFont="1" applyFill="1" applyBorder="1" applyAlignment="1" applyProtection="1">
      <alignment horizontal="right" vertical="center"/>
      <protection locked="0"/>
    </xf>
    <xf numFmtId="3" fontId="89" fillId="70" borderId="74" xfId="74" applyNumberFormat="1" applyFont="1" applyFill="1" applyBorder="1" applyAlignment="1" applyProtection="1">
      <alignment horizontal="right" vertical="center"/>
      <protection locked="0"/>
    </xf>
    <xf numFmtId="3" fontId="34" fillId="62" borderId="74" xfId="74" applyNumberFormat="1" applyFont="1" applyFill="1" applyBorder="1" applyAlignment="1" applyProtection="1">
      <alignment horizontal="center" vertical="center" wrapText="1"/>
      <protection locked="0"/>
    </xf>
    <xf numFmtId="49" fontId="34" fillId="62" borderId="74" xfId="74" applyNumberFormat="1" applyFont="1" applyFill="1" applyBorder="1" applyAlignment="1" applyProtection="1">
      <alignment horizontal="center" vertical="center"/>
      <protection locked="0"/>
    </xf>
    <xf numFmtId="3" fontId="34" fillId="70" borderId="74" xfId="74" applyNumberFormat="1" applyFont="1" applyFill="1" applyBorder="1" applyAlignment="1" applyProtection="1">
      <alignment horizontal="right" vertical="center"/>
      <protection locked="0"/>
    </xf>
    <xf numFmtId="3" fontId="21" fillId="71" borderId="74" xfId="74" applyNumberFormat="1" applyFont="1" applyFill="1" applyBorder="1" applyAlignment="1" applyProtection="1">
      <alignment horizontal="right" vertical="center"/>
      <protection locked="0"/>
    </xf>
    <xf numFmtId="3" fontId="33" fillId="62" borderId="74" xfId="74" applyNumberFormat="1" applyFont="1" applyFill="1" applyBorder="1" applyAlignment="1" applyProtection="1">
      <alignment horizontal="right" vertical="center"/>
      <protection locked="0"/>
    </xf>
    <xf numFmtId="3" fontId="34" fillId="71" borderId="74" xfId="74" applyNumberFormat="1" applyFont="1" applyFill="1" applyBorder="1" applyAlignment="1" applyProtection="1">
      <alignment horizontal="right" vertical="center"/>
      <protection locked="0"/>
    </xf>
    <xf numFmtId="3" fontId="89" fillId="62" borderId="74" xfId="74" applyNumberFormat="1" applyFont="1" applyFill="1" applyBorder="1" applyAlignment="1" applyProtection="1">
      <alignment horizontal="right" vertical="center"/>
      <protection locked="0"/>
    </xf>
    <xf numFmtId="3" fontId="34" fillId="62" borderId="74" xfId="74" applyNumberFormat="1" applyFont="1" applyFill="1" applyBorder="1" applyAlignment="1" applyProtection="1">
      <alignment horizontal="center" vertical="center"/>
      <protection locked="0"/>
    </xf>
    <xf numFmtId="3" fontId="90" fillId="62" borderId="74" xfId="74" applyNumberFormat="1" applyFont="1" applyFill="1" applyBorder="1" applyAlignment="1" applyProtection="1">
      <alignment horizontal="right" vertical="center"/>
      <protection locked="0"/>
    </xf>
    <xf numFmtId="3" fontId="89" fillId="72" borderId="74" xfId="74" applyNumberFormat="1" applyFont="1" applyFill="1" applyBorder="1" applyAlignment="1" applyProtection="1">
      <alignment horizontal="right" vertical="center"/>
      <protection locked="0"/>
    </xf>
    <xf numFmtId="3" fontId="89" fillId="73" borderId="74" xfId="74" applyNumberFormat="1" applyFont="1" applyFill="1" applyBorder="1" applyAlignment="1" applyProtection="1">
      <alignment horizontal="right" vertical="center"/>
      <protection locked="0"/>
    </xf>
    <xf numFmtId="3" fontId="90" fillId="70" borderId="74" xfId="74" applyNumberFormat="1" applyFont="1" applyFill="1" applyBorder="1" applyAlignment="1" applyProtection="1">
      <alignment horizontal="right" vertical="center"/>
      <protection locked="0"/>
    </xf>
    <xf numFmtId="3" fontId="89" fillId="74" borderId="74" xfId="74" applyNumberFormat="1" applyFont="1" applyFill="1" applyBorder="1" applyAlignment="1" applyProtection="1">
      <alignment horizontal="right" vertical="center"/>
      <protection locked="0"/>
    </xf>
    <xf numFmtId="3" fontId="34" fillId="74" borderId="74" xfId="74" applyNumberFormat="1" applyFont="1" applyFill="1" applyBorder="1" applyAlignment="1" applyProtection="1">
      <alignment horizontal="right" vertical="center"/>
      <protection locked="0"/>
    </xf>
    <xf numFmtId="3" fontId="21" fillId="75" borderId="74" xfId="74" applyNumberFormat="1" applyFont="1" applyFill="1" applyBorder="1" applyAlignment="1" applyProtection="1">
      <alignment horizontal="right" vertical="center"/>
      <protection locked="0"/>
    </xf>
    <xf numFmtId="0" fontId="57" fillId="0" borderId="15" xfId="80" applyFont="1" applyBorder="1" applyAlignment="1">
      <alignment horizontal="center" vertical="center"/>
    </xf>
    <xf numFmtId="0" fontId="58" fillId="0" borderId="19" xfId="80" applyFont="1" applyBorder="1" applyAlignment="1">
      <alignment vertical="center"/>
    </xf>
    <xf numFmtId="0" fontId="58" fillId="0" borderId="19" xfId="80" applyFont="1" applyBorder="1" applyAlignment="1">
      <alignment horizontal="center" vertical="center"/>
    </xf>
    <xf numFmtId="3" fontId="21" fillId="62" borderId="10" xfId="74" applyNumberFormat="1" applyFont="1" applyFill="1" applyBorder="1" applyAlignment="1" applyProtection="1">
      <alignment horizontal="center" vertical="center" wrapText="1"/>
      <protection locked="0"/>
    </xf>
    <xf numFmtId="0" fontId="86" fillId="62" borderId="10" xfId="74" applyFont="1" applyFill="1" applyBorder="1" applyAlignment="1" applyProtection="1">
      <alignment horizontal="center" vertical="center"/>
      <protection locked="0"/>
    </xf>
    <xf numFmtId="49" fontId="86" fillId="62" borderId="10" xfId="74" applyNumberFormat="1" applyFont="1" applyFill="1" applyBorder="1" applyAlignment="1" applyProtection="1">
      <alignment horizontal="right" vertical="center"/>
      <protection locked="0"/>
    </xf>
    <xf numFmtId="3" fontId="47" fillId="62" borderId="10" xfId="74" applyNumberFormat="1" applyFont="1" applyFill="1" applyBorder="1" applyAlignment="1" applyProtection="1">
      <alignment horizontal="right" vertical="center"/>
      <protection locked="0"/>
    </xf>
    <xf numFmtId="3" fontId="86" fillId="62" borderId="10" xfId="74" applyNumberFormat="1" applyFont="1" applyFill="1" applyBorder="1" applyAlignment="1" applyProtection="1">
      <alignment horizontal="right" vertical="center"/>
      <protection locked="0"/>
    </xf>
    <xf numFmtId="3" fontId="75" fillId="62" borderId="10" xfId="74" applyNumberFormat="1" applyFont="1" applyFill="1" applyBorder="1" applyAlignment="1" applyProtection="1">
      <alignment horizontal="right" vertical="center"/>
      <protection locked="0"/>
    </xf>
    <xf numFmtId="3" fontId="59" fillId="62" borderId="74" xfId="80" applyNumberFormat="1" applyFont="1" applyFill="1" applyBorder="1" applyAlignment="1">
      <alignment horizontal="center" vertical="center" wrapText="1"/>
    </xf>
    <xf numFmtId="168" fontId="65" fillId="24" borderId="97" xfId="80" applyNumberFormat="1" applyFont="1" applyFill="1" applyBorder="1" applyAlignment="1">
      <alignment vertical="center" wrapText="1"/>
    </xf>
    <xf numFmtId="3" fontId="23" fillId="64" borderId="210" xfId="80" applyNumberFormat="1" applyFill="1" applyBorder="1" applyAlignment="1">
      <alignment vertical="center" wrapText="1"/>
    </xf>
    <xf numFmtId="167" fontId="104" fillId="0" borderId="71" xfId="83" applyNumberFormat="1" applyFont="1" applyBorder="1" applyAlignment="1">
      <alignment horizontal="center" vertical="center" wrapText="1"/>
    </xf>
    <xf numFmtId="3" fontId="23" fillId="0" borderId="71" xfId="80" applyNumberFormat="1" applyBorder="1" applyAlignment="1">
      <alignment vertical="center" wrapText="1"/>
    </xf>
    <xf numFmtId="168" fontId="57" fillId="0" borderId="71" xfId="83" applyNumberFormat="1" applyFont="1" applyBorder="1" applyAlignment="1">
      <alignment vertical="center" wrapText="1"/>
    </xf>
    <xf numFmtId="3" fontId="76" fillId="0" borderId="71" xfId="80" applyNumberFormat="1" applyFont="1" applyBorder="1" applyAlignment="1">
      <alignment vertical="center" wrapText="1"/>
    </xf>
    <xf numFmtId="3" fontId="23" fillId="0" borderId="25" xfId="80" applyNumberFormat="1" applyBorder="1" applyAlignment="1">
      <alignment vertical="center" wrapText="1"/>
    </xf>
    <xf numFmtId="0" fontId="57" fillId="0" borderId="74" xfId="80" applyFont="1" applyBorder="1" applyAlignment="1">
      <alignment horizontal="center" vertical="center" wrapText="1"/>
    </xf>
    <xf numFmtId="0" fontId="23" fillId="0" borderId="235" xfId="80" applyBorder="1" applyAlignment="1">
      <alignment vertical="center" wrapText="1"/>
    </xf>
    <xf numFmtId="0" fontId="58" fillId="0" borderId="74" xfId="80" applyFont="1" applyBorder="1" applyAlignment="1">
      <alignment vertical="center" wrapText="1"/>
    </xf>
    <xf numFmtId="3" fontId="65" fillId="61" borderId="74" xfId="80" applyNumberFormat="1" applyFont="1" applyFill="1" applyBorder="1" applyAlignment="1">
      <alignment horizontal="right" vertical="center" wrapText="1"/>
    </xf>
    <xf numFmtId="3" fontId="60" fillId="61" borderId="74" xfId="80" applyNumberFormat="1" applyFont="1" applyFill="1" applyBorder="1" applyAlignment="1" applyProtection="1">
      <alignment horizontal="right" vertical="center" wrapText="1"/>
      <protection locked="0"/>
    </xf>
    <xf numFmtId="3" fontId="77" fillId="61" borderId="74" xfId="80" applyNumberFormat="1" applyFont="1" applyFill="1" applyBorder="1" applyAlignment="1">
      <alignment horizontal="right" vertical="center" wrapText="1"/>
    </xf>
    <xf numFmtId="3" fontId="23" fillId="61" borderId="74" xfId="80" applyNumberFormat="1" applyFill="1" applyBorder="1" applyAlignment="1">
      <alignment horizontal="right" vertical="center" wrapText="1"/>
    </xf>
    <xf numFmtId="177" fontId="59" fillId="61" borderId="74" xfId="80" applyNumberFormat="1" applyFont="1" applyFill="1" applyBorder="1" applyAlignment="1" applyProtection="1">
      <alignment horizontal="right" vertical="center" wrapText="1"/>
      <protection locked="0"/>
    </xf>
    <xf numFmtId="3" fontId="58" fillId="62" borderId="0" xfId="80" applyNumberFormat="1" applyFont="1" applyFill="1" applyAlignment="1" applyProtection="1">
      <alignment horizontal="right" vertical="center" wrapText="1"/>
      <protection locked="0"/>
    </xf>
    <xf numFmtId="3" fontId="57" fillId="62" borderId="0" xfId="80" applyNumberFormat="1" applyFont="1" applyFill="1" applyAlignment="1">
      <alignment horizontal="right" vertical="center" wrapText="1"/>
    </xf>
    <xf numFmtId="4" fontId="58" fillId="62" borderId="0" xfId="80" applyNumberFormat="1" applyFont="1" applyFill="1" applyAlignment="1" applyProtection="1">
      <alignment horizontal="right" vertical="center" wrapText="1"/>
      <protection locked="0"/>
    </xf>
    <xf numFmtId="0" fontId="64" fillId="62" borderId="74" xfId="83" applyFont="1" applyFill="1" applyBorder="1" applyAlignment="1">
      <alignment horizontal="center" vertical="center" wrapText="1"/>
    </xf>
    <xf numFmtId="3" fontId="77" fillId="61" borderId="74" xfId="80" applyNumberFormat="1" applyFont="1" applyFill="1" applyBorder="1" applyAlignment="1">
      <alignment horizontal="center" vertical="center" wrapText="1"/>
    </xf>
    <xf numFmtId="3" fontId="59" fillId="61" borderId="74" xfId="80" applyNumberFormat="1" applyFont="1" applyFill="1" applyBorder="1" applyAlignment="1">
      <alignment horizontal="center" vertical="center" wrapText="1"/>
    </xf>
    <xf numFmtId="3" fontId="66" fillId="61" borderId="74" xfId="80" applyNumberFormat="1" applyFont="1" applyFill="1" applyBorder="1" applyAlignment="1" applyProtection="1">
      <alignment horizontal="right" vertical="center" wrapText="1"/>
      <protection locked="0"/>
    </xf>
    <xf numFmtId="3" fontId="60" fillId="61" borderId="74" xfId="80" applyNumberFormat="1" applyFont="1" applyFill="1" applyBorder="1" applyAlignment="1">
      <alignment horizontal="right" vertical="center" wrapText="1"/>
    </xf>
    <xf numFmtId="3" fontId="65" fillId="61" borderId="74" xfId="80" applyNumberFormat="1" applyFont="1" applyFill="1" applyBorder="1" applyAlignment="1" applyProtection="1">
      <alignment horizontal="right" vertical="center" wrapText="1"/>
      <protection locked="0"/>
    </xf>
    <xf numFmtId="3" fontId="77" fillId="62" borderId="74" xfId="80" applyNumberFormat="1" applyFont="1" applyFill="1" applyBorder="1" applyAlignment="1">
      <alignment horizontal="center" vertical="center" wrapText="1"/>
    </xf>
    <xf numFmtId="3" fontId="77" fillId="56" borderId="175" xfId="80" applyNumberFormat="1" applyFont="1" applyFill="1" applyBorder="1" applyAlignment="1">
      <alignment horizontal="right" vertical="center" wrapText="1"/>
    </xf>
    <xf numFmtId="0" fontId="58" fillId="0" borderId="19" xfId="80" applyFont="1" applyBorder="1" applyAlignment="1">
      <alignment horizontal="justify" vertical="center" wrapText="1"/>
    </xf>
    <xf numFmtId="3" fontId="97" fillId="62" borderId="74" xfId="74" applyNumberFormat="1" applyFont="1" applyFill="1" applyBorder="1" applyAlignment="1" applyProtection="1">
      <alignment horizontal="center" vertical="center" wrapText="1"/>
      <protection locked="0"/>
    </xf>
    <xf numFmtId="0" fontId="139" fillId="0" borderId="0" xfId="0" applyFont="1" applyAlignment="1">
      <alignment vertical="center"/>
    </xf>
    <xf numFmtId="0" fontId="23" fillId="0" borderId="0" xfId="96"/>
    <xf numFmtId="167" fontId="69" fillId="0" borderId="0" xfId="96" applyNumberFormat="1" applyFont="1" applyAlignment="1">
      <alignment horizontal="center" vertical="center" wrapText="1"/>
    </xf>
    <xf numFmtId="167" fontId="77" fillId="0" borderId="83" xfId="96" applyNumberFormat="1" applyFont="1" applyBorder="1" applyAlignment="1">
      <alignment horizontal="center" vertical="center"/>
    </xf>
    <xf numFmtId="167" fontId="77" fillId="0" borderId="83" xfId="96" applyNumberFormat="1" applyFont="1" applyBorder="1" applyAlignment="1">
      <alignment horizontal="center" vertical="center" wrapText="1"/>
    </xf>
    <xf numFmtId="167" fontId="77" fillId="0" borderId="126" xfId="96" applyNumberFormat="1" applyFont="1" applyBorder="1" applyAlignment="1">
      <alignment horizontal="center" vertical="center"/>
    </xf>
    <xf numFmtId="167" fontId="77" fillId="0" borderId="119" xfId="96" applyNumberFormat="1" applyFont="1" applyBorder="1" applyAlignment="1">
      <alignment horizontal="center" vertical="center"/>
    </xf>
    <xf numFmtId="167" fontId="77" fillId="0" borderId="119" xfId="96" applyNumberFormat="1" applyFont="1" applyBorder="1" applyAlignment="1">
      <alignment horizontal="center" vertical="center" wrapText="1"/>
    </xf>
    <xf numFmtId="49" fontId="60" fillId="0" borderId="249" xfId="96" applyNumberFormat="1" applyFont="1" applyBorder="1" applyAlignment="1">
      <alignment horizontal="left" vertical="center"/>
    </xf>
    <xf numFmtId="3" fontId="60" fillId="0" borderId="128" xfId="96" applyNumberFormat="1" applyFont="1" applyBorder="1" applyAlignment="1" applyProtection="1">
      <alignment horizontal="right" vertical="center"/>
      <protection locked="0"/>
    </xf>
    <xf numFmtId="3" fontId="60" fillId="0" borderId="128" xfId="96" applyNumberFormat="1" applyFont="1" applyBorder="1" applyAlignment="1" applyProtection="1">
      <alignment horizontal="right" vertical="center" wrapText="1"/>
      <protection locked="0"/>
    </xf>
    <xf numFmtId="3" fontId="60" fillId="0" borderId="188" xfId="96" applyNumberFormat="1" applyFont="1" applyBorder="1" applyAlignment="1" applyProtection="1">
      <alignment horizontal="right" vertical="center" wrapText="1"/>
      <protection locked="0"/>
    </xf>
    <xf numFmtId="3" fontId="60" fillId="0" borderId="127" xfId="96" applyNumberFormat="1" applyFont="1" applyBorder="1" applyAlignment="1" applyProtection="1">
      <alignment horizontal="right" vertical="center" wrapText="1"/>
      <protection locked="0"/>
    </xf>
    <xf numFmtId="3" fontId="60" fillId="0" borderId="227" xfId="76" applyNumberFormat="1" applyFont="1" applyBorder="1" applyAlignment="1" applyProtection="1">
      <alignment vertical="center"/>
      <protection locked="0"/>
    </xf>
    <xf numFmtId="3" fontId="65" fillId="0" borderId="127" xfId="96" applyNumberFormat="1" applyFont="1" applyBorder="1" applyAlignment="1">
      <alignment horizontal="right" vertical="center" wrapText="1"/>
    </xf>
    <xf numFmtId="169" fontId="77" fillId="0" borderId="127" xfId="96" applyNumberFormat="1" applyFont="1" applyBorder="1" applyAlignment="1">
      <alignment horizontal="right" vertical="center" wrapText="1"/>
    </xf>
    <xf numFmtId="3" fontId="23" fillId="0" borderId="0" xfId="96" applyNumberFormat="1"/>
    <xf numFmtId="49" fontId="67" fillId="0" borderId="182" xfId="96" quotePrefix="1" applyNumberFormat="1" applyFont="1" applyBorder="1" applyAlignment="1">
      <alignment horizontal="left" vertical="center" indent="1"/>
    </xf>
    <xf numFmtId="3" fontId="67" fillId="0" borderId="128" xfId="96" applyNumberFormat="1" applyFont="1" applyBorder="1" applyAlignment="1" applyProtection="1">
      <alignment horizontal="right" vertical="center" wrapText="1"/>
      <protection locked="0"/>
    </xf>
    <xf numFmtId="3" fontId="65" fillId="0" borderId="128" xfId="96" applyNumberFormat="1" applyFont="1" applyBorder="1" applyAlignment="1">
      <alignment horizontal="right" vertical="center" wrapText="1"/>
    </xf>
    <xf numFmtId="169" fontId="77" fillId="0" borderId="128" xfId="96" applyNumberFormat="1" applyFont="1" applyBorder="1" applyAlignment="1">
      <alignment horizontal="right" vertical="center" wrapText="1"/>
    </xf>
    <xf numFmtId="49" fontId="60" fillId="0" borderId="182" xfId="96" applyNumberFormat="1" applyFont="1" applyBorder="1" applyAlignment="1">
      <alignment horizontal="left" vertical="center"/>
    </xf>
    <xf numFmtId="49" fontId="60" fillId="0" borderId="250" xfId="96" applyNumberFormat="1" applyFont="1" applyBorder="1" applyAlignment="1" applyProtection="1">
      <alignment horizontal="left" vertical="center"/>
      <protection locked="0"/>
    </xf>
    <xf numFmtId="3" fontId="60" fillId="0" borderId="251" xfId="96" applyNumberFormat="1" applyFont="1" applyBorder="1" applyAlignment="1" applyProtection="1">
      <alignment horizontal="right" vertical="center"/>
      <protection locked="0"/>
    </xf>
    <xf numFmtId="3" fontId="60" fillId="0" borderId="251" xfId="96" applyNumberFormat="1" applyFont="1" applyBorder="1" applyAlignment="1" applyProtection="1">
      <alignment horizontal="right" vertical="center" wrapText="1"/>
      <protection locked="0"/>
    </xf>
    <xf numFmtId="169" fontId="77" fillId="0" borderId="190" xfId="96" applyNumberFormat="1" applyFont="1" applyBorder="1" applyAlignment="1">
      <alignment horizontal="right" vertical="center" wrapText="1"/>
    </xf>
    <xf numFmtId="49" fontId="65" fillId="0" borderId="168" xfId="96" applyNumberFormat="1" applyFont="1" applyBorder="1" applyAlignment="1" applyProtection="1">
      <alignment horizontal="left" vertical="center" indent="1"/>
      <protection locked="0"/>
    </xf>
    <xf numFmtId="3" fontId="65" fillId="0" borderId="83" xfId="96" applyNumberFormat="1" applyFont="1" applyBorder="1" applyAlignment="1">
      <alignment vertical="center"/>
    </xf>
    <xf numFmtId="169" fontId="65" fillId="0" borderId="83" xfId="96" applyNumberFormat="1" applyFont="1" applyBorder="1" applyAlignment="1" applyProtection="1">
      <alignment vertical="center" wrapText="1"/>
      <protection locked="0"/>
    </xf>
    <xf numFmtId="49" fontId="65" fillId="0" borderId="170" xfId="96" applyNumberFormat="1" applyFont="1" applyBorder="1" applyAlignment="1" applyProtection="1">
      <alignment vertical="center"/>
      <protection locked="0"/>
    </xf>
    <xf numFmtId="3" fontId="65" fillId="0" borderId="170" xfId="96" applyNumberFormat="1" applyFont="1" applyBorder="1" applyAlignment="1" applyProtection="1">
      <alignment horizontal="right" vertical="center"/>
      <protection locked="0"/>
    </xf>
    <xf numFmtId="3" fontId="66" fillId="0" borderId="170" xfId="96" applyNumberFormat="1" applyFont="1" applyBorder="1" applyAlignment="1" applyProtection="1">
      <alignment horizontal="right" vertical="center" wrapText="1"/>
      <protection locked="0"/>
    </xf>
    <xf numFmtId="49" fontId="65" fillId="0" borderId="165" xfId="96" applyNumberFormat="1" applyFont="1" applyBorder="1" applyAlignment="1" applyProtection="1">
      <alignment vertical="center"/>
      <protection locked="0"/>
    </xf>
    <xf numFmtId="3" fontId="65" fillId="0" borderId="165" xfId="96" applyNumberFormat="1" applyFont="1" applyBorder="1" applyAlignment="1" applyProtection="1">
      <alignment horizontal="right" vertical="center"/>
      <protection locked="0"/>
    </xf>
    <xf numFmtId="3" fontId="66" fillId="0" borderId="165" xfId="96" applyNumberFormat="1" applyFont="1" applyBorder="1" applyAlignment="1" applyProtection="1">
      <alignment horizontal="right" vertical="center" wrapText="1"/>
      <protection locked="0"/>
    </xf>
    <xf numFmtId="49" fontId="60" fillId="0" borderId="143" xfId="96" applyNumberFormat="1" applyFont="1" applyBorder="1" applyAlignment="1">
      <alignment horizontal="left" vertical="center"/>
    </xf>
    <xf numFmtId="3" fontId="60" fillId="0" borderId="188" xfId="96" applyNumberFormat="1" applyFont="1" applyBorder="1" applyAlignment="1" applyProtection="1">
      <alignment horizontal="right" vertical="center"/>
      <protection locked="0"/>
    </xf>
    <xf numFmtId="3" fontId="77" fillId="0" borderId="188" xfId="96" applyNumberFormat="1" applyFont="1" applyBorder="1" applyAlignment="1">
      <alignment horizontal="right" vertical="center" wrapText="1"/>
    </xf>
    <xf numFmtId="49" fontId="60" fillId="0" borderId="79" xfId="96" applyNumberFormat="1" applyFont="1" applyBorder="1" applyAlignment="1">
      <alignment horizontal="left" vertical="center"/>
    </xf>
    <xf numFmtId="49" fontId="60" fillId="0" borderId="79" xfId="96" applyNumberFormat="1" applyFont="1" applyBorder="1" applyAlignment="1" applyProtection="1">
      <alignment horizontal="left" vertical="center"/>
      <protection locked="0"/>
    </xf>
    <xf numFmtId="49" fontId="60" fillId="0" borderId="148" xfId="96" applyNumberFormat="1" applyFont="1" applyBorder="1" applyAlignment="1" applyProtection="1">
      <alignment horizontal="left" vertical="center"/>
      <protection locked="0"/>
    </xf>
    <xf numFmtId="169" fontId="77" fillId="0" borderId="83" xfId="96" applyNumberFormat="1" applyFont="1" applyBorder="1" applyAlignment="1">
      <alignment horizontal="left" vertical="center" wrapText="1" indent="1"/>
    </xf>
    <xf numFmtId="169" fontId="77" fillId="0" borderId="170" xfId="96" applyNumberFormat="1" applyFont="1" applyBorder="1" applyAlignment="1">
      <alignment horizontal="left" vertical="center" wrapText="1" indent="1"/>
    </xf>
    <xf numFmtId="3" fontId="65" fillId="0" borderId="170" xfId="96" applyNumberFormat="1" applyFont="1" applyBorder="1" applyAlignment="1">
      <alignment vertical="center"/>
    </xf>
    <xf numFmtId="3" fontId="66" fillId="0" borderId="170" xfId="96" applyNumberFormat="1" applyFont="1" applyBorder="1" applyAlignment="1" applyProtection="1">
      <alignment vertical="center" wrapText="1"/>
      <protection locked="0"/>
    </xf>
    <xf numFmtId="3" fontId="67" fillId="0" borderId="128" xfId="96" applyNumberFormat="1" applyFont="1" applyBorder="1" applyAlignment="1" applyProtection="1">
      <alignment horizontal="right" vertical="center"/>
      <protection locked="0"/>
    </xf>
    <xf numFmtId="3" fontId="214" fillId="0" borderId="128" xfId="96" applyNumberFormat="1" applyFont="1" applyBorder="1" applyAlignment="1" applyProtection="1">
      <alignment horizontal="right" vertical="center" wrapText="1"/>
      <protection locked="0"/>
    </xf>
    <xf numFmtId="3" fontId="65" fillId="0" borderId="128" xfId="96" applyNumberFormat="1" applyFont="1" applyBorder="1" applyAlignment="1" applyProtection="1">
      <alignment horizontal="right" vertical="center" wrapText="1"/>
      <protection locked="0"/>
    </xf>
    <xf numFmtId="3" fontId="65" fillId="0" borderId="251" xfId="96" applyNumberFormat="1" applyFont="1" applyBorder="1" applyAlignment="1" applyProtection="1">
      <alignment horizontal="right" vertical="center" wrapText="1"/>
      <protection locked="0"/>
    </xf>
    <xf numFmtId="169" fontId="191" fillId="0" borderId="0" xfId="96" applyNumberFormat="1" applyFont="1" applyAlignment="1">
      <alignment horizontal="left" vertical="center" wrapText="1"/>
    </xf>
    <xf numFmtId="167" fontId="23" fillId="0" borderId="0" xfId="96" applyNumberFormat="1" applyAlignment="1">
      <alignment vertical="center" wrapText="1"/>
    </xf>
    <xf numFmtId="167" fontId="215" fillId="0" borderId="83" xfId="96" applyNumberFormat="1" applyFont="1" applyBorder="1" applyAlignment="1">
      <alignment horizontal="center" vertical="center" wrapText="1"/>
    </xf>
    <xf numFmtId="3" fontId="60" fillId="0" borderId="253" xfId="96" applyNumberFormat="1" applyFont="1" applyBorder="1" applyAlignment="1" applyProtection="1">
      <alignment horizontal="right" vertical="center" wrapText="1"/>
      <protection locked="0"/>
    </xf>
    <xf numFmtId="3" fontId="60" fillId="0" borderId="190" xfId="96" applyNumberFormat="1" applyFont="1" applyBorder="1" applyAlignment="1" applyProtection="1">
      <alignment horizontal="right" vertical="center" wrapText="1"/>
      <protection locked="0"/>
    </xf>
    <xf numFmtId="3" fontId="65" fillId="0" borderId="83" xfId="96" applyNumberFormat="1" applyFont="1" applyBorder="1" applyAlignment="1">
      <alignment horizontal="right" vertical="center" wrapText="1"/>
    </xf>
    <xf numFmtId="3" fontId="23" fillId="31" borderId="0" xfId="96" applyNumberFormat="1" applyFill="1" applyAlignment="1">
      <alignment vertical="center" wrapText="1"/>
    </xf>
    <xf numFmtId="3" fontId="23" fillId="31" borderId="0" xfId="96" applyNumberFormat="1" applyFill="1" applyAlignment="1">
      <alignment horizontal="center" vertical="center" wrapText="1"/>
    </xf>
    <xf numFmtId="3" fontId="0" fillId="31" borderId="0" xfId="0" applyNumberFormat="1" applyFill="1" applyAlignment="1">
      <alignment horizontal="center" vertical="center" wrapText="1"/>
    </xf>
    <xf numFmtId="3" fontId="56" fillId="31" borderId="0" xfId="96" applyNumberFormat="1" applyFont="1" applyFill="1" applyAlignment="1">
      <alignment horizontal="right" vertical="center"/>
    </xf>
    <xf numFmtId="3" fontId="220" fillId="31" borderId="0" xfId="96" applyNumberFormat="1" applyFont="1" applyFill="1" applyAlignment="1">
      <alignment horizontal="right" vertical="center"/>
    </xf>
    <xf numFmtId="3" fontId="69" fillId="31" borderId="0" xfId="96" applyNumberFormat="1" applyFont="1" applyFill="1" applyAlignment="1">
      <alignment horizontal="right" vertical="center" wrapText="1"/>
    </xf>
    <xf numFmtId="3" fontId="59" fillId="31" borderId="227" xfId="96" applyNumberFormat="1" applyFont="1" applyFill="1" applyBorder="1" applyAlignment="1">
      <alignment horizontal="center" vertical="center" wrapText="1"/>
    </xf>
    <xf numFmtId="3" fontId="66" fillId="31" borderId="227" xfId="96" applyNumberFormat="1" applyFont="1" applyFill="1" applyBorder="1" applyAlignment="1">
      <alignment horizontal="center" vertical="center" wrapText="1"/>
    </xf>
    <xf numFmtId="3" fontId="59" fillId="31" borderId="174" xfId="96" applyNumberFormat="1" applyFont="1" applyFill="1" applyBorder="1" applyAlignment="1">
      <alignment horizontal="center" vertical="center" wrapText="1"/>
    </xf>
    <xf numFmtId="3" fontId="160" fillId="31" borderId="174" xfId="96" applyNumberFormat="1" applyFont="1" applyFill="1" applyBorder="1" applyAlignment="1">
      <alignment horizontal="center" vertical="center" wrapText="1"/>
    </xf>
    <xf numFmtId="3" fontId="79" fillId="31" borderId="174" xfId="0" applyNumberFormat="1" applyFont="1" applyFill="1" applyBorder="1" applyAlignment="1">
      <alignment horizontal="center" vertical="center" wrapText="1"/>
    </xf>
    <xf numFmtId="3" fontId="79" fillId="31" borderId="245" xfId="0" applyNumberFormat="1" applyFont="1" applyFill="1" applyBorder="1" applyAlignment="1">
      <alignment horizontal="center" vertical="center" wrapText="1"/>
    </xf>
    <xf numFmtId="3" fontId="58" fillId="31" borderId="0" xfId="96" applyNumberFormat="1" applyFont="1" applyFill="1" applyAlignment="1">
      <alignment horizontal="center" vertical="center" wrapText="1"/>
    </xf>
    <xf numFmtId="3" fontId="77" fillId="31" borderId="151" xfId="96" applyNumberFormat="1" applyFont="1" applyFill="1" applyBorder="1" applyAlignment="1">
      <alignment horizontal="center" vertical="center" wrapText="1"/>
    </xf>
    <xf numFmtId="3" fontId="77" fillId="31" borderId="152" xfId="96" applyNumberFormat="1" applyFont="1" applyFill="1" applyBorder="1" applyAlignment="1">
      <alignment horizontal="center" vertical="center" wrapText="1"/>
    </xf>
    <xf numFmtId="3" fontId="77" fillId="31" borderId="165" xfId="96" applyNumberFormat="1" applyFont="1" applyFill="1" applyBorder="1" applyAlignment="1">
      <alignment horizontal="center" vertical="center" wrapText="1"/>
    </xf>
    <xf numFmtId="3" fontId="77" fillId="31" borderId="119" xfId="96" applyNumberFormat="1" applyFont="1" applyFill="1" applyBorder="1" applyAlignment="1">
      <alignment horizontal="center" vertical="center" wrapText="1"/>
    </xf>
    <xf numFmtId="3" fontId="77" fillId="31" borderId="153" xfId="96" applyNumberFormat="1" applyFont="1" applyFill="1" applyBorder="1" applyAlignment="1">
      <alignment horizontal="center" vertical="center" wrapText="1"/>
    </xf>
    <xf numFmtId="3" fontId="84" fillId="31" borderId="0" xfId="96" applyNumberFormat="1" applyFont="1" applyFill="1" applyAlignment="1">
      <alignment vertical="center" wrapText="1"/>
    </xf>
    <xf numFmtId="3" fontId="66" fillId="31" borderId="143" xfId="96" applyNumberFormat="1" applyFont="1" applyFill="1" applyBorder="1" applyAlignment="1">
      <alignment horizontal="right" vertical="center" wrapText="1" indent="1"/>
    </xf>
    <xf numFmtId="3" fontId="60" fillId="31" borderId="138" xfId="96" applyNumberFormat="1" applyFont="1" applyFill="1" applyBorder="1" applyAlignment="1" applyProtection="1">
      <alignment horizontal="justify" vertical="center" wrapText="1"/>
      <protection locked="0"/>
    </xf>
    <xf numFmtId="3" fontId="60" fillId="31" borderId="138" xfId="96" applyNumberFormat="1" applyFont="1" applyFill="1" applyBorder="1" applyAlignment="1" applyProtection="1">
      <alignment horizontal="center" vertical="center" wrapText="1"/>
      <protection locked="0"/>
    </xf>
    <xf numFmtId="3" fontId="60" fillId="31" borderId="138" xfId="96" applyNumberFormat="1" applyFont="1" applyFill="1" applyBorder="1" applyAlignment="1" applyProtection="1">
      <alignment vertical="center" wrapText="1"/>
      <protection locked="0"/>
    </xf>
    <xf numFmtId="3" fontId="23" fillId="31" borderId="255" xfId="96" applyNumberFormat="1" applyFill="1" applyBorder="1" applyAlignment="1">
      <alignment vertical="center" wrapText="1"/>
    </xf>
    <xf numFmtId="3" fontId="23" fillId="31" borderId="256" xfId="96" applyNumberFormat="1" applyFill="1" applyBorder="1" applyAlignment="1">
      <alignment vertical="center" wrapText="1"/>
    </xf>
    <xf numFmtId="3" fontId="23" fillId="31" borderId="257" xfId="96" applyNumberFormat="1" applyFill="1" applyBorder="1" applyAlignment="1">
      <alignment vertical="center" wrapText="1"/>
    </xf>
    <xf numFmtId="3" fontId="65" fillId="31" borderId="0" xfId="96" applyNumberFormat="1" applyFont="1" applyFill="1" applyAlignment="1">
      <alignment vertical="center" wrapText="1"/>
    </xf>
    <xf numFmtId="3" fontId="66" fillId="31" borderId="79" xfId="96" applyNumberFormat="1" applyFont="1" applyFill="1" applyBorder="1" applyAlignment="1">
      <alignment horizontal="right" vertical="center" wrapText="1" indent="1"/>
    </xf>
    <xf numFmtId="3" fontId="66" fillId="31" borderId="138" xfId="96" applyNumberFormat="1" applyFont="1" applyFill="1" applyBorder="1" applyAlignment="1" applyProtection="1">
      <alignment horizontal="justify" vertical="center" wrapText="1"/>
      <protection locked="0"/>
    </xf>
    <xf numFmtId="3" fontId="66" fillId="31" borderId="138" xfId="96" applyNumberFormat="1" applyFont="1" applyFill="1" applyBorder="1" applyAlignment="1" applyProtection="1">
      <alignment horizontal="center" vertical="center" wrapText="1"/>
      <protection locked="0"/>
    </xf>
    <xf numFmtId="3" fontId="66" fillId="31" borderId="138" xfId="96" applyNumberFormat="1" applyFont="1" applyFill="1" applyBorder="1" applyAlignment="1" applyProtection="1">
      <alignment vertical="center" wrapText="1"/>
      <protection locked="0"/>
    </xf>
    <xf numFmtId="3" fontId="66" fillId="31" borderId="74" xfId="96" applyNumberFormat="1" applyFont="1" applyFill="1" applyBorder="1" applyAlignment="1" applyProtection="1">
      <alignment vertical="center" wrapText="1"/>
      <protection locked="0"/>
    </xf>
    <xf numFmtId="3" fontId="60" fillId="31" borderId="138" xfId="96" applyNumberFormat="1" applyFont="1" applyFill="1" applyBorder="1" applyAlignment="1">
      <alignment vertical="center" wrapText="1"/>
    </xf>
    <xf numFmtId="3" fontId="23" fillId="31" borderId="74" xfId="96" applyNumberFormat="1" applyFill="1" applyBorder="1" applyAlignment="1">
      <alignment vertical="center" wrapText="1"/>
    </xf>
    <xf numFmtId="3" fontId="23" fillId="31" borderId="75" xfId="96" applyNumberFormat="1" applyFill="1" applyBorder="1" applyAlignment="1">
      <alignment vertical="center" wrapText="1"/>
    </xf>
    <xf numFmtId="3" fontId="66" fillId="31" borderId="74" xfId="96" applyNumberFormat="1" applyFont="1" applyFill="1" applyBorder="1" applyAlignment="1" applyProtection="1">
      <alignment horizontal="justify" vertical="center" wrapText="1"/>
      <protection locked="0"/>
    </xf>
    <xf numFmtId="3" fontId="66" fillId="31" borderId="74" xfId="96" applyNumberFormat="1" applyFont="1" applyFill="1" applyBorder="1" applyAlignment="1" applyProtection="1">
      <alignment horizontal="center" vertical="center" wrapText="1"/>
      <protection locked="0"/>
    </xf>
    <xf numFmtId="3" fontId="66" fillId="55" borderId="74" xfId="96" applyNumberFormat="1" applyFont="1" applyFill="1" applyBorder="1" applyAlignment="1" applyProtection="1">
      <alignment vertical="center" wrapText="1"/>
      <protection locked="0"/>
    </xf>
    <xf numFmtId="3" fontId="23" fillId="31" borderId="174" xfId="96" applyNumberFormat="1" applyFill="1" applyBorder="1" applyAlignment="1">
      <alignment vertical="center" wrapText="1"/>
    </xf>
    <xf numFmtId="3" fontId="59" fillId="31" borderId="146" xfId="96" applyNumberFormat="1" applyFont="1" applyFill="1" applyBorder="1" applyAlignment="1">
      <alignment horizontal="center" vertical="center" wrapText="1"/>
    </xf>
    <xf numFmtId="3" fontId="77" fillId="31" borderId="146" xfId="96" applyNumberFormat="1" applyFont="1" applyFill="1" applyBorder="1" applyAlignment="1">
      <alignment vertical="center" wrapText="1"/>
    </xf>
    <xf numFmtId="3" fontId="77" fillId="31" borderId="147" xfId="96" applyNumberFormat="1" applyFont="1" applyFill="1" applyBorder="1" applyAlignment="1">
      <alignment vertical="center" wrapText="1"/>
    </xf>
    <xf numFmtId="3" fontId="77" fillId="31" borderId="258" xfId="96" applyNumberFormat="1" applyFont="1" applyFill="1" applyBorder="1" applyAlignment="1">
      <alignment vertical="center" wrapText="1"/>
    </xf>
    <xf numFmtId="3" fontId="23" fillId="31" borderId="146" xfId="96" applyNumberFormat="1" applyFill="1" applyBorder="1" applyAlignment="1">
      <alignment vertical="center" wrapText="1"/>
    </xf>
    <xf numFmtId="3" fontId="23" fillId="31" borderId="147" xfId="96" applyNumberFormat="1" applyFill="1" applyBorder="1" applyAlignment="1">
      <alignment vertical="center" wrapText="1"/>
    </xf>
    <xf numFmtId="3" fontId="59" fillId="31" borderId="152" xfId="96" applyNumberFormat="1" applyFont="1" applyFill="1" applyBorder="1" applyAlignment="1">
      <alignment horizontal="center" vertical="center" wrapText="1"/>
    </xf>
    <xf numFmtId="3" fontId="77" fillId="31" borderId="152" xfId="96" applyNumberFormat="1" applyFont="1" applyFill="1" applyBorder="1" applyAlignment="1">
      <alignment vertical="center" wrapText="1"/>
    </xf>
    <xf numFmtId="3" fontId="23" fillId="31" borderId="0" xfId="96" applyNumberFormat="1" applyFill="1" applyAlignment="1">
      <alignment horizontal="right" vertical="center" wrapText="1"/>
    </xf>
    <xf numFmtId="3" fontId="78" fillId="31" borderId="0" xfId="96" applyNumberFormat="1" applyFont="1" applyFill="1" applyAlignment="1">
      <alignment vertical="center" wrapText="1"/>
    </xf>
    <xf numFmtId="3" fontId="57" fillId="31" borderId="0" xfId="96" applyNumberFormat="1" applyFont="1" applyFill="1" applyAlignment="1">
      <alignment vertical="center" wrapText="1"/>
    </xf>
    <xf numFmtId="3" fontId="64" fillId="31" borderId="0" xfId="96" applyNumberFormat="1" applyFont="1" applyFill="1" applyAlignment="1">
      <alignment vertical="center" wrapText="1"/>
    </xf>
    <xf numFmtId="3" fontId="23" fillId="31" borderId="0" xfId="96" applyNumberFormat="1" applyFill="1" applyAlignment="1">
      <alignment vertical="center"/>
    </xf>
    <xf numFmtId="3" fontId="221" fillId="76" borderId="168" xfId="96" applyNumberFormat="1" applyFont="1" applyFill="1" applyBorder="1" applyAlignment="1">
      <alignment vertical="center" wrapText="1"/>
    </xf>
    <xf numFmtId="3" fontId="221" fillId="76" borderId="155" xfId="96" applyNumberFormat="1" applyFont="1" applyFill="1" applyBorder="1" applyAlignment="1">
      <alignment vertical="center"/>
    </xf>
    <xf numFmtId="3" fontId="221" fillId="76" borderId="155" xfId="96" applyNumberFormat="1" applyFont="1" applyFill="1" applyBorder="1" applyAlignment="1">
      <alignment vertical="center" wrapText="1"/>
    </xf>
    <xf numFmtId="3" fontId="221" fillId="76" borderId="84" xfId="96" applyNumberFormat="1" applyFont="1" applyFill="1" applyBorder="1" applyAlignment="1">
      <alignment vertical="center" wrapText="1"/>
    </xf>
    <xf numFmtId="0" fontId="36" fillId="0" borderId="0" xfId="97" applyAlignment="1">
      <alignment vertical="center"/>
    </xf>
    <xf numFmtId="0" fontId="35" fillId="0" borderId="0" xfId="97" applyFont="1" applyAlignment="1">
      <alignment vertical="center"/>
    </xf>
    <xf numFmtId="0" fontId="202" fillId="0" borderId="0" xfId="97" applyFont="1" applyAlignment="1">
      <alignment horizontal="right" vertical="center"/>
    </xf>
    <xf numFmtId="0" fontId="130" fillId="0" borderId="139" xfId="97" applyFont="1" applyBorder="1" applyAlignment="1">
      <alignment horizontal="center" vertical="center"/>
    </xf>
    <xf numFmtId="0" fontId="127" fillId="0" borderId="227" xfId="98" applyFont="1" applyBorder="1" applyAlignment="1">
      <alignment horizontal="center" vertical="center" textRotation="1"/>
    </xf>
    <xf numFmtId="3" fontId="143" fillId="0" borderId="227" xfId="0" applyNumberFormat="1" applyFont="1" applyBorder="1" applyAlignment="1">
      <alignment horizontal="center" vertical="center" wrapText="1"/>
    </xf>
    <xf numFmtId="0" fontId="143" fillId="0" borderId="227" xfId="0" applyFont="1" applyBorder="1" applyAlignment="1">
      <alignment horizontal="center" vertical="center" wrapText="1"/>
    </xf>
    <xf numFmtId="3" fontId="143" fillId="0" borderId="262" xfId="0" applyNumberFormat="1" applyFont="1" applyBorder="1" applyAlignment="1">
      <alignment horizontal="center" vertical="center" wrapText="1"/>
    </xf>
    <xf numFmtId="0" fontId="82" fillId="0" borderId="79" xfId="97" applyFont="1" applyBorder="1" applyAlignment="1">
      <alignment horizontal="center" vertical="center" wrapText="1"/>
    </xf>
    <xf numFmtId="0" fontId="82" fillId="0" borderId="74" xfId="97" applyFont="1" applyBorder="1" applyAlignment="1">
      <alignment horizontal="center" vertical="center" wrapText="1"/>
    </xf>
    <xf numFmtId="0" fontId="82" fillId="0" borderId="75" xfId="97" applyFont="1" applyBorder="1" applyAlignment="1">
      <alignment horizontal="center" vertical="center" wrapText="1"/>
    </xf>
    <xf numFmtId="0" fontId="82" fillId="0" borderId="120" xfId="97" applyFont="1" applyBorder="1" applyAlignment="1">
      <alignment horizontal="center" vertical="center" wrapText="1"/>
    </xf>
    <xf numFmtId="0" fontId="36" fillId="0" borderId="0" xfId="97" applyAlignment="1">
      <alignment horizontal="center" vertical="center"/>
    </xf>
    <xf numFmtId="0" fontId="21" fillId="0" borderId="79" xfId="0" applyFont="1" applyBorder="1" applyAlignment="1">
      <alignment horizontal="center" vertical="center" wrapText="1"/>
    </xf>
    <xf numFmtId="0" fontId="21" fillId="0" borderId="74" xfId="0" applyFont="1" applyBorder="1" applyAlignment="1">
      <alignment horizontal="left" vertical="center" wrapText="1"/>
    </xf>
    <xf numFmtId="3" fontId="36" fillId="0" borderId="74" xfId="97" applyNumberFormat="1" applyBorder="1" applyAlignment="1">
      <alignment vertical="center"/>
    </xf>
    <xf numFmtId="3" fontId="37" fillId="0" borderId="74" xfId="97" applyNumberFormat="1" applyFont="1" applyBorder="1" applyAlignment="1">
      <alignment vertical="center"/>
    </xf>
    <xf numFmtId="3" fontId="36" fillId="31" borderId="74" xfId="97" applyNumberFormat="1" applyFill="1" applyBorder="1" applyAlignment="1">
      <alignment horizontal="right" vertical="center"/>
    </xf>
    <xf numFmtId="3" fontId="36" fillId="31" borderId="74" xfId="97" applyNumberFormat="1" applyFill="1" applyBorder="1" applyAlignment="1">
      <alignment vertical="center"/>
    </xf>
    <xf numFmtId="3" fontId="36" fillId="0" borderId="263" xfId="97" applyNumberFormat="1" applyBorder="1" applyAlignment="1">
      <alignment vertical="center"/>
    </xf>
    <xf numFmtId="3" fontId="36" fillId="0" borderId="0" xfId="97" applyNumberFormat="1" applyAlignment="1">
      <alignment horizontal="left" vertical="center"/>
    </xf>
    <xf numFmtId="0" fontId="34" fillId="0" borderId="79" xfId="0" applyFont="1" applyBorder="1" applyAlignment="1">
      <alignment horizontal="center" vertical="center" wrapText="1"/>
    </xf>
    <xf numFmtId="0" fontId="34" fillId="0" borderId="74" xfId="0" applyFont="1" applyBorder="1" applyAlignment="1">
      <alignment horizontal="left" vertical="center" wrapText="1"/>
    </xf>
    <xf numFmtId="0" fontId="34" fillId="38" borderId="79" xfId="0" applyFont="1" applyFill="1" applyBorder="1" applyAlignment="1">
      <alignment horizontal="center" vertical="center" wrapText="1"/>
    </xf>
    <xf numFmtId="0" fontId="34" fillId="38" borderId="74" xfId="0" applyFont="1" applyFill="1" applyBorder="1" applyAlignment="1">
      <alignment horizontal="left" vertical="center" wrapText="1"/>
    </xf>
    <xf numFmtId="3" fontId="36" fillId="38" borderId="74" xfId="97" applyNumberFormat="1" applyFill="1" applyBorder="1" applyAlignment="1">
      <alignment vertical="center"/>
    </xf>
    <xf numFmtId="3" fontId="37" fillId="38" borderId="74" xfId="97" applyNumberFormat="1" applyFont="1" applyFill="1" applyBorder="1" applyAlignment="1">
      <alignment vertical="center"/>
    </xf>
    <xf numFmtId="3" fontId="36" fillId="38" borderId="263" xfId="97" applyNumberFormat="1" applyFill="1" applyBorder="1" applyAlignment="1">
      <alignment vertical="center"/>
    </xf>
    <xf numFmtId="0" fontId="34" fillId="51" borderId="79" xfId="0" applyFont="1" applyFill="1" applyBorder="1" applyAlignment="1">
      <alignment horizontal="center" vertical="center" wrapText="1"/>
    </xf>
    <xf numFmtId="0" fontId="34" fillId="51" borderId="74" xfId="0" applyFont="1" applyFill="1" applyBorder="1" applyAlignment="1">
      <alignment horizontal="left" vertical="center" wrapText="1"/>
    </xf>
    <xf numFmtId="3" fontId="36" fillId="51" borderId="74" xfId="97" applyNumberFormat="1" applyFill="1" applyBorder="1" applyAlignment="1">
      <alignment vertical="center"/>
    </xf>
    <xf numFmtId="3" fontId="37" fillId="51" borderId="74" xfId="97" applyNumberFormat="1" applyFont="1" applyFill="1" applyBorder="1" applyAlignment="1">
      <alignment vertical="center"/>
    </xf>
    <xf numFmtId="3" fontId="36" fillId="51" borderId="263" xfId="97" applyNumberFormat="1" applyFill="1" applyBorder="1" applyAlignment="1">
      <alignment vertical="center"/>
    </xf>
    <xf numFmtId="3" fontId="36" fillId="0" borderId="74" xfId="97" applyNumberFormat="1" applyBorder="1" applyAlignment="1">
      <alignment horizontal="right" vertical="center"/>
    </xf>
    <xf numFmtId="0" fontId="34" fillId="0" borderId="140" xfId="0" applyFont="1" applyBorder="1" applyAlignment="1">
      <alignment horizontal="center" vertical="center" wrapText="1"/>
    </xf>
    <xf numFmtId="0" fontId="34" fillId="0" borderId="174" xfId="0" applyFont="1" applyBorder="1" applyAlignment="1">
      <alignment horizontal="left" vertical="center" wrapText="1"/>
    </xf>
    <xf numFmtId="3" fontId="36" fillId="0" borderId="174" xfId="97" applyNumberFormat="1" applyBorder="1" applyAlignment="1">
      <alignment vertical="center"/>
    </xf>
    <xf numFmtId="3" fontId="37" fillId="0" borderId="174" xfId="97" applyNumberFormat="1" applyFont="1" applyBorder="1" applyAlignment="1">
      <alignment vertical="center"/>
    </xf>
    <xf numFmtId="3" fontId="36" fillId="0" borderId="174" xfId="97" applyNumberFormat="1" applyBorder="1" applyAlignment="1">
      <alignment horizontal="right" vertical="center"/>
    </xf>
    <xf numFmtId="3" fontId="36" fillId="0" borderId="264" xfId="97" applyNumberFormat="1" applyBorder="1" applyAlignment="1">
      <alignment vertical="center"/>
    </xf>
    <xf numFmtId="3" fontId="36" fillId="0" borderId="0" xfId="97" applyNumberFormat="1" applyAlignment="1">
      <alignment horizontal="right" vertical="center"/>
    </xf>
    <xf numFmtId="0" fontId="224" fillId="0" borderId="0" xfId="97" applyFont="1" applyAlignment="1">
      <alignment horizontal="right" vertical="center"/>
    </xf>
    <xf numFmtId="0" fontId="35" fillId="0" borderId="0" xfId="97" applyFont="1" applyAlignment="1">
      <alignment horizontal="right" vertical="center"/>
    </xf>
    <xf numFmtId="0" fontId="36" fillId="0" borderId="0" xfId="0" applyFont="1"/>
    <xf numFmtId="3" fontId="36" fillId="0" borderId="0" xfId="0" applyNumberFormat="1" applyFont="1"/>
    <xf numFmtId="3" fontId="37" fillId="0" borderId="0" xfId="0" applyNumberFormat="1" applyFont="1" applyAlignment="1">
      <alignment horizontal="right"/>
    </xf>
    <xf numFmtId="0" fontId="37" fillId="0" borderId="0" xfId="0" applyFont="1"/>
    <xf numFmtId="3" fontId="54" fillId="0" borderId="0" xfId="0" applyNumberFormat="1" applyFont="1"/>
    <xf numFmtId="3" fontId="36" fillId="0" borderId="0" xfId="0" applyNumberFormat="1" applyFont="1" applyAlignment="1">
      <alignment horizontal="right"/>
    </xf>
    <xf numFmtId="0" fontId="37" fillId="0" borderId="74" xfId="0" applyFont="1" applyBorder="1" applyAlignment="1">
      <alignment horizontal="center" vertical="center" wrapText="1"/>
    </xf>
    <xf numFmtId="3" fontId="37" fillId="0" borderId="74" xfId="0" applyNumberFormat="1" applyFont="1" applyBorder="1" applyAlignment="1">
      <alignment horizontal="center" vertical="center" wrapText="1"/>
    </xf>
    <xf numFmtId="0" fontId="36" fillId="0" borderId="74" xfId="0" applyFont="1" applyBorder="1" applyAlignment="1">
      <alignment horizontal="center"/>
    </xf>
    <xf numFmtId="0" fontId="36" fillId="0" borderId="74" xfId="0" applyFont="1" applyBorder="1"/>
    <xf numFmtId="3" fontId="36" fillId="0" borderId="74" xfId="0" applyNumberFormat="1" applyFont="1" applyBorder="1"/>
    <xf numFmtId="0" fontId="37" fillId="0" borderId="74" xfId="0" applyFont="1" applyBorder="1" applyAlignment="1">
      <alignment horizontal="center"/>
    </xf>
    <xf numFmtId="0" fontId="37" fillId="0" borderId="74" xfId="0" applyFont="1" applyBorder="1"/>
    <xf numFmtId="3" fontId="37" fillId="0" borderId="74" xfId="0" applyNumberFormat="1" applyFont="1" applyBorder="1"/>
    <xf numFmtId="0" fontId="37" fillId="0" borderId="0" xfId="0" applyFont="1" applyAlignment="1">
      <alignment horizontal="center"/>
    </xf>
    <xf numFmtId="3" fontId="37" fillId="0" borderId="0" xfId="0" applyNumberFormat="1" applyFont="1"/>
    <xf numFmtId="0" fontId="37" fillId="0" borderId="74" xfId="0" applyFont="1" applyBorder="1" applyAlignment="1">
      <alignment shrinkToFit="1"/>
    </xf>
    <xf numFmtId="0" fontId="37" fillId="0" borderId="0" xfId="0" applyFont="1" applyAlignment="1">
      <alignment shrinkToFit="1"/>
    </xf>
    <xf numFmtId="0" fontId="36" fillId="0" borderId="74" xfId="0" applyFont="1" applyBorder="1" applyAlignment="1">
      <alignment horizontal="center" vertical="center" textRotation="90" wrapText="1"/>
    </xf>
    <xf numFmtId="0" fontId="36" fillId="0" borderId="74" xfId="0" applyFont="1" applyBorder="1" applyAlignment="1">
      <alignment horizontal="center" vertical="center" wrapText="1"/>
    </xf>
    <xf numFmtId="3" fontId="36" fillId="0" borderId="74" xfId="0" applyNumberFormat="1" applyFont="1" applyBorder="1" applyAlignment="1">
      <alignment horizontal="right" vertical="center" wrapText="1"/>
    </xf>
    <xf numFmtId="3" fontId="21" fillId="0" borderId="0" xfId="0" applyNumberFormat="1" applyFont="1" applyAlignment="1">
      <alignment vertical="center"/>
    </xf>
    <xf numFmtId="0" fontId="34" fillId="0" borderId="0" xfId="0" applyFont="1" applyAlignment="1">
      <alignment horizontal="left" vertical="center" wrapText="1"/>
    </xf>
    <xf numFmtId="3" fontId="34" fillId="0" borderId="0" xfId="0" applyNumberFormat="1" applyFont="1" applyAlignment="1">
      <alignment horizontal="right" vertical="center" wrapText="1"/>
    </xf>
    <xf numFmtId="0" fontId="21" fillId="0" borderId="74" xfId="0" applyFont="1" applyBorder="1" applyAlignment="1">
      <alignment horizontal="center" vertical="center" textRotation="90" wrapText="1"/>
    </xf>
    <xf numFmtId="0" fontId="21" fillId="0" borderId="74" xfId="0" applyFont="1" applyBorder="1" applyAlignment="1">
      <alignment horizontal="center" vertical="center" wrapText="1"/>
    </xf>
    <xf numFmtId="0" fontId="21" fillId="0" borderId="74" xfId="100" applyFont="1" applyBorder="1" applyAlignment="1">
      <alignment horizontal="center" vertical="center" wrapText="1"/>
    </xf>
    <xf numFmtId="0" fontId="21" fillId="0" borderId="74" xfId="100" applyFont="1" applyBorder="1" applyAlignment="1">
      <alignment horizontal="justify" vertical="center" wrapText="1"/>
    </xf>
    <xf numFmtId="3" fontId="21" fillId="0" borderId="74" xfId="100" applyNumberFormat="1" applyFont="1" applyBorder="1" applyAlignment="1">
      <alignment horizontal="right" vertical="center" wrapText="1"/>
    </xf>
    <xf numFmtId="0" fontId="21" fillId="0" borderId="74" xfId="100" applyFont="1" applyBorder="1" applyAlignment="1">
      <alignment horizontal="left" vertical="top" wrapText="1"/>
    </xf>
    <xf numFmtId="0" fontId="86" fillId="60" borderId="74" xfId="0" applyFont="1" applyFill="1" applyBorder="1" applyAlignment="1">
      <alignment horizontal="center" vertical="center" wrapText="1"/>
    </xf>
    <xf numFmtId="0" fontId="86" fillId="60" borderId="74" xfId="0" applyFont="1" applyFill="1" applyBorder="1" applyAlignment="1">
      <alignment horizontal="justify" vertical="center" wrapText="1"/>
    </xf>
    <xf numFmtId="3" fontId="73" fillId="60" borderId="74" xfId="0" applyNumberFormat="1" applyFont="1" applyFill="1" applyBorder="1" applyAlignment="1">
      <alignment horizontal="right" vertical="center" wrapText="1"/>
    </xf>
    <xf numFmtId="0" fontId="86" fillId="0" borderId="74" xfId="0" applyFont="1" applyBorder="1" applyAlignment="1">
      <alignment horizontal="center" vertical="center" wrapText="1"/>
    </xf>
    <xf numFmtId="0" fontId="86" fillId="0" borderId="74" xfId="0" applyFont="1" applyBorder="1" applyAlignment="1">
      <alignment horizontal="justify" vertical="center" wrapText="1"/>
    </xf>
    <xf numFmtId="3" fontId="139" fillId="0" borderId="0" xfId="0" applyNumberFormat="1" applyFont="1" applyAlignment="1">
      <alignment vertical="center"/>
    </xf>
    <xf numFmtId="10" fontId="139" fillId="0" borderId="0" xfId="0" applyNumberFormat="1" applyFont="1" applyAlignment="1">
      <alignment vertical="center"/>
    </xf>
    <xf numFmtId="3" fontId="229" fillId="0" borderId="0" xfId="0" applyNumberFormat="1" applyFont="1" applyAlignment="1">
      <alignment vertical="center"/>
    </xf>
    <xf numFmtId="176" fontId="34" fillId="38" borderId="74" xfId="79" applyNumberFormat="1" applyFont="1" applyFill="1" applyBorder="1" applyAlignment="1">
      <alignment horizontal="right" vertical="center" wrapText="1"/>
    </xf>
    <xf numFmtId="3" fontId="87" fillId="31" borderId="0" xfId="96" applyNumberFormat="1" applyFont="1" applyFill="1" applyAlignment="1">
      <alignment horizontal="center" vertical="center" wrapText="1"/>
    </xf>
    <xf numFmtId="0" fontId="79" fillId="0" borderId="0" xfId="0" applyFont="1" applyAlignment="1">
      <alignment vertical="center"/>
    </xf>
    <xf numFmtId="3" fontId="21" fillId="0" borderId="74" xfId="0" applyNumberFormat="1" applyFont="1" applyBorder="1" applyAlignment="1">
      <alignment horizontal="right" vertical="center" wrapText="1"/>
    </xf>
    <xf numFmtId="0" fontId="86" fillId="0" borderId="74" xfId="0" applyFont="1" applyBorder="1" applyAlignment="1">
      <alignment horizontal="left" vertical="center" wrapText="1"/>
    </xf>
    <xf numFmtId="3" fontId="86" fillId="0" borderId="74" xfId="0" applyNumberFormat="1" applyFont="1" applyBorder="1" applyAlignment="1">
      <alignment horizontal="right" vertical="center" wrapText="1"/>
    </xf>
    <xf numFmtId="0" fontId="34" fillId="0" borderId="74" xfId="100" applyFont="1" applyBorder="1" applyAlignment="1">
      <alignment horizontal="center" vertical="center" wrapText="1"/>
    </xf>
    <xf numFmtId="0" fontId="34" fillId="0" borderId="74" xfId="100" applyFont="1" applyBorder="1" applyAlignment="1">
      <alignment horizontal="justify" vertical="center" wrapText="1"/>
    </xf>
    <xf numFmtId="3" fontId="34" fillId="0" borderId="74" xfId="100" applyNumberFormat="1" applyFont="1" applyBorder="1" applyAlignment="1">
      <alignment horizontal="right" vertical="center" wrapText="1"/>
    </xf>
    <xf numFmtId="0" fontId="34" fillId="0" borderId="0" xfId="0" applyFont="1" applyAlignment="1">
      <alignment vertical="center"/>
    </xf>
    <xf numFmtId="0" fontId="37" fillId="60" borderId="0" xfId="0" applyFont="1" applyFill="1" applyAlignment="1">
      <alignment vertical="center"/>
    </xf>
    <xf numFmtId="3" fontId="34" fillId="60" borderId="0" xfId="0" applyNumberFormat="1" applyFont="1" applyFill="1" applyAlignment="1">
      <alignment vertical="center"/>
    </xf>
    <xf numFmtId="0" fontId="34" fillId="60" borderId="0" xfId="0" applyFont="1" applyFill="1" applyAlignment="1">
      <alignment vertical="center"/>
    </xf>
    <xf numFmtId="3" fontId="230" fillId="31" borderId="0" xfId="96" applyNumberFormat="1" applyFont="1" applyFill="1" applyAlignment="1">
      <alignment vertical="center" wrapText="1"/>
    </xf>
    <xf numFmtId="3" fontId="66" fillId="66" borderId="74" xfId="96" applyNumberFormat="1" applyFont="1" applyFill="1" applyBorder="1" applyAlignment="1" applyProtection="1">
      <alignment vertical="center" wrapText="1"/>
      <protection locked="0"/>
    </xf>
    <xf numFmtId="169" fontId="77" fillId="0" borderId="0" xfId="96" applyNumberFormat="1" applyFont="1" applyAlignment="1">
      <alignment horizontal="left" vertical="center" wrapText="1" indent="1"/>
    </xf>
    <xf numFmtId="3" fontId="65" fillId="0" borderId="0" xfId="96" applyNumberFormat="1" applyFont="1" applyAlignment="1">
      <alignment vertical="center"/>
    </xf>
    <xf numFmtId="169" fontId="65" fillId="0" borderId="0" xfId="96" applyNumberFormat="1" applyFont="1" applyAlignment="1" applyProtection="1">
      <alignment vertical="center" wrapText="1"/>
      <protection locked="0"/>
    </xf>
    <xf numFmtId="0" fontId="37" fillId="24" borderId="74" xfId="74" applyFont="1" applyFill="1" applyBorder="1" applyAlignment="1" applyProtection="1">
      <alignment horizontal="center" vertical="center"/>
      <protection locked="0"/>
    </xf>
    <xf numFmtId="168" fontId="34" fillId="24" borderId="10" xfId="74" applyNumberFormat="1" applyFont="1" applyFill="1" applyBorder="1" applyAlignment="1" applyProtection="1">
      <alignment horizontal="center" vertical="center"/>
      <protection locked="0"/>
    </xf>
    <xf numFmtId="0" fontId="21" fillId="31" borderId="74" xfId="74" applyFont="1" applyFill="1" applyBorder="1" applyAlignment="1" applyProtection="1">
      <alignment horizontal="justify" vertical="center"/>
      <protection locked="0"/>
    </xf>
    <xf numFmtId="3" fontId="21" fillId="24" borderId="10" xfId="74" applyNumberFormat="1" applyFont="1" applyFill="1" applyBorder="1" applyAlignment="1">
      <alignment horizontal="center" vertical="center" wrapText="1"/>
    </xf>
    <xf numFmtId="168" fontId="34" fillId="24" borderId="10" xfId="74" applyNumberFormat="1" applyFont="1" applyFill="1" applyBorder="1" applyAlignment="1">
      <alignment horizontal="right" vertical="center" wrapText="1"/>
    </xf>
    <xf numFmtId="16" fontId="89" fillId="31" borderId="74" xfId="74" quotePrefix="1" applyNumberFormat="1" applyFont="1" applyFill="1" applyBorder="1" applyAlignment="1" applyProtection="1">
      <alignment horizontal="center" vertical="center"/>
      <protection locked="0"/>
    </xf>
    <xf numFmtId="0" fontId="89" fillId="31" borderId="74" xfId="74" applyFont="1" applyFill="1" applyBorder="1" applyAlignment="1" applyProtection="1">
      <alignment horizontal="justify" vertical="center" wrapText="1"/>
      <protection locked="0"/>
    </xf>
    <xf numFmtId="168" fontId="21" fillId="24" borderId="10" xfId="74" applyNumberFormat="1" applyFont="1" applyFill="1" applyBorder="1" applyAlignment="1">
      <alignment horizontal="right" vertical="center" wrapText="1"/>
    </xf>
    <xf numFmtId="168" fontId="89" fillId="24" borderId="10" xfId="74" applyNumberFormat="1" applyFont="1" applyFill="1" applyBorder="1" applyAlignment="1" applyProtection="1">
      <alignment horizontal="right" vertical="center" wrapText="1"/>
      <protection locked="0"/>
    </xf>
    <xf numFmtId="3" fontId="21" fillId="32" borderId="10" xfId="74" applyNumberFormat="1" applyFont="1" applyFill="1" applyBorder="1" applyAlignment="1">
      <alignment horizontal="right" vertical="center" wrapText="1"/>
    </xf>
    <xf numFmtId="0" fontId="21" fillId="31" borderId="74" xfId="74" applyFont="1" applyFill="1" applyBorder="1" applyAlignment="1" applyProtection="1">
      <alignment horizontal="justify" vertical="center" wrapText="1"/>
      <protection locked="0"/>
    </xf>
    <xf numFmtId="0" fontId="89" fillId="31" borderId="74" xfId="74" quotePrefix="1" applyFont="1" applyFill="1" applyBorder="1" applyAlignment="1" applyProtection="1">
      <alignment horizontal="center" vertical="center"/>
      <protection locked="0"/>
    </xf>
    <xf numFmtId="49" fontId="89" fillId="24" borderId="0" xfId="74" applyNumberFormat="1" applyFont="1" applyFill="1" applyAlignment="1" applyProtection="1">
      <alignment horizontal="center" vertical="center" wrapText="1"/>
      <protection locked="0"/>
    </xf>
    <xf numFmtId="49" fontId="21" fillId="24" borderId="0" xfId="74" applyNumberFormat="1" applyFont="1" applyFill="1" applyAlignment="1" applyProtection="1">
      <alignment horizontal="center" vertical="center" wrapText="1"/>
      <protection locked="0"/>
    </xf>
    <xf numFmtId="168" fontId="21" fillId="24" borderId="10" xfId="0" applyNumberFormat="1" applyFont="1" applyFill="1" applyBorder="1" applyAlignment="1">
      <alignment horizontal="right" vertical="center" wrapText="1"/>
    </xf>
    <xf numFmtId="168" fontId="89" fillId="24" borderId="10" xfId="0" applyNumberFormat="1" applyFont="1" applyFill="1" applyBorder="1" applyAlignment="1">
      <alignment horizontal="right" vertical="center" wrapText="1"/>
    </xf>
    <xf numFmtId="168" fontId="21" fillId="24" borderId="10" xfId="0" applyNumberFormat="1" applyFont="1" applyFill="1" applyBorder="1" applyAlignment="1" applyProtection="1">
      <alignment horizontal="right" vertical="center"/>
      <protection locked="0"/>
    </xf>
    <xf numFmtId="168" fontId="21" fillId="24" borderId="10" xfId="0" applyNumberFormat="1" applyFont="1" applyFill="1" applyBorder="1" applyAlignment="1" applyProtection="1">
      <alignment horizontal="right" vertical="center" wrapText="1"/>
      <protection locked="0"/>
    </xf>
    <xf numFmtId="49" fontId="33" fillId="24" borderId="10" xfId="74" applyNumberFormat="1" applyFont="1" applyFill="1" applyBorder="1" applyAlignment="1" applyProtection="1">
      <alignment horizontal="center" vertical="center" wrapText="1"/>
      <protection locked="0"/>
    </xf>
    <xf numFmtId="168" fontId="21" fillId="24" borderId="0" xfId="74" applyNumberFormat="1" applyFont="1" applyFill="1" applyAlignment="1" applyProtection="1">
      <alignment horizontal="right" vertical="center"/>
      <protection locked="0"/>
    </xf>
    <xf numFmtId="0" fontId="82" fillId="24" borderId="138" xfId="74" applyFont="1" applyFill="1" applyBorder="1" applyAlignment="1" applyProtection="1">
      <alignment horizontal="center" vertical="center"/>
      <protection locked="0"/>
    </xf>
    <xf numFmtId="0" fontId="29" fillId="24" borderId="0" xfId="74" applyFont="1" applyFill="1" applyAlignment="1" applyProtection="1">
      <alignment horizontal="center" vertical="center" wrapText="1" shrinkToFit="1"/>
      <protection locked="0"/>
    </xf>
    <xf numFmtId="168" fontId="21" fillId="24" borderId="11" xfId="0" applyNumberFormat="1" applyFont="1" applyFill="1" applyBorder="1" applyAlignment="1" applyProtection="1">
      <alignment horizontal="center" vertical="center" wrapText="1"/>
      <protection locked="0"/>
    </xf>
    <xf numFmtId="168" fontId="34" fillId="24" borderId="10" xfId="0" applyNumberFormat="1" applyFont="1" applyFill="1" applyBorder="1" applyAlignment="1" applyProtection="1">
      <alignment horizontal="right" vertical="center" wrapText="1"/>
      <protection locked="0"/>
    </xf>
    <xf numFmtId="0" fontId="139" fillId="0" borderId="0" xfId="0" applyFont="1"/>
    <xf numFmtId="0" fontId="82" fillId="24" borderId="74" xfId="74" applyFont="1" applyFill="1" applyBorder="1" applyAlignment="1" applyProtection="1">
      <alignment horizontal="center" vertical="center"/>
      <protection locked="0"/>
    </xf>
    <xf numFmtId="0" fontId="139" fillId="24" borderId="0" xfId="0" applyFont="1" applyFill="1"/>
    <xf numFmtId="3" fontId="139" fillId="24" borderId="0" xfId="0" applyNumberFormat="1" applyFont="1" applyFill="1"/>
    <xf numFmtId="0" fontId="57" fillId="0" borderId="265" xfId="80" applyFont="1" applyBorder="1" applyAlignment="1">
      <alignment horizontal="center" vertical="center" wrapText="1"/>
    </xf>
    <xf numFmtId="167" fontId="65" fillId="0" borderId="56" xfId="80" applyNumberFormat="1" applyFont="1" applyBorder="1" applyAlignment="1">
      <alignment horizontal="right" vertical="center" wrapText="1"/>
    </xf>
    <xf numFmtId="167" fontId="65" fillId="0" borderId="48" xfId="80" applyNumberFormat="1" applyFont="1" applyBorder="1" applyAlignment="1">
      <alignment horizontal="right" vertical="center" wrapText="1"/>
    </xf>
    <xf numFmtId="3" fontId="176" fillId="0" borderId="47" xfId="80" applyNumberFormat="1" applyFont="1" applyBorder="1" applyAlignment="1">
      <alignment horizontal="right" vertical="center" wrapText="1"/>
    </xf>
    <xf numFmtId="0" fontId="58" fillId="0" borderId="179" xfId="80" applyFont="1" applyBorder="1" applyAlignment="1">
      <alignment vertical="center" wrapText="1"/>
    </xf>
    <xf numFmtId="167" fontId="104" fillId="0" borderId="155" xfId="83" applyNumberFormat="1" applyFont="1" applyBorder="1" applyAlignment="1">
      <alignment horizontal="center" vertical="center" wrapText="1"/>
    </xf>
    <xf numFmtId="3" fontId="23" fillId="0" borderId="155" xfId="80" applyNumberFormat="1" applyBorder="1" applyAlignment="1">
      <alignment vertical="center" wrapText="1"/>
    </xf>
    <xf numFmtId="3" fontId="77" fillId="61" borderId="156" xfId="80" applyNumberFormat="1" applyFont="1" applyFill="1" applyBorder="1" applyAlignment="1">
      <alignment horizontal="right" vertical="center" wrapText="1"/>
    </xf>
    <xf numFmtId="3" fontId="23" fillId="24" borderId="12" xfId="80" applyNumberFormat="1" applyFill="1" applyBorder="1" applyAlignment="1">
      <alignment vertical="center" wrapText="1"/>
    </xf>
    <xf numFmtId="3" fontId="23" fillId="24" borderId="12" xfId="80" applyNumberFormat="1" applyFill="1" applyBorder="1" applyAlignment="1">
      <alignment horizontal="right" vertical="center" wrapText="1"/>
    </xf>
    <xf numFmtId="0" fontId="23" fillId="0" borderId="120" xfId="80" applyBorder="1" applyAlignment="1">
      <alignment vertical="center" wrapText="1"/>
    </xf>
    <xf numFmtId="3" fontId="23" fillId="64" borderId="75" xfId="80" applyNumberFormat="1" applyFill="1" applyBorder="1" applyAlignment="1">
      <alignment vertical="center" wrapText="1"/>
    </xf>
    <xf numFmtId="167" fontId="104" fillId="0" borderId="175" xfId="83" applyNumberFormat="1" applyFont="1" applyBorder="1" applyAlignment="1">
      <alignment horizontal="center" vertical="center" wrapText="1"/>
    </xf>
    <xf numFmtId="3" fontId="23" fillId="0" borderId="175" xfId="80" applyNumberFormat="1" applyBorder="1" applyAlignment="1">
      <alignment vertical="center" wrapText="1"/>
    </xf>
    <xf numFmtId="3" fontId="77" fillId="61" borderId="266" xfId="80" applyNumberFormat="1" applyFont="1" applyFill="1" applyBorder="1" applyAlignment="1">
      <alignment horizontal="right" vertical="center" wrapText="1"/>
    </xf>
    <xf numFmtId="168" fontId="57" fillId="0" borderId="175" xfId="83" applyNumberFormat="1" applyFont="1" applyBorder="1" applyAlignment="1">
      <alignment vertical="center" wrapText="1"/>
    </xf>
    <xf numFmtId="3" fontId="76" fillId="0" borderId="175" xfId="80" applyNumberFormat="1" applyFont="1" applyBorder="1" applyAlignment="1">
      <alignment vertical="center" wrapText="1"/>
    </xf>
    <xf numFmtId="3" fontId="23" fillId="0" borderId="120" xfId="80" applyNumberFormat="1" applyBorder="1" applyAlignment="1">
      <alignment vertical="center" wrapText="1"/>
    </xf>
    <xf numFmtId="0" fontId="34" fillId="55" borderId="74" xfId="74" quotePrefix="1" applyFont="1" applyFill="1" applyBorder="1" applyAlignment="1" applyProtection="1">
      <alignment horizontal="center" vertical="center"/>
      <protection locked="0"/>
    </xf>
    <xf numFmtId="49" fontId="34" fillId="55" borderId="74" xfId="74" quotePrefix="1" applyNumberFormat="1" applyFont="1" applyFill="1" applyBorder="1" applyAlignment="1" applyProtection="1">
      <alignment horizontal="center" vertical="center"/>
      <protection locked="0"/>
    </xf>
    <xf numFmtId="17" fontId="21" fillId="55" borderId="74" xfId="74" quotePrefix="1" applyNumberFormat="1" applyFont="1" applyFill="1" applyBorder="1" applyAlignment="1" applyProtection="1">
      <alignment horizontal="center" vertical="center"/>
      <protection locked="0"/>
    </xf>
    <xf numFmtId="17" fontId="34" fillId="55" borderId="74" xfId="74" quotePrefix="1" applyNumberFormat="1" applyFont="1" applyFill="1" applyBorder="1" applyAlignment="1" applyProtection="1">
      <alignment horizontal="center" vertical="center"/>
      <protection locked="0"/>
    </xf>
    <xf numFmtId="3" fontId="77" fillId="55" borderId="0" xfId="83" applyNumberFormat="1" applyFont="1" applyFill="1" applyAlignment="1">
      <alignment horizontal="right" vertical="center" wrapText="1" indent="1"/>
    </xf>
    <xf numFmtId="167" fontId="65" fillId="37" borderId="74" xfId="83" applyNumberFormat="1" applyFont="1" applyFill="1" applyBorder="1" applyAlignment="1">
      <alignment horizontal="center" vertical="center" wrapText="1"/>
    </xf>
    <xf numFmtId="167" fontId="23" fillId="31" borderId="74" xfId="83" applyNumberFormat="1" applyFill="1" applyBorder="1" applyAlignment="1">
      <alignment vertical="center" wrapText="1"/>
    </xf>
    <xf numFmtId="167" fontId="58" fillId="0" borderId="74" xfId="83" applyNumberFormat="1" applyFont="1" applyBorder="1" applyAlignment="1">
      <alignment horizontal="center" vertical="center" wrapText="1"/>
    </xf>
    <xf numFmtId="167" fontId="23" fillId="0" borderId="74" xfId="83" applyNumberFormat="1" applyBorder="1" applyAlignment="1">
      <alignment vertical="center" wrapText="1"/>
    </xf>
    <xf numFmtId="3" fontId="65" fillId="24" borderId="267" xfId="80" applyNumberFormat="1" applyFont="1" applyFill="1" applyBorder="1" applyAlignment="1">
      <alignment horizontal="right" vertical="center" wrapText="1"/>
    </xf>
    <xf numFmtId="3" fontId="66" fillId="24" borderId="165" xfId="80" applyNumberFormat="1" applyFont="1" applyFill="1" applyBorder="1" applyAlignment="1">
      <alignment horizontal="center" vertical="center" wrapText="1"/>
    </xf>
    <xf numFmtId="3" fontId="59" fillId="24" borderId="165" xfId="80" applyNumberFormat="1" applyFont="1" applyFill="1" applyBorder="1" applyAlignment="1">
      <alignment horizontal="left" vertical="center" wrapText="1"/>
    </xf>
    <xf numFmtId="3" fontId="77" fillId="24" borderId="165" xfId="80" applyNumberFormat="1" applyFont="1" applyFill="1" applyBorder="1" applyAlignment="1">
      <alignment horizontal="right" vertical="center" wrapText="1"/>
    </xf>
    <xf numFmtId="3" fontId="81" fillId="24" borderId="165" xfId="80" applyNumberFormat="1" applyFont="1" applyFill="1" applyBorder="1" applyAlignment="1">
      <alignment vertical="center" wrapText="1"/>
    </xf>
    <xf numFmtId="3" fontId="77" fillId="24" borderId="165" xfId="80" applyNumberFormat="1" applyFont="1" applyFill="1" applyBorder="1" applyAlignment="1">
      <alignment horizontal="left" vertical="center" wrapText="1"/>
    </xf>
    <xf numFmtId="168" fontId="81" fillId="24" borderId="85" xfId="80" applyNumberFormat="1" applyFont="1" applyFill="1" applyBorder="1" applyAlignment="1">
      <alignment vertical="center" wrapText="1"/>
    </xf>
    <xf numFmtId="3" fontId="72" fillId="24" borderId="145" xfId="80" applyNumberFormat="1" applyFont="1" applyFill="1" applyBorder="1" applyAlignment="1">
      <alignment horizontal="center" vertical="center" wrapText="1"/>
    </xf>
    <xf numFmtId="3" fontId="72" fillId="24" borderId="146" xfId="80" applyNumberFormat="1" applyFont="1" applyFill="1" applyBorder="1" applyAlignment="1">
      <alignment horizontal="left" vertical="center" wrapText="1"/>
    </xf>
    <xf numFmtId="3" fontId="77" fillId="24" borderId="146" xfId="80" applyNumberFormat="1" applyFont="1" applyFill="1" applyBorder="1" applyAlignment="1">
      <alignment horizontal="right" vertical="center" wrapText="1"/>
    </xf>
    <xf numFmtId="3" fontId="77" fillId="63" borderId="146" xfId="80" applyNumberFormat="1" applyFont="1" applyFill="1" applyBorder="1" applyAlignment="1">
      <alignment horizontal="right" vertical="center" wrapText="1"/>
    </xf>
    <xf numFmtId="3" fontId="77" fillId="30" borderId="146" xfId="80" applyNumberFormat="1" applyFont="1" applyFill="1" applyBorder="1" applyAlignment="1">
      <alignment horizontal="right" vertical="center" wrapText="1"/>
    </xf>
    <xf numFmtId="3" fontId="77" fillId="24" borderId="146" xfId="80" applyNumberFormat="1" applyFont="1" applyFill="1" applyBorder="1" applyAlignment="1">
      <alignment horizontal="left" vertical="center" wrapText="1"/>
    </xf>
    <xf numFmtId="3" fontId="65" fillId="24" borderId="146" xfId="80" applyNumberFormat="1" applyFont="1" applyFill="1" applyBorder="1" applyAlignment="1">
      <alignment horizontal="right" vertical="center" wrapText="1"/>
    </xf>
    <xf numFmtId="168" fontId="65" fillId="24" borderId="147" xfId="80" applyNumberFormat="1" applyFont="1" applyFill="1" applyBorder="1" applyAlignment="1" applyProtection="1">
      <alignment horizontal="right" vertical="center" wrapText="1"/>
      <protection locked="0"/>
    </xf>
    <xf numFmtId="3" fontId="65" fillId="24" borderId="186" xfId="80" applyNumberFormat="1" applyFont="1" applyFill="1" applyBorder="1" applyAlignment="1">
      <alignment horizontal="center" vertical="center" wrapText="1"/>
    </xf>
    <xf numFmtId="3" fontId="65" fillId="24" borderId="29" xfId="80" applyNumberFormat="1" applyFont="1" applyFill="1" applyBorder="1" applyAlignment="1">
      <alignment horizontal="right" vertical="center" wrapText="1"/>
    </xf>
    <xf numFmtId="3" fontId="65" fillId="24" borderId="145" xfId="80" applyNumberFormat="1" applyFont="1" applyFill="1" applyBorder="1" applyAlignment="1">
      <alignment horizontal="center" vertical="center" wrapText="1"/>
    </xf>
    <xf numFmtId="3" fontId="59" fillId="24" borderId="146" xfId="80" applyNumberFormat="1" applyFont="1" applyFill="1" applyBorder="1" applyAlignment="1">
      <alignment horizontal="left" vertical="center" wrapText="1"/>
    </xf>
    <xf numFmtId="168" fontId="77" fillId="24" borderId="147" xfId="80" applyNumberFormat="1" applyFont="1" applyFill="1" applyBorder="1" applyAlignment="1">
      <alignment horizontal="right" vertical="center" wrapText="1"/>
    </xf>
    <xf numFmtId="0" fontId="58" fillId="24" borderId="268" xfId="80" applyFont="1" applyFill="1" applyBorder="1" applyAlignment="1">
      <alignment horizontal="left" vertical="center"/>
    </xf>
    <xf numFmtId="3" fontId="23" fillId="30" borderId="48" xfId="80" applyNumberFormat="1" applyFill="1" applyBorder="1" applyAlignment="1">
      <alignment horizontal="right" vertical="center" wrapText="1"/>
    </xf>
    <xf numFmtId="3" fontId="65" fillId="24" borderId="31" xfId="80" applyNumberFormat="1" applyFont="1" applyFill="1" applyBorder="1" applyAlignment="1">
      <alignment horizontal="right" vertical="center" wrapText="1"/>
    </xf>
    <xf numFmtId="3" fontId="65" fillId="24" borderId="49" xfId="80" applyNumberFormat="1" applyFont="1" applyFill="1" applyBorder="1" applyAlignment="1">
      <alignment horizontal="right" vertical="center" wrapText="1"/>
    </xf>
    <xf numFmtId="3" fontId="57" fillId="24" borderId="145" xfId="80" applyNumberFormat="1" applyFont="1" applyFill="1" applyBorder="1" applyAlignment="1">
      <alignment horizontal="center" vertical="center" wrapText="1"/>
    </xf>
    <xf numFmtId="0" fontId="59" fillId="0" borderId="146" xfId="80" applyFont="1" applyBorder="1" applyAlignment="1">
      <alignment horizontal="justify" vertical="center" wrapText="1"/>
    </xf>
    <xf numFmtId="176" fontId="59" fillId="24" borderId="146" xfId="80" applyNumberFormat="1" applyFont="1" applyFill="1" applyBorder="1" applyAlignment="1" applyProtection="1">
      <alignment horizontal="right" vertical="center" wrapText="1"/>
      <protection locked="0"/>
    </xf>
    <xf numFmtId="176" fontId="59" fillId="63" borderId="146" xfId="80" applyNumberFormat="1" applyFont="1" applyFill="1" applyBorder="1" applyAlignment="1" applyProtection="1">
      <alignment horizontal="right" vertical="center" wrapText="1"/>
      <protection locked="0"/>
    </xf>
    <xf numFmtId="177" fontId="59" fillId="24" borderId="146" xfId="80" applyNumberFormat="1" applyFont="1" applyFill="1" applyBorder="1" applyAlignment="1" applyProtection="1">
      <alignment horizontal="right" vertical="center" wrapText="1"/>
      <protection locked="0"/>
    </xf>
    <xf numFmtId="177" fontId="59" fillId="30" borderId="146" xfId="80" applyNumberFormat="1" applyFont="1" applyFill="1" applyBorder="1" applyAlignment="1" applyProtection="1">
      <alignment horizontal="right" vertical="center" wrapText="1"/>
      <protection locked="0"/>
    </xf>
    <xf numFmtId="4" fontId="58" fillId="24" borderId="146" xfId="80" applyNumberFormat="1" applyFont="1" applyFill="1" applyBorder="1" applyAlignment="1" applyProtection="1">
      <alignment horizontal="left" vertical="center" wrapText="1"/>
      <protection locked="0"/>
    </xf>
    <xf numFmtId="169" fontId="65" fillId="24" borderId="146" xfId="80" applyNumberFormat="1" applyFont="1" applyFill="1" applyBorder="1" applyAlignment="1">
      <alignment horizontal="right" vertical="center" wrapText="1"/>
    </xf>
    <xf numFmtId="168" fontId="59" fillId="24" borderId="147" xfId="80" applyNumberFormat="1" applyFont="1" applyFill="1" applyBorder="1" applyAlignment="1" applyProtection="1">
      <alignment horizontal="right" vertical="center" wrapText="1"/>
      <protection locked="0"/>
    </xf>
    <xf numFmtId="3" fontId="34" fillId="62" borderId="10" xfId="74" applyNumberFormat="1" applyFont="1" applyFill="1" applyBorder="1" applyAlignment="1" applyProtection="1">
      <alignment horizontal="right" vertical="center"/>
      <protection locked="0"/>
    </xf>
    <xf numFmtId="0" fontId="34" fillId="32" borderId="154" xfId="0" applyFont="1" applyFill="1" applyBorder="1" applyAlignment="1">
      <alignment vertical="center" wrapText="1"/>
    </xf>
    <xf numFmtId="0" fontId="88" fillId="38" borderId="154" xfId="0" applyFont="1" applyFill="1" applyBorder="1" applyAlignment="1">
      <alignment vertical="center" wrapText="1"/>
    </xf>
    <xf numFmtId="0" fontId="88" fillId="38" borderId="232" xfId="0" applyFont="1" applyFill="1" applyBorder="1" applyAlignment="1">
      <alignment vertical="center" wrapText="1"/>
    </xf>
    <xf numFmtId="0" fontId="166" fillId="0" borderId="168" xfId="0" applyFont="1" applyBorder="1" applyAlignment="1">
      <alignment horizontal="justify" vertical="center" wrapText="1"/>
    </xf>
    <xf numFmtId="0" fontId="166" fillId="0" borderId="84" xfId="0" applyFont="1" applyBorder="1" applyAlignment="1">
      <alignment horizontal="justify" vertical="center" wrapText="1"/>
    </xf>
    <xf numFmtId="0" fontId="50" fillId="0" borderId="0" xfId="0" applyFont="1" applyAlignment="1">
      <alignment horizontal="center" vertical="center"/>
    </xf>
    <xf numFmtId="0" fontId="33" fillId="0" borderId="131" xfId="0" applyFont="1" applyBorder="1" applyAlignment="1">
      <alignment horizontal="center" vertical="center"/>
    </xf>
    <xf numFmtId="0" fontId="33" fillId="0" borderId="129" xfId="0" applyFont="1" applyBorder="1" applyAlignment="1">
      <alignment horizontal="center" vertical="center"/>
    </xf>
    <xf numFmtId="0" fontId="33" fillId="0" borderId="132" xfId="0" applyFont="1" applyBorder="1" applyAlignment="1">
      <alignment horizontal="center" vertical="center"/>
    </xf>
    <xf numFmtId="3" fontId="21" fillId="0" borderId="71" xfId="0" applyNumberFormat="1" applyFont="1" applyBorder="1" applyAlignment="1">
      <alignment horizontal="center" vertical="center" wrapText="1"/>
    </xf>
    <xf numFmtId="0" fontId="0" fillId="0" borderId="71" xfId="0" applyBorder="1" applyAlignment="1">
      <alignment horizontal="center" vertical="center" wrapText="1"/>
    </xf>
    <xf numFmtId="0" fontId="0" fillId="0" borderId="107" xfId="0" applyBorder="1" applyAlignment="1">
      <alignment horizontal="center" vertical="center" wrapText="1"/>
    </xf>
    <xf numFmtId="3" fontId="79" fillId="0" borderId="164" xfId="0" applyNumberFormat="1" applyFont="1" applyBorder="1" applyAlignment="1">
      <alignment horizontal="center" vertical="center" wrapText="1"/>
    </xf>
    <xf numFmtId="0" fontId="42" fillId="24" borderId="74" xfId="0" applyFont="1" applyFill="1" applyBorder="1" applyAlignment="1">
      <alignment horizontal="center" vertical="center" wrapText="1"/>
    </xf>
    <xf numFmtId="0" fontId="39" fillId="24" borderId="0" xfId="0" applyFont="1" applyFill="1" applyAlignment="1">
      <alignment horizontal="center" vertical="center" wrapText="1"/>
    </xf>
    <xf numFmtId="0" fontId="33" fillId="24" borderId="74" xfId="0" applyFont="1" applyFill="1" applyBorder="1" applyAlignment="1">
      <alignment horizontal="center" vertical="center"/>
    </xf>
    <xf numFmtId="0" fontId="42" fillId="24" borderId="74" xfId="0" applyFont="1" applyFill="1" applyBorder="1" applyAlignment="1">
      <alignment horizontal="justify" vertical="center" wrapText="1"/>
    </xf>
    <xf numFmtId="0" fontId="29" fillId="24" borderId="161" xfId="0" applyFont="1" applyFill="1" applyBorder="1" applyAlignment="1">
      <alignment horizontal="justify" vertical="center" wrapText="1"/>
    </xf>
    <xf numFmtId="0" fontId="0" fillId="0" borderId="120" xfId="0" applyBorder="1" applyAlignment="1">
      <alignment horizontal="justify" vertical="center" wrapText="1"/>
    </xf>
    <xf numFmtId="0" fontId="44" fillId="24" borderId="74" xfId="0" applyFont="1" applyFill="1" applyBorder="1" applyAlignment="1">
      <alignment horizontal="center" vertical="center" wrapText="1"/>
    </xf>
    <xf numFmtId="3" fontId="37" fillId="24" borderId="0" xfId="0" applyNumberFormat="1" applyFont="1" applyFill="1" applyAlignment="1">
      <alignment vertical="center" wrapText="1"/>
    </xf>
    <xf numFmtId="0" fontId="0" fillId="0" borderId="0" xfId="0" applyAlignment="1">
      <alignment vertical="center"/>
    </xf>
    <xf numFmtId="3" fontId="37" fillId="24" borderId="157" xfId="0" applyNumberFormat="1" applyFont="1" applyFill="1" applyBorder="1" applyAlignment="1">
      <alignment horizontal="center" vertical="center" wrapText="1"/>
    </xf>
    <xf numFmtId="3" fontId="37" fillId="24" borderId="169" xfId="0" applyNumberFormat="1" applyFont="1" applyFill="1" applyBorder="1" applyAlignment="1">
      <alignment horizontal="center" vertical="center" wrapText="1"/>
    </xf>
    <xf numFmtId="3" fontId="37" fillId="24" borderId="156" xfId="0" applyNumberFormat="1" applyFont="1" applyFill="1" applyBorder="1" applyAlignment="1">
      <alignment horizontal="center" vertical="center" wrapText="1"/>
    </xf>
    <xf numFmtId="3" fontId="39" fillId="24" borderId="124" xfId="0" applyNumberFormat="1" applyFont="1" applyFill="1" applyBorder="1" applyAlignment="1">
      <alignment horizontal="center" vertical="center" wrapText="1"/>
    </xf>
    <xf numFmtId="3" fontId="39" fillId="24" borderId="170" xfId="0" applyNumberFormat="1" applyFont="1" applyFill="1" applyBorder="1" applyAlignment="1">
      <alignment horizontal="center" vertical="center" wrapText="1"/>
    </xf>
    <xf numFmtId="3" fontId="39" fillId="24" borderId="125" xfId="0" applyNumberFormat="1" applyFont="1" applyFill="1" applyBorder="1" applyAlignment="1">
      <alignment horizontal="center" vertical="center" wrapText="1"/>
    </xf>
    <xf numFmtId="3" fontId="37" fillId="24" borderId="131" xfId="0" applyNumberFormat="1" applyFont="1" applyFill="1" applyBorder="1" applyAlignment="1">
      <alignment horizontal="center" vertical="center" wrapText="1"/>
    </xf>
    <xf numFmtId="3" fontId="37" fillId="24" borderId="236" xfId="0" applyNumberFormat="1" applyFont="1" applyFill="1" applyBorder="1" applyAlignment="1">
      <alignment horizontal="center" vertical="center" wrapText="1"/>
    </xf>
    <xf numFmtId="3" fontId="37" fillId="24" borderId="237" xfId="0" applyNumberFormat="1" applyFont="1" applyFill="1" applyBorder="1" applyAlignment="1">
      <alignment horizontal="center" vertical="center" wrapText="1"/>
    </xf>
    <xf numFmtId="3" fontId="37" fillId="24" borderId="132" xfId="0" applyNumberFormat="1" applyFont="1" applyFill="1" applyBorder="1" applyAlignment="1">
      <alignment horizontal="center" vertical="center" wrapText="1"/>
    </xf>
    <xf numFmtId="3" fontId="37" fillId="24" borderId="238" xfId="0" applyNumberFormat="1" applyFont="1" applyFill="1" applyBorder="1" applyAlignment="1">
      <alignment horizontal="center" vertical="center" wrapText="1"/>
    </xf>
    <xf numFmtId="3" fontId="37" fillId="24" borderId="30" xfId="0" applyNumberFormat="1" applyFont="1" applyFill="1" applyBorder="1" applyAlignment="1">
      <alignment horizontal="center" vertical="center" wrapText="1"/>
    </xf>
    <xf numFmtId="3" fontId="37" fillId="24" borderId="239" xfId="0" applyNumberFormat="1" applyFont="1" applyFill="1" applyBorder="1" applyAlignment="1">
      <alignment horizontal="center" vertical="center" wrapText="1"/>
    </xf>
    <xf numFmtId="0" fontId="33" fillId="0" borderId="0" xfId="79" applyFont="1" applyAlignment="1">
      <alignment horizontal="center" vertical="center" wrapText="1"/>
    </xf>
    <xf numFmtId="167" fontId="34" fillId="0" borderId="215" xfId="79" applyNumberFormat="1" applyFont="1" applyBorder="1" applyAlignment="1">
      <alignment horizontal="center" vertical="center"/>
    </xf>
    <xf numFmtId="167" fontId="34" fillId="0" borderId="181" xfId="79" applyNumberFormat="1" applyFont="1" applyBorder="1" applyAlignment="1">
      <alignment horizontal="center" vertical="center"/>
    </xf>
    <xf numFmtId="0" fontId="159" fillId="0" borderId="0" xfId="79" applyFont="1" applyAlignment="1">
      <alignment horizontal="right" vertical="center" wrapText="1"/>
    </xf>
    <xf numFmtId="167" fontId="68" fillId="0" borderId="0" xfId="83" applyNumberFormat="1" applyFont="1" applyAlignment="1">
      <alignment horizontal="right" vertical="center" wrapText="1"/>
    </xf>
    <xf numFmtId="3" fontId="23" fillId="0" borderId="0" xfId="83" applyNumberFormat="1" applyAlignment="1">
      <alignment vertical="center" wrapText="1"/>
    </xf>
    <xf numFmtId="167" fontId="157" fillId="0" borderId="0" xfId="83" applyNumberFormat="1" applyFont="1" applyAlignment="1">
      <alignment horizontal="right" vertical="center" wrapText="1"/>
    </xf>
    <xf numFmtId="0" fontId="158" fillId="0" borderId="0" xfId="0" applyFont="1" applyAlignment="1">
      <alignment horizontal="right" vertical="center" wrapText="1"/>
    </xf>
    <xf numFmtId="0" fontId="0" fillId="0" borderId="0" xfId="0" applyAlignment="1">
      <alignment vertical="center" wrapText="1"/>
    </xf>
    <xf numFmtId="167" fontId="199" fillId="24" borderId="93" xfId="83" applyNumberFormat="1" applyFont="1" applyFill="1" applyBorder="1" applyAlignment="1">
      <alignment horizontal="center" vertical="center"/>
    </xf>
    <xf numFmtId="0" fontId="200" fillId="0" borderId="93" xfId="0" applyFont="1" applyBorder="1" applyAlignment="1">
      <alignment horizontal="center" vertical="center"/>
    </xf>
    <xf numFmtId="0" fontId="0" fillId="0" borderId="93" xfId="0" applyBorder="1" applyAlignment="1">
      <alignment horizontal="center" vertical="center"/>
    </xf>
    <xf numFmtId="3" fontId="66" fillId="64" borderId="74" xfId="83" applyNumberFormat="1" applyFont="1" applyFill="1" applyBorder="1" applyAlignment="1" applyProtection="1">
      <alignment horizontal="right" vertical="center" wrapText="1"/>
      <protection locked="0"/>
    </xf>
    <xf numFmtId="0" fontId="0" fillId="64" borderId="74" xfId="0" applyFill="1" applyBorder="1" applyAlignment="1">
      <alignment horizontal="right" vertical="center" wrapText="1"/>
    </xf>
    <xf numFmtId="167" fontId="199" fillId="24" borderId="0" xfId="83" applyNumberFormat="1" applyFont="1" applyFill="1" applyAlignment="1">
      <alignment horizontal="center" vertical="center"/>
    </xf>
    <xf numFmtId="0" fontId="200" fillId="0" borderId="0" xfId="0" applyFont="1" applyAlignment="1">
      <alignment horizontal="center" vertical="center"/>
    </xf>
    <xf numFmtId="167" fontId="23" fillId="0" borderId="74" xfId="83" applyNumberFormat="1" applyBorder="1" applyAlignment="1">
      <alignment horizontal="center" vertical="center" wrapText="1"/>
    </xf>
    <xf numFmtId="0" fontId="0" fillId="0" borderId="74" xfId="0" applyBorder="1" applyAlignment="1">
      <alignment horizontal="center" vertical="center" wrapText="1"/>
    </xf>
    <xf numFmtId="167" fontId="66" fillId="0" borderId="74" xfId="83" applyNumberFormat="1" applyFont="1" applyBorder="1" applyAlignment="1" applyProtection="1">
      <alignment horizontal="left" vertical="center" wrapText="1"/>
      <protection locked="0"/>
    </xf>
    <xf numFmtId="0" fontId="0" fillId="0" borderId="74" xfId="0" applyBorder="1" applyAlignment="1">
      <alignment horizontal="left" vertical="center" wrapText="1"/>
    </xf>
    <xf numFmtId="3" fontId="66" fillId="0" borderId="74" xfId="83" applyNumberFormat="1" applyFont="1" applyBorder="1" applyAlignment="1" applyProtection="1">
      <alignment horizontal="right" vertical="center" wrapText="1"/>
      <protection locked="0"/>
    </xf>
    <xf numFmtId="0" fontId="0" fillId="0" borderId="74" xfId="0" applyBorder="1" applyAlignment="1">
      <alignment horizontal="right" vertical="center" wrapText="1"/>
    </xf>
    <xf numFmtId="3" fontId="66" fillId="38" borderId="74" xfId="83" applyNumberFormat="1" applyFont="1" applyFill="1" applyBorder="1" applyAlignment="1" applyProtection="1">
      <alignment horizontal="right" vertical="center" wrapText="1"/>
      <protection locked="0"/>
    </xf>
    <xf numFmtId="0" fontId="0" fillId="38" borderId="74" xfId="0" applyFill="1" applyBorder="1" applyAlignment="1">
      <alignment horizontal="right" vertical="center" wrapText="1"/>
    </xf>
    <xf numFmtId="168" fontId="66" fillId="37" borderId="74" xfId="83" applyNumberFormat="1" applyFont="1" applyFill="1" applyBorder="1" applyAlignment="1" applyProtection="1">
      <alignment horizontal="right" vertical="center" wrapText="1"/>
      <protection locked="0"/>
    </xf>
    <xf numFmtId="0" fontId="156" fillId="0" borderId="0" xfId="79" applyFont="1" applyAlignment="1">
      <alignment horizontal="right" vertical="center" wrapText="1"/>
    </xf>
    <xf numFmtId="0" fontId="158" fillId="0" borderId="0" xfId="0" applyFont="1" applyAlignment="1">
      <alignment horizontal="right" vertical="center"/>
    </xf>
    <xf numFmtId="0" fontId="63" fillId="0" borderId="0" xfId="83" applyFont="1" applyAlignment="1">
      <alignment horizontal="center" vertical="center" wrapText="1"/>
    </xf>
    <xf numFmtId="49" fontId="59" fillId="0" borderId="74" xfId="83" applyNumberFormat="1" applyFont="1" applyBorder="1" applyAlignment="1">
      <alignment horizontal="right" vertical="center" wrapText="1"/>
    </xf>
    <xf numFmtId="0" fontId="63" fillId="0" borderId="93" xfId="83" applyFont="1" applyBorder="1" applyAlignment="1">
      <alignment horizontal="center" vertical="center" wrapText="1"/>
    </xf>
    <xf numFmtId="0" fontId="0" fillId="0" borderId="93" xfId="0" applyBorder="1" applyAlignment="1">
      <alignment vertical="center"/>
    </xf>
    <xf numFmtId="3" fontId="159" fillId="0" borderId="0" xfId="83" applyNumberFormat="1" applyFont="1" applyAlignment="1" applyProtection="1">
      <alignment horizontal="right" vertical="center" wrapText="1"/>
      <protection locked="0"/>
    </xf>
    <xf numFmtId="0" fontId="60" fillId="55" borderId="0" xfId="83" applyFont="1" applyFill="1" applyAlignment="1">
      <alignment horizontal="center" vertical="center" wrapText="1"/>
    </xf>
    <xf numFmtId="0" fontId="60" fillId="55" borderId="39" xfId="83" applyFont="1" applyFill="1" applyBorder="1" applyAlignment="1">
      <alignment horizontal="center" vertical="center" wrapText="1"/>
    </xf>
    <xf numFmtId="167" fontId="156" fillId="0" borderId="0" xfId="83" applyNumberFormat="1" applyFont="1" applyAlignment="1">
      <alignment horizontal="right" vertical="center" wrapText="1"/>
    </xf>
    <xf numFmtId="167" fontId="69" fillId="0" borderId="0" xfId="83" applyNumberFormat="1" applyFont="1" applyAlignment="1">
      <alignment horizontal="center" vertical="center" wrapText="1"/>
    </xf>
    <xf numFmtId="0" fontId="75" fillId="0" borderId="74" xfId="77" applyFont="1" applyBorder="1" applyAlignment="1">
      <alignment horizontal="center" vertical="center" wrapText="1"/>
    </xf>
    <xf numFmtId="0" fontId="60" fillId="0" borderId="0" xfId="83" applyFont="1" applyAlignment="1">
      <alignment horizontal="center" vertical="center" wrapText="1"/>
    </xf>
    <xf numFmtId="0" fontId="60" fillId="0" borderId="39" xfId="83" applyFont="1" applyBorder="1" applyAlignment="1">
      <alignment horizontal="center" vertical="center" wrapText="1"/>
    </xf>
    <xf numFmtId="0" fontId="60" fillId="55" borderId="23" xfId="83" applyFont="1" applyFill="1" applyBorder="1" applyAlignment="1">
      <alignment horizontal="center" vertical="center" wrapText="1"/>
    </xf>
    <xf numFmtId="0" fontId="60" fillId="55" borderId="240" xfId="83" applyFont="1" applyFill="1" applyBorder="1" applyAlignment="1">
      <alignment horizontal="center" vertical="center" wrapText="1"/>
    </xf>
    <xf numFmtId="0" fontId="33" fillId="24" borderId="0" xfId="74" applyFont="1" applyFill="1" applyAlignment="1" applyProtection="1">
      <alignment horizontal="center" vertical="center" wrapText="1"/>
      <protection locked="0"/>
    </xf>
    <xf numFmtId="0" fontId="159" fillId="24" borderId="0" xfId="74" applyFont="1" applyFill="1" applyAlignment="1" applyProtection="1">
      <alignment horizontal="right" vertical="center" wrapText="1"/>
      <protection locked="0"/>
    </xf>
    <xf numFmtId="0" fontId="73" fillId="24" borderId="0" xfId="74" applyFont="1" applyFill="1" applyAlignment="1" applyProtection="1">
      <alignment horizontal="center" vertical="center" wrapText="1"/>
      <protection locked="0"/>
    </xf>
    <xf numFmtId="0" fontId="47" fillId="24" borderId="0" xfId="74" applyFont="1" applyFill="1" applyAlignment="1" applyProtection="1">
      <alignment horizontal="justify" vertical="center"/>
      <protection locked="0"/>
    </xf>
    <xf numFmtId="0" fontId="88" fillId="24" borderId="0" xfId="74" applyFont="1" applyFill="1" applyAlignment="1" applyProtection="1">
      <alignment horizontal="center" vertical="center" wrapText="1"/>
      <protection locked="0"/>
    </xf>
    <xf numFmtId="3" fontId="47" fillId="24" borderId="55" xfId="74" applyNumberFormat="1" applyFont="1" applyFill="1" applyBorder="1" applyAlignment="1" applyProtection="1">
      <alignment vertical="center" wrapText="1"/>
      <protection locked="0"/>
    </xf>
    <xf numFmtId="0" fontId="0" fillId="0" borderId="91" xfId="0" applyBorder="1" applyAlignment="1">
      <alignment vertical="center" wrapText="1"/>
    </xf>
    <xf numFmtId="0" fontId="0" fillId="0" borderId="56" xfId="0" applyBorder="1" applyAlignment="1">
      <alignment vertical="center" wrapText="1"/>
    </xf>
    <xf numFmtId="0" fontId="0" fillId="0" borderId="243" xfId="0" applyBorder="1" applyAlignment="1">
      <alignment vertical="center" wrapText="1"/>
    </xf>
    <xf numFmtId="0" fontId="0" fillId="0" borderId="23" xfId="0" applyBorder="1" applyAlignment="1">
      <alignment vertical="center" wrapText="1"/>
    </xf>
    <xf numFmtId="0" fontId="0" fillId="0" borderId="21" xfId="0" applyBorder="1" applyAlignment="1">
      <alignment vertical="center" wrapText="1"/>
    </xf>
    <xf numFmtId="0" fontId="29" fillId="24" borderId="74" xfId="0" applyFont="1" applyFill="1" applyBorder="1" applyAlignment="1">
      <alignment horizontal="center" vertical="center"/>
    </xf>
    <xf numFmtId="0" fontId="29" fillId="24" borderId="74" xfId="0" applyFont="1" applyFill="1" applyBorder="1" applyAlignment="1">
      <alignment horizontal="left" vertical="center"/>
    </xf>
    <xf numFmtId="0" fontId="29" fillId="24" borderId="149" xfId="0" applyFont="1" applyFill="1" applyBorder="1" applyAlignment="1">
      <alignment horizontal="left" vertical="center"/>
    </xf>
    <xf numFmtId="0" fontId="29" fillId="24" borderId="181" xfId="0" applyFont="1" applyFill="1" applyBorder="1" applyAlignment="1">
      <alignment horizontal="left" vertical="center"/>
    </xf>
    <xf numFmtId="0" fontId="29" fillId="24" borderId="138" xfId="0" applyFont="1" applyFill="1" applyBorder="1" applyAlignment="1">
      <alignment horizontal="left" vertical="center"/>
    </xf>
    <xf numFmtId="0" fontId="0" fillId="0" borderId="74" xfId="0" applyBorder="1" applyAlignment="1">
      <alignment horizontal="center" vertical="center"/>
    </xf>
    <xf numFmtId="3" fontId="29" fillId="24" borderId="74" xfId="0" applyNumberFormat="1" applyFont="1" applyFill="1" applyBorder="1" applyAlignment="1">
      <alignment horizontal="left" vertical="center"/>
    </xf>
    <xf numFmtId="0" fontId="0" fillId="0" borderId="74" xfId="0" applyBorder="1" applyAlignment="1">
      <alignment horizontal="left" vertical="center"/>
    </xf>
    <xf numFmtId="0" fontId="29" fillId="24" borderId="149" xfId="0" applyFont="1" applyFill="1" applyBorder="1" applyAlignment="1">
      <alignment horizontal="center" vertical="center"/>
    </xf>
    <xf numFmtId="0" fontId="29" fillId="24" borderId="181" xfId="0" applyFont="1" applyFill="1" applyBorder="1" applyAlignment="1">
      <alignment horizontal="center" vertical="center"/>
    </xf>
    <xf numFmtId="0" fontId="29" fillId="24" borderId="138" xfId="0" applyFont="1" applyFill="1" applyBorder="1" applyAlignment="1">
      <alignment horizontal="center" vertical="center"/>
    </xf>
    <xf numFmtId="3" fontId="29" fillId="24" borderId="149" xfId="0" applyNumberFormat="1" applyFont="1" applyFill="1" applyBorder="1" applyAlignment="1">
      <alignment horizontal="left" vertical="center"/>
    </xf>
    <xf numFmtId="3" fontId="29" fillId="24" borderId="181" xfId="0" applyNumberFormat="1" applyFont="1" applyFill="1" applyBorder="1" applyAlignment="1">
      <alignment horizontal="left" vertical="center"/>
    </xf>
    <xf numFmtId="3" fontId="29" fillId="24" borderId="138" xfId="0" applyNumberFormat="1" applyFont="1" applyFill="1" applyBorder="1" applyAlignment="1">
      <alignment horizontal="left" vertical="center"/>
    </xf>
    <xf numFmtId="0" fontId="30" fillId="24" borderId="74" xfId="0" applyFont="1" applyFill="1" applyBorder="1" applyAlignment="1">
      <alignment horizontal="center" vertical="center"/>
    </xf>
    <xf numFmtId="0" fontId="151" fillId="24" borderId="241" xfId="0" applyFont="1" applyFill="1" applyBorder="1" applyAlignment="1">
      <alignment vertical="center" wrapText="1"/>
    </xf>
    <xf numFmtId="0" fontId="151" fillId="0" borderId="57" xfId="0" applyFont="1" applyBorder="1" applyAlignment="1">
      <alignment vertical="center" wrapText="1"/>
    </xf>
    <xf numFmtId="0" fontId="151" fillId="0" borderId="242" xfId="0" applyFont="1" applyBorder="1" applyAlignment="1">
      <alignment vertical="center" wrapText="1"/>
    </xf>
    <xf numFmtId="0" fontId="151" fillId="0" borderId="91" xfId="0" applyFont="1" applyBorder="1" applyAlignment="1">
      <alignment vertical="center" wrapText="1"/>
    </xf>
    <xf numFmtId="0" fontId="151" fillId="0" borderId="0" xfId="0" applyFont="1" applyAlignment="1">
      <alignment vertical="center" wrapText="1"/>
    </xf>
    <xf numFmtId="0" fontId="151" fillId="0" borderId="56" xfId="0" applyFont="1" applyBorder="1" applyAlignment="1">
      <alignment vertical="center" wrapText="1"/>
    </xf>
    <xf numFmtId="0" fontId="151" fillId="0" borderId="243" xfId="0" applyFont="1" applyBorder="1" applyAlignment="1">
      <alignment vertical="center" wrapText="1"/>
    </xf>
    <xf numFmtId="0" fontId="151" fillId="0" borderId="23" xfId="0" applyFont="1" applyBorder="1" applyAlignment="1">
      <alignment vertical="center" wrapText="1"/>
    </xf>
    <xf numFmtId="0" fontId="151" fillId="0" borderId="21" xfId="0" applyFont="1" applyBorder="1" applyAlignment="1">
      <alignment vertical="center" wrapText="1"/>
    </xf>
    <xf numFmtId="0" fontId="179" fillId="30" borderId="10" xfId="80" applyFont="1" applyFill="1" applyBorder="1" applyAlignment="1">
      <alignment horizontal="center" vertical="center" wrapText="1"/>
    </xf>
    <xf numFmtId="3" fontId="23" fillId="30" borderId="10" xfId="80" applyNumberFormat="1" applyFill="1" applyBorder="1" applyAlignment="1">
      <alignment horizontal="center" vertical="center" wrapText="1"/>
    </xf>
    <xf numFmtId="0" fontId="57" fillId="0" borderId="98" xfId="80" applyFont="1" applyBorder="1" applyAlignment="1">
      <alignment vertical="center" wrapText="1"/>
    </xf>
    <xf numFmtId="0" fontId="57" fillId="0" borderId="73" xfId="80" applyFont="1" applyBorder="1" applyAlignment="1">
      <alignment vertical="center" wrapText="1"/>
    </xf>
    <xf numFmtId="3" fontId="23" fillId="30" borderId="0" xfId="80" applyNumberFormat="1" applyFill="1" applyAlignment="1">
      <alignment vertical="center" wrapText="1"/>
    </xf>
    <xf numFmtId="0" fontId="199" fillId="59" borderId="165" xfId="80" applyFont="1" applyFill="1" applyBorder="1" applyAlignment="1">
      <alignment horizontal="center" vertical="center"/>
    </xf>
    <xf numFmtId="0" fontId="200" fillId="55" borderId="165" xfId="0" applyFont="1" applyFill="1" applyBorder="1" applyAlignment="1">
      <alignment horizontal="center" vertical="center"/>
    </xf>
    <xf numFmtId="167" fontId="156" fillId="0" borderId="0" xfId="80" applyNumberFormat="1" applyFont="1" applyAlignment="1">
      <alignment horizontal="right" vertical="center" wrapText="1"/>
    </xf>
    <xf numFmtId="3" fontId="23" fillId="24" borderId="0" xfId="80" applyNumberFormat="1" applyFill="1" applyAlignment="1">
      <alignment vertical="center" wrapText="1"/>
    </xf>
    <xf numFmtId="3" fontId="156" fillId="24" borderId="0" xfId="80" applyNumberFormat="1" applyFont="1" applyFill="1" applyAlignment="1">
      <alignment horizontal="right" vertical="center" wrapText="1"/>
    </xf>
    <xf numFmtId="3" fontId="59" fillId="24" borderId="78" xfId="80" applyNumberFormat="1" applyFont="1" applyFill="1" applyBorder="1" applyAlignment="1">
      <alignment horizontal="center" vertical="center"/>
    </xf>
    <xf numFmtId="0" fontId="0" fillId="0" borderId="56" xfId="0" applyBorder="1" applyAlignment="1">
      <alignment horizontal="center" vertical="center"/>
    </xf>
    <xf numFmtId="3" fontId="63" fillId="24" borderId="165" xfId="80" applyNumberFormat="1" applyFont="1" applyFill="1" applyBorder="1" applyAlignment="1">
      <alignment horizontal="center" vertical="center"/>
    </xf>
    <xf numFmtId="0" fontId="0" fillId="0" borderId="165" xfId="0" applyBorder="1" applyAlignment="1">
      <alignment horizontal="center" vertical="center"/>
    </xf>
    <xf numFmtId="0" fontId="37" fillId="24" borderId="0" xfId="74" applyFont="1" applyFill="1" applyAlignment="1" applyProtection="1">
      <alignment horizontal="center" vertical="center" wrapText="1"/>
      <protection locked="0"/>
    </xf>
    <xf numFmtId="0" fontId="21" fillId="0" borderId="0" xfId="0" applyFont="1" applyAlignment="1">
      <alignment vertical="center" wrapText="1"/>
    </xf>
    <xf numFmtId="0" fontId="29" fillId="0" borderId="0" xfId="0" applyFont="1" applyAlignment="1">
      <alignment vertical="center" wrapText="1"/>
    </xf>
    <xf numFmtId="0" fontId="162" fillId="0" borderId="0" xfId="0" applyFont="1" applyAlignment="1">
      <alignment horizontal="right" vertical="center" wrapText="1"/>
    </xf>
    <xf numFmtId="0" fontId="21" fillId="32" borderId="87" xfId="74" applyFont="1" applyFill="1" applyBorder="1" applyAlignment="1" applyProtection="1">
      <alignment horizontal="center" vertical="center" textRotation="90" wrapText="1"/>
      <protection locked="0"/>
    </xf>
    <xf numFmtId="0" fontId="21" fillId="38" borderId="55" xfId="0" applyFont="1" applyFill="1" applyBorder="1" applyAlignment="1">
      <alignment horizontal="center" vertical="center" textRotation="90" wrapText="1"/>
    </xf>
    <xf numFmtId="0" fontId="21" fillId="38" borderId="24" xfId="0" applyFont="1" applyFill="1" applyBorder="1" applyAlignment="1">
      <alignment horizontal="center" vertical="center" textRotation="90" wrapText="1"/>
    </xf>
    <xf numFmtId="0" fontId="161" fillId="24" borderId="0" xfId="74" applyFont="1" applyFill="1" applyAlignment="1" applyProtection="1">
      <alignment horizontal="right" vertical="center" wrapText="1"/>
      <protection locked="0"/>
    </xf>
    <xf numFmtId="0" fontId="75" fillId="24" borderId="93" xfId="74" applyFont="1" applyFill="1" applyBorder="1" applyAlignment="1" applyProtection="1">
      <alignment horizontal="center" vertical="center" wrapText="1"/>
      <protection locked="0"/>
    </xf>
    <xf numFmtId="0" fontId="37" fillId="24" borderId="0" xfId="74" applyFont="1" applyFill="1" applyAlignment="1" applyProtection="1">
      <alignment horizontal="center" wrapText="1"/>
      <protection locked="0"/>
    </xf>
    <xf numFmtId="0" fontId="88" fillId="24" borderId="0" xfId="74" applyFont="1" applyFill="1" applyAlignment="1" applyProtection="1">
      <alignment horizontal="center" wrapText="1"/>
      <protection locked="0"/>
    </xf>
    <xf numFmtId="3" fontId="63" fillId="24" borderId="93" xfId="80" applyNumberFormat="1" applyFont="1" applyFill="1" applyBorder="1" applyAlignment="1" applyProtection="1">
      <alignment horizontal="center" vertical="center"/>
      <protection locked="0"/>
    </xf>
    <xf numFmtId="3" fontId="57" fillId="24" borderId="0" xfId="80" applyNumberFormat="1" applyFont="1" applyFill="1" applyAlignment="1">
      <alignment vertical="center" wrapText="1"/>
    </xf>
    <xf numFmtId="3" fontId="159" fillId="24" borderId="0" xfId="80" applyNumberFormat="1" applyFont="1" applyFill="1" applyAlignment="1" applyProtection="1">
      <alignment horizontal="right" vertical="center" wrapText="1"/>
      <protection locked="0"/>
    </xf>
    <xf numFmtId="3" fontId="59" fillId="24" borderId="176" xfId="80" applyNumberFormat="1" applyFont="1" applyFill="1" applyBorder="1" applyAlignment="1">
      <alignment horizontal="center" vertical="center"/>
    </xf>
    <xf numFmtId="3" fontId="63" fillId="24" borderId="93" xfId="80" applyNumberFormat="1" applyFont="1" applyFill="1" applyBorder="1" applyAlignment="1" applyProtection="1">
      <alignment horizontal="center" vertical="center" wrapText="1"/>
      <protection locked="0"/>
    </xf>
    <xf numFmtId="3" fontId="157" fillId="24" borderId="0" xfId="80" applyNumberFormat="1" applyFont="1" applyFill="1" applyAlignment="1" applyProtection="1">
      <alignment horizontal="right" vertical="center" wrapText="1"/>
      <protection locked="0"/>
    </xf>
    <xf numFmtId="3" fontId="157" fillId="24" borderId="0" xfId="80" applyNumberFormat="1" applyFont="1" applyFill="1" applyAlignment="1">
      <alignment horizontal="right" vertical="center" wrapText="1"/>
    </xf>
    <xf numFmtId="0" fontId="112" fillId="24" borderId="0" xfId="0" applyFont="1" applyFill="1" applyAlignment="1">
      <alignment horizontal="center" vertical="center"/>
    </xf>
    <xf numFmtId="3" fontId="59" fillId="24" borderId="143" xfId="80" applyNumberFormat="1" applyFont="1" applyFill="1" applyBorder="1" applyAlignment="1">
      <alignment horizontal="center" vertical="center"/>
    </xf>
    <xf numFmtId="0" fontId="0" fillId="0" borderId="181" xfId="0" applyBorder="1" applyAlignment="1">
      <alignment horizontal="center" vertical="center"/>
    </xf>
    <xf numFmtId="0" fontId="180" fillId="0" borderId="0" xfId="0" applyFont="1" applyAlignment="1">
      <alignment horizontal="right" vertical="center" wrapText="1"/>
    </xf>
    <xf numFmtId="0" fontId="139" fillId="0" borderId="0" xfId="0" applyFont="1" applyAlignment="1">
      <alignment vertical="center"/>
    </xf>
    <xf numFmtId="0" fontId="63" fillId="24" borderId="93" xfId="83" applyFont="1" applyFill="1" applyBorder="1" applyAlignment="1">
      <alignment horizontal="center" vertical="center" wrapText="1"/>
    </xf>
    <xf numFmtId="0" fontId="139" fillId="0" borderId="93" xfId="0" applyFont="1" applyBorder="1" applyAlignment="1">
      <alignment vertical="center"/>
    </xf>
    <xf numFmtId="0" fontId="34" fillId="24" borderId="0" xfId="74" applyFont="1" applyFill="1" applyAlignment="1" applyProtection="1">
      <alignment horizontal="center" vertical="center" wrapText="1"/>
      <protection locked="0"/>
    </xf>
    <xf numFmtId="0" fontId="33" fillId="24" borderId="93" xfId="74" applyFont="1" applyFill="1" applyBorder="1" applyAlignment="1" applyProtection="1">
      <alignment horizontal="center" vertical="center" wrapText="1"/>
      <protection locked="0"/>
    </xf>
    <xf numFmtId="0" fontId="0" fillId="0" borderId="93" xfId="0" applyBorder="1" applyAlignment="1">
      <alignment vertical="center" wrapText="1"/>
    </xf>
    <xf numFmtId="0" fontId="198" fillId="24" borderId="93" xfId="83" applyFont="1" applyFill="1" applyBorder="1" applyAlignment="1">
      <alignment horizontal="center" vertical="center" wrapText="1"/>
    </xf>
    <xf numFmtId="0" fontId="37" fillId="24" borderId="57" xfId="74" applyFont="1" applyFill="1" applyBorder="1" applyAlignment="1" applyProtection="1">
      <alignment horizontal="center" vertical="center"/>
      <protection locked="0"/>
    </xf>
    <xf numFmtId="0" fontId="139" fillId="0" borderId="0" xfId="0" applyFont="1" applyAlignment="1">
      <alignment vertical="center" wrapText="1"/>
    </xf>
    <xf numFmtId="0" fontId="33" fillId="24" borderId="93" xfId="83" applyFont="1" applyFill="1" applyBorder="1" applyAlignment="1">
      <alignment horizontal="center" vertical="center" wrapText="1"/>
    </xf>
    <xf numFmtId="0" fontId="201" fillId="24" borderId="0" xfId="83" applyFont="1" applyFill="1" applyAlignment="1">
      <alignment horizontal="center" vertical="center" wrapText="1"/>
    </xf>
    <xf numFmtId="0" fontId="47" fillId="24" borderId="0" xfId="74" applyFont="1" applyFill="1" applyAlignment="1" applyProtection="1">
      <alignment horizontal="justify"/>
      <protection locked="0"/>
    </xf>
    <xf numFmtId="3" fontId="60" fillId="0" borderId="244" xfId="76" applyNumberFormat="1" applyFont="1" applyBorder="1" applyAlignment="1" applyProtection="1">
      <alignment horizontal="right" indent="1"/>
      <protection locked="0"/>
    </xf>
    <xf numFmtId="3" fontId="60" fillId="0" borderId="134" xfId="76" applyNumberFormat="1" applyFont="1" applyBorder="1" applyAlignment="1" applyProtection="1">
      <alignment horizontal="right" indent="1"/>
      <protection locked="0"/>
    </xf>
    <xf numFmtId="3" fontId="64" fillId="0" borderId="174" xfId="76" applyNumberFormat="1" applyFont="1" applyBorder="1" applyAlignment="1" applyProtection="1">
      <alignment horizontal="center" vertical="center"/>
      <protection locked="0"/>
    </xf>
    <xf numFmtId="0" fontId="0" fillId="0" borderId="174" xfId="0" applyBorder="1" applyAlignment="1">
      <alignment horizontal="center" vertical="center"/>
    </xf>
    <xf numFmtId="3" fontId="57" fillId="0" borderId="168" xfId="76" applyNumberFormat="1" applyFont="1" applyBorder="1" applyAlignment="1" applyProtection="1">
      <alignment horizontal="justify" vertical="center" wrapText="1"/>
      <protection locked="0"/>
    </xf>
    <xf numFmtId="3" fontId="57" fillId="0" borderId="155" xfId="76" applyNumberFormat="1" applyFont="1" applyBorder="1" applyAlignment="1" applyProtection="1">
      <alignment horizontal="justify" vertical="center" wrapText="1"/>
      <protection locked="0"/>
    </xf>
    <xf numFmtId="0" fontId="0" fillId="0" borderId="84" xfId="0" applyBorder="1" applyAlignment="1">
      <alignment vertical="center"/>
    </xf>
    <xf numFmtId="3" fontId="55" fillId="0" borderId="44" xfId="76" applyNumberFormat="1" applyFont="1" applyBorder="1" applyAlignment="1" applyProtection="1">
      <alignment horizontal="right" vertical="center"/>
      <protection locked="0"/>
    </xf>
    <xf numFmtId="0" fontId="0" fillId="0" borderId="44" xfId="0" applyBorder="1" applyAlignment="1">
      <alignment vertical="center"/>
    </xf>
    <xf numFmtId="0" fontId="0" fillId="0" borderId="111" xfId="0" applyBorder="1" applyAlignment="1">
      <alignment vertical="center"/>
    </xf>
    <xf numFmtId="3" fontId="57" fillId="0" borderId="39" xfId="76" applyNumberFormat="1" applyFont="1" applyBorder="1" applyAlignment="1" applyProtection="1">
      <alignment horizontal="center" vertical="center"/>
      <protection locked="0"/>
    </xf>
    <xf numFmtId="3" fontId="57" fillId="0" borderId="0" xfId="76" applyNumberFormat="1" applyFont="1" applyAlignment="1" applyProtection="1">
      <alignment horizontal="center" vertical="center"/>
      <protection locked="0"/>
    </xf>
    <xf numFmtId="3" fontId="64" fillId="0" borderId="245" xfId="76" applyNumberFormat="1" applyFont="1" applyBorder="1" applyAlignment="1" applyProtection="1">
      <alignment horizontal="center" vertical="center"/>
      <protection locked="0"/>
    </xf>
    <xf numFmtId="3" fontId="60" fillId="0" borderId="49" xfId="76" applyNumberFormat="1" applyFont="1" applyBorder="1" applyAlignment="1" applyProtection="1">
      <alignment horizontal="right" indent="1"/>
      <protection locked="0"/>
    </xf>
    <xf numFmtId="3" fontId="60" fillId="0" borderId="167" xfId="76" applyNumberFormat="1" applyFont="1" applyBorder="1" applyAlignment="1" applyProtection="1">
      <alignment horizontal="right" indent="1"/>
      <protection locked="0"/>
    </xf>
    <xf numFmtId="3" fontId="156" fillId="0" borderId="0" xfId="76" applyNumberFormat="1" applyFont="1" applyAlignment="1" applyProtection="1">
      <alignment horizontal="right" vertical="center" wrapText="1"/>
      <protection locked="0"/>
    </xf>
    <xf numFmtId="0" fontId="0" fillId="0" borderId="0" xfId="0"/>
    <xf numFmtId="3" fontId="124" fillId="0" borderId="168" xfId="76" applyNumberFormat="1" applyFont="1" applyBorder="1" applyAlignment="1" applyProtection="1">
      <alignment horizontal="center" vertical="center" wrapText="1"/>
      <protection locked="0"/>
    </xf>
    <xf numFmtId="0" fontId="0" fillId="0" borderId="155" xfId="0" applyBorder="1" applyAlignment="1">
      <alignment vertical="center"/>
    </xf>
    <xf numFmtId="3" fontId="57" fillId="0" borderId="227" xfId="76" applyNumberFormat="1" applyFont="1" applyBorder="1" applyAlignment="1" applyProtection="1">
      <alignment horizontal="center" vertical="center"/>
      <protection locked="0"/>
    </xf>
    <xf numFmtId="0" fontId="88" fillId="0" borderId="227" xfId="0" applyFont="1" applyBorder="1" applyAlignment="1">
      <alignment horizontal="center" vertical="center"/>
    </xf>
    <xf numFmtId="0" fontId="88" fillId="0" borderId="228" xfId="0" applyFont="1" applyBorder="1" applyAlignment="1">
      <alignment horizontal="center" vertical="center"/>
    </xf>
    <xf numFmtId="3" fontId="69" fillId="0" borderId="168" xfId="76" applyNumberFormat="1" applyFont="1" applyBorder="1" applyAlignment="1" applyProtection="1">
      <alignment horizontal="center" vertical="center" wrapText="1"/>
      <protection locked="0"/>
    </xf>
    <xf numFmtId="0" fontId="0" fillId="0" borderId="155" xfId="0" applyBorder="1" applyAlignment="1">
      <alignment horizontal="center" vertical="center"/>
    </xf>
    <xf numFmtId="0" fontId="0" fillId="0" borderId="84" xfId="0" applyBorder="1" applyAlignment="1">
      <alignment horizontal="center" vertical="center"/>
    </xf>
    <xf numFmtId="3" fontId="124" fillId="0" borderId="78" xfId="76" applyNumberFormat="1" applyFont="1" applyBorder="1" applyAlignment="1" applyProtection="1">
      <alignment horizontal="center" vertical="center" wrapText="1"/>
      <protection locked="0"/>
    </xf>
    <xf numFmtId="0" fontId="0" fillId="0" borderId="118" xfId="0" applyBorder="1" applyAlignment="1">
      <alignment vertical="center"/>
    </xf>
    <xf numFmtId="3" fontId="23" fillId="0" borderId="168" xfId="76" applyNumberFormat="1" applyBorder="1" applyAlignment="1">
      <alignment horizontal="center" vertical="center" wrapText="1"/>
    </xf>
    <xf numFmtId="0" fontId="0" fillId="0" borderId="155" xfId="0" applyBorder="1" applyAlignment="1">
      <alignment vertical="center" wrapText="1"/>
    </xf>
    <xf numFmtId="0" fontId="0" fillId="0" borderId="84" xfId="0" applyBorder="1" applyAlignment="1">
      <alignment vertical="center" wrapText="1"/>
    </xf>
    <xf numFmtId="3" fontId="23" fillId="0" borderId="126" xfId="76" applyNumberFormat="1" applyBorder="1" applyAlignment="1">
      <alignment horizontal="center" vertical="center" wrapText="1"/>
    </xf>
    <xf numFmtId="0" fontId="0" fillId="0" borderId="165" xfId="0" applyBorder="1" applyAlignment="1">
      <alignment vertical="center" wrapText="1"/>
    </xf>
    <xf numFmtId="0" fontId="0" fillId="0" borderId="85" xfId="0" applyBorder="1" applyAlignment="1">
      <alignment vertical="center" wrapText="1"/>
    </xf>
    <xf numFmtId="167" fontId="213" fillId="0" borderId="0" xfId="96" applyNumberFormat="1" applyFont="1" applyAlignment="1">
      <alignment horizontal="right" vertical="center" wrapText="1"/>
    </xf>
    <xf numFmtId="167" fontId="69" fillId="0" borderId="0" xfId="96" applyNumberFormat="1" applyFont="1" applyAlignment="1">
      <alignment horizontal="right" vertical="center" wrapText="1"/>
    </xf>
    <xf numFmtId="0" fontId="0" fillId="0" borderId="0" xfId="0" applyAlignment="1">
      <alignment horizontal="right" vertical="center" wrapText="1"/>
    </xf>
    <xf numFmtId="167" fontId="69" fillId="0" borderId="0" xfId="96" applyNumberFormat="1" applyFont="1" applyAlignment="1">
      <alignment horizontal="center" vertical="center" wrapText="1"/>
    </xf>
    <xf numFmtId="0" fontId="0" fillId="0" borderId="0" xfId="0" applyAlignment="1">
      <alignment horizontal="center" vertical="center" wrapText="1"/>
    </xf>
    <xf numFmtId="167" fontId="69" fillId="0" borderId="0" xfId="96" applyNumberFormat="1" applyFont="1" applyAlignment="1">
      <alignment horizontal="left" vertical="center" wrapText="1"/>
    </xf>
    <xf numFmtId="167" fontId="124" fillId="0" borderId="165" xfId="96" applyNumberFormat="1" applyFont="1" applyBorder="1" applyAlignment="1">
      <alignment horizontal="justify" vertical="center" wrapText="1"/>
    </xf>
    <xf numFmtId="167" fontId="56" fillId="0" borderId="165" xfId="96" applyNumberFormat="1" applyFont="1" applyBorder="1" applyAlignment="1">
      <alignment horizontal="right"/>
    </xf>
    <xf numFmtId="167" fontId="59" fillId="0" borderId="124" xfId="96" applyNumberFormat="1" applyFont="1" applyBorder="1" applyAlignment="1">
      <alignment horizontal="center" vertical="center"/>
    </xf>
    <xf numFmtId="167" fontId="59" fillId="0" borderId="78" xfId="96" applyNumberFormat="1" applyFont="1" applyBorder="1" applyAlignment="1">
      <alignment horizontal="center" vertical="center"/>
    </xf>
    <xf numFmtId="167" fontId="59" fillId="0" borderId="126" xfId="96" applyNumberFormat="1" applyFont="1" applyBorder="1" applyAlignment="1">
      <alignment horizontal="center" vertical="center"/>
    </xf>
    <xf numFmtId="167" fontId="64" fillId="0" borderId="83" xfId="96" applyNumberFormat="1" applyFont="1" applyBorder="1" applyAlignment="1">
      <alignment horizontal="center" vertical="center" wrapText="1"/>
    </xf>
    <xf numFmtId="167" fontId="59" fillId="0" borderId="188" xfId="96" applyNumberFormat="1" applyFont="1" applyBorder="1" applyAlignment="1">
      <alignment horizontal="center" vertical="center" wrapText="1"/>
    </xf>
    <xf numFmtId="167" fontId="59" fillId="0" borderId="189" xfId="96" applyNumberFormat="1" applyFont="1" applyBorder="1" applyAlignment="1">
      <alignment horizontal="center" vertical="center" wrapText="1"/>
    </xf>
    <xf numFmtId="167" fontId="77" fillId="0" borderId="83" xfId="96" applyNumberFormat="1" applyFont="1" applyBorder="1" applyAlignment="1">
      <alignment horizontal="center" vertical="center"/>
    </xf>
    <xf numFmtId="167" fontId="77" fillId="0" borderId="83" xfId="96" applyNumberFormat="1" applyFont="1" applyBorder="1" applyAlignment="1">
      <alignment horizontal="center" vertical="center" wrapText="1"/>
    </xf>
    <xf numFmtId="167" fontId="59" fillId="0" borderId="83" xfId="96" applyNumberFormat="1" applyFont="1" applyBorder="1" applyAlignment="1">
      <alignment horizontal="center" vertical="center" wrapText="1"/>
    </xf>
    <xf numFmtId="167" fontId="57" fillId="0" borderId="168" xfId="96" applyNumberFormat="1" applyFont="1" applyBorder="1" applyAlignment="1">
      <alignment horizontal="center" vertical="center" wrapText="1"/>
    </xf>
    <xf numFmtId="167" fontId="57" fillId="0" borderId="155" xfId="96" applyNumberFormat="1" applyFont="1" applyBorder="1" applyAlignment="1">
      <alignment horizontal="center" vertical="center" wrapText="1"/>
    </xf>
    <xf numFmtId="167" fontId="23" fillId="0" borderId="249" xfId="96" applyNumberFormat="1" applyBorder="1" applyAlignment="1" applyProtection="1">
      <alignment horizontal="left" vertical="center" wrapText="1"/>
      <protection locked="0"/>
    </xf>
    <xf numFmtId="167" fontId="23" fillId="0" borderId="252" xfId="96" applyNumberFormat="1" applyBorder="1" applyAlignment="1" applyProtection="1">
      <alignment horizontal="left" vertical="center" wrapText="1"/>
      <protection locked="0"/>
    </xf>
    <xf numFmtId="167" fontId="23" fillId="0" borderId="231" xfId="96" applyNumberFormat="1" applyBorder="1" applyAlignment="1" applyProtection="1">
      <alignment horizontal="left" vertical="center" wrapText="1"/>
      <protection locked="0"/>
    </xf>
    <xf numFmtId="167" fontId="23" fillId="0" borderId="254" xfId="96" applyNumberFormat="1" applyBorder="1" applyAlignment="1" applyProtection="1">
      <alignment horizontal="left" vertical="center" wrapText="1"/>
      <protection locked="0"/>
    </xf>
    <xf numFmtId="167" fontId="57" fillId="0" borderId="168" xfId="96" applyNumberFormat="1" applyFont="1" applyBorder="1" applyAlignment="1">
      <alignment horizontal="left" vertical="center" wrapText="1" indent="2"/>
    </xf>
    <xf numFmtId="167" fontId="57" fillId="0" borderId="155" xfId="96" applyNumberFormat="1" applyFont="1" applyBorder="1" applyAlignment="1">
      <alignment horizontal="left" vertical="center" wrapText="1" indent="2"/>
    </xf>
    <xf numFmtId="169" fontId="63" fillId="0" borderId="0" xfId="96" applyNumberFormat="1" applyFont="1" applyAlignment="1">
      <alignment horizontal="center" vertical="center" wrapText="1"/>
    </xf>
    <xf numFmtId="167" fontId="56" fillId="0" borderId="165" xfId="96" applyNumberFormat="1" applyFont="1" applyBorder="1" applyAlignment="1">
      <alignment horizontal="right" vertical="center"/>
    </xf>
    <xf numFmtId="3" fontId="59" fillId="31" borderId="145" xfId="96" applyNumberFormat="1" applyFont="1" applyFill="1" applyBorder="1" applyAlignment="1">
      <alignment horizontal="left" vertical="center" wrapText="1" indent="1"/>
    </xf>
    <xf numFmtId="3" fontId="59" fillId="31" borderId="146" xfId="96" applyNumberFormat="1" applyFont="1" applyFill="1" applyBorder="1" applyAlignment="1">
      <alignment horizontal="left" vertical="center" wrapText="1" indent="1"/>
    </xf>
    <xf numFmtId="3" fontId="59" fillId="31" borderId="151" xfId="96" applyNumberFormat="1" applyFont="1" applyFill="1" applyBorder="1" applyAlignment="1">
      <alignment horizontal="left" vertical="center" wrapText="1" indent="1"/>
    </xf>
    <xf numFmtId="3" fontId="59" fillId="31" borderId="152" xfId="96" applyNumberFormat="1" applyFont="1" applyFill="1" applyBorder="1" applyAlignment="1">
      <alignment horizontal="left" vertical="center" wrapText="1" indent="1"/>
    </xf>
    <xf numFmtId="3" fontId="23" fillId="31" borderId="259" xfId="96" applyNumberFormat="1" applyFill="1" applyBorder="1" applyAlignment="1">
      <alignment horizontal="center" vertical="center" wrapText="1"/>
    </xf>
    <xf numFmtId="3" fontId="23" fillId="31" borderId="260" xfId="96" applyNumberFormat="1" applyFill="1" applyBorder="1" applyAlignment="1">
      <alignment horizontal="center" vertical="center" wrapText="1"/>
    </xf>
    <xf numFmtId="3" fontId="23" fillId="31" borderId="261" xfId="96" applyNumberFormat="1" applyFill="1" applyBorder="1" applyAlignment="1">
      <alignment horizontal="center" vertical="center" wrapText="1"/>
    </xf>
    <xf numFmtId="3" fontId="23" fillId="31" borderId="0" xfId="96" applyNumberFormat="1" applyFill="1" applyAlignment="1">
      <alignment vertical="center" wrapText="1"/>
    </xf>
    <xf numFmtId="3" fontId="216" fillId="31" borderId="0" xfId="96" applyNumberFormat="1" applyFont="1" applyFill="1" applyAlignment="1">
      <alignment horizontal="right" vertical="center" wrapText="1"/>
    </xf>
    <xf numFmtId="3" fontId="217" fillId="31" borderId="0" xfId="0" applyNumberFormat="1" applyFont="1" applyFill="1" applyAlignment="1">
      <alignment horizontal="right" vertical="center" wrapText="1"/>
    </xf>
    <xf numFmtId="0" fontId="217" fillId="31" borderId="0" xfId="0" applyFont="1" applyFill="1" applyAlignment="1">
      <alignment horizontal="right" vertical="center" wrapText="1"/>
    </xf>
    <xf numFmtId="3" fontId="218" fillId="31" borderId="0" xfId="96" applyNumberFormat="1" applyFont="1" applyFill="1" applyAlignment="1">
      <alignment horizontal="center" vertical="center" wrapText="1"/>
    </xf>
    <xf numFmtId="3" fontId="219" fillId="31" borderId="0" xfId="0" applyNumberFormat="1" applyFont="1" applyFill="1" applyAlignment="1">
      <alignment horizontal="center" vertical="center" wrapText="1"/>
    </xf>
    <xf numFmtId="0" fontId="219" fillId="31" borderId="0" xfId="0" applyFont="1" applyFill="1" applyAlignment="1">
      <alignment horizontal="center" vertical="center" wrapText="1"/>
    </xf>
    <xf numFmtId="3" fontId="55" fillId="31" borderId="0" xfId="96" applyNumberFormat="1" applyFont="1" applyFill="1" applyAlignment="1">
      <alignment horizontal="right" vertical="center" wrapText="1"/>
    </xf>
    <xf numFmtId="0" fontId="115" fillId="31" borderId="0" xfId="0" applyFont="1" applyFill="1" applyAlignment="1">
      <alignment horizontal="right" vertical="center" wrapText="1"/>
    </xf>
    <xf numFmtId="3" fontId="59" fillId="31" borderId="139" xfId="96" applyNumberFormat="1" applyFont="1" applyFill="1" applyBorder="1" applyAlignment="1">
      <alignment horizontal="center" vertical="center" wrapText="1"/>
    </xf>
    <xf numFmtId="3" fontId="59" fillId="31" borderId="140" xfId="96" applyNumberFormat="1" applyFont="1" applyFill="1" applyBorder="1" applyAlignment="1">
      <alignment horizontal="center" vertical="center" wrapText="1"/>
    </xf>
    <xf numFmtId="3" fontId="59" fillId="31" borderId="227" xfId="96" applyNumberFormat="1" applyFont="1" applyFill="1" applyBorder="1" applyAlignment="1">
      <alignment horizontal="center" vertical="center" wrapText="1"/>
    </xf>
    <xf numFmtId="3" fontId="59" fillId="31" borderId="174" xfId="96" applyNumberFormat="1" applyFont="1" applyFill="1" applyBorder="1" applyAlignment="1">
      <alignment horizontal="center" vertical="center" wrapText="1"/>
    </xf>
    <xf numFmtId="3" fontId="160" fillId="31" borderId="227" xfId="96" applyNumberFormat="1" applyFont="1" applyFill="1" applyBorder="1" applyAlignment="1">
      <alignment horizontal="center" vertical="center" wrapText="1"/>
    </xf>
    <xf numFmtId="3" fontId="160" fillId="31" borderId="174" xfId="96" applyNumberFormat="1" applyFont="1" applyFill="1" applyBorder="1" applyAlignment="1">
      <alignment horizontal="center" vertical="center" wrapText="1"/>
    </xf>
    <xf numFmtId="3" fontId="79" fillId="31" borderId="227" xfId="0" applyNumberFormat="1" applyFont="1" applyFill="1" applyBorder="1" applyAlignment="1">
      <alignment horizontal="center" vertical="center" wrapText="1"/>
    </xf>
    <xf numFmtId="0" fontId="0" fillId="31" borderId="174" xfId="0" applyFill="1" applyBorder="1" applyAlignment="1">
      <alignment horizontal="center" vertical="center" wrapText="1"/>
    </xf>
    <xf numFmtId="3" fontId="60" fillId="31" borderId="227" xfId="96" applyNumberFormat="1" applyFont="1" applyFill="1" applyBorder="1" applyAlignment="1">
      <alignment horizontal="center" vertical="center" wrapText="1"/>
    </xf>
    <xf numFmtId="0" fontId="0" fillId="31" borderId="227" xfId="0" applyFill="1" applyBorder="1" applyAlignment="1">
      <alignment horizontal="center" vertical="center" wrapText="1"/>
    </xf>
    <xf numFmtId="0" fontId="143" fillId="31" borderId="174" xfId="0" applyFont="1" applyFill="1" applyBorder="1" applyAlignment="1">
      <alignment horizontal="center" vertical="center" wrapText="1"/>
    </xf>
    <xf numFmtId="0" fontId="0" fillId="31" borderId="228" xfId="0" applyFill="1" applyBorder="1" applyAlignment="1">
      <alignment horizontal="center" vertical="center" wrapText="1"/>
    </xf>
    <xf numFmtId="3" fontId="230" fillId="31" borderId="0" xfId="96" applyNumberFormat="1" applyFont="1" applyFill="1" applyAlignment="1">
      <alignment vertical="center" wrapText="1"/>
    </xf>
    <xf numFmtId="0" fontId="233" fillId="0" borderId="0" xfId="0" applyFont="1" applyAlignment="1">
      <alignment vertical="center" wrapText="1"/>
    </xf>
    <xf numFmtId="3" fontId="231" fillId="31" borderId="0" xfId="96" applyNumberFormat="1" applyFont="1" applyFill="1" applyAlignment="1">
      <alignment vertical="center" wrapText="1"/>
    </xf>
    <xf numFmtId="0" fontId="232" fillId="0" borderId="0" xfId="0" applyFont="1" applyAlignment="1">
      <alignment vertical="center" wrapText="1"/>
    </xf>
    <xf numFmtId="0" fontId="222" fillId="0" borderId="0" xfId="97" applyFont="1" applyAlignment="1">
      <alignment horizontal="right" vertical="center" wrapText="1"/>
    </xf>
    <xf numFmtId="0" fontId="223" fillId="0" borderId="0" xfId="0" applyFont="1" applyAlignment="1">
      <alignment horizontal="right" vertical="center" wrapText="1"/>
    </xf>
    <xf numFmtId="0" fontId="114" fillId="0" borderId="0" xfId="0" applyFont="1" applyAlignment="1">
      <alignment horizontal="right" vertical="center" wrapText="1"/>
    </xf>
    <xf numFmtId="0" fontId="102" fillId="0" borderId="0" xfId="97" applyFont="1" applyAlignment="1">
      <alignment horizontal="center" vertical="center" wrapText="1"/>
    </xf>
    <xf numFmtId="0" fontId="200" fillId="0" borderId="0" xfId="0" applyFont="1" applyAlignment="1">
      <alignment vertical="center" wrapText="1"/>
    </xf>
    <xf numFmtId="0" fontId="37" fillId="0" borderId="0" xfId="97" applyFont="1" applyAlignment="1">
      <alignment horizontal="center" vertical="center" wrapText="1"/>
    </xf>
    <xf numFmtId="0" fontId="202" fillId="0" borderId="0" xfId="97" applyFont="1" applyAlignment="1">
      <alignment horizontal="right" vertical="center"/>
    </xf>
    <xf numFmtId="0" fontId="37" fillId="0" borderId="165" xfId="97" applyFont="1" applyBorder="1" applyAlignment="1">
      <alignment horizontal="right" vertical="center"/>
    </xf>
    <xf numFmtId="0" fontId="0" fillId="0" borderId="165" xfId="0" applyBorder="1" applyAlignment="1">
      <alignment vertical="center"/>
    </xf>
    <xf numFmtId="0" fontId="225" fillId="0" borderId="0" xfId="0" applyFont="1" applyAlignment="1">
      <alignment horizontal="right" vertical="center"/>
    </xf>
    <xf numFmtId="0" fontId="37" fillId="0" borderId="0" xfId="0" applyFont="1" applyAlignment="1">
      <alignment horizontal="center" vertical="center"/>
    </xf>
    <xf numFmtId="3" fontId="37" fillId="0" borderId="0" xfId="0" applyNumberFormat="1" applyFont="1" applyAlignment="1">
      <alignment horizontal="right"/>
    </xf>
    <xf numFmtId="0" fontId="0" fillId="0" borderId="0" xfId="0" applyAlignment="1">
      <alignment horizontal="right"/>
    </xf>
    <xf numFmtId="0" fontId="226" fillId="0" borderId="0" xfId="99" applyFont="1" applyAlignment="1">
      <alignment horizontal="center" vertical="center" wrapText="1"/>
    </xf>
    <xf numFmtId="0" fontId="102" fillId="0" borderId="0" xfId="0" applyFont="1" applyAlignment="1">
      <alignment horizontal="center" vertical="center" wrapText="1"/>
    </xf>
    <xf numFmtId="0" fontId="36" fillId="0" borderId="0" xfId="0" applyFont="1" applyAlignment="1">
      <alignment horizontal="center" vertical="center" wrapText="1"/>
    </xf>
    <xf numFmtId="0" fontId="227" fillId="0" borderId="0" xfId="0" applyFont="1" applyAlignment="1">
      <alignment horizontal="center" vertical="center" wrapText="1"/>
    </xf>
    <xf numFmtId="0" fontId="152" fillId="0" borderId="0" xfId="0" applyFont="1" applyAlignment="1">
      <alignment horizontal="center" vertical="center" wrapText="1"/>
    </xf>
    <xf numFmtId="167" fontId="105" fillId="0" borderId="0" xfId="79" applyNumberFormat="1" applyFont="1" applyAlignment="1">
      <alignment horizontal="justify" vertical="center" wrapText="1"/>
    </xf>
    <xf numFmtId="0" fontId="65" fillId="0" borderId="36" xfId="79" applyFont="1" applyBorder="1" applyAlignment="1">
      <alignment horizontal="center" vertical="center" wrapText="1"/>
    </xf>
    <xf numFmtId="0" fontId="60" fillId="0" borderId="36" xfId="79" applyFont="1" applyBorder="1" applyAlignment="1">
      <alignment horizontal="center" vertical="center"/>
    </xf>
    <xf numFmtId="0" fontId="60" fillId="0" borderId="58" xfId="79" applyFont="1" applyBorder="1" applyAlignment="1">
      <alignment horizontal="justify" vertical="center" wrapText="1"/>
    </xf>
    <xf numFmtId="0" fontId="60" fillId="0" borderId="10" xfId="79" applyFont="1" applyBorder="1" applyAlignment="1">
      <alignment horizontal="justify" vertical="center"/>
    </xf>
    <xf numFmtId="0" fontId="60" fillId="0" borderId="12" xfId="79" applyFont="1" applyBorder="1" applyAlignment="1">
      <alignment horizontal="justify" vertical="center"/>
    </xf>
    <xf numFmtId="0" fontId="65" fillId="0" borderId="36" xfId="79" applyFont="1" applyBorder="1" applyAlignment="1">
      <alignment horizontal="justify" vertical="center"/>
    </xf>
    <xf numFmtId="0" fontId="66" fillId="0" borderId="78" xfId="79" applyFont="1" applyBorder="1" applyAlignment="1">
      <alignment horizontal="justify" vertical="justify" wrapText="1"/>
    </xf>
    <xf numFmtId="0" fontId="66" fillId="0" borderId="0" xfId="79" applyFont="1" applyAlignment="1">
      <alignment horizontal="justify" vertical="justify" wrapText="1"/>
    </xf>
    <xf numFmtId="0" fontId="66" fillId="0" borderId="118" xfId="79" applyFont="1" applyBorder="1" applyAlignment="1">
      <alignment horizontal="justify" vertical="justify" wrapText="1"/>
    </xf>
    <xf numFmtId="167" fontId="125" fillId="0" borderId="0" xfId="79" applyNumberFormat="1" applyFont="1" applyAlignment="1">
      <alignment horizontal="center" vertical="center" wrapText="1"/>
    </xf>
    <xf numFmtId="0" fontId="57" fillId="0" borderId="36" xfId="79" applyFont="1" applyBorder="1" applyAlignment="1">
      <alignment horizontal="center" vertical="center"/>
    </xf>
    <xf numFmtId="0" fontId="156" fillId="0" borderId="0" xfId="79" applyFont="1" applyAlignment="1">
      <alignment horizontal="right" vertical="center"/>
    </xf>
    <xf numFmtId="0" fontId="180" fillId="0" borderId="0" xfId="0" applyFont="1" applyAlignment="1">
      <alignment horizontal="right" vertical="center"/>
    </xf>
    <xf numFmtId="0" fontId="126" fillId="0" borderId="0" xfId="82" applyFont="1" applyAlignment="1">
      <alignment horizontal="right" vertical="center"/>
    </xf>
    <xf numFmtId="0" fontId="127" fillId="0" borderId="0" xfId="82" applyFont="1" applyAlignment="1">
      <alignment horizontal="right" vertical="center"/>
    </xf>
    <xf numFmtId="0" fontId="57" fillId="0" borderId="101" xfId="79" applyFont="1" applyBorder="1" applyAlignment="1">
      <alignment horizontal="center" vertical="center"/>
    </xf>
    <xf numFmtId="0" fontId="64" fillId="0" borderId="146" xfId="79" applyFont="1" applyBorder="1" applyAlignment="1">
      <alignment horizontal="justify" vertical="center" wrapText="1"/>
    </xf>
    <xf numFmtId="0" fontId="0" fillId="0" borderId="146" xfId="0" applyBorder="1" applyAlignment="1">
      <alignment horizontal="justify" vertical="center" wrapText="1"/>
    </xf>
    <xf numFmtId="0" fontId="57" fillId="0" borderId="246" xfId="79" applyFont="1" applyBorder="1" applyAlignment="1">
      <alignment vertical="center"/>
    </xf>
    <xf numFmtId="0" fontId="0" fillId="0" borderId="247" xfId="0" applyBorder="1" applyAlignment="1">
      <alignment vertical="center"/>
    </xf>
    <xf numFmtId="167" fontId="63" fillId="0" borderId="0" xfId="79" applyNumberFormat="1" applyFont="1" applyAlignment="1">
      <alignment horizontal="center" vertical="center"/>
    </xf>
    <xf numFmtId="167" fontId="129" fillId="0" borderId="44" xfId="79" applyNumberFormat="1" applyFont="1" applyBorder="1" applyAlignment="1">
      <alignment horizontal="left" vertical="center"/>
    </xf>
    <xf numFmtId="0" fontId="60" fillId="0" borderId="44" xfId="79" applyFont="1" applyBorder="1" applyAlignment="1">
      <alignment horizontal="left" vertical="center" wrapText="1"/>
    </xf>
    <xf numFmtId="0" fontId="143" fillId="0" borderId="44" xfId="0" applyFont="1" applyBorder="1" applyAlignment="1">
      <alignment horizontal="left" vertical="center" wrapText="1"/>
    </xf>
    <xf numFmtId="167" fontId="97" fillId="0" borderId="0" xfId="76" applyNumberFormat="1" applyFont="1" applyAlignment="1">
      <alignment vertical="center" wrapText="1"/>
    </xf>
    <xf numFmtId="167" fontId="21" fillId="0" borderId="39" xfId="76" applyNumberFormat="1" applyFont="1" applyBorder="1" applyAlignment="1">
      <alignment vertical="center" wrapText="1"/>
    </xf>
    <xf numFmtId="167" fontId="85" fillId="37" borderId="19" xfId="76" applyNumberFormat="1" applyFont="1" applyFill="1" applyBorder="1" applyAlignment="1">
      <alignment horizontal="left" vertical="center" wrapText="1"/>
    </xf>
    <xf numFmtId="167" fontId="102" fillId="0" borderId="0" xfId="76" applyNumberFormat="1" applyFont="1" applyAlignment="1">
      <alignment horizontal="right" vertical="center" wrapText="1"/>
    </xf>
    <xf numFmtId="167" fontId="37" fillId="0" borderId="0" xfId="76" applyNumberFormat="1" applyFont="1" applyAlignment="1">
      <alignment horizontal="center" vertical="center" wrapText="1"/>
    </xf>
    <xf numFmtId="167" fontId="85" fillId="0" borderId="19" xfId="76" applyNumberFormat="1" applyFont="1" applyBorder="1" applyAlignment="1">
      <alignment horizontal="center" vertical="center" wrapText="1"/>
    </xf>
    <xf numFmtId="167" fontId="85" fillId="0" borderId="19" xfId="76" applyNumberFormat="1" applyFont="1" applyBorder="1" applyAlignment="1">
      <alignment horizontal="center" vertical="center"/>
    </xf>
    <xf numFmtId="167" fontId="85" fillId="0" borderId="67" xfId="76" applyNumberFormat="1" applyFont="1" applyBorder="1" applyAlignment="1">
      <alignment horizontal="center" vertical="center"/>
    </xf>
    <xf numFmtId="0" fontId="50" fillId="0" borderId="0" xfId="0" applyFont="1" applyAlignment="1">
      <alignment horizontal="right" vertical="center"/>
    </xf>
    <xf numFmtId="0" fontId="37" fillId="0" borderId="238"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39" xfId="0" applyFont="1" applyBorder="1" applyAlignment="1">
      <alignment horizontal="center" vertical="center" wrapText="1"/>
    </xf>
    <xf numFmtId="0" fontId="69" fillId="0" borderId="0" xfId="81" applyFont="1" applyAlignment="1">
      <alignment horizontal="center" vertical="center" wrapText="1"/>
    </xf>
    <xf numFmtId="0" fontId="127" fillId="0" borderId="28" xfId="81" applyFont="1" applyBorder="1" applyAlignment="1">
      <alignment horizontal="left" vertical="center"/>
    </xf>
    <xf numFmtId="0" fontId="127" fillId="0" borderId="28" xfId="81" applyFont="1" applyBorder="1" applyAlignment="1">
      <alignment horizontal="left" vertical="center" indent="1"/>
    </xf>
    <xf numFmtId="0" fontId="69" fillId="0" borderId="0" xfId="81" applyFont="1" applyAlignment="1">
      <alignment horizontal="center" wrapText="1"/>
    </xf>
    <xf numFmtId="0" fontId="136" fillId="0" borderId="0" xfId="81" applyFont="1" applyAlignment="1">
      <alignment horizontal="center" vertical="center" wrapText="1"/>
    </xf>
    <xf numFmtId="167" fontId="129" fillId="0" borderId="248" xfId="79" applyNumberFormat="1" applyFont="1" applyBorder="1" applyAlignment="1">
      <alignment horizontal="left" vertical="center"/>
    </xf>
    <xf numFmtId="0" fontId="69" fillId="0" borderId="0" xfId="79" applyFont="1" applyAlignment="1">
      <alignment horizontal="center" vertical="center" wrapText="1"/>
    </xf>
    <xf numFmtId="167" fontId="129" fillId="0" borderId="0" xfId="79" applyNumberFormat="1" applyFont="1" applyAlignment="1">
      <alignment horizontal="left" vertical="center"/>
    </xf>
    <xf numFmtId="0" fontId="57" fillId="24" borderId="74" xfId="79" applyFont="1" applyFill="1" applyBorder="1" applyAlignment="1">
      <alignment horizontal="center" vertical="center" wrapText="1"/>
    </xf>
    <xf numFmtId="167" fontId="63" fillId="0" borderId="78" xfId="79" applyNumberFormat="1" applyFont="1" applyBorder="1" applyAlignment="1">
      <alignment horizontal="center" vertical="center"/>
    </xf>
    <xf numFmtId="167" fontId="63" fillId="0" borderId="118" xfId="79" applyNumberFormat="1" applyFont="1" applyBorder="1" applyAlignment="1">
      <alignment horizontal="center" vertical="center"/>
    </xf>
    <xf numFmtId="0" fontId="88" fillId="24" borderId="0" xfId="0" applyFont="1" applyFill="1" applyAlignment="1">
      <alignment horizontal="center" vertical="center" wrapText="1"/>
    </xf>
  </cellXfs>
  <cellStyles count="101">
    <cellStyle name="20% - Accent1" xfId="1" xr:uid="{2FBCA08F-549C-4E95-9141-D2AF4D998FBC}"/>
    <cellStyle name="20% - Accent2" xfId="2" xr:uid="{B04DEB3B-AC42-4108-80DB-6C4D910F0A9F}"/>
    <cellStyle name="20% - Accent3" xfId="3" xr:uid="{D02DB9EE-54B0-4137-95ED-78CB581D0A14}"/>
    <cellStyle name="20% - Accent4" xfId="4" xr:uid="{E0559A09-EE33-4910-B6D8-F2A2AAFC2252}"/>
    <cellStyle name="20% - Accent5" xfId="5" xr:uid="{063F0FC6-A60F-4045-A414-915F8D5092E1}"/>
    <cellStyle name="20% - Accent6" xfId="6" xr:uid="{B32F1B24-D689-4D2D-AFDE-59714F485FCF}"/>
    <cellStyle name="40% - Accent1" xfId="7" xr:uid="{EC16E5FD-2353-4364-86FC-CD141355A235}"/>
    <cellStyle name="40% - Accent2" xfId="8" xr:uid="{D203CF7B-576C-46D8-85DC-5AE71BAF5651}"/>
    <cellStyle name="40% - Accent3" xfId="9" xr:uid="{CC477DED-BB92-4FBC-B04A-5B69AD6B6FF1}"/>
    <cellStyle name="40% - Accent4" xfId="10" xr:uid="{585497F3-8F63-486C-A824-38F69D84F479}"/>
    <cellStyle name="40% - Accent5" xfId="11" xr:uid="{CDA75862-BD9B-49C2-8C53-87901879AE04}"/>
    <cellStyle name="40% - Accent6" xfId="12" xr:uid="{2CD54B2E-CA80-4618-93A3-8E19CEDECBEC}"/>
    <cellStyle name="60% - Accent1" xfId="13" xr:uid="{1E2E738C-26E0-4035-93EE-CF2B812B6B90}"/>
    <cellStyle name="60% - Accent2" xfId="14" xr:uid="{3AF8B33A-3F4A-42BD-9064-4EA4AC300864}"/>
    <cellStyle name="60% - Accent3" xfId="15" xr:uid="{2DFA8B92-91AC-4BAD-A4C6-25CE3559D425}"/>
    <cellStyle name="60% - Accent4" xfId="16" xr:uid="{4BCD4134-BB80-4A47-AFCB-7E233A5A7785}"/>
    <cellStyle name="60% - Accent5" xfId="17" xr:uid="{0B212E22-1E0D-4A63-ABBE-A1715967327A}"/>
    <cellStyle name="60% - Accent6" xfId="18" xr:uid="{B2EE0495-E05F-4D60-9C5B-2C0CD2200C5E}"/>
    <cellStyle name="Accent1" xfId="19" xr:uid="{8A638995-CB09-4DD3-88C6-DF6D1882D232}"/>
    <cellStyle name="Accent2" xfId="20" xr:uid="{20418B98-F651-4C51-BED8-6056EDF0C2CC}"/>
    <cellStyle name="Accent3" xfId="21" xr:uid="{BFBC41B3-F547-4C68-8A1E-4B73B9EAC05C}"/>
    <cellStyle name="Accent4" xfId="22" xr:uid="{0FF4238F-E9E3-45E6-9213-64ABD7775F04}"/>
    <cellStyle name="Accent5" xfId="23" xr:uid="{098DD4F4-C340-4938-BBCE-30C891218952}"/>
    <cellStyle name="Accent6" xfId="24" xr:uid="{FF476541-5BAD-4BDA-B5C2-4FF0679412E4}"/>
    <cellStyle name="Bad 1" xfId="25" xr:uid="{C4A54B62-F78D-419C-8134-B869D19126F0}"/>
    <cellStyle name="Calculation" xfId="26" xr:uid="{D491A26C-3933-4A73-BEA4-54F7BABAB9FE}"/>
    <cellStyle name="Check Cell" xfId="27" xr:uid="{D32C7E29-6CD6-4627-8AF9-7F8ABE858582}"/>
    <cellStyle name="Explanatory Text" xfId="28" xr:uid="{85BE3391-0B96-4CB1-AB72-7663B1155A64}"/>
    <cellStyle name="Ezres" xfId="29" builtinId="3"/>
    <cellStyle name="Ezres 2" xfId="30" xr:uid="{23FB0D4C-AED5-4353-8B82-5B7A9E88908E}"/>
    <cellStyle name="Ezres 3" xfId="31" xr:uid="{1BF58936-0EDD-4088-BB2A-5D19A945EB87}"/>
    <cellStyle name="Good 1" xfId="32" xr:uid="{569E5D00-BE78-4068-A248-5281B9431DFC}"/>
    <cellStyle name="Heading 1 1" xfId="33" xr:uid="{1C560A8E-515B-4855-8ED0-24F71A40B536}"/>
    <cellStyle name="Heading 2 1" xfId="34" xr:uid="{48BDD2AA-BF00-45F4-B12D-055F67158B67}"/>
    <cellStyle name="Heading 3" xfId="35" xr:uid="{5EBE3172-7D52-417E-A321-01F2BFEFF059}"/>
    <cellStyle name="Heading 4" xfId="36" xr:uid="{6E7AB049-60CA-428F-8EB8-2922AB2C64D1}"/>
    <cellStyle name="Hiperhivatkozás" xfId="37" xr:uid="{2E39E173-8360-46A2-8081-17D196767FC0}"/>
    <cellStyle name="Hivatkozás 2" xfId="38" xr:uid="{38D4B59A-905D-4B9A-9633-D420BEBE53B6}"/>
    <cellStyle name="Hivatkozás 3" xfId="39" xr:uid="{854C8FF5-AA15-4396-9CC4-BDBB54E19B77}"/>
    <cellStyle name="Input" xfId="40" xr:uid="{5CB47EF6-F4CC-4AC5-A5A6-FC8931FA8252}"/>
    <cellStyle name="Jegyzet 2" xfId="41" xr:uid="{12295E3F-48CF-427E-BAF0-B3C7CE5213F7}"/>
    <cellStyle name="Linked Cell" xfId="42" xr:uid="{7B0AA4D3-8507-4C59-A550-932138A027F9}"/>
    <cellStyle name="Már látott hiperhivatkozás" xfId="43" xr:uid="{4DFD28D7-53E1-46B5-B852-853FE32ADFB8}"/>
    <cellStyle name="Neutral 1" xfId="44" xr:uid="{E88448A3-E68E-4B93-B747-EDDB49BC8870}"/>
    <cellStyle name="Normál" xfId="0" builtinId="0"/>
    <cellStyle name="Normál 10" xfId="45" xr:uid="{6A688612-D69E-4663-9339-5452664A1849}"/>
    <cellStyle name="Normál 11" xfId="46" xr:uid="{C485B9B1-0D46-4FFC-962F-7A4A5BA84AA3}"/>
    <cellStyle name="Normál 12" xfId="47" xr:uid="{48ED6F59-9A4A-4827-ACCC-42DA31A092C9}"/>
    <cellStyle name="Normál 13" xfId="48" xr:uid="{7E6BFD3C-BA34-46C6-903A-3432E8DE3F2F}"/>
    <cellStyle name="Normál 14" xfId="49" xr:uid="{266F70A5-7C72-4F7C-B79D-52DC14EA02BF}"/>
    <cellStyle name="Normál 15" xfId="50" xr:uid="{C1AF9DF3-FE9E-40E3-881C-84E087ECB6D2}"/>
    <cellStyle name="Normál 16" xfId="51" xr:uid="{DEE92431-EA18-453E-B5C2-0FF2F0663E0D}"/>
    <cellStyle name="Normál 17" xfId="52" xr:uid="{C752F825-E627-444D-A26D-7AE77C1BA84B}"/>
    <cellStyle name="Normál 18" xfId="53" xr:uid="{4A4CE47D-6490-4C08-86CF-F590B00043B1}"/>
    <cellStyle name="Normál 19" xfId="100" xr:uid="{501DA62B-5725-4317-ABA5-8AC5796CE554}"/>
    <cellStyle name="Normal 2" xfId="54" xr:uid="{DBC19E48-9A85-46C4-9F6F-481E257EF291}"/>
    <cellStyle name="Normál 2" xfId="55" xr:uid="{2ECF27B1-F638-4358-8C20-FFF3F698135A}"/>
    <cellStyle name="Normál 2 2" xfId="56" xr:uid="{735CF9B1-95B6-48E0-86C9-9C61F1351B2B}"/>
    <cellStyle name="Normál 2 2 2" xfId="57" xr:uid="{2258BFCB-5263-499D-ADEE-7D92184C307D}"/>
    <cellStyle name="Normál 2 3" xfId="58" xr:uid="{569DE2D0-5CAE-474F-9B0E-5A227AFD27AF}"/>
    <cellStyle name="Normál 2 3 2" xfId="59" xr:uid="{E075704A-44DA-462F-B337-9AC021B40CC0}"/>
    <cellStyle name="Normál 2 4" xfId="60" xr:uid="{7D40F2A5-7EA7-4449-BBEB-6DD1469391FD}"/>
    <cellStyle name="Normál 2 5" xfId="61" xr:uid="{FF1756BE-9FE3-4B17-9C68-24584BF21DF3}"/>
    <cellStyle name="Normál 2 6" xfId="62" xr:uid="{D273B3B6-B2FF-41D6-829D-FBC8410C3A87}"/>
    <cellStyle name="Normál 2 7" xfId="63" xr:uid="{E329C1A9-312C-4FF3-9739-F2B50A04C33C}"/>
    <cellStyle name="Normál 2 8" xfId="64" xr:uid="{F3960E09-BDEC-4843-ADED-80A530336A12}"/>
    <cellStyle name="Normál 2_15_per_A_melleklet_kimutatas" xfId="65" xr:uid="{AE9B48A2-66CF-4FC2-AFA4-538B9C75EA4D}"/>
    <cellStyle name="Normál 3" xfId="66" xr:uid="{C401CC1F-D5C6-40E6-8547-F06A16057211}"/>
    <cellStyle name="Normál 3 2" xfId="67" xr:uid="{8D99D6D6-6560-42A0-AECD-09749B634C59}"/>
    <cellStyle name="Normál 4" xfId="68" xr:uid="{8B19D0CE-2C0D-4887-9855-E6C5F7189325}"/>
    <cellStyle name="Normál 5" xfId="69" xr:uid="{5E5EFD59-903B-4398-BD1C-6FE4DC70331E}"/>
    <cellStyle name="Normál 6" xfId="70" xr:uid="{E17892B1-F85C-4EA2-9B52-F7DA45942198}"/>
    <cellStyle name="Normál 7" xfId="71" xr:uid="{CA88E2EB-A5DC-4ECA-B909-20A61443FE03}"/>
    <cellStyle name="Normál 8" xfId="72" xr:uid="{05DCCBB7-D7F6-4787-95F1-18699AA5ADFC}"/>
    <cellStyle name="Normál 9" xfId="73" xr:uid="{5CFD0F9D-8D35-4049-80C7-A3449A094D96}"/>
    <cellStyle name="Normál_Feladatalapú támogatás elosztása" xfId="99" xr:uid="{8C851357-151B-4301-B4EE-D429F96FB552}"/>
    <cellStyle name="Normál_Gyerekkucko_2014" xfId="74" xr:uid="{F5775B72-DCBB-4684-810E-63793795ACF4}"/>
    <cellStyle name="Normal_KARSZJ3" xfId="75" xr:uid="{5266CEB4-A23E-415E-AA03-37BCC4689B56}"/>
    <cellStyle name="Normál_költsegvetési rendeleti táblák" xfId="76" xr:uid="{19D2B24D-A7FD-4ED5-B126-08C1C8668BF4}"/>
    <cellStyle name="Normál_KÖTELEZŐ ÉS ÖNKÉNT VÁLLALT FELADATOK" xfId="77" xr:uid="{56B65DEB-52FD-4F0A-B4B4-8A8771592B0D}"/>
    <cellStyle name="Normál_KVIREND" xfId="78" xr:uid="{E44B0EA8-4E25-41C6-AEB8-D77932FFA63A}"/>
    <cellStyle name="Normál_KVRENMUNKA" xfId="79" xr:uid="{7FC7EF9E-808F-4F2C-9802-25EB94D42DBB}"/>
    <cellStyle name="Normál_Másolat eredetijeZARSZREND14" xfId="96" xr:uid="{DF08BC84-1A0B-4389-9025-245320982725}"/>
    <cellStyle name="Normál_OSSZETOLT-CSAK EBBE ÍRJ MÁR!!!" xfId="80" xr:uid="{CDAFFD54-055E-47D5-AC69-411896AFEAEF}"/>
    <cellStyle name="Normál_SEGEDLETEK" xfId="81" xr:uid="{3ED0F5F4-4089-4AEA-9C7C-BE49DF71792C}"/>
    <cellStyle name="Normál_Szikszotol_koltsegvetesi_segedlet" xfId="82" xr:uid="{596C777F-8605-43F9-A638-9BF7C5858ECC}"/>
    <cellStyle name="Normál_Uj_tablak" xfId="83" xr:uid="{09257FF4-3B96-4CAE-B1A8-B7905E262226}"/>
    <cellStyle name="Normál_VAGYONK" xfId="98" xr:uid="{14EBA5DF-BD68-488D-A2F1-806F67C9A8A2}"/>
    <cellStyle name="Normál_VAGYONKIM" xfId="97" xr:uid="{3AA34B34-8477-404B-9162-5FEF2A642C51}"/>
    <cellStyle name="Note 1" xfId="84" xr:uid="{CAC80207-5F4C-464C-8FF4-E227F512E03E}"/>
    <cellStyle name="Output" xfId="85" xr:uid="{3CACD79E-6F70-489A-91C9-FB0E163943A5}"/>
    <cellStyle name="Pénznem 2" xfId="86" xr:uid="{1D148178-7068-4347-B13D-4481333C6C89}"/>
    <cellStyle name="Pénznem 2 2" xfId="87" xr:uid="{CC0CB419-58B1-493C-BE41-E13361BDAC86}"/>
    <cellStyle name="Pénznem 3" xfId="88" xr:uid="{3268B503-0F2B-4C38-AA78-07AB69267D48}"/>
    <cellStyle name="Pénznem 4" xfId="89" xr:uid="{8092DDF5-45C1-4133-888B-8161B7319B3D}"/>
    <cellStyle name="Százalék" xfId="90" builtinId="5"/>
    <cellStyle name="Százalék 2" xfId="91" xr:uid="{3F0A98E9-5B8C-489D-8613-2C9341438BD5}"/>
    <cellStyle name="Százalék 2 2" xfId="92" xr:uid="{87E696A9-E025-4290-9CF7-0214BD8F7070}"/>
    <cellStyle name="Title" xfId="93" xr:uid="{3E715386-C83D-4E7F-BF6E-DDAD88CC3AC0}"/>
    <cellStyle name="Total" xfId="94" xr:uid="{AF55DAA4-7A43-4360-96C2-DE7AA9C14427}"/>
    <cellStyle name="Warning Text" xfId="95" xr:uid="{A17F6980-284D-4070-8D89-629C8384FA0E}"/>
  </cellStyles>
  <dxfs count="4">
    <dxf>
      <font>
        <b val="0"/>
        <condense val="0"/>
        <extend val="0"/>
        <color indexed="9"/>
      </font>
    </dxf>
    <dxf>
      <font>
        <b val="0"/>
        <condense val="0"/>
        <extend val="0"/>
        <color indexed="9"/>
      </font>
    </dxf>
    <dxf>
      <font>
        <b val="0"/>
        <condense val="0"/>
        <extend val="0"/>
        <color indexed="9"/>
      </font>
    </dxf>
    <dxf>
      <font>
        <b val="0"/>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72BF44"/>
      <rgbColor rgb="00800080"/>
      <rgbColor rgb="00008080"/>
      <rgbColor rgb="00C0C0C0"/>
      <rgbColor rgb="00808080"/>
      <rgbColor rgb="009999FF"/>
      <rgbColor rgb="00CE181E"/>
      <rgbColor rgb="00FFFFCC"/>
      <rgbColor rgb="00CCFFFF"/>
      <rgbColor rgb="00660066"/>
      <rgbColor rgb="00FF8080"/>
      <rgbColor rgb="000066CC"/>
      <rgbColor rgb="00CCCCFF"/>
      <rgbColor rgb="00000080"/>
      <rgbColor rgb="00FF00FF"/>
      <rgbColor rgb="00FFF200"/>
      <rgbColor rgb="00FFFBCC"/>
      <rgbColor rgb="00800080"/>
      <rgbColor rgb="00800000"/>
      <rgbColor rgb="0000AAAD"/>
      <rgbColor rgb="000000FF"/>
      <rgbColor rgb="0000CCFF"/>
      <rgbColor rgb="00E3E3E3"/>
      <rgbColor rgb="00CCFFCC"/>
      <rgbColor rgb="00FFFF99"/>
      <rgbColor rgb="0099CCFF"/>
      <rgbColor rgb="00FF99CC"/>
      <rgbColor rgb="00CC99FF"/>
      <rgbColor rgb="00BFBFBF"/>
      <rgbColor rgb="003366FF"/>
      <rgbColor rgb="0033CCCC"/>
      <rgbColor rgb="0099CC00"/>
      <rgbColor rgb="00FFCC00"/>
      <rgbColor rgb="00FF9900"/>
      <rgbColor rgb="00FF6600"/>
      <rgbColor rgb="00CCBE00"/>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1</xdr:col>
      <xdr:colOff>752475</xdr:colOff>
      <xdr:row>25</xdr:row>
      <xdr:rowOff>0</xdr:rowOff>
    </xdr:from>
    <xdr:to>
      <xdr:col>1</xdr:col>
      <xdr:colOff>876300</xdr:colOff>
      <xdr:row>25</xdr:row>
      <xdr:rowOff>219075</xdr:rowOff>
    </xdr:to>
    <xdr:sp macro="" textlink="">
      <xdr:nvSpPr>
        <xdr:cNvPr id="140708" name="Text Box 1">
          <a:extLst>
            <a:ext uri="{FF2B5EF4-FFF2-40B4-BE49-F238E27FC236}">
              <a16:creationId xmlns:a16="http://schemas.microsoft.com/office/drawing/2014/main" id="{532F5722-FABC-9FBE-DA7B-652040E41ABD}"/>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752475</xdr:colOff>
      <xdr:row>25</xdr:row>
      <xdr:rowOff>0</xdr:rowOff>
    </xdr:from>
    <xdr:to>
      <xdr:col>1</xdr:col>
      <xdr:colOff>876300</xdr:colOff>
      <xdr:row>25</xdr:row>
      <xdr:rowOff>219075</xdr:rowOff>
    </xdr:to>
    <xdr:sp macro="" textlink="">
      <xdr:nvSpPr>
        <xdr:cNvPr id="140709" name="Text Box 1">
          <a:extLst>
            <a:ext uri="{FF2B5EF4-FFF2-40B4-BE49-F238E27FC236}">
              <a16:creationId xmlns:a16="http://schemas.microsoft.com/office/drawing/2014/main" id="{DB218388-A322-9D53-E3D4-69F5B63174BE}"/>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752475</xdr:colOff>
      <xdr:row>25</xdr:row>
      <xdr:rowOff>0</xdr:rowOff>
    </xdr:from>
    <xdr:to>
      <xdr:col>1</xdr:col>
      <xdr:colOff>876300</xdr:colOff>
      <xdr:row>25</xdr:row>
      <xdr:rowOff>219075</xdr:rowOff>
    </xdr:to>
    <xdr:sp macro="" textlink="">
      <xdr:nvSpPr>
        <xdr:cNvPr id="140710" name="Text Box 1">
          <a:extLst>
            <a:ext uri="{FF2B5EF4-FFF2-40B4-BE49-F238E27FC236}">
              <a16:creationId xmlns:a16="http://schemas.microsoft.com/office/drawing/2014/main" id="{DF2E0A0F-1BEA-5D53-EDF7-5A71460E1AEE}"/>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752475</xdr:colOff>
      <xdr:row>25</xdr:row>
      <xdr:rowOff>0</xdr:rowOff>
    </xdr:from>
    <xdr:to>
      <xdr:col>1</xdr:col>
      <xdr:colOff>876300</xdr:colOff>
      <xdr:row>25</xdr:row>
      <xdr:rowOff>219075</xdr:rowOff>
    </xdr:to>
    <xdr:sp macro="" textlink="">
      <xdr:nvSpPr>
        <xdr:cNvPr id="140711" name="Text Box 1">
          <a:extLst>
            <a:ext uri="{FF2B5EF4-FFF2-40B4-BE49-F238E27FC236}">
              <a16:creationId xmlns:a16="http://schemas.microsoft.com/office/drawing/2014/main" id="{84ACE825-F727-F2A2-CE20-74527FFC0AD8}"/>
            </a:ext>
          </a:extLst>
        </xdr:cNvPr>
        <xdr:cNvSpPr txBox="1">
          <a:spLocks noChangeArrowheads="1"/>
        </xdr:cNvSpPr>
      </xdr:nvSpPr>
      <xdr:spPr bwMode="auto">
        <a:xfrm>
          <a:off x="1362075" y="3876675"/>
          <a:ext cx="123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S\FolderRedirections\DOCUME~1\HERRNY~1\LOCALS~1\Temp\DOCUME~1\GENDRN~1\LOCALS~1\Temp\DOCUME~1\MOLNAR~1.ZSU\LOCALS~1\Temp\norma_2008\0_eredeti\igeny_kieg_tablak\5_Kieg%20t&#225;bla%20k&#246;zs&#233;geknek%20a%203.%20sz&#225;m&#250;%20mell&#23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FS\FolderRedirections\DOCUME~1\GENDRN~1\LOCALS~1\Temp\DOCUME~1\MOLNAR~1.ZSU\LOCALS~1\Temp\norma_2008\0_eredeti\igeny_kieg_tablak\5_Kieg%20t&#225;bla%20k&#246;zs&#233;geknek%20a%203.%20sz&#225;m&#250;%20mell&#233;"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FS\FolderRedirections\1.%202012.%20&#233;vi%20k&#246;lts&#233;gvet&#233;s\2012.%20KTGVET&#201;S%20-%20Eloterj.es%20tablak%20jan.%2024\DOCUME~1\GENDRN~1\LOCALS~1\Temp\DOCUME~1\MOLNAR~1.ZSU\LOCALS~1\Temp\norma_2008\0_eredeti\igeny_kieg_tablak\5_Kieg"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d"/>
      <sheetName val="Családsegítés"/>
      <sheetName val="Gyermekjóléti"/>
      <sheetName val="12 c) jogcím"/>
      <sheetName val="körjegyzőség"/>
    </sheetNames>
    <sheetDataSet>
      <sheetData sheetId="0" refreshError="1"/>
      <sheetData sheetId="1" refreshError="1">
        <row r="27">
          <cell r="C27" t="str">
            <v>Bábolna</v>
          </cell>
        </row>
        <row r="28">
          <cell r="C28" t="str">
            <v>Alcsútdoboz</v>
          </cell>
        </row>
        <row r="29">
          <cell r="C29" t="str">
            <v>Alattyán</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2" refreshError="1">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3" refreshError="1"/>
      <sheetData sheetId="4" refreshError="1">
        <row r="9">
          <cell r="C9" t="str">
            <v>Aka</v>
          </cell>
        </row>
        <row r="10">
          <cell r="C10" t="str">
            <v>Ácsteszér</v>
          </cell>
        </row>
        <row r="11">
          <cell r="C11" t="str">
            <v>Ábrahámhegy</v>
          </cell>
        </row>
        <row r="12">
          <cell r="C12" t="str">
            <v>Abaújlak</v>
          </cell>
        </row>
        <row r="13">
          <cell r="C13" t="str">
            <v>Acsa</v>
          </cell>
        </row>
        <row r="14">
          <cell r="C14" t="str">
            <v>Dötk</v>
          </cell>
        </row>
        <row r="15">
          <cell r="C15" t="str">
            <v>Felsőszenterzsébet</v>
          </cell>
        </row>
        <row r="28">
          <cell r="C28"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d"/>
      <sheetName val="Családsegítés"/>
      <sheetName val="Gyermekjóléti"/>
      <sheetName val="12 c) jogcím"/>
      <sheetName val="körjegyzőség"/>
    </sheetNames>
    <sheetDataSet>
      <sheetData sheetId="0" refreshError="1"/>
      <sheetData sheetId="1" refreshError="1">
        <row r="27">
          <cell r="C27" t="str">
            <v>Bábolna</v>
          </cell>
        </row>
        <row r="28">
          <cell r="C28" t="str">
            <v>Alcsútdoboz</v>
          </cell>
        </row>
        <row r="29">
          <cell r="C29" t="str">
            <v>Alattyán</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2" refreshError="1">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3" refreshError="1"/>
      <sheetData sheetId="4" refreshError="1">
        <row r="9">
          <cell r="C9" t="str">
            <v>Aka</v>
          </cell>
        </row>
        <row r="10">
          <cell r="C10" t="str">
            <v>Ácsteszér</v>
          </cell>
        </row>
        <row r="11">
          <cell r="C11" t="str">
            <v>Ábrahámhegy</v>
          </cell>
        </row>
        <row r="12">
          <cell r="C12" t="str">
            <v>Abaújlak</v>
          </cell>
        </row>
        <row r="13">
          <cell r="C13" t="str">
            <v>Acsa</v>
          </cell>
        </row>
        <row r="14">
          <cell r="C14" t="str">
            <v>Dötk</v>
          </cell>
        </row>
        <row r="15">
          <cell r="C15" t="str">
            <v>Felsőszenterzsébet</v>
          </cell>
        </row>
        <row r="28">
          <cell r="C28"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d"/>
      <sheetName val="Családsegítés"/>
      <sheetName val="Gyermekjóléti"/>
      <sheetName val="12 c) jogcím"/>
      <sheetName val="körjegyzőség"/>
    </sheetNames>
    <sheetDataSet>
      <sheetData sheetId="0" refreshError="1"/>
      <sheetData sheetId="1" refreshError="1">
        <row r="27">
          <cell r="C27" t="str">
            <v>Bábolna</v>
          </cell>
        </row>
        <row r="28">
          <cell r="C28" t="str">
            <v>Alcsútdoboz</v>
          </cell>
        </row>
        <row r="29">
          <cell r="C29" t="str">
            <v>Alattyán</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2" refreshError="1">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row r="41">
          <cell r="C41" t="str">
            <v/>
          </cell>
        </row>
        <row r="42">
          <cell r="C42" t="str">
            <v/>
          </cell>
        </row>
        <row r="43">
          <cell r="C43" t="str">
            <v/>
          </cell>
        </row>
        <row r="44">
          <cell r="C44" t="str">
            <v/>
          </cell>
        </row>
        <row r="45">
          <cell r="C45" t="str">
            <v/>
          </cell>
        </row>
        <row r="46">
          <cell r="C46" t="str">
            <v/>
          </cell>
        </row>
        <row r="47">
          <cell r="C47" t="str">
            <v/>
          </cell>
        </row>
        <row r="48">
          <cell r="C48" t="str">
            <v/>
          </cell>
        </row>
        <row r="49">
          <cell r="C49" t="str">
            <v/>
          </cell>
        </row>
        <row r="50">
          <cell r="C50" t="str">
            <v/>
          </cell>
        </row>
        <row r="51">
          <cell r="C51" t="str">
            <v/>
          </cell>
        </row>
        <row r="52">
          <cell r="C52" t="str">
            <v/>
          </cell>
        </row>
        <row r="53">
          <cell r="C53" t="str">
            <v/>
          </cell>
        </row>
        <row r="54">
          <cell r="C54" t="str">
            <v/>
          </cell>
        </row>
        <row r="55">
          <cell r="C55" t="str">
            <v/>
          </cell>
        </row>
        <row r="56">
          <cell r="C56" t="str">
            <v/>
          </cell>
        </row>
        <row r="57">
          <cell r="C57" t="str">
            <v/>
          </cell>
        </row>
        <row r="58">
          <cell r="C58" t="str">
            <v/>
          </cell>
        </row>
        <row r="59">
          <cell r="C59" t="str">
            <v/>
          </cell>
        </row>
        <row r="60">
          <cell r="C60" t="str">
            <v/>
          </cell>
        </row>
        <row r="61">
          <cell r="C61" t="str">
            <v/>
          </cell>
        </row>
        <row r="62">
          <cell r="C62" t="str">
            <v/>
          </cell>
        </row>
        <row r="63">
          <cell r="C63" t="str">
            <v/>
          </cell>
        </row>
        <row r="64">
          <cell r="C64" t="str">
            <v/>
          </cell>
        </row>
        <row r="65">
          <cell r="C65" t="str">
            <v/>
          </cell>
        </row>
        <row r="66">
          <cell r="C66" t="str">
            <v/>
          </cell>
        </row>
        <row r="67">
          <cell r="C67" t="str">
            <v/>
          </cell>
        </row>
        <row r="68">
          <cell r="C68" t="str">
            <v/>
          </cell>
        </row>
        <row r="69">
          <cell r="C69" t="str">
            <v/>
          </cell>
        </row>
        <row r="70">
          <cell r="C70" t="str">
            <v/>
          </cell>
        </row>
        <row r="71">
          <cell r="C71" t="str">
            <v/>
          </cell>
        </row>
        <row r="72">
          <cell r="C72" t="str">
            <v/>
          </cell>
        </row>
        <row r="73">
          <cell r="C73" t="str">
            <v/>
          </cell>
        </row>
        <row r="74">
          <cell r="C74" t="str">
            <v/>
          </cell>
        </row>
        <row r="75">
          <cell r="C75" t="str">
            <v/>
          </cell>
        </row>
        <row r="76">
          <cell r="C76" t="str">
            <v/>
          </cell>
        </row>
        <row r="77">
          <cell r="C77" t="str">
            <v/>
          </cell>
        </row>
        <row r="78">
          <cell r="C78" t="str">
            <v/>
          </cell>
        </row>
        <row r="79">
          <cell r="C79" t="str">
            <v/>
          </cell>
        </row>
        <row r="80">
          <cell r="C80" t="str">
            <v/>
          </cell>
        </row>
      </sheetData>
      <sheetData sheetId="3" refreshError="1"/>
      <sheetData sheetId="4" refreshError="1">
        <row r="9">
          <cell r="C9" t="str">
            <v>Aka</v>
          </cell>
        </row>
        <row r="10">
          <cell r="C10" t="str">
            <v>Ácsteszér</v>
          </cell>
        </row>
        <row r="11">
          <cell r="C11" t="str">
            <v>Ábrahámhegy</v>
          </cell>
        </row>
        <row r="12">
          <cell r="C12" t="str">
            <v>Abaújlak</v>
          </cell>
        </row>
        <row r="13">
          <cell r="C13" t="str">
            <v>Acsa</v>
          </cell>
        </row>
        <row r="14">
          <cell r="C14" t="str">
            <v>Dötk</v>
          </cell>
        </row>
        <row r="15">
          <cell r="C15" t="str">
            <v>Felsőszenterzsébet</v>
          </cell>
        </row>
        <row r="28">
          <cell r="C28" t="str">
            <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48D71-D1B4-4EF9-BAC4-021C8D0E8D80}">
  <sheetPr>
    <tabColor indexed="52"/>
    <pageSetUpPr fitToPage="1"/>
  </sheetPr>
  <dimension ref="A1:J78"/>
  <sheetViews>
    <sheetView zoomScale="70" zoomScaleNormal="70" zoomScaleSheetLayoutView="100" workbookViewId="0">
      <selection activeCell="E51" sqref="E51"/>
    </sheetView>
  </sheetViews>
  <sheetFormatPr defaultRowHeight="12.75"/>
  <cols>
    <col min="1" max="1" width="56.28515625" style="4" customWidth="1"/>
    <col min="2" max="2" width="63.140625" style="6" customWidth="1"/>
    <col min="3" max="3" width="14.28515625" style="4" bestFit="1" customWidth="1"/>
    <col min="4" max="4" width="20" style="4" customWidth="1"/>
    <col min="5" max="5" width="15.28515625" style="4" customWidth="1"/>
    <col min="6" max="7" width="10.85546875" style="4" bestFit="1" customWidth="1"/>
    <col min="8" max="8" width="10.28515625" style="4" bestFit="1" customWidth="1"/>
    <col min="9" max="10" width="9.5703125" style="4" bestFit="1" customWidth="1"/>
    <col min="11" max="16384" width="9.140625" style="4"/>
  </cols>
  <sheetData>
    <row r="1" spans="1:9" ht="48" customHeight="1" thickBot="1">
      <c r="A1" s="3525" t="s">
        <v>3700</v>
      </c>
      <c r="B1" s="3526"/>
      <c r="C1" s="3526"/>
      <c r="D1" s="3526"/>
      <c r="E1" s="3527"/>
      <c r="F1" s="700" t="s">
        <v>3314</v>
      </c>
    </row>
    <row r="2" spans="1:9" ht="16.5" thickBot="1">
      <c r="A2" s="1079" t="s">
        <v>3123</v>
      </c>
      <c r="B2" s="1080" t="s">
        <v>3124</v>
      </c>
      <c r="C2" s="1080" t="s">
        <v>3125</v>
      </c>
      <c r="D2" s="1080" t="s">
        <v>3126</v>
      </c>
      <c r="E2" s="1080" t="s">
        <v>3127</v>
      </c>
    </row>
    <row r="3" spans="1:9" ht="16.5" thickBot="1">
      <c r="A3" s="1704">
        <v>107265</v>
      </c>
      <c r="B3" s="1705" t="s">
        <v>3708</v>
      </c>
      <c r="C3" s="1709">
        <v>296800000</v>
      </c>
      <c r="D3" s="1257"/>
      <c r="E3" s="1257">
        <f>+C3+D3</f>
        <v>296800000</v>
      </c>
      <c r="I3" s="6"/>
    </row>
    <row r="4" spans="1:9" ht="16.5" thickBot="1">
      <c r="A4" s="1706" t="s">
        <v>3709</v>
      </c>
      <c r="B4" s="1707" t="s">
        <v>3710</v>
      </c>
      <c r="C4" s="1710">
        <v>374400000</v>
      </c>
      <c r="D4" s="1257"/>
      <c r="E4" s="1257">
        <f t="shared" ref="E4:E10" si="0">+C4+D4</f>
        <v>374400000</v>
      </c>
      <c r="I4" s="6"/>
    </row>
    <row r="5" spans="1:9" ht="48" thickBot="1">
      <c r="A5" s="1706" t="s">
        <v>3711</v>
      </c>
      <c r="B5" s="1708" t="s">
        <v>3712</v>
      </c>
      <c r="C5" s="1710">
        <v>47244000</v>
      </c>
      <c r="D5" s="1257">
        <f t="shared" ref="D5:D10" si="1">+C5*0.27</f>
        <v>12755880</v>
      </c>
      <c r="E5" s="1257">
        <f t="shared" si="0"/>
        <v>59999880</v>
      </c>
      <c r="F5" s="4">
        <f t="shared" ref="F5:F23" si="2">+C5*1.27-E5</f>
        <v>0</v>
      </c>
      <c r="H5" s="6"/>
      <c r="I5" s="6"/>
    </row>
    <row r="6" spans="1:9" ht="16.5" thickBot="1">
      <c r="A6" s="1706">
        <v>106879</v>
      </c>
      <c r="B6" s="1708" t="s">
        <v>3713</v>
      </c>
      <c r="C6" s="1710">
        <v>8504000</v>
      </c>
      <c r="D6" s="1257">
        <f t="shared" si="1"/>
        <v>2296080</v>
      </c>
      <c r="E6" s="1257">
        <f t="shared" si="0"/>
        <v>10800080</v>
      </c>
      <c r="F6" s="4">
        <f t="shared" si="2"/>
        <v>0</v>
      </c>
      <c r="H6" s="6"/>
      <c r="I6" s="6"/>
    </row>
    <row r="7" spans="1:9" ht="16.5" thickBot="1">
      <c r="A7" s="1706">
        <v>117378</v>
      </c>
      <c r="B7" s="1708" t="s">
        <v>3714</v>
      </c>
      <c r="C7" s="1710">
        <f>652*60000</f>
        <v>39120000</v>
      </c>
      <c r="D7" s="1257">
        <f t="shared" si="1"/>
        <v>10562400</v>
      </c>
      <c r="E7" s="1257">
        <f t="shared" si="0"/>
        <v>49682400</v>
      </c>
      <c r="F7" s="4">
        <f t="shared" si="2"/>
        <v>0</v>
      </c>
      <c r="H7" s="6"/>
      <c r="I7" s="6"/>
    </row>
    <row r="8" spans="1:9" ht="16.5" thickBot="1">
      <c r="A8" s="1706" t="s">
        <v>3557</v>
      </c>
      <c r="B8" s="1708" t="s">
        <v>3715</v>
      </c>
      <c r="C8" s="1710">
        <v>11500000</v>
      </c>
      <c r="D8" s="1257"/>
      <c r="E8" s="1257">
        <f t="shared" si="0"/>
        <v>11500000</v>
      </c>
      <c r="H8" s="6"/>
      <c r="I8" s="6"/>
    </row>
    <row r="9" spans="1:9" ht="16.5" thickBot="1">
      <c r="A9" s="1706"/>
      <c r="B9"/>
      <c r="C9" s="1710"/>
      <c r="D9" s="1257">
        <f t="shared" si="1"/>
        <v>0</v>
      </c>
      <c r="E9" s="1257">
        <f t="shared" si="0"/>
        <v>0</v>
      </c>
      <c r="F9">
        <f t="shared" si="2"/>
        <v>0</v>
      </c>
      <c r="G9"/>
      <c r="H9"/>
    </row>
    <row r="10" spans="1:9" ht="16.5" thickBot="1">
      <c r="A10" s="1706"/>
      <c r="B10" s="1708"/>
      <c r="C10" s="1710"/>
      <c r="D10" s="1257">
        <f t="shared" si="1"/>
        <v>0</v>
      </c>
      <c r="E10" s="1257">
        <f t="shared" si="0"/>
        <v>0</v>
      </c>
      <c r="F10" s="4">
        <f t="shared" si="2"/>
        <v>0</v>
      </c>
      <c r="H10" s="6"/>
      <c r="I10" s="6"/>
    </row>
    <row r="11" spans="1:9" s="10" customFormat="1" ht="16.5" thickBot="1">
      <c r="A11" s="8"/>
      <c r="B11" s="9"/>
      <c r="C11" s="1268">
        <f>SUM(C3:C10)</f>
        <v>777568000</v>
      </c>
      <c r="D11" s="1268">
        <f>SUM(D3:D10)</f>
        <v>25614360</v>
      </c>
      <c r="E11" s="1268">
        <f>SUM(E3:E10)</f>
        <v>803182360</v>
      </c>
      <c r="F11" s="4"/>
    </row>
    <row r="12" spans="1:9" ht="27" customHeight="1" thickBot="1">
      <c r="A12" s="3525"/>
      <c r="B12" s="3526"/>
      <c r="C12" s="3526"/>
      <c r="D12" s="3526"/>
      <c r="E12" s="3527"/>
    </row>
    <row r="13" spans="1:9" ht="16.5" thickBot="1">
      <c r="A13" s="1079" t="s">
        <v>3123</v>
      </c>
      <c r="B13" s="1080" t="s">
        <v>3124</v>
      </c>
      <c r="C13" s="1080" t="s">
        <v>3125</v>
      </c>
      <c r="D13" s="1080" t="s">
        <v>3126</v>
      </c>
      <c r="E13" s="1080" t="s">
        <v>3127</v>
      </c>
    </row>
    <row r="14" spans="1:9" ht="16.5" thickBot="1">
      <c r="A14" s="1264"/>
      <c r="B14" s="1255"/>
      <c r="C14" s="1265"/>
      <c r="D14" s="1257">
        <v>0</v>
      </c>
      <c r="E14" s="1257">
        <f>+C14+D14</f>
        <v>0</v>
      </c>
    </row>
    <row r="15" spans="1:9" ht="16.5" thickBot="1">
      <c r="A15" s="1254"/>
      <c r="B15" s="1082"/>
      <c r="C15" s="1083"/>
      <c r="D15" s="1257">
        <v>0</v>
      </c>
      <c r="E15" s="1257">
        <f t="shared" ref="E15:E20" si="3">+C15+D15</f>
        <v>0</v>
      </c>
    </row>
    <row r="16" spans="1:9" ht="16.5" thickBot="1">
      <c r="A16" s="1254"/>
      <c r="B16" s="1082"/>
      <c r="C16" s="1083"/>
      <c r="D16" s="1257">
        <f>+C16*0.27</f>
        <v>0</v>
      </c>
      <c r="E16" s="1257">
        <f t="shared" si="3"/>
        <v>0</v>
      </c>
      <c r="F16" s="4">
        <f t="shared" si="2"/>
        <v>0</v>
      </c>
    </row>
    <row r="17" spans="1:10" ht="16.5" thickBot="1">
      <c r="A17" s="1254"/>
      <c r="B17" s="1082"/>
      <c r="C17" s="1083"/>
      <c r="D17" s="1257">
        <f>+C17*0.27</f>
        <v>0</v>
      </c>
      <c r="E17" s="1257">
        <f t="shared" si="3"/>
        <v>0</v>
      </c>
      <c r="F17" s="4">
        <f t="shared" si="2"/>
        <v>0</v>
      </c>
    </row>
    <row r="18" spans="1:10" ht="16.5" thickBot="1">
      <c r="A18" s="1254"/>
      <c r="B18" s="1082"/>
      <c r="C18" s="1083"/>
      <c r="D18" s="1257">
        <f>+C18*0.27</f>
        <v>0</v>
      </c>
      <c r="E18" s="1257">
        <f t="shared" si="3"/>
        <v>0</v>
      </c>
      <c r="F18" s="4">
        <f t="shared" si="2"/>
        <v>0</v>
      </c>
    </row>
    <row r="19" spans="1:10" ht="16.5" thickBot="1">
      <c r="A19" s="1254"/>
      <c r="B19" s="1082"/>
      <c r="C19" s="1083"/>
      <c r="D19" s="1257">
        <f>+C19*0.27</f>
        <v>0</v>
      </c>
      <c r="E19" s="1257">
        <f t="shared" si="3"/>
        <v>0</v>
      </c>
      <c r="F19" s="4">
        <f t="shared" si="2"/>
        <v>0</v>
      </c>
    </row>
    <row r="20" spans="1:10" ht="16.5" thickBot="1">
      <c r="A20" s="1254"/>
      <c r="B20" s="1082"/>
      <c r="C20" s="1083"/>
      <c r="D20" s="1257">
        <v>0</v>
      </c>
      <c r="E20" s="1257">
        <f t="shared" si="3"/>
        <v>0</v>
      </c>
    </row>
    <row r="21" spans="1:10" ht="16.5" thickBot="1">
      <c r="C21" s="1268">
        <f>SUM(C14:C20)</f>
        <v>0</v>
      </c>
      <c r="D21" s="1268">
        <f>SUM(D14:D20)</f>
        <v>0</v>
      </c>
      <c r="E21" s="1268">
        <f>SUM(E14:E20)</f>
        <v>0</v>
      </c>
    </row>
    <row r="22" spans="1:10" ht="13.5" thickBot="1">
      <c r="A22" s="3525" t="s">
        <v>3555</v>
      </c>
      <c r="B22" s="3526"/>
      <c r="C22" s="3526"/>
      <c r="D22" s="3526"/>
      <c r="E22" s="3527"/>
      <c r="F22" s="4">
        <f t="shared" si="2"/>
        <v>0</v>
      </c>
    </row>
    <row r="23" spans="1:10" ht="32.25" thickBot="1">
      <c r="A23" s="1256" t="s">
        <v>3313</v>
      </c>
      <c r="B23" s="1266" t="s">
        <v>3556</v>
      </c>
      <c r="C23" s="1710">
        <v>8108797</v>
      </c>
      <c r="D23" s="1257">
        <f>+C23*0.27</f>
        <v>2189375.19</v>
      </c>
      <c r="E23" s="1257">
        <f>+C23+D23</f>
        <v>10298172.189999999</v>
      </c>
      <c r="F23" s="4">
        <f t="shared" si="2"/>
        <v>0</v>
      </c>
    </row>
    <row r="24" spans="1:10" ht="16.5" thickBot="1">
      <c r="A24" s="1256"/>
      <c r="B24" s="1261"/>
      <c r="C24" s="1257"/>
      <c r="D24" s="1257"/>
      <c r="E24" s="1257"/>
    </row>
    <row r="25" spans="1:10" ht="13.5" thickBot="1">
      <c r="A25" s="3525" t="s">
        <v>3701</v>
      </c>
      <c r="B25" s="3526"/>
      <c r="C25" s="3526"/>
      <c r="D25" s="3526"/>
      <c r="E25" s="3527"/>
    </row>
    <row r="26" spans="1:10" ht="16.5" thickBot="1">
      <c r="A26" s="1079" t="s">
        <v>3123</v>
      </c>
      <c r="B26" s="1080" t="s">
        <v>3124</v>
      </c>
      <c r="C26" s="1080" t="s">
        <v>3125</v>
      </c>
      <c r="D26" s="1080" t="s">
        <v>3126</v>
      </c>
      <c r="E26" s="1080" t="s">
        <v>3127</v>
      </c>
    </row>
    <row r="27" spans="1:10" ht="16.5" thickBot="1">
      <c r="A27" s="1264"/>
      <c r="B27" s="1255"/>
      <c r="C27" s="1265"/>
      <c r="D27" s="1257">
        <f>+C27*0.27</f>
        <v>0</v>
      </c>
      <c r="E27" s="1257">
        <f>+C27+D27</f>
        <v>0</v>
      </c>
      <c r="H27" s="6"/>
      <c r="I27" s="6"/>
      <c r="J27" s="6"/>
    </row>
    <row r="28" spans="1:10" customFormat="1" ht="16.5" thickBot="1">
      <c r="A28" s="1264"/>
      <c r="B28" s="1255"/>
      <c r="C28" s="1265"/>
      <c r="D28" s="1257">
        <f>+C28*0.27</f>
        <v>0</v>
      </c>
      <c r="E28" s="1257">
        <f>+C28+D28</f>
        <v>0</v>
      </c>
    </row>
    <row r="29" spans="1:10" ht="16.5" thickBot="1">
      <c r="A29" s="1254"/>
      <c r="B29" s="1082"/>
      <c r="C29" s="1083"/>
      <c r="D29" s="1257"/>
      <c r="E29" s="1257">
        <f>+C29+D29</f>
        <v>0</v>
      </c>
      <c r="H29" s="6"/>
      <c r="J29" s="6"/>
    </row>
    <row r="30" spans="1:10" ht="16.5" hidden="1" thickBot="1">
      <c r="A30" s="1254"/>
      <c r="B30" s="1082"/>
      <c r="C30" s="1083"/>
      <c r="D30" s="1257">
        <f>+C30*0.27</f>
        <v>0</v>
      </c>
      <c r="E30" s="1257">
        <f>+C30+D30</f>
        <v>0</v>
      </c>
      <c r="G30"/>
    </row>
    <row r="31" spans="1:10" ht="16.5" hidden="1" thickBot="1">
      <c r="A31" s="1369"/>
      <c r="B31" s="1082"/>
      <c r="C31" s="1083"/>
      <c r="D31" s="1257">
        <f>+C31*0.27</f>
        <v>0</v>
      </c>
      <c r="E31" s="1257">
        <f>+C31+D31</f>
        <v>0</v>
      </c>
    </row>
    <row r="32" spans="1:10" ht="16.5" hidden="1" thickBot="1">
      <c r="A32" s="1258"/>
      <c r="B32" s="1259"/>
      <c r="C32" s="1260"/>
      <c r="D32" s="1260"/>
      <c r="E32" s="1260"/>
    </row>
    <row r="33" spans="1:10" ht="16.5" hidden="1" thickBot="1">
      <c r="A33" s="1258"/>
      <c r="B33" s="1259"/>
      <c r="C33" s="1260"/>
      <c r="D33" s="1260"/>
      <c r="E33" s="1260"/>
    </row>
    <row r="34" spans="1:10" ht="16.5" hidden="1" thickBot="1">
      <c r="A34" s="1258"/>
      <c r="B34" s="1259"/>
      <c r="C34" s="1260"/>
      <c r="D34" s="1260"/>
      <c r="E34" s="1260"/>
    </row>
    <row r="35" spans="1:10" ht="16.5" hidden="1" thickBot="1">
      <c r="A35" s="1258"/>
      <c r="B35" s="1259"/>
      <c r="C35" s="1260"/>
      <c r="D35" s="1260"/>
      <c r="E35" s="1260"/>
    </row>
    <row r="36" spans="1:10" ht="16.5" hidden="1" thickBot="1">
      <c r="A36" s="1258"/>
      <c r="B36" s="1259"/>
      <c r="C36" s="1260"/>
      <c r="D36" s="1260"/>
      <c r="E36" s="1260"/>
    </row>
    <row r="37" spans="1:10" ht="16.5" hidden="1" thickBot="1">
      <c r="A37" s="1258"/>
      <c r="B37" s="1259"/>
      <c r="C37" s="1260"/>
      <c r="D37" s="1260"/>
      <c r="E37" s="1260"/>
    </row>
    <row r="38" spans="1:10" ht="16.5" hidden="1" thickBot="1">
      <c r="A38" s="1258"/>
      <c r="B38" s="1259"/>
      <c r="C38" s="1260"/>
      <c r="D38" s="1260"/>
      <c r="E38" s="1260"/>
    </row>
    <row r="39" spans="1:10" ht="16.5" hidden="1" thickBot="1">
      <c r="A39" s="1258"/>
      <c r="B39" s="1259"/>
      <c r="C39" s="1260"/>
      <c r="D39" s="1260"/>
      <c r="E39" s="1260"/>
    </row>
    <row r="40" spans="1:10" ht="16.5" hidden="1" thickBot="1">
      <c r="A40" s="1258"/>
      <c r="B40" s="1259"/>
      <c r="C40" s="1260"/>
      <c r="D40" s="1260"/>
      <c r="E40" s="1260"/>
    </row>
    <row r="41" spans="1:10" ht="16.5" hidden="1" thickBot="1">
      <c r="A41" s="1258"/>
      <c r="B41" s="1259"/>
      <c r="C41" s="1260"/>
      <c r="D41" s="1260"/>
      <c r="E41" s="1260"/>
    </row>
    <row r="42" spans="1:10" ht="16.5" hidden="1" thickBot="1">
      <c r="A42" s="1258"/>
      <c r="B42" s="1259"/>
      <c r="C42" s="1260"/>
      <c r="D42" s="1260"/>
      <c r="E42" s="1260"/>
    </row>
    <row r="43" spans="1:10" ht="16.5" hidden="1" thickBot="1">
      <c r="A43" s="1258"/>
      <c r="B43" s="1259"/>
      <c r="C43" s="1260"/>
      <c r="D43" s="1260"/>
      <c r="E43" s="1260"/>
    </row>
    <row r="44" spans="1:10" ht="16.5" hidden="1" thickBot="1">
      <c r="A44" s="1258"/>
      <c r="B44" s="1259"/>
      <c r="C44" s="1260"/>
      <c r="D44" s="1260"/>
      <c r="E44" s="1260"/>
    </row>
    <row r="45" spans="1:10" ht="16.5" hidden="1" thickBot="1">
      <c r="A45" s="1258"/>
      <c r="B45" s="1259"/>
      <c r="C45" s="1260"/>
      <c r="D45" s="1262"/>
      <c r="E45" s="1260"/>
    </row>
    <row r="46" spans="1:10" ht="16.5" hidden="1" thickBot="1">
      <c r="A46" s="1258"/>
      <c r="B46" s="1259"/>
      <c r="C46" s="1260"/>
      <c r="D46" s="1260"/>
      <c r="E46" s="1260"/>
    </row>
    <row r="47" spans="1:10" ht="16.5" thickBot="1">
      <c r="A47" s="3528" t="s">
        <v>66</v>
      </c>
      <c r="B47" s="3529"/>
      <c r="C47" s="1084"/>
      <c r="D47" s="1084"/>
      <c r="E47" s="1084"/>
      <c r="F47" s="6">
        <f>+C47*1.27</f>
        <v>0</v>
      </c>
    </row>
    <row r="48" spans="1:10" ht="16.5" thickBot="1">
      <c r="C48" s="1268">
        <f>SUM(C27:C46)</f>
        <v>0</v>
      </c>
      <c r="D48" s="1268">
        <f>SUM(D27:D46)</f>
        <v>0</v>
      </c>
      <c r="E48" s="1268">
        <f>SUM(E27:E46)</f>
        <v>0</v>
      </c>
      <c r="H48" s="6"/>
      <c r="I48" s="6"/>
      <c r="J48" s="6"/>
    </row>
    <row r="49" spans="1:7">
      <c r="C49" s="6"/>
      <c r="D49" s="6"/>
      <c r="E49" s="6"/>
    </row>
    <row r="51" spans="1:7" ht="16.5" thickBot="1">
      <c r="A51" s="1085" t="s">
        <v>3128</v>
      </c>
      <c r="B51" s="1263"/>
      <c r="C51" s="1268">
        <f>+C11+C21+C23+C48</f>
        <v>785676797</v>
      </c>
      <c r="D51" s="1268">
        <f>+D11+D21+D23+D48</f>
        <v>27803735.190000001</v>
      </c>
      <c r="E51" s="1268">
        <f>+E11+E21+E23+E48</f>
        <v>813480532.19000006</v>
      </c>
      <c r="F51" s="6"/>
      <c r="G51" s="6"/>
    </row>
    <row r="53" spans="1:7" hidden="1"/>
    <row r="54" spans="1:7" hidden="1"/>
    <row r="55" spans="1:7" ht="13.5" hidden="1" thickBot="1">
      <c r="A55" s="3525"/>
      <c r="B55" s="3526"/>
      <c r="C55" s="3526"/>
      <c r="D55" s="3526"/>
      <c r="E55" s="3527"/>
    </row>
    <row r="56" spans="1:7" ht="13.5" hidden="1" thickBot="1"/>
    <row r="57" spans="1:7" ht="32.25" hidden="1" thickBot="1">
      <c r="A57" s="1087" t="s">
        <v>3123</v>
      </c>
      <c r="B57" s="1088" t="s">
        <v>3124</v>
      </c>
      <c r="C57" s="1088" t="s">
        <v>3125</v>
      </c>
      <c r="D57" s="1088" t="s">
        <v>3129</v>
      </c>
    </row>
    <row r="58" spans="1:7" ht="16.5" hidden="1" thickBot="1">
      <c r="A58" s="1254"/>
      <c r="B58" s="1081"/>
      <c r="C58" s="1083"/>
      <c r="D58" s="1082"/>
    </row>
    <row r="59" spans="1:7">
      <c r="C59" s="6">
        <f>+C11+C23+C48</f>
        <v>785676797</v>
      </c>
      <c r="D59" s="6">
        <f>+D11+D23+D48</f>
        <v>27803735.190000001</v>
      </c>
      <c r="E59" s="6">
        <f>+E11+E23+E48</f>
        <v>813480532.19000006</v>
      </c>
    </row>
    <row r="60" spans="1:7" ht="13.5" thickBot="1">
      <c r="A60" s="3525" t="s">
        <v>3702</v>
      </c>
      <c r="B60" s="3526"/>
      <c r="C60" s="3526"/>
      <c r="D60" s="3526"/>
      <c r="E60" s="3527"/>
    </row>
    <row r="61" spans="1:7" ht="13.5" thickBot="1"/>
    <row r="62" spans="1:7" ht="32.25" thickBot="1">
      <c r="A62" s="1079" t="s">
        <v>3123</v>
      </c>
      <c r="B62" s="1080" t="s">
        <v>3124</v>
      </c>
      <c r="C62" s="1080" t="s">
        <v>3125</v>
      </c>
      <c r="D62" s="1080" t="s">
        <v>3129</v>
      </c>
    </row>
    <row r="63" spans="1:7" ht="30.75" thickBot="1">
      <c r="A63" s="2240" t="s">
        <v>3315</v>
      </c>
      <c r="B63" s="1711" t="s">
        <v>3716</v>
      </c>
      <c r="C63" s="1709">
        <v>31100000</v>
      </c>
      <c r="D63" s="1712" t="s">
        <v>3560</v>
      </c>
    </row>
    <row r="64" spans="1:7" ht="30.75" thickBot="1">
      <c r="A64" s="1706" t="s">
        <v>3316</v>
      </c>
      <c r="B64" s="1707" t="s">
        <v>3717</v>
      </c>
      <c r="C64" s="1710">
        <v>17900000</v>
      </c>
      <c r="D64" s="1713" t="s">
        <v>3561</v>
      </c>
    </row>
    <row r="65" spans="1:4" ht="30.75" thickBot="1">
      <c r="A65" s="1706" t="s">
        <v>3317</v>
      </c>
      <c r="B65" s="1707" t="s">
        <v>3718</v>
      </c>
      <c r="C65" s="1710">
        <v>20300000</v>
      </c>
      <c r="D65" s="1713" t="s">
        <v>3562</v>
      </c>
    </row>
    <row r="66" spans="1:4" ht="30.75" thickBot="1">
      <c r="A66" s="1706" t="s">
        <v>3558</v>
      </c>
      <c r="B66" s="1707" t="s">
        <v>3719</v>
      </c>
      <c r="C66" s="1710">
        <v>15100000</v>
      </c>
      <c r="D66" s="1713" t="s">
        <v>3563</v>
      </c>
    </row>
    <row r="67" spans="1:4" ht="30.75" thickBot="1">
      <c r="A67" s="1706" t="s">
        <v>3559</v>
      </c>
      <c r="B67" s="1707" t="s">
        <v>3720</v>
      </c>
      <c r="C67" s="1710">
        <v>35970000</v>
      </c>
      <c r="D67" s="1713" t="s">
        <v>3564</v>
      </c>
    </row>
    <row r="68" spans="1:4" customFormat="1" ht="30.75" thickBot="1">
      <c r="A68" s="1706" t="s">
        <v>3721</v>
      </c>
      <c r="B68" s="1707" t="s">
        <v>3586</v>
      </c>
      <c r="C68" s="1710">
        <v>95794215</v>
      </c>
      <c r="D68" s="1713" t="s">
        <v>3589</v>
      </c>
    </row>
    <row r="69" spans="1:4" customFormat="1" ht="77.25" customHeight="1" thickBot="1">
      <c r="A69" s="1706" t="s">
        <v>3590</v>
      </c>
      <c r="B69" s="1707" t="s">
        <v>3591</v>
      </c>
      <c r="C69" s="1710">
        <v>35000000</v>
      </c>
      <c r="D69" s="1713"/>
    </row>
    <row r="70" spans="1:4" customFormat="1" ht="30.75" thickBot="1">
      <c r="A70" s="1706" t="s">
        <v>3722</v>
      </c>
      <c r="B70" s="1707" t="s">
        <v>3587</v>
      </c>
      <c r="C70" s="1710">
        <v>24701653</v>
      </c>
      <c r="D70" s="1713" t="s">
        <v>3588</v>
      </c>
    </row>
    <row r="71" spans="1:4" customFormat="1" ht="16.5" thickBot="1">
      <c r="A71" s="1706"/>
      <c r="B71" s="1707"/>
      <c r="C71" s="1710"/>
      <c r="D71" s="1713"/>
    </row>
    <row r="72" spans="1:4" ht="16.5" thickBot="1">
      <c r="A72" s="1706" t="s">
        <v>3130</v>
      </c>
      <c r="B72" s="1707"/>
      <c r="C72" s="1083">
        <v>2048454</v>
      </c>
      <c r="D72" s="1713"/>
    </row>
    <row r="74" spans="1:4">
      <c r="A74" s="1091"/>
    </row>
    <row r="75" spans="1:4" ht="15.75">
      <c r="A75" s="1092" t="s">
        <v>3128</v>
      </c>
      <c r="B75" s="1090"/>
      <c r="C75" s="1086">
        <f>SUM(C63:C72)</f>
        <v>277914322</v>
      </c>
    </row>
    <row r="76" spans="1:4" ht="15.75">
      <c r="A76" s="1092" t="s">
        <v>3131</v>
      </c>
      <c r="B76" s="1090"/>
      <c r="C76" s="1086">
        <f>+C58</f>
        <v>0</v>
      </c>
    </row>
    <row r="77" spans="1:4" ht="15.75">
      <c r="A77" s="1092" t="s">
        <v>3132</v>
      </c>
      <c r="B77" s="1090"/>
      <c r="C77" s="1086">
        <f>+C75</f>
        <v>277914322</v>
      </c>
      <c r="D77" s="6"/>
    </row>
    <row r="78" spans="1:4">
      <c r="A78" s="1057"/>
      <c r="B78" s="1089" t="s">
        <v>3133</v>
      </c>
      <c r="C78" s="6">
        <f>SUM(C76:C77)</f>
        <v>277914322</v>
      </c>
    </row>
  </sheetData>
  <sheetProtection selectLockedCells="1" selectUnlockedCells="1"/>
  <mergeCells count="7">
    <mergeCell ref="A60:E60"/>
    <mergeCell ref="A22:E22"/>
    <mergeCell ref="A1:E1"/>
    <mergeCell ref="A12:E12"/>
    <mergeCell ref="A25:E25"/>
    <mergeCell ref="A47:B47"/>
    <mergeCell ref="A55:E55"/>
  </mergeCells>
  <phoneticPr fontId="143" type="noConversion"/>
  <pageMargins left="0.15748031496062992" right="0.15748031496062992" top="0.98425196850393704" bottom="0.98425196850393704" header="0.51181102362204722" footer="0.51181102362204722"/>
  <pageSetup paperSize="9" scale="61" firstPageNumber="0" orientation="portrait" cellComments="atEnd" horizontalDpi="300" verticalDpi="3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45C3-0D57-4629-AA1E-BC6362E1BC06}">
  <sheetPr>
    <tabColor theme="7" tint="0.39997558519241921"/>
  </sheetPr>
  <dimension ref="A1:AQ160"/>
  <sheetViews>
    <sheetView view="pageBreakPreview" zoomScaleSheetLayoutView="100" workbookViewId="0">
      <pane xSplit="4" ySplit="6" topLeftCell="G7" activePane="bottomRight" state="frozen"/>
      <selection sqref="A1:AC1"/>
      <selection pane="topRight" sqref="A1:AC1"/>
      <selection pane="bottomLeft" sqref="A1:AC1"/>
      <selection pane="bottomRight" sqref="A1:AD1"/>
    </sheetView>
  </sheetViews>
  <sheetFormatPr defaultColWidth="8" defaultRowHeight="12.75"/>
  <cols>
    <col min="1" max="1" width="10.85546875" style="88" customWidth="1"/>
    <col min="2" max="2" width="61.140625" style="89" customWidth="1"/>
    <col min="3" max="3" width="12.7109375" style="89" hidden="1" customWidth="1"/>
    <col min="4" max="4" width="13" style="135" hidden="1" customWidth="1"/>
    <col min="5" max="5" width="16" style="135" hidden="1" customWidth="1"/>
    <col min="6" max="6" width="15.42578125" style="135" hidden="1" customWidth="1"/>
    <col min="7" max="7" width="14.140625" style="135" customWidth="1"/>
    <col min="8" max="8" width="13" style="135" hidden="1" customWidth="1"/>
    <col min="9" max="9" width="12.140625" style="135" hidden="1" customWidth="1"/>
    <col min="10" max="10" width="13.7109375" style="47" hidden="1" customWidth="1"/>
    <col min="11" max="12" width="13" style="47" hidden="1" customWidth="1"/>
    <col min="13" max="13" width="13" style="47" customWidth="1"/>
    <col min="14" max="14" width="13" style="47" hidden="1" customWidth="1"/>
    <col min="15" max="15" width="12.42578125" style="47" customWidth="1"/>
    <col min="16" max="16" width="13.28515625" style="47" hidden="1" customWidth="1"/>
    <col min="17" max="18" width="12.42578125" style="47" hidden="1" customWidth="1"/>
    <col min="19" max="19" width="12.42578125" style="47" customWidth="1"/>
    <col min="20" max="20" width="12.42578125" style="47" hidden="1" customWidth="1"/>
    <col min="21" max="21" width="12.42578125" style="47" customWidth="1"/>
    <col min="22" max="22" width="13.42578125" style="47" hidden="1" customWidth="1"/>
    <col min="23" max="23" width="13.5703125" style="47" hidden="1" customWidth="1"/>
    <col min="24" max="24" width="12.42578125" style="47" hidden="1" customWidth="1"/>
    <col min="25" max="25" width="13" style="47" customWidth="1"/>
    <col min="26" max="26" width="12.42578125" style="47" hidden="1" customWidth="1"/>
    <col min="27" max="27" width="12.42578125" style="47" customWidth="1"/>
    <col min="28" max="28" width="12.42578125" style="136" hidden="1" customWidth="1"/>
    <col min="29" max="29" width="13.5703125" style="136" hidden="1" customWidth="1"/>
    <col min="30" max="33" width="12.42578125" style="136" hidden="1" customWidth="1"/>
    <col min="34" max="34" width="9" style="137" hidden="1" customWidth="1"/>
    <col min="35" max="35" width="8.7109375" style="89" hidden="1" customWidth="1"/>
    <col min="36" max="37" width="10.85546875" style="89" hidden="1" customWidth="1"/>
    <col min="38" max="38" width="11.42578125" style="89" hidden="1" customWidth="1"/>
    <col min="39" max="39" width="10.7109375" style="89" hidden="1" customWidth="1"/>
    <col min="40" max="40" width="10" style="89" hidden="1" customWidth="1"/>
    <col min="41" max="41" width="10.85546875" style="89" customWidth="1"/>
    <col min="42" max="16384" width="8" style="89"/>
  </cols>
  <sheetData>
    <row r="1" spans="1:43" s="92" customFormat="1" ht="25.5" customHeight="1" thickBot="1">
      <c r="A1" s="3594" t="s">
        <v>4260</v>
      </c>
      <c r="B1" s="3594"/>
      <c r="C1" s="3594"/>
      <c r="D1" s="3594"/>
      <c r="E1" s="3594"/>
      <c r="F1" s="3594"/>
      <c r="G1" s="3594"/>
      <c r="H1" s="3594"/>
      <c r="I1" s="3594"/>
      <c r="J1" s="3594"/>
      <c r="K1" s="3594"/>
      <c r="L1" s="3594"/>
      <c r="M1" s="3594"/>
      <c r="N1" s="3594"/>
      <c r="O1" s="3594"/>
      <c r="P1" s="3594"/>
      <c r="Q1" s="3594"/>
      <c r="R1" s="3594"/>
      <c r="S1" s="3594"/>
      <c r="T1" s="3594"/>
      <c r="U1" s="3594"/>
      <c r="V1" s="3594"/>
      <c r="W1" s="3594"/>
      <c r="X1" s="3594"/>
      <c r="Y1" s="3594"/>
      <c r="Z1" s="3594"/>
      <c r="AA1" s="3594"/>
      <c r="AB1" s="3594"/>
      <c r="AC1" s="3594"/>
      <c r="AD1" s="3594"/>
      <c r="AE1" s="138"/>
      <c r="AF1" s="1376"/>
      <c r="AG1" s="139"/>
      <c r="AH1" s="1685"/>
      <c r="AI1" s="1686"/>
      <c r="AJ1" s="1687"/>
      <c r="AK1" s="1687"/>
      <c r="AL1" s="1687"/>
      <c r="AM1" s="1688"/>
    </row>
    <row r="2" spans="1:43" s="94" customFormat="1" ht="33" customHeight="1">
      <c r="A2" s="1433"/>
      <c r="B2" s="3595" t="s">
        <v>3388</v>
      </c>
      <c r="C2" s="3595"/>
      <c r="D2" s="3595"/>
      <c r="E2" s="3595"/>
      <c r="F2" s="3595"/>
      <c r="G2" s="3595"/>
      <c r="H2" s="3595"/>
      <c r="I2" s="3595"/>
      <c r="J2" s="3595"/>
      <c r="K2" s="3595"/>
      <c r="L2" s="3595"/>
      <c r="M2" s="3595"/>
      <c r="N2" s="3595"/>
      <c r="O2" s="3595"/>
      <c r="P2" s="3595"/>
      <c r="Q2" s="3595"/>
      <c r="R2" s="3595"/>
      <c r="S2" s="3595"/>
      <c r="T2" s="3595"/>
      <c r="U2" s="3595"/>
      <c r="V2" s="3595"/>
      <c r="W2" s="3595"/>
      <c r="X2" s="3595"/>
      <c r="Y2" s="3595"/>
      <c r="Z2" s="3595"/>
      <c r="AA2" s="3595"/>
      <c r="AB2" s="3595"/>
      <c r="AC2" s="3595"/>
      <c r="AD2" s="3595"/>
      <c r="AE2" s="1681"/>
      <c r="AF2" s="1682"/>
      <c r="AG2" s="2378"/>
      <c r="AH2" s="2386"/>
      <c r="AM2" s="1689"/>
    </row>
    <row r="3" spans="1:43" s="94" customFormat="1" ht="18" customHeight="1">
      <c r="A3" s="1960"/>
      <c r="B3" s="2013" t="s">
        <v>2728</v>
      </c>
      <c r="C3" s="2013"/>
      <c r="D3" s="2013" t="s">
        <v>2729</v>
      </c>
      <c r="E3" s="2013" t="s">
        <v>2729</v>
      </c>
      <c r="F3" s="2013" t="s">
        <v>2729</v>
      </c>
      <c r="G3" s="2013" t="s">
        <v>2729</v>
      </c>
      <c r="H3" s="2013" t="s">
        <v>2729</v>
      </c>
      <c r="I3" s="2013"/>
      <c r="J3" s="2013" t="s">
        <v>2730</v>
      </c>
      <c r="K3" s="2013" t="s">
        <v>2730</v>
      </c>
      <c r="L3" s="2013" t="s">
        <v>2730</v>
      </c>
      <c r="M3" s="2013" t="s">
        <v>2730</v>
      </c>
      <c r="N3" s="2013" t="s">
        <v>2730</v>
      </c>
      <c r="O3" s="2013" t="s">
        <v>2731</v>
      </c>
      <c r="P3" s="2013" t="s">
        <v>2731</v>
      </c>
      <c r="Q3" s="2013" t="s">
        <v>2731</v>
      </c>
      <c r="R3" s="2013" t="s">
        <v>2731</v>
      </c>
      <c r="S3" s="2013" t="s">
        <v>2732</v>
      </c>
      <c r="T3" s="2013" t="s">
        <v>2731</v>
      </c>
      <c r="U3" s="2013" t="s">
        <v>2733</v>
      </c>
      <c r="V3" s="2013" t="s">
        <v>2732</v>
      </c>
      <c r="W3" s="2013" t="s">
        <v>2732</v>
      </c>
      <c r="X3" s="2013" t="s">
        <v>2732</v>
      </c>
      <c r="Y3" s="2013" t="s">
        <v>3463</v>
      </c>
      <c r="Z3" s="2218" t="s">
        <v>2732</v>
      </c>
      <c r="AA3" s="2013" t="s">
        <v>3464</v>
      </c>
      <c r="AB3" s="2218"/>
      <c r="AC3" s="2218"/>
      <c r="AD3" s="2218"/>
      <c r="AE3" s="2054"/>
      <c r="AF3" s="1874"/>
      <c r="AG3" s="2379"/>
      <c r="AH3" s="2387"/>
      <c r="AM3" s="1689"/>
    </row>
    <row r="4" spans="1:43" s="2007" customFormat="1" ht="72.75" customHeight="1" thickBot="1">
      <c r="A4" s="1915" t="s">
        <v>6</v>
      </c>
      <c r="B4" s="1915" t="str">
        <f>+'5. mell.Önk-i mérleg'!B4</f>
        <v>Bevételi jogcímek</v>
      </c>
      <c r="C4" s="1915" t="str">
        <f>+'1. mell.ÖSSZEVONT_MÉRLEG'!C5</f>
        <v>2024. évi eredeti előirányzat
forintban</v>
      </c>
      <c r="D4" s="1915" t="str">
        <f>+'1. mell.ÖSSZEVONT_MÉRLEG'!E5</f>
        <v>2025. évi eredeti előirányzat forintban</v>
      </c>
      <c r="E4" s="1915" t="str">
        <f>+'1. mell.ÖSSZEVONT_MÉRLEG'!F5</f>
        <v>2025. évi I. számú módosított előirányzat
forintban</v>
      </c>
      <c r="F4" s="1915" t="str">
        <f>+'1. mell.ÖSSZEVONT_MÉRLEG'!G5</f>
        <v>2025. évi II. számú módosított előirányzat forintban</v>
      </c>
      <c r="G4" s="1915" t="str">
        <f>+'1. mell.ÖSSZEVONT_MÉRLEG'!H5</f>
        <v>2025. évi III. számú módosított előirányzat forintban</v>
      </c>
      <c r="H4" s="1915" t="str">
        <f>+'1. mell.ÖSSZEVONT_MÉRLEG'!I5</f>
        <v>2025. évi IV. számú módosított előirányzat forintban</v>
      </c>
      <c r="I4" s="1917" t="str">
        <f>+'1. mell.ÖSSZEVONT_MÉRLEG'!J5</f>
        <v>2025. évi
teljesítés forintban</v>
      </c>
      <c r="J4" s="1918" t="str">
        <f>+'4.mell.ÖSSZEVONT (Bontas)'!J5</f>
        <v>Kötelező feladat forintban</v>
      </c>
      <c r="K4" s="1919" t="str">
        <f>+'4.mell.ÖSSZEVONT (Bontas)'!K5</f>
        <v>Kötelező feladat 
I. módosítás
forintban</v>
      </c>
      <c r="L4" s="1920" t="str">
        <f>+'4.mell.ÖSSZEVONT (Bontas)'!L5</f>
        <v>Kötelező feladat II. módosítás forintban</v>
      </c>
      <c r="M4" s="1921" t="str">
        <f>+'4.mell.ÖSSZEVONT (Bontas)'!M5</f>
        <v>Kötelező feladat III. módosítás forintban</v>
      </c>
      <c r="N4" s="1922" t="str">
        <f>+'4.mell.ÖSSZEVONT (Bontas)'!N5</f>
        <v>Kötelező feladat IV. módosítás forintban</v>
      </c>
      <c r="O4" s="1922" t="str">
        <f>+'4.mell.ÖSSZEVONT (Bontas)'!O5</f>
        <v>Kötelező teljesítés forintban</v>
      </c>
      <c r="P4" s="1918" t="str">
        <f>+'4.mell.ÖSSZEVONT (Bontas)'!P5</f>
        <v>Önként vállalt feladat forintban</v>
      </c>
      <c r="Q4" s="1919" t="str">
        <f>+'4.mell.ÖSSZEVONT (Bontas)'!Q5</f>
        <v>Önként vállalt feladat 
I. módosítás
forintban</v>
      </c>
      <c r="R4" s="1920" t="str">
        <f>+'4.mell.ÖSSZEVONT (Bontas)'!R5</f>
        <v>Önként vállalt feladat II. módosítás forintban</v>
      </c>
      <c r="S4" s="1921" t="str">
        <f>+'4.mell.ÖSSZEVONT (Bontas)'!S5</f>
        <v>Önként vállalt feladat III. módosítás forintban</v>
      </c>
      <c r="T4" s="1922" t="str">
        <f>+'4.mell.ÖSSZEVONT (Bontas)'!T5</f>
        <v>Önként vállalt feladat IV. módosítás forintban</v>
      </c>
      <c r="U4" s="1922" t="str">
        <f>+'4.mell.ÖSSZEVONT (Bontas)'!U5</f>
        <v>Önként vállalt teljesítés forintban</v>
      </c>
      <c r="V4" s="1918" t="str">
        <f>+'4.mell.ÖSSZEVONT (Bontas)'!V5</f>
        <v>Államigazgatási feladat forintban</v>
      </c>
      <c r="W4" s="1919" t="str">
        <f>+'4.mell.ÖSSZEVONT (Bontas)'!W5</f>
        <v>Államigazgatási feladat 
I. módosítás
forintban</v>
      </c>
      <c r="X4" s="1920" t="str">
        <f>+'4.mell.ÖSSZEVONT (Bontas)'!X5</f>
        <v>Államigazgatási feladat II. módosítás forintban</v>
      </c>
      <c r="Y4" s="1921" t="str">
        <f>+'4.mell.ÖSSZEVONT (Bontas)'!Y5</f>
        <v xml:space="preserve">Államigazgatási feladat III. módosítás forintban </v>
      </c>
      <c r="Z4" s="1922" t="str">
        <f>+'4.mell.ÖSSZEVONT (Bontas)'!Z5</f>
        <v>Államigazgatási feladat IV. módosítás forintban</v>
      </c>
      <c r="AA4" s="1922" t="str">
        <f>+'4.mell.ÖSSZEVONT (Bontas)'!AA5</f>
        <v>Államigazgatási teljesítés forintban</v>
      </c>
      <c r="AB4" s="2055" t="s">
        <v>156</v>
      </c>
      <c r="AC4" s="1919" t="s">
        <v>454</v>
      </c>
      <c r="AD4" s="1920" t="s">
        <v>455</v>
      </c>
      <c r="AE4" s="1921" t="s">
        <v>456</v>
      </c>
      <c r="AF4" s="1922" t="s">
        <v>457</v>
      </c>
      <c r="AG4" s="2380" t="s">
        <v>495</v>
      </c>
      <c r="AH4" s="2388" t="s">
        <v>459</v>
      </c>
      <c r="AI4" s="3599" t="s">
        <v>459</v>
      </c>
      <c r="AJ4" s="3600"/>
      <c r="AK4" s="3600"/>
      <c r="AM4" s="2008"/>
    </row>
    <row r="5" spans="1:43" s="99" customFormat="1" ht="17.25" hidden="1" customHeight="1" thickBot="1">
      <c r="A5" s="2014">
        <f>+'4.mell.ÖSSZEVONT (Bontas)'!A6</f>
        <v>0</v>
      </c>
      <c r="B5" s="2014">
        <f>+'4.mell.ÖSSZEVONT (Bontas)'!B6</f>
        <v>0</v>
      </c>
      <c r="C5" s="2014">
        <f>+'4.mell.ÖSSZEVONT (Bontas)'!C6</f>
        <v>0</v>
      </c>
      <c r="D5" s="2014">
        <f>+'4.mell.ÖSSZEVONT (Bontas)'!D6</f>
        <v>0</v>
      </c>
      <c r="E5" s="2014">
        <f>+'4.mell.ÖSSZEVONT (Bontas)'!E6</f>
        <v>0</v>
      </c>
      <c r="F5" s="2014">
        <f>+'4.mell.ÖSSZEVONT (Bontas)'!F6</f>
        <v>0</v>
      </c>
      <c r="G5" s="2014">
        <f>+'4.mell.ÖSSZEVONT (Bontas)'!G6</f>
        <v>0</v>
      </c>
      <c r="H5" s="2014">
        <f>+'4.mell.ÖSSZEVONT (Bontas)'!H6</f>
        <v>0</v>
      </c>
      <c r="I5" s="2014">
        <f>+'4.mell.ÖSSZEVONT (Bontas)'!I6</f>
        <v>0</v>
      </c>
      <c r="J5" s="2014">
        <f>+'4.mell.ÖSSZEVONT (Bontas)'!J6</f>
        <v>0</v>
      </c>
      <c r="K5" s="2014">
        <f>+'4.mell.ÖSSZEVONT (Bontas)'!K6</f>
        <v>0</v>
      </c>
      <c r="L5" s="2014">
        <f>+'4.mell.ÖSSZEVONT (Bontas)'!L6</f>
        <v>0</v>
      </c>
      <c r="M5" s="2014">
        <f>+'4.mell.ÖSSZEVONT (Bontas)'!M6</f>
        <v>0</v>
      </c>
      <c r="N5" s="2014">
        <f>+'4.mell.ÖSSZEVONT (Bontas)'!N6</f>
        <v>0</v>
      </c>
      <c r="O5" s="2014">
        <f>+'4.mell.ÖSSZEVONT (Bontas)'!O6</f>
        <v>0</v>
      </c>
      <c r="P5" s="2014">
        <f>+'4.mell.ÖSSZEVONT (Bontas)'!P6</f>
        <v>0</v>
      </c>
      <c r="Q5" s="2014">
        <f>+'4.mell.ÖSSZEVONT (Bontas)'!Q6</f>
        <v>0</v>
      </c>
      <c r="R5" s="2014">
        <f>+'4.mell.ÖSSZEVONT (Bontas)'!R6</f>
        <v>0</v>
      </c>
      <c r="S5" s="2014">
        <f>+'4.mell.ÖSSZEVONT (Bontas)'!S6</f>
        <v>0</v>
      </c>
      <c r="T5" s="2014">
        <f>+'4.mell.ÖSSZEVONT (Bontas)'!T6</f>
        <v>0</v>
      </c>
      <c r="U5" s="2014">
        <f>+'4.mell.ÖSSZEVONT (Bontas)'!U6</f>
        <v>0</v>
      </c>
      <c r="V5" s="2014">
        <f>+'4.mell.ÖSSZEVONT (Bontas)'!V6</f>
        <v>0</v>
      </c>
      <c r="W5" s="2014">
        <f>+'4.mell.ÖSSZEVONT (Bontas)'!W6</f>
        <v>6</v>
      </c>
      <c r="X5" s="2014">
        <f>+'4.mell.ÖSSZEVONT (Bontas)'!X6</f>
        <v>6</v>
      </c>
      <c r="Y5" s="2014">
        <f>+'4.mell.ÖSSZEVONT (Bontas)'!Y6</f>
        <v>6</v>
      </c>
      <c r="Z5" s="2014">
        <f>+'4.mell.ÖSSZEVONT (Bontas)'!Z6</f>
        <v>0</v>
      </c>
      <c r="AA5" s="2014">
        <f>+'4.mell.ÖSSZEVONT (Bontas)'!AA6</f>
        <v>0</v>
      </c>
      <c r="AB5" s="2014">
        <f>+'4.mell.ÖSSZEVONT (Bontas)'!AB6</f>
        <v>0</v>
      </c>
      <c r="AC5" s="2014">
        <f>+'4.mell.ÖSSZEVONT (Bontas)'!AC6</f>
        <v>0</v>
      </c>
      <c r="AD5" s="2014">
        <f>+'4.mell.ÖSSZEVONT (Bontas)'!AD6</f>
        <v>0</v>
      </c>
      <c r="AE5" s="2056"/>
      <c r="AF5" s="2056"/>
      <c r="AG5" s="2381"/>
      <c r="AH5" s="2389"/>
      <c r="AM5" s="1690"/>
    </row>
    <row r="6" spans="1:43" s="99" customFormat="1" ht="17.25" hidden="1" customHeight="1" thickBot="1">
      <c r="A6" s="1875"/>
      <c r="B6" s="1875" t="s">
        <v>390</v>
      </c>
      <c r="C6" s="1875"/>
      <c r="D6" s="2015"/>
      <c r="E6" s="2016" t="s">
        <v>2702</v>
      </c>
      <c r="F6" s="2015"/>
      <c r="G6" s="2015"/>
      <c r="H6" s="2015"/>
      <c r="I6" s="2015"/>
      <c r="J6" s="2017"/>
      <c r="K6" s="2017"/>
      <c r="L6" s="2017"/>
      <c r="M6" s="2017"/>
      <c r="N6" s="2017"/>
      <c r="O6" s="2017"/>
      <c r="P6" s="2017"/>
      <c r="Q6" s="2017"/>
      <c r="R6" s="2017"/>
      <c r="S6" s="2017"/>
      <c r="T6" s="2017"/>
      <c r="U6" s="2017"/>
      <c r="V6" s="2017"/>
      <c r="W6" s="2017"/>
      <c r="X6" s="2017"/>
      <c r="Y6" s="2017"/>
      <c r="Z6" s="2017"/>
      <c r="AA6" s="2017"/>
      <c r="AB6" s="2017"/>
      <c r="AC6" s="3596"/>
      <c r="AD6" s="3596"/>
      <c r="AE6" s="3596"/>
      <c r="AF6" s="3596"/>
      <c r="AG6" s="2382"/>
      <c r="AH6" s="2390"/>
      <c r="AI6" s="3597"/>
      <c r="AJ6" s="3598"/>
      <c r="AK6" s="3598"/>
      <c r="AM6" s="1690"/>
    </row>
    <row r="7" spans="1:43" s="99" customFormat="1" ht="25.5" customHeight="1">
      <c r="A7" s="1966" t="s">
        <v>3353</v>
      </c>
      <c r="B7" s="1967" t="s">
        <v>3381</v>
      </c>
      <c r="C7" s="1968">
        <f t="shared" ref="C7:AG7" si="0">+C8+C9+C10+C11+C12+C13</f>
        <v>6535171723</v>
      </c>
      <c r="D7" s="1968">
        <f t="shared" si="0"/>
        <v>6635944194</v>
      </c>
      <c r="E7" s="1968">
        <f t="shared" si="0"/>
        <v>6691653646</v>
      </c>
      <c r="F7" s="1968">
        <f t="shared" si="0"/>
        <v>6877928836</v>
      </c>
      <c r="G7" s="1968">
        <f t="shared" si="0"/>
        <v>7130846423</v>
      </c>
      <c r="H7" s="1968">
        <f t="shared" si="0"/>
        <v>7130846423</v>
      </c>
      <c r="I7" s="1968">
        <f t="shared" si="0"/>
        <v>7130846423</v>
      </c>
      <c r="J7" s="1968">
        <f t="shared" si="0"/>
        <v>6635944194</v>
      </c>
      <c r="K7" s="1968">
        <f t="shared" si="0"/>
        <v>6691653646</v>
      </c>
      <c r="L7" s="1968">
        <f t="shared" si="0"/>
        <v>6877928836</v>
      </c>
      <c r="M7" s="1968">
        <f t="shared" si="0"/>
        <v>7130846423</v>
      </c>
      <c r="N7" s="1968">
        <f t="shared" si="0"/>
        <v>7130846423</v>
      </c>
      <c r="O7" s="1968">
        <f t="shared" si="0"/>
        <v>7130846423</v>
      </c>
      <c r="P7" s="1968">
        <f t="shared" si="0"/>
        <v>0</v>
      </c>
      <c r="Q7" s="1968">
        <f t="shared" si="0"/>
        <v>0</v>
      </c>
      <c r="R7" s="1968">
        <f t="shared" si="0"/>
        <v>0</v>
      </c>
      <c r="S7" s="1968">
        <f t="shared" si="0"/>
        <v>0</v>
      </c>
      <c r="T7" s="1968">
        <f t="shared" si="0"/>
        <v>0</v>
      </c>
      <c r="U7" s="1968">
        <f t="shared" si="0"/>
        <v>0</v>
      </c>
      <c r="V7" s="1968">
        <f t="shared" si="0"/>
        <v>0</v>
      </c>
      <c r="W7" s="1968">
        <f t="shared" si="0"/>
        <v>0</v>
      </c>
      <c r="X7" s="1968">
        <f t="shared" si="0"/>
        <v>0</v>
      </c>
      <c r="Y7" s="1968">
        <f t="shared" si="0"/>
        <v>0</v>
      </c>
      <c r="Z7" s="1968">
        <f t="shared" si="0"/>
        <v>0</v>
      </c>
      <c r="AA7" s="1968">
        <f t="shared" si="0"/>
        <v>0</v>
      </c>
      <c r="AB7" s="1968">
        <f t="shared" si="0"/>
        <v>6635944194</v>
      </c>
      <c r="AC7" s="1968">
        <f t="shared" si="0"/>
        <v>6691653646</v>
      </c>
      <c r="AD7" s="1968">
        <f t="shared" si="0"/>
        <v>6877928836</v>
      </c>
      <c r="AE7" s="1968">
        <f t="shared" si="0"/>
        <v>7130846423</v>
      </c>
      <c r="AF7" s="1968">
        <f t="shared" si="0"/>
        <v>7130846423</v>
      </c>
      <c r="AG7" s="2044">
        <f t="shared" si="0"/>
        <v>7130846423</v>
      </c>
      <c r="AH7" s="2391">
        <f t="shared" ref="AH7:AH88" si="1">+D7-AB7</f>
        <v>0</v>
      </c>
      <c r="AI7" s="2377">
        <f t="shared" ref="AI7:AI88" si="2">+E7-AC7</f>
        <v>0</v>
      </c>
      <c r="AJ7" s="1694">
        <f t="shared" ref="AJ7:AJ88" si="3">+F7-AD7</f>
        <v>0</v>
      </c>
      <c r="AK7" s="1694">
        <f t="shared" ref="AK7:AK88" si="4">+G7-AE7</f>
        <v>0</v>
      </c>
      <c r="AL7" s="1694">
        <f t="shared" ref="AL7:AL88" si="5">+H7-AF7</f>
        <v>0</v>
      </c>
      <c r="AM7" s="1695">
        <f t="shared" ref="AM7:AM88" si="6">+I7-AG7</f>
        <v>0</v>
      </c>
      <c r="AN7" s="100"/>
      <c r="AO7" s="100"/>
      <c r="AP7" s="100"/>
      <c r="AQ7" s="100"/>
    </row>
    <row r="8" spans="1:43" s="108" customFormat="1" ht="12" customHeight="1">
      <c r="A8" s="1971" t="s">
        <v>176</v>
      </c>
      <c r="B8" s="1972" t="s">
        <v>177</v>
      </c>
      <c r="C8" s="1973">
        <f>+'7. mell. Önk.összes.bevétele'!I7</f>
        <v>1197603775</v>
      </c>
      <c r="D8" s="1973">
        <f>+'7. mell. Önk.összes.bevétele'!K7</f>
        <v>1196771675</v>
      </c>
      <c r="E8" s="1973">
        <f>+'7. mell. Önk.összes.bevétele'!L7</f>
        <v>1196771675</v>
      </c>
      <c r="F8" s="1973">
        <f>+'7. mell. Önk.összes.bevétele'!M7</f>
        <v>1196771675</v>
      </c>
      <c r="G8" s="1973">
        <f>+'7. mell. Önk.összes.bevétele'!N7</f>
        <v>1238973205</v>
      </c>
      <c r="H8" s="1973">
        <f>+'7. mell. Önk.összes.bevétele'!O7</f>
        <v>1238973205</v>
      </c>
      <c r="I8" s="1973">
        <f>+'7. mell. Önk.összes.bevétele'!P7</f>
        <v>1238973205</v>
      </c>
      <c r="J8" s="999">
        <f>+'7. mell. Önk.összes.bevétele'!K7-V8</f>
        <v>1196771675</v>
      </c>
      <c r="K8" s="999">
        <f>+'7. mell. Önk.összes.bevétele'!L7-W8</f>
        <v>1196771675</v>
      </c>
      <c r="L8" s="999">
        <f>+'7. mell. Önk.összes.bevétele'!M7-X8</f>
        <v>1196771675</v>
      </c>
      <c r="M8" s="999">
        <f>+'7. mell. Önk.összes.bevétele'!N7-Y8</f>
        <v>1238973205</v>
      </c>
      <c r="N8" s="999">
        <f>+'7. mell. Önk.összes.bevétele'!O7-Z8</f>
        <v>1238973205</v>
      </c>
      <c r="O8" s="999">
        <f>+'7. mell. Önk.összes.bevétele'!P7-AA8</f>
        <v>1238973205</v>
      </c>
      <c r="P8" s="999">
        <v>0</v>
      </c>
      <c r="Q8" s="999">
        <v>0</v>
      </c>
      <c r="R8" s="999">
        <v>0</v>
      </c>
      <c r="S8" s="999">
        <v>0</v>
      </c>
      <c r="T8" s="999">
        <v>0</v>
      </c>
      <c r="U8" s="999">
        <v>0</v>
      </c>
      <c r="V8" s="999">
        <v>0</v>
      </c>
      <c r="W8" s="999">
        <v>0</v>
      </c>
      <c r="X8" s="999">
        <v>0</v>
      </c>
      <c r="Y8" s="999">
        <v>0</v>
      </c>
      <c r="Z8" s="999"/>
      <c r="AA8" s="999">
        <v>0</v>
      </c>
      <c r="AB8" s="1890">
        <f t="shared" ref="AB8:AB13" si="7">+J8+P8+V8</f>
        <v>1196771675</v>
      </c>
      <c r="AC8" s="1890">
        <f t="shared" ref="AC8:AC13" si="8">+K8+Q8+W8</f>
        <v>1196771675</v>
      </c>
      <c r="AD8" s="1890">
        <f t="shared" ref="AD8:AD13" si="9">+L8+R8+X8</f>
        <v>1196771675</v>
      </c>
      <c r="AE8" s="1890">
        <f t="shared" ref="AE8:AE13" si="10">+M8+S8+Y8</f>
        <v>1238973205</v>
      </c>
      <c r="AF8" s="1890">
        <f t="shared" ref="AF8:AF13" si="11">+N8+T8+Z8</f>
        <v>1238973205</v>
      </c>
      <c r="AG8" s="2383">
        <f t="shared" ref="AG8:AG13" si="12">+O8+U8+AA8</f>
        <v>1238973205</v>
      </c>
      <c r="AH8" s="2391">
        <f t="shared" si="1"/>
        <v>0</v>
      </c>
      <c r="AI8" s="79">
        <f t="shared" si="2"/>
        <v>0</v>
      </c>
      <c r="AJ8" s="79">
        <f t="shared" si="3"/>
        <v>0</v>
      </c>
      <c r="AK8" s="79">
        <f t="shared" si="4"/>
        <v>0</v>
      </c>
      <c r="AL8" s="79">
        <f t="shared" si="5"/>
        <v>0</v>
      </c>
      <c r="AM8" s="1684">
        <f t="shared" si="6"/>
        <v>0</v>
      </c>
      <c r="AN8" s="1556"/>
      <c r="AO8" s="1556"/>
      <c r="AP8" s="1556"/>
      <c r="AQ8" s="1556"/>
    </row>
    <row r="9" spans="1:43" s="110" customFormat="1" ht="12" customHeight="1">
      <c r="A9" s="1971" t="s">
        <v>178</v>
      </c>
      <c r="B9" s="1972" t="s">
        <v>3535</v>
      </c>
      <c r="C9" s="1973">
        <f>+'7. mell. Önk.összes.bevétele'!I8</f>
        <v>2720986226</v>
      </c>
      <c r="D9" s="1973">
        <f>+'7. mell. Önk.összes.bevétele'!K8</f>
        <v>3022096356</v>
      </c>
      <c r="E9" s="1973">
        <f>+'7. mell. Önk.összes.bevétele'!L8</f>
        <v>3022096356</v>
      </c>
      <c r="F9" s="1973">
        <f>+'7. mell. Önk.összes.bevétele'!M8</f>
        <v>3022096356</v>
      </c>
      <c r="G9" s="1973">
        <f>+'7. mell. Önk.összes.bevétele'!N8</f>
        <v>3011772170</v>
      </c>
      <c r="H9" s="1973">
        <f>+'7. mell. Önk.összes.bevétele'!O8</f>
        <v>3011772170</v>
      </c>
      <c r="I9" s="1973">
        <f>+'7. mell. Önk.összes.bevétele'!P8</f>
        <v>3011772170</v>
      </c>
      <c r="J9" s="999">
        <f>+'7. mell. Önk.összes.bevétele'!K8</f>
        <v>3022096356</v>
      </c>
      <c r="K9" s="999">
        <f>+'7. mell. Önk.összes.bevétele'!L8</f>
        <v>3022096356</v>
      </c>
      <c r="L9" s="999">
        <f>+'7. mell. Önk.összes.bevétele'!M8</f>
        <v>3022096356</v>
      </c>
      <c r="M9" s="999">
        <f>+'7. mell. Önk.összes.bevétele'!N8</f>
        <v>3011772170</v>
      </c>
      <c r="N9" s="999">
        <f>+'7. mell. Önk.összes.bevétele'!O8</f>
        <v>3011772170</v>
      </c>
      <c r="O9" s="999">
        <f>+'7. mell. Önk.összes.bevétele'!P8</f>
        <v>3011772170</v>
      </c>
      <c r="P9" s="999">
        <v>0</v>
      </c>
      <c r="Q9" s="999">
        <v>0</v>
      </c>
      <c r="R9" s="999">
        <v>0</v>
      </c>
      <c r="S9" s="999">
        <v>0</v>
      </c>
      <c r="T9" s="999">
        <v>0</v>
      </c>
      <c r="U9" s="999">
        <v>0</v>
      </c>
      <c r="V9" s="999">
        <v>0</v>
      </c>
      <c r="W9" s="999">
        <v>0</v>
      </c>
      <c r="X9" s="999">
        <v>0</v>
      </c>
      <c r="Y9" s="999">
        <v>0</v>
      </c>
      <c r="Z9" s="999"/>
      <c r="AA9" s="999">
        <v>0</v>
      </c>
      <c r="AB9" s="1890">
        <f t="shared" si="7"/>
        <v>3022096356</v>
      </c>
      <c r="AC9" s="1890">
        <f t="shared" si="8"/>
        <v>3022096356</v>
      </c>
      <c r="AD9" s="1890">
        <f t="shared" si="9"/>
        <v>3022096356</v>
      </c>
      <c r="AE9" s="1890">
        <f t="shared" si="10"/>
        <v>3011772170</v>
      </c>
      <c r="AF9" s="1890">
        <f t="shared" si="11"/>
        <v>3011772170</v>
      </c>
      <c r="AG9" s="2383">
        <f t="shared" si="12"/>
        <v>3011772170</v>
      </c>
      <c r="AH9" s="2391">
        <f t="shared" si="1"/>
        <v>0</v>
      </c>
      <c r="AI9" s="79">
        <f t="shared" si="2"/>
        <v>0</v>
      </c>
      <c r="AJ9" s="79">
        <f t="shared" si="3"/>
        <v>0</v>
      </c>
      <c r="AK9" s="79">
        <f t="shared" si="4"/>
        <v>0</v>
      </c>
      <c r="AL9" s="79">
        <f t="shared" si="5"/>
        <v>0</v>
      </c>
      <c r="AM9" s="1684">
        <f t="shared" si="6"/>
        <v>0</v>
      </c>
      <c r="AN9" s="1557"/>
      <c r="AO9" s="1557"/>
      <c r="AP9" s="1557"/>
      <c r="AQ9" s="1557"/>
    </row>
    <row r="10" spans="1:43" s="110" customFormat="1" ht="22.5" customHeight="1">
      <c r="A10" s="1971" t="s">
        <v>179</v>
      </c>
      <c r="B10" s="1972" t="s">
        <v>3536</v>
      </c>
      <c r="C10" s="999">
        <f>+'7. mell. Önk.összes.bevétele'!I9</f>
        <v>2575588594</v>
      </c>
      <c r="D10" s="999">
        <f>+'7. mell. Önk.összes.bevétele'!K9</f>
        <v>2376252867</v>
      </c>
      <c r="E10" s="999">
        <f>+'7. mell. Önk.összes.bevétele'!L9</f>
        <v>2376252867</v>
      </c>
      <c r="F10" s="999">
        <f>+'7. mell. Önk.összes.bevétele'!M9</f>
        <v>2509438057</v>
      </c>
      <c r="G10" s="999">
        <f>+'7. mell. Önk.összes.bevétele'!N9</f>
        <v>2731130554</v>
      </c>
      <c r="H10" s="999">
        <f>+'7. mell. Önk.összes.bevétele'!O9</f>
        <v>2731130554</v>
      </c>
      <c r="I10" s="999">
        <f>+'7. mell. Önk.összes.bevétele'!P9</f>
        <v>2731130554</v>
      </c>
      <c r="J10" s="999">
        <f>+'7. mell. Önk.összes.bevétele'!K9</f>
        <v>2376252867</v>
      </c>
      <c r="K10" s="999">
        <f>+'7. mell. Önk.összes.bevétele'!L9</f>
        <v>2376252867</v>
      </c>
      <c r="L10" s="999">
        <f>+'7. mell. Önk.összes.bevétele'!M9</f>
        <v>2509438057</v>
      </c>
      <c r="M10" s="999">
        <f>+'7. mell. Önk.összes.bevétele'!N9</f>
        <v>2731130554</v>
      </c>
      <c r="N10" s="999">
        <f>+'7. mell. Önk.összes.bevétele'!O9</f>
        <v>2731130554</v>
      </c>
      <c r="O10" s="999">
        <f>+'7. mell. Önk.összes.bevétele'!P9</f>
        <v>2731130554</v>
      </c>
      <c r="P10" s="999">
        <v>0</v>
      </c>
      <c r="Q10" s="999">
        <v>0</v>
      </c>
      <c r="R10" s="999">
        <v>0</v>
      </c>
      <c r="S10" s="999">
        <v>0</v>
      </c>
      <c r="T10" s="999">
        <v>0</v>
      </c>
      <c r="U10" s="999">
        <v>0</v>
      </c>
      <c r="V10" s="999">
        <v>0</v>
      </c>
      <c r="W10" s="999">
        <v>0</v>
      </c>
      <c r="X10" s="999">
        <v>0</v>
      </c>
      <c r="Y10" s="999">
        <v>0</v>
      </c>
      <c r="Z10" s="999"/>
      <c r="AA10" s="999">
        <v>0</v>
      </c>
      <c r="AB10" s="1890">
        <f t="shared" si="7"/>
        <v>2376252867</v>
      </c>
      <c r="AC10" s="1890">
        <f t="shared" si="8"/>
        <v>2376252867</v>
      </c>
      <c r="AD10" s="1890">
        <f t="shared" si="9"/>
        <v>2509438057</v>
      </c>
      <c r="AE10" s="1890">
        <f t="shared" si="10"/>
        <v>2731130554</v>
      </c>
      <c r="AF10" s="1890">
        <f t="shared" si="11"/>
        <v>2731130554</v>
      </c>
      <c r="AG10" s="2383">
        <f t="shared" si="12"/>
        <v>2731130554</v>
      </c>
      <c r="AH10" s="2391">
        <f t="shared" si="1"/>
        <v>0</v>
      </c>
      <c r="AI10" s="79">
        <f t="shared" si="2"/>
        <v>0</v>
      </c>
      <c r="AJ10" s="79">
        <f t="shared" si="3"/>
        <v>0</v>
      </c>
      <c r="AK10" s="79">
        <f t="shared" si="4"/>
        <v>0</v>
      </c>
      <c r="AL10" s="79">
        <f t="shared" si="5"/>
        <v>0</v>
      </c>
      <c r="AM10" s="1684">
        <f t="shared" si="6"/>
        <v>0</v>
      </c>
      <c r="AN10" s="1557"/>
      <c r="AO10" s="1557"/>
      <c r="AP10" s="1557"/>
      <c r="AQ10" s="1557"/>
    </row>
    <row r="11" spans="1:43" s="110" customFormat="1" ht="12" customHeight="1">
      <c r="A11" s="1971" t="s">
        <v>180</v>
      </c>
      <c r="B11" s="1972" t="s">
        <v>3534</v>
      </c>
      <c r="C11" s="999">
        <f>+'7. mell. Önk.összes.bevétele'!I10</f>
        <v>40993128</v>
      </c>
      <c r="D11" s="999">
        <f>+'7. mell. Önk.összes.bevétele'!K10</f>
        <v>40823296</v>
      </c>
      <c r="E11" s="999">
        <f>+'7. mell. Önk.összes.bevétele'!L10</f>
        <v>40823296</v>
      </c>
      <c r="F11" s="999">
        <f>+'7. mell. Önk.összes.bevétele'!M10</f>
        <v>88913296</v>
      </c>
      <c r="G11" s="999">
        <f>+'7. mell. Önk.összes.bevétele'!N10</f>
        <v>85961042</v>
      </c>
      <c r="H11" s="999">
        <f>+'7. mell. Önk.összes.bevétele'!O10</f>
        <v>85961042</v>
      </c>
      <c r="I11" s="999">
        <f>+'7. mell. Önk.összes.bevétele'!P10</f>
        <v>85961042</v>
      </c>
      <c r="J11" s="999">
        <f>+'7. mell. Önk.összes.bevétele'!K10</f>
        <v>40823296</v>
      </c>
      <c r="K11" s="999">
        <f>+'7. mell. Önk.összes.bevétele'!L10</f>
        <v>40823296</v>
      </c>
      <c r="L11" s="999">
        <f>+'7. mell. Önk.összes.bevétele'!M10</f>
        <v>88913296</v>
      </c>
      <c r="M11" s="999">
        <f>+'7. mell. Önk.összes.bevétele'!N10</f>
        <v>85961042</v>
      </c>
      <c r="N11" s="999">
        <f>+'7. mell. Önk.összes.bevétele'!O10</f>
        <v>85961042</v>
      </c>
      <c r="O11" s="999">
        <f>+'7. mell. Önk.összes.bevétele'!P10</f>
        <v>85961042</v>
      </c>
      <c r="P11" s="999">
        <v>0</v>
      </c>
      <c r="Q11" s="999">
        <v>0</v>
      </c>
      <c r="R11" s="999">
        <v>0</v>
      </c>
      <c r="S11" s="999">
        <v>0</v>
      </c>
      <c r="T11" s="999">
        <v>0</v>
      </c>
      <c r="U11" s="999">
        <v>0</v>
      </c>
      <c r="V11" s="999">
        <v>0</v>
      </c>
      <c r="W11" s="999">
        <v>0</v>
      </c>
      <c r="X11" s="999">
        <v>0</v>
      </c>
      <c r="Y11" s="999">
        <v>0</v>
      </c>
      <c r="Z11" s="999"/>
      <c r="AA11" s="999">
        <v>0</v>
      </c>
      <c r="AB11" s="1890">
        <f t="shared" si="7"/>
        <v>40823296</v>
      </c>
      <c r="AC11" s="1890">
        <f t="shared" si="8"/>
        <v>40823296</v>
      </c>
      <c r="AD11" s="1890">
        <f t="shared" si="9"/>
        <v>88913296</v>
      </c>
      <c r="AE11" s="1890">
        <f t="shared" si="10"/>
        <v>85961042</v>
      </c>
      <c r="AF11" s="1890">
        <f t="shared" si="11"/>
        <v>85961042</v>
      </c>
      <c r="AG11" s="2383">
        <f t="shared" si="12"/>
        <v>85961042</v>
      </c>
      <c r="AH11" s="2391">
        <f t="shared" si="1"/>
        <v>0</v>
      </c>
      <c r="AI11" s="79">
        <f t="shared" si="2"/>
        <v>0</v>
      </c>
      <c r="AJ11" s="79">
        <f t="shared" si="3"/>
        <v>0</v>
      </c>
      <c r="AK11" s="79">
        <f t="shared" si="4"/>
        <v>0</v>
      </c>
      <c r="AL11" s="79">
        <f t="shared" si="5"/>
        <v>0</v>
      </c>
      <c r="AM11" s="1684">
        <f t="shared" si="6"/>
        <v>0</v>
      </c>
      <c r="AN11" s="1557"/>
      <c r="AO11" s="1557"/>
      <c r="AP11" s="1557"/>
      <c r="AQ11" s="1557"/>
    </row>
    <row r="12" spans="1:43" s="110" customFormat="1" ht="12" customHeight="1">
      <c r="A12" s="1971" t="s">
        <v>181</v>
      </c>
      <c r="B12" s="1972" t="s">
        <v>182</v>
      </c>
      <c r="C12" s="1973">
        <f>+'7. mell. Önk.összes.bevétele'!I12</f>
        <v>0</v>
      </c>
      <c r="D12" s="1973">
        <f>+'7. mell. Önk.összes.bevétele'!K12+'7. mell. Önk.összes.bevétele'!K11</f>
        <v>0</v>
      </c>
      <c r="E12" s="1973">
        <f>+'7. mell. Önk.összes.bevétele'!L12+'7. mell. Önk.összes.bevétele'!L11+'7. mell. Önk.összes.bevétele'!L16</f>
        <v>0</v>
      </c>
      <c r="F12" s="1973">
        <f>+'7. mell. Önk.összes.bevétele'!M12+'7. mell. Önk.összes.bevétele'!M11+'7. mell. Önk.összes.bevétele'!M16</f>
        <v>5000000</v>
      </c>
      <c r="G12" s="1973">
        <f>+'7. mell. Önk.összes.bevétele'!N12+'7. mell. Önk.összes.bevétele'!N11+'7. mell. Önk.összes.bevétele'!N16</f>
        <v>7300000</v>
      </c>
      <c r="H12" s="1973">
        <f>+'7. mell. Önk.összes.bevétele'!O12+'7. mell. Önk.összes.bevétele'!O11+'7. mell. Önk.összes.bevétele'!O16</f>
        <v>7300000</v>
      </c>
      <c r="I12" s="1973">
        <f>+'7. mell. Önk.összes.bevétele'!P12+'7. mell. Önk.összes.bevétele'!P11+'7. mell. Önk.összes.bevétele'!P16</f>
        <v>7300000</v>
      </c>
      <c r="J12" s="999">
        <f>+'7. mell. Önk.összes.bevétele'!K12+'7. mell. Önk.összes.bevétele'!K11</f>
        <v>0</v>
      </c>
      <c r="K12" s="999">
        <f>+'7. mell. Önk.összes.bevétele'!L12+'7. mell. Önk.összes.bevétele'!L11+'7. mell. Önk.összes.bevétele'!L16</f>
        <v>0</v>
      </c>
      <c r="L12" s="999">
        <f>+'7. mell. Önk.összes.bevétele'!M12+'7. mell. Önk.összes.bevétele'!M11+'7. mell. Önk.összes.bevétele'!M16</f>
        <v>5000000</v>
      </c>
      <c r="M12" s="999">
        <f>+'7. mell. Önk.összes.bevétele'!N12+'7. mell. Önk.összes.bevétele'!N11+'7. mell. Önk.összes.bevétele'!N16</f>
        <v>7300000</v>
      </c>
      <c r="N12" s="999">
        <f>+'7. mell. Önk.összes.bevétele'!O12+'7. mell. Önk.összes.bevétele'!O11+'7. mell. Önk.összes.bevétele'!O16</f>
        <v>7300000</v>
      </c>
      <c r="O12" s="999">
        <f>+'7. mell. Önk.összes.bevétele'!P12+'7. mell. Önk.összes.bevétele'!P11+'7. mell. Önk.összes.bevétele'!P16</f>
        <v>7300000</v>
      </c>
      <c r="P12" s="999">
        <v>0</v>
      </c>
      <c r="Q12" s="999">
        <v>0</v>
      </c>
      <c r="R12" s="999">
        <v>0</v>
      </c>
      <c r="S12" s="999">
        <v>0</v>
      </c>
      <c r="T12" s="999">
        <v>0</v>
      </c>
      <c r="U12" s="999">
        <v>0</v>
      </c>
      <c r="V12" s="999">
        <v>0</v>
      </c>
      <c r="W12" s="999">
        <v>0</v>
      </c>
      <c r="X12" s="999">
        <v>0</v>
      </c>
      <c r="Y12" s="999">
        <v>0</v>
      </c>
      <c r="Z12" s="999"/>
      <c r="AA12" s="999">
        <v>0</v>
      </c>
      <c r="AB12" s="1890">
        <f t="shared" si="7"/>
        <v>0</v>
      </c>
      <c r="AC12" s="1890">
        <f t="shared" si="8"/>
        <v>0</v>
      </c>
      <c r="AD12" s="1890">
        <f t="shared" si="9"/>
        <v>5000000</v>
      </c>
      <c r="AE12" s="1890">
        <f t="shared" si="10"/>
        <v>7300000</v>
      </c>
      <c r="AF12" s="1890">
        <f t="shared" si="11"/>
        <v>7300000</v>
      </c>
      <c r="AG12" s="2383">
        <f t="shared" si="12"/>
        <v>7300000</v>
      </c>
      <c r="AH12" s="2391">
        <f t="shared" si="1"/>
        <v>0</v>
      </c>
      <c r="AI12" s="79">
        <f t="shared" si="2"/>
        <v>0</v>
      </c>
      <c r="AJ12" s="79">
        <f t="shared" si="3"/>
        <v>0</v>
      </c>
      <c r="AK12" s="79">
        <f t="shared" si="4"/>
        <v>0</v>
      </c>
      <c r="AL12" s="79">
        <f t="shared" si="5"/>
        <v>0</v>
      </c>
      <c r="AM12" s="1684">
        <f t="shared" si="6"/>
        <v>0</v>
      </c>
      <c r="AN12" s="1557"/>
      <c r="AO12" s="1557"/>
      <c r="AP12" s="1557"/>
      <c r="AQ12" s="1557"/>
    </row>
    <row r="13" spans="1:43" s="108" customFormat="1" ht="12" customHeight="1">
      <c r="A13" s="1971" t="s">
        <v>183</v>
      </c>
      <c r="B13" s="1972" t="s">
        <v>184</v>
      </c>
      <c r="C13" s="999">
        <f>+'7. mell. Önk.összes.bevétele'!I17</f>
        <v>0</v>
      </c>
      <c r="D13" s="999">
        <f>+'7. mell. Önk.összes.bevétele'!K17</f>
        <v>0</v>
      </c>
      <c r="E13" s="999">
        <f>+'7. mell. Önk.összes.bevétele'!L17</f>
        <v>55709452</v>
      </c>
      <c r="F13" s="999">
        <f>+'7. mell. Önk.összes.bevétele'!M17</f>
        <v>55709452</v>
      </c>
      <c r="G13" s="999">
        <f>+'7. mell. Önk.összes.bevétele'!N17</f>
        <v>55709452</v>
      </c>
      <c r="H13" s="999">
        <f>+'7. mell. Önk.összes.bevétele'!O17</f>
        <v>55709452</v>
      </c>
      <c r="I13" s="999">
        <f>+'7. mell. Önk.összes.bevétele'!P17</f>
        <v>55709452</v>
      </c>
      <c r="J13" s="999">
        <f>+'7. mell. Önk.összes.bevétele'!K17</f>
        <v>0</v>
      </c>
      <c r="K13" s="999">
        <f>+'7. mell. Önk.összes.bevétele'!L17</f>
        <v>55709452</v>
      </c>
      <c r="L13" s="999">
        <f>+'7. mell. Önk.összes.bevétele'!M17</f>
        <v>55709452</v>
      </c>
      <c r="M13" s="999">
        <f>+'7. mell. Önk.összes.bevétele'!N17</f>
        <v>55709452</v>
      </c>
      <c r="N13" s="999">
        <f>+'7. mell. Önk.összes.bevétele'!O17</f>
        <v>55709452</v>
      </c>
      <c r="O13" s="999">
        <f>+'7. mell. Önk.összes.bevétele'!P17</f>
        <v>55709452</v>
      </c>
      <c r="P13" s="999">
        <v>0</v>
      </c>
      <c r="Q13" s="999">
        <v>0</v>
      </c>
      <c r="R13" s="999">
        <v>0</v>
      </c>
      <c r="S13" s="999">
        <v>0</v>
      </c>
      <c r="T13" s="999">
        <v>0</v>
      </c>
      <c r="U13" s="999">
        <v>0</v>
      </c>
      <c r="V13" s="1904">
        <v>0</v>
      </c>
      <c r="W13" s="999">
        <v>0</v>
      </c>
      <c r="X13" s="999">
        <v>0</v>
      </c>
      <c r="Y13" s="1904">
        <v>0</v>
      </c>
      <c r="Z13" s="1904"/>
      <c r="AA13" s="999">
        <v>0</v>
      </c>
      <c r="AB13" s="1890">
        <f t="shared" si="7"/>
        <v>0</v>
      </c>
      <c r="AC13" s="1890">
        <f t="shared" si="8"/>
        <v>55709452</v>
      </c>
      <c r="AD13" s="1890">
        <f t="shared" si="9"/>
        <v>55709452</v>
      </c>
      <c r="AE13" s="1890">
        <f t="shared" si="10"/>
        <v>55709452</v>
      </c>
      <c r="AF13" s="1890">
        <f t="shared" si="11"/>
        <v>55709452</v>
      </c>
      <c r="AG13" s="2383">
        <f t="shared" si="12"/>
        <v>55709452</v>
      </c>
      <c r="AH13" s="2391">
        <f t="shared" si="1"/>
        <v>0</v>
      </c>
      <c r="AI13" s="79">
        <f t="shared" si="2"/>
        <v>0</v>
      </c>
      <c r="AJ13" s="79">
        <f t="shared" si="3"/>
        <v>0</v>
      </c>
      <c r="AK13" s="79">
        <f t="shared" si="4"/>
        <v>0</v>
      </c>
      <c r="AL13" s="79">
        <f t="shared" si="5"/>
        <v>0</v>
      </c>
      <c r="AM13" s="1684">
        <f t="shared" si="6"/>
        <v>0</v>
      </c>
      <c r="AN13" s="1556"/>
      <c r="AO13" s="1556"/>
      <c r="AP13" s="1556"/>
      <c r="AQ13" s="1556"/>
    </row>
    <row r="14" spans="1:43" s="108" customFormat="1" ht="12" customHeight="1">
      <c r="A14" s="1966" t="s">
        <v>12</v>
      </c>
      <c r="B14" s="1976" t="s">
        <v>3382</v>
      </c>
      <c r="C14" s="1968">
        <f t="shared" ref="C14:AG14" si="13">+C15+C16+C17+C18+C19</f>
        <v>186353000</v>
      </c>
      <c r="D14" s="1968">
        <f t="shared" si="13"/>
        <v>200793190</v>
      </c>
      <c r="E14" s="1968">
        <f t="shared" si="13"/>
        <v>552631103</v>
      </c>
      <c r="F14" s="1968">
        <f t="shared" si="13"/>
        <v>366355913</v>
      </c>
      <c r="G14" s="1968">
        <f t="shared" si="13"/>
        <v>366448676</v>
      </c>
      <c r="H14" s="1968">
        <f t="shared" si="13"/>
        <v>366448676</v>
      </c>
      <c r="I14" s="1968">
        <f t="shared" si="13"/>
        <v>366448676</v>
      </c>
      <c r="J14" s="1968">
        <f t="shared" si="13"/>
        <v>186275190</v>
      </c>
      <c r="K14" s="1968">
        <f t="shared" si="13"/>
        <v>538113103</v>
      </c>
      <c r="L14" s="1968">
        <f t="shared" si="13"/>
        <v>351837913</v>
      </c>
      <c r="M14" s="1968">
        <f t="shared" si="13"/>
        <v>351837913</v>
      </c>
      <c r="N14" s="1968">
        <f t="shared" si="13"/>
        <v>351837913</v>
      </c>
      <c r="O14" s="1968">
        <f t="shared" si="13"/>
        <v>351837913</v>
      </c>
      <c r="P14" s="1968">
        <f t="shared" si="13"/>
        <v>14518000</v>
      </c>
      <c r="Q14" s="1968">
        <f t="shared" si="13"/>
        <v>14518000</v>
      </c>
      <c r="R14" s="1968">
        <f t="shared" si="13"/>
        <v>14518000</v>
      </c>
      <c r="S14" s="1968">
        <f t="shared" si="13"/>
        <v>14610763</v>
      </c>
      <c r="T14" s="1968">
        <f t="shared" si="13"/>
        <v>14610763</v>
      </c>
      <c r="U14" s="1968">
        <f t="shared" si="13"/>
        <v>14610763</v>
      </c>
      <c r="V14" s="1968">
        <f t="shared" si="13"/>
        <v>0</v>
      </c>
      <c r="W14" s="1968">
        <f t="shared" si="13"/>
        <v>0</v>
      </c>
      <c r="X14" s="1968">
        <f t="shared" si="13"/>
        <v>0</v>
      </c>
      <c r="Y14" s="1968">
        <f t="shared" si="13"/>
        <v>0</v>
      </c>
      <c r="Z14" s="1968">
        <f t="shared" si="13"/>
        <v>0</v>
      </c>
      <c r="AA14" s="1979">
        <f t="shared" si="13"/>
        <v>0</v>
      </c>
      <c r="AB14" s="1968">
        <f t="shared" si="13"/>
        <v>200793190</v>
      </c>
      <c r="AC14" s="1968">
        <f t="shared" si="13"/>
        <v>552631103</v>
      </c>
      <c r="AD14" s="1968">
        <f t="shared" si="13"/>
        <v>366355913</v>
      </c>
      <c r="AE14" s="1968">
        <f t="shared" si="13"/>
        <v>366448676</v>
      </c>
      <c r="AF14" s="1968">
        <f t="shared" si="13"/>
        <v>366448676</v>
      </c>
      <c r="AG14" s="2044">
        <f t="shared" si="13"/>
        <v>366448676</v>
      </c>
      <c r="AH14" s="2391">
        <f t="shared" si="1"/>
        <v>0</v>
      </c>
      <c r="AI14" s="79">
        <f t="shared" si="2"/>
        <v>0</v>
      </c>
      <c r="AJ14" s="79">
        <f t="shared" si="3"/>
        <v>0</v>
      </c>
      <c r="AK14" s="79">
        <f t="shared" si="4"/>
        <v>0</v>
      </c>
      <c r="AL14" s="79">
        <f t="shared" si="5"/>
        <v>0</v>
      </c>
      <c r="AM14" s="1684">
        <f t="shared" si="6"/>
        <v>0</v>
      </c>
      <c r="AN14" s="1556"/>
      <c r="AO14" s="1556"/>
      <c r="AP14" s="1556"/>
      <c r="AQ14" s="1556"/>
    </row>
    <row r="15" spans="1:43" s="108" customFormat="1" ht="12" customHeight="1">
      <c r="A15" s="1971" t="s">
        <v>185</v>
      </c>
      <c r="B15" s="1972" t="s">
        <v>186</v>
      </c>
      <c r="C15" s="999">
        <f>+'7. mell. Önk.összes.bevétele'!I20</f>
        <v>0</v>
      </c>
      <c r="D15" s="999">
        <f>+'7. mell. Önk.összes.bevétele'!K20</f>
        <v>0</v>
      </c>
      <c r="E15" s="999">
        <f>+'7. mell. Önk.összes.bevétele'!L20</f>
        <v>351837913</v>
      </c>
      <c r="F15" s="999">
        <f>+'7. mell. Önk.összes.bevétele'!M20</f>
        <v>351837913</v>
      </c>
      <c r="G15" s="999">
        <f>+'7. mell. Önk.összes.bevétele'!N20</f>
        <v>351837913</v>
      </c>
      <c r="H15" s="999">
        <f>+'7. mell. Önk.összes.bevétele'!O20</f>
        <v>351837913</v>
      </c>
      <c r="I15" s="999">
        <f>+'7. mell. Önk.összes.bevétele'!P20</f>
        <v>351837913</v>
      </c>
      <c r="J15" s="999">
        <f>+'7. mell. Önk.összes.bevétele'!K19</f>
        <v>0</v>
      </c>
      <c r="K15" s="999">
        <f>+'7. mell. Önk.összes.bevétele'!L19</f>
        <v>351837913</v>
      </c>
      <c r="L15" s="999">
        <f>+'7. mell. Önk.összes.bevétele'!M19</f>
        <v>351837913</v>
      </c>
      <c r="M15" s="999">
        <f>+'7. mell. Önk.összes.bevétele'!N19</f>
        <v>351837913</v>
      </c>
      <c r="N15" s="999">
        <f>+'7. mell. Önk.összes.bevétele'!O19</f>
        <v>351837913</v>
      </c>
      <c r="O15" s="999">
        <f>+'7. mell. Önk.összes.bevétele'!P19</f>
        <v>351837913</v>
      </c>
      <c r="P15" s="999">
        <v>0</v>
      </c>
      <c r="Q15" s="999">
        <v>0</v>
      </c>
      <c r="R15" s="999">
        <v>0</v>
      </c>
      <c r="S15" s="999">
        <v>0</v>
      </c>
      <c r="T15" s="999">
        <v>0</v>
      </c>
      <c r="U15" s="999">
        <v>0</v>
      </c>
      <c r="V15" s="999">
        <v>0</v>
      </c>
      <c r="W15" s="999">
        <v>0</v>
      </c>
      <c r="X15" s="999">
        <v>0</v>
      </c>
      <c r="Y15" s="999">
        <v>0</v>
      </c>
      <c r="Z15" s="1904"/>
      <c r="AA15" s="999">
        <v>0</v>
      </c>
      <c r="AB15" s="1890">
        <f t="shared" ref="AB15:AB20" si="14">+J15+P15+V15</f>
        <v>0</v>
      </c>
      <c r="AC15" s="1890">
        <f t="shared" ref="AC15:AC20" si="15">+K15+Q15+W15</f>
        <v>351837913</v>
      </c>
      <c r="AD15" s="1890">
        <f t="shared" ref="AD15:AD20" si="16">+L15+R15+X15</f>
        <v>351837913</v>
      </c>
      <c r="AE15" s="1890">
        <f t="shared" ref="AE15:AE20" si="17">+M15+S15+Y15</f>
        <v>351837913</v>
      </c>
      <c r="AF15" s="1890">
        <f t="shared" ref="AF15:AF20" si="18">+N15+T15+Z15</f>
        <v>351837913</v>
      </c>
      <c r="AG15" s="2383">
        <f t="shared" ref="AG15:AG20" si="19">+O15+U15+AA15</f>
        <v>351837913</v>
      </c>
      <c r="AH15" s="2391">
        <f t="shared" si="1"/>
        <v>0</v>
      </c>
      <c r="AI15" s="79">
        <f t="shared" si="2"/>
        <v>0</v>
      </c>
      <c r="AJ15" s="79">
        <f t="shared" si="3"/>
        <v>0</v>
      </c>
      <c r="AK15" s="79">
        <f t="shared" si="4"/>
        <v>0</v>
      </c>
      <c r="AL15" s="79">
        <f t="shared" si="5"/>
        <v>0</v>
      </c>
      <c r="AM15" s="1684">
        <f t="shared" si="6"/>
        <v>0</v>
      </c>
      <c r="AN15" s="1556"/>
      <c r="AO15" s="1556"/>
      <c r="AP15" s="1556"/>
      <c r="AQ15" s="1556"/>
    </row>
    <row r="16" spans="1:43" s="108" customFormat="1" ht="12" customHeight="1">
      <c r="A16" s="1971" t="s">
        <v>187</v>
      </c>
      <c r="B16" s="1972" t="s">
        <v>188</v>
      </c>
      <c r="C16" s="999">
        <f>+'7. mell. Önk.összes.bevétele'!I21</f>
        <v>0</v>
      </c>
      <c r="D16" s="999">
        <f>+'7. mell. Önk.összes.bevétele'!K21</f>
        <v>0</v>
      </c>
      <c r="E16" s="999">
        <f>+'7. mell. Önk.összes.bevétele'!L21</f>
        <v>0</v>
      </c>
      <c r="F16" s="999">
        <f>+'7. mell. Önk.összes.bevétele'!M21</f>
        <v>0</v>
      </c>
      <c r="G16" s="999">
        <f>+'7. mell. Önk.összes.bevétele'!N21</f>
        <v>0</v>
      </c>
      <c r="H16" s="999">
        <f>+'7. mell. Önk.összes.bevétele'!O21</f>
        <v>0</v>
      </c>
      <c r="I16" s="999">
        <f>+'7. mell. Önk.összes.bevétele'!P21</f>
        <v>0</v>
      </c>
      <c r="J16" s="999">
        <v>0</v>
      </c>
      <c r="K16" s="999">
        <v>0</v>
      </c>
      <c r="L16" s="999">
        <v>0</v>
      </c>
      <c r="M16" s="999">
        <v>0</v>
      </c>
      <c r="N16" s="999">
        <v>0</v>
      </c>
      <c r="O16" s="999">
        <v>0</v>
      </c>
      <c r="P16" s="999">
        <v>0</v>
      </c>
      <c r="Q16" s="999">
        <v>0</v>
      </c>
      <c r="R16" s="999">
        <v>0</v>
      </c>
      <c r="S16" s="999">
        <v>0</v>
      </c>
      <c r="T16" s="999">
        <v>0</v>
      </c>
      <c r="U16" s="999">
        <v>0</v>
      </c>
      <c r="V16" s="999">
        <v>0</v>
      </c>
      <c r="W16" s="999">
        <v>0</v>
      </c>
      <c r="X16" s="999">
        <v>0</v>
      </c>
      <c r="Y16" s="999">
        <v>0</v>
      </c>
      <c r="Z16" s="1904"/>
      <c r="AA16" s="999">
        <v>0</v>
      </c>
      <c r="AB16" s="1890">
        <f t="shared" si="14"/>
        <v>0</v>
      </c>
      <c r="AC16" s="1890">
        <f t="shared" si="15"/>
        <v>0</v>
      </c>
      <c r="AD16" s="1890">
        <f t="shared" si="16"/>
        <v>0</v>
      </c>
      <c r="AE16" s="1890">
        <f t="shared" si="17"/>
        <v>0</v>
      </c>
      <c r="AF16" s="1890">
        <f t="shared" si="18"/>
        <v>0</v>
      </c>
      <c r="AG16" s="2383">
        <f t="shared" si="19"/>
        <v>0</v>
      </c>
      <c r="AH16" s="2391">
        <f t="shared" si="1"/>
        <v>0</v>
      </c>
      <c r="AI16" s="79">
        <f t="shared" si="2"/>
        <v>0</v>
      </c>
      <c r="AJ16" s="79">
        <f t="shared" si="3"/>
        <v>0</v>
      </c>
      <c r="AK16" s="79">
        <f t="shared" si="4"/>
        <v>0</v>
      </c>
      <c r="AL16" s="79">
        <f t="shared" si="5"/>
        <v>0</v>
      </c>
      <c r="AM16" s="1684">
        <f t="shared" si="6"/>
        <v>0</v>
      </c>
      <c r="AN16" s="1556"/>
      <c r="AO16" s="1556"/>
      <c r="AP16" s="1556"/>
      <c r="AQ16" s="1556"/>
    </row>
    <row r="17" spans="1:43" s="108" customFormat="1" ht="12" customHeight="1">
      <c r="A17" s="1971" t="s">
        <v>189</v>
      </c>
      <c r="B17" s="1972" t="s">
        <v>190</v>
      </c>
      <c r="C17" s="999">
        <f>+'7. mell. Önk.összes.bevétele'!I27</f>
        <v>0</v>
      </c>
      <c r="D17" s="999">
        <f>+'7. mell. Önk.összes.bevétele'!K27</f>
        <v>0</v>
      </c>
      <c r="E17" s="999">
        <f>+'7. mell. Önk.összes.bevétele'!L27</f>
        <v>0</v>
      </c>
      <c r="F17" s="999">
        <f>+'7. mell. Önk.összes.bevétele'!M27</f>
        <v>0</v>
      </c>
      <c r="G17" s="999">
        <f>+'7. mell. Önk.összes.bevétele'!N27</f>
        <v>0</v>
      </c>
      <c r="H17" s="999">
        <f>+'7. mell. Önk.összes.bevétele'!O27</f>
        <v>0</v>
      </c>
      <c r="I17" s="999">
        <f>+'7. mell. Önk.összes.bevétele'!P27</f>
        <v>0</v>
      </c>
      <c r="J17" s="999">
        <v>0</v>
      </c>
      <c r="K17" s="999">
        <v>0</v>
      </c>
      <c r="L17" s="999">
        <v>0</v>
      </c>
      <c r="M17" s="999">
        <v>0</v>
      </c>
      <c r="N17" s="999">
        <v>0</v>
      </c>
      <c r="O17" s="999">
        <v>0</v>
      </c>
      <c r="P17" s="999">
        <v>0</v>
      </c>
      <c r="Q17" s="999">
        <v>0</v>
      </c>
      <c r="R17" s="999">
        <v>0</v>
      </c>
      <c r="S17" s="999">
        <v>0</v>
      </c>
      <c r="T17" s="999">
        <v>0</v>
      </c>
      <c r="U17" s="999">
        <v>0</v>
      </c>
      <c r="V17" s="999">
        <v>0</v>
      </c>
      <c r="W17" s="999">
        <v>0</v>
      </c>
      <c r="X17" s="999">
        <v>0</v>
      </c>
      <c r="Y17" s="999">
        <v>0</v>
      </c>
      <c r="Z17" s="1904"/>
      <c r="AA17" s="999">
        <v>0</v>
      </c>
      <c r="AB17" s="1890">
        <f t="shared" si="14"/>
        <v>0</v>
      </c>
      <c r="AC17" s="1890">
        <f t="shared" si="15"/>
        <v>0</v>
      </c>
      <c r="AD17" s="1890">
        <f t="shared" si="16"/>
        <v>0</v>
      </c>
      <c r="AE17" s="1890">
        <f t="shared" si="17"/>
        <v>0</v>
      </c>
      <c r="AF17" s="1890">
        <f t="shared" si="18"/>
        <v>0</v>
      </c>
      <c r="AG17" s="2383">
        <f t="shared" si="19"/>
        <v>0</v>
      </c>
      <c r="AH17" s="2391">
        <f t="shared" si="1"/>
        <v>0</v>
      </c>
      <c r="AI17" s="79">
        <f t="shared" si="2"/>
        <v>0</v>
      </c>
      <c r="AJ17" s="79">
        <f t="shared" si="3"/>
        <v>0</v>
      </c>
      <c r="AK17" s="79">
        <f t="shared" si="4"/>
        <v>0</v>
      </c>
      <c r="AL17" s="79">
        <f t="shared" si="5"/>
        <v>0</v>
      </c>
      <c r="AM17" s="1684">
        <f t="shared" si="6"/>
        <v>0</v>
      </c>
      <c r="AN17" s="1556"/>
      <c r="AO17" s="1556"/>
      <c r="AP17" s="1556"/>
      <c r="AQ17" s="1556"/>
    </row>
    <row r="18" spans="1:43" s="108" customFormat="1" ht="12" customHeight="1">
      <c r="A18" s="1971" t="s">
        <v>191</v>
      </c>
      <c r="B18" s="1972" t="s">
        <v>192</v>
      </c>
      <c r="C18" s="999">
        <f>+'7. mell. Önk.összes.bevétele'!I33</f>
        <v>0</v>
      </c>
      <c r="D18" s="999">
        <f>+'7. mell. Önk.összes.bevétele'!K33</f>
        <v>0</v>
      </c>
      <c r="E18" s="999">
        <f>+'7. mell. Önk.összes.bevétele'!L33</f>
        <v>0</v>
      </c>
      <c r="F18" s="999">
        <f>+'7. mell. Önk.összes.bevétele'!M33</f>
        <v>0</v>
      </c>
      <c r="G18" s="999">
        <f>+'7. mell. Önk.összes.bevétele'!N33</f>
        <v>0</v>
      </c>
      <c r="H18" s="999">
        <f>+'7. mell. Önk.összes.bevétele'!O33</f>
        <v>0</v>
      </c>
      <c r="I18" s="999">
        <f>+'7. mell. Önk.összes.bevétele'!P33</f>
        <v>0</v>
      </c>
      <c r="J18" s="999">
        <v>0</v>
      </c>
      <c r="K18" s="999">
        <v>0</v>
      </c>
      <c r="L18" s="999">
        <v>0</v>
      </c>
      <c r="M18" s="999">
        <v>0</v>
      </c>
      <c r="N18" s="999">
        <v>0</v>
      </c>
      <c r="O18" s="999">
        <v>0</v>
      </c>
      <c r="P18" s="999">
        <v>0</v>
      </c>
      <c r="Q18" s="999">
        <v>0</v>
      </c>
      <c r="R18" s="999">
        <v>0</v>
      </c>
      <c r="S18" s="999">
        <v>0</v>
      </c>
      <c r="T18" s="999">
        <v>0</v>
      </c>
      <c r="U18" s="999">
        <v>0</v>
      </c>
      <c r="V18" s="999">
        <v>0</v>
      </c>
      <c r="W18" s="999">
        <v>0</v>
      </c>
      <c r="X18" s="999">
        <v>0</v>
      </c>
      <c r="Y18" s="999">
        <v>0</v>
      </c>
      <c r="Z18" s="1904"/>
      <c r="AA18" s="999">
        <v>0</v>
      </c>
      <c r="AB18" s="1890">
        <f t="shared" si="14"/>
        <v>0</v>
      </c>
      <c r="AC18" s="1890">
        <f t="shared" si="15"/>
        <v>0</v>
      </c>
      <c r="AD18" s="1890">
        <f t="shared" si="16"/>
        <v>0</v>
      </c>
      <c r="AE18" s="1890">
        <f t="shared" si="17"/>
        <v>0</v>
      </c>
      <c r="AF18" s="1890">
        <f t="shared" si="18"/>
        <v>0</v>
      </c>
      <c r="AG18" s="2383">
        <f t="shared" si="19"/>
        <v>0</v>
      </c>
      <c r="AH18" s="2391">
        <f t="shared" si="1"/>
        <v>0</v>
      </c>
      <c r="AI18" s="79">
        <f t="shared" si="2"/>
        <v>0</v>
      </c>
      <c r="AJ18" s="79">
        <f t="shared" si="3"/>
        <v>0</v>
      </c>
      <c r="AK18" s="79">
        <f t="shared" si="4"/>
        <v>0</v>
      </c>
      <c r="AL18" s="79">
        <f t="shared" si="5"/>
        <v>0</v>
      </c>
      <c r="AM18" s="1684">
        <f t="shared" si="6"/>
        <v>0</v>
      </c>
      <c r="AN18" s="1556"/>
      <c r="AO18" s="1556"/>
      <c r="AP18" s="1556"/>
      <c r="AQ18" s="1556"/>
    </row>
    <row r="19" spans="1:43" s="108" customFormat="1" ht="12" customHeight="1">
      <c r="A19" s="1971" t="s">
        <v>193</v>
      </c>
      <c r="B19" s="1972" t="s">
        <v>194</v>
      </c>
      <c r="C19" s="1973">
        <f>+'7. mell. Önk.összes.bevétele'!I58</f>
        <v>186353000</v>
      </c>
      <c r="D19" s="1973">
        <f>+'7. mell. Önk.összes.bevétele'!K58</f>
        <v>200793190</v>
      </c>
      <c r="E19" s="1973">
        <f>+'7. mell. Önk.összes.bevétele'!L58</f>
        <v>200793190</v>
      </c>
      <c r="F19" s="1973">
        <f>+'7. mell. Önk.összes.bevétele'!M58</f>
        <v>14518000</v>
      </c>
      <c r="G19" s="1973">
        <f>+'7. mell. Önk.összes.bevétele'!N58</f>
        <v>14610763</v>
      </c>
      <c r="H19" s="1973">
        <f>+'7. mell. Önk.összes.bevétele'!O58</f>
        <v>14610763</v>
      </c>
      <c r="I19" s="1973">
        <f>+'7. mell. Önk.összes.bevétele'!P58</f>
        <v>14610763</v>
      </c>
      <c r="J19" s="999">
        <f>+'7. mell. Önk.összes.bevétele'!K51+'7. mell. Önk.összes.bevétele'!K52+'7. mell. Önk.összes.bevétele'!K53+'7. mell. Önk.összes.bevétele'!K57</f>
        <v>186275190</v>
      </c>
      <c r="K19" s="999">
        <f>+'7. mell. Önk.összes.bevétele'!L51+'7. mell. Önk.összes.bevétele'!L52+'7. mell. Önk.összes.bevétele'!L53+'7. mell. Önk.összes.bevétele'!L57</f>
        <v>186275190</v>
      </c>
      <c r="L19" s="999">
        <f>+'7. mell. Önk.összes.bevétele'!M51+'7. mell. Önk.összes.bevétele'!M52+'7. mell. Önk.összes.bevétele'!M53+'7. mell. Önk.összes.bevétele'!M57</f>
        <v>0</v>
      </c>
      <c r="M19" s="999">
        <f>+'7. mell. Önk.összes.bevétele'!N51+'7. mell. Önk.összes.bevétele'!N52+'7. mell. Önk.összes.bevétele'!N53+'7. mell. Önk.összes.bevétele'!N57</f>
        <v>0</v>
      </c>
      <c r="N19" s="999">
        <f>+'7. mell. Önk.összes.bevétele'!O51+'7. mell. Önk.összes.bevétele'!O52+'7. mell. Önk.összes.bevétele'!O53+'7. mell. Önk.összes.bevétele'!O57</f>
        <v>0</v>
      </c>
      <c r="O19" s="999">
        <f>+'7. mell. Önk.összes.bevétele'!P51+'7. mell. Önk.összes.bevétele'!P52+'7. mell. Önk.összes.bevétele'!P53+'7. mell. Önk.összes.bevétele'!P57</f>
        <v>0</v>
      </c>
      <c r="P19" s="999">
        <f>+'7. mell. Önk.összes.bevétele'!K47+'7. mell. Önk.összes.bevétele'!K34+'7. mell. Önk.összes.bevétele'!K35+'7. mell. Önk.összes.bevétele'!K37+'7. mell. Önk.összes.bevétele'!K42+'7. mell. Önk.összes.bevétele'!K44+'7. mell. Önk.összes.bevétele'!K48+'7. mell. Önk.összes.bevétele'!K46+'7. mell. Önk.összes.bevétele'!K54</f>
        <v>14518000</v>
      </c>
      <c r="Q19" s="999">
        <f>+'7. mell. Önk.összes.bevétele'!L47+'7. mell. Önk.összes.bevétele'!L34+'7. mell. Önk.összes.bevétele'!L35+'7. mell. Önk.összes.bevétele'!L37+'7. mell. Önk.összes.bevétele'!L42+'7. mell. Önk.összes.bevétele'!L44+'7. mell. Önk.összes.bevétele'!L48+'7. mell. Önk.összes.bevétele'!L46+'7. mell. Önk.összes.bevétele'!L54</f>
        <v>14518000</v>
      </c>
      <c r="R19" s="999">
        <f>+'7. mell. Önk.összes.bevétele'!M47+'7. mell. Önk.összes.bevétele'!M34+'7. mell. Önk.összes.bevétele'!M35+'7. mell. Önk.összes.bevétele'!M37+'7. mell. Önk.összes.bevétele'!M42+'7. mell. Önk.összes.bevétele'!M44+'7. mell. Önk.összes.bevétele'!M48+'7. mell. Önk.összes.bevétele'!M46+'7. mell. Önk.összes.bevétele'!M54</f>
        <v>14518000</v>
      </c>
      <c r="S19" s="999">
        <f>+'7. mell. Önk.összes.bevétele'!N47+'7. mell. Önk.összes.bevétele'!N34+'7. mell. Önk.összes.bevétele'!N35+'7. mell. Önk.összes.bevétele'!N37+'7. mell. Önk.összes.bevétele'!N42+'7. mell. Önk.összes.bevétele'!N44+'7. mell. Önk.összes.bevétele'!N48+'7. mell. Önk.összes.bevétele'!N46+'7. mell. Önk.összes.bevétele'!N54</f>
        <v>14610763</v>
      </c>
      <c r="T19" s="999">
        <f>+'7. mell. Önk.összes.bevétele'!O47+'7. mell. Önk.összes.bevétele'!O34+'7. mell. Önk.összes.bevétele'!O35+'7. mell. Önk.összes.bevétele'!O37+'7. mell. Önk.összes.bevétele'!O42+'7. mell. Önk.összes.bevétele'!O44+'7. mell. Önk.összes.bevétele'!O48+'7. mell. Önk.összes.bevétele'!O46+'7. mell. Önk.összes.bevétele'!O54</f>
        <v>14610763</v>
      </c>
      <c r="U19" s="999">
        <f>+'7. mell. Önk.összes.bevétele'!P47+'7. mell. Önk.összes.bevétele'!P34+'7. mell. Önk.összes.bevétele'!P35++'7. mell. Önk.összes.bevétele'!P35+'7. mell. Önk.összes.bevétele'!P37+'7. mell. Önk.összes.bevétele'!P42+'7. mell. Önk.összes.bevétele'!P44+'7. mell. Önk.összes.bevétele'!P48+'7. mell. Önk.összes.bevétele'!P46+'7. mell. Önk.összes.bevétele'!P54</f>
        <v>14610763</v>
      </c>
      <c r="V19" s="999">
        <v>0</v>
      </c>
      <c r="W19" s="999">
        <v>0</v>
      </c>
      <c r="X19" s="999">
        <v>0</v>
      </c>
      <c r="Y19" s="999">
        <v>0</v>
      </c>
      <c r="Z19" s="1904"/>
      <c r="AA19" s="999">
        <v>0</v>
      </c>
      <c r="AB19" s="1890">
        <f t="shared" si="14"/>
        <v>200793190</v>
      </c>
      <c r="AC19" s="1890">
        <f t="shared" si="15"/>
        <v>200793190</v>
      </c>
      <c r="AD19" s="1890">
        <f t="shared" si="16"/>
        <v>14518000</v>
      </c>
      <c r="AE19" s="1890">
        <f t="shared" si="17"/>
        <v>14610763</v>
      </c>
      <c r="AF19" s="1890">
        <f t="shared" si="18"/>
        <v>14610763</v>
      </c>
      <c r="AG19" s="2383">
        <f t="shared" si="19"/>
        <v>14610763</v>
      </c>
      <c r="AH19" s="2391">
        <f t="shared" si="1"/>
        <v>0</v>
      </c>
      <c r="AI19" s="79">
        <f t="shared" si="2"/>
        <v>0</v>
      </c>
      <c r="AJ19" s="79">
        <f t="shared" si="3"/>
        <v>0</v>
      </c>
      <c r="AK19" s="79">
        <f t="shared" si="4"/>
        <v>0</v>
      </c>
      <c r="AL19" s="79">
        <f t="shared" si="5"/>
        <v>0</v>
      </c>
      <c r="AM19" s="1684">
        <f t="shared" si="6"/>
        <v>0</v>
      </c>
      <c r="AN19" s="1556"/>
      <c r="AO19" s="1556"/>
      <c r="AP19" s="1556"/>
      <c r="AQ19" s="1556"/>
    </row>
    <row r="20" spans="1:43" s="110" customFormat="1" ht="12" customHeight="1">
      <c r="A20" s="1971" t="s">
        <v>195</v>
      </c>
      <c r="B20" s="1972" t="s">
        <v>196</v>
      </c>
      <c r="C20" s="1973">
        <f>+'7. mell. Önk.összes.bevétele'!I40+'7. mell. Önk.összes.bevétele'!I41</f>
        <v>0</v>
      </c>
      <c r="D20" s="1973">
        <f>+'7. mell. Önk.összes.bevétele'!K40+'7. mell. Önk.összes.bevétele'!K41</f>
        <v>0</v>
      </c>
      <c r="E20" s="1973">
        <f>+'7. mell. Önk.összes.bevétele'!L40+'7. mell. Önk.összes.bevétele'!L41</f>
        <v>0</v>
      </c>
      <c r="F20" s="1973">
        <f>+'7. mell. Önk.összes.bevétele'!M40+'7. mell. Önk.összes.bevétele'!M41</f>
        <v>0</v>
      </c>
      <c r="G20" s="1973">
        <f>+'7. mell. Önk.összes.bevétele'!N40+'7. mell. Önk.összes.bevétele'!N41</f>
        <v>0</v>
      </c>
      <c r="H20" s="1973">
        <f>+'7. mell. Önk.összes.bevétele'!O40+'7. mell. Önk.összes.bevétele'!O41</f>
        <v>0</v>
      </c>
      <c r="I20" s="1973">
        <f>+'7. mell. Önk.összes.bevétele'!P40+'7. mell. Önk.összes.bevétele'!P41</f>
        <v>0</v>
      </c>
      <c r="J20" s="999">
        <v>0</v>
      </c>
      <c r="K20" s="999">
        <v>0</v>
      </c>
      <c r="L20" s="999">
        <v>0</v>
      </c>
      <c r="M20" s="999">
        <v>0</v>
      </c>
      <c r="N20" s="999">
        <v>0</v>
      </c>
      <c r="O20" s="999">
        <v>0</v>
      </c>
      <c r="P20" s="999">
        <v>0</v>
      </c>
      <c r="Q20" s="999">
        <v>0</v>
      </c>
      <c r="R20" s="999">
        <v>0</v>
      </c>
      <c r="S20" s="999">
        <v>0</v>
      </c>
      <c r="T20" s="999">
        <v>0</v>
      </c>
      <c r="U20" s="999">
        <v>0</v>
      </c>
      <c r="V20" s="999">
        <v>0</v>
      </c>
      <c r="W20" s="999">
        <v>0</v>
      </c>
      <c r="X20" s="999">
        <v>0</v>
      </c>
      <c r="Y20" s="999">
        <v>0</v>
      </c>
      <c r="Z20" s="999"/>
      <c r="AA20" s="999">
        <v>0</v>
      </c>
      <c r="AB20" s="1890">
        <f t="shared" si="14"/>
        <v>0</v>
      </c>
      <c r="AC20" s="1890">
        <f t="shared" si="15"/>
        <v>0</v>
      </c>
      <c r="AD20" s="1890">
        <f t="shared" si="16"/>
        <v>0</v>
      </c>
      <c r="AE20" s="1890">
        <f t="shared" si="17"/>
        <v>0</v>
      </c>
      <c r="AF20" s="1890">
        <f t="shared" si="18"/>
        <v>0</v>
      </c>
      <c r="AG20" s="2383">
        <f t="shared" si="19"/>
        <v>0</v>
      </c>
      <c r="AH20" s="2391">
        <f t="shared" si="1"/>
        <v>0</v>
      </c>
      <c r="AI20" s="79">
        <f t="shared" si="2"/>
        <v>0</v>
      </c>
      <c r="AJ20" s="79">
        <f t="shared" si="3"/>
        <v>0</v>
      </c>
      <c r="AK20" s="79">
        <f t="shared" si="4"/>
        <v>0</v>
      </c>
      <c r="AL20" s="79">
        <f t="shared" si="5"/>
        <v>0</v>
      </c>
      <c r="AM20" s="1684">
        <f t="shared" si="6"/>
        <v>0</v>
      </c>
      <c r="AN20" s="1557"/>
      <c r="AO20" s="1557"/>
      <c r="AP20" s="1557"/>
      <c r="AQ20" s="1557"/>
    </row>
    <row r="21" spans="1:43" s="110" customFormat="1" ht="12" customHeight="1">
      <c r="A21" s="1966" t="s">
        <v>14</v>
      </c>
      <c r="B21" s="1978" t="s">
        <v>197</v>
      </c>
      <c r="C21" s="1968">
        <f t="shared" ref="C21:AG21" si="20">+C22+C23+C24+C25+C26</f>
        <v>800000000</v>
      </c>
      <c r="D21" s="1968">
        <f t="shared" si="20"/>
        <v>1631350723</v>
      </c>
      <c r="E21" s="1968">
        <f t="shared" si="20"/>
        <v>1631350723</v>
      </c>
      <c r="F21" s="1968">
        <f t="shared" si="20"/>
        <v>1691350723</v>
      </c>
      <c r="G21" s="1968">
        <f t="shared" si="20"/>
        <v>1192760390</v>
      </c>
      <c r="H21" s="1968">
        <f t="shared" si="20"/>
        <v>1192760390</v>
      </c>
      <c r="I21" s="1968">
        <f t="shared" si="20"/>
        <v>1192760390</v>
      </c>
      <c r="J21" s="1968">
        <f t="shared" si="20"/>
        <v>350000000</v>
      </c>
      <c r="K21" s="1968">
        <f t="shared" si="20"/>
        <v>350000000</v>
      </c>
      <c r="L21" s="1968">
        <f t="shared" si="20"/>
        <v>350000000</v>
      </c>
      <c r="M21" s="1968">
        <f t="shared" si="20"/>
        <v>175000000</v>
      </c>
      <c r="N21" s="1968">
        <f t="shared" si="20"/>
        <v>175000000</v>
      </c>
      <c r="O21" s="1968">
        <f t="shared" si="20"/>
        <v>175000000</v>
      </c>
      <c r="P21" s="1968">
        <f t="shared" si="20"/>
        <v>1281350723</v>
      </c>
      <c r="Q21" s="1968">
        <f t="shared" si="20"/>
        <v>1281350723</v>
      </c>
      <c r="R21" s="1968">
        <f t="shared" si="20"/>
        <v>1341350723</v>
      </c>
      <c r="S21" s="1968">
        <f t="shared" si="20"/>
        <v>1017760390</v>
      </c>
      <c r="T21" s="1968">
        <f t="shared" si="20"/>
        <v>1017760390</v>
      </c>
      <c r="U21" s="1968">
        <f t="shared" si="20"/>
        <v>1017760390</v>
      </c>
      <c r="V21" s="1968">
        <f t="shared" si="20"/>
        <v>0</v>
      </c>
      <c r="W21" s="1968">
        <f t="shared" si="20"/>
        <v>0</v>
      </c>
      <c r="X21" s="1968">
        <f t="shared" si="20"/>
        <v>0</v>
      </c>
      <c r="Y21" s="1968">
        <f t="shared" si="20"/>
        <v>0</v>
      </c>
      <c r="Z21" s="1968">
        <f t="shared" si="20"/>
        <v>0</v>
      </c>
      <c r="AA21" s="1979">
        <f t="shared" si="20"/>
        <v>0</v>
      </c>
      <c r="AB21" s="1968">
        <f t="shared" si="20"/>
        <v>1631350723</v>
      </c>
      <c r="AC21" s="1968">
        <f t="shared" si="20"/>
        <v>1631350723</v>
      </c>
      <c r="AD21" s="1968">
        <f t="shared" si="20"/>
        <v>1691350723</v>
      </c>
      <c r="AE21" s="1968">
        <f t="shared" si="20"/>
        <v>1192760390</v>
      </c>
      <c r="AF21" s="1968">
        <f t="shared" si="20"/>
        <v>1192760390</v>
      </c>
      <c r="AG21" s="2044">
        <f t="shared" si="20"/>
        <v>1192760390</v>
      </c>
      <c r="AH21" s="2391">
        <f t="shared" si="1"/>
        <v>0</v>
      </c>
      <c r="AI21" s="79">
        <f t="shared" si="2"/>
        <v>0</v>
      </c>
      <c r="AJ21" s="79">
        <f t="shared" si="3"/>
        <v>0</v>
      </c>
      <c r="AK21" s="79">
        <f t="shared" si="4"/>
        <v>0</v>
      </c>
      <c r="AL21" s="79">
        <f t="shared" si="5"/>
        <v>0</v>
      </c>
      <c r="AM21" s="1684">
        <f t="shared" si="6"/>
        <v>0</v>
      </c>
      <c r="AN21" s="1557"/>
      <c r="AO21" s="1557"/>
      <c r="AP21" s="1557"/>
      <c r="AQ21" s="1557"/>
    </row>
    <row r="22" spans="1:43" s="110" customFormat="1" ht="12" customHeight="1">
      <c r="A22" s="1971" t="s">
        <v>198</v>
      </c>
      <c r="B22" s="1972" t="s">
        <v>199</v>
      </c>
      <c r="C22" s="1973">
        <f>+'7. mell. Önk.összes.bevétele'!I254</f>
        <v>0</v>
      </c>
      <c r="D22" s="1973">
        <f>+'7. mell. Önk.összes.bevétele'!K254</f>
        <v>0</v>
      </c>
      <c r="E22" s="1973">
        <f>+'7. mell. Önk.összes.bevétele'!L254</f>
        <v>0</v>
      </c>
      <c r="F22" s="1973">
        <f>+'7. mell. Önk.összes.bevétele'!M254</f>
        <v>0</v>
      </c>
      <c r="G22" s="1973">
        <f>+'7. mell. Önk.összes.bevétele'!N254</f>
        <v>0</v>
      </c>
      <c r="H22" s="1973">
        <f>+'7. mell. Önk.összes.bevétele'!O254</f>
        <v>0</v>
      </c>
      <c r="I22" s="1973">
        <f>+'7. mell. Önk.összes.bevétele'!P254</f>
        <v>0</v>
      </c>
      <c r="J22" s="999">
        <f>+'7. mell. Önk.összes.bevétele'!K246+'7. mell. Önk.összes.bevétele'!K248</f>
        <v>0</v>
      </c>
      <c r="K22" s="999">
        <f>+'7. mell. Önk.összes.bevétele'!L246+'7. mell. Önk.összes.bevétele'!L248</f>
        <v>0</v>
      </c>
      <c r="L22" s="999">
        <f>+'7. mell. Önk.összes.bevétele'!M246+'7. mell. Önk.összes.bevétele'!M248</f>
        <v>0</v>
      </c>
      <c r="M22" s="999">
        <f>+'7. mell. Önk.összes.bevétele'!N246+'7. mell. Önk.összes.bevétele'!N248</f>
        <v>0</v>
      </c>
      <c r="N22" s="999">
        <f>+'7. mell. Önk.összes.bevétele'!O246+'7. mell. Önk.összes.bevétele'!O248</f>
        <v>0</v>
      </c>
      <c r="O22" s="999">
        <f>+'7. mell. Önk.összes.bevétele'!P246+'7. mell. Önk.összes.bevétele'!P248</f>
        <v>0</v>
      </c>
      <c r="P22" s="999">
        <f>+'7. mell. Önk.összes.bevétele'!K247+'7. mell. Önk.összes.bevétele'!K250+'7. mell. Önk.összes.bevétele'!K251+'7. mell. Önk.összes.bevétele'!K252</f>
        <v>0</v>
      </c>
      <c r="Q22" s="999">
        <f>+'7. mell. Önk.összes.bevétele'!L247+'7. mell. Önk.összes.bevétele'!L250+'7. mell. Önk.összes.bevétele'!L251+'7. mell. Önk.összes.bevétele'!L252</f>
        <v>0</v>
      </c>
      <c r="R22" s="999">
        <f>+'7. mell. Önk.összes.bevétele'!M247+'7. mell. Önk.összes.bevétele'!M250+'7. mell. Önk.összes.bevétele'!M251+'7. mell. Önk.összes.bevétele'!M252</f>
        <v>0</v>
      </c>
      <c r="S22" s="999">
        <f>+'7. mell. Önk.összes.bevétele'!N247+'7. mell. Önk.összes.bevétele'!N250+'7. mell. Önk.összes.bevétele'!N251+'7. mell. Önk.összes.bevétele'!N252</f>
        <v>0</v>
      </c>
      <c r="T22" s="999">
        <f>+'7. mell. Önk.összes.bevétele'!O247+'7. mell. Önk.összes.bevétele'!O250+'7. mell. Önk.összes.bevétele'!O251+'7. mell. Önk.összes.bevétele'!O252</f>
        <v>0</v>
      </c>
      <c r="U22" s="999">
        <f>+'7. mell. Önk.összes.bevétele'!P247+'7. mell. Önk.összes.bevétele'!P250+'7. mell. Önk.összes.bevétele'!P251+'7. mell. Önk.összes.bevétele'!P252</f>
        <v>0</v>
      </c>
      <c r="V22" s="999"/>
      <c r="W22" s="999">
        <v>0</v>
      </c>
      <c r="X22" s="999">
        <v>0</v>
      </c>
      <c r="Y22" s="999">
        <v>0</v>
      </c>
      <c r="Z22" s="999"/>
      <c r="AA22" s="999">
        <v>0</v>
      </c>
      <c r="AB22" s="1890">
        <f t="shared" ref="AB22:AB27" si="21">+J22+P22+V22</f>
        <v>0</v>
      </c>
      <c r="AC22" s="1890">
        <f t="shared" ref="AC22:AC27" si="22">+K22+Q22+W22</f>
        <v>0</v>
      </c>
      <c r="AD22" s="1890">
        <f t="shared" ref="AD22:AD27" si="23">+L22+R22+X22</f>
        <v>0</v>
      </c>
      <c r="AE22" s="1890">
        <f t="shared" ref="AE22:AE27" si="24">+M22+S22+Y22</f>
        <v>0</v>
      </c>
      <c r="AF22" s="1890">
        <f t="shared" ref="AF22:AF27" si="25">+N22+T22+Z22</f>
        <v>0</v>
      </c>
      <c r="AG22" s="2383">
        <f t="shared" ref="AG22:AG27" si="26">+O22+U22+AA22</f>
        <v>0</v>
      </c>
      <c r="AH22" s="2391">
        <f t="shared" si="1"/>
        <v>0</v>
      </c>
      <c r="AI22" s="79">
        <f t="shared" si="2"/>
        <v>0</v>
      </c>
      <c r="AJ22" s="79">
        <f t="shared" si="3"/>
        <v>0</v>
      </c>
      <c r="AK22" s="79">
        <f t="shared" si="4"/>
        <v>0</v>
      </c>
      <c r="AL22" s="79">
        <f t="shared" si="5"/>
        <v>0</v>
      </c>
      <c r="AM22" s="1684">
        <f t="shared" si="6"/>
        <v>0</v>
      </c>
      <c r="AN22" s="1557"/>
      <c r="AO22" s="1557"/>
      <c r="AP22" s="1557"/>
      <c r="AQ22" s="1557"/>
    </row>
    <row r="23" spans="1:43" s="108" customFormat="1" ht="12" customHeight="1">
      <c r="A23" s="1971" t="s">
        <v>200</v>
      </c>
      <c r="B23" s="1972" t="s">
        <v>201</v>
      </c>
      <c r="C23" s="999">
        <v>0</v>
      </c>
      <c r="D23" s="999">
        <v>0</v>
      </c>
      <c r="E23" s="999">
        <f>+D23</f>
        <v>0</v>
      </c>
      <c r="F23" s="999">
        <f>+E23</f>
        <v>0</v>
      </c>
      <c r="G23" s="999">
        <f>+F23</f>
        <v>0</v>
      </c>
      <c r="H23" s="999">
        <f>+G23</f>
        <v>0</v>
      </c>
      <c r="I23" s="999">
        <f>+H23</f>
        <v>0</v>
      </c>
      <c r="J23" s="999">
        <v>0</v>
      </c>
      <c r="K23" s="999">
        <v>0</v>
      </c>
      <c r="L23" s="999">
        <v>0</v>
      </c>
      <c r="M23" s="999">
        <v>0</v>
      </c>
      <c r="N23" s="999">
        <v>0</v>
      </c>
      <c r="O23" s="999">
        <v>0</v>
      </c>
      <c r="P23" s="999">
        <v>0</v>
      </c>
      <c r="Q23" s="999">
        <v>0</v>
      </c>
      <c r="R23" s="999">
        <v>0</v>
      </c>
      <c r="S23" s="999">
        <v>0</v>
      </c>
      <c r="T23" s="999">
        <v>0</v>
      </c>
      <c r="U23" s="999">
        <v>0</v>
      </c>
      <c r="V23" s="999">
        <v>0</v>
      </c>
      <c r="W23" s="999">
        <v>0</v>
      </c>
      <c r="X23" s="999">
        <v>0</v>
      </c>
      <c r="Y23" s="999">
        <v>0</v>
      </c>
      <c r="Z23" s="999"/>
      <c r="AA23" s="999">
        <v>0</v>
      </c>
      <c r="AB23" s="1890">
        <f t="shared" si="21"/>
        <v>0</v>
      </c>
      <c r="AC23" s="1890">
        <f t="shared" si="22"/>
        <v>0</v>
      </c>
      <c r="AD23" s="1890">
        <f t="shared" si="23"/>
        <v>0</v>
      </c>
      <c r="AE23" s="2057">
        <f t="shared" si="24"/>
        <v>0</v>
      </c>
      <c r="AF23" s="2057">
        <f t="shared" si="25"/>
        <v>0</v>
      </c>
      <c r="AG23" s="2384">
        <f t="shared" si="26"/>
        <v>0</v>
      </c>
      <c r="AH23" s="2391">
        <f t="shared" si="1"/>
        <v>0</v>
      </c>
      <c r="AI23" s="79">
        <f t="shared" si="2"/>
        <v>0</v>
      </c>
      <c r="AJ23" s="79">
        <f t="shared" si="3"/>
        <v>0</v>
      </c>
      <c r="AK23" s="79">
        <f t="shared" si="4"/>
        <v>0</v>
      </c>
      <c r="AL23" s="79">
        <f t="shared" si="5"/>
        <v>0</v>
      </c>
      <c r="AM23" s="1684">
        <f t="shared" si="6"/>
        <v>0</v>
      </c>
      <c r="AN23" s="1556"/>
      <c r="AO23" s="1556"/>
      <c r="AP23" s="1556"/>
      <c r="AQ23" s="1556"/>
    </row>
    <row r="24" spans="1:43" s="110" customFormat="1" ht="12" customHeight="1">
      <c r="A24" s="1971" t="s">
        <v>202</v>
      </c>
      <c r="B24" s="1972" t="s">
        <v>203</v>
      </c>
      <c r="C24" s="999">
        <f>+'7. mell. Önk.összes.bevétele'!I255</f>
        <v>0</v>
      </c>
      <c r="D24" s="999">
        <f>+'7. mell. Önk.összes.bevétele'!K255</f>
        <v>0</v>
      </c>
      <c r="E24" s="999">
        <f>+'7. mell. Önk.összes.bevétele'!L255</f>
        <v>0</v>
      </c>
      <c r="F24" s="999">
        <f>+'7. mell. Önk.összes.bevétele'!M255</f>
        <v>0</v>
      </c>
      <c r="G24" s="999">
        <f>+'7. mell. Önk.összes.bevétele'!N255</f>
        <v>0</v>
      </c>
      <c r="H24" s="999">
        <f>+'7. mell. Önk.összes.bevétele'!O255</f>
        <v>0</v>
      </c>
      <c r="I24" s="999">
        <f>+'7. mell. Önk.összes.bevétele'!P255</f>
        <v>0</v>
      </c>
      <c r="J24" s="999">
        <v>0</v>
      </c>
      <c r="K24" s="999">
        <v>0</v>
      </c>
      <c r="L24" s="999">
        <v>0</v>
      </c>
      <c r="M24" s="999">
        <v>0</v>
      </c>
      <c r="N24" s="999">
        <v>0</v>
      </c>
      <c r="O24" s="999">
        <v>0</v>
      </c>
      <c r="P24" s="999">
        <v>0</v>
      </c>
      <c r="Q24" s="999">
        <v>0</v>
      </c>
      <c r="R24" s="999">
        <v>0</v>
      </c>
      <c r="S24" s="999">
        <v>0</v>
      </c>
      <c r="T24" s="999">
        <v>0</v>
      </c>
      <c r="U24" s="999">
        <v>0</v>
      </c>
      <c r="V24" s="999">
        <v>0</v>
      </c>
      <c r="W24" s="999">
        <v>0</v>
      </c>
      <c r="X24" s="999">
        <v>0</v>
      </c>
      <c r="Y24" s="999">
        <v>0</v>
      </c>
      <c r="Z24" s="999"/>
      <c r="AA24" s="999">
        <v>0</v>
      </c>
      <c r="AB24" s="1890">
        <f t="shared" si="21"/>
        <v>0</v>
      </c>
      <c r="AC24" s="1890">
        <f t="shared" si="22"/>
        <v>0</v>
      </c>
      <c r="AD24" s="1890">
        <f t="shared" si="23"/>
        <v>0</v>
      </c>
      <c r="AE24" s="1890">
        <f t="shared" si="24"/>
        <v>0</v>
      </c>
      <c r="AF24" s="1890">
        <f t="shared" si="25"/>
        <v>0</v>
      </c>
      <c r="AG24" s="2383">
        <f t="shared" si="26"/>
        <v>0</v>
      </c>
      <c r="AH24" s="2391">
        <f t="shared" si="1"/>
        <v>0</v>
      </c>
      <c r="AI24" s="79">
        <f t="shared" si="2"/>
        <v>0</v>
      </c>
      <c r="AJ24" s="79">
        <f t="shared" si="3"/>
        <v>0</v>
      </c>
      <c r="AK24" s="79">
        <f t="shared" si="4"/>
        <v>0</v>
      </c>
      <c r="AL24" s="79">
        <f t="shared" si="5"/>
        <v>0</v>
      </c>
      <c r="AM24" s="1684">
        <f t="shared" si="6"/>
        <v>0</v>
      </c>
      <c r="AN24" s="1557"/>
      <c r="AO24" s="1557"/>
      <c r="AP24" s="1557"/>
      <c r="AQ24" s="1557"/>
    </row>
    <row r="25" spans="1:43" s="110" customFormat="1" ht="12" customHeight="1">
      <c r="A25" s="1971" t="s">
        <v>204</v>
      </c>
      <c r="B25" s="1972" t="s">
        <v>205</v>
      </c>
      <c r="C25" s="999">
        <f>+'7. mell. Önk.összes.bevétele'!I256</f>
        <v>0</v>
      </c>
      <c r="D25" s="999">
        <f>+'7. mell. Önk.összes.bevétele'!K256</f>
        <v>0</v>
      </c>
      <c r="E25" s="999">
        <f>+'7. mell. Önk.összes.bevétele'!L256</f>
        <v>0</v>
      </c>
      <c r="F25" s="999">
        <f>+'7. mell. Önk.összes.bevétele'!M256</f>
        <v>0</v>
      </c>
      <c r="G25" s="999">
        <f>+'7. mell. Önk.összes.bevétele'!N256</f>
        <v>0</v>
      </c>
      <c r="H25" s="999">
        <f>+'7. mell. Önk.összes.bevétele'!O256</f>
        <v>0</v>
      </c>
      <c r="I25" s="999">
        <f>+'7. mell. Önk.összes.bevétele'!P256</f>
        <v>0</v>
      </c>
      <c r="J25" s="999">
        <v>0</v>
      </c>
      <c r="K25" s="999">
        <v>0</v>
      </c>
      <c r="L25" s="999">
        <v>0</v>
      </c>
      <c r="M25" s="999">
        <v>0</v>
      </c>
      <c r="N25" s="999">
        <v>0</v>
      </c>
      <c r="O25" s="999">
        <v>0</v>
      </c>
      <c r="P25" s="999">
        <v>0</v>
      </c>
      <c r="Q25" s="999">
        <v>0</v>
      </c>
      <c r="R25" s="999">
        <v>0</v>
      </c>
      <c r="S25" s="999">
        <v>0</v>
      </c>
      <c r="T25" s="999">
        <v>0</v>
      </c>
      <c r="U25" s="999">
        <v>0</v>
      </c>
      <c r="V25" s="999">
        <v>0</v>
      </c>
      <c r="W25" s="999">
        <v>0</v>
      </c>
      <c r="X25" s="999">
        <v>0</v>
      </c>
      <c r="Y25" s="999">
        <v>0</v>
      </c>
      <c r="Z25" s="999"/>
      <c r="AA25" s="999">
        <v>0</v>
      </c>
      <c r="AB25" s="1890">
        <f t="shared" si="21"/>
        <v>0</v>
      </c>
      <c r="AC25" s="1890">
        <f t="shared" si="22"/>
        <v>0</v>
      </c>
      <c r="AD25" s="1890">
        <f t="shared" si="23"/>
        <v>0</v>
      </c>
      <c r="AE25" s="1890">
        <f t="shared" si="24"/>
        <v>0</v>
      </c>
      <c r="AF25" s="1890">
        <f t="shared" si="25"/>
        <v>0</v>
      </c>
      <c r="AG25" s="2383">
        <f t="shared" si="26"/>
        <v>0</v>
      </c>
      <c r="AH25" s="2391">
        <f t="shared" si="1"/>
        <v>0</v>
      </c>
      <c r="AI25" s="79">
        <f t="shared" si="2"/>
        <v>0</v>
      </c>
      <c r="AJ25" s="79">
        <f t="shared" si="3"/>
        <v>0</v>
      </c>
      <c r="AK25" s="79">
        <f t="shared" si="4"/>
        <v>0</v>
      </c>
      <c r="AL25" s="79">
        <f t="shared" si="5"/>
        <v>0</v>
      </c>
      <c r="AM25" s="1684">
        <f t="shared" si="6"/>
        <v>0</v>
      </c>
      <c r="AN25" s="1557"/>
      <c r="AO25" s="1557"/>
      <c r="AP25" s="1557"/>
      <c r="AQ25" s="1557"/>
    </row>
    <row r="26" spans="1:43" s="110" customFormat="1" ht="12" customHeight="1">
      <c r="A26" s="1971" t="s">
        <v>206</v>
      </c>
      <c r="B26" s="1972" t="s">
        <v>207</v>
      </c>
      <c r="C26" s="999">
        <f>+'7. mell. Önk.összes.bevétele'!I271</f>
        <v>800000000</v>
      </c>
      <c r="D26" s="999">
        <f>+'7. mell. Önk.összes.bevétele'!K271</f>
        <v>1631350723</v>
      </c>
      <c r="E26" s="999">
        <f>+'7. mell. Önk.összes.bevétele'!L271</f>
        <v>1631350723</v>
      </c>
      <c r="F26" s="999">
        <f>+'7. mell. Önk.összes.bevétele'!M271</f>
        <v>1691350723</v>
      </c>
      <c r="G26" s="999">
        <f>+'7. mell. Önk.összes.bevétele'!N271</f>
        <v>1192760390</v>
      </c>
      <c r="H26" s="999">
        <f>+'7. mell. Önk.összes.bevétele'!O271</f>
        <v>1192760390</v>
      </c>
      <c r="I26" s="999">
        <f>+'7. mell. Önk.összes.bevétele'!P271</f>
        <v>1192760390</v>
      </c>
      <c r="J26" s="999">
        <f>+'7. mell. Önk.összes.bevétele'!K264</f>
        <v>350000000</v>
      </c>
      <c r="K26" s="999">
        <f>+'7. mell. Önk.összes.bevétele'!L264</f>
        <v>350000000</v>
      </c>
      <c r="L26" s="999">
        <f>+'7. mell. Önk.összes.bevétele'!M264</f>
        <v>350000000</v>
      </c>
      <c r="M26" s="999">
        <f>+'7. mell. Önk.összes.bevétele'!N264</f>
        <v>175000000</v>
      </c>
      <c r="N26" s="999">
        <f>+'7. mell. Önk.összes.bevétele'!O264</f>
        <v>175000000</v>
      </c>
      <c r="O26" s="999">
        <f>+'7. mell. Önk.összes.bevétele'!P264</f>
        <v>175000000</v>
      </c>
      <c r="P26" s="999">
        <f>+'7. mell. Önk.összes.bevétele'!K270</f>
        <v>1281350723</v>
      </c>
      <c r="Q26" s="999">
        <f>+'7. mell. Önk.összes.bevétele'!L270</f>
        <v>1281350723</v>
      </c>
      <c r="R26" s="999">
        <f>+'7. mell. Önk.összes.bevétele'!M270</f>
        <v>1341350723</v>
      </c>
      <c r="S26" s="999">
        <f>+'7. mell. Önk.összes.bevétele'!N270</f>
        <v>1017760390</v>
      </c>
      <c r="T26" s="999">
        <f>+'7. mell. Önk.összes.bevétele'!O270</f>
        <v>1017760390</v>
      </c>
      <c r="U26" s="999">
        <f>+'7. mell. Önk.összes.bevétele'!P270</f>
        <v>1017760390</v>
      </c>
      <c r="V26" s="999">
        <v>0</v>
      </c>
      <c r="W26" s="999">
        <v>0</v>
      </c>
      <c r="X26" s="999">
        <v>0</v>
      </c>
      <c r="Y26" s="999">
        <v>0</v>
      </c>
      <c r="Z26" s="999"/>
      <c r="AA26" s="999">
        <v>0</v>
      </c>
      <c r="AB26" s="1890">
        <f t="shared" si="21"/>
        <v>1631350723</v>
      </c>
      <c r="AC26" s="1890">
        <f t="shared" si="22"/>
        <v>1631350723</v>
      </c>
      <c r="AD26" s="1890">
        <f t="shared" si="23"/>
        <v>1691350723</v>
      </c>
      <c r="AE26" s="1890">
        <f t="shared" si="24"/>
        <v>1192760390</v>
      </c>
      <c r="AF26" s="1890">
        <f t="shared" si="25"/>
        <v>1192760390</v>
      </c>
      <c r="AG26" s="2383">
        <f t="shared" si="26"/>
        <v>1192760390</v>
      </c>
      <c r="AH26" s="2391">
        <f t="shared" si="1"/>
        <v>0</v>
      </c>
      <c r="AI26" s="79">
        <f t="shared" si="2"/>
        <v>0</v>
      </c>
      <c r="AJ26" s="79">
        <f t="shared" si="3"/>
        <v>0</v>
      </c>
      <c r="AK26" s="79">
        <f t="shared" si="4"/>
        <v>0</v>
      </c>
      <c r="AL26" s="79">
        <f t="shared" si="5"/>
        <v>0</v>
      </c>
      <c r="AM26" s="1684">
        <f t="shared" si="6"/>
        <v>0</v>
      </c>
      <c r="AN26" s="1557"/>
      <c r="AO26" s="1557"/>
      <c r="AP26" s="1557"/>
      <c r="AQ26" s="1557"/>
    </row>
    <row r="27" spans="1:43" s="110" customFormat="1" ht="12" customHeight="1">
      <c r="A27" s="1971" t="s">
        <v>208</v>
      </c>
      <c r="B27" s="1972" t="s">
        <v>209</v>
      </c>
      <c r="C27" s="999">
        <v>629921260</v>
      </c>
      <c r="D27" s="999">
        <f>(217450847+277324871+43985561)+133589444-133589444</f>
        <v>538761279</v>
      </c>
      <c r="E27" s="999">
        <f>+D27</f>
        <v>538761279</v>
      </c>
      <c r="F27" s="999">
        <f>+E27</f>
        <v>538761279</v>
      </c>
      <c r="G27" s="999">
        <f>+'7. mell. Önk.összes.bevétele'!N266+'7. mell. Önk.összes.bevétele'!N267</f>
        <v>394760390</v>
      </c>
      <c r="H27" s="999">
        <f>+G27</f>
        <v>394760390</v>
      </c>
      <c r="I27" s="999">
        <f>+'7. mell. Önk.összes.bevétele'!P266</f>
        <v>394760390</v>
      </c>
      <c r="J27" s="999">
        <v>0</v>
      </c>
      <c r="K27" s="999">
        <v>0</v>
      </c>
      <c r="L27" s="999">
        <v>0</v>
      </c>
      <c r="M27" s="999">
        <v>0</v>
      </c>
      <c r="N27" s="999">
        <v>0</v>
      </c>
      <c r="O27" s="999">
        <v>0</v>
      </c>
      <c r="P27" s="999">
        <f>(217450847+277324871+43985561)+133589444-133589444</f>
        <v>538761279</v>
      </c>
      <c r="Q27" s="999">
        <f>+P27</f>
        <v>538761279</v>
      </c>
      <c r="R27" s="999">
        <f>+Q27</f>
        <v>538761279</v>
      </c>
      <c r="S27" s="999">
        <f>+'7. mell. Önk.összes.bevétele'!N266+'7. mell. Önk.összes.bevétele'!N267</f>
        <v>394760390</v>
      </c>
      <c r="T27" s="999">
        <f>+S27</f>
        <v>394760390</v>
      </c>
      <c r="U27" s="999">
        <f>+'7. mell. Önk.összes.bevétele'!P266</f>
        <v>394760390</v>
      </c>
      <c r="V27" s="999">
        <v>0</v>
      </c>
      <c r="W27" s="999">
        <v>0</v>
      </c>
      <c r="X27" s="999">
        <v>0</v>
      </c>
      <c r="Y27" s="999">
        <v>0</v>
      </c>
      <c r="Z27" s="999"/>
      <c r="AA27" s="999">
        <v>0</v>
      </c>
      <c r="AB27" s="1890">
        <f t="shared" si="21"/>
        <v>538761279</v>
      </c>
      <c r="AC27" s="1890">
        <f t="shared" si="22"/>
        <v>538761279</v>
      </c>
      <c r="AD27" s="1890">
        <f t="shared" si="23"/>
        <v>538761279</v>
      </c>
      <c r="AE27" s="2057">
        <f t="shared" si="24"/>
        <v>394760390</v>
      </c>
      <c r="AF27" s="2057">
        <f t="shared" si="25"/>
        <v>394760390</v>
      </c>
      <c r="AG27" s="2384">
        <f t="shared" si="26"/>
        <v>394760390</v>
      </c>
      <c r="AH27" s="2391">
        <f t="shared" si="1"/>
        <v>0</v>
      </c>
      <c r="AI27" s="79">
        <f t="shared" si="2"/>
        <v>0</v>
      </c>
      <c r="AJ27" s="79">
        <f t="shared" si="3"/>
        <v>0</v>
      </c>
      <c r="AK27" s="79">
        <f t="shared" si="4"/>
        <v>0</v>
      </c>
      <c r="AL27" s="79">
        <f t="shared" si="5"/>
        <v>0</v>
      </c>
      <c r="AM27" s="1684">
        <f t="shared" si="6"/>
        <v>0</v>
      </c>
      <c r="AN27" s="1557"/>
      <c r="AO27" s="1557"/>
      <c r="AP27" s="1557"/>
      <c r="AQ27" s="1557"/>
    </row>
    <row r="28" spans="1:43" s="110" customFormat="1" ht="12" customHeight="1">
      <c r="A28" s="1966" t="s">
        <v>210</v>
      </c>
      <c r="B28" s="1978" t="s">
        <v>211</v>
      </c>
      <c r="C28" s="1979">
        <f t="shared" ref="C28:AG28" si="27">+C29+C32+C33+C34</f>
        <v>11841768010</v>
      </c>
      <c r="D28" s="1979">
        <f t="shared" si="27"/>
        <v>12037626419</v>
      </c>
      <c r="E28" s="1979">
        <f t="shared" si="27"/>
        <v>12037626419</v>
      </c>
      <c r="F28" s="1979">
        <f t="shared" si="27"/>
        <v>12037626419</v>
      </c>
      <c r="G28" s="1979">
        <f t="shared" si="27"/>
        <v>12427794489</v>
      </c>
      <c r="H28" s="1979">
        <f t="shared" si="27"/>
        <v>12427794489</v>
      </c>
      <c r="I28" s="1979">
        <f t="shared" si="27"/>
        <v>12427794489</v>
      </c>
      <c r="J28" s="1979">
        <f t="shared" si="27"/>
        <v>10292684196</v>
      </c>
      <c r="K28" s="1979">
        <f t="shared" si="27"/>
        <v>10262892772</v>
      </c>
      <c r="L28" s="1979">
        <f t="shared" si="27"/>
        <v>10135503163</v>
      </c>
      <c r="M28" s="1979">
        <f t="shared" si="27"/>
        <v>10073614498</v>
      </c>
      <c r="N28" s="1979">
        <f t="shared" si="27"/>
        <v>10073614498</v>
      </c>
      <c r="O28" s="1979">
        <f t="shared" si="27"/>
        <v>10073614498</v>
      </c>
      <c r="P28" s="1979">
        <f t="shared" si="27"/>
        <v>1741442223</v>
      </c>
      <c r="Q28" s="1979">
        <f t="shared" si="27"/>
        <v>1771233647</v>
      </c>
      <c r="R28" s="1979">
        <f t="shared" si="27"/>
        <v>1896649792</v>
      </c>
      <c r="S28" s="1979">
        <f t="shared" si="27"/>
        <v>2351668351</v>
      </c>
      <c r="T28" s="1979">
        <f t="shared" si="27"/>
        <v>2351668351</v>
      </c>
      <c r="U28" s="1979">
        <f t="shared" si="27"/>
        <v>2351668351</v>
      </c>
      <c r="V28" s="1979">
        <f t="shared" si="27"/>
        <v>3500000</v>
      </c>
      <c r="W28" s="1979">
        <f t="shared" si="27"/>
        <v>3500000</v>
      </c>
      <c r="X28" s="1979">
        <f t="shared" si="27"/>
        <v>5473464</v>
      </c>
      <c r="Y28" s="1979">
        <f t="shared" si="27"/>
        <v>2511640</v>
      </c>
      <c r="Z28" s="1979">
        <f t="shared" si="27"/>
        <v>2511640</v>
      </c>
      <c r="AA28" s="1979">
        <f t="shared" si="27"/>
        <v>2511640</v>
      </c>
      <c r="AB28" s="1979">
        <f t="shared" si="27"/>
        <v>12037626419</v>
      </c>
      <c r="AC28" s="1979">
        <f t="shared" si="27"/>
        <v>12037626419</v>
      </c>
      <c r="AD28" s="1979">
        <f t="shared" si="27"/>
        <v>12037626419</v>
      </c>
      <c r="AE28" s="1979">
        <f t="shared" si="27"/>
        <v>12427794489</v>
      </c>
      <c r="AF28" s="1979">
        <f t="shared" si="27"/>
        <v>12427794489</v>
      </c>
      <c r="AG28" s="2045">
        <f t="shared" si="27"/>
        <v>12427794489</v>
      </c>
      <c r="AH28" s="2391">
        <f t="shared" si="1"/>
        <v>0</v>
      </c>
      <c r="AI28" s="79">
        <f t="shared" si="2"/>
        <v>0</v>
      </c>
      <c r="AJ28" s="79">
        <f t="shared" si="3"/>
        <v>0</v>
      </c>
      <c r="AK28" s="79">
        <f t="shared" si="4"/>
        <v>0</v>
      </c>
      <c r="AL28" s="79">
        <f t="shared" si="5"/>
        <v>0</v>
      </c>
      <c r="AM28" s="1684">
        <f t="shared" si="6"/>
        <v>0</v>
      </c>
      <c r="AN28" s="1557"/>
      <c r="AO28" s="1557"/>
      <c r="AP28" s="1557"/>
      <c r="AQ28" s="1557"/>
    </row>
    <row r="29" spans="1:43" s="110" customFormat="1" ht="12.75" customHeight="1">
      <c r="A29" s="1971" t="s">
        <v>212</v>
      </c>
      <c r="B29" s="1972" t="s">
        <v>213</v>
      </c>
      <c r="C29" s="1211">
        <f t="shared" ref="C29:AA29" si="28">+C30+C31</f>
        <v>11774768010</v>
      </c>
      <c r="D29" s="1211">
        <f t="shared" si="28"/>
        <v>11974768010</v>
      </c>
      <c r="E29" s="1211">
        <f t="shared" si="28"/>
        <v>11974768010</v>
      </c>
      <c r="F29" s="1211">
        <f t="shared" si="28"/>
        <v>11974768010</v>
      </c>
      <c r="G29" s="1211">
        <f t="shared" si="28"/>
        <v>12291824164</v>
      </c>
      <c r="H29" s="1211">
        <f t="shared" si="28"/>
        <v>12291824164</v>
      </c>
      <c r="I29" s="1211">
        <f t="shared" si="28"/>
        <v>12291824164</v>
      </c>
      <c r="J29" s="1211">
        <f t="shared" si="28"/>
        <v>10229825787</v>
      </c>
      <c r="K29" s="1211">
        <f t="shared" si="28"/>
        <v>10200034363</v>
      </c>
      <c r="L29" s="1211">
        <f t="shared" si="28"/>
        <v>10072644754</v>
      </c>
      <c r="M29" s="1211">
        <f t="shared" si="28"/>
        <v>9937644173</v>
      </c>
      <c r="N29" s="1211">
        <f t="shared" si="28"/>
        <v>9937644173</v>
      </c>
      <c r="O29" s="1211">
        <f t="shared" si="28"/>
        <v>9937644173</v>
      </c>
      <c r="P29" s="1211">
        <f t="shared" si="28"/>
        <v>1741442223</v>
      </c>
      <c r="Q29" s="1211">
        <f t="shared" si="28"/>
        <v>1771233647</v>
      </c>
      <c r="R29" s="1211">
        <f t="shared" si="28"/>
        <v>1896649792</v>
      </c>
      <c r="S29" s="1211">
        <f t="shared" si="28"/>
        <v>2351668351</v>
      </c>
      <c r="T29" s="1211">
        <f t="shared" si="28"/>
        <v>2351668351</v>
      </c>
      <c r="U29" s="1211">
        <f t="shared" si="28"/>
        <v>2351668351</v>
      </c>
      <c r="V29" s="1211">
        <f t="shared" si="28"/>
        <v>3500000</v>
      </c>
      <c r="W29" s="1211">
        <f t="shared" si="28"/>
        <v>3500000</v>
      </c>
      <c r="X29" s="1211">
        <f t="shared" si="28"/>
        <v>5473464</v>
      </c>
      <c r="Y29" s="1211">
        <f t="shared" si="28"/>
        <v>2511640</v>
      </c>
      <c r="Z29" s="1211">
        <f t="shared" si="28"/>
        <v>2511640</v>
      </c>
      <c r="AA29" s="1211">
        <f t="shared" si="28"/>
        <v>2511640</v>
      </c>
      <c r="AB29" s="1211">
        <f t="shared" ref="AB29:AB34" si="29">+J29+P29+V29</f>
        <v>11974768010</v>
      </c>
      <c r="AC29" s="1211">
        <f t="shared" ref="AC29:AC34" si="30">+K29+Q29+W29</f>
        <v>11974768010</v>
      </c>
      <c r="AD29" s="1211">
        <f t="shared" ref="AD29:AD34" si="31">+L29+R29+X29</f>
        <v>11974768010</v>
      </c>
      <c r="AE29" s="1211">
        <f t="shared" ref="AE29:AE34" si="32">+M29+S29+Y29</f>
        <v>12291824164</v>
      </c>
      <c r="AF29" s="1211">
        <f t="shared" ref="AF29:AF34" si="33">+N29+T29+Z29</f>
        <v>12291824164</v>
      </c>
      <c r="AG29" s="2046">
        <f t="shared" ref="AG29:AG34" si="34">+O29+U29+AA29</f>
        <v>12291824164</v>
      </c>
      <c r="AH29" s="2391">
        <f t="shared" si="1"/>
        <v>0</v>
      </c>
      <c r="AI29" s="79">
        <f t="shared" si="2"/>
        <v>0</v>
      </c>
      <c r="AJ29" s="79">
        <f t="shared" si="3"/>
        <v>0</v>
      </c>
      <c r="AK29" s="79">
        <f t="shared" si="4"/>
        <v>0</v>
      </c>
      <c r="AL29" s="79">
        <f t="shared" si="5"/>
        <v>0</v>
      </c>
      <c r="AM29" s="1684">
        <f t="shared" si="6"/>
        <v>0</v>
      </c>
      <c r="AN29" s="1557"/>
      <c r="AO29" s="1557"/>
      <c r="AP29" s="1557"/>
      <c r="AQ29" s="1557"/>
    </row>
    <row r="30" spans="1:43" s="110" customFormat="1" ht="12" customHeight="1">
      <c r="A30" s="1971" t="s">
        <v>214</v>
      </c>
      <c r="B30" s="1972" t="s">
        <v>215</v>
      </c>
      <c r="C30" s="1973">
        <f>+'7. mell. Önk.összes.bevétele'!I70</f>
        <v>1000000000</v>
      </c>
      <c r="D30" s="1973">
        <f>+'7. mell. Önk.összes.bevétele'!K70</f>
        <v>1200000000</v>
      </c>
      <c r="E30" s="1973">
        <f>+'7. mell. Önk.összes.bevétele'!L70</f>
        <v>1200000000</v>
      </c>
      <c r="F30" s="1973">
        <f>+'7. mell. Önk.összes.bevétele'!M70</f>
        <v>1200000000</v>
      </c>
      <c r="G30" s="1973">
        <f>+'7. mell. Önk.összes.bevétele'!N70</f>
        <v>1251294731</v>
      </c>
      <c r="H30" s="1973">
        <f>+'7. mell. Önk.összes.bevétele'!O70</f>
        <v>1251294731</v>
      </c>
      <c r="I30" s="1973">
        <f>+'7. mell. Önk.összes.bevétele'!P70</f>
        <v>1251294731</v>
      </c>
      <c r="J30" s="999">
        <f t="shared" ref="J30:O31" si="35">+D30-P30-V30</f>
        <v>1200000000</v>
      </c>
      <c r="K30" s="999">
        <f t="shared" si="35"/>
        <v>1200000000</v>
      </c>
      <c r="L30" s="999">
        <f t="shared" si="35"/>
        <v>1200000000</v>
      </c>
      <c r="M30" s="999">
        <f t="shared" si="35"/>
        <v>1251294731</v>
      </c>
      <c r="N30" s="999">
        <f t="shared" si="35"/>
        <v>1251294731</v>
      </c>
      <c r="O30" s="999">
        <f t="shared" si="35"/>
        <v>1251294731</v>
      </c>
      <c r="P30" s="999">
        <v>0</v>
      </c>
      <c r="Q30" s="999">
        <f t="shared" ref="Q30:T31" si="36">+P30</f>
        <v>0</v>
      </c>
      <c r="R30" s="999">
        <f t="shared" si="36"/>
        <v>0</v>
      </c>
      <c r="S30" s="999">
        <f t="shared" si="36"/>
        <v>0</v>
      </c>
      <c r="T30" s="999">
        <f t="shared" si="36"/>
        <v>0</v>
      </c>
      <c r="U30" s="999">
        <v>0</v>
      </c>
      <c r="V30" s="999">
        <v>0</v>
      </c>
      <c r="W30" s="999">
        <v>0</v>
      </c>
      <c r="X30" s="999">
        <v>0</v>
      </c>
      <c r="Y30" s="999">
        <v>0</v>
      </c>
      <c r="Z30" s="999"/>
      <c r="AA30" s="999">
        <v>0</v>
      </c>
      <c r="AB30" s="1890">
        <f t="shared" si="29"/>
        <v>1200000000</v>
      </c>
      <c r="AC30" s="1890">
        <f t="shared" si="30"/>
        <v>1200000000</v>
      </c>
      <c r="AD30" s="1890">
        <f t="shared" si="31"/>
        <v>1200000000</v>
      </c>
      <c r="AE30" s="1890">
        <f t="shared" si="32"/>
        <v>1251294731</v>
      </c>
      <c r="AF30" s="1890">
        <f t="shared" si="33"/>
        <v>1251294731</v>
      </c>
      <c r="AG30" s="2383">
        <f t="shared" si="34"/>
        <v>1251294731</v>
      </c>
      <c r="AH30" s="2391">
        <f t="shared" si="1"/>
        <v>0</v>
      </c>
      <c r="AI30" s="79">
        <f t="shared" si="2"/>
        <v>0</v>
      </c>
      <c r="AJ30" s="79">
        <f t="shared" si="3"/>
        <v>0</v>
      </c>
      <c r="AK30" s="79">
        <f t="shared" si="4"/>
        <v>0</v>
      </c>
      <c r="AL30" s="79">
        <f t="shared" si="5"/>
        <v>0</v>
      </c>
      <c r="AM30" s="1684">
        <f t="shared" si="6"/>
        <v>0</v>
      </c>
      <c r="AN30" s="1557"/>
      <c r="AO30" s="1557"/>
      <c r="AP30" s="1557"/>
      <c r="AQ30" s="1557"/>
    </row>
    <row r="31" spans="1:43" s="110" customFormat="1" ht="12" customHeight="1">
      <c r="A31" s="1971" t="s">
        <v>216</v>
      </c>
      <c r="B31" s="1972" t="s">
        <v>217</v>
      </c>
      <c r="C31" s="1973">
        <f>+'7. mell. Önk.összes.bevétele'!I74</f>
        <v>10774768010</v>
      </c>
      <c r="D31" s="1973">
        <f>+'7. mell. Önk.összes.bevétele'!K74</f>
        <v>10774768010</v>
      </c>
      <c r="E31" s="1973">
        <f>+'7. mell. Önk.összes.bevétele'!L74</f>
        <v>10774768010</v>
      </c>
      <c r="F31" s="1973">
        <f>+'7. mell. Önk.összes.bevétele'!M74</f>
        <v>10774768010</v>
      </c>
      <c r="G31" s="1973">
        <f>+'7. mell. Önk.összes.bevétele'!N74</f>
        <v>11040529433</v>
      </c>
      <c r="H31" s="1973">
        <f>+'7. mell. Önk.összes.bevétele'!O74</f>
        <v>11040529433</v>
      </c>
      <c r="I31" s="1973">
        <f>+'7. mell. Önk.összes.bevétele'!P74</f>
        <v>11040529433</v>
      </c>
      <c r="J31" s="999">
        <f t="shared" si="35"/>
        <v>9029825787</v>
      </c>
      <c r="K31" s="999">
        <f t="shared" si="35"/>
        <v>9000034363</v>
      </c>
      <c r="L31" s="999">
        <f t="shared" si="35"/>
        <v>8872644754</v>
      </c>
      <c r="M31" s="999">
        <f t="shared" si="35"/>
        <v>8686349442</v>
      </c>
      <c r="N31" s="999">
        <f t="shared" si="35"/>
        <v>8686349442</v>
      </c>
      <c r="O31" s="999">
        <f t="shared" si="35"/>
        <v>8686349442</v>
      </c>
      <c r="P31" s="2018">
        <f>1619018413+55880000-5000000+57140000+5403810+9000000</f>
        <v>1741442223</v>
      </c>
      <c r="Q31" s="2018">
        <f>+P31+34722090-4930666</f>
        <v>1771233647</v>
      </c>
      <c r="R31" s="2018">
        <f>+Q31+52432934+72983211</f>
        <v>1896649792</v>
      </c>
      <c r="S31" s="2018">
        <f>+R31+81543656+19422562+326424806+38594054-10966519</f>
        <v>2351668351</v>
      </c>
      <c r="T31" s="2018">
        <f t="shared" si="36"/>
        <v>2351668351</v>
      </c>
      <c r="U31" s="2019">
        <f>+T31</f>
        <v>2351668351</v>
      </c>
      <c r="V31" s="2019">
        <f t="shared" ref="V31:AA31" si="37">+V141</f>
        <v>3500000</v>
      </c>
      <c r="W31" s="2019">
        <f t="shared" si="37"/>
        <v>3500000</v>
      </c>
      <c r="X31" s="999">
        <f t="shared" si="37"/>
        <v>5473464</v>
      </c>
      <c r="Y31" s="999">
        <f t="shared" si="37"/>
        <v>2511640</v>
      </c>
      <c r="Z31" s="999">
        <f t="shared" si="37"/>
        <v>2511640</v>
      </c>
      <c r="AA31" s="999">
        <f t="shared" si="37"/>
        <v>2511640</v>
      </c>
      <c r="AB31" s="1890">
        <f t="shared" si="29"/>
        <v>10774768010</v>
      </c>
      <c r="AC31" s="1890">
        <f t="shared" si="30"/>
        <v>10774768010</v>
      </c>
      <c r="AD31" s="1890">
        <f t="shared" si="31"/>
        <v>10774768010</v>
      </c>
      <c r="AE31" s="1890">
        <f t="shared" si="32"/>
        <v>11040529433</v>
      </c>
      <c r="AF31" s="1890">
        <f t="shared" si="33"/>
        <v>11040529433</v>
      </c>
      <c r="AG31" s="2383">
        <f t="shared" si="34"/>
        <v>11040529433</v>
      </c>
      <c r="AH31" s="2391">
        <f t="shared" si="1"/>
        <v>0</v>
      </c>
      <c r="AI31" s="79">
        <f t="shared" si="2"/>
        <v>0</v>
      </c>
      <c r="AJ31" s="79">
        <f t="shared" si="3"/>
        <v>0</v>
      </c>
      <c r="AK31" s="79">
        <f t="shared" si="4"/>
        <v>0</v>
      </c>
      <c r="AL31" s="79">
        <f t="shared" si="5"/>
        <v>0</v>
      </c>
      <c r="AM31" s="1684">
        <f t="shared" si="6"/>
        <v>0</v>
      </c>
      <c r="AN31" s="1557"/>
      <c r="AO31" s="1557"/>
      <c r="AP31" s="1557"/>
      <c r="AQ31" s="1557"/>
    </row>
    <row r="32" spans="1:43" s="110" customFormat="1" ht="12" customHeight="1">
      <c r="A32" s="1971" t="s">
        <v>218</v>
      </c>
      <c r="B32" s="1972" t="s">
        <v>219</v>
      </c>
      <c r="C32" s="1973">
        <f>+'7. mell. Önk.összes.bevétele'!I75</f>
        <v>0</v>
      </c>
      <c r="D32" s="1973">
        <f>+'7. mell. Önk.összes.bevétele'!K75</f>
        <v>0</v>
      </c>
      <c r="E32" s="1973">
        <f>+'7. mell. Önk.összes.bevétele'!L75</f>
        <v>0</v>
      </c>
      <c r="F32" s="1973">
        <f>+'7. mell. Önk.összes.bevétele'!M75</f>
        <v>0</v>
      </c>
      <c r="G32" s="1973">
        <f>+'7. mell. Önk.összes.bevétele'!N75</f>
        <v>0</v>
      </c>
      <c r="H32" s="1973">
        <f>+'7. mell. Önk.összes.bevétele'!O75</f>
        <v>0</v>
      </c>
      <c r="I32" s="1973">
        <f>+'7. mell. Önk.összes.bevétele'!P75</f>
        <v>0</v>
      </c>
      <c r="J32" s="999">
        <f t="shared" ref="J32:O32" si="38">+D32</f>
        <v>0</v>
      </c>
      <c r="K32" s="999">
        <f t="shared" si="38"/>
        <v>0</v>
      </c>
      <c r="L32" s="999">
        <f t="shared" si="38"/>
        <v>0</v>
      </c>
      <c r="M32" s="999">
        <f t="shared" si="38"/>
        <v>0</v>
      </c>
      <c r="N32" s="999">
        <f t="shared" si="38"/>
        <v>0</v>
      </c>
      <c r="O32" s="999">
        <f t="shared" si="38"/>
        <v>0</v>
      </c>
      <c r="P32" s="999">
        <v>0</v>
      </c>
      <c r="Q32" s="999">
        <v>0</v>
      </c>
      <c r="R32" s="999">
        <v>0</v>
      </c>
      <c r="S32" s="999">
        <v>0</v>
      </c>
      <c r="T32" s="999">
        <v>0</v>
      </c>
      <c r="U32" s="999">
        <v>0</v>
      </c>
      <c r="V32" s="999">
        <v>0</v>
      </c>
      <c r="W32" s="999">
        <v>0</v>
      </c>
      <c r="X32" s="999">
        <v>0</v>
      </c>
      <c r="Y32" s="999">
        <v>0</v>
      </c>
      <c r="Z32" s="999"/>
      <c r="AA32" s="999">
        <v>0</v>
      </c>
      <c r="AB32" s="1890">
        <f t="shared" si="29"/>
        <v>0</v>
      </c>
      <c r="AC32" s="1890">
        <f t="shared" si="30"/>
        <v>0</v>
      </c>
      <c r="AD32" s="1890">
        <f t="shared" si="31"/>
        <v>0</v>
      </c>
      <c r="AE32" s="1890">
        <f t="shared" si="32"/>
        <v>0</v>
      </c>
      <c r="AF32" s="1890">
        <f t="shared" si="33"/>
        <v>0</v>
      </c>
      <c r="AG32" s="2383">
        <f t="shared" si="34"/>
        <v>0</v>
      </c>
      <c r="AH32" s="2391">
        <f t="shared" si="1"/>
        <v>0</v>
      </c>
      <c r="AI32" s="79">
        <f t="shared" si="2"/>
        <v>0</v>
      </c>
      <c r="AJ32" s="79">
        <f t="shared" si="3"/>
        <v>0</v>
      </c>
      <c r="AK32" s="79">
        <f t="shared" si="4"/>
        <v>0</v>
      </c>
      <c r="AL32" s="79">
        <f t="shared" si="5"/>
        <v>0</v>
      </c>
      <c r="AM32" s="1684">
        <f t="shared" si="6"/>
        <v>0</v>
      </c>
      <c r="AN32" s="1557"/>
      <c r="AO32" s="1557"/>
      <c r="AP32" s="1557"/>
      <c r="AQ32" s="1557"/>
    </row>
    <row r="33" spans="1:43" s="110" customFormat="1" ht="12" customHeight="1">
      <c r="A33" s="1971" t="s">
        <v>220</v>
      </c>
      <c r="B33" s="1972" t="s">
        <v>221</v>
      </c>
      <c r="C33" s="1973">
        <f>+'7. mell. Önk.összes.bevétele'!I78</f>
        <v>6000000</v>
      </c>
      <c r="D33" s="1973">
        <f>+'7. mell. Önk.összes.bevétele'!K78</f>
        <v>8100000</v>
      </c>
      <c r="E33" s="1973">
        <f>+'7. mell. Önk.összes.bevétele'!L78</f>
        <v>8100000</v>
      </c>
      <c r="F33" s="1973">
        <f>+'7. mell. Önk.összes.bevétele'!M78</f>
        <v>8100000</v>
      </c>
      <c r="G33" s="1973">
        <f>+'7. mell. Önk.összes.bevétele'!N78</f>
        <v>10038385</v>
      </c>
      <c r="H33" s="1973">
        <f>+'7. mell. Önk.összes.bevétele'!O78</f>
        <v>10038385</v>
      </c>
      <c r="I33" s="1973">
        <f>+'7. mell. Önk.összes.bevétele'!P78</f>
        <v>10038385</v>
      </c>
      <c r="J33" s="999">
        <f>+'7. mell. Önk.összes.bevétele'!K76+'7. mell. Önk.összes.bevétele'!K77</f>
        <v>8100000</v>
      </c>
      <c r="K33" s="999">
        <f>+'7. mell. Önk.összes.bevétele'!L76+'7. mell. Önk.összes.bevétele'!L77</f>
        <v>8100000</v>
      </c>
      <c r="L33" s="999">
        <f>+'7. mell. Önk.összes.bevétele'!M76+'7. mell. Önk.összes.bevétele'!M77</f>
        <v>8100000</v>
      </c>
      <c r="M33" s="999">
        <f>+'7. mell. Önk.összes.bevétele'!N76+'7. mell. Önk.összes.bevétele'!N77</f>
        <v>10038385</v>
      </c>
      <c r="N33" s="999">
        <f>+'7. mell. Önk.összes.bevétele'!O76+'7. mell. Önk.összes.bevétele'!O77</f>
        <v>10038385</v>
      </c>
      <c r="O33" s="999">
        <f>+'7. mell. Önk.összes.bevétele'!P76+'7. mell. Önk.összes.bevétele'!P77</f>
        <v>10038385</v>
      </c>
      <c r="P33" s="999">
        <v>0</v>
      </c>
      <c r="Q33" s="999">
        <v>0</v>
      </c>
      <c r="R33" s="999">
        <v>0</v>
      </c>
      <c r="S33" s="999">
        <v>0</v>
      </c>
      <c r="T33" s="999">
        <v>0</v>
      </c>
      <c r="U33" s="999">
        <v>0</v>
      </c>
      <c r="V33" s="999">
        <v>0</v>
      </c>
      <c r="W33" s="999">
        <v>0</v>
      </c>
      <c r="X33" s="999">
        <v>0</v>
      </c>
      <c r="Y33" s="999">
        <v>0</v>
      </c>
      <c r="Z33" s="999"/>
      <c r="AA33" s="999">
        <v>0</v>
      </c>
      <c r="AB33" s="1890">
        <f t="shared" si="29"/>
        <v>8100000</v>
      </c>
      <c r="AC33" s="1890">
        <f t="shared" si="30"/>
        <v>8100000</v>
      </c>
      <c r="AD33" s="1890">
        <f t="shared" si="31"/>
        <v>8100000</v>
      </c>
      <c r="AE33" s="1890">
        <f t="shared" si="32"/>
        <v>10038385</v>
      </c>
      <c r="AF33" s="1890">
        <f t="shared" si="33"/>
        <v>10038385</v>
      </c>
      <c r="AG33" s="2383">
        <f t="shared" si="34"/>
        <v>10038385</v>
      </c>
      <c r="AH33" s="2391">
        <f t="shared" si="1"/>
        <v>0</v>
      </c>
      <c r="AI33" s="79">
        <f t="shared" si="2"/>
        <v>0</v>
      </c>
      <c r="AJ33" s="79">
        <f t="shared" si="3"/>
        <v>0</v>
      </c>
      <c r="AK33" s="79">
        <f t="shared" si="4"/>
        <v>0</v>
      </c>
      <c r="AL33" s="79">
        <f t="shared" si="5"/>
        <v>0</v>
      </c>
      <c r="AM33" s="1684">
        <f t="shared" si="6"/>
        <v>0</v>
      </c>
      <c r="AN33" s="1557"/>
      <c r="AO33" s="1557"/>
      <c r="AP33" s="1557"/>
      <c r="AQ33" s="1557"/>
    </row>
    <row r="34" spans="1:43" s="110" customFormat="1" ht="12" customHeight="1">
      <c r="A34" s="1971" t="s">
        <v>222</v>
      </c>
      <c r="B34" s="1972" t="s">
        <v>223</v>
      </c>
      <c r="C34" s="1973">
        <f>+'7. mell. Önk.összes.bevétele'!I100</f>
        <v>61000000</v>
      </c>
      <c r="D34" s="1973">
        <f>+'7. mell. Önk.összes.bevétele'!K100</f>
        <v>54758409</v>
      </c>
      <c r="E34" s="1973">
        <f>+'7. mell. Önk.összes.bevétele'!L100</f>
        <v>54758409</v>
      </c>
      <c r="F34" s="1973">
        <f>+'7. mell. Önk.összes.bevétele'!M100</f>
        <v>54758409</v>
      </c>
      <c r="G34" s="1973">
        <f>+'7. mell. Önk.összes.bevétele'!N100</f>
        <v>125931940</v>
      </c>
      <c r="H34" s="1973">
        <f>+'7. mell. Önk.összes.bevétele'!O100</f>
        <v>125931940</v>
      </c>
      <c r="I34" s="1973">
        <f>+'7. mell. Önk.összes.bevétele'!P100</f>
        <v>125931940</v>
      </c>
      <c r="J34" s="999">
        <f t="shared" ref="J34:O34" si="39">+D34</f>
        <v>54758409</v>
      </c>
      <c r="K34" s="999">
        <f t="shared" si="39"/>
        <v>54758409</v>
      </c>
      <c r="L34" s="999">
        <f t="shared" si="39"/>
        <v>54758409</v>
      </c>
      <c r="M34" s="999">
        <f t="shared" si="39"/>
        <v>125931940</v>
      </c>
      <c r="N34" s="999">
        <f t="shared" si="39"/>
        <v>125931940</v>
      </c>
      <c r="O34" s="999">
        <f t="shared" si="39"/>
        <v>125931940</v>
      </c>
      <c r="P34" s="999">
        <v>0</v>
      </c>
      <c r="Q34" s="999">
        <v>0</v>
      </c>
      <c r="R34" s="999">
        <v>0</v>
      </c>
      <c r="S34" s="999">
        <v>0</v>
      </c>
      <c r="T34" s="999">
        <v>0</v>
      </c>
      <c r="U34" s="999">
        <v>0</v>
      </c>
      <c r="V34" s="999">
        <v>0</v>
      </c>
      <c r="W34" s="999">
        <v>0</v>
      </c>
      <c r="X34" s="999">
        <v>0</v>
      </c>
      <c r="Y34" s="999">
        <v>0</v>
      </c>
      <c r="Z34" s="999"/>
      <c r="AA34" s="999">
        <v>0</v>
      </c>
      <c r="AB34" s="1890">
        <f t="shared" si="29"/>
        <v>54758409</v>
      </c>
      <c r="AC34" s="1890">
        <f t="shared" si="30"/>
        <v>54758409</v>
      </c>
      <c r="AD34" s="1890">
        <f t="shared" si="31"/>
        <v>54758409</v>
      </c>
      <c r="AE34" s="1890">
        <f t="shared" si="32"/>
        <v>125931940</v>
      </c>
      <c r="AF34" s="1890">
        <f t="shared" si="33"/>
        <v>125931940</v>
      </c>
      <c r="AG34" s="2383">
        <f t="shared" si="34"/>
        <v>125931940</v>
      </c>
      <c r="AH34" s="2391">
        <f t="shared" si="1"/>
        <v>0</v>
      </c>
      <c r="AI34" s="79">
        <f t="shared" si="2"/>
        <v>0</v>
      </c>
      <c r="AJ34" s="79">
        <f t="shared" si="3"/>
        <v>0</v>
      </c>
      <c r="AK34" s="79">
        <f t="shared" si="4"/>
        <v>0</v>
      </c>
      <c r="AL34" s="79">
        <f t="shared" si="5"/>
        <v>0</v>
      </c>
      <c r="AM34" s="1684">
        <f t="shared" si="6"/>
        <v>0</v>
      </c>
      <c r="AN34" s="1557"/>
      <c r="AO34" s="1557"/>
      <c r="AP34" s="1557"/>
      <c r="AQ34" s="1557"/>
    </row>
    <row r="35" spans="1:43" s="110" customFormat="1" ht="12" customHeight="1">
      <c r="A35" s="1966" t="s">
        <v>17</v>
      </c>
      <c r="B35" s="1978" t="s">
        <v>224</v>
      </c>
      <c r="C35" s="1968">
        <f t="shared" ref="C35:AA35" si="40">SUM(C36:C46)</f>
        <v>1647610329</v>
      </c>
      <c r="D35" s="1968">
        <f t="shared" si="40"/>
        <v>793416681</v>
      </c>
      <c r="E35" s="1968">
        <f t="shared" si="40"/>
        <v>813416681</v>
      </c>
      <c r="F35" s="1968">
        <f t="shared" si="40"/>
        <v>832642128</v>
      </c>
      <c r="G35" s="1968">
        <f t="shared" si="40"/>
        <v>768623344</v>
      </c>
      <c r="H35" s="1968">
        <f t="shared" si="40"/>
        <v>768623344</v>
      </c>
      <c r="I35" s="1968">
        <f t="shared" si="40"/>
        <v>768623344</v>
      </c>
      <c r="J35" s="1968">
        <f t="shared" si="40"/>
        <v>578816681</v>
      </c>
      <c r="K35" s="1968">
        <f t="shared" si="40"/>
        <v>598816681</v>
      </c>
      <c r="L35" s="1968">
        <f t="shared" si="40"/>
        <v>617367398</v>
      </c>
      <c r="M35" s="1968">
        <f t="shared" si="40"/>
        <v>557222464</v>
      </c>
      <c r="N35" s="1968">
        <f t="shared" si="40"/>
        <v>557222464</v>
      </c>
      <c r="O35" s="1968">
        <f t="shared" si="40"/>
        <v>557222464</v>
      </c>
      <c r="P35" s="1968">
        <f t="shared" si="40"/>
        <v>214600000</v>
      </c>
      <c r="Q35" s="1968">
        <f t="shared" si="40"/>
        <v>214600000</v>
      </c>
      <c r="R35" s="1968">
        <f t="shared" si="40"/>
        <v>215274730</v>
      </c>
      <c r="S35" s="1968">
        <f t="shared" si="40"/>
        <v>211400880</v>
      </c>
      <c r="T35" s="1968">
        <f t="shared" si="40"/>
        <v>211400880</v>
      </c>
      <c r="U35" s="1968">
        <f t="shared" si="40"/>
        <v>211400880</v>
      </c>
      <c r="V35" s="1968">
        <f t="shared" si="40"/>
        <v>0</v>
      </c>
      <c r="W35" s="1968">
        <f t="shared" si="40"/>
        <v>0</v>
      </c>
      <c r="X35" s="1968">
        <f t="shared" si="40"/>
        <v>0</v>
      </c>
      <c r="Y35" s="1968">
        <f t="shared" si="40"/>
        <v>0</v>
      </c>
      <c r="Z35" s="1968">
        <f t="shared" si="40"/>
        <v>0</v>
      </c>
      <c r="AA35" s="1968">
        <f t="shared" si="40"/>
        <v>0</v>
      </c>
      <c r="AB35" s="1968">
        <f t="shared" ref="AB35:AG35" si="41">+AB36+AB37+AB38+AB39+AB40+AB41+AB42+AB43+AB44+AB45+AB46</f>
        <v>793416681</v>
      </c>
      <c r="AC35" s="1968">
        <f t="shared" si="41"/>
        <v>813416681</v>
      </c>
      <c r="AD35" s="1968">
        <f t="shared" si="41"/>
        <v>832642128</v>
      </c>
      <c r="AE35" s="1968">
        <f t="shared" si="41"/>
        <v>768623344</v>
      </c>
      <c r="AF35" s="1968">
        <f t="shared" si="41"/>
        <v>768623344</v>
      </c>
      <c r="AG35" s="2044">
        <f t="shared" si="41"/>
        <v>768623344</v>
      </c>
      <c r="AH35" s="2391">
        <f t="shared" si="1"/>
        <v>0</v>
      </c>
      <c r="AI35" s="79">
        <f t="shared" si="2"/>
        <v>0</v>
      </c>
      <c r="AJ35" s="79">
        <f t="shared" si="3"/>
        <v>0</v>
      </c>
      <c r="AK35" s="79">
        <f t="shared" si="4"/>
        <v>0</v>
      </c>
      <c r="AL35" s="79">
        <f t="shared" si="5"/>
        <v>0</v>
      </c>
      <c r="AM35" s="1684">
        <f t="shared" si="6"/>
        <v>0</v>
      </c>
      <c r="AN35" s="1557"/>
      <c r="AO35" s="1557"/>
      <c r="AP35" s="1557"/>
      <c r="AQ35" s="1557"/>
    </row>
    <row r="36" spans="1:43" s="110" customFormat="1" ht="12" customHeight="1">
      <c r="A36" s="1971" t="s">
        <v>225</v>
      </c>
      <c r="B36" s="1972" t="s">
        <v>226</v>
      </c>
      <c r="C36" s="999">
        <f>+'7. mell. Önk.összes.bevétele'!I104</f>
        <v>0</v>
      </c>
      <c r="D36" s="999">
        <f>+'7. mell. Önk.összes.bevétele'!K104</f>
        <v>0</v>
      </c>
      <c r="E36" s="999">
        <f>+'7. mell. Önk.összes.bevétele'!L104</f>
        <v>0</v>
      </c>
      <c r="F36" s="999">
        <f>+'7. mell. Önk.összes.bevétele'!M104</f>
        <v>674730</v>
      </c>
      <c r="G36" s="999">
        <f>+'7. mell. Önk.összes.bevétele'!N104</f>
        <v>642600</v>
      </c>
      <c r="H36" s="999">
        <f>+'7. mell. Önk.összes.bevétele'!O104</f>
        <v>642600</v>
      </c>
      <c r="I36" s="999">
        <f>+'7. mell. Önk.összes.bevétele'!P104</f>
        <v>642600</v>
      </c>
      <c r="J36" s="999">
        <v>0</v>
      </c>
      <c r="K36" s="999">
        <v>0</v>
      </c>
      <c r="L36" s="999">
        <v>0</v>
      </c>
      <c r="M36" s="999">
        <v>0</v>
      </c>
      <c r="N36" s="999">
        <v>0</v>
      </c>
      <c r="O36" s="999">
        <f>+N36</f>
        <v>0</v>
      </c>
      <c r="P36" s="999">
        <f>+'7. mell. Önk.összes.bevétele'!K104</f>
        <v>0</v>
      </c>
      <c r="Q36" s="999">
        <f>+'7. mell. Önk.összes.bevétele'!L104</f>
        <v>0</v>
      </c>
      <c r="R36" s="999">
        <f>+'7. mell. Önk.összes.bevétele'!M104</f>
        <v>674730</v>
      </c>
      <c r="S36" s="999">
        <f>+'7. mell. Önk.összes.bevétele'!N104</f>
        <v>642600</v>
      </c>
      <c r="T36" s="999">
        <f>+'7. mell. Önk.összes.bevétele'!O104</f>
        <v>642600</v>
      </c>
      <c r="U36" s="999">
        <f>+'7. mell. Önk.összes.bevétele'!P104</f>
        <v>642600</v>
      </c>
      <c r="V36" s="999">
        <v>0</v>
      </c>
      <c r="W36" s="999">
        <v>0</v>
      </c>
      <c r="X36" s="999">
        <v>0</v>
      </c>
      <c r="Y36" s="999">
        <v>0</v>
      </c>
      <c r="Z36" s="999"/>
      <c r="AA36" s="999">
        <v>0</v>
      </c>
      <c r="AB36" s="1890">
        <f t="shared" ref="AB36:AB46" si="42">+J36+P36+V36</f>
        <v>0</v>
      </c>
      <c r="AC36" s="1890">
        <f t="shared" ref="AC36:AC46" si="43">+K36+Q36+W36</f>
        <v>0</v>
      </c>
      <c r="AD36" s="1890">
        <f t="shared" ref="AD36:AD46" si="44">+L36+R36+X36</f>
        <v>674730</v>
      </c>
      <c r="AE36" s="1890">
        <f t="shared" ref="AE36:AE46" si="45">+M36+S36+Y36</f>
        <v>642600</v>
      </c>
      <c r="AF36" s="1890">
        <f t="shared" ref="AF36:AF46" si="46">+N36+T36+Z36</f>
        <v>642600</v>
      </c>
      <c r="AG36" s="2383">
        <f t="shared" ref="AG36:AG46" si="47">+O36+U36+AA36</f>
        <v>642600</v>
      </c>
      <c r="AH36" s="2391">
        <f t="shared" si="1"/>
        <v>0</v>
      </c>
      <c r="AI36" s="79">
        <f t="shared" si="2"/>
        <v>0</v>
      </c>
      <c r="AJ36" s="79">
        <f t="shared" si="3"/>
        <v>0</v>
      </c>
      <c r="AK36" s="79">
        <f t="shared" si="4"/>
        <v>0</v>
      </c>
      <c r="AL36" s="79">
        <f t="shared" si="5"/>
        <v>0</v>
      </c>
      <c r="AM36" s="1684">
        <f t="shared" si="6"/>
        <v>0</v>
      </c>
      <c r="AN36" s="1557"/>
      <c r="AO36" s="1557"/>
      <c r="AP36" s="1557"/>
      <c r="AQ36" s="1557"/>
    </row>
    <row r="37" spans="1:43" s="110" customFormat="1" ht="12" customHeight="1">
      <c r="A37" s="1971" t="s">
        <v>227</v>
      </c>
      <c r="B37" s="1972" t="s">
        <v>228</v>
      </c>
      <c r="C37" s="999">
        <f>+'7. mell. Önk.összes.bevétele'!I119</f>
        <v>29604000</v>
      </c>
      <c r="D37" s="999">
        <f>+'7. mell. Önk.összes.bevétele'!K119</f>
        <v>30400000</v>
      </c>
      <c r="E37" s="999">
        <f>+'7. mell. Önk.összes.bevétele'!L119</f>
        <v>30400000</v>
      </c>
      <c r="F37" s="999">
        <f>+'7. mell. Önk.összes.bevétele'!M119</f>
        <v>30400000</v>
      </c>
      <c r="G37" s="999">
        <f>+'7. mell. Önk.összes.bevétele'!N119</f>
        <v>21071119</v>
      </c>
      <c r="H37" s="999">
        <f>+'7. mell. Önk.összes.bevétele'!O119</f>
        <v>21071119</v>
      </c>
      <c r="I37" s="999">
        <f>+'7. mell. Önk.összes.bevétele'!P119</f>
        <v>21071119</v>
      </c>
      <c r="J37" s="999">
        <f>+'7. mell. Önk.összes.bevétele'!K106+'7. mell. Önk.összes.bevétele'!K107+'7. mell. Önk.összes.bevétele'!K114+'7. mell. Önk.összes.bevétele'!K116</f>
        <v>7300000</v>
      </c>
      <c r="K37" s="999">
        <f>+'7. mell. Önk.összes.bevétele'!L106+'7. mell. Önk.összes.bevétele'!L107+'7. mell. Önk.összes.bevétele'!L114+'7. mell. Önk.összes.bevétele'!L116</f>
        <v>7300000</v>
      </c>
      <c r="L37" s="999">
        <f>+'7. mell. Önk.összes.bevétele'!M106+'7. mell. Önk.összes.bevétele'!M107+'7. mell. Önk.összes.bevétele'!M114+'7. mell. Önk.összes.bevétele'!M116</f>
        <v>7300000</v>
      </c>
      <c r="M37" s="999">
        <f>+'7. mell. Önk.összes.bevétele'!N106+'7. mell. Önk.összes.bevétele'!N107+'7. mell. Önk.összes.bevétele'!N109+'7. mell. Önk.összes.bevétele'!N114+'7. mell. Önk.összes.bevétele'!N116</f>
        <v>4645784</v>
      </c>
      <c r="N37" s="999">
        <f>+'7. mell. Önk.összes.bevétele'!O106+'7. mell. Önk.összes.bevétele'!O107+'7. mell. Önk.összes.bevétele'!O109+'7. mell. Önk.összes.bevétele'!O114+'7. mell. Önk.összes.bevétele'!O116</f>
        <v>4645784</v>
      </c>
      <c r="O37" s="999">
        <f>+'7. mell. Önk.összes.bevétele'!P106+'7. mell. Önk.összes.bevétele'!P107+'7. mell. Önk.összes.bevétele'!P109+'7. mell. Önk.összes.bevétele'!P114+'7. mell. Önk.összes.bevétele'!P116</f>
        <v>4645784</v>
      </c>
      <c r="P37" s="999">
        <f>+'7. mell. Önk.összes.bevétele'!K110+'7. mell. Önk.összes.bevétele'!K111+'7. mell. Önk.összes.bevétele'!K112</f>
        <v>23100000</v>
      </c>
      <c r="Q37" s="999">
        <f>+'7. mell. Önk.összes.bevétele'!L110+'7. mell. Önk.összes.bevétele'!L111+'7. mell. Önk.összes.bevétele'!L112</f>
        <v>23100000</v>
      </c>
      <c r="R37" s="999">
        <f>+'7. mell. Önk.összes.bevétele'!M110+'7. mell. Önk.összes.bevétele'!M111+'7. mell. Önk.összes.bevétele'!M112+'7. mell. Önk.összes.bevétele'!M113</f>
        <v>23100000</v>
      </c>
      <c r="S37" s="999">
        <f>+'7. mell. Önk.összes.bevétele'!N110+'7. mell. Önk.összes.bevétele'!N111+'7. mell. Önk.összes.bevétele'!N112+'7. mell. Önk.összes.bevétele'!N113</f>
        <v>16425335</v>
      </c>
      <c r="T37" s="999">
        <f>+'7. mell. Önk.összes.bevétele'!O110+'7. mell. Önk.összes.bevétele'!O111+'7. mell. Önk.összes.bevétele'!O112+'7. mell. Önk.összes.bevétele'!O113</f>
        <v>16425335</v>
      </c>
      <c r="U37" s="999">
        <f>+'7. mell. Önk.összes.bevétele'!P110+'7. mell. Önk.összes.bevétele'!P111+'7. mell. Önk.összes.bevétele'!P112+'7. mell. Önk.összes.bevétele'!P113</f>
        <v>16425335</v>
      </c>
      <c r="V37" s="999">
        <v>0</v>
      </c>
      <c r="W37" s="999">
        <v>0</v>
      </c>
      <c r="X37" s="999">
        <v>0</v>
      </c>
      <c r="Y37" s="999">
        <v>0</v>
      </c>
      <c r="Z37" s="999"/>
      <c r="AA37" s="999">
        <v>0</v>
      </c>
      <c r="AB37" s="1890">
        <f t="shared" si="42"/>
        <v>30400000</v>
      </c>
      <c r="AC37" s="1890">
        <f t="shared" si="43"/>
        <v>30400000</v>
      </c>
      <c r="AD37" s="1890">
        <f t="shared" si="44"/>
        <v>30400000</v>
      </c>
      <c r="AE37" s="1890">
        <f t="shared" si="45"/>
        <v>21071119</v>
      </c>
      <c r="AF37" s="1890">
        <f t="shared" si="46"/>
        <v>21071119</v>
      </c>
      <c r="AG37" s="2383">
        <f t="shared" si="47"/>
        <v>21071119</v>
      </c>
      <c r="AH37" s="2391">
        <f t="shared" si="1"/>
        <v>0</v>
      </c>
      <c r="AI37" s="79">
        <f t="shared" si="2"/>
        <v>0</v>
      </c>
      <c r="AJ37" s="79">
        <f t="shared" si="3"/>
        <v>0</v>
      </c>
      <c r="AK37" s="79">
        <f t="shared" si="4"/>
        <v>0</v>
      </c>
      <c r="AL37" s="79">
        <f t="shared" si="5"/>
        <v>0</v>
      </c>
      <c r="AM37" s="1684">
        <f t="shared" si="6"/>
        <v>0</v>
      </c>
      <c r="AN37" s="1557"/>
      <c r="AO37" s="1557"/>
      <c r="AP37" s="1557"/>
      <c r="AQ37" s="1557"/>
    </row>
    <row r="38" spans="1:43" s="110" customFormat="1" ht="12" customHeight="1">
      <c r="A38" s="1971" t="s">
        <v>229</v>
      </c>
      <c r="B38" s="1972" t="s">
        <v>460</v>
      </c>
      <c r="C38" s="999">
        <f>+'7. mell. Önk.összes.bevétele'!I130</f>
        <v>36640000</v>
      </c>
      <c r="D38" s="999">
        <f>+'7. mell. Önk.összes.bevétele'!K130</f>
        <v>26659964</v>
      </c>
      <c r="E38" s="999">
        <f>+'7. mell. Önk.összes.bevétele'!L130</f>
        <v>46659964</v>
      </c>
      <c r="F38" s="999">
        <f>+'7. mell. Önk.összes.bevétele'!M130</f>
        <v>65210681</v>
      </c>
      <c r="G38" s="999">
        <f>+'7. mell. Önk.összes.bevétele'!N130</f>
        <v>58011900</v>
      </c>
      <c r="H38" s="999">
        <f>+'7. mell. Önk.összes.bevétele'!O130</f>
        <v>58011900</v>
      </c>
      <c r="I38" s="999">
        <f>+'7. mell. Önk.összes.bevétele'!P130</f>
        <v>58011900</v>
      </c>
      <c r="J38" s="999">
        <f>+'7. mell. Önk.összes.bevétele'!K130</f>
        <v>26659964</v>
      </c>
      <c r="K38" s="999">
        <f>+'7. mell. Önk.összes.bevétele'!L130</f>
        <v>46659964</v>
      </c>
      <c r="L38" s="999">
        <f>+'7. mell. Önk.összes.bevétele'!M130</f>
        <v>65210681</v>
      </c>
      <c r="M38" s="999">
        <f>+'7. mell. Önk.összes.bevétele'!N130</f>
        <v>58011900</v>
      </c>
      <c r="N38" s="999">
        <f>+'7. mell. Önk.összes.bevétele'!O130</f>
        <v>58011900</v>
      </c>
      <c r="O38" s="999">
        <f>+'7. mell. Önk.összes.bevétele'!P130</f>
        <v>58011900</v>
      </c>
      <c r="P38" s="999">
        <v>0</v>
      </c>
      <c r="Q38" s="999">
        <v>0</v>
      </c>
      <c r="R38" s="999">
        <v>0</v>
      </c>
      <c r="S38" s="999">
        <v>0</v>
      </c>
      <c r="T38" s="999">
        <v>0</v>
      </c>
      <c r="U38" s="999">
        <v>0</v>
      </c>
      <c r="V38" s="999">
        <v>0</v>
      </c>
      <c r="W38" s="999">
        <v>0</v>
      </c>
      <c r="X38" s="999">
        <v>0</v>
      </c>
      <c r="Y38" s="999">
        <v>0</v>
      </c>
      <c r="Z38" s="999"/>
      <c r="AA38" s="999">
        <v>0</v>
      </c>
      <c r="AB38" s="1890">
        <f t="shared" si="42"/>
        <v>26659964</v>
      </c>
      <c r="AC38" s="1890">
        <f t="shared" si="43"/>
        <v>46659964</v>
      </c>
      <c r="AD38" s="1890">
        <f t="shared" si="44"/>
        <v>65210681</v>
      </c>
      <c r="AE38" s="1890">
        <f t="shared" si="45"/>
        <v>58011900</v>
      </c>
      <c r="AF38" s="1890">
        <f t="shared" si="46"/>
        <v>58011900</v>
      </c>
      <c r="AG38" s="2383">
        <f t="shared" si="47"/>
        <v>58011900</v>
      </c>
      <c r="AH38" s="2391">
        <f t="shared" si="1"/>
        <v>0</v>
      </c>
      <c r="AI38" s="79">
        <f t="shared" si="2"/>
        <v>0</v>
      </c>
      <c r="AJ38" s="79">
        <f t="shared" si="3"/>
        <v>0</v>
      </c>
      <c r="AK38" s="79">
        <f t="shared" si="4"/>
        <v>0</v>
      </c>
      <c r="AL38" s="79">
        <f t="shared" si="5"/>
        <v>0</v>
      </c>
      <c r="AM38" s="1684">
        <f t="shared" si="6"/>
        <v>0</v>
      </c>
      <c r="AN38" s="1557"/>
      <c r="AO38" s="1557"/>
      <c r="AP38" s="1557"/>
      <c r="AQ38" s="1557"/>
    </row>
    <row r="39" spans="1:43" s="110" customFormat="1" ht="12" customHeight="1">
      <c r="A39" s="1971" t="s">
        <v>231</v>
      </c>
      <c r="B39" s="1972" t="s">
        <v>232</v>
      </c>
      <c r="C39" s="999">
        <f>+'7. mell. Önk.összes.bevétele'!I186</f>
        <v>434866329</v>
      </c>
      <c r="D39" s="999">
        <f>+'7. mell. Önk.összes.bevétele'!K186</f>
        <v>528164717</v>
      </c>
      <c r="E39" s="999">
        <f>+'7. mell. Önk.összes.bevétele'!L186</f>
        <v>528164717</v>
      </c>
      <c r="F39" s="999">
        <f>+'7. mell. Önk.összes.bevétele'!M186</f>
        <v>528164717</v>
      </c>
      <c r="G39" s="999">
        <f>+'7. mell. Önk.összes.bevétele'!N186</f>
        <v>373548012</v>
      </c>
      <c r="H39" s="999">
        <f>+'7. mell. Önk.összes.bevétele'!O186</f>
        <v>373548012</v>
      </c>
      <c r="I39" s="999">
        <f>+'7. mell. Önk.összes.bevétele'!P186</f>
        <v>373548012</v>
      </c>
      <c r="J39" s="999">
        <f>+'7. mell. Önk.összes.bevétele'!K186</f>
        <v>528164717</v>
      </c>
      <c r="K39" s="999">
        <f>+'7. mell. Önk.összes.bevétele'!L186</f>
        <v>528164717</v>
      </c>
      <c r="L39" s="999">
        <f>+'7. mell. Önk.összes.bevétele'!M186</f>
        <v>528164717</v>
      </c>
      <c r="M39" s="999">
        <f>+'7. mell. Önk.összes.bevétele'!N186</f>
        <v>373548012</v>
      </c>
      <c r="N39" s="999">
        <f>+'7. mell. Önk.összes.bevétele'!O186</f>
        <v>373548012</v>
      </c>
      <c r="O39" s="999">
        <f>+'7. mell. Önk.összes.bevétele'!P186</f>
        <v>373548012</v>
      </c>
      <c r="P39" s="999">
        <v>0</v>
      </c>
      <c r="Q39" s="999">
        <v>0</v>
      </c>
      <c r="R39" s="999">
        <v>0</v>
      </c>
      <c r="S39" s="999">
        <v>0</v>
      </c>
      <c r="T39" s="999">
        <v>0</v>
      </c>
      <c r="U39" s="999">
        <v>0</v>
      </c>
      <c r="V39" s="999">
        <v>0</v>
      </c>
      <c r="W39" s="999">
        <v>0</v>
      </c>
      <c r="X39" s="999">
        <v>0</v>
      </c>
      <c r="Y39" s="999">
        <v>0</v>
      </c>
      <c r="Z39" s="999"/>
      <c r="AA39" s="999">
        <v>0</v>
      </c>
      <c r="AB39" s="1890">
        <f t="shared" si="42"/>
        <v>528164717</v>
      </c>
      <c r="AC39" s="1890">
        <f t="shared" si="43"/>
        <v>528164717</v>
      </c>
      <c r="AD39" s="1890">
        <f t="shared" si="44"/>
        <v>528164717</v>
      </c>
      <c r="AE39" s="1890">
        <f t="shared" si="45"/>
        <v>373548012</v>
      </c>
      <c r="AF39" s="1890">
        <f t="shared" si="46"/>
        <v>373548012</v>
      </c>
      <c r="AG39" s="2383">
        <f t="shared" si="47"/>
        <v>373548012</v>
      </c>
      <c r="AH39" s="2391">
        <f t="shared" si="1"/>
        <v>0</v>
      </c>
      <c r="AI39" s="79">
        <f t="shared" si="2"/>
        <v>0</v>
      </c>
      <c r="AJ39" s="79">
        <f t="shared" si="3"/>
        <v>0</v>
      </c>
      <c r="AK39" s="79">
        <f t="shared" si="4"/>
        <v>0</v>
      </c>
      <c r="AL39" s="79">
        <f t="shared" si="5"/>
        <v>0</v>
      </c>
      <c r="AM39" s="1684">
        <f t="shared" si="6"/>
        <v>0</v>
      </c>
      <c r="AN39" s="1557"/>
      <c r="AO39" s="1557"/>
      <c r="AP39" s="1557"/>
      <c r="AQ39" s="1557"/>
    </row>
    <row r="40" spans="1:43" s="110" customFormat="1" ht="12" customHeight="1">
      <c r="A40" s="1971" t="s">
        <v>233</v>
      </c>
      <c r="B40" s="1972" t="s">
        <v>234</v>
      </c>
      <c r="C40" s="999">
        <v>0</v>
      </c>
      <c r="D40" s="999">
        <v>0</v>
      </c>
      <c r="E40" s="999">
        <f>+D40</f>
        <v>0</v>
      </c>
      <c r="F40" s="999">
        <f>+E40</f>
        <v>0</v>
      </c>
      <c r="G40" s="999">
        <f>+F40</f>
        <v>0</v>
      </c>
      <c r="H40" s="999">
        <f>+G40</f>
        <v>0</v>
      </c>
      <c r="I40" s="999">
        <f>+H40</f>
        <v>0</v>
      </c>
      <c r="J40" s="999">
        <v>0</v>
      </c>
      <c r="K40" s="999">
        <v>0</v>
      </c>
      <c r="L40" s="999">
        <v>0</v>
      </c>
      <c r="M40" s="999">
        <v>0</v>
      </c>
      <c r="N40" s="999">
        <v>0</v>
      </c>
      <c r="O40" s="999">
        <v>0</v>
      </c>
      <c r="P40" s="999">
        <v>0</v>
      </c>
      <c r="Q40" s="999">
        <v>0</v>
      </c>
      <c r="R40" s="999">
        <v>0</v>
      </c>
      <c r="S40" s="999">
        <v>0</v>
      </c>
      <c r="T40" s="999">
        <v>0</v>
      </c>
      <c r="U40" s="999">
        <v>0</v>
      </c>
      <c r="V40" s="999">
        <v>0</v>
      </c>
      <c r="W40" s="999">
        <v>0</v>
      </c>
      <c r="X40" s="999">
        <v>0</v>
      </c>
      <c r="Y40" s="999">
        <v>0</v>
      </c>
      <c r="Z40" s="999"/>
      <c r="AA40" s="999">
        <v>0</v>
      </c>
      <c r="AB40" s="1890">
        <f t="shared" si="42"/>
        <v>0</v>
      </c>
      <c r="AC40" s="1890">
        <f t="shared" si="43"/>
        <v>0</v>
      </c>
      <c r="AD40" s="1890">
        <f t="shared" si="44"/>
        <v>0</v>
      </c>
      <c r="AE40" s="2057">
        <f t="shared" si="45"/>
        <v>0</v>
      </c>
      <c r="AF40" s="2057">
        <f t="shared" si="46"/>
        <v>0</v>
      </c>
      <c r="AG40" s="2384">
        <f t="shared" si="47"/>
        <v>0</v>
      </c>
      <c r="AH40" s="2391">
        <f t="shared" si="1"/>
        <v>0</v>
      </c>
      <c r="AI40" s="79">
        <f t="shared" si="2"/>
        <v>0</v>
      </c>
      <c r="AJ40" s="79">
        <f t="shared" si="3"/>
        <v>0</v>
      </c>
      <c r="AK40" s="79">
        <f t="shared" si="4"/>
        <v>0</v>
      </c>
      <c r="AL40" s="79">
        <f t="shared" si="5"/>
        <v>0</v>
      </c>
      <c r="AM40" s="1684">
        <f t="shared" si="6"/>
        <v>0</v>
      </c>
      <c r="AN40" s="1557"/>
      <c r="AO40" s="1557"/>
      <c r="AP40" s="1557"/>
      <c r="AQ40" s="1557"/>
    </row>
    <row r="41" spans="1:43" s="110" customFormat="1" ht="12" customHeight="1">
      <c r="A41" s="1971" t="s">
        <v>235</v>
      </c>
      <c r="B41" s="1972" t="s">
        <v>236</v>
      </c>
      <c r="C41" s="999">
        <f>+'7. mell. Önk.összes.bevétele'!I189</f>
        <v>0</v>
      </c>
      <c r="D41" s="999">
        <f>+'7. mell. Önk.összes.bevétele'!K189</f>
        <v>0</v>
      </c>
      <c r="E41" s="999">
        <f>+'7. mell. Önk.összes.bevétele'!L189</f>
        <v>0</v>
      </c>
      <c r="F41" s="999">
        <f>+'7. mell. Önk.összes.bevétele'!M189</f>
        <v>0</v>
      </c>
      <c r="G41" s="999">
        <f>+'7. mell. Önk.összes.bevétele'!N189</f>
        <v>91732750</v>
      </c>
      <c r="H41" s="999">
        <f>+'7. mell. Önk.összes.bevétele'!O189</f>
        <v>91732750</v>
      </c>
      <c r="I41" s="999">
        <f>+'7. mell. Önk.összes.bevétele'!P189</f>
        <v>91732750</v>
      </c>
      <c r="J41" s="999">
        <f t="shared" ref="J41:O41" si="48">+D41</f>
        <v>0</v>
      </c>
      <c r="K41" s="999">
        <f t="shared" si="48"/>
        <v>0</v>
      </c>
      <c r="L41" s="999">
        <f t="shared" si="48"/>
        <v>0</v>
      </c>
      <c r="M41" s="999">
        <f t="shared" si="48"/>
        <v>91732750</v>
      </c>
      <c r="N41" s="999">
        <f t="shared" si="48"/>
        <v>91732750</v>
      </c>
      <c r="O41" s="999">
        <f t="shared" si="48"/>
        <v>91732750</v>
      </c>
      <c r="P41" s="999">
        <v>0</v>
      </c>
      <c r="Q41" s="999">
        <v>0</v>
      </c>
      <c r="R41" s="999">
        <v>0</v>
      </c>
      <c r="S41" s="999">
        <v>0</v>
      </c>
      <c r="T41" s="999">
        <v>0</v>
      </c>
      <c r="U41" s="999">
        <v>0</v>
      </c>
      <c r="V41" s="999">
        <v>0</v>
      </c>
      <c r="W41" s="999">
        <v>0</v>
      </c>
      <c r="X41" s="999">
        <v>0</v>
      </c>
      <c r="Y41" s="999">
        <v>0</v>
      </c>
      <c r="Z41" s="999"/>
      <c r="AA41" s="999">
        <v>0</v>
      </c>
      <c r="AB41" s="1890">
        <f t="shared" si="42"/>
        <v>0</v>
      </c>
      <c r="AC41" s="1890">
        <f t="shared" si="43"/>
        <v>0</v>
      </c>
      <c r="AD41" s="1890">
        <f t="shared" si="44"/>
        <v>0</v>
      </c>
      <c r="AE41" s="2057">
        <f t="shared" si="45"/>
        <v>91732750</v>
      </c>
      <c r="AF41" s="2057">
        <f t="shared" si="46"/>
        <v>91732750</v>
      </c>
      <c r="AG41" s="2384">
        <f t="shared" si="47"/>
        <v>91732750</v>
      </c>
      <c r="AH41" s="2391">
        <f t="shared" si="1"/>
        <v>0</v>
      </c>
      <c r="AI41" s="79">
        <f t="shared" si="2"/>
        <v>0</v>
      </c>
      <c r="AJ41" s="79">
        <f t="shared" si="3"/>
        <v>0</v>
      </c>
      <c r="AK41" s="79">
        <f t="shared" si="4"/>
        <v>0</v>
      </c>
      <c r="AL41" s="79">
        <f t="shared" si="5"/>
        <v>0</v>
      </c>
      <c r="AM41" s="1684">
        <f t="shared" si="6"/>
        <v>0</v>
      </c>
      <c r="AN41" s="1557"/>
      <c r="AO41" s="1557"/>
      <c r="AP41" s="1557"/>
      <c r="AQ41" s="1557"/>
    </row>
    <row r="42" spans="1:43" s="110" customFormat="1" ht="12" customHeight="1">
      <c r="A42" s="1971" t="s">
        <v>237</v>
      </c>
      <c r="B42" s="1972" t="s">
        <v>238</v>
      </c>
      <c r="C42" s="999">
        <f>+'7. mell. Önk.összes.bevétele'!I190</f>
        <v>5000000</v>
      </c>
      <c r="D42" s="999">
        <f>+'7. mell. Önk.összes.bevétele'!K190</f>
        <v>5000000</v>
      </c>
      <c r="E42" s="999">
        <f>+'7. mell. Önk.összes.bevétele'!L190</f>
        <v>5000000</v>
      </c>
      <c r="F42" s="999">
        <f>+'7. mell. Önk.összes.bevétele'!M190</f>
        <v>5000000</v>
      </c>
      <c r="G42" s="999">
        <f>+'7. mell. Önk.összes.bevétele'!N190</f>
        <v>5195000</v>
      </c>
      <c r="H42" s="999">
        <f>+'7. mell. Önk.összes.bevétele'!O190</f>
        <v>5195000</v>
      </c>
      <c r="I42" s="999">
        <f>+'7. mell. Önk.összes.bevétele'!P190</f>
        <v>5195000</v>
      </c>
      <c r="J42" s="999">
        <f>+'7. mell. Önk.összes.bevétele'!K190</f>
        <v>5000000</v>
      </c>
      <c r="K42" s="999">
        <f>+'7. mell. Önk.összes.bevétele'!L190</f>
        <v>5000000</v>
      </c>
      <c r="L42" s="999">
        <f>+'7. mell. Önk.összes.bevétele'!M190</f>
        <v>5000000</v>
      </c>
      <c r="M42" s="999">
        <f>+'7. mell. Önk.összes.bevétele'!N190</f>
        <v>5195000</v>
      </c>
      <c r="N42" s="999">
        <f>+'7. mell. Önk.összes.bevétele'!O190</f>
        <v>5195000</v>
      </c>
      <c r="O42" s="999">
        <f>+'7. mell. Önk.összes.bevétele'!P190</f>
        <v>5195000</v>
      </c>
      <c r="P42" s="999">
        <v>0</v>
      </c>
      <c r="Q42" s="999">
        <v>0</v>
      </c>
      <c r="R42" s="999">
        <v>0</v>
      </c>
      <c r="S42" s="999">
        <v>0</v>
      </c>
      <c r="T42" s="999">
        <v>0</v>
      </c>
      <c r="U42" s="999">
        <v>0</v>
      </c>
      <c r="V42" s="999">
        <v>0</v>
      </c>
      <c r="W42" s="999">
        <v>0</v>
      </c>
      <c r="X42" s="999">
        <v>0</v>
      </c>
      <c r="Y42" s="999">
        <v>0</v>
      </c>
      <c r="Z42" s="999"/>
      <c r="AA42" s="999">
        <v>0</v>
      </c>
      <c r="AB42" s="1890">
        <f t="shared" si="42"/>
        <v>5000000</v>
      </c>
      <c r="AC42" s="1890">
        <f t="shared" si="43"/>
        <v>5000000</v>
      </c>
      <c r="AD42" s="1890">
        <f t="shared" si="44"/>
        <v>5000000</v>
      </c>
      <c r="AE42" s="2057">
        <f t="shared" si="45"/>
        <v>5195000</v>
      </c>
      <c r="AF42" s="2057">
        <f t="shared" si="46"/>
        <v>5195000</v>
      </c>
      <c r="AG42" s="2384">
        <f t="shared" si="47"/>
        <v>5195000</v>
      </c>
      <c r="AH42" s="2391">
        <f t="shared" si="1"/>
        <v>0</v>
      </c>
      <c r="AI42" s="79">
        <f t="shared" si="2"/>
        <v>0</v>
      </c>
      <c r="AJ42" s="79">
        <f t="shared" si="3"/>
        <v>0</v>
      </c>
      <c r="AK42" s="79">
        <f t="shared" si="4"/>
        <v>0</v>
      </c>
      <c r="AL42" s="79">
        <f t="shared" si="5"/>
        <v>0</v>
      </c>
      <c r="AM42" s="1684">
        <f t="shared" si="6"/>
        <v>0</v>
      </c>
      <c r="AN42" s="1557"/>
      <c r="AO42" s="1557"/>
      <c r="AP42" s="1557"/>
      <c r="AQ42" s="1557"/>
    </row>
    <row r="43" spans="1:43" s="110" customFormat="1" ht="12" customHeight="1">
      <c r="A43" s="1971" t="s">
        <v>239</v>
      </c>
      <c r="B43" s="1972" t="s">
        <v>240</v>
      </c>
      <c r="C43" s="999">
        <f>+'7. mell. Önk.összes.bevétele'!I198</f>
        <v>500000000</v>
      </c>
      <c r="D43" s="999">
        <f>+'7. mell. Önk.összes.bevétele'!K198</f>
        <v>191500000</v>
      </c>
      <c r="E43" s="999">
        <f>+'7. mell. Önk.összes.bevétele'!L198</f>
        <v>191500000</v>
      </c>
      <c r="F43" s="999">
        <f>+'7. mell. Önk.összes.bevétele'!M198</f>
        <v>191500000</v>
      </c>
      <c r="G43" s="999">
        <f>+'7. mell. Önk.összes.bevétele'!N198</f>
        <v>194332945</v>
      </c>
      <c r="H43" s="999">
        <f>+'7. mell. Önk.összes.bevétele'!O198</f>
        <v>194332945</v>
      </c>
      <c r="I43" s="999">
        <f>+'7. mell. Önk.összes.bevétele'!P198</f>
        <v>194332945</v>
      </c>
      <c r="J43" s="999">
        <v>0</v>
      </c>
      <c r="K43" s="999">
        <v>0</v>
      </c>
      <c r="L43" s="999">
        <v>0</v>
      </c>
      <c r="M43" s="999">
        <v>0</v>
      </c>
      <c r="N43" s="999">
        <v>0</v>
      </c>
      <c r="O43" s="999">
        <v>0</v>
      </c>
      <c r="P43" s="999">
        <f>+'7. mell. Önk.összes.bevétele'!K198</f>
        <v>191500000</v>
      </c>
      <c r="Q43" s="999">
        <f>+'7. mell. Önk.összes.bevétele'!L198</f>
        <v>191500000</v>
      </c>
      <c r="R43" s="999">
        <f>+'7. mell. Önk.összes.bevétele'!M198</f>
        <v>191500000</v>
      </c>
      <c r="S43" s="999">
        <f>+'7. mell. Önk.összes.bevétele'!N198</f>
        <v>194332945</v>
      </c>
      <c r="T43" s="999">
        <f>+'7. mell. Önk.összes.bevétele'!O198</f>
        <v>194332945</v>
      </c>
      <c r="U43" s="999">
        <f>+'7. mell. Önk.összes.bevétele'!P198</f>
        <v>194332945</v>
      </c>
      <c r="V43" s="999">
        <v>0</v>
      </c>
      <c r="W43" s="999">
        <v>0</v>
      </c>
      <c r="X43" s="999">
        <v>0</v>
      </c>
      <c r="Y43" s="999">
        <v>0</v>
      </c>
      <c r="Z43" s="999"/>
      <c r="AA43" s="999">
        <v>0</v>
      </c>
      <c r="AB43" s="1890">
        <f t="shared" si="42"/>
        <v>191500000</v>
      </c>
      <c r="AC43" s="1890">
        <f t="shared" si="43"/>
        <v>191500000</v>
      </c>
      <c r="AD43" s="1890">
        <f t="shared" si="44"/>
        <v>191500000</v>
      </c>
      <c r="AE43" s="1890">
        <f t="shared" si="45"/>
        <v>194332945</v>
      </c>
      <c r="AF43" s="1890">
        <f t="shared" si="46"/>
        <v>194332945</v>
      </c>
      <c r="AG43" s="2383">
        <f t="shared" si="47"/>
        <v>194332945</v>
      </c>
      <c r="AH43" s="2391">
        <f t="shared" si="1"/>
        <v>0</v>
      </c>
      <c r="AI43" s="79">
        <f t="shared" si="2"/>
        <v>0</v>
      </c>
      <c r="AJ43" s="79">
        <f t="shared" si="3"/>
        <v>0</v>
      </c>
      <c r="AK43" s="79">
        <f t="shared" si="4"/>
        <v>0</v>
      </c>
      <c r="AL43" s="79">
        <f t="shared" si="5"/>
        <v>0</v>
      </c>
      <c r="AM43" s="1684">
        <f t="shared" si="6"/>
        <v>0</v>
      </c>
      <c r="AN43" s="1557"/>
      <c r="AO43" s="1557"/>
      <c r="AP43" s="1557"/>
      <c r="AQ43" s="1557"/>
    </row>
    <row r="44" spans="1:43" s="110" customFormat="1" ht="12" customHeight="1">
      <c r="A44" s="1971" t="s">
        <v>241</v>
      </c>
      <c r="B44" s="1972" t="s">
        <v>242</v>
      </c>
      <c r="C44" s="999">
        <f>+'7. mell. Önk.összes.bevétele'!I199</f>
        <v>0</v>
      </c>
      <c r="D44" s="999">
        <f>+'7. mell. Önk.összes.bevétele'!K199</f>
        <v>0</v>
      </c>
      <c r="E44" s="999">
        <f>+'7. mell. Önk.összes.bevétele'!L199</f>
        <v>0</v>
      </c>
      <c r="F44" s="999">
        <f>+'7. mell. Önk.összes.bevétele'!M199</f>
        <v>0</v>
      </c>
      <c r="G44" s="999">
        <f>+'7. mell. Önk.összes.bevétele'!N199</f>
        <v>14166</v>
      </c>
      <c r="H44" s="999">
        <f>+'7. mell. Önk.összes.bevétele'!O199</f>
        <v>14166</v>
      </c>
      <c r="I44" s="999">
        <f>+'7. mell. Önk.összes.bevétele'!P199</f>
        <v>14166</v>
      </c>
      <c r="J44" s="999">
        <v>0</v>
      </c>
      <c r="K44" s="999">
        <v>0</v>
      </c>
      <c r="L44" s="999">
        <v>0</v>
      </c>
      <c r="M44" s="999">
        <f>+I44</f>
        <v>14166</v>
      </c>
      <c r="N44" s="999">
        <f>+M44</f>
        <v>14166</v>
      </c>
      <c r="O44" s="999">
        <f>+N44</f>
        <v>14166</v>
      </c>
      <c r="P44" s="999">
        <v>0</v>
      </c>
      <c r="Q44" s="999">
        <v>0</v>
      </c>
      <c r="R44" s="999">
        <v>0</v>
      </c>
      <c r="S44" s="999">
        <v>0</v>
      </c>
      <c r="T44" s="999">
        <v>0</v>
      </c>
      <c r="U44" s="999">
        <v>0</v>
      </c>
      <c r="V44" s="999">
        <v>0</v>
      </c>
      <c r="W44" s="999">
        <v>0</v>
      </c>
      <c r="X44" s="999">
        <v>0</v>
      </c>
      <c r="Y44" s="999">
        <v>0</v>
      </c>
      <c r="Z44" s="999"/>
      <c r="AA44" s="999">
        <v>0</v>
      </c>
      <c r="AB44" s="1890">
        <f t="shared" si="42"/>
        <v>0</v>
      </c>
      <c r="AC44" s="1890">
        <f t="shared" si="43"/>
        <v>0</v>
      </c>
      <c r="AD44" s="1890">
        <f t="shared" si="44"/>
        <v>0</v>
      </c>
      <c r="AE44" s="1890">
        <f t="shared" si="45"/>
        <v>14166</v>
      </c>
      <c r="AF44" s="1890">
        <f t="shared" si="46"/>
        <v>14166</v>
      </c>
      <c r="AG44" s="2383">
        <f t="shared" si="47"/>
        <v>14166</v>
      </c>
      <c r="AH44" s="2391">
        <f t="shared" si="1"/>
        <v>0</v>
      </c>
      <c r="AI44" s="79">
        <f t="shared" si="2"/>
        <v>0</v>
      </c>
      <c r="AJ44" s="79">
        <f t="shared" si="3"/>
        <v>0</v>
      </c>
      <c r="AK44" s="79">
        <f t="shared" si="4"/>
        <v>0</v>
      </c>
      <c r="AL44" s="79">
        <f t="shared" si="5"/>
        <v>0</v>
      </c>
      <c r="AM44" s="1684">
        <f t="shared" si="6"/>
        <v>0</v>
      </c>
      <c r="AN44" s="1557"/>
      <c r="AO44" s="1557"/>
      <c r="AP44" s="1557"/>
      <c r="AQ44" s="1557"/>
    </row>
    <row r="45" spans="1:43" s="110" customFormat="1" ht="12" customHeight="1">
      <c r="A45" s="1971" t="s">
        <v>243</v>
      </c>
      <c r="B45" s="1972" t="s">
        <v>163</v>
      </c>
      <c r="C45" s="999">
        <f>+'7. mell. Önk.összes.bevétele'!I201</f>
        <v>628345000</v>
      </c>
      <c r="D45" s="999">
        <f>+'7. mell. Önk.összes.bevétele'!K201</f>
        <v>0</v>
      </c>
      <c r="E45" s="999">
        <f>+'7. mell. Önk.összes.bevétele'!L201</f>
        <v>0</v>
      </c>
      <c r="F45" s="999">
        <f>+'7. mell. Önk.összes.bevétele'!M201</f>
        <v>0</v>
      </c>
      <c r="G45" s="999">
        <f>+'7. mell. Önk.összes.bevétele'!N201</f>
        <v>633884</v>
      </c>
      <c r="H45" s="999">
        <f>+'7. mell. Önk.összes.bevétele'!O201</f>
        <v>633884</v>
      </c>
      <c r="I45" s="999">
        <f>+'7. mell. Önk.összes.bevétele'!P201</f>
        <v>633884</v>
      </c>
      <c r="J45" s="999">
        <f>+'7. mell. Önk.összes.bevétele'!K201</f>
        <v>0</v>
      </c>
      <c r="K45" s="999">
        <f>+'7. mell. Önk.összes.bevétele'!L201</f>
        <v>0</v>
      </c>
      <c r="L45" s="999">
        <f>+'7. mell. Önk.összes.bevétele'!M201</f>
        <v>0</v>
      </c>
      <c r="M45" s="999">
        <f>+'7. mell. Önk.összes.bevétele'!N201</f>
        <v>633884</v>
      </c>
      <c r="N45" s="999">
        <f>+'7. mell. Önk.összes.bevétele'!O201</f>
        <v>633884</v>
      </c>
      <c r="O45" s="999">
        <f>+'7. mell. Önk.összes.bevétele'!P201</f>
        <v>633884</v>
      </c>
      <c r="P45" s="999">
        <v>0</v>
      </c>
      <c r="Q45" s="999">
        <v>0</v>
      </c>
      <c r="R45" s="999">
        <v>0</v>
      </c>
      <c r="S45" s="999">
        <v>0</v>
      </c>
      <c r="T45" s="999">
        <v>0</v>
      </c>
      <c r="U45" s="999">
        <v>0</v>
      </c>
      <c r="V45" s="999">
        <v>0</v>
      </c>
      <c r="W45" s="999">
        <v>0</v>
      </c>
      <c r="X45" s="999">
        <v>0</v>
      </c>
      <c r="Y45" s="999">
        <v>0</v>
      </c>
      <c r="Z45" s="999"/>
      <c r="AA45" s="999">
        <v>0</v>
      </c>
      <c r="AB45" s="1890">
        <f t="shared" si="42"/>
        <v>0</v>
      </c>
      <c r="AC45" s="1890">
        <f t="shared" si="43"/>
        <v>0</v>
      </c>
      <c r="AD45" s="1890">
        <f t="shared" si="44"/>
        <v>0</v>
      </c>
      <c r="AE45" s="1890">
        <f t="shared" si="45"/>
        <v>633884</v>
      </c>
      <c r="AF45" s="1890">
        <f t="shared" si="46"/>
        <v>633884</v>
      </c>
      <c r="AG45" s="2383">
        <f t="shared" si="47"/>
        <v>633884</v>
      </c>
      <c r="AH45" s="2391">
        <f t="shared" si="1"/>
        <v>0</v>
      </c>
      <c r="AI45" s="79">
        <f t="shared" si="2"/>
        <v>0</v>
      </c>
      <c r="AJ45" s="79">
        <f t="shared" si="3"/>
        <v>0</v>
      </c>
      <c r="AK45" s="79">
        <f t="shared" si="4"/>
        <v>0</v>
      </c>
      <c r="AL45" s="79">
        <f t="shared" si="5"/>
        <v>0</v>
      </c>
      <c r="AM45" s="1684">
        <f t="shared" si="6"/>
        <v>0</v>
      </c>
      <c r="AN45" s="1557"/>
      <c r="AO45" s="1557"/>
      <c r="AP45" s="1557"/>
      <c r="AQ45" s="1557"/>
    </row>
    <row r="46" spans="1:43" s="110" customFormat="1" ht="12" customHeight="1">
      <c r="A46" s="1971" t="s">
        <v>244</v>
      </c>
      <c r="B46" s="1972" t="s">
        <v>162</v>
      </c>
      <c r="C46" s="1983">
        <f>+'7. mell. Önk.összes.bevétele'!I211-'7. mell. Önk.összes.bevétele'!I201+'7. mell. Önk.összes.bevétele'!I217</f>
        <v>13155000</v>
      </c>
      <c r="D46" s="1983">
        <f>+'7. mell. Önk.összes.bevétele'!K211-'7. mell. Önk.összes.bevétele'!K201+'7. mell. Önk.összes.bevétele'!K217</f>
        <v>11692000</v>
      </c>
      <c r="E46" s="1983">
        <f>+'7. mell. Önk.összes.bevétele'!L211-'7. mell. Önk.összes.bevétele'!L201+'7. mell. Önk.összes.bevétele'!L217</f>
        <v>11692000</v>
      </c>
      <c r="F46" s="1983">
        <f>+'7. mell. Önk.összes.bevétele'!M211-'7. mell. Önk.összes.bevétele'!M201+'7. mell. Önk.összes.bevétele'!M217</f>
        <v>11692000</v>
      </c>
      <c r="G46" s="1983">
        <f>+'7. mell. Önk.összes.bevétele'!N211-'7. mell. Önk.összes.bevétele'!N201+'7. mell. Önk.összes.bevétele'!N217</f>
        <v>23440968</v>
      </c>
      <c r="H46" s="1983">
        <f>+'7. mell. Önk.összes.bevétele'!O211-'7. mell. Önk.összes.bevétele'!O201+'7. mell. Önk.összes.bevétele'!O217</f>
        <v>23440968</v>
      </c>
      <c r="I46" s="1983">
        <f>+'7. mell. Önk.összes.bevétele'!P211-'7. mell. Önk.összes.bevétele'!P201+'7. mell. Önk.összes.bevétele'!P217</f>
        <v>23440968</v>
      </c>
      <c r="J46" s="999">
        <f>+'7. mell. Önk.összes.bevétele'!K211-'7. mell. Önk.összes.bevétele'!K201+'7. mell. Önk.összes.bevétele'!K217</f>
        <v>11692000</v>
      </c>
      <c r="K46" s="999">
        <f>+'7. mell. Önk.összes.bevétele'!L211-'7. mell. Önk.összes.bevétele'!L201+'7. mell. Önk.összes.bevétele'!L217</f>
        <v>11692000</v>
      </c>
      <c r="L46" s="999">
        <f>+'7. mell. Önk.összes.bevétele'!M211-'7. mell. Önk.összes.bevétele'!M201+'7. mell. Önk.összes.bevétele'!M217</f>
        <v>11692000</v>
      </c>
      <c r="M46" s="999">
        <f>+'7. mell. Önk.összes.bevétele'!N211-'7. mell. Önk.összes.bevétele'!N201+'7. mell. Önk.összes.bevétele'!N217</f>
        <v>23440968</v>
      </c>
      <c r="N46" s="999">
        <f>+'7. mell. Önk.összes.bevétele'!O211-'7. mell. Önk.összes.bevétele'!O201+'7. mell. Önk.összes.bevétele'!O217</f>
        <v>23440968</v>
      </c>
      <c r="O46" s="999">
        <f>+'7. mell. Önk.összes.bevétele'!P211-'7. mell. Önk.összes.bevétele'!P201+'7. mell. Önk.összes.bevétele'!P217</f>
        <v>23440968</v>
      </c>
      <c r="P46" s="999">
        <f>+'7. mell. Önk.összes.bevétele'!K203+'7. mell. Önk.összes.bevétele'!K204+'7. mell. Önk.összes.bevétele'!K205</f>
        <v>0</v>
      </c>
      <c r="Q46" s="999">
        <f>+'7. mell. Önk.összes.bevétele'!L203+'7. mell. Önk.összes.bevétele'!L204+'7. mell. Önk.összes.bevétele'!L205</f>
        <v>0</v>
      </c>
      <c r="R46" s="999">
        <f>+'7. mell. Önk.összes.bevétele'!M203+'7. mell. Önk.összes.bevétele'!M204+'7. mell. Önk.összes.bevétele'!M205</f>
        <v>0</v>
      </c>
      <c r="S46" s="999">
        <f>+'7. mell. Önk.összes.bevétele'!N203+'7. mell. Önk.összes.bevétele'!N204+'7. mell. Önk.összes.bevétele'!N205</f>
        <v>0</v>
      </c>
      <c r="T46" s="999">
        <f>+'7. mell. Önk.összes.bevétele'!O203+'7. mell. Önk.összes.bevétele'!O204+'7. mell. Önk.összes.bevétele'!O205</f>
        <v>0</v>
      </c>
      <c r="U46" s="999">
        <f>+'7. mell. Önk.összes.bevétele'!P203+'7. mell. Önk.összes.bevétele'!P204+'7. mell. Önk.összes.bevétele'!P205</f>
        <v>0</v>
      </c>
      <c r="V46" s="999">
        <v>0</v>
      </c>
      <c r="W46" s="999">
        <v>0</v>
      </c>
      <c r="X46" s="999">
        <v>0</v>
      </c>
      <c r="Y46" s="999">
        <v>0</v>
      </c>
      <c r="Z46" s="999"/>
      <c r="AA46" s="999">
        <v>0</v>
      </c>
      <c r="AB46" s="1890">
        <f t="shared" si="42"/>
        <v>11692000</v>
      </c>
      <c r="AC46" s="1890">
        <f t="shared" si="43"/>
        <v>11692000</v>
      </c>
      <c r="AD46" s="1890">
        <f t="shared" si="44"/>
        <v>11692000</v>
      </c>
      <c r="AE46" s="1890">
        <f t="shared" si="45"/>
        <v>23440968</v>
      </c>
      <c r="AF46" s="1890">
        <f t="shared" si="46"/>
        <v>23440968</v>
      </c>
      <c r="AG46" s="2383">
        <f t="shared" si="47"/>
        <v>23440968</v>
      </c>
      <c r="AH46" s="2391">
        <f t="shared" si="1"/>
        <v>0</v>
      </c>
      <c r="AI46" s="79">
        <f t="shared" si="2"/>
        <v>0</v>
      </c>
      <c r="AJ46" s="79">
        <f t="shared" si="3"/>
        <v>0</v>
      </c>
      <c r="AK46" s="79">
        <f t="shared" si="4"/>
        <v>0</v>
      </c>
      <c r="AL46" s="79">
        <f t="shared" si="5"/>
        <v>0</v>
      </c>
      <c r="AM46" s="1684">
        <f t="shared" si="6"/>
        <v>0</v>
      </c>
      <c r="AN46" s="1557"/>
      <c r="AO46" s="1557"/>
      <c r="AP46" s="1557"/>
      <c r="AQ46" s="1557"/>
    </row>
    <row r="47" spans="1:43" s="110" customFormat="1" ht="12" customHeight="1">
      <c r="A47" s="1966" t="s">
        <v>19</v>
      </c>
      <c r="B47" s="1978" t="s">
        <v>245</v>
      </c>
      <c r="C47" s="1968">
        <f t="shared" ref="C47:AA47" si="49">SUM(C48:C52)</f>
        <v>1284721430.1900001</v>
      </c>
      <c r="D47" s="1968">
        <f t="shared" si="49"/>
        <v>1091869854</v>
      </c>
      <c r="E47" s="1968">
        <f t="shared" si="49"/>
        <v>1091869854</v>
      </c>
      <c r="F47" s="1968">
        <f t="shared" si="49"/>
        <v>1091869854</v>
      </c>
      <c r="G47" s="1968">
        <f t="shared" si="49"/>
        <v>175223066</v>
      </c>
      <c r="H47" s="1968">
        <f t="shared" si="49"/>
        <v>175223066</v>
      </c>
      <c r="I47" s="1968">
        <f t="shared" si="49"/>
        <v>175223066</v>
      </c>
      <c r="J47" s="1968">
        <f t="shared" si="49"/>
        <v>1091869854</v>
      </c>
      <c r="K47" s="1968">
        <f t="shared" si="49"/>
        <v>1091869854</v>
      </c>
      <c r="L47" s="1968">
        <f t="shared" si="49"/>
        <v>1091869854</v>
      </c>
      <c r="M47" s="1968">
        <f t="shared" si="49"/>
        <v>175223066</v>
      </c>
      <c r="N47" s="1968">
        <f t="shared" si="49"/>
        <v>175223066</v>
      </c>
      <c r="O47" s="1968">
        <f t="shared" si="49"/>
        <v>175223066</v>
      </c>
      <c r="P47" s="1968">
        <f t="shared" si="49"/>
        <v>0</v>
      </c>
      <c r="Q47" s="1968">
        <f t="shared" si="49"/>
        <v>0</v>
      </c>
      <c r="R47" s="1968">
        <f t="shared" si="49"/>
        <v>0</v>
      </c>
      <c r="S47" s="1968">
        <f t="shared" si="49"/>
        <v>0</v>
      </c>
      <c r="T47" s="1968">
        <f t="shared" si="49"/>
        <v>0</v>
      </c>
      <c r="U47" s="1968">
        <f t="shared" si="49"/>
        <v>0</v>
      </c>
      <c r="V47" s="1968">
        <f t="shared" si="49"/>
        <v>0</v>
      </c>
      <c r="W47" s="1968">
        <f t="shared" si="49"/>
        <v>0</v>
      </c>
      <c r="X47" s="1968">
        <f t="shared" si="49"/>
        <v>0</v>
      </c>
      <c r="Y47" s="1968">
        <f t="shared" si="49"/>
        <v>0</v>
      </c>
      <c r="Z47" s="1968">
        <f t="shared" si="49"/>
        <v>0</v>
      </c>
      <c r="AA47" s="1968">
        <f t="shared" si="49"/>
        <v>0</v>
      </c>
      <c r="AB47" s="1968">
        <f t="shared" ref="AB47:AG47" si="50">+AB48+AB49+AB50+AB51+AB52</f>
        <v>1091869854</v>
      </c>
      <c r="AC47" s="1968">
        <f t="shared" si="50"/>
        <v>1091869854</v>
      </c>
      <c r="AD47" s="1968">
        <f t="shared" si="50"/>
        <v>1091869854</v>
      </c>
      <c r="AE47" s="1968">
        <f t="shared" si="50"/>
        <v>175223066</v>
      </c>
      <c r="AF47" s="1968">
        <f t="shared" si="50"/>
        <v>175223066</v>
      </c>
      <c r="AG47" s="2044">
        <f t="shared" si="50"/>
        <v>175223066</v>
      </c>
      <c r="AH47" s="2391">
        <f t="shared" si="1"/>
        <v>0</v>
      </c>
      <c r="AI47" s="79">
        <f t="shared" si="2"/>
        <v>0</v>
      </c>
      <c r="AJ47" s="79">
        <f t="shared" si="3"/>
        <v>0</v>
      </c>
      <c r="AK47" s="79">
        <f t="shared" si="4"/>
        <v>0</v>
      </c>
      <c r="AL47" s="79">
        <f t="shared" si="5"/>
        <v>0</v>
      </c>
      <c r="AM47" s="1684">
        <f t="shared" si="6"/>
        <v>0</v>
      </c>
      <c r="AN47" s="1557"/>
      <c r="AO47" s="1557"/>
      <c r="AP47" s="1557"/>
      <c r="AQ47" s="1557"/>
    </row>
    <row r="48" spans="1:43" s="110" customFormat="1" ht="12" customHeight="1">
      <c r="A48" s="1971" t="s">
        <v>246</v>
      </c>
      <c r="B48" s="1972" t="s">
        <v>247</v>
      </c>
      <c r="C48" s="999">
        <f>+'7. mell. Önk.összes.bevétele'!I273</f>
        <v>0</v>
      </c>
      <c r="D48" s="999">
        <f>+'7. mell. Önk.összes.bevétele'!K273</f>
        <v>0</v>
      </c>
      <c r="E48" s="999">
        <f>+'7. mell. Önk.összes.bevétele'!L273</f>
        <v>0</v>
      </c>
      <c r="F48" s="999">
        <f>+'7. mell. Önk.összes.bevétele'!M273</f>
        <v>0</v>
      </c>
      <c r="G48" s="999">
        <f>+'7. mell. Önk.összes.bevétele'!N273</f>
        <v>0</v>
      </c>
      <c r="H48" s="999">
        <f>+'7. mell. Önk.összes.bevétele'!O273</f>
        <v>0</v>
      </c>
      <c r="I48" s="999">
        <f>+'7. mell. Önk.összes.bevétele'!P273</f>
        <v>0</v>
      </c>
      <c r="J48" s="999">
        <v>0</v>
      </c>
      <c r="K48" s="999">
        <v>0</v>
      </c>
      <c r="L48" s="999">
        <v>0</v>
      </c>
      <c r="M48" s="999">
        <v>0</v>
      </c>
      <c r="N48" s="999"/>
      <c r="O48" s="999">
        <v>0</v>
      </c>
      <c r="P48" s="999">
        <v>0</v>
      </c>
      <c r="Q48" s="999">
        <v>0</v>
      </c>
      <c r="R48" s="999">
        <v>0</v>
      </c>
      <c r="S48" s="999">
        <v>0</v>
      </c>
      <c r="T48" s="999">
        <v>0</v>
      </c>
      <c r="U48" s="999">
        <v>0</v>
      </c>
      <c r="V48" s="999">
        <v>0</v>
      </c>
      <c r="W48" s="999">
        <v>0</v>
      </c>
      <c r="X48" s="999">
        <v>0</v>
      </c>
      <c r="Y48" s="999">
        <v>0</v>
      </c>
      <c r="Z48" s="999"/>
      <c r="AA48" s="999">
        <v>0</v>
      </c>
      <c r="AB48" s="1890">
        <f t="shared" ref="AB48:AG52" si="51">+J48+P48+V48</f>
        <v>0</v>
      </c>
      <c r="AC48" s="1890">
        <f t="shared" si="51"/>
        <v>0</v>
      </c>
      <c r="AD48" s="1890">
        <f t="shared" si="51"/>
        <v>0</v>
      </c>
      <c r="AE48" s="1890">
        <f t="shared" si="51"/>
        <v>0</v>
      </c>
      <c r="AF48" s="1890">
        <f t="shared" si="51"/>
        <v>0</v>
      </c>
      <c r="AG48" s="2383">
        <f t="shared" si="51"/>
        <v>0</v>
      </c>
      <c r="AH48" s="2391">
        <f t="shared" si="1"/>
        <v>0</v>
      </c>
      <c r="AI48" s="79">
        <f t="shared" si="2"/>
        <v>0</v>
      </c>
      <c r="AJ48" s="79">
        <f t="shared" si="3"/>
        <v>0</v>
      </c>
      <c r="AK48" s="79">
        <f t="shared" si="4"/>
        <v>0</v>
      </c>
      <c r="AL48" s="79">
        <f t="shared" si="5"/>
        <v>0</v>
      </c>
      <c r="AM48" s="1684">
        <f t="shared" si="6"/>
        <v>0</v>
      </c>
      <c r="AN48" s="1557"/>
      <c r="AO48" s="1557"/>
      <c r="AP48" s="1557"/>
      <c r="AQ48" s="1557"/>
    </row>
    <row r="49" spans="1:43" s="110" customFormat="1" ht="12" customHeight="1">
      <c r="A49" s="1971" t="s">
        <v>248</v>
      </c>
      <c r="B49" s="1972" t="s">
        <v>249</v>
      </c>
      <c r="C49" s="1983">
        <f>+'7. mell. Önk.összes.bevétele'!I281</f>
        <v>1283886430.1900001</v>
      </c>
      <c r="D49" s="1983">
        <f>+'7. mell. Önk.összes.bevétele'!K281</f>
        <v>1091394854</v>
      </c>
      <c r="E49" s="1983">
        <f>+'7. mell. Önk.összes.bevétele'!L281</f>
        <v>1091394854</v>
      </c>
      <c r="F49" s="1983">
        <f>+'7. mell. Önk.összes.bevétele'!M281</f>
        <v>1091394854</v>
      </c>
      <c r="G49" s="1983">
        <f>+'7. mell. Önk.összes.bevétele'!N281</f>
        <v>175215192</v>
      </c>
      <c r="H49" s="1983">
        <f>+'7. mell. Önk.összes.bevétele'!O281</f>
        <v>175215192</v>
      </c>
      <c r="I49" s="1983">
        <f>+'7. mell. Önk.összes.bevétele'!P281</f>
        <v>175215192</v>
      </c>
      <c r="J49" s="999">
        <f>+'5. mell.Önk-i mérleg'!E49</f>
        <v>1091394854</v>
      </c>
      <c r="K49" s="999">
        <f>+'5. mell.Önk-i mérleg'!F49</f>
        <v>1091394854</v>
      </c>
      <c r="L49" s="999">
        <f>+'5. mell.Önk-i mérleg'!G49</f>
        <v>1091394854</v>
      </c>
      <c r="M49" s="999">
        <f>+'5. mell.Önk-i mérleg'!H49</f>
        <v>175215192</v>
      </c>
      <c r="N49" s="999">
        <f>+'5. mell.Önk-i mérleg'!I49</f>
        <v>175215192</v>
      </c>
      <c r="O49" s="999">
        <f>+'5. mell.Önk-i mérleg'!J49</f>
        <v>175215192</v>
      </c>
      <c r="P49" s="999">
        <v>0</v>
      </c>
      <c r="Q49" s="999">
        <v>0</v>
      </c>
      <c r="R49" s="999">
        <v>0</v>
      </c>
      <c r="S49" s="999">
        <v>0</v>
      </c>
      <c r="T49" s="999">
        <v>0</v>
      </c>
      <c r="U49" s="999">
        <v>0</v>
      </c>
      <c r="V49" s="999">
        <v>0</v>
      </c>
      <c r="W49" s="999">
        <v>0</v>
      </c>
      <c r="X49" s="999">
        <v>0</v>
      </c>
      <c r="Y49" s="999">
        <v>0</v>
      </c>
      <c r="Z49" s="999"/>
      <c r="AA49" s="999">
        <v>0</v>
      </c>
      <c r="AB49" s="1890">
        <f t="shared" si="51"/>
        <v>1091394854</v>
      </c>
      <c r="AC49" s="1890">
        <f t="shared" si="51"/>
        <v>1091394854</v>
      </c>
      <c r="AD49" s="1890">
        <f t="shared" si="51"/>
        <v>1091394854</v>
      </c>
      <c r="AE49" s="1890">
        <f t="shared" si="51"/>
        <v>175215192</v>
      </c>
      <c r="AF49" s="1890">
        <f t="shared" si="51"/>
        <v>175215192</v>
      </c>
      <c r="AG49" s="2383">
        <f t="shared" si="51"/>
        <v>175215192</v>
      </c>
      <c r="AH49" s="2391">
        <f t="shared" si="1"/>
        <v>0</v>
      </c>
      <c r="AI49" s="79">
        <f t="shared" si="2"/>
        <v>0</v>
      </c>
      <c r="AJ49" s="79">
        <f t="shared" si="3"/>
        <v>0</v>
      </c>
      <c r="AK49" s="79">
        <f t="shared" si="4"/>
        <v>0</v>
      </c>
      <c r="AL49" s="79">
        <f t="shared" si="5"/>
        <v>0</v>
      </c>
      <c r="AM49" s="1684">
        <f t="shared" si="6"/>
        <v>0</v>
      </c>
      <c r="AN49" s="1557"/>
      <c r="AO49" s="1557"/>
      <c r="AP49" s="1557"/>
      <c r="AQ49" s="1557"/>
    </row>
    <row r="50" spans="1:43" s="110" customFormat="1" ht="12" customHeight="1">
      <c r="A50" s="1971" t="s">
        <v>250</v>
      </c>
      <c r="B50" s="1972" t="s">
        <v>155</v>
      </c>
      <c r="C50" s="999">
        <f>+'7. mell. Önk.összes.bevétele'!I285</f>
        <v>835000</v>
      </c>
      <c r="D50" s="999">
        <f>+'7. mell. Önk.összes.bevétele'!K285</f>
        <v>475000</v>
      </c>
      <c r="E50" s="999">
        <f>+'7. mell. Önk.összes.bevétele'!L285</f>
        <v>475000</v>
      </c>
      <c r="F50" s="999">
        <f>+'7. mell. Önk.összes.bevétele'!M285</f>
        <v>475000</v>
      </c>
      <c r="G50" s="999">
        <f>+'7. mell. Önk.összes.bevétele'!N285</f>
        <v>7874</v>
      </c>
      <c r="H50" s="999">
        <f>+'7. mell. Önk.összes.bevétele'!O285</f>
        <v>7874</v>
      </c>
      <c r="I50" s="999">
        <f>+'7. mell. Önk.összes.bevétele'!P285</f>
        <v>7874</v>
      </c>
      <c r="J50" s="999">
        <f>+'7. mell. Önk.összes.bevétele'!K285</f>
        <v>475000</v>
      </c>
      <c r="K50" s="999">
        <f>+'7. mell. Önk.összes.bevétele'!L285</f>
        <v>475000</v>
      </c>
      <c r="L50" s="999">
        <f>+'7. mell. Önk.összes.bevétele'!M285</f>
        <v>475000</v>
      </c>
      <c r="M50" s="999">
        <f>+'7. mell. Önk.összes.bevétele'!N285</f>
        <v>7874</v>
      </c>
      <c r="N50" s="999">
        <f>+'7. mell. Önk.összes.bevétele'!O285</f>
        <v>7874</v>
      </c>
      <c r="O50" s="999">
        <f>+'7. mell. Önk.összes.bevétele'!P285</f>
        <v>7874</v>
      </c>
      <c r="P50" s="999">
        <v>0</v>
      </c>
      <c r="Q50" s="999">
        <v>0</v>
      </c>
      <c r="R50" s="999">
        <v>0</v>
      </c>
      <c r="S50" s="999">
        <v>0</v>
      </c>
      <c r="T50" s="999">
        <v>0</v>
      </c>
      <c r="U50" s="999">
        <v>0</v>
      </c>
      <c r="V50" s="999">
        <v>0</v>
      </c>
      <c r="W50" s="999">
        <v>0</v>
      </c>
      <c r="X50" s="999">
        <v>0</v>
      </c>
      <c r="Y50" s="999">
        <v>0</v>
      </c>
      <c r="Z50" s="999"/>
      <c r="AA50" s="999">
        <v>0</v>
      </c>
      <c r="AB50" s="1890">
        <f t="shared" si="51"/>
        <v>475000</v>
      </c>
      <c r="AC50" s="1890">
        <f t="shared" si="51"/>
        <v>475000</v>
      </c>
      <c r="AD50" s="1890">
        <f t="shared" si="51"/>
        <v>475000</v>
      </c>
      <c r="AE50" s="1890">
        <f t="shared" si="51"/>
        <v>7874</v>
      </c>
      <c r="AF50" s="1890">
        <f t="shared" si="51"/>
        <v>7874</v>
      </c>
      <c r="AG50" s="2383">
        <f t="shared" si="51"/>
        <v>7874</v>
      </c>
      <c r="AH50" s="2391">
        <f t="shared" si="1"/>
        <v>0</v>
      </c>
      <c r="AI50" s="79">
        <f t="shared" si="2"/>
        <v>0</v>
      </c>
      <c r="AJ50" s="79">
        <f t="shared" si="3"/>
        <v>0</v>
      </c>
      <c r="AK50" s="79">
        <f t="shared" si="4"/>
        <v>0</v>
      </c>
      <c r="AL50" s="79">
        <f t="shared" si="5"/>
        <v>0</v>
      </c>
      <c r="AM50" s="1684">
        <f t="shared" si="6"/>
        <v>0</v>
      </c>
      <c r="AN50" s="1557"/>
      <c r="AO50" s="1557"/>
      <c r="AP50" s="1557"/>
      <c r="AQ50" s="1557"/>
    </row>
    <row r="51" spans="1:43" s="110" customFormat="1" ht="12" customHeight="1">
      <c r="A51" s="1971" t="s">
        <v>251</v>
      </c>
      <c r="B51" s="1972" t="s">
        <v>252</v>
      </c>
      <c r="C51" s="999">
        <f>+'7. mell. Önk.összes.bevétele'!I286</f>
        <v>0</v>
      </c>
      <c r="D51" s="999">
        <f>+'7. mell. Önk.összes.bevétele'!K286</f>
        <v>0</v>
      </c>
      <c r="E51" s="999">
        <f>+'7. mell. Önk.összes.bevétele'!L286</f>
        <v>0</v>
      </c>
      <c r="F51" s="999">
        <f>+'7. mell. Önk.összes.bevétele'!M286</f>
        <v>0</v>
      </c>
      <c r="G51" s="999">
        <f>+'7. mell. Önk.összes.bevétele'!N286</f>
        <v>0</v>
      </c>
      <c r="H51" s="999">
        <f>+'7. mell. Önk.összes.bevétele'!O286</f>
        <v>0</v>
      </c>
      <c r="I51" s="999">
        <f>+'7. mell. Önk.összes.bevétele'!P286</f>
        <v>0</v>
      </c>
      <c r="J51" s="999">
        <v>0</v>
      </c>
      <c r="K51" s="999">
        <v>0</v>
      </c>
      <c r="L51" s="999">
        <v>0</v>
      </c>
      <c r="M51" s="999">
        <v>0</v>
      </c>
      <c r="N51" s="999">
        <v>0</v>
      </c>
      <c r="O51" s="999">
        <v>0</v>
      </c>
      <c r="P51" s="999">
        <f>+'7. mell. Önk.összes.bevétele'!K286</f>
        <v>0</v>
      </c>
      <c r="Q51" s="999">
        <f>+'7. mell. Önk.összes.bevétele'!L286</f>
        <v>0</v>
      </c>
      <c r="R51" s="999">
        <f>+'7. mell. Önk.összes.bevétele'!M286</f>
        <v>0</v>
      </c>
      <c r="S51" s="999">
        <f>+'7. mell. Önk.összes.bevétele'!N286</f>
        <v>0</v>
      </c>
      <c r="T51" s="999">
        <f>+'7. mell. Önk.összes.bevétele'!O286</f>
        <v>0</v>
      </c>
      <c r="U51" s="999">
        <f>+'7. mell. Önk.összes.bevétele'!P286</f>
        <v>0</v>
      </c>
      <c r="V51" s="999">
        <v>0</v>
      </c>
      <c r="W51" s="999">
        <v>0</v>
      </c>
      <c r="X51" s="999">
        <v>0</v>
      </c>
      <c r="Y51" s="999">
        <v>0</v>
      </c>
      <c r="Z51" s="999"/>
      <c r="AA51" s="999">
        <v>0</v>
      </c>
      <c r="AB51" s="1890">
        <f t="shared" si="51"/>
        <v>0</v>
      </c>
      <c r="AC51" s="1890">
        <f t="shared" si="51"/>
        <v>0</v>
      </c>
      <c r="AD51" s="1890">
        <f t="shared" si="51"/>
        <v>0</v>
      </c>
      <c r="AE51" s="2057">
        <f t="shared" si="51"/>
        <v>0</v>
      </c>
      <c r="AF51" s="2057">
        <f t="shared" si="51"/>
        <v>0</v>
      </c>
      <c r="AG51" s="2384">
        <f t="shared" si="51"/>
        <v>0</v>
      </c>
      <c r="AH51" s="2391">
        <f t="shared" si="1"/>
        <v>0</v>
      </c>
      <c r="AI51" s="79">
        <f t="shared" si="2"/>
        <v>0</v>
      </c>
      <c r="AJ51" s="79">
        <f t="shared" si="3"/>
        <v>0</v>
      </c>
      <c r="AK51" s="79">
        <f t="shared" si="4"/>
        <v>0</v>
      </c>
      <c r="AL51" s="79">
        <f t="shared" si="5"/>
        <v>0</v>
      </c>
      <c r="AM51" s="1684">
        <f t="shared" si="6"/>
        <v>0</v>
      </c>
      <c r="AN51" s="1557"/>
      <c r="AO51" s="1557"/>
      <c r="AP51" s="1557"/>
      <c r="AQ51" s="1557"/>
    </row>
    <row r="52" spans="1:43" s="110" customFormat="1" ht="12" customHeight="1">
      <c r="A52" s="1971" t="s">
        <v>253</v>
      </c>
      <c r="B52" s="1972" t="s">
        <v>254</v>
      </c>
      <c r="C52" s="999">
        <v>0</v>
      </c>
      <c r="D52" s="999">
        <v>0</v>
      </c>
      <c r="E52" s="999">
        <f>+D52</f>
        <v>0</v>
      </c>
      <c r="F52" s="999">
        <f>+E52</f>
        <v>0</v>
      </c>
      <c r="G52" s="999">
        <f>+F52</f>
        <v>0</v>
      </c>
      <c r="H52" s="999">
        <f>+G52</f>
        <v>0</v>
      </c>
      <c r="I52" s="999">
        <f>+H52</f>
        <v>0</v>
      </c>
      <c r="J52" s="999">
        <v>0</v>
      </c>
      <c r="K52" s="999">
        <v>0</v>
      </c>
      <c r="L52" s="999">
        <v>0</v>
      </c>
      <c r="M52" s="999">
        <v>0</v>
      </c>
      <c r="N52" s="999">
        <v>0</v>
      </c>
      <c r="O52" s="999">
        <v>0</v>
      </c>
      <c r="P52" s="999">
        <v>0</v>
      </c>
      <c r="Q52" s="999">
        <v>0</v>
      </c>
      <c r="R52" s="999">
        <v>0</v>
      </c>
      <c r="S52" s="999">
        <v>0</v>
      </c>
      <c r="T52" s="999">
        <v>0</v>
      </c>
      <c r="U52" s="999">
        <f>+T52</f>
        <v>0</v>
      </c>
      <c r="V52" s="999">
        <v>0</v>
      </c>
      <c r="W52" s="999">
        <v>0</v>
      </c>
      <c r="X52" s="999">
        <v>0</v>
      </c>
      <c r="Y52" s="999">
        <v>0</v>
      </c>
      <c r="Z52" s="999"/>
      <c r="AA52" s="999">
        <v>0</v>
      </c>
      <c r="AB52" s="1890">
        <f t="shared" si="51"/>
        <v>0</v>
      </c>
      <c r="AC52" s="1890">
        <f t="shared" si="51"/>
        <v>0</v>
      </c>
      <c r="AD52" s="1890">
        <f t="shared" si="51"/>
        <v>0</v>
      </c>
      <c r="AE52" s="2057">
        <f t="shared" si="51"/>
        <v>0</v>
      </c>
      <c r="AF52" s="2057">
        <f t="shared" si="51"/>
        <v>0</v>
      </c>
      <c r="AG52" s="2384">
        <f t="shared" si="51"/>
        <v>0</v>
      </c>
      <c r="AH52" s="2391">
        <f t="shared" si="1"/>
        <v>0</v>
      </c>
      <c r="AI52" s="79">
        <f t="shared" si="2"/>
        <v>0</v>
      </c>
      <c r="AJ52" s="79">
        <f t="shared" si="3"/>
        <v>0</v>
      </c>
      <c r="AK52" s="79">
        <f t="shared" si="4"/>
        <v>0</v>
      </c>
      <c r="AL52" s="79">
        <f t="shared" si="5"/>
        <v>0</v>
      </c>
      <c r="AM52" s="1684">
        <f t="shared" si="6"/>
        <v>0</v>
      </c>
      <c r="AN52" s="1557"/>
      <c r="AO52" s="1557"/>
      <c r="AP52" s="1557"/>
      <c r="AQ52" s="1557"/>
    </row>
    <row r="53" spans="1:43" s="110" customFormat="1" ht="12" customHeight="1">
      <c r="A53" s="1966" t="s">
        <v>255</v>
      </c>
      <c r="B53" s="1978" t="s">
        <v>256</v>
      </c>
      <c r="C53" s="1968">
        <f t="shared" ref="C53:AA53" si="52">SUM(C54:C56)</f>
        <v>27253713</v>
      </c>
      <c r="D53" s="1968">
        <f t="shared" si="52"/>
        <v>16328120</v>
      </c>
      <c r="E53" s="1968">
        <f t="shared" si="52"/>
        <v>16328120</v>
      </c>
      <c r="F53" s="1968">
        <f t="shared" si="52"/>
        <v>16328120</v>
      </c>
      <c r="G53" s="1968">
        <f t="shared" si="52"/>
        <v>15909030</v>
      </c>
      <c r="H53" s="1968">
        <f t="shared" si="52"/>
        <v>15909030</v>
      </c>
      <c r="I53" s="1968">
        <f t="shared" si="52"/>
        <v>15909030</v>
      </c>
      <c r="J53" s="1968">
        <f t="shared" si="52"/>
        <v>0</v>
      </c>
      <c r="K53" s="1968">
        <f t="shared" si="52"/>
        <v>0</v>
      </c>
      <c r="L53" s="1968">
        <f t="shared" si="52"/>
        <v>0</v>
      </c>
      <c r="M53" s="1968">
        <f t="shared" si="52"/>
        <v>0</v>
      </c>
      <c r="N53" s="1968">
        <f t="shared" si="52"/>
        <v>0</v>
      </c>
      <c r="O53" s="1968">
        <f t="shared" si="52"/>
        <v>0</v>
      </c>
      <c r="P53" s="1968">
        <f t="shared" si="52"/>
        <v>16328120</v>
      </c>
      <c r="Q53" s="1968">
        <f t="shared" si="52"/>
        <v>16328120</v>
      </c>
      <c r="R53" s="1968">
        <f t="shared" si="52"/>
        <v>16328120</v>
      </c>
      <c r="S53" s="1968">
        <f t="shared" si="52"/>
        <v>15909030</v>
      </c>
      <c r="T53" s="1968">
        <f t="shared" si="52"/>
        <v>15909030</v>
      </c>
      <c r="U53" s="1968">
        <f t="shared" si="52"/>
        <v>15909030</v>
      </c>
      <c r="V53" s="1968">
        <f t="shared" si="52"/>
        <v>0</v>
      </c>
      <c r="W53" s="1968">
        <f t="shared" si="52"/>
        <v>0</v>
      </c>
      <c r="X53" s="1968">
        <f t="shared" si="52"/>
        <v>0</v>
      </c>
      <c r="Y53" s="1968">
        <f t="shared" si="52"/>
        <v>0</v>
      </c>
      <c r="Z53" s="1968">
        <f t="shared" si="52"/>
        <v>0</v>
      </c>
      <c r="AA53" s="1968">
        <f t="shared" si="52"/>
        <v>0</v>
      </c>
      <c r="AB53" s="1968">
        <f t="shared" ref="AB53:AG53" si="53">+AB54+AB55+AB56</f>
        <v>16328120</v>
      </c>
      <c r="AC53" s="1968">
        <f t="shared" si="53"/>
        <v>16328120</v>
      </c>
      <c r="AD53" s="1968">
        <f t="shared" si="53"/>
        <v>16328120</v>
      </c>
      <c r="AE53" s="1968">
        <f t="shared" si="53"/>
        <v>15909030</v>
      </c>
      <c r="AF53" s="1968">
        <f t="shared" si="53"/>
        <v>15909030</v>
      </c>
      <c r="AG53" s="2044">
        <f t="shared" si="53"/>
        <v>15909030</v>
      </c>
      <c r="AH53" s="2391">
        <f t="shared" si="1"/>
        <v>0</v>
      </c>
      <c r="AI53" s="79">
        <f t="shared" si="2"/>
        <v>0</v>
      </c>
      <c r="AJ53" s="79">
        <f t="shared" si="3"/>
        <v>0</v>
      </c>
      <c r="AK53" s="79">
        <f t="shared" si="4"/>
        <v>0</v>
      </c>
      <c r="AL53" s="79">
        <f t="shared" si="5"/>
        <v>0</v>
      </c>
      <c r="AM53" s="1684">
        <f t="shared" si="6"/>
        <v>0</v>
      </c>
      <c r="AN53" s="1557"/>
      <c r="AO53" s="1557"/>
      <c r="AP53" s="1557"/>
      <c r="AQ53" s="1557"/>
    </row>
    <row r="54" spans="1:43" s="110" customFormat="1" ht="12" customHeight="1">
      <c r="A54" s="1971" t="s">
        <v>257</v>
      </c>
      <c r="B54" s="1972" t="s">
        <v>258</v>
      </c>
      <c r="C54" s="999">
        <v>0</v>
      </c>
      <c r="D54" s="999">
        <v>0</v>
      </c>
      <c r="E54" s="999">
        <f>+D54</f>
        <v>0</v>
      </c>
      <c r="F54" s="999">
        <f>+E54</f>
        <v>0</v>
      </c>
      <c r="G54" s="999">
        <f>+F54</f>
        <v>0</v>
      </c>
      <c r="H54" s="999">
        <f>+G54</f>
        <v>0</v>
      </c>
      <c r="I54" s="999">
        <f>+H54</f>
        <v>0</v>
      </c>
      <c r="J54" s="999">
        <v>0</v>
      </c>
      <c r="K54" s="999">
        <v>0</v>
      </c>
      <c r="L54" s="999">
        <v>0</v>
      </c>
      <c r="M54" s="999">
        <v>0</v>
      </c>
      <c r="N54" s="999">
        <v>0</v>
      </c>
      <c r="O54" s="999">
        <v>0</v>
      </c>
      <c r="P54" s="999">
        <v>0</v>
      </c>
      <c r="Q54" s="999">
        <v>0</v>
      </c>
      <c r="R54" s="999">
        <v>0</v>
      </c>
      <c r="S54" s="999">
        <v>0</v>
      </c>
      <c r="T54" s="999"/>
      <c r="U54" s="999">
        <v>0</v>
      </c>
      <c r="V54" s="999">
        <v>0</v>
      </c>
      <c r="W54" s="999">
        <v>0</v>
      </c>
      <c r="X54" s="999">
        <v>0</v>
      </c>
      <c r="Y54" s="999">
        <v>0</v>
      </c>
      <c r="Z54" s="999"/>
      <c r="AA54" s="999">
        <v>0</v>
      </c>
      <c r="AB54" s="1890">
        <f t="shared" ref="AB54:AG57" si="54">+J54+P54+V54</f>
        <v>0</v>
      </c>
      <c r="AC54" s="1890">
        <f t="shared" si="54"/>
        <v>0</v>
      </c>
      <c r="AD54" s="1890">
        <f t="shared" si="54"/>
        <v>0</v>
      </c>
      <c r="AE54" s="2057">
        <f t="shared" si="54"/>
        <v>0</v>
      </c>
      <c r="AF54" s="2057">
        <f t="shared" si="54"/>
        <v>0</v>
      </c>
      <c r="AG54" s="2384">
        <f t="shared" si="54"/>
        <v>0</v>
      </c>
      <c r="AH54" s="2391">
        <f t="shared" si="1"/>
        <v>0</v>
      </c>
      <c r="AI54" s="79">
        <f t="shared" si="2"/>
        <v>0</v>
      </c>
      <c r="AJ54" s="79">
        <f t="shared" si="3"/>
        <v>0</v>
      </c>
      <c r="AK54" s="79">
        <f t="shared" si="4"/>
        <v>0</v>
      </c>
      <c r="AL54" s="79">
        <f t="shared" si="5"/>
        <v>0</v>
      </c>
      <c r="AM54" s="1684">
        <f t="shared" si="6"/>
        <v>0</v>
      </c>
      <c r="AN54" s="1557"/>
      <c r="AO54" s="1557"/>
      <c r="AP54" s="1557"/>
      <c r="AQ54" s="1557"/>
    </row>
    <row r="55" spans="1:43" s="110" customFormat="1" ht="12" customHeight="1">
      <c r="A55" s="1971" t="s">
        <v>259</v>
      </c>
      <c r="B55" s="1972" t="s">
        <v>260</v>
      </c>
      <c r="C55" s="999">
        <f>+'7. mell. Önk.összes.bevétele'!I228</f>
        <v>15853713</v>
      </c>
      <c r="D55" s="999">
        <f>+'7. mell. Önk.összes.bevétele'!K228</f>
        <v>16328120</v>
      </c>
      <c r="E55" s="999">
        <f>+'7. mell. Önk.összes.bevétele'!L228</f>
        <v>16328120</v>
      </c>
      <c r="F55" s="999">
        <f>+'7. mell. Önk.összes.bevétele'!M228</f>
        <v>16328120</v>
      </c>
      <c r="G55" s="999">
        <f>+'7. mell. Önk.összes.bevétele'!N228</f>
        <v>15909030</v>
      </c>
      <c r="H55" s="999">
        <f>+'7. mell. Önk.összes.bevétele'!O228</f>
        <v>15909030</v>
      </c>
      <c r="I55" s="999">
        <f>+'7. mell. Önk.összes.bevétele'!P228</f>
        <v>15909030</v>
      </c>
      <c r="J55" s="999">
        <v>0</v>
      </c>
      <c r="K55" s="999">
        <v>0</v>
      </c>
      <c r="L55" s="999">
        <v>0</v>
      </c>
      <c r="M55" s="999">
        <v>0</v>
      </c>
      <c r="N55" s="999">
        <v>0</v>
      </c>
      <c r="O55" s="999">
        <v>0</v>
      </c>
      <c r="P55" s="999">
        <f>+'7. mell. Önk.összes.bevétele'!K228</f>
        <v>16328120</v>
      </c>
      <c r="Q55" s="999">
        <f>+'7. mell. Önk.összes.bevétele'!L228</f>
        <v>16328120</v>
      </c>
      <c r="R55" s="999">
        <f>+'7. mell. Önk.összes.bevétele'!M228</f>
        <v>16328120</v>
      </c>
      <c r="S55" s="999">
        <f>+'7. mell. Önk.összes.bevétele'!N228</f>
        <v>15909030</v>
      </c>
      <c r="T55" s="999">
        <f>+'7. mell. Önk.összes.bevétele'!O228</f>
        <v>15909030</v>
      </c>
      <c r="U55" s="999">
        <f>+'7. mell. Önk.összes.bevétele'!P228</f>
        <v>15909030</v>
      </c>
      <c r="V55" s="999">
        <v>0</v>
      </c>
      <c r="W55" s="999">
        <v>0</v>
      </c>
      <c r="X55" s="999">
        <v>0</v>
      </c>
      <c r="Y55" s="999">
        <v>0</v>
      </c>
      <c r="Z55" s="999"/>
      <c r="AA55" s="999">
        <v>0</v>
      </c>
      <c r="AB55" s="1890">
        <f t="shared" si="54"/>
        <v>16328120</v>
      </c>
      <c r="AC55" s="1890">
        <f t="shared" si="54"/>
        <v>16328120</v>
      </c>
      <c r="AD55" s="1890">
        <f t="shared" si="54"/>
        <v>16328120</v>
      </c>
      <c r="AE55" s="1890">
        <f t="shared" si="54"/>
        <v>15909030</v>
      </c>
      <c r="AF55" s="1890">
        <f t="shared" si="54"/>
        <v>15909030</v>
      </c>
      <c r="AG55" s="2383">
        <f t="shared" si="54"/>
        <v>15909030</v>
      </c>
      <c r="AH55" s="2391">
        <f t="shared" si="1"/>
        <v>0</v>
      </c>
      <c r="AI55" s="79">
        <f t="shared" si="2"/>
        <v>0</v>
      </c>
      <c r="AJ55" s="79">
        <f t="shared" si="3"/>
        <v>0</v>
      </c>
      <c r="AK55" s="79">
        <f t="shared" si="4"/>
        <v>0</v>
      </c>
      <c r="AL55" s="79">
        <f t="shared" si="5"/>
        <v>0</v>
      </c>
      <c r="AM55" s="1684">
        <f t="shared" si="6"/>
        <v>0</v>
      </c>
      <c r="AN55" s="1557"/>
      <c r="AO55" s="1557"/>
      <c r="AP55" s="1557"/>
      <c r="AQ55" s="1557"/>
    </row>
    <row r="56" spans="1:43" s="110" customFormat="1" ht="12" customHeight="1">
      <c r="A56" s="1971" t="s">
        <v>261</v>
      </c>
      <c r="B56" s="1972" t="s">
        <v>262</v>
      </c>
      <c r="C56" s="999">
        <f>+'7. mell. Önk.összes.bevétele'!I242</f>
        <v>11400000</v>
      </c>
      <c r="D56" s="999">
        <f>+'7. mell. Önk.összes.bevétele'!K242</f>
        <v>0</v>
      </c>
      <c r="E56" s="999">
        <f>+'7. mell. Önk.összes.bevétele'!L242</f>
        <v>0</v>
      </c>
      <c r="F56" s="999">
        <f>+'7. mell. Önk.összes.bevétele'!M242</f>
        <v>0</v>
      </c>
      <c r="G56" s="999">
        <f>+'7. mell. Önk.összes.bevétele'!N242</f>
        <v>0</v>
      </c>
      <c r="H56" s="999">
        <f>+'7. mell. Önk.összes.bevétele'!O242</f>
        <v>0</v>
      </c>
      <c r="I56" s="999">
        <f>+'7. mell. Önk.összes.bevétele'!P242</f>
        <v>0</v>
      </c>
      <c r="J56" s="999">
        <f>+'7. mell. Önk.összes.bevétele'!K229</f>
        <v>0</v>
      </c>
      <c r="K56" s="999">
        <f>+'7. mell. Önk.összes.bevétele'!L229</f>
        <v>0</v>
      </c>
      <c r="L56" s="999">
        <f>+'7. mell. Önk.összes.bevétele'!M229</f>
        <v>0</v>
      </c>
      <c r="M56" s="999">
        <f>+'7. mell. Önk.összes.bevétele'!N229</f>
        <v>0</v>
      </c>
      <c r="N56" s="999">
        <f>+'7. mell. Önk.összes.bevétele'!O229</f>
        <v>0</v>
      </c>
      <c r="O56" s="999">
        <f>+'7. mell. Önk.összes.bevétele'!P229</f>
        <v>0</v>
      </c>
      <c r="P56" s="999">
        <f>+'5. mell.Önk-i mérleg'!E56-'7. mell. Önk.összes.bevétele'!K229</f>
        <v>0</v>
      </c>
      <c r="Q56" s="999">
        <f>+'5. mell.Önk-i mérleg'!F56-'7. mell. Önk.összes.bevétele'!L229</f>
        <v>0</v>
      </c>
      <c r="R56" s="999">
        <f>+'5. mell.Önk-i mérleg'!G56-'7. mell. Önk.összes.bevétele'!M229</f>
        <v>0</v>
      </c>
      <c r="S56" s="999">
        <f>+'5. mell.Önk-i mérleg'!H56-'7. mell. Önk.összes.bevétele'!N229</f>
        <v>0</v>
      </c>
      <c r="T56" s="999">
        <f>+'5. mell.Önk-i mérleg'!I56-'7. mell. Önk.összes.bevétele'!O229</f>
        <v>0</v>
      </c>
      <c r="U56" s="999">
        <f>+'5. mell.Önk-i mérleg'!J56-'7. mell. Önk.összes.bevétele'!P229</f>
        <v>0</v>
      </c>
      <c r="V56" s="999">
        <v>0</v>
      </c>
      <c r="W56" s="999">
        <v>0</v>
      </c>
      <c r="X56" s="999">
        <v>0</v>
      </c>
      <c r="Y56" s="999">
        <v>0</v>
      </c>
      <c r="Z56" s="999"/>
      <c r="AA56" s="999">
        <v>0</v>
      </c>
      <c r="AB56" s="1890">
        <f t="shared" si="54"/>
        <v>0</v>
      </c>
      <c r="AC56" s="1890">
        <f t="shared" si="54"/>
        <v>0</v>
      </c>
      <c r="AD56" s="1890">
        <f t="shared" si="54"/>
        <v>0</v>
      </c>
      <c r="AE56" s="1890">
        <f t="shared" si="54"/>
        <v>0</v>
      </c>
      <c r="AF56" s="1890">
        <f t="shared" si="54"/>
        <v>0</v>
      </c>
      <c r="AG56" s="2383">
        <f t="shared" si="54"/>
        <v>0</v>
      </c>
      <c r="AH56" s="2391">
        <f t="shared" si="1"/>
        <v>0</v>
      </c>
      <c r="AI56" s="79">
        <f t="shared" si="2"/>
        <v>0</v>
      </c>
      <c r="AJ56" s="79">
        <f t="shared" si="3"/>
        <v>0</v>
      </c>
      <c r="AK56" s="79">
        <f t="shared" si="4"/>
        <v>0</v>
      </c>
      <c r="AL56" s="79">
        <f t="shared" si="5"/>
        <v>0</v>
      </c>
      <c r="AM56" s="1684">
        <f t="shared" si="6"/>
        <v>0</v>
      </c>
      <c r="AN56" s="1557"/>
      <c r="AO56" s="1557"/>
      <c r="AP56" s="1557"/>
      <c r="AQ56" s="1557"/>
    </row>
    <row r="57" spans="1:43" s="110" customFormat="1" ht="12" customHeight="1">
      <c r="A57" s="1971" t="s">
        <v>263</v>
      </c>
      <c r="B57" s="1972" t="s">
        <v>264</v>
      </c>
      <c r="C57" s="999">
        <v>11400000</v>
      </c>
      <c r="D57" s="999">
        <f>+'7. mell. Önk.összes.bevétele'!K239</f>
        <v>0</v>
      </c>
      <c r="E57" s="999">
        <f>+'7. mell. Önk.összes.bevétele'!L239</f>
        <v>0</v>
      </c>
      <c r="F57" s="999">
        <f>+'7. mell. Önk.összes.bevétele'!M239</f>
        <v>0</v>
      </c>
      <c r="G57" s="999">
        <f>+'7. mell. Önk.összes.bevétele'!N239</f>
        <v>0</v>
      </c>
      <c r="H57" s="999">
        <f>+'7. mell. Önk.összes.bevétele'!O239</f>
        <v>0</v>
      </c>
      <c r="I57" s="999">
        <f>+'7. mell. Önk.összes.bevétele'!P239</f>
        <v>0</v>
      </c>
      <c r="J57" s="999">
        <v>0</v>
      </c>
      <c r="K57" s="999">
        <v>0</v>
      </c>
      <c r="L57" s="999">
        <v>0</v>
      </c>
      <c r="M57" s="999">
        <v>0</v>
      </c>
      <c r="N57" s="999">
        <v>0</v>
      </c>
      <c r="O57" s="999">
        <f>+N57</f>
        <v>0</v>
      </c>
      <c r="P57" s="999">
        <f>+'7. mell. Önk.összes.bevétele'!K239</f>
        <v>0</v>
      </c>
      <c r="Q57" s="999">
        <f>+'7. mell. Önk.összes.bevétele'!L239</f>
        <v>0</v>
      </c>
      <c r="R57" s="999">
        <f>+'7. mell. Önk.összes.bevétele'!M239</f>
        <v>0</v>
      </c>
      <c r="S57" s="999">
        <f>+'7. mell. Önk.összes.bevétele'!N239</f>
        <v>0</v>
      </c>
      <c r="T57" s="999">
        <f>+'7. mell. Önk.összes.bevétele'!O239</f>
        <v>0</v>
      </c>
      <c r="U57" s="999">
        <f>+'7. mell. Önk.összes.bevétele'!P239</f>
        <v>0</v>
      </c>
      <c r="V57" s="999">
        <v>0</v>
      </c>
      <c r="W57" s="999">
        <v>0</v>
      </c>
      <c r="X57" s="999">
        <v>0</v>
      </c>
      <c r="Y57" s="999">
        <v>0</v>
      </c>
      <c r="Z57" s="999"/>
      <c r="AA57" s="999">
        <v>0</v>
      </c>
      <c r="AB57" s="1890">
        <f t="shared" si="54"/>
        <v>0</v>
      </c>
      <c r="AC57" s="1890">
        <f t="shared" si="54"/>
        <v>0</v>
      </c>
      <c r="AD57" s="1890">
        <f t="shared" si="54"/>
        <v>0</v>
      </c>
      <c r="AE57" s="2057">
        <f t="shared" si="54"/>
        <v>0</v>
      </c>
      <c r="AF57" s="2057">
        <f t="shared" si="54"/>
        <v>0</v>
      </c>
      <c r="AG57" s="2384">
        <f t="shared" si="54"/>
        <v>0</v>
      </c>
      <c r="AH57" s="2391">
        <f t="shared" si="1"/>
        <v>0</v>
      </c>
      <c r="AI57" s="79">
        <f t="shared" si="2"/>
        <v>0</v>
      </c>
      <c r="AJ57" s="79">
        <f t="shared" si="3"/>
        <v>0</v>
      </c>
      <c r="AK57" s="79">
        <f t="shared" si="4"/>
        <v>0</v>
      </c>
      <c r="AL57" s="79">
        <f t="shared" si="5"/>
        <v>0</v>
      </c>
      <c r="AM57" s="1684">
        <f t="shared" si="6"/>
        <v>0</v>
      </c>
      <c r="AN57" s="1557"/>
      <c r="AO57" s="1557"/>
      <c r="AP57" s="1557"/>
      <c r="AQ57" s="1557"/>
    </row>
    <row r="58" spans="1:43" s="110" customFormat="1" ht="12" customHeight="1">
      <c r="A58" s="1966" t="s">
        <v>23</v>
      </c>
      <c r="B58" s="1976" t="s">
        <v>3032</v>
      </c>
      <c r="C58" s="1968">
        <f t="shared" ref="C58:AA58" si="55">SUM(C59:C61)</f>
        <v>104429188</v>
      </c>
      <c r="D58" s="1968">
        <f t="shared" si="55"/>
        <v>3218439</v>
      </c>
      <c r="E58" s="1968">
        <f t="shared" si="55"/>
        <v>3218439</v>
      </c>
      <c r="F58" s="1968">
        <f t="shared" si="55"/>
        <v>3218439</v>
      </c>
      <c r="G58" s="1968">
        <f t="shared" si="55"/>
        <v>5253618</v>
      </c>
      <c r="H58" s="1968">
        <f t="shared" si="55"/>
        <v>5253618</v>
      </c>
      <c r="I58" s="1968">
        <f t="shared" si="55"/>
        <v>5253618</v>
      </c>
      <c r="J58" s="1968">
        <f t="shared" si="55"/>
        <v>0</v>
      </c>
      <c r="K58" s="1968">
        <f t="shared" si="55"/>
        <v>0</v>
      </c>
      <c r="L58" s="1968">
        <f t="shared" si="55"/>
        <v>0</v>
      </c>
      <c r="M58" s="1968">
        <f t="shared" si="55"/>
        <v>0</v>
      </c>
      <c r="N58" s="1968">
        <f t="shared" si="55"/>
        <v>0</v>
      </c>
      <c r="O58" s="1968">
        <f t="shared" si="55"/>
        <v>0</v>
      </c>
      <c r="P58" s="1968">
        <f t="shared" si="55"/>
        <v>3218439</v>
      </c>
      <c r="Q58" s="1968">
        <f t="shared" si="55"/>
        <v>3218439</v>
      </c>
      <c r="R58" s="1968">
        <f t="shared" si="55"/>
        <v>3218439</v>
      </c>
      <c r="S58" s="1968">
        <f t="shared" si="55"/>
        <v>5253618</v>
      </c>
      <c r="T58" s="1968">
        <f t="shared" si="55"/>
        <v>5253618</v>
      </c>
      <c r="U58" s="1968">
        <f t="shared" si="55"/>
        <v>5253618</v>
      </c>
      <c r="V58" s="1968">
        <f t="shared" si="55"/>
        <v>0</v>
      </c>
      <c r="W58" s="1968">
        <f t="shared" si="55"/>
        <v>0</v>
      </c>
      <c r="X58" s="1968">
        <f t="shared" si="55"/>
        <v>0</v>
      </c>
      <c r="Y58" s="1968">
        <f t="shared" si="55"/>
        <v>0</v>
      </c>
      <c r="Z58" s="1968">
        <f t="shared" si="55"/>
        <v>0</v>
      </c>
      <c r="AA58" s="1968">
        <f t="shared" si="55"/>
        <v>0</v>
      </c>
      <c r="AB58" s="1968">
        <f t="shared" ref="AB58:AG58" si="56">+AB59+AB60+AB61</f>
        <v>3218439</v>
      </c>
      <c r="AC58" s="1968">
        <f t="shared" si="56"/>
        <v>3218439</v>
      </c>
      <c r="AD58" s="1968">
        <f t="shared" si="56"/>
        <v>3218439</v>
      </c>
      <c r="AE58" s="1968">
        <f t="shared" si="56"/>
        <v>5253618</v>
      </c>
      <c r="AF58" s="1968">
        <f t="shared" si="56"/>
        <v>5253618</v>
      </c>
      <c r="AG58" s="2044">
        <f t="shared" si="56"/>
        <v>5253618</v>
      </c>
      <c r="AH58" s="2391">
        <f t="shared" si="1"/>
        <v>0</v>
      </c>
      <c r="AI58" s="79">
        <f t="shared" si="2"/>
        <v>0</v>
      </c>
      <c r="AJ58" s="79">
        <f t="shared" si="3"/>
        <v>0</v>
      </c>
      <c r="AK58" s="79">
        <f t="shared" si="4"/>
        <v>0</v>
      </c>
      <c r="AL58" s="79">
        <f t="shared" si="5"/>
        <v>0</v>
      </c>
      <c r="AM58" s="1684">
        <f t="shared" si="6"/>
        <v>0</v>
      </c>
      <c r="AN58" s="1557"/>
      <c r="AO58" s="1557"/>
      <c r="AP58" s="1557"/>
      <c r="AQ58" s="1557"/>
    </row>
    <row r="59" spans="1:43" s="110" customFormat="1" ht="12" customHeight="1">
      <c r="A59" s="1971" t="s">
        <v>265</v>
      </c>
      <c r="B59" s="1972" t="s">
        <v>3167</v>
      </c>
      <c r="C59" s="999">
        <v>0</v>
      </c>
      <c r="D59" s="999">
        <v>0</v>
      </c>
      <c r="E59" s="999">
        <f>+D59</f>
        <v>0</v>
      </c>
      <c r="F59" s="999">
        <f>+E59</f>
        <v>0</v>
      </c>
      <c r="G59" s="999">
        <f>+F59</f>
        <v>0</v>
      </c>
      <c r="H59" s="999">
        <f>+G59</f>
        <v>0</v>
      </c>
      <c r="I59" s="999">
        <f>+H59</f>
        <v>0</v>
      </c>
      <c r="J59" s="999">
        <v>0</v>
      </c>
      <c r="K59" s="999">
        <v>0</v>
      </c>
      <c r="L59" s="999">
        <v>0</v>
      </c>
      <c r="M59" s="999">
        <v>0</v>
      </c>
      <c r="N59" s="999">
        <v>0</v>
      </c>
      <c r="O59" s="999">
        <v>0</v>
      </c>
      <c r="P59" s="999">
        <v>0</v>
      </c>
      <c r="Q59" s="999">
        <v>0</v>
      </c>
      <c r="R59" s="999">
        <v>0</v>
      </c>
      <c r="S59" s="999">
        <v>0</v>
      </c>
      <c r="T59" s="999">
        <v>0</v>
      </c>
      <c r="U59" s="999">
        <f>+T59</f>
        <v>0</v>
      </c>
      <c r="V59" s="999">
        <v>0</v>
      </c>
      <c r="W59" s="999">
        <v>0</v>
      </c>
      <c r="X59" s="999">
        <v>0</v>
      </c>
      <c r="Y59" s="999">
        <v>0</v>
      </c>
      <c r="Z59" s="999"/>
      <c r="AA59" s="999">
        <v>0</v>
      </c>
      <c r="AB59" s="1890">
        <f t="shared" ref="AB59:AG62" si="57">+J59+P59+V59</f>
        <v>0</v>
      </c>
      <c r="AC59" s="1890">
        <f t="shared" si="57"/>
        <v>0</v>
      </c>
      <c r="AD59" s="1890">
        <f t="shared" si="57"/>
        <v>0</v>
      </c>
      <c r="AE59" s="2057">
        <f t="shared" si="57"/>
        <v>0</v>
      </c>
      <c r="AF59" s="2057">
        <f t="shared" si="57"/>
        <v>0</v>
      </c>
      <c r="AG59" s="2384">
        <f t="shared" si="57"/>
        <v>0</v>
      </c>
      <c r="AH59" s="2391">
        <f t="shared" si="1"/>
        <v>0</v>
      </c>
      <c r="AI59" s="79">
        <f t="shared" si="2"/>
        <v>0</v>
      </c>
      <c r="AJ59" s="79">
        <f t="shared" si="3"/>
        <v>0</v>
      </c>
      <c r="AK59" s="79">
        <f t="shared" si="4"/>
        <v>0</v>
      </c>
      <c r="AL59" s="79">
        <f t="shared" si="5"/>
        <v>0</v>
      </c>
      <c r="AM59" s="1684">
        <f t="shared" si="6"/>
        <v>0</v>
      </c>
      <c r="AN59" s="1557"/>
      <c r="AO59" s="1557"/>
      <c r="AP59" s="1557"/>
      <c r="AQ59" s="1557"/>
    </row>
    <row r="60" spans="1:43" s="110" customFormat="1" ht="12" customHeight="1">
      <c r="A60" s="1971" t="s">
        <v>266</v>
      </c>
      <c r="B60" s="1972" t="s">
        <v>3166</v>
      </c>
      <c r="C60" s="1983">
        <f>+'7. mell. Önk.összes.bevétele'!I299</f>
        <v>4378788</v>
      </c>
      <c r="D60" s="1983">
        <f>+'7. mell. Önk.összes.bevétele'!K299</f>
        <v>2812314</v>
      </c>
      <c r="E60" s="1983">
        <f>+'7. mell. Önk.összes.bevétele'!L299</f>
        <v>2812314</v>
      </c>
      <c r="F60" s="1983">
        <f>+'7. mell. Önk.összes.bevétele'!M299</f>
        <v>2812314</v>
      </c>
      <c r="G60" s="1983">
        <f>+'7. mell. Önk.összes.bevétele'!N299</f>
        <v>4175953</v>
      </c>
      <c r="H60" s="1983">
        <f>+'7. mell. Önk.összes.bevétele'!O299</f>
        <v>4175953</v>
      </c>
      <c r="I60" s="1983">
        <f>+'7. mell. Önk.összes.bevétele'!P299</f>
        <v>4175953</v>
      </c>
      <c r="J60" s="999">
        <v>0</v>
      </c>
      <c r="K60" s="999">
        <v>0</v>
      </c>
      <c r="L60" s="999">
        <v>0</v>
      </c>
      <c r="M60" s="999">
        <v>0</v>
      </c>
      <c r="N60" s="999">
        <v>0</v>
      </c>
      <c r="O60" s="999">
        <v>0</v>
      </c>
      <c r="P60" s="999">
        <f>+'5. mell.Önk-i mérleg'!E60</f>
        <v>2812314</v>
      </c>
      <c r="Q60" s="999">
        <f>+'5. mell.Önk-i mérleg'!F60</f>
        <v>2812314</v>
      </c>
      <c r="R60" s="999">
        <f>+'5. mell.Önk-i mérleg'!G60</f>
        <v>2812314</v>
      </c>
      <c r="S60" s="999">
        <f>+'5. mell.Önk-i mérleg'!H60</f>
        <v>4175953</v>
      </c>
      <c r="T60" s="999">
        <f>+'5. mell.Önk-i mérleg'!I60</f>
        <v>4175953</v>
      </c>
      <c r="U60" s="999">
        <f>+'5. mell.Önk-i mérleg'!J60</f>
        <v>4175953</v>
      </c>
      <c r="V60" s="999">
        <v>0</v>
      </c>
      <c r="W60" s="999">
        <v>0</v>
      </c>
      <c r="X60" s="999">
        <v>0</v>
      </c>
      <c r="Y60" s="999">
        <v>0</v>
      </c>
      <c r="Z60" s="999"/>
      <c r="AA60" s="999">
        <v>0</v>
      </c>
      <c r="AB60" s="1890">
        <f t="shared" si="57"/>
        <v>2812314</v>
      </c>
      <c r="AC60" s="1890">
        <f t="shared" si="57"/>
        <v>2812314</v>
      </c>
      <c r="AD60" s="1890">
        <f t="shared" si="57"/>
        <v>2812314</v>
      </c>
      <c r="AE60" s="1890">
        <f t="shared" si="57"/>
        <v>4175953</v>
      </c>
      <c r="AF60" s="1890">
        <f t="shared" si="57"/>
        <v>4175953</v>
      </c>
      <c r="AG60" s="2383">
        <f t="shared" si="57"/>
        <v>4175953</v>
      </c>
      <c r="AH60" s="2391">
        <f t="shared" si="1"/>
        <v>0</v>
      </c>
      <c r="AI60" s="79">
        <f t="shared" si="2"/>
        <v>0</v>
      </c>
      <c r="AJ60" s="79">
        <f t="shared" si="3"/>
        <v>0</v>
      </c>
      <c r="AK60" s="79">
        <f t="shared" si="4"/>
        <v>0</v>
      </c>
      <c r="AL60" s="79">
        <f t="shared" si="5"/>
        <v>0</v>
      </c>
      <c r="AM60" s="1684">
        <f t="shared" si="6"/>
        <v>0</v>
      </c>
      <c r="AN60" s="1557"/>
      <c r="AO60" s="1557"/>
      <c r="AP60" s="1557"/>
      <c r="AQ60" s="1557"/>
    </row>
    <row r="61" spans="1:43" s="110" customFormat="1" ht="12" customHeight="1">
      <c r="A61" s="1971" t="s">
        <v>267</v>
      </c>
      <c r="B61" s="1972" t="s">
        <v>268</v>
      </c>
      <c r="C61" s="1983">
        <f>+'7. mell. Önk.összes.bevétele'!I317</f>
        <v>100050400</v>
      </c>
      <c r="D61" s="1983">
        <f>+'7. mell. Önk.összes.bevétele'!K317</f>
        <v>406125</v>
      </c>
      <c r="E61" s="1983">
        <f>+'7. mell. Önk.összes.bevétele'!L317</f>
        <v>406125</v>
      </c>
      <c r="F61" s="1983">
        <f>+'7. mell. Önk.összes.bevétele'!M317</f>
        <v>406125</v>
      </c>
      <c r="G61" s="1983">
        <f>+'7. mell. Önk.összes.bevétele'!N317</f>
        <v>1077665</v>
      </c>
      <c r="H61" s="1983">
        <f>+'7. mell. Önk.összes.bevétele'!O317</f>
        <v>1077665</v>
      </c>
      <c r="I61" s="1983">
        <f>+'7. mell. Önk.összes.bevétele'!P317</f>
        <v>1077665</v>
      </c>
      <c r="J61" s="999">
        <f>0</f>
        <v>0</v>
      </c>
      <c r="K61" s="999">
        <f>0</f>
        <v>0</v>
      </c>
      <c r="L61" s="999">
        <f>0</f>
        <v>0</v>
      </c>
      <c r="M61" s="999">
        <f>0</f>
        <v>0</v>
      </c>
      <c r="N61" s="999">
        <f>0</f>
        <v>0</v>
      </c>
      <c r="O61" s="999">
        <f>0</f>
        <v>0</v>
      </c>
      <c r="P61" s="999">
        <f>+'5. mell.Önk-i mérleg'!E61</f>
        <v>406125</v>
      </c>
      <c r="Q61" s="999">
        <f>+'5. mell.Önk-i mérleg'!F61</f>
        <v>406125</v>
      </c>
      <c r="R61" s="999">
        <f>+'5. mell.Önk-i mérleg'!G61</f>
        <v>406125</v>
      </c>
      <c r="S61" s="999">
        <f>+'5. mell.Önk-i mérleg'!H61</f>
        <v>1077665</v>
      </c>
      <c r="T61" s="999">
        <f>+'5. mell.Önk-i mérleg'!I61</f>
        <v>1077665</v>
      </c>
      <c r="U61" s="999">
        <f>+'5. mell.Önk-i mérleg'!J61</f>
        <v>1077665</v>
      </c>
      <c r="V61" s="999">
        <v>0</v>
      </c>
      <c r="W61" s="999">
        <v>0</v>
      </c>
      <c r="X61" s="999">
        <v>0</v>
      </c>
      <c r="Y61" s="999">
        <v>0</v>
      </c>
      <c r="Z61" s="999"/>
      <c r="AA61" s="999">
        <v>0</v>
      </c>
      <c r="AB61" s="1890">
        <f t="shared" si="57"/>
        <v>406125</v>
      </c>
      <c r="AC61" s="1890">
        <f t="shared" si="57"/>
        <v>406125</v>
      </c>
      <c r="AD61" s="1890">
        <f t="shared" si="57"/>
        <v>406125</v>
      </c>
      <c r="AE61" s="1890">
        <f t="shared" si="57"/>
        <v>1077665</v>
      </c>
      <c r="AF61" s="1890">
        <f t="shared" si="57"/>
        <v>1077665</v>
      </c>
      <c r="AG61" s="2383">
        <f t="shared" si="57"/>
        <v>1077665</v>
      </c>
      <c r="AH61" s="2391">
        <f t="shared" si="1"/>
        <v>0</v>
      </c>
      <c r="AI61" s="79">
        <f t="shared" si="2"/>
        <v>0</v>
      </c>
      <c r="AJ61" s="79">
        <f t="shared" si="3"/>
        <v>0</v>
      </c>
      <c r="AK61" s="79">
        <f t="shared" si="4"/>
        <v>0</v>
      </c>
      <c r="AL61" s="79">
        <f t="shared" si="5"/>
        <v>0</v>
      </c>
      <c r="AM61" s="1684">
        <f t="shared" si="6"/>
        <v>0</v>
      </c>
      <c r="AN61" s="1557"/>
      <c r="AO61" s="1557"/>
      <c r="AP61" s="1557"/>
      <c r="AQ61" s="1557"/>
    </row>
    <row r="62" spans="1:43" s="110" customFormat="1" ht="12" customHeight="1">
      <c r="A62" s="1971" t="s">
        <v>269</v>
      </c>
      <c r="B62" s="1972" t="s">
        <v>270</v>
      </c>
      <c r="C62" s="999">
        <v>98690400</v>
      </c>
      <c r="D62" s="999">
        <f>+'7. mell. Önk.összes.bevétele'!K314</f>
        <v>0</v>
      </c>
      <c r="E62" s="999">
        <f>+'7. mell. Önk.összes.bevétele'!L314</f>
        <v>0</v>
      </c>
      <c r="F62" s="999">
        <f>+'7. mell. Önk.összes.bevétele'!M314</f>
        <v>0</v>
      </c>
      <c r="G62" s="999">
        <f>+'7. mell. Önk.összes.bevétele'!N314</f>
        <v>0</v>
      </c>
      <c r="H62" s="999">
        <f>+'7. mell. Önk.összes.bevétele'!O314</f>
        <v>0</v>
      </c>
      <c r="I62" s="999">
        <f>+'7. mell. Önk.összes.bevétele'!P314</f>
        <v>0</v>
      </c>
      <c r="J62" s="999">
        <v>0</v>
      </c>
      <c r="K62" s="999">
        <v>0</v>
      </c>
      <c r="L62" s="999">
        <v>0</v>
      </c>
      <c r="M62" s="999">
        <v>0</v>
      </c>
      <c r="N62" s="999">
        <v>0</v>
      </c>
      <c r="O62" s="999">
        <f>+N62</f>
        <v>0</v>
      </c>
      <c r="P62" s="999">
        <f>+'7. mell. Önk.összes.bevétele'!K314</f>
        <v>0</v>
      </c>
      <c r="Q62" s="999">
        <f>+'7. mell. Önk.összes.bevétele'!L314</f>
        <v>0</v>
      </c>
      <c r="R62" s="999">
        <f>+'7. mell. Önk.összes.bevétele'!M314</f>
        <v>0</v>
      </c>
      <c r="S62" s="999">
        <f>+'7. mell. Önk.összes.bevétele'!N314</f>
        <v>0</v>
      </c>
      <c r="T62" s="999">
        <f>+'7. mell. Önk.összes.bevétele'!O314</f>
        <v>0</v>
      </c>
      <c r="U62" s="999">
        <f>+'7. mell. Önk.összes.bevétele'!P314</f>
        <v>0</v>
      </c>
      <c r="V62" s="999">
        <v>0</v>
      </c>
      <c r="W62" s="999">
        <v>0</v>
      </c>
      <c r="X62" s="999">
        <v>0</v>
      </c>
      <c r="Y62" s="999">
        <v>0</v>
      </c>
      <c r="Z62" s="999"/>
      <c r="AA62" s="999">
        <v>0</v>
      </c>
      <c r="AB62" s="1890">
        <f t="shared" si="57"/>
        <v>0</v>
      </c>
      <c r="AC62" s="1890">
        <f t="shared" si="57"/>
        <v>0</v>
      </c>
      <c r="AD62" s="1890">
        <f t="shared" si="57"/>
        <v>0</v>
      </c>
      <c r="AE62" s="2057">
        <f t="shared" si="57"/>
        <v>0</v>
      </c>
      <c r="AF62" s="2057">
        <f t="shared" si="57"/>
        <v>0</v>
      </c>
      <c r="AG62" s="2384">
        <f t="shared" si="57"/>
        <v>0</v>
      </c>
      <c r="AH62" s="2391">
        <f t="shared" si="1"/>
        <v>0</v>
      </c>
      <c r="AI62" s="79">
        <f t="shared" si="2"/>
        <v>0</v>
      </c>
      <c r="AJ62" s="79">
        <f t="shared" si="3"/>
        <v>0</v>
      </c>
      <c r="AK62" s="79">
        <f t="shared" si="4"/>
        <v>0</v>
      </c>
      <c r="AL62" s="79">
        <f t="shared" si="5"/>
        <v>0</v>
      </c>
      <c r="AM62" s="1684">
        <f t="shared" si="6"/>
        <v>0</v>
      </c>
      <c r="AN62" s="1557"/>
      <c r="AO62" s="1557"/>
      <c r="AP62" s="1557"/>
      <c r="AQ62" s="1557"/>
    </row>
    <row r="63" spans="1:43" s="110" customFormat="1" ht="12" customHeight="1">
      <c r="A63" s="1988" t="s">
        <v>25</v>
      </c>
      <c r="B63" s="2004" t="s">
        <v>3037</v>
      </c>
      <c r="C63" s="2020">
        <f t="shared" ref="C63:AG63" si="58">+C7+C14+C21+C28+C35+C47+C53+C58</f>
        <v>22427307393.189999</v>
      </c>
      <c r="D63" s="2020">
        <f t="shared" si="58"/>
        <v>22410547620</v>
      </c>
      <c r="E63" s="2020">
        <f t="shared" si="58"/>
        <v>22838094985</v>
      </c>
      <c r="F63" s="2020">
        <f t="shared" si="58"/>
        <v>22917320432</v>
      </c>
      <c r="G63" s="2020">
        <f t="shared" si="58"/>
        <v>22082859036</v>
      </c>
      <c r="H63" s="2020">
        <f t="shared" si="58"/>
        <v>22082859036</v>
      </c>
      <c r="I63" s="2020">
        <f t="shared" si="58"/>
        <v>22082859036</v>
      </c>
      <c r="J63" s="2020">
        <f t="shared" si="58"/>
        <v>19135590115</v>
      </c>
      <c r="K63" s="2020">
        <f t="shared" si="58"/>
        <v>19533346056</v>
      </c>
      <c r="L63" s="2020">
        <f t="shared" si="58"/>
        <v>19424507164</v>
      </c>
      <c r="M63" s="2020">
        <f t="shared" si="58"/>
        <v>18463744364</v>
      </c>
      <c r="N63" s="2020">
        <f t="shared" si="58"/>
        <v>18463744364</v>
      </c>
      <c r="O63" s="2020">
        <f t="shared" si="58"/>
        <v>18463744364</v>
      </c>
      <c r="P63" s="2020">
        <f t="shared" si="58"/>
        <v>3271457505</v>
      </c>
      <c r="Q63" s="2020">
        <f t="shared" si="58"/>
        <v>3301248929</v>
      </c>
      <c r="R63" s="2020">
        <f t="shared" si="58"/>
        <v>3487339804</v>
      </c>
      <c r="S63" s="2020">
        <f t="shared" si="58"/>
        <v>3616603032</v>
      </c>
      <c r="T63" s="2020">
        <f t="shared" si="58"/>
        <v>3616603032</v>
      </c>
      <c r="U63" s="2020">
        <f t="shared" si="58"/>
        <v>3616603032</v>
      </c>
      <c r="V63" s="2020">
        <f t="shared" si="58"/>
        <v>3500000</v>
      </c>
      <c r="W63" s="2020">
        <f t="shared" si="58"/>
        <v>3500000</v>
      </c>
      <c r="X63" s="2020">
        <f t="shared" si="58"/>
        <v>5473464</v>
      </c>
      <c r="Y63" s="2020">
        <f t="shared" si="58"/>
        <v>2511640</v>
      </c>
      <c r="Z63" s="2020">
        <f t="shared" si="58"/>
        <v>2511640</v>
      </c>
      <c r="AA63" s="2020">
        <f t="shared" si="58"/>
        <v>2511640</v>
      </c>
      <c r="AB63" s="2020">
        <f t="shared" si="58"/>
        <v>22410547620</v>
      </c>
      <c r="AC63" s="2020">
        <f t="shared" si="58"/>
        <v>22838094985</v>
      </c>
      <c r="AD63" s="2020">
        <f t="shared" si="58"/>
        <v>22917320432</v>
      </c>
      <c r="AE63" s="2020">
        <f t="shared" si="58"/>
        <v>22082859036</v>
      </c>
      <c r="AF63" s="2020">
        <f t="shared" si="58"/>
        <v>22082859036</v>
      </c>
      <c r="AG63" s="2047">
        <f t="shared" si="58"/>
        <v>22082859036</v>
      </c>
      <c r="AH63" s="2391">
        <f t="shared" si="1"/>
        <v>0</v>
      </c>
      <c r="AI63" s="79">
        <f t="shared" si="2"/>
        <v>0</v>
      </c>
      <c r="AJ63" s="79">
        <f t="shared" si="3"/>
        <v>0</v>
      </c>
      <c r="AK63" s="79">
        <f t="shared" si="4"/>
        <v>0</v>
      </c>
      <c r="AL63" s="79">
        <f t="shared" si="5"/>
        <v>0</v>
      </c>
      <c r="AM63" s="1684">
        <f t="shared" si="6"/>
        <v>0</v>
      </c>
      <c r="AN63" s="1557"/>
      <c r="AO63" s="1557"/>
      <c r="AP63" s="1557"/>
      <c r="AQ63" s="1557"/>
    </row>
    <row r="64" spans="1:43" s="110" customFormat="1" ht="12" customHeight="1">
      <c r="A64" s="2475" t="s">
        <v>477</v>
      </c>
      <c r="B64" s="2021" t="s">
        <v>3033</v>
      </c>
      <c r="C64" s="1983">
        <f>+'Fin.bev-nem része a rend-nek'!I16</f>
        <v>0</v>
      </c>
      <c r="D64" s="1983">
        <f>+'Fin.bev-nem része a rend-nek'!K16</f>
        <v>0</v>
      </c>
      <c r="E64" s="1983">
        <f>+'Fin.bev-nem része a rend-nek'!L16</f>
        <v>0</v>
      </c>
      <c r="F64" s="1983">
        <f>+'Fin.bev-nem része a rend-nek'!M16</f>
        <v>0</v>
      </c>
      <c r="G64" s="1983">
        <f>+'Fin.bev-nem része a rend-nek'!N16</f>
        <v>0</v>
      </c>
      <c r="H64" s="1983">
        <f>+'Fin.bev-nem része a rend-nek'!O16</f>
        <v>0</v>
      </c>
      <c r="I64" s="1983">
        <f>+'Fin.bev-nem része a rend-nek'!P16</f>
        <v>0</v>
      </c>
      <c r="J64" s="999">
        <v>0</v>
      </c>
      <c r="K64" s="999">
        <v>0</v>
      </c>
      <c r="L64" s="999">
        <v>0</v>
      </c>
      <c r="M64" s="999">
        <v>0</v>
      </c>
      <c r="N64" s="999">
        <v>0</v>
      </c>
      <c r="O64" s="999">
        <v>0</v>
      </c>
      <c r="P64" s="999">
        <v>0</v>
      </c>
      <c r="Q64" s="999">
        <v>0</v>
      </c>
      <c r="R64" s="999">
        <v>0</v>
      </c>
      <c r="S64" s="999">
        <v>0</v>
      </c>
      <c r="T64" s="999">
        <v>0</v>
      </c>
      <c r="U64" s="999">
        <v>0</v>
      </c>
      <c r="V64" s="999">
        <v>0</v>
      </c>
      <c r="W64" s="999">
        <v>0</v>
      </c>
      <c r="X64" s="999">
        <v>0</v>
      </c>
      <c r="Y64" s="999">
        <v>0</v>
      </c>
      <c r="Z64" s="999"/>
      <c r="AA64" s="999">
        <v>0</v>
      </c>
      <c r="AB64" s="1890">
        <f t="shared" ref="AB64:AG67" si="59">+J64+P64+V64</f>
        <v>0</v>
      </c>
      <c r="AC64" s="1890">
        <f t="shared" si="59"/>
        <v>0</v>
      </c>
      <c r="AD64" s="1890">
        <f t="shared" si="59"/>
        <v>0</v>
      </c>
      <c r="AE64" s="1890">
        <f t="shared" si="59"/>
        <v>0</v>
      </c>
      <c r="AF64" s="1890">
        <f t="shared" si="59"/>
        <v>0</v>
      </c>
      <c r="AG64" s="2383">
        <f t="shared" si="59"/>
        <v>0</v>
      </c>
      <c r="AH64" s="2391">
        <f t="shared" si="1"/>
        <v>0</v>
      </c>
      <c r="AI64" s="79">
        <f t="shared" si="2"/>
        <v>0</v>
      </c>
      <c r="AJ64" s="79">
        <f t="shared" si="3"/>
        <v>0</v>
      </c>
      <c r="AK64" s="79">
        <f t="shared" si="4"/>
        <v>0</v>
      </c>
      <c r="AL64" s="79">
        <f t="shared" si="5"/>
        <v>0</v>
      </c>
      <c r="AM64" s="1684">
        <f t="shared" si="6"/>
        <v>0</v>
      </c>
      <c r="AN64" s="1557"/>
      <c r="AO64" s="1557"/>
      <c r="AP64" s="1557"/>
      <c r="AQ64" s="1557"/>
    </row>
    <row r="65" spans="1:43" s="110" customFormat="1" ht="12" customHeight="1">
      <c r="A65" s="1971" t="s">
        <v>273</v>
      </c>
      <c r="B65" s="1972" t="s">
        <v>274</v>
      </c>
      <c r="C65" s="999">
        <f>+'Fin.bev-nem része a rend-nek'!I9</f>
        <v>0</v>
      </c>
      <c r="D65" s="999">
        <f>+'Fin.bev-nem része a rend-nek'!K9</f>
        <v>0</v>
      </c>
      <c r="E65" s="999">
        <f>+'Fin.bev-nem része a rend-nek'!L9</f>
        <v>0</v>
      </c>
      <c r="F65" s="999">
        <f>+'Fin.bev-nem része a rend-nek'!M9</f>
        <v>0</v>
      </c>
      <c r="G65" s="999">
        <f>+'Fin.bev-nem része a rend-nek'!N9</f>
        <v>0</v>
      </c>
      <c r="H65" s="999">
        <f>+'Fin.bev-nem része a rend-nek'!O9</f>
        <v>0</v>
      </c>
      <c r="I65" s="999">
        <f>+'Fin.bev-nem része a rend-nek'!P9</f>
        <v>0</v>
      </c>
      <c r="J65" s="999">
        <v>0</v>
      </c>
      <c r="K65" s="999">
        <v>0</v>
      </c>
      <c r="L65" s="999">
        <v>0</v>
      </c>
      <c r="M65" s="999">
        <v>0</v>
      </c>
      <c r="N65" s="999">
        <v>0</v>
      </c>
      <c r="O65" s="999">
        <v>0</v>
      </c>
      <c r="P65" s="999">
        <v>0</v>
      </c>
      <c r="Q65" s="999">
        <v>0</v>
      </c>
      <c r="R65" s="999">
        <v>0</v>
      </c>
      <c r="S65" s="999">
        <v>0</v>
      </c>
      <c r="T65" s="999">
        <v>0</v>
      </c>
      <c r="U65" s="999">
        <v>0</v>
      </c>
      <c r="V65" s="999">
        <v>0</v>
      </c>
      <c r="W65" s="999">
        <v>0</v>
      </c>
      <c r="X65" s="999">
        <v>0</v>
      </c>
      <c r="Y65" s="999">
        <v>0</v>
      </c>
      <c r="Z65" s="999"/>
      <c r="AA65" s="999">
        <v>0</v>
      </c>
      <c r="AB65" s="1890">
        <f t="shared" si="59"/>
        <v>0</v>
      </c>
      <c r="AC65" s="1890">
        <f t="shared" si="59"/>
        <v>0</v>
      </c>
      <c r="AD65" s="1890">
        <f t="shared" si="59"/>
        <v>0</v>
      </c>
      <c r="AE65" s="1890">
        <f t="shared" si="59"/>
        <v>0</v>
      </c>
      <c r="AF65" s="1890">
        <f t="shared" si="59"/>
        <v>0</v>
      </c>
      <c r="AG65" s="2383">
        <f t="shared" si="59"/>
        <v>0</v>
      </c>
      <c r="AH65" s="2391">
        <f t="shared" si="1"/>
        <v>0</v>
      </c>
      <c r="AI65" s="79">
        <f t="shared" si="2"/>
        <v>0</v>
      </c>
      <c r="AJ65" s="79">
        <f t="shared" si="3"/>
        <v>0</v>
      </c>
      <c r="AK65" s="79">
        <f t="shared" si="4"/>
        <v>0</v>
      </c>
      <c r="AL65" s="79">
        <f t="shared" si="5"/>
        <v>0</v>
      </c>
      <c r="AM65" s="1684">
        <f t="shared" si="6"/>
        <v>0</v>
      </c>
      <c r="AN65" s="1557"/>
      <c r="AO65" s="1557"/>
      <c r="AP65" s="1557"/>
      <c r="AQ65" s="1557"/>
    </row>
    <row r="66" spans="1:43" s="110" customFormat="1" ht="12" customHeight="1">
      <c r="A66" s="1971" t="s">
        <v>275</v>
      </c>
      <c r="B66" s="1972" t="s">
        <v>276</v>
      </c>
      <c r="C66" s="999">
        <f>+'Fin.bev-nem része a rend-nek'!I12</f>
        <v>0</v>
      </c>
      <c r="D66" s="999">
        <f>+'Fin.bev-nem része a rend-nek'!K12</f>
        <v>0</v>
      </c>
      <c r="E66" s="999">
        <f>+'Fin.bev-nem része a rend-nek'!L12</f>
        <v>0</v>
      </c>
      <c r="F66" s="999">
        <f>+'Fin.bev-nem része a rend-nek'!M12</f>
        <v>0</v>
      </c>
      <c r="G66" s="999">
        <f>+'Fin.bev-nem része a rend-nek'!N12</f>
        <v>0</v>
      </c>
      <c r="H66" s="999">
        <f>+'Fin.bev-nem része a rend-nek'!O12</f>
        <v>0</v>
      </c>
      <c r="I66" s="999">
        <f>+'Fin.bev-nem része a rend-nek'!P12</f>
        <v>0</v>
      </c>
      <c r="J66" s="999">
        <v>0</v>
      </c>
      <c r="K66" s="999">
        <v>0</v>
      </c>
      <c r="L66" s="999">
        <v>0</v>
      </c>
      <c r="M66" s="999">
        <v>0</v>
      </c>
      <c r="N66" s="999">
        <v>0</v>
      </c>
      <c r="O66" s="999">
        <v>0</v>
      </c>
      <c r="P66" s="999">
        <v>0</v>
      </c>
      <c r="Q66" s="999">
        <v>0</v>
      </c>
      <c r="R66" s="999">
        <v>0</v>
      </c>
      <c r="S66" s="999">
        <v>0</v>
      </c>
      <c r="T66" s="999">
        <v>0</v>
      </c>
      <c r="U66" s="999">
        <v>0</v>
      </c>
      <c r="V66" s="999">
        <v>0</v>
      </c>
      <c r="W66" s="999">
        <v>0</v>
      </c>
      <c r="X66" s="999">
        <v>0</v>
      </c>
      <c r="Y66" s="999">
        <v>0</v>
      </c>
      <c r="Z66" s="999"/>
      <c r="AA66" s="999">
        <v>0</v>
      </c>
      <c r="AB66" s="1890">
        <f t="shared" si="59"/>
        <v>0</v>
      </c>
      <c r="AC66" s="1890">
        <f t="shared" si="59"/>
        <v>0</v>
      </c>
      <c r="AD66" s="1890">
        <f t="shared" si="59"/>
        <v>0</v>
      </c>
      <c r="AE66" s="1890">
        <f t="shared" si="59"/>
        <v>0</v>
      </c>
      <c r="AF66" s="1890">
        <f t="shared" si="59"/>
        <v>0</v>
      </c>
      <c r="AG66" s="2383">
        <f t="shared" si="59"/>
        <v>0</v>
      </c>
      <c r="AH66" s="2391">
        <f t="shared" si="1"/>
        <v>0</v>
      </c>
      <c r="AI66" s="79">
        <f t="shared" si="2"/>
        <v>0</v>
      </c>
      <c r="AJ66" s="79">
        <f t="shared" si="3"/>
        <v>0</v>
      </c>
      <c r="AK66" s="79">
        <f t="shared" si="4"/>
        <v>0</v>
      </c>
      <c r="AL66" s="79">
        <f t="shared" si="5"/>
        <v>0</v>
      </c>
      <c r="AM66" s="1684">
        <f t="shared" si="6"/>
        <v>0</v>
      </c>
      <c r="AN66" s="1557"/>
      <c r="AO66" s="1557"/>
      <c r="AP66" s="1557"/>
      <c r="AQ66" s="1557"/>
    </row>
    <row r="67" spans="1:43" s="110" customFormat="1" ht="12" customHeight="1">
      <c r="A67" s="1971" t="s">
        <v>277</v>
      </c>
      <c r="B67" s="2022" t="s">
        <v>278</v>
      </c>
      <c r="C67" s="999">
        <f>+'Fin.bev-nem része a rend-nek'!I15</f>
        <v>0</v>
      </c>
      <c r="D67" s="999">
        <f>+'Fin.bev-nem része a rend-nek'!K15</f>
        <v>0</v>
      </c>
      <c r="E67" s="999">
        <f>+'Fin.bev-nem része a rend-nek'!L15</f>
        <v>0</v>
      </c>
      <c r="F67" s="999">
        <f>+'Fin.bev-nem része a rend-nek'!M15</f>
        <v>0</v>
      </c>
      <c r="G67" s="999">
        <f>+'Fin.bev-nem része a rend-nek'!N15</f>
        <v>0</v>
      </c>
      <c r="H67" s="999">
        <f>+'Fin.bev-nem része a rend-nek'!O15</f>
        <v>0</v>
      </c>
      <c r="I67" s="999">
        <f>+'Fin.bev-nem része a rend-nek'!P15</f>
        <v>0</v>
      </c>
      <c r="J67" s="999">
        <v>0</v>
      </c>
      <c r="K67" s="999">
        <v>0</v>
      </c>
      <c r="L67" s="999">
        <v>0</v>
      </c>
      <c r="M67" s="999">
        <v>0</v>
      </c>
      <c r="N67" s="999">
        <v>0</v>
      </c>
      <c r="O67" s="999">
        <v>0</v>
      </c>
      <c r="P67" s="999">
        <v>0</v>
      </c>
      <c r="Q67" s="999">
        <v>0</v>
      </c>
      <c r="R67" s="999">
        <v>0</v>
      </c>
      <c r="S67" s="999">
        <v>0</v>
      </c>
      <c r="T67" s="999">
        <v>0</v>
      </c>
      <c r="U67" s="999">
        <v>0</v>
      </c>
      <c r="V67" s="999">
        <v>0</v>
      </c>
      <c r="W67" s="999">
        <v>0</v>
      </c>
      <c r="X67" s="999">
        <v>0</v>
      </c>
      <c r="Y67" s="999">
        <v>0</v>
      </c>
      <c r="Z67" s="999"/>
      <c r="AA67" s="999">
        <v>0</v>
      </c>
      <c r="AB67" s="1890">
        <f t="shared" si="59"/>
        <v>0</v>
      </c>
      <c r="AC67" s="1890">
        <f t="shared" si="59"/>
        <v>0</v>
      </c>
      <c r="AD67" s="1890">
        <f t="shared" si="59"/>
        <v>0</v>
      </c>
      <c r="AE67" s="1890">
        <f t="shared" si="59"/>
        <v>0</v>
      </c>
      <c r="AF67" s="1890">
        <f t="shared" si="59"/>
        <v>0</v>
      </c>
      <c r="AG67" s="2383">
        <f t="shared" si="59"/>
        <v>0</v>
      </c>
      <c r="AH67" s="2391">
        <f t="shared" si="1"/>
        <v>0</v>
      </c>
      <c r="AI67" s="79">
        <f t="shared" si="2"/>
        <v>0</v>
      </c>
      <c r="AJ67" s="79">
        <f t="shared" si="3"/>
        <v>0</v>
      </c>
      <c r="AK67" s="79">
        <f t="shared" si="4"/>
        <v>0</v>
      </c>
      <c r="AL67" s="79">
        <f t="shared" si="5"/>
        <v>0</v>
      </c>
      <c r="AM67" s="1684">
        <f t="shared" si="6"/>
        <v>0</v>
      </c>
      <c r="AN67" s="1557"/>
      <c r="AO67" s="1557"/>
      <c r="AP67" s="1557"/>
      <c r="AQ67" s="1557"/>
    </row>
    <row r="68" spans="1:43" s="110" customFormat="1" ht="12" customHeight="1">
      <c r="A68" s="2476" t="s">
        <v>478</v>
      </c>
      <c r="B68" s="1976" t="s">
        <v>279</v>
      </c>
      <c r="C68" s="2023">
        <f t="shared" ref="C68:AA68" si="60">SUM(C69:C72)</f>
        <v>0</v>
      </c>
      <c r="D68" s="2023">
        <f t="shared" si="60"/>
        <v>0</v>
      </c>
      <c r="E68" s="2023">
        <f t="shared" si="60"/>
        <v>0</v>
      </c>
      <c r="F68" s="2023">
        <f t="shared" si="60"/>
        <v>0</v>
      </c>
      <c r="G68" s="2023">
        <f t="shared" si="60"/>
        <v>4999090000</v>
      </c>
      <c r="H68" s="2023">
        <f t="shared" si="60"/>
        <v>4999090000</v>
      </c>
      <c r="I68" s="2023">
        <f t="shared" si="60"/>
        <v>2790470000</v>
      </c>
      <c r="J68" s="1968">
        <f t="shared" si="60"/>
        <v>0</v>
      </c>
      <c r="K68" s="1968">
        <f t="shared" si="60"/>
        <v>0</v>
      </c>
      <c r="L68" s="1968">
        <f t="shared" si="60"/>
        <v>0</v>
      </c>
      <c r="M68" s="1968">
        <f t="shared" si="60"/>
        <v>4999090000</v>
      </c>
      <c r="N68" s="1968">
        <f t="shared" si="60"/>
        <v>4999090000</v>
      </c>
      <c r="O68" s="1968">
        <f t="shared" si="60"/>
        <v>2790470000</v>
      </c>
      <c r="P68" s="1968">
        <f t="shared" si="60"/>
        <v>0</v>
      </c>
      <c r="Q68" s="1968">
        <f t="shared" si="60"/>
        <v>0</v>
      </c>
      <c r="R68" s="1968">
        <f t="shared" si="60"/>
        <v>0</v>
      </c>
      <c r="S68" s="1968">
        <f t="shared" si="60"/>
        <v>0</v>
      </c>
      <c r="T68" s="1968">
        <f t="shared" si="60"/>
        <v>0</v>
      </c>
      <c r="U68" s="1968">
        <f t="shared" si="60"/>
        <v>0</v>
      </c>
      <c r="V68" s="1968">
        <f t="shared" si="60"/>
        <v>0</v>
      </c>
      <c r="W68" s="1968">
        <f t="shared" si="60"/>
        <v>0</v>
      </c>
      <c r="X68" s="1968">
        <f t="shared" si="60"/>
        <v>0</v>
      </c>
      <c r="Y68" s="1968">
        <f t="shared" si="60"/>
        <v>0</v>
      </c>
      <c r="Z68" s="1968">
        <f t="shared" si="60"/>
        <v>0</v>
      </c>
      <c r="AA68" s="1968">
        <f t="shared" si="60"/>
        <v>0</v>
      </c>
      <c r="AB68" s="2023">
        <f t="shared" ref="AB68:AG68" si="61">+AB69+AB70+AB71+AB72</f>
        <v>0</v>
      </c>
      <c r="AC68" s="2023">
        <f t="shared" si="61"/>
        <v>0</v>
      </c>
      <c r="AD68" s="2023">
        <f t="shared" si="61"/>
        <v>0</v>
      </c>
      <c r="AE68" s="2023">
        <f t="shared" si="61"/>
        <v>4999090000</v>
      </c>
      <c r="AF68" s="2023">
        <f t="shared" si="61"/>
        <v>4999090000</v>
      </c>
      <c r="AG68" s="2385">
        <f t="shared" si="61"/>
        <v>2790470000</v>
      </c>
      <c r="AH68" s="2391">
        <f t="shared" si="1"/>
        <v>0</v>
      </c>
      <c r="AI68" s="79">
        <f t="shared" si="2"/>
        <v>0</v>
      </c>
      <c r="AJ68" s="79">
        <f t="shared" si="3"/>
        <v>0</v>
      </c>
      <c r="AK68" s="79">
        <f t="shared" si="4"/>
        <v>0</v>
      </c>
      <c r="AL68" s="79">
        <f t="shared" si="5"/>
        <v>0</v>
      </c>
      <c r="AM68" s="1684">
        <f t="shared" si="6"/>
        <v>0</v>
      </c>
      <c r="AN68" s="1557"/>
      <c r="AO68" s="1557"/>
      <c r="AP68" s="1557"/>
      <c r="AQ68" s="1557"/>
    </row>
    <row r="69" spans="1:43" s="110" customFormat="1" ht="12" customHeight="1">
      <c r="A69" s="1971" t="s">
        <v>280</v>
      </c>
      <c r="B69" s="1972" t="s">
        <v>281</v>
      </c>
      <c r="C69" s="999">
        <f>+'Fin.bev-nem része a rend-nek'!I23</f>
        <v>0</v>
      </c>
      <c r="D69" s="999">
        <f>+'Fin.bev-nem része a rend-nek'!K23</f>
        <v>0</v>
      </c>
      <c r="E69" s="999">
        <f>+'Fin.bev-nem része a rend-nek'!L23</f>
        <v>0</v>
      </c>
      <c r="F69" s="999">
        <f>+'Fin.bev-nem része a rend-nek'!M23</f>
        <v>0</v>
      </c>
      <c r="G69" s="999">
        <f>+'Fin.bev-nem része a rend-nek'!N23</f>
        <v>4999090000</v>
      </c>
      <c r="H69" s="999">
        <f>+'Fin.bev-nem része a rend-nek'!O23</f>
        <v>4999090000</v>
      </c>
      <c r="I69" s="999">
        <f>+'Fin.bev-nem része a rend-nek'!P23</f>
        <v>2790470000</v>
      </c>
      <c r="J69" s="2018">
        <f>0</f>
        <v>0</v>
      </c>
      <c r="K69" s="999">
        <f>+J69</f>
        <v>0</v>
      </c>
      <c r="L69" s="999">
        <f>+K69</f>
        <v>0</v>
      </c>
      <c r="M69" s="999">
        <f>+G69</f>
        <v>4999090000</v>
      </c>
      <c r="N69" s="999">
        <f>+M69</f>
        <v>4999090000</v>
      </c>
      <c r="O69" s="999">
        <f>+'Fin.bev-nem része a rend-nek'!P23</f>
        <v>2790470000</v>
      </c>
      <c r="P69" s="999">
        <f>+'Fin.bev-nem része a rend-nek'!K23</f>
        <v>0</v>
      </c>
      <c r="Q69" s="999">
        <f>+P69</f>
        <v>0</v>
      </c>
      <c r="R69" s="999">
        <f>+Q69</f>
        <v>0</v>
      </c>
      <c r="S69" s="999">
        <f>+R69</f>
        <v>0</v>
      </c>
      <c r="T69" s="999">
        <f>+S69</f>
        <v>0</v>
      </c>
      <c r="U69" s="999">
        <v>0</v>
      </c>
      <c r="V69" s="999">
        <v>0</v>
      </c>
      <c r="W69" s="999">
        <f>+V69</f>
        <v>0</v>
      </c>
      <c r="X69" s="999">
        <v>0</v>
      </c>
      <c r="Y69" s="999">
        <v>0</v>
      </c>
      <c r="Z69" s="999"/>
      <c r="AA69" s="999">
        <v>0</v>
      </c>
      <c r="AB69" s="1890">
        <f t="shared" ref="AB69:AG72" si="62">+J69+P69+V69</f>
        <v>0</v>
      </c>
      <c r="AC69" s="1890">
        <f t="shared" si="62"/>
        <v>0</v>
      </c>
      <c r="AD69" s="1890">
        <f t="shared" si="62"/>
        <v>0</v>
      </c>
      <c r="AE69" s="1890">
        <f t="shared" si="62"/>
        <v>4999090000</v>
      </c>
      <c r="AF69" s="1890">
        <f t="shared" si="62"/>
        <v>4999090000</v>
      </c>
      <c r="AG69" s="2383">
        <f t="shared" si="62"/>
        <v>2790470000</v>
      </c>
      <c r="AH69" s="2391">
        <f t="shared" si="1"/>
        <v>0</v>
      </c>
      <c r="AI69" s="79">
        <f t="shared" si="2"/>
        <v>0</v>
      </c>
      <c r="AJ69" s="79">
        <f t="shared" si="3"/>
        <v>0</v>
      </c>
      <c r="AK69" s="79">
        <f t="shared" si="4"/>
        <v>0</v>
      </c>
      <c r="AL69" s="79">
        <f t="shared" si="5"/>
        <v>0</v>
      </c>
      <c r="AM69" s="1684">
        <f t="shared" si="6"/>
        <v>0</v>
      </c>
      <c r="AN69" s="1557"/>
      <c r="AO69" s="1557"/>
      <c r="AP69" s="1557"/>
      <c r="AQ69" s="1557"/>
    </row>
    <row r="70" spans="1:43" s="110" customFormat="1" ht="12" customHeight="1">
      <c r="A70" s="1971" t="s">
        <v>282</v>
      </c>
      <c r="B70" s="1972" t="s">
        <v>283</v>
      </c>
      <c r="C70" s="999">
        <f>+'Fin.bev-nem része a rend-nek'!I26</f>
        <v>0</v>
      </c>
      <c r="D70" s="999">
        <f>+'Fin.bev-nem része a rend-nek'!K26</f>
        <v>0</v>
      </c>
      <c r="E70" s="999">
        <f>+'Fin.bev-nem része a rend-nek'!L26</f>
        <v>0</v>
      </c>
      <c r="F70" s="999">
        <f>+'Fin.bev-nem része a rend-nek'!M26</f>
        <v>0</v>
      </c>
      <c r="G70" s="999">
        <f>+'Fin.bev-nem része a rend-nek'!N26</f>
        <v>0</v>
      </c>
      <c r="H70" s="999">
        <f>+'Fin.bev-nem része a rend-nek'!O26</f>
        <v>0</v>
      </c>
      <c r="I70" s="999">
        <f>+'Fin.bev-nem része a rend-nek'!P26</f>
        <v>0</v>
      </c>
      <c r="J70" s="999">
        <f>+'Fin.bev-nem része a rend-nek'!Q26</f>
        <v>0</v>
      </c>
      <c r="K70" s="999">
        <f>+'Fin.bev-nem része a rend-nek'!R26</f>
        <v>0</v>
      </c>
      <c r="L70" s="999">
        <f>+'Fin.bev-nem része a rend-nek'!S26</f>
        <v>0</v>
      </c>
      <c r="M70" s="999">
        <f>+'Fin.bev-nem része a rend-nek'!T26</f>
        <v>0</v>
      </c>
      <c r="N70" s="999">
        <f>+'Fin.bev-nem része a rend-nek'!U26</f>
        <v>0</v>
      </c>
      <c r="O70" s="999">
        <v>0</v>
      </c>
      <c r="P70" s="999">
        <f>+'Fin.bev-nem része a rend-nek'!V26</f>
        <v>0</v>
      </c>
      <c r="Q70" s="999">
        <f>+'Fin.bev-nem része a rend-nek'!W26</f>
        <v>0</v>
      </c>
      <c r="R70" s="999">
        <v>0</v>
      </c>
      <c r="S70" s="999">
        <f>+'Fin.bev-nem része a rend-nek'!X26</f>
        <v>0</v>
      </c>
      <c r="T70" s="999">
        <f>+'Fin.bev-nem része a rend-nek'!Y26</f>
        <v>0</v>
      </c>
      <c r="U70" s="999">
        <f>+'Fin.bev-nem része a rend-nek'!Z26</f>
        <v>0</v>
      </c>
      <c r="V70" s="999">
        <f>+'Fin.bev-nem része a rend-nek'!AA26</f>
        <v>0</v>
      </c>
      <c r="W70" s="999">
        <f>+'Fin.bev-nem része a rend-nek'!AB26</f>
        <v>0</v>
      </c>
      <c r="X70" s="999">
        <v>0</v>
      </c>
      <c r="Y70" s="999">
        <v>0</v>
      </c>
      <c r="Z70" s="999"/>
      <c r="AA70" s="999">
        <v>0</v>
      </c>
      <c r="AB70" s="1890">
        <f t="shared" si="62"/>
        <v>0</v>
      </c>
      <c r="AC70" s="1890">
        <f t="shared" si="62"/>
        <v>0</v>
      </c>
      <c r="AD70" s="1890">
        <f t="shared" si="62"/>
        <v>0</v>
      </c>
      <c r="AE70" s="1890">
        <f t="shared" si="62"/>
        <v>0</v>
      </c>
      <c r="AF70" s="1890">
        <f t="shared" si="62"/>
        <v>0</v>
      </c>
      <c r="AG70" s="2383">
        <f t="shared" si="62"/>
        <v>0</v>
      </c>
      <c r="AH70" s="2391">
        <f t="shared" si="1"/>
        <v>0</v>
      </c>
      <c r="AI70" s="79">
        <f t="shared" si="2"/>
        <v>0</v>
      </c>
      <c r="AJ70" s="79">
        <f t="shared" si="3"/>
        <v>0</v>
      </c>
      <c r="AK70" s="79">
        <f t="shared" si="4"/>
        <v>0</v>
      </c>
      <c r="AL70" s="79">
        <f t="shared" si="5"/>
        <v>0</v>
      </c>
      <c r="AM70" s="1684">
        <f t="shared" si="6"/>
        <v>0</v>
      </c>
      <c r="AN70" s="1557"/>
      <c r="AO70" s="1557"/>
      <c r="AP70" s="1557"/>
      <c r="AQ70" s="1557"/>
    </row>
    <row r="71" spans="1:43" s="110" customFormat="1" ht="12" customHeight="1">
      <c r="A71" s="1971" t="s">
        <v>284</v>
      </c>
      <c r="B71" s="1972" t="s">
        <v>285</v>
      </c>
      <c r="C71" s="999">
        <f>+'Fin.bev-nem része a rend-nek'!I29</f>
        <v>0</v>
      </c>
      <c r="D71" s="999">
        <f>+'Fin.bev-nem része a rend-nek'!K29</f>
        <v>0</v>
      </c>
      <c r="E71" s="999">
        <f>+'Fin.bev-nem része a rend-nek'!L29</f>
        <v>0</v>
      </c>
      <c r="F71" s="999">
        <f>+'Fin.bev-nem része a rend-nek'!M29</f>
        <v>0</v>
      </c>
      <c r="G71" s="999">
        <f>+'Fin.bev-nem része a rend-nek'!N29</f>
        <v>0</v>
      </c>
      <c r="H71" s="999">
        <f>+'Fin.bev-nem része a rend-nek'!O29</f>
        <v>0</v>
      </c>
      <c r="I71" s="999">
        <f>+'Fin.bev-nem része a rend-nek'!P29</f>
        <v>0</v>
      </c>
      <c r="J71" s="999">
        <f>+'Fin.bev-nem része a rend-nek'!Q29</f>
        <v>0</v>
      </c>
      <c r="K71" s="999">
        <f>+'Fin.bev-nem része a rend-nek'!R29</f>
        <v>0</v>
      </c>
      <c r="L71" s="999">
        <f>+'Fin.bev-nem része a rend-nek'!S29</f>
        <v>0</v>
      </c>
      <c r="M71" s="999">
        <f>+'Fin.bev-nem része a rend-nek'!T29</f>
        <v>0</v>
      </c>
      <c r="N71" s="999">
        <f>+'Fin.bev-nem része a rend-nek'!U29</f>
        <v>0</v>
      </c>
      <c r="O71" s="999">
        <v>0</v>
      </c>
      <c r="P71" s="999">
        <f>+'Fin.bev-nem része a rend-nek'!V29</f>
        <v>0</v>
      </c>
      <c r="Q71" s="999">
        <f>+'Fin.bev-nem része a rend-nek'!W29</f>
        <v>0</v>
      </c>
      <c r="R71" s="999">
        <v>0</v>
      </c>
      <c r="S71" s="999">
        <f>+'Fin.bev-nem része a rend-nek'!X29</f>
        <v>0</v>
      </c>
      <c r="T71" s="999">
        <f>+'Fin.bev-nem része a rend-nek'!Y29</f>
        <v>0</v>
      </c>
      <c r="U71" s="999">
        <f>+'Fin.bev-nem része a rend-nek'!Z29</f>
        <v>0</v>
      </c>
      <c r="V71" s="999">
        <f>+'Fin.bev-nem része a rend-nek'!AA29</f>
        <v>0</v>
      </c>
      <c r="W71" s="999">
        <f>+'Fin.bev-nem része a rend-nek'!AB29</f>
        <v>0</v>
      </c>
      <c r="X71" s="999">
        <v>0</v>
      </c>
      <c r="Y71" s="999">
        <v>0</v>
      </c>
      <c r="Z71" s="999"/>
      <c r="AA71" s="999">
        <v>0</v>
      </c>
      <c r="AB71" s="1890">
        <f t="shared" si="62"/>
        <v>0</v>
      </c>
      <c r="AC71" s="1890">
        <f t="shared" si="62"/>
        <v>0</v>
      </c>
      <c r="AD71" s="1890">
        <f t="shared" si="62"/>
        <v>0</v>
      </c>
      <c r="AE71" s="1890">
        <f t="shared" si="62"/>
        <v>0</v>
      </c>
      <c r="AF71" s="1890">
        <f t="shared" si="62"/>
        <v>0</v>
      </c>
      <c r="AG71" s="2383">
        <f t="shared" si="62"/>
        <v>0</v>
      </c>
      <c r="AH71" s="2391">
        <f t="shared" si="1"/>
        <v>0</v>
      </c>
      <c r="AI71" s="79">
        <f t="shared" si="2"/>
        <v>0</v>
      </c>
      <c r="AJ71" s="79">
        <f t="shared" si="3"/>
        <v>0</v>
      </c>
      <c r="AK71" s="79">
        <f t="shared" si="4"/>
        <v>0</v>
      </c>
      <c r="AL71" s="79">
        <f t="shared" si="5"/>
        <v>0</v>
      </c>
      <c r="AM71" s="1684">
        <f t="shared" si="6"/>
        <v>0</v>
      </c>
      <c r="AN71" s="1557"/>
      <c r="AO71" s="1557"/>
      <c r="AP71" s="1557"/>
      <c r="AQ71" s="1557"/>
    </row>
    <row r="72" spans="1:43" s="110" customFormat="1" ht="12" customHeight="1">
      <c r="A72" s="1971" t="s">
        <v>286</v>
      </c>
      <c r="B72" s="1972" t="s">
        <v>287</v>
      </c>
      <c r="C72" s="999">
        <f>+'Fin.bev-nem része a rend-nek'!I32</f>
        <v>0</v>
      </c>
      <c r="D72" s="999">
        <f>+'Fin.bev-nem része a rend-nek'!K32</f>
        <v>0</v>
      </c>
      <c r="E72" s="999">
        <f>+'Fin.bev-nem része a rend-nek'!L32</f>
        <v>0</v>
      </c>
      <c r="F72" s="999">
        <f>+'Fin.bev-nem része a rend-nek'!M32</f>
        <v>0</v>
      </c>
      <c r="G72" s="999">
        <f>+'Fin.bev-nem része a rend-nek'!N32</f>
        <v>0</v>
      </c>
      <c r="H72" s="999">
        <f>+'Fin.bev-nem része a rend-nek'!O32</f>
        <v>0</v>
      </c>
      <c r="I72" s="999">
        <f>+'Fin.bev-nem része a rend-nek'!P32</f>
        <v>0</v>
      </c>
      <c r="J72" s="999">
        <f>+'Fin.bev-nem része a rend-nek'!Q32</f>
        <v>0</v>
      </c>
      <c r="K72" s="999">
        <f>+'Fin.bev-nem része a rend-nek'!R32</f>
        <v>0</v>
      </c>
      <c r="L72" s="999">
        <f>+'Fin.bev-nem része a rend-nek'!S32</f>
        <v>0</v>
      </c>
      <c r="M72" s="999">
        <f>+'Fin.bev-nem része a rend-nek'!T32</f>
        <v>0</v>
      </c>
      <c r="N72" s="999">
        <f>+'Fin.bev-nem része a rend-nek'!U32</f>
        <v>0</v>
      </c>
      <c r="O72" s="999">
        <v>0</v>
      </c>
      <c r="P72" s="999">
        <f>+'Fin.bev-nem része a rend-nek'!V32</f>
        <v>0</v>
      </c>
      <c r="Q72" s="999">
        <f>+'Fin.bev-nem része a rend-nek'!W32</f>
        <v>0</v>
      </c>
      <c r="R72" s="999">
        <v>0</v>
      </c>
      <c r="S72" s="999">
        <f>+'Fin.bev-nem része a rend-nek'!X32</f>
        <v>0</v>
      </c>
      <c r="T72" s="999">
        <f>+'Fin.bev-nem része a rend-nek'!Y32</f>
        <v>0</v>
      </c>
      <c r="U72" s="999">
        <f>+'Fin.bev-nem része a rend-nek'!Z32</f>
        <v>0</v>
      </c>
      <c r="V72" s="999">
        <f>+'Fin.bev-nem része a rend-nek'!AA32</f>
        <v>0</v>
      </c>
      <c r="W72" s="999">
        <f>+'Fin.bev-nem része a rend-nek'!AB32</f>
        <v>0</v>
      </c>
      <c r="X72" s="999">
        <v>0</v>
      </c>
      <c r="Y72" s="999">
        <v>0</v>
      </c>
      <c r="Z72" s="999"/>
      <c r="AA72" s="999">
        <v>0</v>
      </c>
      <c r="AB72" s="1890">
        <f t="shared" si="62"/>
        <v>0</v>
      </c>
      <c r="AC72" s="1890">
        <f t="shared" si="62"/>
        <v>0</v>
      </c>
      <c r="AD72" s="1890">
        <f t="shared" si="62"/>
        <v>0</v>
      </c>
      <c r="AE72" s="1890">
        <f t="shared" si="62"/>
        <v>0</v>
      </c>
      <c r="AF72" s="1890">
        <f t="shared" si="62"/>
        <v>0</v>
      </c>
      <c r="AG72" s="2383">
        <f t="shared" si="62"/>
        <v>0</v>
      </c>
      <c r="AH72" s="2391">
        <f t="shared" si="1"/>
        <v>0</v>
      </c>
      <c r="AI72" s="79">
        <f t="shared" si="2"/>
        <v>0</v>
      </c>
      <c r="AJ72" s="79">
        <f t="shared" si="3"/>
        <v>0</v>
      </c>
      <c r="AK72" s="79">
        <f t="shared" si="4"/>
        <v>0</v>
      </c>
      <c r="AL72" s="79">
        <f t="shared" si="5"/>
        <v>0</v>
      </c>
      <c r="AM72" s="1684">
        <f t="shared" si="6"/>
        <v>0</v>
      </c>
      <c r="AN72" s="1557"/>
      <c r="AO72" s="1557"/>
      <c r="AP72" s="1557"/>
      <c r="AQ72" s="1557"/>
    </row>
    <row r="73" spans="1:43" s="110" customFormat="1" ht="12" customHeight="1">
      <c r="A73" s="2476" t="s">
        <v>479</v>
      </c>
      <c r="B73" s="1976" t="s">
        <v>288</v>
      </c>
      <c r="C73" s="1968">
        <f t="shared" ref="C73:AA73" si="63">SUM(C74:C75)</f>
        <v>7200000000</v>
      </c>
      <c r="D73" s="1968">
        <f t="shared" si="63"/>
        <v>2690000000</v>
      </c>
      <c r="E73" s="1968">
        <f t="shared" si="63"/>
        <v>2693591343</v>
      </c>
      <c r="F73" s="1968">
        <f t="shared" si="63"/>
        <v>2693591343</v>
      </c>
      <c r="G73" s="1968">
        <f t="shared" si="63"/>
        <v>2693591343</v>
      </c>
      <c r="H73" s="1968">
        <f t="shared" si="63"/>
        <v>2693591343</v>
      </c>
      <c r="I73" s="1968">
        <f t="shared" si="63"/>
        <v>2693591343</v>
      </c>
      <c r="J73" s="1968">
        <f t="shared" si="63"/>
        <v>2690000000</v>
      </c>
      <c r="K73" s="1968">
        <f t="shared" si="63"/>
        <v>2693591343</v>
      </c>
      <c r="L73" s="1968">
        <f t="shared" si="63"/>
        <v>2693591343</v>
      </c>
      <c r="M73" s="1968">
        <f t="shared" si="63"/>
        <v>2693591343</v>
      </c>
      <c r="N73" s="1968">
        <f t="shared" si="63"/>
        <v>2693591343</v>
      </c>
      <c r="O73" s="1968">
        <f t="shared" si="63"/>
        <v>2693591343</v>
      </c>
      <c r="P73" s="1968">
        <f t="shared" si="63"/>
        <v>0</v>
      </c>
      <c r="Q73" s="1968">
        <f t="shared" si="63"/>
        <v>0</v>
      </c>
      <c r="R73" s="1968">
        <f t="shared" si="63"/>
        <v>0</v>
      </c>
      <c r="S73" s="1968">
        <f t="shared" si="63"/>
        <v>0</v>
      </c>
      <c r="T73" s="1968">
        <f t="shared" si="63"/>
        <v>0</v>
      </c>
      <c r="U73" s="1968">
        <f t="shared" si="63"/>
        <v>0</v>
      </c>
      <c r="V73" s="1968">
        <f t="shared" si="63"/>
        <v>0</v>
      </c>
      <c r="W73" s="1968">
        <f t="shared" si="63"/>
        <v>0</v>
      </c>
      <c r="X73" s="1968">
        <f t="shared" si="63"/>
        <v>0</v>
      </c>
      <c r="Y73" s="1968">
        <f t="shared" si="63"/>
        <v>0</v>
      </c>
      <c r="Z73" s="1968">
        <f t="shared" si="63"/>
        <v>0</v>
      </c>
      <c r="AA73" s="1968">
        <f t="shared" si="63"/>
        <v>0</v>
      </c>
      <c r="AB73" s="1968">
        <f t="shared" ref="AB73:AG73" si="64">+AB74+AB75</f>
        <v>2690000000</v>
      </c>
      <c r="AC73" s="1968">
        <f t="shared" si="64"/>
        <v>2693591343</v>
      </c>
      <c r="AD73" s="1968">
        <f t="shared" si="64"/>
        <v>2693591343</v>
      </c>
      <c r="AE73" s="1968">
        <f t="shared" si="64"/>
        <v>2693591343</v>
      </c>
      <c r="AF73" s="1968">
        <f t="shared" si="64"/>
        <v>2693591343</v>
      </c>
      <c r="AG73" s="2044">
        <f t="shared" si="64"/>
        <v>2693591343</v>
      </c>
      <c r="AH73" s="2391">
        <f t="shared" si="1"/>
        <v>0</v>
      </c>
      <c r="AI73" s="79">
        <f t="shared" si="2"/>
        <v>0</v>
      </c>
      <c r="AJ73" s="79">
        <f t="shared" si="3"/>
        <v>0</v>
      </c>
      <c r="AK73" s="79">
        <f t="shared" si="4"/>
        <v>0</v>
      </c>
      <c r="AL73" s="79">
        <f t="shared" si="5"/>
        <v>0</v>
      </c>
      <c r="AM73" s="1684">
        <f t="shared" si="6"/>
        <v>0</v>
      </c>
      <c r="AN73" s="1557"/>
      <c r="AO73" s="1557"/>
      <c r="AP73" s="1557"/>
      <c r="AQ73" s="1557"/>
    </row>
    <row r="74" spans="1:43" s="110" customFormat="1" ht="12" customHeight="1">
      <c r="A74" s="1971" t="s">
        <v>289</v>
      </c>
      <c r="B74" s="1972" t="s">
        <v>290</v>
      </c>
      <c r="C74" s="1983">
        <f>+'Fin.bev-nem része a rend-nek'!I37</f>
        <v>7200000000</v>
      </c>
      <c r="D74" s="1983">
        <f>+'Fin.bev-nem része a rend-nek'!K37</f>
        <v>2690000000</v>
      </c>
      <c r="E74" s="1983">
        <f>+'Fin.bev-nem része a rend-nek'!L37</f>
        <v>2693591343</v>
      </c>
      <c r="F74" s="1983">
        <f>+'Fin.bev-nem része a rend-nek'!M37</f>
        <v>2693591343</v>
      </c>
      <c r="G74" s="1983">
        <f>+'Fin.bev-nem része a rend-nek'!N37</f>
        <v>2693591343</v>
      </c>
      <c r="H74" s="1983">
        <f>+'Fin.bev-nem része a rend-nek'!O37</f>
        <v>2693591343</v>
      </c>
      <c r="I74" s="1983">
        <f>+'Fin.bev-nem része a rend-nek'!P37</f>
        <v>2693591343</v>
      </c>
      <c r="J74" s="999">
        <f>+'5. mell.Önk-i mérleg'!E74</f>
        <v>2690000000</v>
      </c>
      <c r="K74" s="999">
        <f>+'5. mell.Önk-i mérleg'!F74-Q74</f>
        <v>2693591343</v>
      </c>
      <c r="L74" s="999">
        <f>+'5. mell.Önk-i mérleg'!G74-R74</f>
        <v>2693591343</v>
      </c>
      <c r="M74" s="999">
        <f>+'5. mell.Önk-i mérleg'!H74-S74</f>
        <v>2693591343</v>
      </c>
      <c r="N74" s="999">
        <f>+'5. mell.Önk-i mérleg'!I74-T74</f>
        <v>2693591343</v>
      </c>
      <c r="O74" s="999">
        <f>+'5. mell.Önk-i mérleg'!J74-U74</f>
        <v>2693591343</v>
      </c>
      <c r="P74" s="999">
        <v>0</v>
      </c>
      <c r="Q74" s="999">
        <v>0</v>
      </c>
      <c r="R74" s="999">
        <f>+Q74</f>
        <v>0</v>
      </c>
      <c r="S74" s="999">
        <f>+R74</f>
        <v>0</v>
      </c>
      <c r="T74" s="999">
        <f>+S74</f>
        <v>0</v>
      </c>
      <c r="U74" s="999">
        <f>+T74</f>
        <v>0</v>
      </c>
      <c r="V74" s="999">
        <v>0</v>
      </c>
      <c r="W74" s="999">
        <v>0</v>
      </c>
      <c r="X74" s="999">
        <v>0</v>
      </c>
      <c r="Y74" s="999">
        <v>0</v>
      </c>
      <c r="Z74" s="999"/>
      <c r="AA74" s="999">
        <v>0</v>
      </c>
      <c r="AB74" s="1890">
        <f t="shared" ref="AB74:AG75" si="65">+J74+P74+V74</f>
        <v>2690000000</v>
      </c>
      <c r="AC74" s="1890">
        <f t="shared" si="65"/>
        <v>2693591343</v>
      </c>
      <c r="AD74" s="1890">
        <f t="shared" si="65"/>
        <v>2693591343</v>
      </c>
      <c r="AE74" s="1890">
        <f t="shared" si="65"/>
        <v>2693591343</v>
      </c>
      <c r="AF74" s="1890">
        <f t="shared" si="65"/>
        <v>2693591343</v>
      </c>
      <c r="AG74" s="2383">
        <f t="shared" si="65"/>
        <v>2693591343</v>
      </c>
      <c r="AH74" s="2391">
        <f t="shared" si="1"/>
        <v>0</v>
      </c>
      <c r="AI74" s="79">
        <f t="shared" si="2"/>
        <v>0</v>
      </c>
      <c r="AJ74" s="79">
        <f t="shared" si="3"/>
        <v>0</v>
      </c>
      <c r="AK74" s="79">
        <f t="shared" si="4"/>
        <v>0</v>
      </c>
      <c r="AL74" s="79">
        <f t="shared" si="5"/>
        <v>0</v>
      </c>
      <c r="AM74" s="1684">
        <f t="shared" si="6"/>
        <v>0</v>
      </c>
      <c r="AN74" s="1557"/>
      <c r="AO74" s="1557"/>
      <c r="AP74" s="1557"/>
      <c r="AQ74" s="1557"/>
    </row>
    <row r="75" spans="1:43" s="110" customFormat="1" ht="12" customHeight="1">
      <c r="A75" s="1971" t="s">
        <v>291</v>
      </c>
      <c r="B75" s="1972" t="s">
        <v>292</v>
      </c>
      <c r="C75" s="999">
        <f>+'Fin.bev-nem része a rend-nek'!I36</f>
        <v>0</v>
      </c>
      <c r="D75" s="999">
        <f>+'Fin.bev-nem része a rend-nek'!K36</f>
        <v>0</v>
      </c>
      <c r="E75" s="999">
        <f>+'Fin.bev-nem része a rend-nek'!L36</f>
        <v>0</v>
      </c>
      <c r="F75" s="999">
        <f>+'Fin.bev-nem része a rend-nek'!M36</f>
        <v>0</v>
      </c>
      <c r="G75" s="999">
        <f>+'Fin.bev-nem része a rend-nek'!N36</f>
        <v>0</v>
      </c>
      <c r="H75" s="999">
        <f>+'Fin.bev-nem része a rend-nek'!O36</f>
        <v>0</v>
      </c>
      <c r="I75" s="999">
        <f>+'Fin.bev-nem része a rend-nek'!P36</f>
        <v>0</v>
      </c>
      <c r="J75" s="999">
        <v>0</v>
      </c>
      <c r="K75" s="999">
        <v>0</v>
      </c>
      <c r="L75" s="999">
        <v>0</v>
      </c>
      <c r="M75" s="999">
        <v>0</v>
      </c>
      <c r="N75" s="999">
        <v>0</v>
      </c>
      <c r="O75" s="999">
        <v>0</v>
      </c>
      <c r="P75" s="999">
        <v>0</v>
      </c>
      <c r="Q75" s="999">
        <v>0</v>
      </c>
      <c r="R75" s="999">
        <v>0</v>
      </c>
      <c r="S75" s="999">
        <v>0</v>
      </c>
      <c r="T75" s="999">
        <v>0</v>
      </c>
      <c r="U75" s="999">
        <f>+T75</f>
        <v>0</v>
      </c>
      <c r="V75" s="999">
        <v>0</v>
      </c>
      <c r="W75" s="999">
        <v>0</v>
      </c>
      <c r="X75" s="999">
        <v>0</v>
      </c>
      <c r="Y75" s="999">
        <v>0</v>
      </c>
      <c r="Z75" s="999"/>
      <c r="AA75" s="999">
        <v>0</v>
      </c>
      <c r="AB75" s="1890">
        <f t="shared" si="65"/>
        <v>0</v>
      </c>
      <c r="AC75" s="1890">
        <f t="shared" si="65"/>
        <v>0</v>
      </c>
      <c r="AD75" s="1890">
        <f t="shared" si="65"/>
        <v>0</v>
      </c>
      <c r="AE75" s="1890">
        <f t="shared" si="65"/>
        <v>0</v>
      </c>
      <c r="AF75" s="1890">
        <f t="shared" si="65"/>
        <v>0</v>
      </c>
      <c r="AG75" s="2383">
        <f t="shared" si="65"/>
        <v>0</v>
      </c>
      <c r="AH75" s="2391">
        <f t="shared" si="1"/>
        <v>0</v>
      </c>
      <c r="AI75" s="79">
        <f t="shared" si="2"/>
        <v>0</v>
      </c>
      <c r="AJ75" s="79">
        <f t="shared" si="3"/>
        <v>0</v>
      </c>
      <c r="AK75" s="79">
        <f t="shared" si="4"/>
        <v>0</v>
      </c>
      <c r="AL75" s="79">
        <f t="shared" si="5"/>
        <v>0</v>
      </c>
      <c r="AM75" s="1684">
        <f t="shared" si="6"/>
        <v>0</v>
      </c>
      <c r="AN75" s="1557"/>
      <c r="AO75" s="1557"/>
      <c r="AP75" s="1557"/>
      <c r="AQ75" s="1557"/>
    </row>
    <row r="76" spans="1:43" s="108" customFormat="1" ht="12" customHeight="1">
      <c r="A76" s="2476" t="s">
        <v>480</v>
      </c>
      <c r="B76" s="1976" t="s">
        <v>293</v>
      </c>
      <c r="C76" s="2023">
        <f t="shared" ref="C76:AA76" si="66">SUM(C77:C79)</f>
        <v>8000000000</v>
      </c>
      <c r="D76" s="2023">
        <f t="shared" si="66"/>
        <v>5500000000</v>
      </c>
      <c r="E76" s="2023">
        <f t="shared" si="66"/>
        <v>5500000000</v>
      </c>
      <c r="F76" s="2023">
        <f t="shared" si="66"/>
        <v>6873664816</v>
      </c>
      <c r="G76" s="2023">
        <f t="shared" si="66"/>
        <v>8490545302</v>
      </c>
      <c r="H76" s="2023">
        <f t="shared" si="66"/>
        <v>8490545302</v>
      </c>
      <c r="I76" s="2023">
        <f t="shared" si="66"/>
        <v>8490545302</v>
      </c>
      <c r="J76" s="1968">
        <f t="shared" si="66"/>
        <v>5500000000</v>
      </c>
      <c r="K76" s="1968">
        <f t="shared" si="66"/>
        <v>5500000000</v>
      </c>
      <c r="L76" s="1968">
        <f t="shared" si="66"/>
        <v>6873664816</v>
      </c>
      <c r="M76" s="1968">
        <f t="shared" si="66"/>
        <v>8490545302</v>
      </c>
      <c r="N76" s="1968">
        <f t="shared" si="66"/>
        <v>8490545302</v>
      </c>
      <c r="O76" s="1968">
        <f t="shared" si="66"/>
        <v>8490545302</v>
      </c>
      <c r="P76" s="1968">
        <f t="shared" si="66"/>
        <v>0</v>
      </c>
      <c r="Q76" s="1968">
        <f t="shared" si="66"/>
        <v>0</v>
      </c>
      <c r="R76" s="1968">
        <f t="shared" si="66"/>
        <v>0</v>
      </c>
      <c r="S76" s="1968">
        <f t="shared" si="66"/>
        <v>0</v>
      </c>
      <c r="T76" s="1968">
        <f t="shared" si="66"/>
        <v>0</v>
      </c>
      <c r="U76" s="1968">
        <f t="shared" si="66"/>
        <v>0</v>
      </c>
      <c r="V76" s="1968">
        <f t="shared" si="66"/>
        <v>0</v>
      </c>
      <c r="W76" s="1968">
        <f t="shared" si="66"/>
        <v>0</v>
      </c>
      <c r="X76" s="1968">
        <f t="shared" si="66"/>
        <v>0</v>
      </c>
      <c r="Y76" s="1968">
        <f t="shared" si="66"/>
        <v>0</v>
      </c>
      <c r="Z76" s="1968">
        <f t="shared" si="66"/>
        <v>0</v>
      </c>
      <c r="AA76" s="1968">
        <f t="shared" si="66"/>
        <v>0</v>
      </c>
      <c r="AB76" s="2023">
        <f t="shared" ref="AB76:AG76" si="67">+AB77+AB78+AB79</f>
        <v>5500000000</v>
      </c>
      <c r="AC76" s="2023">
        <f t="shared" si="67"/>
        <v>5500000000</v>
      </c>
      <c r="AD76" s="2023">
        <f t="shared" si="67"/>
        <v>6873664816</v>
      </c>
      <c r="AE76" s="2023">
        <f t="shared" si="67"/>
        <v>8490545302</v>
      </c>
      <c r="AF76" s="2023">
        <f t="shared" si="67"/>
        <v>8490545302</v>
      </c>
      <c r="AG76" s="2385">
        <f t="shared" si="67"/>
        <v>8490545302</v>
      </c>
      <c r="AH76" s="2391">
        <f t="shared" si="1"/>
        <v>0</v>
      </c>
      <c r="AI76" s="79">
        <f t="shared" si="2"/>
        <v>0</v>
      </c>
      <c r="AJ76" s="79">
        <f t="shared" si="3"/>
        <v>0</v>
      </c>
      <c r="AK76" s="79">
        <f t="shared" si="4"/>
        <v>0</v>
      </c>
      <c r="AL76" s="79">
        <f t="shared" si="5"/>
        <v>0</v>
      </c>
      <c r="AM76" s="1684">
        <f t="shared" si="6"/>
        <v>0</v>
      </c>
      <c r="AN76" s="1556"/>
      <c r="AO76" s="1556"/>
      <c r="AP76" s="1556"/>
      <c r="AQ76" s="1556"/>
    </row>
    <row r="77" spans="1:43" s="110" customFormat="1" ht="12" customHeight="1">
      <c r="A77" s="1971" t="s">
        <v>294</v>
      </c>
      <c r="B77" s="1972" t="s">
        <v>295</v>
      </c>
      <c r="C77" s="999">
        <f>+'Fin.bev-nem része a rend-nek'!I38</f>
        <v>0</v>
      </c>
      <c r="D77" s="999">
        <f>+'Fin.bev-nem része a rend-nek'!K38</f>
        <v>0</v>
      </c>
      <c r="E77" s="999">
        <f>+'Fin.bev-nem része a rend-nek'!L38</f>
        <v>0</v>
      </c>
      <c r="F77" s="999">
        <f>+'Fin.bev-nem része a rend-nek'!M38</f>
        <v>1373664816</v>
      </c>
      <c r="G77" s="999">
        <f>+'Fin.bev-nem része a rend-nek'!N38</f>
        <v>1790545302</v>
      </c>
      <c r="H77" s="999">
        <f>+'Fin.bev-nem része a rend-nek'!O38</f>
        <v>1790545302</v>
      </c>
      <c r="I77" s="999">
        <f>+'Fin.bev-nem része a rend-nek'!P38</f>
        <v>1790545302</v>
      </c>
      <c r="J77" s="999">
        <v>0</v>
      </c>
      <c r="K77" s="999">
        <v>0</v>
      </c>
      <c r="L77" s="999">
        <f>+F77</f>
        <v>1373664816</v>
      </c>
      <c r="M77" s="999">
        <f>+G77</f>
        <v>1790545302</v>
      </c>
      <c r="N77" s="999">
        <f>+M77</f>
        <v>1790545302</v>
      </c>
      <c r="O77" s="999">
        <f>+'5. mell.Önk-i mérleg'!J77</f>
        <v>1790545302</v>
      </c>
      <c r="P77" s="999">
        <v>0</v>
      </c>
      <c r="Q77" s="999">
        <v>0</v>
      </c>
      <c r="R77" s="999">
        <v>0</v>
      </c>
      <c r="S77" s="999">
        <v>0</v>
      </c>
      <c r="T77" s="999">
        <v>0</v>
      </c>
      <c r="U77" s="999">
        <v>0</v>
      </c>
      <c r="V77" s="999">
        <v>0</v>
      </c>
      <c r="W77" s="999">
        <v>0</v>
      </c>
      <c r="X77" s="999">
        <v>0</v>
      </c>
      <c r="Y77" s="999">
        <v>0</v>
      </c>
      <c r="Z77" s="999"/>
      <c r="AA77" s="999">
        <v>0</v>
      </c>
      <c r="AB77" s="1890">
        <f t="shared" ref="AB77:AB87" si="68">+J77+P77+V77</f>
        <v>0</v>
      </c>
      <c r="AC77" s="1890">
        <f t="shared" ref="AC77:AG79" si="69">+K77+Q77+W77</f>
        <v>0</v>
      </c>
      <c r="AD77" s="1890">
        <f t="shared" si="69"/>
        <v>1373664816</v>
      </c>
      <c r="AE77" s="1890">
        <f t="shared" si="69"/>
        <v>1790545302</v>
      </c>
      <c r="AF77" s="1890">
        <f t="shared" si="69"/>
        <v>1790545302</v>
      </c>
      <c r="AG77" s="2383">
        <f t="shared" si="69"/>
        <v>1790545302</v>
      </c>
      <c r="AH77" s="2391">
        <f t="shared" si="1"/>
        <v>0</v>
      </c>
      <c r="AI77" s="79">
        <f t="shared" si="2"/>
        <v>0</v>
      </c>
      <c r="AJ77" s="79">
        <f t="shared" si="3"/>
        <v>0</v>
      </c>
      <c r="AK77" s="79">
        <f t="shared" si="4"/>
        <v>0</v>
      </c>
      <c r="AL77" s="79">
        <f t="shared" si="5"/>
        <v>0</v>
      </c>
      <c r="AM77" s="1684">
        <f t="shared" si="6"/>
        <v>0</v>
      </c>
      <c r="AN77" s="1557"/>
      <c r="AO77" s="1557"/>
      <c r="AP77" s="1557"/>
      <c r="AQ77" s="1557"/>
    </row>
    <row r="78" spans="1:43" s="110" customFormat="1" ht="12" customHeight="1">
      <c r="A78" s="1971" t="s">
        <v>296</v>
      </c>
      <c r="B78" s="1972" t="s">
        <v>297</v>
      </c>
      <c r="C78" s="999">
        <f>+'Fin.bev-nem része a rend-nek'!I39</f>
        <v>0</v>
      </c>
      <c r="D78" s="999">
        <f>+'Fin.bev-nem része a rend-nek'!K39</f>
        <v>0</v>
      </c>
      <c r="E78" s="999">
        <f>+'Fin.bev-nem része a rend-nek'!L39</f>
        <v>0</v>
      </c>
      <c r="F78" s="999">
        <f>+'Fin.bev-nem része a rend-nek'!M39</f>
        <v>0</v>
      </c>
      <c r="G78" s="999">
        <f>+'Fin.bev-nem része a rend-nek'!N39</f>
        <v>0</v>
      </c>
      <c r="H78" s="999">
        <f>+'Fin.bev-nem része a rend-nek'!O39</f>
        <v>0</v>
      </c>
      <c r="I78" s="999">
        <f>+'Fin.bev-nem része a rend-nek'!P39</f>
        <v>0</v>
      </c>
      <c r="J78" s="999">
        <v>0</v>
      </c>
      <c r="K78" s="999">
        <v>0</v>
      </c>
      <c r="L78" s="999">
        <v>0</v>
      </c>
      <c r="M78" s="999">
        <v>0</v>
      </c>
      <c r="N78" s="999">
        <v>0</v>
      </c>
      <c r="O78" s="999">
        <v>0</v>
      </c>
      <c r="P78" s="999">
        <v>0</v>
      </c>
      <c r="Q78" s="999">
        <v>0</v>
      </c>
      <c r="R78" s="999">
        <v>0</v>
      </c>
      <c r="S78" s="999">
        <v>0</v>
      </c>
      <c r="T78" s="999">
        <v>0</v>
      </c>
      <c r="U78" s="999">
        <v>0</v>
      </c>
      <c r="V78" s="999">
        <v>0</v>
      </c>
      <c r="W78" s="999">
        <v>0</v>
      </c>
      <c r="X78" s="999">
        <v>0</v>
      </c>
      <c r="Y78" s="999">
        <v>0</v>
      </c>
      <c r="Z78" s="999"/>
      <c r="AA78" s="999">
        <v>0</v>
      </c>
      <c r="AB78" s="1890">
        <f t="shared" si="68"/>
        <v>0</v>
      </c>
      <c r="AC78" s="1890">
        <f t="shared" si="69"/>
        <v>0</v>
      </c>
      <c r="AD78" s="1890">
        <f t="shared" si="69"/>
        <v>0</v>
      </c>
      <c r="AE78" s="1890">
        <f t="shared" si="69"/>
        <v>0</v>
      </c>
      <c r="AF78" s="1890">
        <f t="shared" si="69"/>
        <v>0</v>
      </c>
      <c r="AG78" s="2383">
        <f t="shared" si="69"/>
        <v>0</v>
      </c>
      <c r="AH78" s="2391">
        <f t="shared" si="1"/>
        <v>0</v>
      </c>
      <c r="AI78" s="79">
        <f t="shared" si="2"/>
        <v>0</v>
      </c>
      <c r="AJ78" s="79">
        <f t="shared" si="3"/>
        <v>0</v>
      </c>
      <c r="AK78" s="79">
        <f t="shared" si="4"/>
        <v>0</v>
      </c>
      <c r="AL78" s="79">
        <f t="shared" si="5"/>
        <v>0</v>
      </c>
      <c r="AM78" s="1684">
        <f t="shared" si="6"/>
        <v>0</v>
      </c>
      <c r="AN78" s="1557"/>
      <c r="AO78" s="1557"/>
      <c r="AP78" s="1557"/>
      <c r="AQ78" s="1557"/>
    </row>
    <row r="79" spans="1:43" s="110" customFormat="1" ht="12" customHeight="1">
      <c r="A79" s="1971" t="s">
        <v>298</v>
      </c>
      <c r="B79" s="1972" t="s">
        <v>299</v>
      </c>
      <c r="C79" s="999">
        <f>+'Fin.bev-nem része a rend-nek'!I44</f>
        <v>8000000000</v>
      </c>
      <c r="D79" s="999">
        <f>+'Fin.bev-nem része a rend-nek'!K44</f>
        <v>5500000000</v>
      </c>
      <c r="E79" s="999">
        <f>+'Fin.bev-nem része a rend-nek'!L44</f>
        <v>5500000000</v>
      </c>
      <c r="F79" s="999">
        <f>+'Fin.bev-nem része a rend-nek'!M44</f>
        <v>5500000000</v>
      </c>
      <c r="G79" s="999">
        <f>+'Fin.bev-nem része a rend-nek'!N44</f>
        <v>6700000000</v>
      </c>
      <c r="H79" s="999">
        <f>+'Fin.bev-nem része a rend-nek'!O44</f>
        <v>6700000000</v>
      </c>
      <c r="I79" s="999">
        <f>+'Fin.bev-nem része a rend-nek'!P44</f>
        <v>6700000000</v>
      </c>
      <c r="J79" s="999">
        <f>+'Fin.bev-nem része a rend-nek'!K44</f>
        <v>5500000000</v>
      </c>
      <c r="K79" s="999">
        <f>+'Fin.bev-nem része a rend-nek'!L44</f>
        <v>5500000000</v>
      </c>
      <c r="L79" s="999">
        <f>+'Fin.bev-nem része a rend-nek'!M44</f>
        <v>5500000000</v>
      </c>
      <c r="M79" s="999">
        <f>+'Fin.bev-nem része a rend-nek'!N44</f>
        <v>6700000000</v>
      </c>
      <c r="N79" s="999">
        <f>+'Fin.bev-nem része a rend-nek'!O44</f>
        <v>6700000000</v>
      </c>
      <c r="O79" s="999">
        <f>+'Fin.bev-nem része a rend-nek'!P44</f>
        <v>6700000000</v>
      </c>
      <c r="P79" s="999">
        <v>0</v>
      </c>
      <c r="Q79" s="999">
        <v>0</v>
      </c>
      <c r="R79" s="999">
        <v>0</v>
      </c>
      <c r="S79" s="999">
        <v>0</v>
      </c>
      <c r="T79" s="999">
        <v>0</v>
      </c>
      <c r="U79" s="999">
        <v>0</v>
      </c>
      <c r="V79" s="999">
        <v>0</v>
      </c>
      <c r="W79" s="999">
        <v>0</v>
      </c>
      <c r="X79" s="999">
        <v>0</v>
      </c>
      <c r="Y79" s="999">
        <v>0</v>
      </c>
      <c r="Z79" s="999"/>
      <c r="AA79" s="999">
        <v>0</v>
      </c>
      <c r="AB79" s="1890">
        <f t="shared" si="68"/>
        <v>5500000000</v>
      </c>
      <c r="AC79" s="1890">
        <f t="shared" si="69"/>
        <v>5500000000</v>
      </c>
      <c r="AD79" s="1890">
        <f t="shared" si="69"/>
        <v>5500000000</v>
      </c>
      <c r="AE79" s="1890">
        <f t="shared" si="69"/>
        <v>6700000000</v>
      </c>
      <c r="AF79" s="1890">
        <f t="shared" si="69"/>
        <v>6700000000</v>
      </c>
      <c r="AG79" s="2383">
        <f t="shared" si="69"/>
        <v>6700000000</v>
      </c>
      <c r="AH79" s="2391">
        <f t="shared" si="1"/>
        <v>0</v>
      </c>
      <c r="AI79" s="79">
        <f t="shared" si="2"/>
        <v>0</v>
      </c>
      <c r="AJ79" s="79">
        <f t="shared" si="3"/>
        <v>0</v>
      </c>
      <c r="AK79" s="79">
        <f t="shared" si="4"/>
        <v>0</v>
      </c>
      <c r="AL79" s="79">
        <f t="shared" si="5"/>
        <v>0</v>
      </c>
      <c r="AM79" s="1684">
        <f t="shared" si="6"/>
        <v>0</v>
      </c>
      <c r="AN79" s="1557"/>
      <c r="AO79" s="1557"/>
      <c r="AP79" s="1557"/>
      <c r="AQ79" s="1557"/>
    </row>
    <row r="80" spans="1:43" s="110" customFormat="1" ht="12" customHeight="1">
      <c r="A80" s="2476" t="s">
        <v>481</v>
      </c>
      <c r="B80" s="1976" t="s">
        <v>496</v>
      </c>
      <c r="C80" s="2023">
        <f t="shared" ref="C80:AA80" si="70">SUM(C81:C84)</f>
        <v>0</v>
      </c>
      <c r="D80" s="2023">
        <f t="shared" si="70"/>
        <v>0</v>
      </c>
      <c r="E80" s="2023">
        <f t="shared" si="70"/>
        <v>0</v>
      </c>
      <c r="F80" s="2023">
        <f t="shared" si="70"/>
        <v>0</v>
      </c>
      <c r="G80" s="2023">
        <f t="shared" si="70"/>
        <v>0</v>
      </c>
      <c r="H80" s="2023">
        <f t="shared" si="70"/>
        <v>0</v>
      </c>
      <c r="I80" s="2023">
        <f t="shared" si="70"/>
        <v>0</v>
      </c>
      <c r="J80" s="1968">
        <f t="shared" si="70"/>
        <v>0</v>
      </c>
      <c r="K80" s="1968">
        <f t="shared" si="70"/>
        <v>0</v>
      </c>
      <c r="L80" s="1968">
        <f t="shared" si="70"/>
        <v>0</v>
      </c>
      <c r="M80" s="2023">
        <f t="shared" si="70"/>
        <v>0</v>
      </c>
      <c r="N80" s="1968">
        <f t="shared" si="70"/>
        <v>0</v>
      </c>
      <c r="O80" s="1968">
        <f t="shared" si="70"/>
        <v>0</v>
      </c>
      <c r="P80" s="1968">
        <f t="shared" si="70"/>
        <v>0</v>
      </c>
      <c r="Q80" s="1968">
        <f t="shared" si="70"/>
        <v>0</v>
      </c>
      <c r="R80" s="2024">
        <f t="shared" si="70"/>
        <v>0</v>
      </c>
      <c r="S80" s="1968">
        <f t="shared" si="70"/>
        <v>0</v>
      </c>
      <c r="T80" s="1968">
        <f t="shared" si="70"/>
        <v>0</v>
      </c>
      <c r="U80" s="1968">
        <f t="shared" si="70"/>
        <v>0</v>
      </c>
      <c r="V80" s="1968">
        <f t="shared" si="70"/>
        <v>0</v>
      </c>
      <c r="W80" s="1968">
        <f t="shared" si="70"/>
        <v>0</v>
      </c>
      <c r="X80" s="1968">
        <f t="shared" si="70"/>
        <v>0</v>
      </c>
      <c r="Y80" s="1968">
        <f t="shared" si="70"/>
        <v>0</v>
      </c>
      <c r="Z80" s="1968">
        <f t="shared" si="70"/>
        <v>0</v>
      </c>
      <c r="AA80" s="1968">
        <f t="shared" si="70"/>
        <v>0</v>
      </c>
      <c r="AB80" s="2023">
        <f t="shared" si="68"/>
        <v>0</v>
      </c>
      <c r="AC80" s="2023">
        <f>+AC81+AC82+AC83+AC84</f>
        <v>0</v>
      </c>
      <c r="AD80" s="2023">
        <f>+AD81+AD82+AD83+AD84</f>
        <v>0</v>
      </c>
      <c r="AE80" s="2023">
        <f>+AE81+AE82+AE83+AE84</f>
        <v>0</v>
      </c>
      <c r="AF80" s="2023">
        <f>+AF81+AF82+AF83+AF84</f>
        <v>0</v>
      </c>
      <c r="AG80" s="2385">
        <f>+AG81+AG82+AG83+AG84</f>
        <v>0</v>
      </c>
      <c r="AH80" s="2391">
        <f t="shared" si="1"/>
        <v>0</v>
      </c>
      <c r="AI80" s="79">
        <f t="shared" si="2"/>
        <v>0</v>
      </c>
      <c r="AJ80" s="79">
        <f t="shared" si="3"/>
        <v>0</v>
      </c>
      <c r="AK80" s="79">
        <f t="shared" si="4"/>
        <v>0</v>
      </c>
      <c r="AL80" s="79">
        <f t="shared" si="5"/>
        <v>0</v>
      </c>
      <c r="AM80" s="1684">
        <f t="shared" si="6"/>
        <v>0</v>
      </c>
      <c r="AN80" s="1557"/>
      <c r="AO80" s="1557"/>
      <c r="AP80" s="1557"/>
      <c r="AQ80" s="1557"/>
    </row>
    <row r="81" spans="1:43" s="110" customFormat="1" ht="12" hidden="1" customHeight="1">
      <c r="A81" s="2477" t="s">
        <v>302</v>
      </c>
      <c r="B81" s="1972" t="s">
        <v>303</v>
      </c>
      <c r="C81" s="999">
        <v>0</v>
      </c>
      <c r="D81" s="999">
        <v>0</v>
      </c>
      <c r="E81" s="999">
        <v>0</v>
      </c>
      <c r="F81" s="999">
        <v>0</v>
      </c>
      <c r="G81" s="999">
        <v>0</v>
      </c>
      <c r="H81" s="999">
        <v>0</v>
      </c>
      <c r="I81" s="999">
        <v>0</v>
      </c>
      <c r="J81" s="999"/>
      <c r="K81" s="999"/>
      <c r="L81" s="999"/>
      <c r="M81" s="999"/>
      <c r="N81" s="999"/>
      <c r="O81" s="999"/>
      <c r="P81" s="999"/>
      <c r="Q81" s="999"/>
      <c r="R81" s="999"/>
      <c r="S81" s="999"/>
      <c r="T81" s="999"/>
      <c r="U81" s="999"/>
      <c r="V81" s="999"/>
      <c r="W81" s="999"/>
      <c r="X81" s="999"/>
      <c r="Y81" s="999"/>
      <c r="Z81" s="999"/>
      <c r="AA81" s="999"/>
      <c r="AB81" s="1890">
        <f t="shared" si="68"/>
        <v>0</v>
      </c>
      <c r="AC81" s="1890"/>
      <c r="AD81" s="1890"/>
      <c r="AE81" s="1890"/>
      <c r="AF81" s="1890"/>
      <c r="AG81" s="2383"/>
      <c r="AH81" s="2391">
        <f t="shared" si="1"/>
        <v>0</v>
      </c>
      <c r="AI81" s="79">
        <f t="shared" si="2"/>
        <v>0</v>
      </c>
      <c r="AJ81" s="79">
        <f t="shared" si="3"/>
        <v>0</v>
      </c>
      <c r="AK81" s="79">
        <f t="shared" si="4"/>
        <v>0</v>
      </c>
      <c r="AL81" s="79">
        <f t="shared" si="5"/>
        <v>0</v>
      </c>
      <c r="AM81" s="1684">
        <f t="shared" si="6"/>
        <v>0</v>
      </c>
      <c r="AN81" s="1557"/>
      <c r="AO81" s="1557"/>
      <c r="AP81" s="1557"/>
      <c r="AQ81" s="1557"/>
    </row>
    <row r="82" spans="1:43" s="110" customFormat="1" ht="12" hidden="1" customHeight="1">
      <c r="A82" s="2477" t="s">
        <v>304</v>
      </c>
      <c r="B82" s="1972" t="s">
        <v>305</v>
      </c>
      <c r="C82" s="999">
        <v>0</v>
      </c>
      <c r="D82" s="999">
        <v>0</v>
      </c>
      <c r="E82" s="999">
        <v>0</v>
      </c>
      <c r="F82" s="999">
        <v>0</v>
      </c>
      <c r="G82" s="999">
        <v>0</v>
      </c>
      <c r="H82" s="999">
        <v>0</v>
      </c>
      <c r="I82" s="999">
        <v>0</v>
      </c>
      <c r="J82" s="999"/>
      <c r="K82" s="999"/>
      <c r="L82" s="999"/>
      <c r="M82" s="999"/>
      <c r="N82" s="999"/>
      <c r="O82" s="999"/>
      <c r="P82" s="999"/>
      <c r="Q82" s="999"/>
      <c r="R82" s="999"/>
      <c r="S82" s="999"/>
      <c r="T82" s="999"/>
      <c r="U82" s="999"/>
      <c r="V82" s="999"/>
      <c r="W82" s="999"/>
      <c r="X82" s="999"/>
      <c r="Y82" s="999"/>
      <c r="Z82" s="999"/>
      <c r="AA82" s="999"/>
      <c r="AB82" s="1890">
        <f t="shared" si="68"/>
        <v>0</v>
      </c>
      <c r="AC82" s="1890"/>
      <c r="AD82" s="1890"/>
      <c r="AE82" s="1890"/>
      <c r="AF82" s="1890"/>
      <c r="AG82" s="2383"/>
      <c r="AH82" s="2391">
        <f t="shared" si="1"/>
        <v>0</v>
      </c>
      <c r="AI82" s="79">
        <f t="shared" si="2"/>
        <v>0</v>
      </c>
      <c r="AJ82" s="79">
        <f t="shared" si="3"/>
        <v>0</v>
      </c>
      <c r="AK82" s="79">
        <f t="shared" si="4"/>
        <v>0</v>
      </c>
      <c r="AL82" s="79">
        <f t="shared" si="5"/>
        <v>0</v>
      </c>
      <c r="AM82" s="1684">
        <f t="shared" si="6"/>
        <v>0</v>
      </c>
      <c r="AN82" s="1557"/>
      <c r="AO82" s="1557"/>
      <c r="AP82" s="1557"/>
      <c r="AQ82" s="1557"/>
    </row>
    <row r="83" spans="1:43" s="110" customFormat="1" ht="12" hidden="1" customHeight="1">
      <c r="A83" s="2477" t="s">
        <v>306</v>
      </c>
      <c r="B83" s="1972" t="s">
        <v>307</v>
      </c>
      <c r="C83" s="999">
        <v>0</v>
      </c>
      <c r="D83" s="999">
        <v>0</v>
      </c>
      <c r="E83" s="999">
        <v>0</v>
      </c>
      <c r="F83" s="999">
        <v>0</v>
      </c>
      <c r="G83" s="999">
        <v>0</v>
      </c>
      <c r="H83" s="999">
        <v>0</v>
      </c>
      <c r="I83" s="999">
        <v>0</v>
      </c>
      <c r="J83" s="999"/>
      <c r="K83" s="999"/>
      <c r="L83" s="999"/>
      <c r="M83" s="999"/>
      <c r="N83" s="999"/>
      <c r="O83" s="999"/>
      <c r="P83" s="999"/>
      <c r="Q83" s="999"/>
      <c r="R83" s="999"/>
      <c r="S83" s="999"/>
      <c r="T83" s="999"/>
      <c r="U83" s="999"/>
      <c r="V83" s="999"/>
      <c r="W83" s="999"/>
      <c r="X83" s="999"/>
      <c r="Y83" s="999"/>
      <c r="Z83" s="999"/>
      <c r="AA83" s="999"/>
      <c r="AB83" s="1890">
        <f t="shared" si="68"/>
        <v>0</v>
      </c>
      <c r="AC83" s="1890"/>
      <c r="AD83" s="1890"/>
      <c r="AE83" s="1890"/>
      <c r="AF83" s="1890"/>
      <c r="AG83" s="2383"/>
      <c r="AH83" s="2391">
        <f t="shared" si="1"/>
        <v>0</v>
      </c>
      <c r="AI83" s="79">
        <f t="shared" si="2"/>
        <v>0</v>
      </c>
      <c r="AJ83" s="79">
        <f t="shared" si="3"/>
        <v>0</v>
      </c>
      <c r="AK83" s="79">
        <f t="shared" si="4"/>
        <v>0</v>
      </c>
      <c r="AL83" s="79">
        <f t="shared" si="5"/>
        <v>0</v>
      </c>
      <c r="AM83" s="1684">
        <f t="shared" si="6"/>
        <v>0</v>
      </c>
      <c r="AN83" s="1557"/>
      <c r="AO83" s="1557"/>
      <c r="AP83" s="1557"/>
      <c r="AQ83" s="1557"/>
    </row>
    <row r="84" spans="1:43" s="108" customFormat="1" ht="12" hidden="1" customHeight="1">
      <c r="A84" s="2477" t="s">
        <v>308</v>
      </c>
      <c r="B84" s="1972" t="s">
        <v>309</v>
      </c>
      <c r="C84" s="999">
        <v>0</v>
      </c>
      <c r="D84" s="999">
        <v>0</v>
      </c>
      <c r="E84" s="999">
        <v>0</v>
      </c>
      <c r="F84" s="999">
        <v>0</v>
      </c>
      <c r="G84" s="999">
        <v>0</v>
      </c>
      <c r="H84" s="999">
        <v>0</v>
      </c>
      <c r="I84" s="999">
        <v>0</v>
      </c>
      <c r="J84" s="999"/>
      <c r="K84" s="999"/>
      <c r="L84" s="999"/>
      <c r="M84" s="999"/>
      <c r="N84" s="999"/>
      <c r="O84" s="999"/>
      <c r="P84" s="999"/>
      <c r="Q84" s="999"/>
      <c r="R84" s="999"/>
      <c r="S84" s="999"/>
      <c r="T84" s="999"/>
      <c r="U84" s="999"/>
      <c r="V84" s="999"/>
      <c r="W84" s="999"/>
      <c r="X84" s="999"/>
      <c r="Y84" s="999"/>
      <c r="Z84" s="999"/>
      <c r="AA84" s="999"/>
      <c r="AB84" s="1890">
        <f t="shared" si="68"/>
        <v>0</v>
      </c>
      <c r="AC84" s="1890"/>
      <c r="AD84" s="1890"/>
      <c r="AE84" s="1890"/>
      <c r="AF84" s="1890"/>
      <c r="AG84" s="2383"/>
      <c r="AH84" s="2391">
        <f t="shared" si="1"/>
        <v>0</v>
      </c>
      <c r="AI84" s="79">
        <f t="shared" si="2"/>
        <v>0</v>
      </c>
      <c r="AJ84" s="79">
        <f t="shared" si="3"/>
        <v>0</v>
      </c>
      <c r="AK84" s="79">
        <f t="shared" si="4"/>
        <v>0</v>
      </c>
      <c r="AL84" s="79">
        <f t="shared" si="5"/>
        <v>0</v>
      </c>
      <c r="AM84" s="1684">
        <f t="shared" si="6"/>
        <v>0</v>
      </c>
      <c r="AN84" s="1556"/>
      <c r="AO84" s="1556"/>
      <c r="AP84" s="1556"/>
      <c r="AQ84" s="1556"/>
    </row>
    <row r="85" spans="1:43" s="108" customFormat="1" ht="12" customHeight="1">
      <c r="A85" s="2476" t="s">
        <v>482</v>
      </c>
      <c r="B85" s="1976" t="s">
        <v>310</v>
      </c>
      <c r="C85" s="2023">
        <v>0</v>
      </c>
      <c r="D85" s="2023">
        <v>0</v>
      </c>
      <c r="E85" s="2023">
        <v>0</v>
      </c>
      <c r="F85" s="2023"/>
      <c r="G85" s="2023">
        <v>0</v>
      </c>
      <c r="H85" s="2023"/>
      <c r="I85" s="2023">
        <v>0</v>
      </c>
      <c r="J85" s="2024">
        <v>0</v>
      </c>
      <c r="K85" s="2024">
        <v>0</v>
      </c>
      <c r="L85" s="2024">
        <v>0</v>
      </c>
      <c r="M85" s="2023">
        <v>0</v>
      </c>
      <c r="N85" s="2024">
        <v>0</v>
      </c>
      <c r="O85" s="2024">
        <f>+N85</f>
        <v>0</v>
      </c>
      <c r="P85" s="2024">
        <v>0</v>
      </c>
      <c r="Q85" s="2024">
        <v>0</v>
      </c>
      <c r="R85" s="2024">
        <v>0</v>
      </c>
      <c r="S85" s="2024">
        <v>0</v>
      </c>
      <c r="T85" s="2024">
        <v>0</v>
      </c>
      <c r="U85" s="2024">
        <f>+T85</f>
        <v>0</v>
      </c>
      <c r="V85" s="2024">
        <v>0</v>
      </c>
      <c r="W85" s="2024">
        <v>0</v>
      </c>
      <c r="X85" s="2024">
        <v>0</v>
      </c>
      <c r="Y85" s="2024">
        <v>0</v>
      </c>
      <c r="Z85" s="2024"/>
      <c r="AA85" s="2024">
        <v>0</v>
      </c>
      <c r="AB85" s="2023">
        <f t="shared" si="68"/>
        <v>0</v>
      </c>
      <c r="AC85" s="2023">
        <v>0</v>
      </c>
      <c r="AD85" s="2023">
        <v>0</v>
      </c>
      <c r="AE85" s="1890"/>
      <c r="AF85" s="1890"/>
      <c r="AG85" s="2383"/>
      <c r="AH85" s="2391">
        <f t="shared" si="1"/>
        <v>0</v>
      </c>
      <c r="AI85" s="79">
        <f t="shared" si="2"/>
        <v>0</v>
      </c>
      <c r="AJ85" s="79">
        <f t="shared" si="3"/>
        <v>0</v>
      </c>
      <c r="AK85" s="79">
        <f t="shared" si="4"/>
        <v>0</v>
      </c>
      <c r="AL85" s="79">
        <f t="shared" si="5"/>
        <v>0</v>
      </c>
      <c r="AM85" s="1684">
        <f t="shared" si="6"/>
        <v>0</v>
      </c>
      <c r="AN85" s="1556"/>
      <c r="AO85" s="1556"/>
      <c r="AP85" s="1556"/>
      <c r="AQ85" s="1556"/>
    </row>
    <row r="86" spans="1:43" s="108" customFormat="1" ht="12" customHeight="1">
      <c r="A86" s="2476" t="s">
        <v>483</v>
      </c>
      <c r="B86" s="1976" t="s">
        <v>311</v>
      </c>
      <c r="C86" s="2023">
        <v>0</v>
      </c>
      <c r="D86" s="2023">
        <v>0</v>
      </c>
      <c r="E86" s="2023">
        <f>+D86</f>
        <v>0</v>
      </c>
      <c r="F86" s="2023">
        <f>+E86</f>
        <v>0</v>
      </c>
      <c r="G86" s="2023">
        <f>+F86</f>
        <v>0</v>
      </c>
      <c r="H86" s="2023">
        <f>+G86</f>
        <v>0</v>
      </c>
      <c r="I86" s="2023">
        <f>+H86</f>
        <v>0</v>
      </c>
      <c r="J86" s="2024">
        <v>0</v>
      </c>
      <c r="K86" s="2024">
        <v>0</v>
      </c>
      <c r="L86" s="2024">
        <v>0</v>
      </c>
      <c r="M86" s="2023">
        <v>0</v>
      </c>
      <c r="N86" s="2024">
        <f>+M86</f>
        <v>0</v>
      </c>
      <c r="O86" s="2024">
        <f>+N86</f>
        <v>0</v>
      </c>
      <c r="P86" s="2024">
        <v>0</v>
      </c>
      <c r="Q86" s="2024">
        <v>0</v>
      </c>
      <c r="R86" s="2024">
        <v>0</v>
      </c>
      <c r="S86" s="2024">
        <v>0</v>
      </c>
      <c r="T86" s="2024">
        <v>0</v>
      </c>
      <c r="U86" s="2024">
        <f>+T86</f>
        <v>0</v>
      </c>
      <c r="V86" s="2024">
        <v>0</v>
      </c>
      <c r="W86" s="2024">
        <v>0</v>
      </c>
      <c r="X86" s="2024">
        <v>0</v>
      </c>
      <c r="Y86" s="2024">
        <v>0</v>
      </c>
      <c r="Z86" s="2024"/>
      <c r="AA86" s="2024">
        <v>0</v>
      </c>
      <c r="AB86" s="2023">
        <f t="shared" si="68"/>
        <v>0</v>
      </c>
      <c r="AC86" s="2023">
        <f t="shared" ref="AC86:AG87" si="71">+K86+Q86+W86</f>
        <v>0</v>
      </c>
      <c r="AD86" s="2023">
        <f t="shared" si="71"/>
        <v>0</v>
      </c>
      <c r="AE86" s="2023">
        <f t="shared" si="71"/>
        <v>0</v>
      </c>
      <c r="AF86" s="2023">
        <f t="shared" si="71"/>
        <v>0</v>
      </c>
      <c r="AG86" s="2385">
        <f t="shared" si="71"/>
        <v>0</v>
      </c>
      <c r="AH86" s="2391">
        <f t="shared" si="1"/>
        <v>0</v>
      </c>
      <c r="AI86" s="79">
        <f t="shared" si="2"/>
        <v>0</v>
      </c>
      <c r="AJ86" s="79">
        <f t="shared" si="3"/>
        <v>0</v>
      </c>
      <c r="AK86" s="79">
        <f t="shared" si="4"/>
        <v>0</v>
      </c>
      <c r="AL86" s="79">
        <f t="shared" si="5"/>
        <v>0</v>
      </c>
      <c r="AM86" s="1684">
        <f t="shared" si="6"/>
        <v>0</v>
      </c>
      <c r="AN86" s="1556"/>
      <c r="AO86" s="1556"/>
      <c r="AP86" s="1556"/>
      <c r="AQ86" s="1556"/>
    </row>
    <row r="87" spans="1:43" s="108" customFormat="1" ht="12" customHeight="1">
      <c r="A87" s="2478" t="s">
        <v>484</v>
      </c>
      <c r="B87" s="2025" t="s">
        <v>313</v>
      </c>
      <c r="C87" s="2020">
        <f t="shared" ref="C87:AA87" si="72">+C64+C68+C73+C76+C80+C86</f>
        <v>15200000000</v>
      </c>
      <c r="D87" s="2020">
        <f t="shared" si="72"/>
        <v>8190000000</v>
      </c>
      <c r="E87" s="2020">
        <f t="shared" si="72"/>
        <v>8193591343</v>
      </c>
      <c r="F87" s="2020">
        <f t="shared" si="72"/>
        <v>9567256159</v>
      </c>
      <c r="G87" s="2020">
        <f t="shared" si="72"/>
        <v>16183226645</v>
      </c>
      <c r="H87" s="2020">
        <f t="shared" si="72"/>
        <v>16183226645</v>
      </c>
      <c r="I87" s="2020">
        <f t="shared" si="72"/>
        <v>13974606645</v>
      </c>
      <c r="J87" s="2020">
        <f t="shared" si="72"/>
        <v>8190000000</v>
      </c>
      <c r="K87" s="2020">
        <f t="shared" si="72"/>
        <v>8193591343</v>
      </c>
      <c r="L87" s="2020">
        <f t="shared" si="72"/>
        <v>9567256159</v>
      </c>
      <c r="M87" s="2020">
        <f t="shared" si="72"/>
        <v>16183226645</v>
      </c>
      <c r="N87" s="2020">
        <f t="shared" si="72"/>
        <v>16183226645</v>
      </c>
      <c r="O87" s="2020">
        <f t="shared" si="72"/>
        <v>13974606645</v>
      </c>
      <c r="P87" s="2020">
        <f t="shared" si="72"/>
        <v>0</v>
      </c>
      <c r="Q87" s="2020">
        <f t="shared" si="72"/>
        <v>0</v>
      </c>
      <c r="R87" s="2020">
        <f t="shared" si="72"/>
        <v>0</v>
      </c>
      <c r="S87" s="2020">
        <f t="shared" si="72"/>
        <v>0</v>
      </c>
      <c r="T87" s="2020">
        <f t="shared" si="72"/>
        <v>0</v>
      </c>
      <c r="U87" s="2020">
        <f t="shared" si="72"/>
        <v>0</v>
      </c>
      <c r="V87" s="2020">
        <f t="shared" si="72"/>
        <v>0</v>
      </c>
      <c r="W87" s="2020">
        <f t="shared" si="72"/>
        <v>0</v>
      </c>
      <c r="X87" s="2020">
        <f t="shared" si="72"/>
        <v>0</v>
      </c>
      <c r="Y87" s="2020">
        <f t="shared" si="72"/>
        <v>0</v>
      </c>
      <c r="Z87" s="2020">
        <f t="shared" si="72"/>
        <v>0</v>
      </c>
      <c r="AA87" s="2020">
        <f t="shared" si="72"/>
        <v>0</v>
      </c>
      <c r="AB87" s="2020">
        <f t="shared" si="68"/>
        <v>8190000000</v>
      </c>
      <c r="AC87" s="2020">
        <f t="shared" si="71"/>
        <v>8193591343</v>
      </c>
      <c r="AD87" s="2020">
        <f t="shared" si="71"/>
        <v>9567256159</v>
      </c>
      <c r="AE87" s="2020">
        <f t="shared" si="71"/>
        <v>16183226645</v>
      </c>
      <c r="AF87" s="2020">
        <f t="shared" si="71"/>
        <v>16183226645</v>
      </c>
      <c r="AG87" s="2047">
        <f t="shared" si="71"/>
        <v>13974606645</v>
      </c>
      <c r="AH87" s="2391">
        <f t="shared" si="1"/>
        <v>0</v>
      </c>
      <c r="AI87" s="79">
        <f t="shared" si="2"/>
        <v>0</v>
      </c>
      <c r="AJ87" s="79">
        <f t="shared" si="3"/>
        <v>0</v>
      </c>
      <c r="AK87" s="79">
        <f t="shared" si="4"/>
        <v>0</v>
      </c>
      <c r="AL87" s="79">
        <f t="shared" si="5"/>
        <v>0</v>
      </c>
      <c r="AM87" s="1684">
        <f t="shared" si="6"/>
        <v>0</v>
      </c>
      <c r="AN87" s="1556"/>
      <c r="AO87" s="1556"/>
      <c r="AP87" s="1556"/>
      <c r="AQ87" s="1556"/>
    </row>
    <row r="88" spans="1:43" s="108" customFormat="1" ht="12" customHeight="1" thickBot="1">
      <c r="A88" s="2478" t="s">
        <v>485</v>
      </c>
      <c r="B88" s="2025" t="s">
        <v>3034</v>
      </c>
      <c r="C88" s="2020">
        <f t="shared" ref="C88:AG88" si="73">+C63+C87</f>
        <v>37627307393.190002</v>
      </c>
      <c r="D88" s="2020">
        <f t="shared" si="73"/>
        <v>30600547620</v>
      </c>
      <c r="E88" s="2020">
        <f t="shared" si="73"/>
        <v>31031686328</v>
      </c>
      <c r="F88" s="2020">
        <f t="shared" si="73"/>
        <v>32484576591</v>
      </c>
      <c r="G88" s="2020">
        <f t="shared" si="73"/>
        <v>38266085681</v>
      </c>
      <c r="H88" s="2020">
        <f t="shared" si="73"/>
        <v>38266085681</v>
      </c>
      <c r="I88" s="2020">
        <f t="shared" si="73"/>
        <v>36057465681</v>
      </c>
      <c r="J88" s="2020">
        <f t="shared" si="73"/>
        <v>27325590115</v>
      </c>
      <c r="K88" s="2020">
        <f t="shared" si="73"/>
        <v>27726937399</v>
      </c>
      <c r="L88" s="2020">
        <f t="shared" si="73"/>
        <v>28991763323</v>
      </c>
      <c r="M88" s="2020">
        <f t="shared" si="73"/>
        <v>34646971009</v>
      </c>
      <c r="N88" s="2020">
        <f t="shared" si="73"/>
        <v>34646971009</v>
      </c>
      <c r="O88" s="2020">
        <f t="shared" si="73"/>
        <v>32438351009</v>
      </c>
      <c r="P88" s="2020">
        <f t="shared" si="73"/>
        <v>3271457505</v>
      </c>
      <c r="Q88" s="2020">
        <f t="shared" si="73"/>
        <v>3301248929</v>
      </c>
      <c r="R88" s="2020">
        <f t="shared" si="73"/>
        <v>3487339804</v>
      </c>
      <c r="S88" s="2020">
        <f t="shared" si="73"/>
        <v>3616603032</v>
      </c>
      <c r="T88" s="2020">
        <f t="shared" si="73"/>
        <v>3616603032</v>
      </c>
      <c r="U88" s="2020">
        <f t="shared" si="73"/>
        <v>3616603032</v>
      </c>
      <c r="V88" s="2020">
        <f t="shared" si="73"/>
        <v>3500000</v>
      </c>
      <c r="W88" s="2020">
        <f t="shared" si="73"/>
        <v>3500000</v>
      </c>
      <c r="X88" s="2020">
        <f t="shared" si="73"/>
        <v>5473464</v>
      </c>
      <c r="Y88" s="2020">
        <f t="shared" si="73"/>
        <v>2511640</v>
      </c>
      <c r="Z88" s="2020">
        <f t="shared" si="73"/>
        <v>2511640</v>
      </c>
      <c r="AA88" s="2020">
        <f t="shared" si="73"/>
        <v>2511640</v>
      </c>
      <c r="AB88" s="2020">
        <f t="shared" si="73"/>
        <v>30600547620</v>
      </c>
      <c r="AC88" s="2020">
        <f t="shared" si="73"/>
        <v>31031686328</v>
      </c>
      <c r="AD88" s="2020">
        <f t="shared" si="73"/>
        <v>32484576591</v>
      </c>
      <c r="AE88" s="2020">
        <f t="shared" si="73"/>
        <v>38266085681</v>
      </c>
      <c r="AF88" s="2020">
        <f t="shared" si="73"/>
        <v>38266085681</v>
      </c>
      <c r="AG88" s="2047">
        <f t="shared" si="73"/>
        <v>36057465681</v>
      </c>
      <c r="AH88" s="2392">
        <f t="shared" si="1"/>
        <v>0</v>
      </c>
      <c r="AI88" s="1692">
        <f t="shared" si="2"/>
        <v>0</v>
      </c>
      <c r="AJ88" s="1692">
        <f t="shared" si="3"/>
        <v>0</v>
      </c>
      <c r="AK88" s="1692">
        <f t="shared" si="4"/>
        <v>0</v>
      </c>
      <c r="AL88" s="1692">
        <f t="shared" si="5"/>
        <v>0</v>
      </c>
      <c r="AM88" s="1693">
        <f t="shared" si="6"/>
        <v>0</v>
      </c>
      <c r="AN88" s="1556"/>
      <c r="AO88" s="1556"/>
      <c r="AP88" s="1556"/>
      <c r="AQ88" s="1556"/>
    </row>
    <row r="89" spans="1:43" s="110" customFormat="1" ht="15" customHeight="1" thickBot="1">
      <c r="A89" s="129"/>
      <c r="B89" s="1683"/>
      <c r="C89" s="105"/>
      <c r="D89" s="105"/>
      <c r="E89" s="105"/>
      <c r="F89" s="105"/>
      <c r="G89" s="105"/>
      <c r="H89" s="105"/>
      <c r="I89" s="105"/>
      <c r="J89" s="82"/>
      <c r="K89" s="82"/>
      <c r="L89" s="82"/>
      <c r="M89" s="82"/>
      <c r="N89" s="82"/>
      <c r="O89" s="82"/>
      <c r="P89" s="82"/>
      <c r="Q89" s="82"/>
      <c r="R89" s="82"/>
      <c r="S89" s="82"/>
      <c r="T89" s="82"/>
      <c r="U89" s="82"/>
      <c r="V89" s="82"/>
      <c r="W89" s="82"/>
      <c r="X89" s="82"/>
      <c r="Y89" s="82"/>
      <c r="Z89" s="82">
        <f>SUM(Z90:Z93)</f>
        <v>0</v>
      </c>
      <c r="AA89" s="82"/>
      <c r="AB89" s="2058"/>
      <c r="AC89" s="2058"/>
      <c r="AD89" s="2058"/>
      <c r="AE89" s="2058"/>
      <c r="AF89" s="2059"/>
      <c r="AG89" s="2059"/>
      <c r="AH89" s="157"/>
      <c r="AI89" s="155"/>
      <c r="AJ89" s="156"/>
      <c r="AK89" s="156"/>
      <c r="AL89" s="156"/>
      <c r="AM89" s="157"/>
      <c r="AN89" s="1557"/>
      <c r="AO89" s="1557"/>
      <c r="AP89" s="1557"/>
      <c r="AQ89" s="1557"/>
    </row>
    <row r="90" spans="1:43" ht="15.75">
      <c r="A90" s="1960"/>
      <c r="B90" s="2013" t="str">
        <f>+B3</f>
        <v>A</v>
      </c>
      <c r="C90" s="2013">
        <f t="shared" ref="C90:AG90" si="74">+C3</f>
        <v>0</v>
      </c>
      <c r="D90" s="2013" t="str">
        <f t="shared" si="74"/>
        <v>B</v>
      </c>
      <c r="E90" s="2013" t="str">
        <f t="shared" si="74"/>
        <v>B</v>
      </c>
      <c r="F90" s="2013" t="str">
        <f t="shared" si="74"/>
        <v>B</v>
      </c>
      <c r="G90" s="2013" t="str">
        <f t="shared" si="74"/>
        <v>B</v>
      </c>
      <c r="H90" s="2013" t="str">
        <f t="shared" si="74"/>
        <v>B</v>
      </c>
      <c r="I90" s="2013">
        <f t="shared" si="74"/>
        <v>0</v>
      </c>
      <c r="J90" s="2013" t="str">
        <f t="shared" si="74"/>
        <v>C</v>
      </c>
      <c r="K90" s="2013" t="str">
        <f t="shared" si="74"/>
        <v>C</v>
      </c>
      <c r="L90" s="2013" t="str">
        <f t="shared" si="74"/>
        <v>C</v>
      </c>
      <c r="M90" s="2013" t="str">
        <f t="shared" si="74"/>
        <v>C</v>
      </c>
      <c r="N90" s="2013" t="str">
        <f t="shared" si="74"/>
        <v>C</v>
      </c>
      <c r="O90" s="2013" t="str">
        <f t="shared" si="74"/>
        <v>D</v>
      </c>
      <c r="P90" s="2013" t="str">
        <f t="shared" si="74"/>
        <v>D</v>
      </c>
      <c r="Q90" s="2013" t="str">
        <f t="shared" si="74"/>
        <v>D</v>
      </c>
      <c r="R90" s="2013" t="str">
        <f t="shared" si="74"/>
        <v>D</v>
      </c>
      <c r="S90" s="2013" t="str">
        <f t="shared" si="74"/>
        <v>E</v>
      </c>
      <c r="T90" s="2013" t="str">
        <f t="shared" si="74"/>
        <v>D</v>
      </c>
      <c r="U90" s="2013" t="str">
        <f t="shared" si="74"/>
        <v>F</v>
      </c>
      <c r="V90" s="2013" t="str">
        <f t="shared" si="74"/>
        <v>E</v>
      </c>
      <c r="W90" s="2013" t="str">
        <f t="shared" si="74"/>
        <v>E</v>
      </c>
      <c r="X90" s="2013" t="str">
        <f t="shared" si="74"/>
        <v>E</v>
      </c>
      <c r="Y90" s="2013" t="str">
        <f t="shared" si="74"/>
        <v>G</v>
      </c>
      <c r="Z90" s="2013" t="str">
        <f t="shared" si="74"/>
        <v>E</v>
      </c>
      <c r="AA90" s="2013" t="str">
        <f t="shared" si="74"/>
        <v>H</v>
      </c>
      <c r="AB90" s="2013">
        <f t="shared" si="74"/>
        <v>0</v>
      </c>
      <c r="AC90" s="2013">
        <f t="shared" si="74"/>
        <v>0</v>
      </c>
      <c r="AD90" s="2013">
        <f t="shared" si="74"/>
        <v>0</v>
      </c>
      <c r="AE90" s="2054">
        <f t="shared" si="74"/>
        <v>0</v>
      </c>
      <c r="AF90" s="1874">
        <f t="shared" si="74"/>
        <v>0</v>
      </c>
      <c r="AG90" s="2379">
        <f t="shared" si="74"/>
        <v>0</v>
      </c>
      <c r="AH90" s="2386"/>
      <c r="AI90" s="94"/>
      <c r="AJ90" s="94"/>
      <c r="AK90" s="94"/>
      <c r="AL90" s="94"/>
      <c r="AM90" s="140"/>
      <c r="AN90" s="94"/>
      <c r="AO90" s="137"/>
      <c r="AP90" s="137"/>
      <c r="AQ90" s="137"/>
    </row>
    <row r="91" spans="1:43" s="2011" customFormat="1" ht="60.75" thickBot="1">
      <c r="A91" s="1915" t="str">
        <f>+'5. mell.Önk-i mérleg'!A91</f>
        <v>1.</v>
      </c>
      <c r="B91" s="1915" t="str">
        <f>+'5. mell.Önk-i mérleg'!B91</f>
        <v>Kiadási jogcímek</v>
      </c>
      <c r="C91" s="1915" t="str">
        <f>+C4</f>
        <v>2024. évi eredeti előirányzat
forintban</v>
      </c>
      <c r="D91" s="1915" t="str">
        <f>+D4</f>
        <v>2025. évi eredeti előirányzat forintban</v>
      </c>
      <c r="E91" s="1915" t="str">
        <f t="shared" ref="E91:AG91" si="75">+E4</f>
        <v>2025. évi I. számú módosított előirányzat
forintban</v>
      </c>
      <c r="F91" s="1915" t="str">
        <f t="shared" si="75"/>
        <v>2025. évi II. számú módosított előirányzat forintban</v>
      </c>
      <c r="G91" s="1915" t="str">
        <f t="shared" si="75"/>
        <v>2025. évi III. számú módosított előirányzat forintban</v>
      </c>
      <c r="H91" s="1915" t="str">
        <f t="shared" si="75"/>
        <v>2025. évi IV. számú módosított előirányzat forintban</v>
      </c>
      <c r="I91" s="1917" t="str">
        <f t="shared" si="75"/>
        <v>2025. évi
teljesítés forintban</v>
      </c>
      <c r="J91" s="1918" t="str">
        <f t="shared" si="75"/>
        <v>Kötelező feladat forintban</v>
      </c>
      <c r="K91" s="1919" t="str">
        <f t="shared" si="75"/>
        <v>Kötelező feladat 
I. módosítás
forintban</v>
      </c>
      <c r="L91" s="1920" t="str">
        <f t="shared" si="75"/>
        <v>Kötelező feladat II. módosítás forintban</v>
      </c>
      <c r="M91" s="1921" t="str">
        <f t="shared" si="75"/>
        <v>Kötelező feladat III. módosítás forintban</v>
      </c>
      <c r="N91" s="1922" t="str">
        <f t="shared" si="75"/>
        <v>Kötelező feladat IV. módosítás forintban</v>
      </c>
      <c r="O91" s="1922" t="str">
        <f t="shared" si="75"/>
        <v>Kötelező teljesítés forintban</v>
      </c>
      <c r="P91" s="1918" t="str">
        <f t="shared" si="75"/>
        <v>Önként vállalt feladat forintban</v>
      </c>
      <c r="Q91" s="1919" t="str">
        <f t="shared" si="75"/>
        <v>Önként vállalt feladat 
I. módosítás
forintban</v>
      </c>
      <c r="R91" s="1920" t="str">
        <f t="shared" si="75"/>
        <v>Önként vállalt feladat II. módosítás forintban</v>
      </c>
      <c r="S91" s="1921" t="str">
        <f t="shared" si="75"/>
        <v>Önként vállalt feladat III. módosítás forintban</v>
      </c>
      <c r="T91" s="1922" t="str">
        <f t="shared" si="75"/>
        <v>Önként vállalt feladat IV. módosítás forintban</v>
      </c>
      <c r="U91" s="1922" t="str">
        <f t="shared" si="75"/>
        <v>Önként vállalt teljesítés forintban</v>
      </c>
      <c r="V91" s="1918" t="str">
        <f t="shared" si="75"/>
        <v>Államigazgatási feladat forintban</v>
      </c>
      <c r="W91" s="1919" t="str">
        <f t="shared" si="75"/>
        <v>Államigazgatási feladat 
I. módosítás
forintban</v>
      </c>
      <c r="X91" s="1920" t="str">
        <f t="shared" si="75"/>
        <v>Államigazgatási feladat II. módosítás forintban</v>
      </c>
      <c r="Y91" s="1921" t="str">
        <f t="shared" si="75"/>
        <v xml:space="preserve">Államigazgatási feladat III. módosítás forintban </v>
      </c>
      <c r="Z91" s="1922" t="str">
        <f t="shared" si="75"/>
        <v>Államigazgatási feladat IV. módosítás forintban</v>
      </c>
      <c r="AA91" s="1922" t="str">
        <f t="shared" si="75"/>
        <v>Államigazgatási teljesítés forintban</v>
      </c>
      <c r="AB91" s="2055" t="str">
        <f t="shared" si="75"/>
        <v>Összesen</v>
      </c>
      <c r="AC91" s="1919" t="str">
        <f t="shared" si="75"/>
        <v>Összesen I. módosítás</v>
      </c>
      <c r="AD91" s="1920" t="str">
        <f t="shared" si="75"/>
        <v>Összesen II. módosítás</v>
      </c>
      <c r="AE91" s="1921" t="str">
        <f t="shared" si="75"/>
        <v>Összesen III. módosítás</v>
      </c>
      <c r="AF91" s="1922" t="str">
        <f t="shared" si="75"/>
        <v>Összesen IV. módosítás</v>
      </c>
      <c r="AG91" s="2380" t="str">
        <f t="shared" si="75"/>
        <v>Teljesítés</v>
      </c>
      <c r="AH91" s="2388"/>
      <c r="AI91" s="3592"/>
      <c r="AJ91" s="3593"/>
      <c r="AK91" s="3593"/>
      <c r="AL91" s="2007"/>
      <c r="AM91" s="2009"/>
      <c r="AN91" s="2007"/>
      <c r="AO91" s="2010"/>
      <c r="AP91" s="2010"/>
      <c r="AQ91" s="2010"/>
    </row>
    <row r="92" spans="1:43" s="132" customFormat="1" ht="12" customHeight="1">
      <c r="A92" s="1966" t="s">
        <v>3353</v>
      </c>
      <c r="B92" s="2026" t="s">
        <v>3471</v>
      </c>
      <c r="C92" s="1968">
        <f t="shared" ref="C92:AA92" si="76">SUM(C93:C97)</f>
        <v>5393626091.1900005</v>
      </c>
      <c r="D92" s="1968">
        <f t="shared" si="76"/>
        <v>6035013432</v>
      </c>
      <c r="E92" s="1968">
        <f t="shared" si="76"/>
        <v>6078395385</v>
      </c>
      <c r="F92" s="1968">
        <f t="shared" si="76"/>
        <v>6136831909</v>
      </c>
      <c r="G92" s="1968">
        <f t="shared" si="76"/>
        <v>6591331824</v>
      </c>
      <c r="H92" s="1968">
        <f t="shared" si="76"/>
        <v>6591331824</v>
      </c>
      <c r="I92" s="1968">
        <f t="shared" si="76"/>
        <v>6098870022</v>
      </c>
      <c r="J92" s="1968">
        <f t="shared" si="76"/>
        <v>5404942263.776</v>
      </c>
      <c r="K92" s="1968">
        <f t="shared" si="76"/>
        <v>5460714914.3059998</v>
      </c>
      <c r="L92" s="1968">
        <f t="shared" si="76"/>
        <v>5501539282.3059998</v>
      </c>
      <c r="M92" s="1968">
        <f t="shared" si="76"/>
        <v>5980301668.8392</v>
      </c>
      <c r="N92" s="1968">
        <f t="shared" si="76"/>
        <v>5980301668.8392</v>
      </c>
      <c r="O92" s="1968">
        <f t="shared" si="76"/>
        <v>5696192220.6560001</v>
      </c>
      <c r="P92" s="1968">
        <f t="shared" si="76"/>
        <v>630071168.22399998</v>
      </c>
      <c r="Q92" s="1968">
        <f t="shared" si="76"/>
        <v>617680470.69400001</v>
      </c>
      <c r="R92" s="1968">
        <f t="shared" si="76"/>
        <v>635292626.69400001</v>
      </c>
      <c r="S92" s="1968">
        <f t="shared" si="76"/>
        <v>611030155.16079998</v>
      </c>
      <c r="T92" s="1968">
        <f t="shared" si="76"/>
        <v>611030155.16079998</v>
      </c>
      <c r="U92" s="1968">
        <f t="shared" si="76"/>
        <v>402677801.34399998</v>
      </c>
      <c r="V92" s="1968">
        <f t="shared" si="76"/>
        <v>0</v>
      </c>
      <c r="W92" s="1968">
        <f t="shared" si="76"/>
        <v>0</v>
      </c>
      <c r="X92" s="1968">
        <f t="shared" si="76"/>
        <v>0</v>
      </c>
      <c r="Y92" s="1968">
        <f t="shared" si="76"/>
        <v>0</v>
      </c>
      <c r="Z92" s="1968">
        <f t="shared" si="76"/>
        <v>0</v>
      </c>
      <c r="AA92" s="1968">
        <f t="shared" si="76"/>
        <v>0</v>
      </c>
      <c r="AB92" s="1968">
        <f t="shared" ref="AB92:AG92" si="77">+AB93+AB94+AB95+AB96+AB97</f>
        <v>6035013432</v>
      </c>
      <c r="AC92" s="1968">
        <f t="shared" si="77"/>
        <v>6078395385</v>
      </c>
      <c r="AD92" s="1968">
        <f t="shared" si="77"/>
        <v>6136831909</v>
      </c>
      <c r="AE92" s="1968">
        <f t="shared" si="77"/>
        <v>6591331824</v>
      </c>
      <c r="AF92" s="1968">
        <f t="shared" si="77"/>
        <v>6591331824</v>
      </c>
      <c r="AG92" s="2044">
        <f t="shared" si="77"/>
        <v>6098870022</v>
      </c>
      <c r="AH92" s="2391">
        <f t="shared" ref="AH92:AH155" si="78">+D92-AB92</f>
        <v>0</v>
      </c>
      <c r="AI92" s="2377">
        <f t="shared" ref="AI92:AI155" si="79">+E92-AC92</f>
        <v>0</v>
      </c>
      <c r="AJ92" s="1694">
        <f t="shared" ref="AJ92:AJ155" si="80">+F92-AD92</f>
        <v>0</v>
      </c>
      <c r="AK92" s="1694">
        <f t="shared" ref="AK92:AK155" si="81">+G92-AE92</f>
        <v>0</v>
      </c>
      <c r="AL92" s="1694">
        <f t="shared" ref="AL92:AL155" si="82">+H92-AF92</f>
        <v>0</v>
      </c>
      <c r="AM92" s="1695">
        <f t="shared" ref="AM92:AM154" si="83">+I92-AG92</f>
        <v>0</v>
      </c>
      <c r="AN92" s="1556"/>
      <c r="AO92" s="1556"/>
      <c r="AP92" s="1556"/>
      <c r="AQ92" s="1556"/>
    </row>
    <row r="93" spans="1:43" ht="12" customHeight="1">
      <c r="A93" s="1971" t="s">
        <v>176</v>
      </c>
      <c r="B93" s="2027" t="s">
        <v>147</v>
      </c>
      <c r="C93" s="1973">
        <f>+'29. mell. Önk.- Bér'!I63</f>
        <v>259838564</v>
      </c>
      <c r="D93" s="1973">
        <f>+'29. mell. Önk.- Bér'!K63</f>
        <v>408335878</v>
      </c>
      <c r="E93" s="1973">
        <f>+'29. mell. Önk.- Bér'!L63</f>
        <v>426064203</v>
      </c>
      <c r="F93" s="1973">
        <f>+'29. mell. Önk.- Bér'!M63</f>
        <v>426064203</v>
      </c>
      <c r="G93" s="1973">
        <f>+'29. mell. Önk.- Bér'!N63</f>
        <v>427591161</v>
      </c>
      <c r="H93" s="1973">
        <f>+'29. mell. Önk.- Bér'!O63</f>
        <v>427591161</v>
      </c>
      <c r="I93" s="1973">
        <f>+'29. mell. Önk.- Bér'!P63</f>
        <v>420600084</v>
      </c>
      <c r="J93" s="999">
        <f>+'29. mell. Önk.- Bér'!K46+'29. mell. Önk.- Bér'!K49+'29. mell. Önk.- Bér'!K54+'29. mell. Önk.- Bér'!K55+'29. mell. Önk.- Bér'!K59</f>
        <v>334784840</v>
      </c>
      <c r="K93" s="999">
        <f>+'29. mell. Önk.- Bér'!L46+'29. mell. Önk.- Bér'!L49+'29. mell. Önk.- Bér'!L54+'29. mell. Önk.- Bér'!L55+'29. mell. Önk.- Bér'!L59</f>
        <v>352513165</v>
      </c>
      <c r="L93" s="999">
        <f>+'29. mell. Önk.- Bér'!M46+'29. mell. Önk.- Bér'!M49+'29. mell. Önk.- Bér'!M54+'29. mell. Önk.- Bér'!M55+'29. mell. Önk.- Bér'!M59</f>
        <v>352513165</v>
      </c>
      <c r="M93" s="999">
        <f>+'29. mell. Önk.- Bér'!N46+'29. mell. Önk.- Bér'!N49+'29. mell. Önk.- Bér'!N54+'29. mell. Önk.- Bér'!N55+'29. mell. Önk.- Bér'!N59</f>
        <v>356427278</v>
      </c>
      <c r="N93" s="999">
        <f>+'29. mell. Önk.- Bér'!O46+'29. mell. Önk.- Bér'!O49+'29. mell. Önk.- Bér'!O54+'29. mell. Önk.- Bér'!O55+'29. mell. Önk.- Bér'!O59</f>
        <v>356427278</v>
      </c>
      <c r="O93" s="999">
        <f>+'29. mell. Önk.- Bér'!P46+'29. mell. Önk.- Bér'!P49+'29. mell. Önk.- Bér'!P54+'29. mell. Önk.- Bér'!P55+'29. mell. Önk.- Bér'!P59</f>
        <v>355709040</v>
      </c>
      <c r="P93" s="999">
        <f>+'29. mell. Önk.- Bér'!K7+'29. mell. Önk.- Bér'!K8+'29. mell. Önk.- Bér'!K15+'29. mell. Önk.- Bér'!K47+'29. mell. Önk.- Bér'!K48+'29. mell. Önk.- Bér'!K51+'29. mell. Önk.- Bér'!K53+'29. mell. Önk.- Bér'!K56+'29. mell. Önk.- Bér'!K60</f>
        <v>73551038</v>
      </c>
      <c r="Q93" s="999">
        <f>+'29. mell. Önk.- Bér'!L7+'29. mell. Önk.- Bér'!L8+'29. mell. Önk.- Bér'!L15+'29. mell. Önk.- Bér'!L47+'29. mell. Önk.- Bér'!L48+'29. mell. Önk.- Bér'!L51+'29. mell. Önk.- Bér'!L53+'29. mell. Önk.- Bér'!L56+'29. mell. Önk.- Bér'!L60</f>
        <v>73551038</v>
      </c>
      <c r="R93" s="999">
        <f>+'29. mell. Önk.- Bér'!M7+'29. mell. Önk.- Bér'!M8+'29. mell. Önk.- Bér'!M15+'29. mell. Önk.- Bér'!M47+'29. mell. Önk.- Bér'!M48+'29. mell. Önk.- Bér'!M51+'29. mell. Önk.- Bér'!M53+'29. mell. Önk.- Bér'!M56+'29. mell. Önk.- Bér'!M60</f>
        <v>73551038</v>
      </c>
      <c r="S93" s="999">
        <f>+'29. mell. Önk.- Bér'!N7+'29. mell. Önk.- Bér'!N42+'29. mell. Önk.- Bér'!N8+'29. mell. Önk.- Bér'!N15+'29. mell. Önk.- Bér'!N47+'29. mell. Önk.- Bér'!N48+'29. mell. Önk.- Bér'!N51+'29. mell. Önk.- Bér'!N53+'29. mell. Önk.- Bér'!N56+'29. mell. Önk.- Bér'!N60</f>
        <v>71163883</v>
      </c>
      <c r="T93" s="999">
        <f>+'29. mell. Önk.- Bér'!O7+'29. mell. Önk.- Bér'!O42+'29. mell. Önk.- Bér'!O8+'29. mell. Önk.- Bér'!O15+'29. mell. Önk.- Bér'!O47+'29. mell. Önk.- Bér'!O48+'29. mell. Önk.- Bér'!O51+'29. mell. Önk.- Bér'!O53+'29. mell. Önk.- Bér'!O56+'29. mell. Önk.- Bér'!O60</f>
        <v>71163883</v>
      </c>
      <c r="U93" s="999">
        <f>+'29. mell. Önk.- Bér'!P7+'29. mell. Önk.- Bér'!P42+'29. mell. Önk.- Bér'!P8+'29. mell. Önk.- Bér'!P15+'29. mell. Önk.- Bér'!P47+'29. mell. Önk.- Bér'!P48+'29. mell. Önk.- Bér'!P51+'29. mell. Önk.- Bér'!P53+'29. mell. Önk.- Bér'!P56+'29. mell. Önk.- Bér'!P60</f>
        <v>64891044</v>
      </c>
      <c r="V93" s="999">
        <v>0</v>
      </c>
      <c r="W93" s="999">
        <v>0</v>
      </c>
      <c r="X93" s="999">
        <v>0</v>
      </c>
      <c r="Y93" s="999">
        <v>0</v>
      </c>
      <c r="Z93" s="999"/>
      <c r="AA93" s="999">
        <v>0</v>
      </c>
      <c r="AB93" s="1890">
        <f t="shared" ref="AB93:AB110" si="84">+J93+P93+V93</f>
        <v>408335878</v>
      </c>
      <c r="AC93" s="1890">
        <f t="shared" ref="AC93:AC110" si="85">+K93+Q93+W93</f>
        <v>426064203</v>
      </c>
      <c r="AD93" s="1890">
        <f t="shared" ref="AD93:AG97" si="86">+L93+R93+X93</f>
        <v>426064203</v>
      </c>
      <c r="AE93" s="1890">
        <f t="shared" si="86"/>
        <v>427591161</v>
      </c>
      <c r="AF93" s="1890">
        <f t="shared" si="86"/>
        <v>427591161</v>
      </c>
      <c r="AG93" s="2383">
        <f t="shared" si="86"/>
        <v>420600084</v>
      </c>
      <c r="AH93" s="2391">
        <f t="shared" si="78"/>
        <v>0</v>
      </c>
      <c r="AI93" s="79">
        <f t="shared" si="79"/>
        <v>0</v>
      </c>
      <c r="AJ93" s="79">
        <f t="shared" si="80"/>
        <v>0</v>
      </c>
      <c r="AK93" s="79">
        <f t="shared" si="81"/>
        <v>0</v>
      </c>
      <c r="AL93" s="79">
        <f t="shared" si="82"/>
        <v>0</v>
      </c>
      <c r="AM93" s="1684">
        <f t="shared" si="83"/>
        <v>0</v>
      </c>
      <c r="AN93" s="137"/>
      <c r="AO93" s="137"/>
      <c r="AP93" s="137"/>
      <c r="AQ93" s="137"/>
    </row>
    <row r="94" spans="1:43" ht="12" customHeight="1">
      <c r="A94" s="1971" t="s">
        <v>178</v>
      </c>
      <c r="B94" s="2027" t="s">
        <v>8</v>
      </c>
      <c r="C94" s="1973">
        <f>+'29. mell. Önk.- Bér'!I73</f>
        <v>51149688</v>
      </c>
      <c r="D94" s="1973">
        <f>+'29. mell. Önk.- Bér'!K73</f>
        <v>75191818</v>
      </c>
      <c r="E94" s="1973">
        <f>+'29. mell. Önk.- Bér'!L73</f>
        <v>77496500</v>
      </c>
      <c r="F94" s="1973">
        <f>+'29. mell. Önk.- Bér'!M73</f>
        <v>77496500</v>
      </c>
      <c r="G94" s="1973">
        <f>+'29. mell. Önk.- Bér'!N73</f>
        <v>77496500</v>
      </c>
      <c r="H94" s="1973">
        <f>+'29. mell. Önk.- Bér'!O73</f>
        <v>77496500</v>
      </c>
      <c r="I94" s="1973">
        <f>+'29. mell. Önk.- Bér'!P73</f>
        <v>66312718</v>
      </c>
      <c r="J94" s="999">
        <f t="shared" ref="J94:O94" si="87">+J93*0.1764</f>
        <v>59056045.776000001</v>
      </c>
      <c r="K94" s="999">
        <f t="shared" si="87"/>
        <v>62183322.306000002</v>
      </c>
      <c r="L94" s="999">
        <f t="shared" si="87"/>
        <v>62183322.306000002</v>
      </c>
      <c r="M94" s="999">
        <f t="shared" si="87"/>
        <v>62873771.839199997</v>
      </c>
      <c r="N94" s="999">
        <f t="shared" si="87"/>
        <v>62873771.839199997</v>
      </c>
      <c r="O94" s="999">
        <f t="shared" si="87"/>
        <v>62747074.656000003</v>
      </c>
      <c r="P94" s="999">
        <f t="shared" ref="P94:U94" si="88">+D94-J94</f>
        <v>16135772.223999999</v>
      </c>
      <c r="Q94" s="999">
        <f t="shared" si="88"/>
        <v>15313177.693999998</v>
      </c>
      <c r="R94" s="999">
        <f t="shared" si="88"/>
        <v>15313177.693999998</v>
      </c>
      <c r="S94" s="999">
        <f t="shared" si="88"/>
        <v>14622728.160800003</v>
      </c>
      <c r="T94" s="999">
        <f t="shared" si="88"/>
        <v>14622728.160800003</v>
      </c>
      <c r="U94" s="999">
        <f t="shared" si="88"/>
        <v>3565643.3439999968</v>
      </c>
      <c r="V94" s="999">
        <v>0</v>
      </c>
      <c r="W94" s="999">
        <v>0</v>
      </c>
      <c r="X94" s="999">
        <v>0</v>
      </c>
      <c r="Y94" s="999">
        <v>0</v>
      </c>
      <c r="Z94" s="999"/>
      <c r="AA94" s="999">
        <v>0</v>
      </c>
      <c r="AB94" s="1890">
        <f t="shared" si="84"/>
        <v>75191818</v>
      </c>
      <c r="AC94" s="1890">
        <f t="shared" si="85"/>
        <v>77496500</v>
      </c>
      <c r="AD94" s="1890">
        <f t="shared" si="86"/>
        <v>77496500</v>
      </c>
      <c r="AE94" s="1890">
        <f t="shared" si="86"/>
        <v>77496500</v>
      </c>
      <c r="AF94" s="1890">
        <f t="shared" si="86"/>
        <v>77496500</v>
      </c>
      <c r="AG94" s="2383">
        <f t="shared" si="86"/>
        <v>66312718</v>
      </c>
      <c r="AH94" s="2391">
        <f t="shared" si="78"/>
        <v>0</v>
      </c>
      <c r="AI94" s="79">
        <f t="shared" si="79"/>
        <v>0</v>
      </c>
      <c r="AJ94" s="79">
        <f t="shared" si="80"/>
        <v>0</v>
      </c>
      <c r="AK94" s="79">
        <f t="shared" si="81"/>
        <v>0</v>
      </c>
      <c r="AL94" s="79">
        <f t="shared" si="82"/>
        <v>0</v>
      </c>
      <c r="AM94" s="1684">
        <f t="shared" si="83"/>
        <v>0</v>
      </c>
      <c r="AN94" s="1583"/>
      <c r="AO94" s="137"/>
      <c r="AP94" s="137"/>
      <c r="AQ94" s="137"/>
    </row>
    <row r="95" spans="1:43" ht="12" customHeight="1">
      <c r="A95" s="1971" t="s">
        <v>179</v>
      </c>
      <c r="B95" s="2027" t="s">
        <v>317</v>
      </c>
      <c r="C95" s="1973">
        <f>+'30. mell. ÖNK.-Dologi'!I79+'31.mell. Működési kiadások'!I86</f>
        <v>1466712661.1900001</v>
      </c>
      <c r="D95" s="1973">
        <f>+'30. mell. ÖNK.-Dologi'!K79+'31.mell. Működési kiadások'!K86</f>
        <v>1357769568</v>
      </c>
      <c r="E95" s="1973">
        <f>+'30. mell. ÖNK.-Dologi'!L79+'31.mell. Működési kiadások'!L86</f>
        <v>1413068013</v>
      </c>
      <c r="F95" s="1973">
        <f>+'30. mell. ÖNK.-Dologi'!M79+'31.mell. Működési kiadások'!M86</f>
        <v>1479671528</v>
      </c>
      <c r="G95" s="1973">
        <f>+'30. mell. ÖNK.-Dologi'!N79+'31.mell. Működési kiadások'!N86</f>
        <v>1848161600</v>
      </c>
      <c r="H95" s="1973">
        <f>+'30. mell. ÖNK.-Dologi'!O79+'31.mell. Működési kiadások'!O86</f>
        <v>1848161600</v>
      </c>
      <c r="I95" s="1973">
        <f>+'30. mell. ÖNK.-Dologi'!P79+'31.mell. Működési kiadások'!P86</f>
        <v>1496934925</v>
      </c>
      <c r="J95" s="999">
        <f t="shared" ref="J95:O96" si="89">+D95-P95</f>
        <v>1062502523</v>
      </c>
      <c r="K95" s="999">
        <f t="shared" si="89"/>
        <v>1122199185</v>
      </c>
      <c r="L95" s="999">
        <f t="shared" si="89"/>
        <v>1164698953</v>
      </c>
      <c r="M95" s="999">
        <f t="shared" si="89"/>
        <v>1544781596</v>
      </c>
      <c r="N95" s="999">
        <f t="shared" si="89"/>
        <v>1544781596</v>
      </c>
      <c r="O95" s="999">
        <f t="shared" si="89"/>
        <v>1354342907</v>
      </c>
      <c r="P95" s="999">
        <f>+'ÖNK.-Dologi (alábontás)nemrésze'!K59+'ÖNK.-Dologi (alábontás)nemrésze'!K66+'ÖNK.-Dologi (alábontás)nemrésze'!K67+'ÖNK.-Dologi (alábontás)nemrésze'!K68+'ÖNK.-Dologi (alábontás)nemrésze'!K69+'ÖNK.-Dologi (alábontás)nemrésze'!K89+'ÖNK.-Dologi (alábontás)nemrésze'!K93+'ÖNK.-Dologi (alábontás)nemrésze'!K101+'ÖNK.-Dologi (alábontás)nemrésze'!K105+'31.mell. Működési kiadások'!K85</f>
        <v>295267045</v>
      </c>
      <c r="Q95" s="999">
        <f>+'ÖNK.-Dologi (alábontás)nemrésze'!L59+'ÖNK.-Dologi (alábontás)nemrésze'!L66+'ÖNK.-Dologi (alábontás)nemrésze'!L67+'ÖNK.-Dologi (alábontás)nemrésze'!L68+'ÖNK.-Dologi (alábontás)nemrésze'!L69+'ÖNK.-Dologi (alábontás)nemrésze'!L89+'ÖNK.-Dologi (alábontás)nemrésze'!L93+'ÖNK.-Dologi (alábontás)nemrésze'!L101+'ÖNK.-Dologi (alábontás)nemrésze'!L105+'31.mell. Működési kiadások'!L85</f>
        <v>290868828</v>
      </c>
      <c r="R95" s="999">
        <f>+'ÖNK.-Dologi (alábontás)nemrésze'!M59+'ÖNK.-Dologi (alábontás)nemrésze'!M66+'ÖNK.-Dologi (alábontás)nemrésze'!M67+'ÖNK.-Dologi (alábontás)nemrésze'!M68+'ÖNK.-Dologi (alábontás)nemrésze'!M69+'ÖNK.-Dologi (alábontás)nemrésze'!M89+'ÖNK.-Dologi (alábontás)nemrésze'!M93+'ÖNK.-Dologi (alábontás)nemrésze'!M101+'ÖNK.-Dologi (alábontás)nemrésze'!M105+'31.mell. Működési kiadások'!M85</f>
        <v>314972575</v>
      </c>
      <c r="S95" s="999">
        <f>+'ÖNK.-Dologi (alábontás)nemrésze'!N59+'ÖNK.-Dologi (alábontás)nemrésze'!N66+'ÖNK.-Dologi (alábontás)nemrésze'!N67+'ÖNK.-Dologi (alábontás)nemrésze'!N68+'ÖNK.-Dologi (alábontás)nemrésze'!N69+'ÖNK.-Dologi (alábontás)nemrésze'!N89+'ÖNK.-Dologi (alábontás)nemrésze'!N93+'ÖNK.-Dologi (alábontás)nemrésze'!N101+'ÖNK.-Dologi (alábontás)nemrésze'!N105+'31.mell. Működési kiadások'!N85</f>
        <v>303380004</v>
      </c>
      <c r="T95" s="999">
        <f>+'ÖNK.-Dologi (alábontás)nemrésze'!O59+'ÖNK.-Dologi (alábontás)nemrésze'!O66+'ÖNK.-Dologi (alábontás)nemrésze'!O67+'ÖNK.-Dologi (alábontás)nemrésze'!O68+'ÖNK.-Dologi (alábontás)nemrésze'!O69+'ÖNK.-Dologi (alábontás)nemrésze'!O89+'ÖNK.-Dologi (alábontás)nemrésze'!O93+'ÖNK.-Dologi (alábontás)nemrésze'!O101+'ÖNK.-Dologi (alábontás)nemrésze'!O105+'31.mell. Működési kiadások'!O85</f>
        <v>303380004</v>
      </c>
      <c r="U95" s="999">
        <f>+'ÖNK.-Dologi (alábontás)nemrésze'!P59+'ÖNK.-Dologi (alábontás)nemrésze'!P66+'ÖNK.-Dologi (alábontás)nemrésze'!P67+'ÖNK.-Dologi (alábontás)nemrésze'!P68+'ÖNK.-Dologi (alábontás)nemrésze'!P69+'ÖNK.-Dologi (alábontás)nemrésze'!P89+'ÖNK.-Dologi (alábontás)nemrésze'!P93+'ÖNK.-Dologi (alábontás)nemrésze'!P101+'ÖNK.-Dologi (alábontás)nemrésze'!P105+'31.mell. Működési kiadások'!P85</f>
        <v>142592018</v>
      </c>
      <c r="V95" s="999">
        <v>0</v>
      </c>
      <c r="W95" s="999">
        <v>0</v>
      </c>
      <c r="X95" s="999">
        <v>0</v>
      </c>
      <c r="Y95" s="999">
        <v>0</v>
      </c>
      <c r="Z95" s="999"/>
      <c r="AA95" s="999">
        <v>0</v>
      </c>
      <c r="AB95" s="1890">
        <f t="shared" si="84"/>
        <v>1357769568</v>
      </c>
      <c r="AC95" s="1890">
        <f t="shared" si="85"/>
        <v>1413068013</v>
      </c>
      <c r="AD95" s="1890">
        <f t="shared" si="86"/>
        <v>1479671528</v>
      </c>
      <c r="AE95" s="1890">
        <f t="shared" si="86"/>
        <v>1848161600</v>
      </c>
      <c r="AF95" s="1890">
        <f t="shared" si="86"/>
        <v>1848161600</v>
      </c>
      <c r="AG95" s="2383">
        <f t="shared" si="86"/>
        <v>1496934925</v>
      </c>
      <c r="AH95" s="2391">
        <f t="shared" si="78"/>
        <v>0</v>
      </c>
      <c r="AI95" s="79">
        <f t="shared" si="79"/>
        <v>0</v>
      </c>
      <c r="AJ95" s="79">
        <f t="shared" si="80"/>
        <v>0</v>
      </c>
      <c r="AK95" s="79">
        <f t="shared" si="81"/>
        <v>0</v>
      </c>
      <c r="AL95" s="79">
        <f t="shared" si="82"/>
        <v>0</v>
      </c>
      <c r="AM95" s="1684">
        <f t="shared" si="83"/>
        <v>0</v>
      </c>
      <c r="AN95" s="137"/>
      <c r="AO95" s="137"/>
      <c r="AP95" s="137"/>
      <c r="AQ95" s="137"/>
    </row>
    <row r="96" spans="1:43" ht="12" customHeight="1">
      <c r="A96" s="1971" t="s">
        <v>180</v>
      </c>
      <c r="B96" s="2027" t="s">
        <v>318</v>
      </c>
      <c r="C96" s="1973">
        <f>+'32. mell. Ellátottak'!I30</f>
        <v>166570000</v>
      </c>
      <c r="D96" s="1973">
        <f>+'32. mell. Ellátottak'!K30</f>
        <v>166570000</v>
      </c>
      <c r="E96" s="1973">
        <f>+'32. mell. Ellátottak'!L30</f>
        <v>166370000</v>
      </c>
      <c r="F96" s="1973">
        <f>+'32. mell. Ellátottak'!M30</f>
        <v>166370000</v>
      </c>
      <c r="G96" s="1973">
        <f>+'32. mell. Ellátottak'!N30</f>
        <v>162174054</v>
      </c>
      <c r="H96" s="1973">
        <f>+'32. mell. Ellátottak'!O30</f>
        <v>162174054</v>
      </c>
      <c r="I96" s="1973">
        <f>+'32. mell. Ellátottak'!P30</f>
        <v>91481574</v>
      </c>
      <c r="J96" s="999">
        <f t="shared" si="89"/>
        <v>118360000</v>
      </c>
      <c r="K96" s="999">
        <f t="shared" si="89"/>
        <v>118360000</v>
      </c>
      <c r="L96" s="999">
        <f t="shared" si="89"/>
        <v>120360000</v>
      </c>
      <c r="M96" s="999">
        <f t="shared" si="89"/>
        <v>122893000</v>
      </c>
      <c r="N96" s="999">
        <f t="shared" si="89"/>
        <v>122893000</v>
      </c>
      <c r="O96" s="999">
        <f t="shared" si="89"/>
        <v>71736859</v>
      </c>
      <c r="P96" s="999">
        <f>+'32. mell. Ellátottak'!K10+'32. mell. Ellátottak'!K11+'32. mell. Ellátottak'!K17+'32. mell. Ellátottak'!K18+'32. mell. Ellátottak'!K21</f>
        <v>48210000</v>
      </c>
      <c r="Q96" s="999">
        <f>+'32. mell. Ellátottak'!L10+'32. mell. Ellátottak'!L11+'32. mell. Ellátottak'!L17+'32. mell. Ellátottak'!L18+'32. mell. Ellátottak'!L21</f>
        <v>48010000</v>
      </c>
      <c r="R96" s="999">
        <f>+'32. mell. Ellátottak'!M10+'32. mell. Ellátottak'!M11+'32. mell. Ellátottak'!M17+'32. mell. Ellátottak'!M18+'32. mell. Ellátottak'!M21</f>
        <v>46010000</v>
      </c>
      <c r="S96" s="999">
        <f>+'32. mell. Ellátottak'!N10+'32. mell. Ellátottak'!N11+'32. mell. Ellátottak'!N17+'32. mell. Ellátottak'!N18+'32. mell. Ellátottak'!N21</f>
        <v>39281054</v>
      </c>
      <c r="T96" s="999">
        <f>+'32. mell. Ellátottak'!O10+'32. mell. Ellátottak'!O11+'32. mell. Ellátottak'!O17+'32. mell. Ellátottak'!O18+'32. mell. Ellátottak'!O21</f>
        <v>39281054</v>
      </c>
      <c r="U96" s="999">
        <f>+'32. mell. Ellátottak'!P10+'32. mell. Ellátottak'!P11+'32. mell. Ellátottak'!P17+'32. mell. Ellátottak'!P18+'32. mell. Ellátottak'!P21</f>
        <v>19744715</v>
      </c>
      <c r="V96" s="999">
        <v>0</v>
      </c>
      <c r="W96" s="999">
        <v>0</v>
      </c>
      <c r="X96" s="999">
        <v>0</v>
      </c>
      <c r="Y96" s="999">
        <v>0</v>
      </c>
      <c r="Z96" s="999"/>
      <c r="AA96" s="999">
        <v>0</v>
      </c>
      <c r="AB96" s="1890">
        <f t="shared" si="84"/>
        <v>166570000</v>
      </c>
      <c r="AC96" s="1890">
        <f t="shared" si="85"/>
        <v>166370000</v>
      </c>
      <c r="AD96" s="1890">
        <f t="shared" si="86"/>
        <v>166370000</v>
      </c>
      <c r="AE96" s="1890">
        <f t="shared" si="86"/>
        <v>162174054</v>
      </c>
      <c r="AF96" s="1890">
        <f t="shared" si="86"/>
        <v>162174054</v>
      </c>
      <c r="AG96" s="2383">
        <f t="shared" si="86"/>
        <v>91481574</v>
      </c>
      <c r="AH96" s="2391">
        <f t="shared" si="78"/>
        <v>0</v>
      </c>
      <c r="AI96" s="79">
        <f t="shared" si="79"/>
        <v>0</v>
      </c>
      <c r="AJ96" s="79">
        <f t="shared" si="80"/>
        <v>0</v>
      </c>
      <c r="AK96" s="79">
        <f t="shared" si="81"/>
        <v>0</v>
      </c>
      <c r="AL96" s="79">
        <f t="shared" si="82"/>
        <v>0</v>
      </c>
      <c r="AM96" s="1684">
        <f t="shared" si="83"/>
        <v>0</v>
      </c>
      <c r="AN96" s="137"/>
      <c r="AO96" s="137"/>
      <c r="AP96" s="137"/>
      <c r="AQ96" s="137"/>
    </row>
    <row r="97" spans="1:43" ht="12" customHeight="1">
      <c r="A97" s="1971" t="s">
        <v>319</v>
      </c>
      <c r="B97" s="2027" t="s">
        <v>151</v>
      </c>
      <c r="C97" s="1973">
        <f>+'33. mell. E.műk.c.kiad.'!I104</f>
        <v>3449355178</v>
      </c>
      <c r="D97" s="1973">
        <f>+'33. mell. E.műk.c.kiad.'!K104</f>
        <v>4027146168</v>
      </c>
      <c r="E97" s="1973">
        <f>+'33. mell. E.műk.c.kiad.'!L104</f>
        <v>3995396669</v>
      </c>
      <c r="F97" s="1973">
        <f>+'33. mell. E.műk.c.kiad.'!M104</f>
        <v>3987229678</v>
      </c>
      <c r="G97" s="1973">
        <f>+'33. mell. E.műk.c.kiad.'!N104</f>
        <v>4075908509</v>
      </c>
      <c r="H97" s="1973">
        <f>+'33. mell. E.műk.c.kiad.'!O104</f>
        <v>4075908509</v>
      </c>
      <c r="I97" s="1973">
        <f>+'33. mell. E.műk.c.kiad.'!P104</f>
        <v>4023540721</v>
      </c>
      <c r="J97" s="999">
        <f t="shared" ref="J97:Z97" si="90">SUM(J100:J110)-J105</f>
        <v>3830238855</v>
      </c>
      <c r="K97" s="999">
        <f t="shared" si="90"/>
        <v>3805459242</v>
      </c>
      <c r="L97" s="999">
        <f t="shared" si="90"/>
        <v>3801783842</v>
      </c>
      <c r="M97" s="999">
        <f>SUM(M98:M110)-M105</f>
        <v>3893326023</v>
      </c>
      <c r="N97" s="999">
        <f>SUM(N98:N110)-N105</f>
        <v>3893326023</v>
      </c>
      <c r="O97" s="999">
        <f>SUM(O98:O110)-O105</f>
        <v>3851656340</v>
      </c>
      <c r="P97" s="999">
        <f t="shared" si="90"/>
        <v>196907313</v>
      </c>
      <c r="Q97" s="999">
        <f t="shared" si="90"/>
        <v>189937427</v>
      </c>
      <c r="R97" s="999">
        <f t="shared" si="90"/>
        <v>185445836</v>
      </c>
      <c r="S97" s="999">
        <f t="shared" si="90"/>
        <v>182582486</v>
      </c>
      <c r="T97" s="999">
        <f t="shared" si="90"/>
        <v>182582486</v>
      </c>
      <c r="U97" s="999">
        <f t="shared" si="90"/>
        <v>171884381</v>
      </c>
      <c r="V97" s="999">
        <f t="shared" si="90"/>
        <v>0</v>
      </c>
      <c r="W97" s="999">
        <f t="shared" si="90"/>
        <v>0</v>
      </c>
      <c r="X97" s="999">
        <f t="shared" si="90"/>
        <v>0</v>
      </c>
      <c r="Y97" s="999">
        <f t="shared" si="90"/>
        <v>0</v>
      </c>
      <c r="Z97" s="999">
        <f t="shared" si="90"/>
        <v>0</v>
      </c>
      <c r="AA97" s="999">
        <v>0</v>
      </c>
      <c r="AB97" s="1890">
        <f t="shared" si="84"/>
        <v>4027146168</v>
      </c>
      <c r="AC97" s="1890">
        <f t="shared" si="85"/>
        <v>3995396669</v>
      </c>
      <c r="AD97" s="1890">
        <f t="shared" si="86"/>
        <v>3987229678</v>
      </c>
      <c r="AE97" s="1890">
        <f t="shared" si="86"/>
        <v>4075908509</v>
      </c>
      <c r="AF97" s="1890">
        <f t="shared" si="86"/>
        <v>4075908509</v>
      </c>
      <c r="AG97" s="2383">
        <f t="shared" si="86"/>
        <v>4023540721</v>
      </c>
      <c r="AH97" s="2391">
        <f t="shared" si="78"/>
        <v>0</v>
      </c>
      <c r="AI97" s="79">
        <f t="shared" si="79"/>
        <v>0</v>
      </c>
      <c r="AJ97" s="79">
        <f t="shared" si="80"/>
        <v>0</v>
      </c>
      <c r="AK97" s="79">
        <f t="shared" si="81"/>
        <v>0</v>
      </c>
      <c r="AL97" s="79">
        <f t="shared" si="82"/>
        <v>0</v>
      </c>
      <c r="AM97" s="1684">
        <f t="shared" si="83"/>
        <v>0</v>
      </c>
      <c r="AN97" s="137"/>
      <c r="AO97" s="137"/>
      <c r="AP97" s="137"/>
      <c r="AQ97" s="137"/>
    </row>
    <row r="98" spans="1:43" ht="12" customHeight="1">
      <c r="A98" s="1971" t="s">
        <v>183</v>
      </c>
      <c r="B98" s="2027" t="s">
        <v>320</v>
      </c>
      <c r="C98" s="1973">
        <v>0</v>
      </c>
      <c r="D98" s="1973">
        <v>0</v>
      </c>
      <c r="E98" s="1973">
        <v>0</v>
      </c>
      <c r="F98" s="1973">
        <v>0</v>
      </c>
      <c r="G98" s="1973">
        <f>+'33. mell. E.műk.c.kiad.'!N9</f>
        <v>1130236</v>
      </c>
      <c r="H98" s="1973">
        <f>+'33. mell. E.műk.c.kiad.'!O9</f>
        <v>1130236</v>
      </c>
      <c r="I98" s="1973">
        <f>+'33. mell. E.műk.c.kiad.'!P9</f>
        <v>1130236</v>
      </c>
      <c r="J98" s="999">
        <v>0</v>
      </c>
      <c r="K98" s="999">
        <v>0</v>
      </c>
      <c r="L98" s="999">
        <v>0</v>
      </c>
      <c r="M98" s="999">
        <f>+'33. mell. E.műk.c.kiad.'!N9</f>
        <v>1130236</v>
      </c>
      <c r="N98" s="999">
        <f>+'33. mell. E.műk.c.kiad.'!O9</f>
        <v>1130236</v>
      </c>
      <c r="O98" s="999">
        <f>+'33. mell. E.műk.c.kiad.'!P9</f>
        <v>1130236</v>
      </c>
      <c r="P98" s="999">
        <v>0</v>
      </c>
      <c r="Q98" s="999">
        <v>0</v>
      </c>
      <c r="R98" s="999">
        <v>0</v>
      </c>
      <c r="S98" s="999">
        <v>0</v>
      </c>
      <c r="T98" s="999">
        <v>0</v>
      </c>
      <c r="U98" s="999">
        <v>0</v>
      </c>
      <c r="V98" s="999">
        <v>0</v>
      </c>
      <c r="W98" s="999">
        <v>0</v>
      </c>
      <c r="X98" s="999">
        <v>0</v>
      </c>
      <c r="Y98" s="999">
        <v>0</v>
      </c>
      <c r="Z98" s="999"/>
      <c r="AA98" s="999">
        <v>0</v>
      </c>
      <c r="AB98" s="1890">
        <f t="shared" si="84"/>
        <v>0</v>
      </c>
      <c r="AC98" s="1890">
        <f t="shared" si="85"/>
        <v>0</v>
      </c>
      <c r="AD98" s="1890">
        <v>0</v>
      </c>
      <c r="AE98" s="1890">
        <f t="shared" ref="AE98:AE110" si="91">+M98+S98+Y98</f>
        <v>1130236</v>
      </c>
      <c r="AF98" s="1890">
        <f t="shared" ref="AF98:AF110" si="92">+N98+T98+Z98</f>
        <v>1130236</v>
      </c>
      <c r="AG98" s="2383">
        <f t="shared" ref="AG98:AG110" si="93">+O98+U98+AA98</f>
        <v>1130236</v>
      </c>
      <c r="AH98" s="2391">
        <f t="shared" si="78"/>
        <v>0</v>
      </c>
      <c r="AI98" s="79">
        <f t="shared" si="79"/>
        <v>0</v>
      </c>
      <c r="AJ98" s="79">
        <f t="shared" si="80"/>
        <v>0</v>
      </c>
      <c r="AK98" s="79">
        <f t="shared" si="81"/>
        <v>0</v>
      </c>
      <c r="AL98" s="79">
        <f t="shared" si="82"/>
        <v>0</v>
      </c>
      <c r="AM98" s="1684">
        <f t="shared" si="83"/>
        <v>0</v>
      </c>
      <c r="AN98" s="137"/>
      <c r="AO98" s="137"/>
      <c r="AP98" s="137"/>
      <c r="AQ98" s="137"/>
    </row>
    <row r="99" spans="1:43" ht="12" customHeight="1">
      <c r="A99" s="1971" t="s">
        <v>321</v>
      </c>
      <c r="B99" s="2028" t="s">
        <v>322</v>
      </c>
      <c r="C99" s="1973">
        <v>0</v>
      </c>
      <c r="D99" s="1973">
        <v>0</v>
      </c>
      <c r="E99" s="1973">
        <v>0</v>
      </c>
      <c r="F99" s="1973">
        <v>0</v>
      </c>
      <c r="G99" s="1973">
        <f>+'33. mell. E.műk.c.kiad.'!N12+'33. mell. E.műk.c.kiad.'!N11</f>
        <v>3102477770</v>
      </c>
      <c r="H99" s="1973">
        <f>+'33. mell. E.műk.c.kiad.'!O12+'33. mell. E.műk.c.kiad.'!O11</f>
        <v>3102477770</v>
      </c>
      <c r="I99" s="1973">
        <f>+'33. mell. E.műk.c.kiad.'!P12+'33. mell. E.műk.c.kiad.'!P11</f>
        <v>3102477770</v>
      </c>
      <c r="J99" s="999">
        <v>0</v>
      </c>
      <c r="K99" s="999">
        <v>0</v>
      </c>
      <c r="L99" s="999">
        <v>0</v>
      </c>
      <c r="M99" s="999">
        <f>+'33. mell. E.műk.c.kiad.'!N12+'33. mell. E.műk.c.kiad.'!N11</f>
        <v>3102477770</v>
      </c>
      <c r="N99" s="999">
        <f>+'33. mell. E.műk.c.kiad.'!O12+'33. mell. E.műk.c.kiad.'!O11</f>
        <v>3102477770</v>
      </c>
      <c r="O99" s="999">
        <f>+'33. mell. E.műk.c.kiad.'!P12+'33. mell. E.műk.c.kiad.'!P11</f>
        <v>3102477770</v>
      </c>
      <c r="P99" s="999">
        <v>0</v>
      </c>
      <c r="Q99" s="999">
        <v>0</v>
      </c>
      <c r="R99" s="999">
        <v>0</v>
      </c>
      <c r="S99" s="999">
        <v>0</v>
      </c>
      <c r="T99" s="999">
        <v>0</v>
      </c>
      <c r="U99" s="999">
        <v>0</v>
      </c>
      <c r="V99" s="999">
        <v>0</v>
      </c>
      <c r="W99" s="999">
        <v>0</v>
      </c>
      <c r="X99" s="999">
        <v>0</v>
      </c>
      <c r="Y99" s="999">
        <v>0</v>
      </c>
      <c r="Z99" s="999"/>
      <c r="AA99" s="999">
        <v>0</v>
      </c>
      <c r="AB99" s="1890">
        <f t="shared" si="84"/>
        <v>0</v>
      </c>
      <c r="AC99" s="1890">
        <f t="shared" si="85"/>
        <v>0</v>
      </c>
      <c r="AD99" s="1890">
        <v>0</v>
      </c>
      <c r="AE99" s="1890">
        <f t="shared" si="91"/>
        <v>3102477770</v>
      </c>
      <c r="AF99" s="1890">
        <f t="shared" si="92"/>
        <v>3102477770</v>
      </c>
      <c r="AG99" s="2383">
        <f t="shared" si="93"/>
        <v>3102477770</v>
      </c>
      <c r="AH99" s="2391">
        <f t="shared" si="78"/>
        <v>0</v>
      </c>
      <c r="AI99" s="79">
        <f t="shared" si="79"/>
        <v>0</v>
      </c>
      <c r="AJ99" s="79">
        <f t="shared" si="80"/>
        <v>0</v>
      </c>
      <c r="AK99" s="79">
        <f t="shared" si="81"/>
        <v>0</v>
      </c>
      <c r="AL99" s="79">
        <f t="shared" si="82"/>
        <v>0</v>
      </c>
      <c r="AM99" s="1684">
        <f t="shared" si="83"/>
        <v>0</v>
      </c>
      <c r="AN99" s="137"/>
      <c r="AO99" s="137"/>
      <c r="AP99" s="137"/>
      <c r="AQ99" s="137"/>
    </row>
    <row r="100" spans="1:43" ht="12" customHeight="1">
      <c r="A100" s="1971" t="s">
        <v>323</v>
      </c>
      <c r="B100" s="2028" t="s">
        <v>324</v>
      </c>
      <c r="C100" s="1973">
        <f>+'33. mell. E.műk.c.kiad.'!I13</f>
        <v>2473598849</v>
      </c>
      <c r="D100" s="1973">
        <f>+'33. mell. E.műk.c.kiad.'!K13</f>
        <v>3018447566</v>
      </c>
      <c r="E100" s="1973">
        <f>+'33. mell. E.műk.c.kiad.'!L13</f>
        <v>3018910144</v>
      </c>
      <c r="F100" s="1973">
        <f>+'33. mell. E.műk.c.kiad.'!M13</f>
        <v>3018910144</v>
      </c>
      <c r="G100" s="1973">
        <v>0</v>
      </c>
      <c r="H100" s="1973">
        <v>0</v>
      </c>
      <c r="I100" s="1973">
        <v>0</v>
      </c>
      <c r="J100" s="999">
        <f>+'33. mell. E.műk.c.kiad.'!K13</f>
        <v>3018447566</v>
      </c>
      <c r="K100" s="999">
        <f>+'33. mell. E.műk.c.kiad.'!L13</f>
        <v>3018910144</v>
      </c>
      <c r="L100" s="999">
        <f>+'33. mell. E.műk.c.kiad.'!M13</f>
        <v>3018910144</v>
      </c>
      <c r="M100" s="999">
        <v>0</v>
      </c>
      <c r="N100" s="999">
        <v>0</v>
      </c>
      <c r="O100" s="999">
        <v>0</v>
      </c>
      <c r="P100" s="999">
        <v>0</v>
      </c>
      <c r="Q100" s="999">
        <v>0</v>
      </c>
      <c r="R100" s="999">
        <v>0</v>
      </c>
      <c r="S100" s="999">
        <v>0</v>
      </c>
      <c r="T100" s="999">
        <v>0</v>
      </c>
      <c r="U100" s="999">
        <v>0</v>
      </c>
      <c r="V100" s="999">
        <v>0</v>
      </c>
      <c r="W100" s="999">
        <v>0</v>
      </c>
      <c r="X100" s="999">
        <v>0</v>
      </c>
      <c r="Y100" s="999">
        <v>0</v>
      </c>
      <c r="Z100" s="999"/>
      <c r="AA100" s="999">
        <v>0</v>
      </c>
      <c r="AB100" s="1890">
        <f t="shared" si="84"/>
        <v>3018447566</v>
      </c>
      <c r="AC100" s="1890">
        <f t="shared" si="85"/>
        <v>3018910144</v>
      </c>
      <c r="AD100" s="1890">
        <f t="shared" ref="AD100:AD110" si="94">+L100+R100+X100</f>
        <v>3018910144</v>
      </c>
      <c r="AE100" s="1890">
        <f t="shared" si="91"/>
        <v>0</v>
      </c>
      <c r="AF100" s="1890">
        <f t="shared" si="92"/>
        <v>0</v>
      </c>
      <c r="AG100" s="2383">
        <f t="shared" si="93"/>
        <v>0</v>
      </c>
      <c r="AH100" s="2391">
        <f t="shared" si="78"/>
        <v>0</v>
      </c>
      <c r="AI100" s="79">
        <f t="shared" si="79"/>
        <v>0</v>
      </c>
      <c r="AJ100" s="79">
        <f t="shared" si="80"/>
        <v>0</v>
      </c>
      <c r="AK100" s="79">
        <f t="shared" si="81"/>
        <v>0</v>
      </c>
      <c r="AL100" s="79">
        <f t="shared" si="82"/>
        <v>0</v>
      </c>
      <c r="AM100" s="1684">
        <f t="shared" si="83"/>
        <v>0</v>
      </c>
      <c r="AN100" s="137"/>
      <c r="AO100" s="137"/>
      <c r="AP100" s="137"/>
      <c r="AQ100" s="137"/>
    </row>
    <row r="101" spans="1:43" ht="12" customHeight="1">
      <c r="A101" s="1971" t="s">
        <v>325</v>
      </c>
      <c r="B101" s="2028" t="s">
        <v>326</v>
      </c>
      <c r="C101" s="1973">
        <f>+'33. mell. E.műk.c.kiad.'!I14</f>
        <v>0</v>
      </c>
      <c r="D101" s="1973">
        <f>+'33. mell. E.műk.c.kiad.'!K14</f>
        <v>0</v>
      </c>
      <c r="E101" s="1973">
        <f>+'33. mell. E.műk.c.kiad.'!L14</f>
        <v>0</v>
      </c>
      <c r="F101" s="1973">
        <f>+'33. mell. E.műk.c.kiad.'!M14</f>
        <v>0</v>
      </c>
      <c r="G101" s="1973">
        <f>+'33. mell. E.műk.c.kiad.'!N14</f>
        <v>0</v>
      </c>
      <c r="H101" s="1973">
        <f>+'33. mell. E.műk.c.kiad.'!O14</f>
        <v>0</v>
      </c>
      <c r="I101" s="1973">
        <f>+'33. mell. E.műk.c.kiad.'!P14</f>
        <v>0</v>
      </c>
      <c r="J101" s="1973">
        <f>+'33. mell. E.műk.c.kiad.'!K14</f>
        <v>0</v>
      </c>
      <c r="K101" s="999">
        <v>0</v>
      </c>
      <c r="L101" s="999">
        <v>0</v>
      </c>
      <c r="M101" s="999">
        <v>0</v>
      </c>
      <c r="N101" s="999">
        <v>0</v>
      </c>
      <c r="O101" s="999">
        <v>0</v>
      </c>
      <c r="P101" s="1973">
        <v>0</v>
      </c>
      <c r="Q101" s="999">
        <v>0</v>
      </c>
      <c r="R101" s="999">
        <v>0</v>
      </c>
      <c r="S101" s="999">
        <v>0</v>
      </c>
      <c r="T101" s="999">
        <v>0</v>
      </c>
      <c r="U101" s="999">
        <v>0</v>
      </c>
      <c r="V101" s="999">
        <v>0</v>
      </c>
      <c r="W101" s="999">
        <v>0</v>
      </c>
      <c r="X101" s="999">
        <v>0</v>
      </c>
      <c r="Y101" s="999">
        <v>0</v>
      </c>
      <c r="Z101" s="999"/>
      <c r="AA101" s="999">
        <v>0</v>
      </c>
      <c r="AB101" s="1890">
        <f t="shared" si="84"/>
        <v>0</v>
      </c>
      <c r="AC101" s="1890">
        <f t="shared" si="85"/>
        <v>0</v>
      </c>
      <c r="AD101" s="1890">
        <f t="shared" si="94"/>
        <v>0</v>
      </c>
      <c r="AE101" s="1890">
        <f t="shared" si="91"/>
        <v>0</v>
      </c>
      <c r="AF101" s="1890">
        <f t="shared" si="92"/>
        <v>0</v>
      </c>
      <c r="AG101" s="2383">
        <f t="shared" si="93"/>
        <v>0</v>
      </c>
      <c r="AH101" s="2391">
        <f t="shared" si="78"/>
        <v>0</v>
      </c>
      <c r="AI101" s="79">
        <f t="shared" si="79"/>
        <v>0</v>
      </c>
      <c r="AJ101" s="79">
        <f t="shared" si="80"/>
        <v>0</v>
      </c>
      <c r="AK101" s="79">
        <f t="shared" si="81"/>
        <v>0</v>
      </c>
      <c r="AL101" s="79">
        <f t="shared" si="82"/>
        <v>0</v>
      </c>
      <c r="AM101" s="1684">
        <f t="shared" si="83"/>
        <v>0</v>
      </c>
      <c r="AN101" s="137"/>
      <c r="AO101" s="137"/>
      <c r="AP101" s="137"/>
      <c r="AQ101" s="137"/>
    </row>
    <row r="102" spans="1:43" ht="12" customHeight="1">
      <c r="A102" s="1971" t="s">
        <v>327</v>
      </c>
      <c r="B102" s="2027" t="s">
        <v>328</v>
      </c>
      <c r="C102" s="1973">
        <f>+'33. mell. E.műk.c.kiad.'!I20</f>
        <v>0</v>
      </c>
      <c r="D102" s="1973">
        <f>+'33. mell. E.műk.c.kiad.'!K20</f>
        <v>0</v>
      </c>
      <c r="E102" s="1973">
        <f>+'33. mell. E.műk.c.kiad.'!L20</f>
        <v>0</v>
      </c>
      <c r="F102" s="1973">
        <f>+'33. mell. E.műk.c.kiad.'!M20</f>
        <v>0</v>
      </c>
      <c r="G102" s="1973">
        <f>+'33. mell. E.műk.c.kiad.'!N20</f>
        <v>0</v>
      </c>
      <c r="H102" s="1973">
        <f>+'33. mell. E.műk.c.kiad.'!O20</f>
        <v>0</v>
      </c>
      <c r="I102" s="1973">
        <f>+'33. mell. E.műk.c.kiad.'!P20</f>
        <v>0</v>
      </c>
      <c r="J102" s="1973">
        <f>+'33. mell. E.műk.c.kiad.'!K20</f>
        <v>0</v>
      </c>
      <c r="K102" s="999">
        <v>0</v>
      </c>
      <c r="L102" s="999">
        <v>0</v>
      </c>
      <c r="M102" s="999">
        <v>0</v>
      </c>
      <c r="N102" s="999">
        <v>0</v>
      </c>
      <c r="O102" s="999">
        <v>0</v>
      </c>
      <c r="P102" s="1973">
        <v>0</v>
      </c>
      <c r="Q102" s="999">
        <v>0</v>
      </c>
      <c r="R102" s="999">
        <v>0</v>
      </c>
      <c r="S102" s="999">
        <v>0</v>
      </c>
      <c r="T102" s="999">
        <v>0</v>
      </c>
      <c r="U102" s="999">
        <v>0</v>
      </c>
      <c r="V102" s="999">
        <v>0</v>
      </c>
      <c r="W102" s="999">
        <v>0</v>
      </c>
      <c r="X102" s="999">
        <v>0</v>
      </c>
      <c r="Y102" s="999">
        <v>0</v>
      </c>
      <c r="Z102" s="999"/>
      <c r="AA102" s="999">
        <v>0</v>
      </c>
      <c r="AB102" s="1890">
        <f t="shared" si="84"/>
        <v>0</v>
      </c>
      <c r="AC102" s="1890">
        <f t="shared" si="85"/>
        <v>0</v>
      </c>
      <c r="AD102" s="1890">
        <f t="shared" si="94"/>
        <v>0</v>
      </c>
      <c r="AE102" s="1890">
        <f t="shared" si="91"/>
        <v>0</v>
      </c>
      <c r="AF102" s="1890">
        <f t="shared" si="92"/>
        <v>0</v>
      </c>
      <c r="AG102" s="2383">
        <f t="shared" si="93"/>
        <v>0</v>
      </c>
      <c r="AH102" s="2391">
        <f t="shared" si="78"/>
        <v>0</v>
      </c>
      <c r="AI102" s="79">
        <f t="shared" si="79"/>
        <v>0</v>
      </c>
      <c r="AJ102" s="79">
        <f t="shared" si="80"/>
        <v>0</v>
      </c>
      <c r="AK102" s="79">
        <f t="shared" si="81"/>
        <v>0</v>
      </c>
      <c r="AL102" s="79">
        <f t="shared" si="82"/>
        <v>0</v>
      </c>
      <c r="AM102" s="1684">
        <f t="shared" si="83"/>
        <v>0</v>
      </c>
      <c r="AN102" s="137"/>
      <c r="AO102" s="137"/>
      <c r="AP102" s="137"/>
      <c r="AQ102" s="137"/>
    </row>
    <row r="103" spans="1:43" ht="12" customHeight="1">
      <c r="A103" s="1971" t="s">
        <v>329</v>
      </c>
      <c r="B103" s="2027" t="s">
        <v>330</v>
      </c>
      <c r="C103" s="1973">
        <f>+'33. mell. E.műk.c.kiad.'!I21</f>
        <v>0</v>
      </c>
      <c r="D103" s="1973">
        <f>+'33. mell. E.műk.c.kiad.'!K21</f>
        <v>0</v>
      </c>
      <c r="E103" s="1973">
        <f>+'33. mell. E.műk.c.kiad.'!L21</f>
        <v>0</v>
      </c>
      <c r="F103" s="1973">
        <f>+'33. mell. E.műk.c.kiad.'!M21</f>
        <v>0</v>
      </c>
      <c r="G103" s="1973">
        <f>+'33. mell. E.műk.c.kiad.'!N21</f>
        <v>0</v>
      </c>
      <c r="H103" s="1973">
        <f>+'33. mell. E.műk.c.kiad.'!O21</f>
        <v>0</v>
      </c>
      <c r="I103" s="1973">
        <f>+'33. mell. E.műk.c.kiad.'!P21</f>
        <v>0</v>
      </c>
      <c r="J103" s="1973">
        <f>+'33. mell. E.műk.c.kiad.'!K21</f>
        <v>0</v>
      </c>
      <c r="K103" s="999">
        <v>0</v>
      </c>
      <c r="L103" s="999">
        <v>0</v>
      </c>
      <c r="M103" s="999">
        <v>0</v>
      </c>
      <c r="N103" s="999">
        <v>0</v>
      </c>
      <c r="O103" s="999">
        <v>0</v>
      </c>
      <c r="P103" s="1973">
        <v>0</v>
      </c>
      <c r="Q103" s="999">
        <v>0</v>
      </c>
      <c r="R103" s="999">
        <v>0</v>
      </c>
      <c r="S103" s="999">
        <v>0</v>
      </c>
      <c r="T103" s="999">
        <v>0</v>
      </c>
      <c r="U103" s="999">
        <v>0</v>
      </c>
      <c r="V103" s="999">
        <v>0</v>
      </c>
      <c r="W103" s="999">
        <v>0</v>
      </c>
      <c r="X103" s="999">
        <v>0</v>
      </c>
      <c r="Y103" s="999">
        <v>0</v>
      </c>
      <c r="Z103" s="999"/>
      <c r="AA103" s="999">
        <v>0</v>
      </c>
      <c r="AB103" s="1890">
        <f t="shared" si="84"/>
        <v>0</v>
      </c>
      <c r="AC103" s="1890">
        <f t="shared" si="85"/>
        <v>0</v>
      </c>
      <c r="AD103" s="1890">
        <f t="shared" si="94"/>
        <v>0</v>
      </c>
      <c r="AE103" s="1890">
        <f t="shared" si="91"/>
        <v>0</v>
      </c>
      <c r="AF103" s="1890">
        <f t="shared" si="92"/>
        <v>0</v>
      </c>
      <c r="AG103" s="2383">
        <f t="shared" si="93"/>
        <v>0</v>
      </c>
      <c r="AH103" s="2391">
        <f t="shared" si="78"/>
        <v>0</v>
      </c>
      <c r="AI103" s="79">
        <f t="shared" si="79"/>
        <v>0</v>
      </c>
      <c r="AJ103" s="79">
        <f t="shared" si="80"/>
        <v>0</v>
      </c>
      <c r="AK103" s="79">
        <f t="shared" si="81"/>
        <v>0</v>
      </c>
      <c r="AL103" s="79">
        <f t="shared" si="82"/>
        <v>0</v>
      </c>
      <c r="AM103" s="1684">
        <f t="shared" si="83"/>
        <v>0</v>
      </c>
      <c r="AN103" s="137"/>
      <c r="AO103" s="137"/>
      <c r="AP103" s="137"/>
      <c r="AQ103" s="137"/>
    </row>
    <row r="104" spans="1:43" ht="12" customHeight="1">
      <c r="A104" s="1971" t="s">
        <v>331</v>
      </c>
      <c r="B104" s="2028" t="s">
        <v>332</v>
      </c>
      <c r="C104" s="1973">
        <f>+'33. mell. E.műk.c.kiad.'!I38</f>
        <v>55923285</v>
      </c>
      <c r="D104" s="1973">
        <f>+'33. mell. E.műk.c.kiad.'!K38</f>
        <v>54607539</v>
      </c>
      <c r="E104" s="1973">
        <f>+'33. mell. E.műk.c.kiad.'!L38</f>
        <v>52751739</v>
      </c>
      <c r="F104" s="1973">
        <f>+'33. mell. E.műk.c.kiad.'!M38</f>
        <v>49076339</v>
      </c>
      <c r="G104" s="1973">
        <f>+'33. mell. E.műk.c.kiad.'!N38</f>
        <v>45364139</v>
      </c>
      <c r="H104" s="1973">
        <f>+'33. mell. E.műk.c.kiad.'!O38</f>
        <v>45364139</v>
      </c>
      <c r="I104" s="1973">
        <f>+'33. mell. E.műk.c.kiad.'!P38</f>
        <v>40657656</v>
      </c>
      <c r="J104" s="999">
        <f>+'33. mell. E.műk.c.kiad.'!K28+'33. mell. E.műk.c.kiad.'!K29+'33. mell. E.műk.c.kiad.'!K30+'33. mell. E.műk.c.kiad.'!K31+'33. mell. E.műk.c.kiad.'!K32+'33. mell. E.műk.c.kiad.'!K33+'33. mell. E.műk.c.kiad.'!K34+'33. mell. E.műk.c.kiad.'!K37</f>
        <v>54607539</v>
      </c>
      <c r="K104" s="999">
        <f>+'33. mell. E.műk.c.kiad.'!L28+'33. mell. E.műk.c.kiad.'!L29+'33. mell. E.műk.c.kiad.'!L30+'33. mell. E.műk.c.kiad.'!L31+'33. mell. E.műk.c.kiad.'!L32+'33. mell. E.műk.c.kiad.'!L33+'33. mell. E.műk.c.kiad.'!L34+'33. mell. E.műk.c.kiad.'!L37</f>
        <v>52751739</v>
      </c>
      <c r="L104" s="999">
        <f>+'33. mell. E.műk.c.kiad.'!M28+'33. mell. E.műk.c.kiad.'!M29+'33. mell. E.műk.c.kiad.'!M30+'33. mell. E.műk.c.kiad.'!M31+'33. mell. E.műk.c.kiad.'!M32+'33. mell. E.műk.c.kiad.'!M33+'33. mell. E.műk.c.kiad.'!M34+'33. mell. E.műk.c.kiad.'!M37</f>
        <v>49076339</v>
      </c>
      <c r="M104" s="999">
        <f>+'33. mell. E.műk.c.kiad.'!N28+'33. mell. E.műk.c.kiad.'!N29+'33. mell. E.műk.c.kiad.'!N30+'33. mell. E.műk.c.kiad.'!N31+'33. mell. E.műk.c.kiad.'!N32+'33. mell. E.műk.c.kiad.'!N33+'33. mell. E.műk.c.kiad.'!N34+'33. mell. E.műk.c.kiad.'!N37</f>
        <v>45364139</v>
      </c>
      <c r="N104" s="999">
        <f>+'33. mell. E.műk.c.kiad.'!O28+'33. mell. E.műk.c.kiad.'!O29+'33. mell. E.műk.c.kiad.'!O30+'33. mell. E.műk.c.kiad.'!O31+'33. mell. E.műk.c.kiad.'!O32+'33. mell. E.műk.c.kiad.'!O33+'33. mell. E.műk.c.kiad.'!O34+'33. mell. E.műk.c.kiad.'!O37</f>
        <v>45364139</v>
      </c>
      <c r="O104" s="999">
        <f>+'33. mell. E.műk.c.kiad.'!P28+'33. mell. E.műk.c.kiad.'!P29+'33. mell. E.műk.c.kiad.'!P30+'33. mell. E.műk.c.kiad.'!P31+'33. mell. E.műk.c.kiad.'!P32+'33. mell. E.műk.c.kiad.'!P33+'33. mell. E.műk.c.kiad.'!P34+'33. mell. E.műk.c.kiad.'!P37</f>
        <v>40657656</v>
      </c>
      <c r="P104" s="999">
        <f>+'33. mell. E.műk.c.kiad.'!K27</f>
        <v>0</v>
      </c>
      <c r="Q104" s="999">
        <f>+'33. mell. E.műk.c.kiad.'!L27</f>
        <v>0</v>
      </c>
      <c r="R104" s="999">
        <f>+'33. mell. E.műk.c.kiad.'!M27</f>
        <v>0</v>
      </c>
      <c r="S104" s="999">
        <f>+'33. mell. E.műk.c.kiad.'!N27</f>
        <v>0</v>
      </c>
      <c r="T104" s="999">
        <f>+'33. mell. E.műk.c.kiad.'!O27</f>
        <v>0</v>
      </c>
      <c r="U104" s="999">
        <f>+'33. mell. E.műk.c.kiad.'!P27</f>
        <v>0</v>
      </c>
      <c r="V104" s="999">
        <v>0</v>
      </c>
      <c r="W104" s="999">
        <v>0</v>
      </c>
      <c r="X104" s="999">
        <v>0</v>
      </c>
      <c r="Y104" s="999">
        <v>0</v>
      </c>
      <c r="Z104" s="999">
        <v>0</v>
      </c>
      <c r="AA104" s="999">
        <v>0</v>
      </c>
      <c r="AB104" s="1890">
        <f t="shared" si="84"/>
        <v>54607539</v>
      </c>
      <c r="AC104" s="1890">
        <f t="shared" si="85"/>
        <v>52751739</v>
      </c>
      <c r="AD104" s="1890">
        <f t="shared" si="94"/>
        <v>49076339</v>
      </c>
      <c r="AE104" s="1890">
        <f t="shared" si="91"/>
        <v>45364139</v>
      </c>
      <c r="AF104" s="1890">
        <f t="shared" si="92"/>
        <v>45364139</v>
      </c>
      <c r="AG104" s="2383">
        <f t="shared" si="93"/>
        <v>40657656</v>
      </c>
      <c r="AH104" s="2391">
        <f t="shared" si="78"/>
        <v>0</v>
      </c>
      <c r="AI104" s="79">
        <f t="shared" si="79"/>
        <v>0</v>
      </c>
      <c r="AJ104" s="79">
        <f t="shared" si="80"/>
        <v>0</v>
      </c>
      <c r="AK104" s="79">
        <f t="shared" si="81"/>
        <v>0</v>
      </c>
      <c r="AL104" s="79">
        <f t="shared" si="82"/>
        <v>0</v>
      </c>
      <c r="AM104" s="1684">
        <f t="shared" si="83"/>
        <v>0</v>
      </c>
      <c r="AN104" s="137"/>
      <c r="AO104" s="137"/>
      <c r="AP104" s="137"/>
      <c r="AQ104" s="137"/>
    </row>
    <row r="105" spans="1:43" ht="21" hidden="1" customHeight="1">
      <c r="A105" s="2002" t="s">
        <v>486</v>
      </c>
      <c r="B105" s="2027" t="s">
        <v>498</v>
      </c>
      <c r="C105" s="1973">
        <f>+'33. mell. E.műk.c.kiad.'!I36</f>
        <v>0</v>
      </c>
      <c r="D105" s="1973">
        <f>+'33. mell. E.műk.c.kiad.'!K36</f>
        <v>0</v>
      </c>
      <c r="E105" s="1973">
        <v>0</v>
      </c>
      <c r="F105" s="1973">
        <v>0</v>
      </c>
      <c r="G105" s="1973">
        <v>0</v>
      </c>
      <c r="H105" s="1973">
        <v>0</v>
      </c>
      <c r="I105" s="1973">
        <v>1</v>
      </c>
      <c r="J105" s="999">
        <v>0</v>
      </c>
      <c r="K105" s="999"/>
      <c r="L105" s="999"/>
      <c r="M105" s="999"/>
      <c r="N105" s="999"/>
      <c r="O105" s="999"/>
      <c r="P105" s="999">
        <v>0</v>
      </c>
      <c r="Q105" s="999"/>
      <c r="R105" s="999"/>
      <c r="S105" s="999"/>
      <c r="T105" s="999"/>
      <c r="U105" s="999"/>
      <c r="V105" s="999">
        <v>0</v>
      </c>
      <c r="W105" s="999">
        <v>0</v>
      </c>
      <c r="X105" s="999">
        <v>0</v>
      </c>
      <c r="Y105" s="999">
        <v>0</v>
      </c>
      <c r="Z105" s="999">
        <v>0</v>
      </c>
      <c r="AA105" s="999"/>
      <c r="AB105" s="1890">
        <f t="shared" si="84"/>
        <v>0</v>
      </c>
      <c r="AC105" s="1890">
        <f t="shared" si="85"/>
        <v>0</v>
      </c>
      <c r="AD105" s="1890">
        <f t="shared" si="94"/>
        <v>0</v>
      </c>
      <c r="AE105" s="1890">
        <f t="shared" si="91"/>
        <v>0</v>
      </c>
      <c r="AF105" s="1890">
        <f t="shared" si="92"/>
        <v>0</v>
      </c>
      <c r="AG105" s="2383">
        <f t="shared" si="93"/>
        <v>0</v>
      </c>
      <c r="AH105" s="2391">
        <f t="shared" si="78"/>
        <v>0</v>
      </c>
      <c r="AI105" s="79">
        <f t="shared" si="79"/>
        <v>0</v>
      </c>
      <c r="AJ105" s="79">
        <f t="shared" si="80"/>
        <v>0</v>
      </c>
      <c r="AK105" s="79">
        <f t="shared" si="81"/>
        <v>0</v>
      </c>
      <c r="AL105" s="79">
        <f t="shared" si="82"/>
        <v>0</v>
      </c>
      <c r="AM105" s="1684">
        <f t="shared" si="83"/>
        <v>1</v>
      </c>
      <c r="AN105" s="137"/>
      <c r="AO105" s="137"/>
      <c r="AP105" s="137"/>
      <c r="AQ105" s="137"/>
    </row>
    <row r="106" spans="1:43" ht="12" customHeight="1">
      <c r="A106" s="1971" t="s">
        <v>333</v>
      </c>
      <c r="B106" s="2028" t="s">
        <v>334</v>
      </c>
      <c r="C106" s="1973">
        <f>+'33. mell. E.műk.c.kiad.'!I39</f>
        <v>0</v>
      </c>
      <c r="D106" s="1973">
        <f>+'33. mell. E.műk.c.kiad.'!K39</f>
        <v>0</v>
      </c>
      <c r="E106" s="1973">
        <f>+'33. mell. E.műk.c.kiad.'!L39</f>
        <v>0</v>
      </c>
      <c r="F106" s="1973">
        <f>+'33. mell. E.műk.c.kiad.'!M39</f>
        <v>0</v>
      </c>
      <c r="G106" s="1973">
        <f>+'33. mell. E.műk.c.kiad.'!N39</f>
        <v>0</v>
      </c>
      <c r="H106" s="1973">
        <f>+'33. mell. E.műk.c.kiad.'!O39</f>
        <v>0</v>
      </c>
      <c r="I106" s="1973">
        <f>+'33. mell. E.műk.c.kiad.'!P39</f>
        <v>0</v>
      </c>
      <c r="J106" s="999">
        <v>0</v>
      </c>
      <c r="K106" s="999">
        <v>0</v>
      </c>
      <c r="L106" s="999">
        <v>0</v>
      </c>
      <c r="M106" s="999">
        <v>0</v>
      </c>
      <c r="N106" s="999">
        <v>0</v>
      </c>
      <c r="O106" s="999">
        <v>0</v>
      </c>
      <c r="P106" s="999">
        <v>0</v>
      </c>
      <c r="Q106" s="999">
        <v>0</v>
      </c>
      <c r="R106" s="999">
        <v>0</v>
      </c>
      <c r="S106" s="999">
        <v>0</v>
      </c>
      <c r="T106" s="999">
        <v>0</v>
      </c>
      <c r="U106" s="999">
        <v>0</v>
      </c>
      <c r="V106" s="999">
        <v>0</v>
      </c>
      <c r="W106" s="999">
        <v>0</v>
      </c>
      <c r="X106" s="999">
        <v>0</v>
      </c>
      <c r="Y106" s="999">
        <v>0</v>
      </c>
      <c r="Z106" s="999"/>
      <c r="AA106" s="999">
        <v>0</v>
      </c>
      <c r="AB106" s="1890">
        <f t="shared" si="84"/>
        <v>0</v>
      </c>
      <c r="AC106" s="1890">
        <f t="shared" si="85"/>
        <v>0</v>
      </c>
      <c r="AD106" s="1890">
        <f t="shared" si="94"/>
        <v>0</v>
      </c>
      <c r="AE106" s="1890">
        <f t="shared" si="91"/>
        <v>0</v>
      </c>
      <c r="AF106" s="1890">
        <f t="shared" si="92"/>
        <v>0</v>
      </c>
      <c r="AG106" s="2383">
        <f t="shared" si="93"/>
        <v>0</v>
      </c>
      <c r="AH106" s="2391">
        <f t="shared" si="78"/>
        <v>0</v>
      </c>
      <c r="AI106" s="79">
        <f t="shared" si="79"/>
        <v>0</v>
      </c>
      <c r="AJ106" s="79">
        <f t="shared" si="80"/>
        <v>0</v>
      </c>
      <c r="AK106" s="79">
        <f t="shared" si="81"/>
        <v>0</v>
      </c>
      <c r="AL106" s="79">
        <f t="shared" si="82"/>
        <v>0</v>
      </c>
      <c r="AM106" s="1684">
        <f t="shared" si="83"/>
        <v>0</v>
      </c>
      <c r="AN106" s="137"/>
      <c r="AO106" s="137"/>
      <c r="AP106" s="137"/>
      <c r="AQ106" s="137"/>
    </row>
    <row r="107" spans="1:43" ht="12" customHeight="1">
      <c r="A107" s="1971" t="s">
        <v>335</v>
      </c>
      <c r="B107" s="2027" t="s">
        <v>336</v>
      </c>
      <c r="C107" s="1973">
        <f>+'33. mell. E.műk.c.kiad.'!I49</f>
        <v>16500000</v>
      </c>
      <c r="D107" s="1973">
        <f>+'33. mell. E.műk.c.kiad.'!K49</f>
        <v>16000000</v>
      </c>
      <c r="E107" s="1973">
        <f>+'33. mell. E.műk.c.kiad.'!L49</f>
        <v>16000000</v>
      </c>
      <c r="F107" s="1973">
        <f>+'33. mell. E.műk.c.kiad.'!M49</f>
        <v>16000000</v>
      </c>
      <c r="G107" s="1973">
        <f>+'33. mell. E.műk.c.kiad.'!N49</f>
        <v>16000000</v>
      </c>
      <c r="H107" s="1973">
        <f>+'33. mell. E.műk.c.kiad.'!O49</f>
        <v>16000000</v>
      </c>
      <c r="I107" s="1973">
        <f>+'33. mell. E.műk.c.kiad.'!P49</f>
        <v>15000000</v>
      </c>
      <c r="J107" s="999">
        <v>0</v>
      </c>
      <c r="K107" s="999">
        <v>0</v>
      </c>
      <c r="L107" s="999">
        <v>0</v>
      </c>
      <c r="M107" s="999">
        <v>0</v>
      </c>
      <c r="N107" s="999">
        <v>0</v>
      </c>
      <c r="O107" s="999">
        <v>0</v>
      </c>
      <c r="P107" s="999">
        <f>+'33. mell. E.műk.c.kiad.'!K49</f>
        <v>16000000</v>
      </c>
      <c r="Q107" s="999">
        <f>+'33. mell. E.műk.c.kiad.'!L49</f>
        <v>16000000</v>
      </c>
      <c r="R107" s="999">
        <f>+'33. mell. E.műk.c.kiad.'!M49</f>
        <v>16000000</v>
      </c>
      <c r="S107" s="999">
        <f>+'33. mell. E.műk.c.kiad.'!N49</f>
        <v>16000000</v>
      </c>
      <c r="T107" s="999">
        <f>+'33. mell. E.műk.c.kiad.'!O49</f>
        <v>16000000</v>
      </c>
      <c r="U107" s="999">
        <f>+'33. mell. E.műk.c.kiad.'!P49</f>
        <v>15000000</v>
      </c>
      <c r="V107" s="999">
        <v>0</v>
      </c>
      <c r="W107" s="999">
        <v>0</v>
      </c>
      <c r="X107" s="999">
        <v>0</v>
      </c>
      <c r="Y107" s="999">
        <v>0</v>
      </c>
      <c r="Z107" s="999"/>
      <c r="AA107" s="999">
        <v>0</v>
      </c>
      <c r="AB107" s="1890">
        <f t="shared" si="84"/>
        <v>16000000</v>
      </c>
      <c r="AC107" s="1890">
        <f t="shared" si="85"/>
        <v>16000000</v>
      </c>
      <c r="AD107" s="1890">
        <f t="shared" si="94"/>
        <v>16000000</v>
      </c>
      <c r="AE107" s="1890">
        <f t="shared" si="91"/>
        <v>16000000</v>
      </c>
      <c r="AF107" s="1890">
        <f t="shared" si="92"/>
        <v>16000000</v>
      </c>
      <c r="AG107" s="2383">
        <f t="shared" si="93"/>
        <v>15000000</v>
      </c>
      <c r="AH107" s="2391">
        <f t="shared" si="78"/>
        <v>0</v>
      </c>
      <c r="AI107" s="79">
        <f t="shared" si="79"/>
        <v>0</v>
      </c>
      <c r="AJ107" s="79">
        <f t="shared" si="80"/>
        <v>0</v>
      </c>
      <c r="AK107" s="79">
        <f t="shared" si="81"/>
        <v>0</v>
      </c>
      <c r="AL107" s="79">
        <f t="shared" si="82"/>
        <v>0</v>
      </c>
      <c r="AM107" s="1684">
        <f t="shared" si="83"/>
        <v>0</v>
      </c>
      <c r="AN107" s="137"/>
      <c r="AO107" s="137"/>
      <c r="AP107" s="137"/>
      <c r="AQ107" s="137"/>
    </row>
    <row r="108" spans="1:43" ht="12" customHeight="1">
      <c r="A108" s="1971" t="s">
        <v>337</v>
      </c>
      <c r="B108" s="2027" t="s">
        <v>338</v>
      </c>
      <c r="C108" s="1973">
        <v>0</v>
      </c>
      <c r="D108" s="1973">
        <v>0</v>
      </c>
      <c r="E108" s="1973">
        <f t="shared" ref="E108:I109" si="95">+D108</f>
        <v>0</v>
      </c>
      <c r="F108" s="1973">
        <f t="shared" si="95"/>
        <v>0</v>
      </c>
      <c r="G108" s="1973">
        <f t="shared" si="95"/>
        <v>0</v>
      </c>
      <c r="H108" s="1973">
        <f t="shared" si="95"/>
        <v>0</v>
      </c>
      <c r="I108" s="1973">
        <f t="shared" si="95"/>
        <v>0</v>
      </c>
      <c r="J108" s="999">
        <v>0</v>
      </c>
      <c r="K108" s="999">
        <v>0</v>
      </c>
      <c r="L108" s="999">
        <v>0</v>
      </c>
      <c r="M108" s="999">
        <v>0</v>
      </c>
      <c r="N108" s="999">
        <v>0</v>
      </c>
      <c r="O108" s="999">
        <v>0</v>
      </c>
      <c r="P108" s="999">
        <v>0</v>
      </c>
      <c r="Q108" s="999">
        <v>0</v>
      </c>
      <c r="R108" s="999">
        <v>0</v>
      </c>
      <c r="S108" s="999">
        <v>0</v>
      </c>
      <c r="T108" s="999">
        <v>0</v>
      </c>
      <c r="U108" s="999">
        <v>0</v>
      </c>
      <c r="V108" s="999">
        <v>0</v>
      </c>
      <c r="W108" s="999">
        <v>0</v>
      </c>
      <c r="X108" s="999">
        <v>0</v>
      </c>
      <c r="Y108" s="999">
        <v>0</v>
      </c>
      <c r="Z108" s="999"/>
      <c r="AA108" s="999">
        <v>0</v>
      </c>
      <c r="AB108" s="1890">
        <f t="shared" si="84"/>
        <v>0</v>
      </c>
      <c r="AC108" s="1890">
        <f t="shared" si="85"/>
        <v>0</v>
      </c>
      <c r="AD108" s="1890">
        <f t="shared" si="94"/>
        <v>0</v>
      </c>
      <c r="AE108" s="2057">
        <f t="shared" si="91"/>
        <v>0</v>
      </c>
      <c r="AF108" s="2057">
        <f t="shared" si="92"/>
        <v>0</v>
      </c>
      <c r="AG108" s="2384">
        <f t="shared" si="93"/>
        <v>0</v>
      </c>
      <c r="AH108" s="2391">
        <f t="shared" si="78"/>
        <v>0</v>
      </c>
      <c r="AI108" s="79">
        <f t="shared" si="79"/>
        <v>0</v>
      </c>
      <c r="AJ108" s="79">
        <f t="shared" si="80"/>
        <v>0</v>
      </c>
      <c r="AK108" s="79">
        <f t="shared" si="81"/>
        <v>0</v>
      </c>
      <c r="AL108" s="79">
        <f t="shared" si="82"/>
        <v>0</v>
      </c>
      <c r="AM108" s="1684">
        <f t="shared" si="83"/>
        <v>0</v>
      </c>
      <c r="AN108" s="137"/>
      <c r="AO108" s="137"/>
      <c r="AP108" s="137"/>
      <c r="AQ108" s="137"/>
    </row>
    <row r="109" spans="1:43" ht="12" customHeight="1">
      <c r="A109" s="1971" t="s">
        <v>339</v>
      </c>
      <c r="B109" s="2027" t="s">
        <v>340</v>
      </c>
      <c r="C109" s="1973">
        <v>0</v>
      </c>
      <c r="D109" s="1973">
        <v>0</v>
      </c>
      <c r="E109" s="1973">
        <f t="shared" si="95"/>
        <v>0</v>
      </c>
      <c r="F109" s="1973">
        <f t="shared" si="95"/>
        <v>0</v>
      </c>
      <c r="G109" s="1973">
        <f t="shared" si="95"/>
        <v>0</v>
      </c>
      <c r="H109" s="1973">
        <f t="shared" si="95"/>
        <v>0</v>
      </c>
      <c r="I109" s="1973">
        <f t="shared" si="95"/>
        <v>0</v>
      </c>
      <c r="J109" s="999">
        <v>0</v>
      </c>
      <c r="K109" s="999">
        <v>0</v>
      </c>
      <c r="L109" s="999">
        <v>0</v>
      </c>
      <c r="M109" s="999">
        <v>0</v>
      </c>
      <c r="N109" s="999">
        <v>0</v>
      </c>
      <c r="O109" s="999">
        <v>0</v>
      </c>
      <c r="P109" s="999">
        <v>0</v>
      </c>
      <c r="Q109" s="999">
        <v>0</v>
      </c>
      <c r="R109" s="999">
        <v>0</v>
      </c>
      <c r="S109" s="999">
        <v>0</v>
      </c>
      <c r="T109" s="999">
        <v>0</v>
      </c>
      <c r="U109" s="999">
        <v>0</v>
      </c>
      <c r="V109" s="999">
        <v>0</v>
      </c>
      <c r="W109" s="999">
        <v>0</v>
      </c>
      <c r="X109" s="999">
        <v>0</v>
      </c>
      <c r="Y109" s="999">
        <v>0</v>
      </c>
      <c r="Z109" s="999"/>
      <c r="AA109" s="999">
        <v>0</v>
      </c>
      <c r="AB109" s="1890">
        <f t="shared" si="84"/>
        <v>0</v>
      </c>
      <c r="AC109" s="1890">
        <f t="shared" si="85"/>
        <v>0</v>
      </c>
      <c r="AD109" s="1890">
        <f t="shared" si="94"/>
        <v>0</v>
      </c>
      <c r="AE109" s="2057">
        <f t="shared" si="91"/>
        <v>0</v>
      </c>
      <c r="AF109" s="2057">
        <f t="shared" si="92"/>
        <v>0</v>
      </c>
      <c r="AG109" s="2384">
        <f t="shared" si="93"/>
        <v>0</v>
      </c>
      <c r="AH109" s="2391">
        <f t="shared" si="78"/>
        <v>0</v>
      </c>
      <c r="AI109" s="79">
        <f t="shared" si="79"/>
        <v>0</v>
      </c>
      <c r="AJ109" s="79">
        <f t="shared" si="80"/>
        <v>0</v>
      </c>
      <c r="AK109" s="79">
        <f t="shared" si="81"/>
        <v>0</v>
      </c>
      <c r="AL109" s="79">
        <f t="shared" si="82"/>
        <v>0</v>
      </c>
      <c r="AM109" s="1684">
        <f t="shared" si="83"/>
        <v>0</v>
      </c>
      <c r="AN109" s="137"/>
      <c r="AO109" s="137"/>
      <c r="AP109" s="137"/>
      <c r="AQ109" s="137"/>
    </row>
    <row r="110" spans="1:43" ht="12" customHeight="1">
      <c r="A110" s="1971" t="s">
        <v>341</v>
      </c>
      <c r="B110" s="2027" t="s">
        <v>342</v>
      </c>
      <c r="C110" s="1973">
        <f>+'33. mell. E.műk.c.kiad.'!I87</f>
        <v>903333044</v>
      </c>
      <c r="D110" s="1973">
        <f>+'33. mell. E.műk.c.kiad.'!K87</f>
        <v>938091063</v>
      </c>
      <c r="E110" s="1973">
        <f>+'33. mell. E.műk.c.kiad.'!L87</f>
        <v>907734786</v>
      </c>
      <c r="F110" s="1973">
        <f>+'33. mell. E.műk.c.kiad.'!M87</f>
        <v>903243195</v>
      </c>
      <c r="G110" s="1973">
        <f>+'33. mell. E.műk.c.kiad.'!N87</f>
        <v>910936364</v>
      </c>
      <c r="H110" s="1973">
        <f>+'33. mell. E.műk.c.kiad.'!O87</f>
        <v>910936364</v>
      </c>
      <c r="I110" s="1973">
        <f>+'33. mell. E.műk.c.kiad.'!P87</f>
        <v>864275059</v>
      </c>
      <c r="J110" s="999">
        <f>+'33. mell. E.műk.c.kiad.'!K52++'33. mell. E.műk.c.kiad.'!K53+'33. mell. E.műk.c.kiad.'!K67+'33. mell. E.műk.c.kiad.'!K68+'33. mell. E.műk.c.kiad.'!K86</f>
        <v>757183750</v>
      </c>
      <c r="K110" s="999">
        <f>+'33. mell. E.műk.c.kiad.'!L52++'33. mell. E.műk.c.kiad.'!L53+'33. mell. E.műk.c.kiad.'!L67+'33. mell. E.műk.c.kiad.'!L68+'33. mell. E.műk.c.kiad.'!L86</f>
        <v>733797359</v>
      </c>
      <c r="L110" s="999">
        <f>+'33. mell. E.műk.c.kiad.'!M52++'33. mell. E.műk.c.kiad.'!M53+'33. mell. E.műk.c.kiad.'!M67+'33. mell. E.műk.c.kiad.'!M68+'33. mell. E.műk.c.kiad.'!M86</f>
        <v>733797359</v>
      </c>
      <c r="M110" s="999">
        <f>+'33. mell. E.műk.c.kiad.'!N52++'33. mell. E.műk.c.kiad.'!N53+'33. mell. E.műk.c.kiad.'!N67+'33. mell. E.műk.c.kiad.'!N68+'33. mell. E.műk.c.kiad.'!N86</f>
        <v>744353878</v>
      </c>
      <c r="N110" s="999">
        <f>+'33. mell. E.műk.c.kiad.'!O52++'33. mell. E.műk.c.kiad.'!O53+'33. mell. E.műk.c.kiad.'!O67+'33. mell. E.műk.c.kiad.'!O68+'33. mell. E.műk.c.kiad.'!O86</f>
        <v>744353878</v>
      </c>
      <c r="O110" s="999">
        <f>+'33. mell. E.műk.c.kiad.'!P53+'33. mell. E.műk.c.kiad.'!P67+'33. mell. E.műk.c.kiad.'!P68+'33. mell. E.műk.c.kiad.'!P86</f>
        <v>707390678</v>
      </c>
      <c r="P110" s="999">
        <f>+'33. mell. E.műk.c.kiad.'!K54+'33. mell. E.műk.c.kiad.'!K65+'33. mell. E.műk.c.kiad.'!K66+'33. mell. E.műk.c.kiad.'!K70+'33. mell. E.műk.c.kiad.'!K71+'33. mell. E.műk.c.kiad.'!K72+'33. mell. E.műk.c.kiad.'!K73+'33. mell. E.műk.c.kiad.'!K74+'33. mell. E.műk.c.kiad.'!K75+'33. mell. E.műk.c.kiad.'!K76+'33. mell. E.műk.c.kiad.'!K77+'33. mell. E.műk.c.kiad.'!K78+'33. mell. E.műk.c.kiad.'!K79+'33. mell. E.műk.c.kiad.'!K80+'33. mell. E.műk.c.kiad.'!K81+'33. mell. E.műk.c.kiad.'!K82+'33. mell. E.műk.c.kiad.'!K83+'33. mell. E.műk.c.kiad.'!K84</f>
        <v>180907313</v>
      </c>
      <c r="Q110" s="999">
        <f>+'33. mell. E.műk.c.kiad.'!L54+'33. mell. E.műk.c.kiad.'!L65+'33. mell. E.műk.c.kiad.'!L66+'33. mell. E.műk.c.kiad.'!L70+'33. mell. E.műk.c.kiad.'!L71+'33. mell. E.műk.c.kiad.'!L72+'33. mell. E.műk.c.kiad.'!L73+'33. mell. E.műk.c.kiad.'!L74+'33. mell. E.műk.c.kiad.'!L75+'33. mell. E.műk.c.kiad.'!L76+'33. mell. E.műk.c.kiad.'!L77+'33. mell. E.műk.c.kiad.'!L78+'33. mell. E.műk.c.kiad.'!L79+'33. mell. E.műk.c.kiad.'!L80+'33. mell. E.műk.c.kiad.'!L81+'33. mell. E.műk.c.kiad.'!L82+'33. mell. E.műk.c.kiad.'!L83+'33. mell. E.műk.c.kiad.'!L84</f>
        <v>173937427</v>
      </c>
      <c r="R110" s="999">
        <f>+'33. mell. E.műk.c.kiad.'!M54+'33. mell. E.műk.c.kiad.'!M65+'33. mell. E.műk.c.kiad.'!M66+'33. mell. E.műk.c.kiad.'!M70+'33. mell. E.műk.c.kiad.'!M71+'33. mell. E.műk.c.kiad.'!M72+'33. mell. E.műk.c.kiad.'!M73+'33. mell. E.műk.c.kiad.'!M74+'33. mell. E.műk.c.kiad.'!M75+'33. mell. E.műk.c.kiad.'!M76+'33. mell. E.műk.c.kiad.'!M77+'33. mell. E.műk.c.kiad.'!M78+'33. mell. E.műk.c.kiad.'!M79+'33. mell. E.műk.c.kiad.'!M80+'33. mell. E.műk.c.kiad.'!M81+'33. mell. E.műk.c.kiad.'!M82+'33. mell. E.műk.c.kiad.'!M83+'33. mell. E.műk.c.kiad.'!M84</f>
        <v>169445836</v>
      </c>
      <c r="S110" s="999">
        <f>+'33. mell. E.műk.c.kiad.'!N54+'33. mell. E.műk.c.kiad.'!N65+'33. mell. E.műk.c.kiad.'!N66+'33. mell. E.műk.c.kiad.'!N70+'33. mell. E.műk.c.kiad.'!N71+'33. mell. E.műk.c.kiad.'!N72+'33. mell. E.műk.c.kiad.'!N73+'33. mell. E.műk.c.kiad.'!N74+'33. mell. E.műk.c.kiad.'!N75+'33. mell. E.műk.c.kiad.'!N76+'33. mell. E.műk.c.kiad.'!N77+'33. mell. E.műk.c.kiad.'!N78+'33. mell. E.műk.c.kiad.'!N79+'33. mell. E.műk.c.kiad.'!N80+'33. mell. E.műk.c.kiad.'!N81+'33. mell. E.műk.c.kiad.'!N82+'33. mell. E.műk.c.kiad.'!N83+'33. mell. E.műk.c.kiad.'!N84</f>
        <v>166582486</v>
      </c>
      <c r="T110" s="999">
        <f>+'33. mell. E.műk.c.kiad.'!O54+'33. mell. E.műk.c.kiad.'!O65+'33. mell. E.műk.c.kiad.'!O66+'33. mell. E.műk.c.kiad.'!O70+'33. mell. E.műk.c.kiad.'!O71+'33. mell. E.műk.c.kiad.'!O72+'33. mell. E.műk.c.kiad.'!O73+'33. mell. E.műk.c.kiad.'!O74+'33. mell. E.műk.c.kiad.'!O75+'33. mell. E.műk.c.kiad.'!O76+'33. mell. E.műk.c.kiad.'!O77+'33. mell. E.műk.c.kiad.'!O78+'33. mell. E.műk.c.kiad.'!O79+'33. mell. E.műk.c.kiad.'!O80+'33. mell. E.műk.c.kiad.'!O81+'33. mell. E.műk.c.kiad.'!O82+'33. mell. E.műk.c.kiad.'!O83+'33. mell. E.műk.c.kiad.'!O84</f>
        <v>166582486</v>
      </c>
      <c r="U110" s="999">
        <f>+'33. mell. E.műk.c.kiad.'!P52+'33. mell. E.műk.c.kiad.'!P54+'33. mell. E.műk.c.kiad.'!P65+'33. mell. E.műk.c.kiad.'!P66+'33. mell. E.műk.c.kiad.'!P70+'33. mell. E.műk.c.kiad.'!P71+'33. mell. E.műk.c.kiad.'!P72+'33. mell. E.műk.c.kiad.'!P73+'33. mell. E.műk.c.kiad.'!P74+'33. mell. E.műk.c.kiad.'!P75+'33. mell. E.műk.c.kiad.'!P76+'33. mell. E.műk.c.kiad.'!P77+'33. mell. E.műk.c.kiad.'!P78+'33. mell. E.műk.c.kiad.'!P79+'33. mell. E.műk.c.kiad.'!P80+'33. mell. E.műk.c.kiad.'!P81+'33. mell. E.műk.c.kiad.'!P82+'33. mell. E.műk.c.kiad.'!P83+'33. mell. E.műk.c.kiad.'!P84</f>
        <v>156884381</v>
      </c>
      <c r="V110" s="999">
        <v>0</v>
      </c>
      <c r="W110" s="999">
        <v>0</v>
      </c>
      <c r="X110" s="999">
        <v>0</v>
      </c>
      <c r="Y110" s="999">
        <v>0</v>
      </c>
      <c r="Z110" s="999"/>
      <c r="AA110" s="999">
        <v>0</v>
      </c>
      <c r="AB110" s="1890">
        <f t="shared" si="84"/>
        <v>938091063</v>
      </c>
      <c r="AC110" s="1890">
        <f t="shared" si="85"/>
        <v>907734786</v>
      </c>
      <c r="AD110" s="1890">
        <f t="shared" si="94"/>
        <v>903243195</v>
      </c>
      <c r="AE110" s="1890">
        <f t="shared" si="91"/>
        <v>910936364</v>
      </c>
      <c r="AF110" s="1890">
        <f t="shared" si="92"/>
        <v>910936364</v>
      </c>
      <c r="AG110" s="2383">
        <f t="shared" si="93"/>
        <v>864275059</v>
      </c>
      <c r="AH110" s="2391">
        <f t="shared" si="78"/>
        <v>0</v>
      </c>
      <c r="AI110" s="79">
        <f t="shared" si="79"/>
        <v>0</v>
      </c>
      <c r="AJ110" s="79">
        <f t="shared" si="80"/>
        <v>0</v>
      </c>
      <c r="AK110" s="79">
        <f t="shared" si="81"/>
        <v>0</v>
      </c>
      <c r="AL110" s="79">
        <f t="shared" si="82"/>
        <v>0</v>
      </c>
      <c r="AM110" s="1684">
        <f t="shared" si="83"/>
        <v>0</v>
      </c>
      <c r="AN110" s="137"/>
      <c r="AO110" s="137"/>
      <c r="AP110" s="137"/>
      <c r="AQ110" s="137"/>
    </row>
    <row r="111" spans="1:43" ht="12" customHeight="1">
      <c r="A111" s="1966" t="s">
        <v>12</v>
      </c>
      <c r="B111" s="2026" t="s">
        <v>3472</v>
      </c>
      <c r="C111" s="1968">
        <f t="shared" ref="C111:AG111" si="96">+C112+C114+C116</f>
        <v>9799804048</v>
      </c>
      <c r="D111" s="1968">
        <f t="shared" si="96"/>
        <v>3492853038</v>
      </c>
      <c r="E111" s="1968">
        <f t="shared" si="96"/>
        <v>3515870574</v>
      </c>
      <c r="F111" s="1968">
        <f t="shared" si="96"/>
        <v>3643563008</v>
      </c>
      <c r="G111" s="1968">
        <f t="shared" si="96"/>
        <v>3398761037</v>
      </c>
      <c r="H111" s="1968">
        <f t="shared" si="96"/>
        <v>3398761037</v>
      </c>
      <c r="I111" s="1968">
        <f t="shared" si="96"/>
        <v>2097352972</v>
      </c>
      <c r="J111" s="1968">
        <f t="shared" si="96"/>
        <v>1073156221</v>
      </c>
      <c r="K111" s="1968">
        <f t="shared" si="96"/>
        <v>1078713423</v>
      </c>
      <c r="L111" s="1968">
        <f t="shared" si="96"/>
        <v>1110157868</v>
      </c>
      <c r="M111" s="1968">
        <f t="shared" si="96"/>
        <v>798524254</v>
      </c>
      <c r="N111" s="1968">
        <f t="shared" si="96"/>
        <v>798524254</v>
      </c>
      <c r="O111" s="1968">
        <f t="shared" si="96"/>
        <v>370857630</v>
      </c>
      <c r="P111" s="1968">
        <f t="shared" si="96"/>
        <v>2419696817</v>
      </c>
      <c r="Q111" s="1968">
        <f t="shared" si="96"/>
        <v>2437157151</v>
      </c>
      <c r="R111" s="1968">
        <f t="shared" si="96"/>
        <v>2533405140</v>
      </c>
      <c r="S111" s="1968">
        <f t="shared" si="96"/>
        <v>2600236783</v>
      </c>
      <c r="T111" s="1968">
        <f t="shared" si="96"/>
        <v>2600236783</v>
      </c>
      <c r="U111" s="1968">
        <f t="shared" si="96"/>
        <v>1726495342</v>
      </c>
      <c r="V111" s="1968">
        <f t="shared" si="96"/>
        <v>0</v>
      </c>
      <c r="W111" s="1968">
        <f t="shared" si="96"/>
        <v>0</v>
      </c>
      <c r="X111" s="1968">
        <f t="shared" si="96"/>
        <v>0</v>
      </c>
      <c r="Y111" s="1968">
        <f t="shared" si="96"/>
        <v>0</v>
      </c>
      <c r="Z111" s="1968">
        <f t="shared" si="96"/>
        <v>0</v>
      </c>
      <c r="AA111" s="1968">
        <f t="shared" si="96"/>
        <v>0</v>
      </c>
      <c r="AB111" s="1968">
        <f t="shared" si="96"/>
        <v>3492853038</v>
      </c>
      <c r="AC111" s="1968">
        <f t="shared" si="96"/>
        <v>3515870574</v>
      </c>
      <c r="AD111" s="1968">
        <f t="shared" si="96"/>
        <v>3643563008</v>
      </c>
      <c r="AE111" s="1968">
        <f t="shared" si="96"/>
        <v>3398761037</v>
      </c>
      <c r="AF111" s="1968">
        <f t="shared" si="96"/>
        <v>3398761037</v>
      </c>
      <c r="AG111" s="2044">
        <f t="shared" si="96"/>
        <v>2097352972</v>
      </c>
      <c r="AH111" s="2391">
        <f t="shared" si="78"/>
        <v>0</v>
      </c>
      <c r="AI111" s="79">
        <f t="shared" si="79"/>
        <v>0</v>
      </c>
      <c r="AJ111" s="79">
        <f t="shared" si="80"/>
        <v>0</v>
      </c>
      <c r="AK111" s="79">
        <f t="shared" si="81"/>
        <v>0</v>
      </c>
      <c r="AL111" s="79">
        <f t="shared" si="82"/>
        <v>0</v>
      </c>
      <c r="AM111" s="1684">
        <f t="shared" si="83"/>
        <v>0</v>
      </c>
      <c r="AN111" s="137"/>
      <c r="AO111" s="137"/>
      <c r="AP111" s="137"/>
      <c r="AQ111" s="137"/>
    </row>
    <row r="112" spans="1:43" ht="12" customHeight="1">
      <c r="A112" s="1971" t="s">
        <v>185</v>
      </c>
      <c r="B112" s="2027" t="s">
        <v>82</v>
      </c>
      <c r="C112" s="1973">
        <f>+'34-35.mell.Ber.,Felúj.'!I86</f>
        <v>8998793965</v>
      </c>
      <c r="D112" s="1973">
        <f>+'34-35.mell.Ber.,Felúj.'!K86</f>
        <v>2465749533</v>
      </c>
      <c r="E112" s="1973">
        <f>+'34-35.mell.Ber.,Felúj.'!L86</f>
        <v>2472766283</v>
      </c>
      <c r="F112" s="1973">
        <f>+'34-35.mell.Ber.,Felúj.'!M86</f>
        <v>2507484052</v>
      </c>
      <c r="G112" s="1973">
        <f>+'34-35.mell.Ber.,Felúj.'!N86</f>
        <v>2216954556</v>
      </c>
      <c r="H112" s="1973">
        <f>+'34-35.mell.Ber.,Felúj.'!O86</f>
        <v>2216954556</v>
      </c>
      <c r="I112" s="1973">
        <f>+'34-35.mell.Ber.,Felúj.'!P86</f>
        <v>1446577580</v>
      </c>
      <c r="J112" s="999">
        <f>+'34-35.mell.Ber.,Felúj.'!K26+'34-35.mell.Ber.,Felúj.'!K27+'34-35.mell.Ber.,Felúj.'!K28+'34-35.mell.Ber.,Felúj.'!K30+'34-35.mell.Ber.,Felúj.'!K31+'34-35.mell.Ber.,Felúj.'!K33+'34-35.mell.Ber.,Felúj.'!K34+'34-35.mell.Ber.,Felúj.'!K36+'34-35.mell.Ber.,Felúj.'!K37+'34-35.mell.Ber.,Felúj.'!K38+'34-35.mell.Ber.,Felúj.'!K41+'34-35.mell.Ber.,Felúj.'!K42+'34-35.mell.Ber.,Felúj.'!K55+'34-35.mell.Ber.,Felúj.'!K56+'34-35.mell.Ber.,Felúj.'!K67+'34-35.mell.Ber.,Felúj.'!K71</f>
        <v>859118762</v>
      </c>
      <c r="K112" s="999">
        <f>+'34-35.mell.Ber.,Felúj.'!L26+'34-35.mell.Ber.,Felúj.'!L27+'34-35.mell.Ber.,Felúj.'!L28+'34-35.mell.Ber.,Felúj.'!L30+'34-35.mell.Ber.,Felúj.'!L31+'34-35.mell.Ber.,Felúj.'!L33+'34-35.mell.Ber.,Felúj.'!L34+'34-35.mell.Ber.,Felúj.'!L36+'34-35.mell.Ber.,Felúj.'!L37+'34-35.mell.Ber.,Felúj.'!L38+'34-35.mell.Ber.,Felúj.'!L41+'34-35.mell.Ber.,Felúj.'!L42+'34-35.mell.Ber.,Felúj.'!L55+'34-35.mell.Ber.,Felúj.'!L56+'34-35.mell.Ber.,Felúj.'!L67+'34-35.mell.Ber.,Felúj.'!L71</f>
        <v>866135512</v>
      </c>
      <c r="L112" s="999">
        <f>+'34-35.mell.Ber.,Felúj.'!M26+'34-35.mell.Ber.,Felúj.'!M27+'34-35.mell.Ber.,Felúj.'!M28+'34-35.mell.Ber.,Felúj.'!M30+'34-35.mell.Ber.,Felúj.'!M31+'34-35.mell.Ber.,Felúj.'!M33+'34-35.mell.Ber.,Felúj.'!M34+'34-35.mell.Ber.,Felúj.'!M36+'34-35.mell.Ber.,Felúj.'!M37+'34-35.mell.Ber.,Felúj.'!M38+'34-35.mell.Ber.,Felúj.'!M41+'34-35.mell.Ber.,Felúj.'!M42+'34-35.mell.Ber.,Felúj.'!M55+'34-35.mell.Ber.,Felúj.'!M56+'34-35.mell.Ber.,Felúj.'!M67+'34-35.mell.Ber.,Felúj.'!M71</f>
        <v>870793490</v>
      </c>
      <c r="M112" s="999">
        <f>+'34-35.mell.Ber.,Felúj.'!N26+'34-35.mell.Ber.,Felúj.'!N27+'34-35.mell.Ber.,Felúj.'!N28+'34-35.mell.Ber.,Felúj.'!N30+'34-35.mell.Ber.,Felúj.'!N31+'34-35.mell.Ber.,Felúj.'!N33+'34-35.mell.Ber.,Felúj.'!N34+'34-35.mell.Ber.,Felúj.'!N36+'34-35.mell.Ber.,Felúj.'!N37+'34-35.mell.Ber.,Felúj.'!N38+'34-35.mell.Ber.,Felúj.'!N41+'34-35.mell.Ber.,Felúj.'!N42+'34-35.mell.Ber.,Felúj.'!N55+'34-35.mell.Ber.,Felúj.'!N56+'34-35.mell.Ber.,Felúj.'!N67+'34-35.mell.Ber.,Felúj.'!N71</f>
        <v>563610346</v>
      </c>
      <c r="N112" s="999">
        <f>+'34-35.mell.Ber.,Felúj.'!O26+'34-35.mell.Ber.,Felúj.'!O27+'34-35.mell.Ber.,Felúj.'!O28+'34-35.mell.Ber.,Felúj.'!O30+'34-35.mell.Ber.,Felúj.'!O31+'34-35.mell.Ber.,Felúj.'!O33+'34-35.mell.Ber.,Felúj.'!O34+'34-35.mell.Ber.,Felúj.'!O36+'34-35.mell.Ber.,Felúj.'!O37+'34-35.mell.Ber.,Felúj.'!O38+'34-35.mell.Ber.,Felúj.'!O41+'34-35.mell.Ber.,Felúj.'!O42+'34-35.mell.Ber.,Felúj.'!O55+'34-35.mell.Ber.,Felúj.'!O56+'34-35.mell.Ber.,Felúj.'!O67+'34-35.mell.Ber.,Felúj.'!O71</f>
        <v>563610346</v>
      </c>
      <c r="O112" s="999">
        <f>+'34-35.mell.Ber.,Felúj.'!P26+'34-35.mell.Ber.,Felúj.'!P27+'34-35.mell.Ber.,Felúj.'!P28+'34-35.mell.Ber.,Felúj.'!P30+'34-35.mell.Ber.,Felúj.'!P31+'34-35.mell.Ber.,Felúj.'!P33+'34-35.mell.Ber.,Felúj.'!P34+'34-35.mell.Ber.,Felúj.'!P36+'34-35.mell.Ber.,Felúj.'!P37+'34-35.mell.Ber.,Felúj.'!P38+'34-35.mell.Ber.,Felúj.'!P41+'34-35.mell.Ber.,Felúj.'!P42+'34-35.mell.Ber.,Felúj.'!P55+'34-35.mell.Ber.,Felúj.'!P56+'34-35.mell.Ber.,Felúj.'!P67+'34-35.mell.Ber.,Felúj.'!P71</f>
        <v>197142956</v>
      </c>
      <c r="P112" s="999">
        <f>+'34-35.mell.Ber.,Felúj.'!K16+'34-35.mell.Ber.,Felúj.'!K25+'34-35.mell.Ber.,Felúj.'!K29+'34-35.mell.Ber.,Felúj.'!K32+'34-35.mell.Ber.,Felúj.'!K43+'34-35.mell.Ber.,Felúj.'!K44+'34-35.mell.Ber.,Felúj.'!K45+'34-35.mell.Ber.,Felúj.'!K46++'34-35.mell.Ber.,Felúj.'!K47+'34-35.mell.Ber.,Felúj.'!K48+'34-35.mell.Ber.,Felúj.'!K49+'34-35.mell.Ber.,Felúj.'!K50+'34-35.mell.Ber.,Felúj.'!K51+'34-35.mell.Ber.,Felúj.'!K52+'34-35.mell.Ber.,Felúj.'!K53+'34-35.mell.Ber.,Felúj.'!K54+'34-35.mell.Ber.,Felúj.'!K57+'34-35.mell.Ber.,Felúj.'!K58+'34-35.mell.Ber.,Felúj.'!K59+'34-35.mell.Ber.,Felúj.'!K60+'34-35.mell.Ber.,Felúj.'!K61+'34-35.mell.Ber.,Felúj.'!K62+'34-35.mell.Ber.,Felúj.'!K63+'34-35.mell.Ber.,Felúj.'!K69+'34-35.mell.Ber.,Felúj.'!K82+'34-35.mell.Ber.,Felúj.'!K84</f>
        <v>1606630771</v>
      </c>
      <c r="Q112" s="999">
        <f>+'34-35.mell.Ber.,Felúj.'!L16+'34-35.mell.Ber.,Felúj.'!L25+'34-35.mell.Ber.,Felúj.'!L29+'34-35.mell.Ber.,Felúj.'!L32+'34-35.mell.Ber.,Felúj.'!L43+'34-35.mell.Ber.,Felúj.'!L44+'34-35.mell.Ber.,Felúj.'!L45+'34-35.mell.Ber.,Felúj.'!L46++'34-35.mell.Ber.,Felúj.'!L47+'34-35.mell.Ber.,Felúj.'!L48+'34-35.mell.Ber.,Felúj.'!L49+'34-35.mell.Ber.,Felúj.'!L50+'34-35.mell.Ber.,Felúj.'!L51+'34-35.mell.Ber.,Felúj.'!L52+'34-35.mell.Ber.,Felúj.'!L53+'34-35.mell.Ber.,Felúj.'!L54+'34-35.mell.Ber.,Felúj.'!L57+'34-35.mell.Ber.,Felúj.'!L58+'34-35.mell.Ber.,Felúj.'!L59+'34-35.mell.Ber.,Felúj.'!L60+'34-35.mell.Ber.,Felúj.'!L61+'34-35.mell.Ber.,Felúj.'!L62+'34-35.mell.Ber.,Felúj.'!L63+'34-35.mell.Ber.,Felúj.'!L69+'34-35.mell.Ber.,Felúj.'!L82+'34-35.mell.Ber.,Felúj.'!L84</f>
        <v>1606630771</v>
      </c>
      <c r="R112" s="999">
        <f>+'34-35.mell.Ber.,Felúj.'!M16+'34-35.mell.Ber.,Felúj.'!M25+'34-35.mell.Ber.,Felúj.'!M29+'34-35.mell.Ber.,Felúj.'!M32+'34-35.mell.Ber.,Felúj.'!M43+'34-35.mell.Ber.,Felúj.'!M44+'34-35.mell.Ber.,Felúj.'!M45+'34-35.mell.Ber.,Felúj.'!M46++'34-35.mell.Ber.,Felúj.'!M47+'34-35.mell.Ber.,Felúj.'!M48+'34-35.mell.Ber.,Felúj.'!M49+'34-35.mell.Ber.,Felúj.'!M50+'34-35.mell.Ber.,Felúj.'!M51+'34-35.mell.Ber.,Felúj.'!M52+'34-35.mell.Ber.,Felúj.'!M53+'34-35.mell.Ber.,Felúj.'!M54+'34-35.mell.Ber.,Felúj.'!M57+'34-35.mell.Ber.,Felúj.'!M58+'34-35.mell.Ber.,Felúj.'!M59+'34-35.mell.Ber.,Felúj.'!M60+'34-35.mell.Ber.,Felúj.'!M61+'34-35.mell.Ber.,Felúj.'!M62+'34-35.mell.Ber.,Felúj.'!M63+'34-35.mell.Ber.,Felúj.'!M69+'34-35.mell.Ber.,Felúj.'!M82+'34-35.mell.Ber.,Felúj.'!M84</f>
        <v>1636690562</v>
      </c>
      <c r="S112" s="999">
        <f>+'34-35.mell.Ber.,Felúj.'!N16+'34-35.mell.Ber.,Felúj.'!N25+'34-35.mell.Ber.,Felúj.'!N29+'34-35.mell.Ber.,Felúj.'!N32+'34-35.mell.Ber.,Felúj.'!N43+'34-35.mell.Ber.,Felúj.'!N44+'34-35.mell.Ber.,Felúj.'!N45+'34-35.mell.Ber.,Felúj.'!N46++'34-35.mell.Ber.,Felúj.'!N47+'34-35.mell.Ber.,Felúj.'!N48+'34-35.mell.Ber.,Felúj.'!N49+'34-35.mell.Ber.,Felúj.'!N50+'34-35.mell.Ber.,Felúj.'!N51+'34-35.mell.Ber.,Felúj.'!N52+'34-35.mell.Ber.,Felúj.'!N53+'34-35.mell.Ber.,Felúj.'!N54+'34-35.mell.Ber.,Felúj.'!N57+'34-35.mell.Ber.,Felúj.'!N58+'34-35.mell.Ber.,Felúj.'!N59+'34-35.mell.Ber.,Felúj.'!N60+'34-35.mell.Ber.,Felúj.'!N61+'34-35.mell.Ber.,Felúj.'!N62+'34-35.mell.Ber.,Felúj.'!N63+'34-35.mell.Ber.,Felúj.'!N69+'34-35.mell.Ber.,Felúj.'!N82+'34-35.mell.Ber.,Felúj.'!N84</f>
        <v>1653344210</v>
      </c>
      <c r="T112" s="999">
        <f>+'34-35.mell.Ber.,Felúj.'!O16+'34-35.mell.Ber.,Felúj.'!O25+'34-35.mell.Ber.,Felúj.'!O29+'34-35.mell.Ber.,Felúj.'!O32+'34-35.mell.Ber.,Felúj.'!O43+'34-35.mell.Ber.,Felúj.'!O44+'34-35.mell.Ber.,Felúj.'!O45+'34-35.mell.Ber.,Felúj.'!O46++'34-35.mell.Ber.,Felúj.'!O47+'34-35.mell.Ber.,Felúj.'!O48+'34-35.mell.Ber.,Felúj.'!O49+'34-35.mell.Ber.,Felúj.'!O50+'34-35.mell.Ber.,Felúj.'!O51+'34-35.mell.Ber.,Felúj.'!O52+'34-35.mell.Ber.,Felúj.'!O53+'34-35.mell.Ber.,Felúj.'!O54+'34-35.mell.Ber.,Felúj.'!O57+'34-35.mell.Ber.,Felúj.'!O58+'34-35.mell.Ber.,Felúj.'!O59+'34-35.mell.Ber.,Felúj.'!O60+'34-35.mell.Ber.,Felúj.'!O61+'34-35.mell.Ber.,Felúj.'!O62+'34-35.mell.Ber.,Felúj.'!O63+'34-35.mell.Ber.,Felúj.'!O69+'34-35.mell.Ber.,Felúj.'!O82+'34-35.mell.Ber.,Felúj.'!O84</f>
        <v>1653344210</v>
      </c>
      <c r="U112" s="999">
        <f>+'34-35.mell.Ber.,Felúj.'!P16+'34-35.mell.Ber.,Felúj.'!P25+'34-35.mell.Ber.,Felúj.'!P29+'34-35.mell.Ber.,Felúj.'!P32+'34-35.mell.Ber.,Felúj.'!P43+'34-35.mell.Ber.,Felúj.'!P44+'34-35.mell.Ber.,Felúj.'!P45+'34-35.mell.Ber.,Felúj.'!P46++'34-35.mell.Ber.,Felúj.'!P47+'34-35.mell.Ber.,Felúj.'!P48+'34-35.mell.Ber.,Felúj.'!P49+'34-35.mell.Ber.,Felúj.'!P50+'34-35.mell.Ber.,Felúj.'!P51+'34-35.mell.Ber.,Felúj.'!P52+'34-35.mell.Ber.,Felúj.'!P53+'34-35.mell.Ber.,Felúj.'!P54+'34-35.mell.Ber.,Felúj.'!P57+'34-35.mell.Ber.,Felúj.'!P58+'34-35.mell.Ber.,Felúj.'!P59+'34-35.mell.Ber.,Felúj.'!P60+'34-35.mell.Ber.,Felúj.'!P61+'34-35.mell.Ber.,Felúj.'!P62+'34-35.mell.Ber.,Felúj.'!P63+'34-35.mell.Ber.,Felúj.'!P69+'34-35.mell.Ber.,Felúj.'!P82+'34-35.mell.Ber.,Felúj.'!P84</f>
        <v>1249434624</v>
      </c>
      <c r="V112" s="999">
        <v>0</v>
      </c>
      <c r="W112" s="999">
        <v>0</v>
      </c>
      <c r="X112" s="999">
        <v>0</v>
      </c>
      <c r="Y112" s="999">
        <v>0</v>
      </c>
      <c r="Z112" s="999"/>
      <c r="AA112" s="999">
        <v>0</v>
      </c>
      <c r="AB112" s="1890">
        <f t="shared" ref="AB112:AB124" si="97">+J112+P112+V112</f>
        <v>2465749533</v>
      </c>
      <c r="AC112" s="1890">
        <f t="shared" ref="AC112:AC124" si="98">+K112+Q112+W112</f>
        <v>2472766283</v>
      </c>
      <c r="AD112" s="1890">
        <f t="shared" ref="AD112:AD124" si="99">+L112+R112+X112</f>
        <v>2507484052</v>
      </c>
      <c r="AE112" s="1890">
        <f t="shared" ref="AE112:AE124" si="100">+M112+S112+Y112</f>
        <v>2216954556</v>
      </c>
      <c r="AF112" s="1890">
        <f t="shared" ref="AF112:AF124" si="101">+N112+T112+Z112</f>
        <v>2216954556</v>
      </c>
      <c r="AG112" s="2383">
        <f t="shared" ref="AG112:AG124" si="102">+O112+U112+AA112</f>
        <v>1446577580</v>
      </c>
      <c r="AH112" s="2391">
        <f t="shared" si="78"/>
        <v>0</v>
      </c>
      <c r="AI112" s="79">
        <f t="shared" si="79"/>
        <v>0</v>
      </c>
      <c r="AJ112" s="79">
        <f t="shared" si="80"/>
        <v>0</v>
      </c>
      <c r="AK112" s="79">
        <f t="shared" si="81"/>
        <v>0</v>
      </c>
      <c r="AL112" s="79">
        <f t="shared" si="82"/>
        <v>0</v>
      </c>
      <c r="AM112" s="1684">
        <f t="shared" si="83"/>
        <v>0</v>
      </c>
      <c r="AN112" s="137"/>
      <c r="AO112" s="137"/>
      <c r="AP112" s="137"/>
      <c r="AQ112" s="137"/>
    </row>
    <row r="113" spans="1:43" ht="12" customHeight="1">
      <c r="A113" s="1971" t="s">
        <v>187</v>
      </c>
      <c r="B113" s="2027" t="s">
        <v>343</v>
      </c>
      <c r="C113" s="1973">
        <f>+'34-35.mell.Ber.,Felúj.'!I70</f>
        <v>0</v>
      </c>
      <c r="D113" s="1973">
        <f>+'34-35.mell.Ber.,Felúj.'!K58</f>
        <v>47248350</v>
      </c>
      <c r="E113" s="1973">
        <f>+'34-35.mell.Ber.,Felúj.'!L58</f>
        <v>47248350</v>
      </c>
      <c r="F113" s="1973">
        <f>+'34-35.mell.Ber.,Felúj.'!M58</f>
        <v>47248350</v>
      </c>
      <c r="G113" s="1973">
        <f>+'34-35.mell.Ber.,Felúj.'!N58+'34-35.mell.Ber.,Felúj.'!N47</f>
        <v>170660113</v>
      </c>
      <c r="H113" s="1973">
        <f>+'34-35.mell.Ber.,Felúj.'!O58+'34-35.mell.Ber.,Felúj.'!O47</f>
        <v>170660113</v>
      </c>
      <c r="I113" s="1973">
        <f>+'34-35.mell.Ber.,Felúj.'!P58+'34-35.mell.Ber.,Felúj.'!P47</f>
        <v>47187745</v>
      </c>
      <c r="J113" s="999">
        <v>0</v>
      </c>
      <c r="K113" s="999">
        <v>0</v>
      </c>
      <c r="L113" s="999">
        <v>0</v>
      </c>
      <c r="M113" s="999">
        <v>0</v>
      </c>
      <c r="N113" s="999">
        <v>0</v>
      </c>
      <c r="O113" s="999">
        <f>+N113</f>
        <v>0</v>
      </c>
      <c r="P113" s="999">
        <f>+'34-35.mell.Ber.,Felúj.'!K58</f>
        <v>47248350</v>
      </c>
      <c r="Q113" s="999">
        <f>+'34-35.mell.Ber.,Felúj.'!L58</f>
        <v>47248350</v>
      </c>
      <c r="R113" s="999">
        <f>+'34-35.mell.Ber.,Felúj.'!M58</f>
        <v>47248350</v>
      </c>
      <c r="S113" s="999">
        <f>+'34-35.mell.Ber.,Felúj.'!N58+'34-35.mell.Ber.,Felúj.'!N47</f>
        <v>170660113</v>
      </c>
      <c r="T113" s="999">
        <f>+'34-35.mell.Ber.,Felúj.'!O58+'34-35.mell.Ber.,Felúj.'!O47</f>
        <v>170660113</v>
      </c>
      <c r="U113" s="999">
        <f>+'34-35.mell.Ber.,Felúj.'!P58+'34-35.mell.Ber.,Felúj.'!P47</f>
        <v>47187745</v>
      </c>
      <c r="V113" s="999">
        <v>0</v>
      </c>
      <c r="W113" s="999">
        <v>0</v>
      </c>
      <c r="X113" s="999">
        <v>0</v>
      </c>
      <c r="Y113" s="999">
        <v>0</v>
      </c>
      <c r="Z113" s="999"/>
      <c r="AA113" s="999">
        <v>0</v>
      </c>
      <c r="AB113" s="1890">
        <f t="shared" si="97"/>
        <v>47248350</v>
      </c>
      <c r="AC113" s="1890">
        <f t="shared" si="98"/>
        <v>47248350</v>
      </c>
      <c r="AD113" s="1890">
        <f t="shared" si="99"/>
        <v>47248350</v>
      </c>
      <c r="AE113" s="1890">
        <f t="shared" si="100"/>
        <v>170660113</v>
      </c>
      <c r="AF113" s="1890">
        <f t="shared" si="101"/>
        <v>170660113</v>
      </c>
      <c r="AG113" s="2383">
        <f t="shared" si="102"/>
        <v>47187745</v>
      </c>
      <c r="AH113" s="2391">
        <f t="shared" si="78"/>
        <v>0</v>
      </c>
      <c r="AI113" s="79">
        <f t="shared" si="79"/>
        <v>0</v>
      </c>
      <c r="AJ113" s="79">
        <f t="shared" si="80"/>
        <v>0</v>
      </c>
      <c r="AK113" s="79">
        <f t="shared" si="81"/>
        <v>0</v>
      </c>
      <c r="AL113" s="79">
        <f t="shared" si="82"/>
        <v>0</v>
      </c>
      <c r="AM113" s="1684">
        <f t="shared" si="83"/>
        <v>0</v>
      </c>
      <c r="AN113" s="137"/>
      <c r="AO113" s="137"/>
      <c r="AP113" s="137"/>
      <c r="AQ113" s="137"/>
    </row>
    <row r="114" spans="1:43" ht="12" customHeight="1">
      <c r="A114" s="1971" t="s">
        <v>189</v>
      </c>
      <c r="B114" s="2027" t="s">
        <v>344</v>
      </c>
      <c r="C114" s="1973">
        <f>+'34-35.mell.Ber.,Felúj.'!I172</f>
        <v>676253965</v>
      </c>
      <c r="D114" s="1973">
        <f>+'34-35.mell.Ber.,Felúj.'!K172</f>
        <v>772037459</v>
      </c>
      <c r="E114" s="1973">
        <f>+'34-35.mell.Ber.,Felúj.'!L172</f>
        <v>791577911</v>
      </c>
      <c r="F114" s="1973">
        <f>+'34-35.mell.Ber.,Felúj.'!M172</f>
        <v>878364378</v>
      </c>
      <c r="G114" s="1973">
        <f>+'34-35.mell.Ber.,Felúj.'!N172</f>
        <v>873913908</v>
      </c>
      <c r="H114" s="1973">
        <f>+'34-35.mell.Ber.,Felúj.'!O172</f>
        <v>873913908</v>
      </c>
      <c r="I114" s="1973">
        <f>+'34-35.mell.Ber.,Felúj.'!P172</f>
        <v>396395204</v>
      </c>
      <c r="J114" s="999">
        <f>+'34-35.mell.Ber.,Felúj.'!K97+'34-35.mell.Ber.,Felúj.'!K100+'34-35.mell.Ber.,Felúj.'!K154+'34-35.mell.Ber.,Felúj.'!K155+'34-35.mell.Ber.,Felúj.'!K156</f>
        <v>209037459</v>
      </c>
      <c r="K114" s="999">
        <f>+'34-35.mell.Ber.,Felúj.'!L97+'34-35.mell.Ber.,Felúj.'!L100+'34-35.mell.Ber.,Felúj.'!L154+'34-35.mell.Ber.,Felúj.'!L155+'34-35.mell.Ber.,Felúj.'!L156</f>
        <v>207577911</v>
      </c>
      <c r="L114" s="999">
        <f>+'34-35.mell.Ber.,Felúj.'!M97+'34-35.mell.Ber.,Felúj.'!M100+'34-35.mell.Ber.,Felúj.'!M154+'34-35.mell.Ber.,Felúj.'!M155+'34-35.mell.Ber.,Felúj.'!M156</f>
        <v>234364378</v>
      </c>
      <c r="M114" s="999">
        <f>+'34-35.mell.Ber.,Felúj.'!N97+'34-35.mell.Ber.,Felúj.'!N100+'34-35.mell.Ber.,Felúj.'!N154+'34-35.mell.Ber.,Felúj.'!N155+'34-35.mell.Ber.,Felúj.'!N156</f>
        <v>229913908</v>
      </c>
      <c r="N114" s="999">
        <f>+'34-35.mell.Ber.,Felúj.'!O97+'34-35.mell.Ber.,Felúj.'!O100+'34-35.mell.Ber.,Felúj.'!O154+'34-35.mell.Ber.,Felúj.'!O155+'34-35.mell.Ber.,Felúj.'!O156</f>
        <v>229913908</v>
      </c>
      <c r="O114" s="999">
        <f>+'34-35.mell.Ber.,Felúj.'!P97+'34-35.mell.Ber.,Felúj.'!P100+'34-35.mell.Ber.,Felúj.'!P154+'34-35.mell.Ber.,Felúj.'!P155+'34-35.mell.Ber.,Felúj.'!P156</f>
        <v>173714674</v>
      </c>
      <c r="P114" s="999">
        <f>+'34-35.mell.Ber.,Felúj.'!K99+'34-35.mell.Ber.,Felúj.'!K101+'34-35.mell.Ber.,Felúj.'!K102+'34-35.mell.Ber.,Felúj.'!K103+'34-35.mell.Ber.,Felúj.'!K117+'34-35.mell.Ber.,Felúj.'!K144+'34-35.mell.Ber.,Felúj.'!K153+'34-35.mell.Ber.,Felúj.'!K159+'34-35.mell.Ber.,Felúj.'!K168</f>
        <v>563000000</v>
      </c>
      <c r="Q114" s="999">
        <f>+'34-35.mell.Ber.,Felúj.'!L99+'34-35.mell.Ber.,Felúj.'!L101+'34-35.mell.Ber.,Felúj.'!L102+'34-35.mell.Ber.,Felúj.'!L103+'34-35.mell.Ber.,Felúj.'!L117+'34-35.mell.Ber.,Felúj.'!L144+'34-35.mell.Ber.,Felúj.'!L153+'34-35.mell.Ber.,Felúj.'!L159+'34-35.mell.Ber.,Felúj.'!L168</f>
        <v>584000000</v>
      </c>
      <c r="R114" s="999">
        <f>+'34-35.mell.Ber.,Felúj.'!M99+'34-35.mell.Ber.,Felúj.'!M101+'34-35.mell.Ber.,Felúj.'!M102+'34-35.mell.Ber.,Felúj.'!M103+'34-35.mell.Ber.,Felúj.'!M117+'34-35.mell.Ber.,Felúj.'!M144+'34-35.mell.Ber.,Felúj.'!M153+'34-35.mell.Ber.,Felúj.'!M159+'34-35.mell.Ber.,Felúj.'!M168</f>
        <v>644000000</v>
      </c>
      <c r="S114" s="999">
        <f>+'34-35.mell.Ber.,Felúj.'!N99+'34-35.mell.Ber.,Felúj.'!N101+'34-35.mell.Ber.,Felúj.'!N102+'34-35.mell.Ber.,Felúj.'!N103+'34-35.mell.Ber.,Felúj.'!N117+'34-35.mell.Ber.,Felúj.'!N144+'34-35.mell.Ber.,Felúj.'!N153+'34-35.mell.Ber.,Felúj.'!N159+'34-35.mell.Ber.,Felúj.'!N168</f>
        <v>644000000</v>
      </c>
      <c r="T114" s="999">
        <f>+'34-35.mell.Ber.,Felúj.'!O99+'34-35.mell.Ber.,Felúj.'!O101+'34-35.mell.Ber.,Felúj.'!O102+'34-35.mell.Ber.,Felúj.'!O103+'34-35.mell.Ber.,Felúj.'!O117+'34-35.mell.Ber.,Felúj.'!O144+'34-35.mell.Ber.,Felúj.'!O153+'34-35.mell.Ber.,Felúj.'!O159+'34-35.mell.Ber.,Felúj.'!O168</f>
        <v>644000000</v>
      </c>
      <c r="U114" s="999">
        <f>+'34-35.mell.Ber.,Felúj.'!P99+'34-35.mell.Ber.,Felúj.'!P101+'34-35.mell.Ber.,Felúj.'!P102+'34-35.mell.Ber.,Felúj.'!P103+'34-35.mell.Ber.,Felúj.'!P117+'34-35.mell.Ber.,Felúj.'!P144+'34-35.mell.Ber.,Felúj.'!P153+'34-35.mell.Ber.,Felúj.'!P159+'34-35.mell.Ber.,Felúj.'!P168</f>
        <v>222680530</v>
      </c>
      <c r="V114" s="999">
        <v>0</v>
      </c>
      <c r="W114" s="999">
        <v>0</v>
      </c>
      <c r="X114" s="999">
        <v>0</v>
      </c>
      <c r="Y114" s="999">
        <v>0</v>
      </c>
      <c r="Z114" s="999"/>
      <c r="AA114" s="999">
        <v>0</v>
      </c>
      <c r="AB114" s="1890">
        <f t="shared" si="97"/>
        <v>772037459</v>
      </c>
      <c r="AC114" s="1890">
        <f t="shared" si="98"/>
        <v>791577911</v>
      </c>
      <c r="AD114" s="1890">
        <f t="shared" si="99"/>
        <v>878364378</v>
      </c>
      <c r="AE114" s="1890">
        <f t="shared" si="100"/>
        <v>873913908</v>
      </c>
      <c r="AF114" s="1890">
        <f t="shared" si="101"/>
        <v>873913908</v>
      </c>
      <c r="AG114" s="2383">
        <f t="shared" si="102"/>
        <v>396395204</v>
      </c>
      <c r="AH114" s="2391">
        <f t="shared" si="78"/>
        <v>0</v>
      </c>
      <c r="AI114" s="79">
        <f t="shared" si="79"/>
        <v>0</v>
      </c>
      <c r="AJ114" s="79">
        <f t="shared" si="80"/>
        <v>0</v>
      </c>
      <c r="AK114" s="79">
        <f t="shared" si="81"/>
        <v>0</v>
      </c>
      <c r="AL114" s="79">
        <f t="shared" si="82"/>
        <v>0</v>
      </c>
      <c r="AM114" s="1684">
        <f t="shared" si="83"/>
        <v>0</v>
      </c>
      <c r="AN114" s="137"/>
      <c r="AO114" s="137"/>
      <c r="AP114" s="137"/>
      <c r="AQ114" s="137"/>
    </row>
    <row r="115" spans="1:43" ht="12" customHeight="1">
      <c r="A115" s="1971" t="s">
        <v>191</v>
      </c>
      <c r="B115" s="2029" t="s">
        <v>345</v>
      </c>
      <c r="C115" s="2030">
        <v>0</v>
      </c>
      <c r="D115" s="2030">
        <v>0</v>
      </c>
      <c r="E115" s="2030">
        <f>+D115</f>
        <v>0</v>
      </c>
      <c r="F115" s="2030">
        <f>+E115</f>
        <v>0</v>
      </c>
      <c r="G115" s="2030">
        <f>+F115</f>
        <v>0</v>
      </c>
      <c r="H115" s="1973">
        <f>+G115</f>
        <v>0</v>
      </c>
      <c r="I115" s="2030">
        <f>+H115</f>
        <v>0</v>
      </c>
      <c r="J115" s="999">
        <v>0</v>
      </c>
      <c r="K115" s="999">
        <v>0</v>
      </c>
      <c r="L115" s="999">
        <v>0</v>
      </c>
      <c r="M115" s="999">
        <v>0</v>
      </c>
      <c r="N115" s="999">
        <v>0</v>
      </c>
      <c r="O115" s="999">
        <f>+N115</f>
        <v>0</v>
      </c>
      <c r="P115" s="999">
        <v>0</v>
      </c>
      <c r="Q115" s="999">
        <v>0</v>
      </c>
      <c r="R115" s="999">
        <v>0</v>
      </c>
      <c r="S115" s="999">
        <v>0</v>
      </c>
      <c r="T115" s="999">
        <v>0</v>
      </c>
      <c r="U115" s="999">
        <f>+T115</f>
        <v>0</v>
      </c>
      <c r="V115" s="999">
        <v>0</v>
      </c>
      <c r="W115" s="999">
        <v>0</v>
      </c>
      <c r="X115" s="999">
        <v>0</v>
      </c>
      <c r="Y115" s="999">
        <v>0</v>
      </c>
      <c r="Z115" s="999"/>
      <c r="AA115" s="999">
        <v>0</v>
      </c>
      <c r="AB115" s="1890">
        <f t="shared" si="97"/>
        <v>0</v>
      </c>
      <c r="AC115" s="1890">
        <f t="shared" si="98"/>
        <v>0</v>
      </c>
      <c r="AD115" s="1890">
        <f t="shared" si="99"/>
        <v>0</v>
      </c>
      <c r="AE115" s="2057">
        <f t="shared" si="100"/>
        <v>0</v>
      </c>
      <c r="AF115" s="2057">
        <f t="shared" si="101"/>
        <v>0</v>
      </c>
      <c r="AG115" s="2384">
        <f t="shared" si="102"/>
        <v>0</v>
      </c>
      <c r="AH115" s="2391">
        <f t="shared" si="78"/>
        <v>0</v>
      </c>
      <c r="AI115" s="79">
        <f t="shared" si="79"/>
        <v>0</v>
      </c>
      <c r="AJ115" s="79">
        <f t="shared" si="80"/>
        <v>0</v>
      </c>
      <c r="AK115" s="79">
        <f t="shared" si="81"/>
        <v>0</v>
      </c>
      <c r="AL115" s="79">
        <f t="shared" si="82"/>
        <v>0</v>
      </c>
      <c r="AM115" s="1684">
        <f t="shared" si="83"/>
        <v>0</v>
      </c>
      <c r="AN115" s="137"/>
      <c r="AO115" s="137"/>
      <c r="AP115" s="137"/>
      <c r="AQ115" s="137"/>
    </row>
    <row r="116" spans="1:43" ht="12" customHeight="1">
      <c r="A116" s="1971" t="s">
        <v>193</v>
      </c>
      <c r="B116" s="2031" t="s">
        <v>346</v>
      </c>
      <c r="C116" s="2030">
        <f>+'36. mell. E.felh.c.kiad.'!I57</f>
        <v>124756118</v>
      </c>
      <c r="D116" s="2030">
        <f>+'36. mell. E.felh.c.kiad.'!K57</f>
        <v>255066046</v>
      </c>
      <c r="E116" s="2030">
        <f>+'36. mell. E.felh.c.kiad.'!L57</f>
        <v>251526380</v>
      </c>
      <c r="F116" s="2030">
        <f>+'36. mell. E.felh.c.kiad.'!M57</f>
        <v>257714578</v>
      </c>
      <c r="G116" s="2030">
        <f>+'36. mell. E.felh.c.kiad.'!N57</f>
        <v>307892573</v>
      </c>
      <c r="H116" s="1973">
        <f>+'36. mell. E.felh.c.kiad.'!O57</f>
        <v>307892573</v>
      </c>
      <c r="I116" s="2030">
        <f>+'36. mell. E.felh.c.kiad.'!P57</f>
        <v>254380188</v>
      </c>
      <c r="J116" s="999">
        <f>+'36. mell. E.felh.c.kiad.'!K46</f>
        <v>5000000</v>
      </c>
      <c r="K116" s="999">
        <f>+'36. mell. E.felh.c.kiad.'!L46</f>
        <v>5000000</v>
      </c>
      <c r="L116" s="999">
        <f>+'36. mell. E.felh.c.kiad.'!M46</f>
        <v>5000000</v>
      </c>
      <c r="M116" s="999">
        <f>+'36. mell. E.felh.c.kiad.'!N46</f>
        <v>5000000</v>
      </c>
      <c r="N116" s="999">
        <f>+'36. mell. E.felh.c.kiad.'!O46</f>
        <v>5000000</v>
      </c>
      <c r="O116" s="999">
        <f>+'36. mell. E.felh.c.kiad.'!P46</f>
        <v>0</v>
      </c>
      <c r="P116" s="999">
        <f t="shared" ref="P116:U116" si="103">+D116-J116</f>
        <v>250066046</v>
      </c>
      <c r="Q116" s="999">
        <f t="shared" si="103"/>
        <v>246526380</v>
      </c>
      <c r="R116" s="999">
        <f t="shared" si="103"/>
        <v>252714578</v>
      </c>
      <c r="S116" s="999">
        <f t="shared" si="103"/>
        <v>302892573</v>
      </c>
      <c r="T116" s="999">
        <f t="shared" si="103"/>
        <v>302892573</v>
      </c>
      <c r="U116" s="999">
        <f t="shared" si="103"/>
        <v>254380188</v>
      </c>
      <c r="V116" s="999">
        <v>0</v>
      </c>
      <c r="W116" s="999">
        <v>0</v>
      </c>
      <c r="X116" s="999">
        <v>0</v>
      </c>
      <c r="Y116" s="999">
        <v>0</v>
      </c>
      <c r="Z116" s="999"/>
      <c r="AA116" s="999">
        <v>0</v>
      </c>
      <c r="AB116" s="1890">
        <f t="shared" si="97"/>
        <v>255066046</v>
      </c>
      <c r="AC116" s="1890">
        <f t="shared" si="98"/>
        <v>251526380</v>
      </c>
      <c r="AD116" s="1890">
        <f t="shared" si="99"/>
        <v>257714578</v>
      </c>
      <c r="AE116" s="1890">
        <f t="shared" si="100"/>
        <v>307892573</v>
      </c>
      <c r="AF116" s="1890">
        <f t="shared" si="101"/>
        <v>307892573</v>
      </c>
      <c r="AG116" s="2383">
        <f t="shared" si="102"/>
        <v>254380188</v>
      </c>
      <c r="AH116" s="2391">
        <f t="shared" si="78"/>
        <v>0</v>
      </c>
      <c r="AI116" s="79">
        <f t="shared" si="79"/>
        <v>0</v>
      </c>
      <c r="AJ116" s="79">
        <f t="shared" si="80"/>
        <v>0</v>
      </c>
      <c r="AK116" s="79">
        <f t="shared" si="81"/>
        <v>0</v>
      </c>
      <c r="AL116" s="79">
        <f t="shared" si="82"/>
        <v>0</v>
      </c>
      <c r="AM116" s="1684">
        <f t="shared" si="83"/>
        <v>0</v>
      </c>
      <c r="AN116" s="137"/>
      <c r="AO116" s="137"/>
      <c r="AP116" s="137"/>
      <c r="AQ116" s="137"/>
    </row>
    <row r="117" spans="1:43" ht="12" customHeight="1">
      <c r="A117" s="1971" t="s">
        <v>195</v>
      </c>
      <c r="B117" s="2031" t="s">
        <v>488</v>
      </c>
      <c r="C117" s="2030">
        <f>+'36. mell. E.felh.c.kiad.'!I7</f>
        <v>0</v>
      </c>
      <c r="D117" s="2030">
        <f>+'36. mell. E.felh.c.kiad.'!K7</f>
        <v>0</v>
      </c>
      <c r="E117" s="2030">
        <f>+'36. mell. E.felh.c.kiad.'!L7</f>
        <v>0</v>
      </c>
      <c r="F117" s="2030">
        <f>+'36. mell. E.felh.c.kiad.'!M7</f>
        <v>0</v>
      </c>
      <c r="G117" s="2030">
        <f>+'36. mell. E.felh.c.kiad.'!N7</f>
        <v>0</v>
      </c>
      <c r="H117" s="2030">
        <f>+'36. mell. E.felh.c.kiad.'!O7</f>
        <v>0</v>
      </c>
      <c r="I117" s="2030">
        <f>+'36. mell. E.felh.c.kiad.'!P7</f>
        <v>0</v>
      </c>
      <c r="J117" s="2019">
        <v>0</v>
      </c>
      <c r="K117" s="2019">
        <v>0</v>
      </c>
      <c r="L117" s="2019">
        <v>0</v>
      </c>
      <c r="M117" s="999">
        <v>0</v>
      </c>
      <c r="N117" s="999">
        <v>0</v>
      </c>
      <c r="O117" s="999">
        <v>0</v>
      </c>
      <c r="P117" s="999">
        <v>0</v>
      </c>
      <c r="Q117" s="999">
        <v>0</v>
      </c>
      <c r="R117" s="999">
        <v>0</v>
      </c>
      <c r="S117" s="999">
        <v>0</v>
      </c>
      <c r="T117" s="999">
        <v>0</v>
      </c>
      <c r="U117" s="999">
        <v>0</v>
      </c>
      <c r="V117" s="999">
        <v>0</v>
      </c>
      <c r="W117" s="999">
        <v>0</v>
      </c>
      <c r="X117" s="999">
        <v>0</v>
      </c>
      <c r="Y117" s="999">
        <v>0</v>
      </c>
      <c r="Z117" s="999"/>
      <c r="AA117" s="999">
        <v>0</v>
      </c>
      <c r="AB117" s="1890">
        <f t="shared" si="97"/>
        <v>0</v>
      </c>
      <c r="AC117" s="1890">
        <f t="shared" si="98"/>
        <v>0</v>
      </c>
      <c r="AD117" s="1890">
        <f t="shared" si="99"/>
        <v>0</v>
      </c>
      <c r="AE117" s="1890">
        <f t="shared" si="100"/>
        <v>0</v>
      </c>
      <c r="AF117" s="1890">
        <f t="shared" si="101"/>
        <v>0</v>
      </c>
      <c r="AG117" s="2383">
        <f t="shared" si="102"/>
        <v>0</v>
      </c>
      <c r="AH117" s="2391">
        <f t="shared" si="78"/>
        <v>0</v>
      </c>
      <c r="AI117" s="79">
        <f t="shared" si="79"/>
        <v>0</v>
      </c>
      <c r="AJ117" s="79">
        <f t="shared" si="80"/>
        <v>0</v>
      </c>
      <c r="AK117" s="79">
        <f t="shared" si="81"/>
        <v>0</v>
      </c>
      <c r="AL117" s="79">
        <f t="shared" si="82"/>
        <v>0</v>
      </c>
      <c r="AM117" s="1684">
        <f t="shared" si="83"/>
        <v>0</v>
      </c>
      <c r="AN117" s="137"/>
      <c r="AO117" s="137"/>
      <c r="AP117" s="137"/>
      <c r="AQ117" s="137"/>
    </row>
    <row r="118" spans="1:43" ht="12" customHeight="1">
      <c r="A118" s="1971" t="s">
        <v>348</v>
      </c>
      <c r="B118" s="2029" t="s">
        <v>349</v>
      </c>
      <c r="C118" s="2030">
        <v>0</v>
      </c>
      <c r="D118" s="2030">
        <v>0</v>
      </c>
      <c r="E118" s="2030">
        <f t="shared" ref="E118:I119" si="104">+D118</f>
        <v>0</v>
      </c>
      <c r="F118" s="2030">
        <f t="shared" si="104"/>
        <v>0</v>
      </c>
      <c r="G118" s="2030">
        <f t="shared" si="104"/>
        <v>0</v>
      </c>
      <c r="H118" s="2030">
        <f t="shared" si="104"/>
        <v>0</v>
      </c>
      <c r="I118" s="2030">
        <f t="shared" si="104"/>
        <v>0</v>
      </c>
      <c r="J118" s="2019">
        <v>0</v>
      </c>
      <c r="K118" s="2019">
        <v>0</v>
      </c>
      <c r="L118" s="2019">
        <v>0</v>
      </c>
      <c r="M118" s="999">
        <v>0</v>
      </c>
      <c r="N118" s="999">
        <v>0</v>
      </c>
      <c r="O118" s="999">
        <v>0</v>
      </c>
      <c r="P118" s="999">
        <v>0</v>
      </c>
      <c r="Q118" s="999">
        <v>0</v>
      </c>
      <c r="R118" s="999">
        <v>0</v>
      </c>
      <c r="S118" s="999">
        <v>0</v>
      </c>
      <c r="T118" s="999">
        <v>0</v>
      </c>
      <c r="U118" s="999">
        <v>0</v>
      </c>
      <c r="V118" s="999">
        <v>0</v>
      </c>
      <c r="W118" s="999">
        <v>0</v>
      </c>
      <c r="X118" s="999">
        <v>0</v>
      </c>
      <c r="Y118" s="999">
        <v>0</v>
      </c>
      <c r="Z118" s="999"/>
      <c r="AA118" s="999">
        <v>0</v>
      </c>
      <c r="AB118" s="1890">
        <f t="shared" si="97"/>
        <v>0</v>
      </c>
      <c r="AC118" s="1890">
        <f t="shared" si="98"/>
        <v>0</v>
      </c>
      <c r="AD118" s="1890">
        <f t="shared" si="99"/>
        <v>0</v>
      </c>
      <c r="AE118" s="1890">
        <f t="shared" si="100"/>
        <v>0</v>
      </c>
      <c r="AF118" s="1890">
        <f t="shared" si="101"/>
        <v>0</v>
      </c>
      <c r="AG118" s="2383">
        <f t="shared" si="102"/>
        <v>0</v>
      </c>
      <c r="AH118" s="2391">
        <f t="shared" si="78"/>
        <v>0</v>
      </c>
      <c r="AI118" s="79">
        <f t="shared" si="79"/>
        <v>0</v>
      </c>
      <c r="AJ118" s="79">
        <f t="shared" si="80"/>
        <v>0</v>
      </c>
      <c r="AK118" s="79">
        <f t="shared" si="81"/>
        <v>0</v>
      </c>
      <c r="AL118" s="79">
        <f t="shared" si="82"/>
        <v>0</v>
      </c>
      <c r="AM118" s="1684">
        <f t="shared" si="83"/>
        <v>0</v>
      </c>
      <c r="AN118" s="137"/>
      <c r="AO118" s="137"/>
      <c r="AP118" s="137"/>
      <c r="AQ118" s="137"/>
    </row>
    <row r="119" spans="1:43">
      <c r="A119" s="1971" t="s">
        <v>350</v>
      </c>
      <c r="B119" s="2029" t="s">
        <v>330</v>
      </c>
      <c r="C119" s="2030">
        <v>0</v>
      </c>
      <c r="D119" s="2030">
        <v>0</v>
      </c>
      <c r="E119" s="2030">
        <f t="shared" si="104"/>
        <v>0</v>
      </c>
      <c r="F119" s="2030">
        <f t="shared" si="104"/>
        <v>0</v>
      </c>
      <c r="G119" s="2030">
        <f t="shared" si="104"/>
        <v>0</v>
      </c>
      <c r="H119" s="2030">
        <f t="shared" si="104"/>
        <v>0</v>
      </c>
      <c r="I119" s="2030">
        <f t="shared" si="104"/>
        <v>0</v>
      </c>
      <c r="J119" s="2019">
        <v>0</v>
      </c>
      <c r="K119" s="2019">
        <v>0</v>
      </c>
      <c r="L119" s="2019">
        <v>0</v>
      </c>
      <c r="M119" s="999">
        <v>0</v>
      </c>
      <c r="N119" s="999">
        <v>0</v>
      </c>
      <c r="O119" s="999">
        <v>0</v>
      </c>
      <c r="P119" s="999">
        <v>0</v>
      </c>
      <c r="Q119" s="999">
        <v>0</v>
      </c>
      <c r="R119" s="999">
        <v>0</v>
      </c>
      <c r="S119" s="999">
        <v>0</v>
      </c>
      <c r="T119" s="999">
        <v>0</v>
      </c>
      <c r="U119" s="999">
        <v>0</v>
      </c>
      <c r="V119" s="999">
        <v>0</v>
      </c>
      <c r="W119" s="999">
        <v>0</v>
      </c>
      <c r="X119" s="999">
        <v>0</v>
      </c>
      <c r="Y119" s="999">
        <v>0</v>
      </c>
      <c r="Z119" s="999"/>
      <c r="AA119" s="999">
        <v>0</v>
      </c>
      <c r="AB119" s="1890">
        <f t="shared" si="97"/>
        <v>0</v>
      </c>
      <c r="AC119" s="1890">
        <f t="shared" si="98"/>
        <v>0</v>
      </c>
      <c r="AD119" s="1890">
        <f t="shared" si="99"/>
        <v>0</v>
      </c>
      <c r="AE119" s="1890">
        <f t="shared" si="100"/>
        <v>0</v>
      </c>
      <c r="AF119" s="1890">
        <f t="shared" si="101"/>
        <v>0</v>
      </c>
      <c r="AG119" s="2383">
        <f t="shared" si="102"/>
        <v>0</v>
      </c>
      <c r="AH119" s="2391">
        <f t="shared" si="78"/>
        <v>0</v>
      </c>
      <c r="AI119" s="79">
        <f t="shared" si="79"/>
        <v>0</v>
      </c>
      <c r="AJ119" s="79">
        <f t="shared" si="80"/>
        <v>0</v>
      </c>
      <c r="AK119" s="79">
        <f t="shared" si="81"/>
        <v>0</v>
      </c>
      <c r="AL119" s="79">
        <f t="shared" si="82"/>
        <v>0</v>
      </c>
      <c r="AM119" s="1684">
        <f t="shared" si="83"/>
        <v>0</v>
      </c>
      <c r="AN119" s="137"/>
      <c r="AO119" s="137"/>
      <c r="AP119" s="137"/>
      <c r="AQ119" s="137"/>
    </row>
    <row r="120" spans="1:43" ht="12" customHeight="1">
      <c r="A120" s="1971" t="s">
        <v>351</v>
      </c>
      <c r="B120" s="2029" t="s">
        <v>352</v>
      </c>
      <c r="C120" s="2030">
        <f>+'36. mell. E.felh.c.kiad.'!I23</f>
        <v>0</v>
      </c>
      <c r="D120" s="2030">
        <f>+'36. mell. E.felh.c.kiad.'!K23</f>
        <v>0</v>
      </c>
      <c r="E120" s="2030">
        <f>+'36. mell. E.felh.c.kiad.'!L23</f>
        <v>0</v>
      </c>
      <c r="F120" s="2030">
        <f>+'36. mell. E.felh.c.kiad.'!M23</f>
        <v>0</v>
      </c>
      <c r="G120" s="2030">
        <f>+'36. mell. E.felh.c.kiad.'!N23</f>
        <v>0</v>
      </c>
      <c r="H120" s="2030">
        <f>+'36. mell. E.felh.c.kiad.'!O23</f>
        <v>0</v>
      </c>
      <c r="I120" s="2030">
        <f>+'36. mell. E.felh.c.kiad.'!P23</f>
        <v>0</v>
      </c>
      <c r="J120" s="2019">
        <v>0</v>
      </c>
      <c r="K120" s="2019">
        <v>0</v>
      </c>
      <c r="L120" s="2019">
        <v>0</v>
      </c>
      <c r="M120" s="999">
        <v>0</v>
      </c>
      <c r="N120" s="999">
        <v>0</v>
      </c>
      <c r="O120" s="999">
        <v>0</v>
      </c>
      <c r="P120" s="999">
        <f>+'36. mell. E.felh.c.kiad.'!K23</f>
        <v>0</v>
      </c>
      <c r="Q120" s="999">
        <f>+'36. mell. E.felh.c.kiad.'!L23</f>
        <v>0</v>
      </c>
      <c r="R120" s="999">
        <f>+'36. mell. E.felh.c.kiad.'!M23</f>
        <v>0</v>
      </c>
      <c r="S120" s="999">
        <f>+'36. mell. E.felh.c.kiad.'!N23</f>
        <v>0</v>
      </c>
      <c r="T120" s="999">
        <f>+'36. mell. E.felh.c.kiad.'!O23</f>
        <v>0</v>
      </c>
      <c r="U120" s="999">
        <f>+'36. mell. E.felh.c.kiad.'!P23</f>
        <v>0</v>
      </c>
      <c r="V120" s="999">
        <v>0</v>
      </c>
      <c r="W120" s="999">
        <v>0</v>
      </c>
      <c r="X120" s="999">
        <v>0</v>
      </c>
      <c r="Y120" s="999">
        <v>0</v>
      </c>
      <c r="Z120" s="999"/>
      <c r="AA120" s="999">
        <v>0</v>
      </c>
      <c r="AB120" s="1890">
        <f t="shared" si="97"/>
        <v>0</v>
      </c>
      <c r="AC120" s="1890">
        <f t="shared" si="98"/>
        <v>0</v>
      </c>
      <c r="AD120" s="1890">
        <f t="shared" si="99"/>
        <v>0</v>
      </c>
      <c r="AE120" s="1890">
        <f t="shared" si="100"/>
        <v>0</v>
      </c>
      <c r="AF120" s="1890">
        <f t="shared" si="101"/>
        <v>0</v>
      </c>
      <c r="AG120" s="2383">
        <f t="shared" si="102"/>
        <v>0</v>
      </c>
      <c r="AH120" s="2391">
        <f t="shared" si="78"/>
        <v>0</v>
      </c>
      <c r="AI120" s="79">
        <f t="shared" si="79"/>
        <v>0</v>
      </c>
      <c r="AJ120" s="79">
        <f t="shared" si="80"/>
        <v>0</v>
      </c>
      <c r="AK120" s="79">
        <f t="shared" si="81"/>
        <v>0</v>
      </c>
      <c r="AL120" s="79">
        <f t="shared" si="82"/>
        <v>0</v>
      </c>
      <c r="AM120" s="1684">
        <f t="shared" si="83"/>
        <v>0</v>
      </c>
      <c r="AN120" s="137"/>
      <c r="AO120" s="137"/>
      <c r="AP120" s="137"/>
      <c r="AQ120" s="137"/>
    </row>
    <row r="121" spans="1:43" ht="12" customHeight="1">
      <c r="A121" s="1971" t="s">
        <v>353</v>
      </c>
      <c r="B121" s="2029" t="s">
        <v>354</v>
      </c>
      <c r="C121" s="2030">
        <v>0</v>
      </c>
      <c r="D121" s="2030">
        <v>0</v>
      </c>
      <c r="E121" s="2030">
        <f>+D121</f>
        <v>0</v>
      </c>
      <c r="F121" s="2030">
        <f>+E121</f>
        <v>0</v>
      </c>
      <c r="G121" s="2030">
        <f>+F121</f>
        <v>0</v>
      </c>
      <c r="H121" s="2030">
        <f>+G121</f>
        <v>0</v>
      </c>
      <c r="I121" s="2030">
        <f>+H121</f>
        <v>0</v>
      </c>
      <c r="J121" s="2019">
        <v>0</v>
      </c>
      <c r="K121" s="2019">
        <v>0</v>
      </c>
      <c r="L121" s="2019">
        <v>0</v>
      </c>
      <c r="M121" s="999">
        <v>0</v>
      </c>
      <c r="N121" s="999">
        <v>0</v>
      </c>
      <c r="O121" s="999">
        <v>0</v>
      </c>
      <c r="P121" s="999">
        <v>0</v>
      </c>
      <c r="Q121" s="999">
        <v>0</v>
      </c>
      <c r="R121" s="999">
        <v>0</v>
      </c>
      <c r="S121" s="999">
        <v>0</v>
      </c>
      <c r="T121" s="999">
        <v>0</v>
      </c>
      <c r="U121" s="999">
        <f>+T121</f>
        <v>0</v>
      </c>
      <c r="V121" s="999">
        <v>0</v>
      </c>
      <c r="W121" s="999">
        <v>0</v>
      </c>
      <c r="X121" s="999">
        <v>0</v>
      </c>
      <c r="Y121" s="999">
        <v>0</v>
      </c>
      <c r="Z121" s="999"/>
      <c r="AA121" s="999">
        <v>0</v>
      </c>
      <c r="AB121" s="1890">
        <f t="shared" si="97"/>
        <v>0</v>
      </c>
      <c r="AC121" s="1890">
        <f t="shared" si="98"/>
        <v>0</v>
      </c>
      <c r="AD121" s="1890">
        <f t="shared" si="99"/>
        <v>0</v>
      </c>
      <c r="AE121" s="1890">
        <f t="shared" si="100"/>
        <v>0</v>
      </c>
      <c r="AF121" s="1890">
        <f t="shared" si="101"/>
        <v>0</v>
      </c>
      <c r="AG121" s="2383">
        <f t="shared" si="102"/>
        <v>0</v>
      </c>
      <c r="AH121" s="2391">
        <f t="shared" si="78"/>
        <v>0</v>
      </c>
      <c r="AI121" s="79">
        <f t="shared" si="79"/>
        <v>0</v>
      </c>
      <c r="AJ121" s="79">
        <f t="shared" si="80"/>
        <v>0</v>
      </c>
      <c r="AK121" s="79">
        <f t="shared" si="81"/>
        <v>0</v>
      </c>
      <c r="AL121" s="79">
        <f t="shared" si="82"/>
        <v>0</v>
      </c>
      <c r="AM121" s="1684">
        <f t="shared" si="83"/>
        <v>0</v>
      </c>
      <c r="AN121" s="137"/>
      <c r="AO121" s="137"/>
      <c r="AP121" s="137"/>
      <c r="AQ121" s="137"/>
    </row>
    <row r="122" spans="1:43" ht="12" customHeight="1">
      <c r="A122" s="1971" t="s">
        <v>355</v>
      </c>
      <c r="B122" s="2029" t="s">
        <v>336</v>
      </c>
      <c r="C122" s="2030">
        <f>+'36. mell. E.felh.c.kiad.'!I35</f>
        <v>18000000</v>
      </c>
      <c r="D122" s="2030">
        <f>+'36. mell. E.felh.c.kiad.'!K35</f>
        <v>8000000</v>
      </c>
      <c r="E122" s="2030">
        <f>+'36. mell. E.felh.c.kiad.'!L35</f>
        <v>8000000</v>
      </c>
      <c r="F122" s="2030">
        <f>+'36. mell. E.felh.c.kiad.'!M35</f>
        <v>8000000</v>
      </c>
      <c r="G122" s="2030">
        <f>+'36. mell. E.felh.c.kiad.'!N35</f>
        <v>8000000</v>
      </c>
      <c r="H122" s="2030">
        <f>+'36. mell. E.felh.c.kiad.'!O35</f>
        <v>8000000</v>
      </c>
      <c r="I122" s="2030">
        <f>+'36. mell. E.felh.c.kiad.'!P35</f>
        <v>0</v>
      </c>
      <c r="J122" s="2019">
        <v>0</v>
      </c>
      <c r="K122" s="2019">
        <v>0</v>
      </c>
      <c r="L122" s="2019">
        <v>0</v>
      </c>
      <c r="M122" s="999">
        <v>0</v>
      </c>
      <c r="N122" s="999">
        <v>0</v>
      </c>
      <c r="O122" s="999">
        <v>0</v>
      </c>
      <c r="P122" s="999">
        <f>+'36. mell. E.felh.c.kiad.'!K35</f>
        <v>8000000</v>
      </c>
      <c r="Q122" s="999">
        <f>+'36. mell. E.felh.c.kiad.'!L35</f>
        <v>8000000</v>
      </c>
      <c r="R122" s="999">
        <f>+'36. mell. E.felh.c.kiad.'!M35</f>
        <v>8000000</v>
      </c>
      <c r="S122" s="999">
        <f>+'36. mell. E.felh.c.kiad.'!N35</f>
        <v>8000000</v>
      </c>
      <c r="T122" s="999">
        <f>+'36. mell. E.felh.c.kiad.'!O35</f>
        <v>8000000</v>
      </c>
      <c r="U122" s="999">
        <f>+'36. mell. E.felh.c.kiad.'!P35</f>
        <v>0</v>
      </c>
      <c r="V122" s="999">
        <v>0</v>
      </c>
      <c r="W122" s="999">
        <v>0</v>
      </c>
      <c r="X122" s="999">
        <v>0</v>
      </c>
      <c r="Y122" s="999">
        <v>0</v>
      </c>
      <c r="Z122" s="999"/>
      <c r="AA122" s="999">
        <v>0</v>
      </c>
      <c r="AB122" s="1890">
        <f t="shared" si="97"/>
        <v>8000000</v>
      </c>
      <c r="AC122" s="1890">
        <f t="shared" si="98"/>
        <v>8000000</v>
      </c>
      <c r="AD122" s="1890">
        <f t="shared" si="99"/>
        <v>8000000</v>
      </c>
      <c r="AE122" s="1890">
        <f t="shared" si="100"/>
        <v>8000000</v>
      </c>
      <c r="AF122" s="1890">
        <f t="shared" si="101"/>
        <v>8000000</v>
      </c>
      <c r="AG122" s="2383">
        <f t="shared" si="102"/>
        <v>0</v>
      </c>
      <c r="AH122" s="2391">
        <f t="shared" si="78"/>
        <v>0</v>
      </c>
      <c r="AI122" s="79">
        <f t="shared" si="79"/>
        <v>0</v>
      </c>
      <c r="AJ122" s="79">
        <f t="shared" si="80"/>
        <v>0</v>
      </c>
      <c r="AK122" s="79">
        <f t="shared" si="81"/>
        <v>0</v>
      </c>
      <c r="AL122" s="79">
        <f t="shared" si="82"/>
        <v>0</v>
      </c>
      <c r="AM122" s="1684">
        <f t="shared" si="83"/>
        <v>0</v>
      </c>
      <c r="AN122" s="137"/>
      <c r="AO122" s="137"/>
      <c r="AP122" s="137"/>
      <c r="AQ122" s="137"/>
    </row>
    <row r="123" spans="1:43" ht="12" customHeight="1">
      <c r="A123" s="1971" t="s">
        <v>356</v>
      </c>
      <c r="B123" s="2029" t="s">
        <v>357</v>
      </c>
      <c r="C123" s="2030">
        <f>+'36. mell. E.felh.c.kiad.'!I40</f>
        <v>5000000</v>
      </c>
      <c r="D123" s="2030">
        <f>+'36. mell. E.felh.c.kiad.'!K40</f>
        <v>2000000</v>
      </c>
      <c r="E123" s="2030">
        <f>+'36. mell. E.felh.c.kiad.'!L40</f>
        <v>2000000</v>
      </c>
      <c r="F123" s="2030">
        <f>+'36. mell. E.felh.c.kiad.'!M40</f>
        <v>2000000</v>
      </c>
      <c r="G123" s="2030">
        <f>+'36. mell. E.felh.c.kiad.'!N40</f>
        <v>2000000</v>
      </c>
      <c r="H123" s="2030">
        <f>+'36. mell. E.felh.c.kiad.'!O40</f>
        <v>2000000</v>
      </c>
      <c r="I123" s="2030">
        <f>+'36. mell. E.felh.c.kiad.'!P40</f>
        <v>0</v>
      </c>
      <c r="J123" s="2019">
        <v>0</v>
      </c>
      <c r="K123" s="2019">
        <v>0</v>
      </c>
      <c r="L123" s="2019">
        <v>0</v>
      </c>
      <c r="M123" s="999">
        <v>0</v>
      </c>
      <c r="N123" s="999">
        <v>0</v>
      </c>
      <c r="O123" s="999">
        <v>0</v>
      </c>
      <c r="P123" s="999">
        <f>+'36. mell. E.felh.c.kiad.'!K40</f>
        <v>2000000</v>
      </c>
      <c r="Q123" s="999">
        <f>+'36. mell. E.felh.c.kiad.'!L40</f>
        <v>2000000</v>
      </c>
      <c r="R123" s="999">
        <f>+'36. mell. E.felh.c.kiad.'!M40</f>
        <v>2000000</v>
      </c>
      <c r="S123" s="999">
        <f>+'36. mell. E.felh.c.kiad.'!N40</f>
        <v>2000000</v>
      </c>
      <c r="T123" s="999">
        <f>+'36. mell. E.felh.c.kiad.'!O40</f>
        <v>2000000</v>
      </c>
      <c r="U123" s="999">
        <f>+'36. mell. E.felh.c.kiad.'!P40</f>
        <v>0</v>
      </c>
      <c r="V123" s="999">
        <v>0</v>
      </c>
      <c r="W123" s="999">
        <v>0</v>
      </c>
      <c r="X123" s="999">
        <v>0</v>
      </c>
      <c r="Y123" s="999">
        <v>0</v>
      </c>
      <c r="Z123" s="999"/>
      <c r="AA123" s="999">
        <v>0</v>
      </c>
      <c r="AB123" s="1890">
        <f t="shared" si="97"/>
        <v>2000000</v>
      </c>
      <c r="AC123" s="1890">
        <f t="shared" si="98"/>
        <v>2000000</v>
      </c>
      <c r="AD123" s="1890">
        <f t="shared" si="99"/>
        <v>2000000</v>
      </c>
      <c r="AE123" s="1890">
        <f t="shared" si="100"/>
        <v>2000000</v>
      </c>
      <c r="AF123" s="1890">
        <f t="shared" si="101"/>
        <v>2000000</v>
      </c>
      <c r="AG123" s="2383">
        <f t="shared" si="102"/>
        <v>0</v>
      </c>
      <c r="AH123" s="2391">
        <f t="shared" si="78"/>
        <v>0</v>
      </c>
      <c r="AI123" s="79">
        <f t="shared" si="79"/>
        <v>0</v>
      </c>
      <c r="AJ123" s="79">
        <f t="shared" si="80"/>
        <v>0</v>
      </c>
      <c r="AK123" s="79">
        <f t="shared" si="81"/>
        <v>0</v>
      </c>
      <c r="AL123" s="79">
        <f t="shared" si="82"/>
        <v>0</v>
      </c>
      <c r="AM123" s="1684">
        <f t="shared" si="83"/>
        <v>0</v>
      </c>
      <c r="AN123" s="137"/>
      <c r="AO123" s="137"/>
      <c r="AP123" s="137"/>
      <c r="AQ123" s="137"/>
    </row>
    <row r="124" spans="1:43" ht="12" customHeight="1">
      <c r="A124" s="1971" t="s">
        <v>358</v>
      </c>
      <c r="B124" s="2027" t="s">
        <v>359</v>
      </c>
      <c r="C124" s="1973">
        <f>+'36. mell. E.felh.c.kiad.'!I56</f>
        <v>101756118</v>
      </c>
      <c r="D124" s="1973">
        <f>+'36. mell. E.felh.c.kiad.'!K56</f>
        <v>245066046</v>
      </c>
      <c r="E124" s="1973">
        <f>+'36. mell. E.felh.c.kiad.'!L56</f>
        <v>241526380</v>
      </c>
      <c r="F124" s="1973">
        <f>+'36. mell. E.felh.c.kiad.'!M56</f>
        <v>247714578</v>
      </c>
      <c r="G124" s="1973">
        <f>+'36. mell. E.felh.c.kiad.'!N56</f>
        <v>297892573</v>
      </c>
      <c r="H124" s="1973">
        <f>+'36. mell. E.felh.c.kiad.'!O56</f>
        <v>297892573</v>
      </c>
      <c r="I124" s="1973">
        <f>+'36. mell. E.felh.c.kiad.'!P56</f>
        <v>254380188</v>
      </c>
      <c r="J124" s="999">
        <f>+'36. mell. E.felh.c.kiad.'!K46</f>
        <v>5000000</v>
      </c>
      <c r="K124" s="999">
        <f>+'36. mell. E.felh.c.kiad.'!L46</f>
        <v>5000000</v>
      </c>
      <c r="L124" s="999">
        <f>+'36. mell. E.felh.c.kiad.'!M46</f>
        <v>5000000</v>
      </c>
      <c r="M124" s="999">
        <f>+'36. mell. E.felh.c.kiad.'!N46</f>
        <v>5000000</v>
      </c>
      <c r="N124" s="999">
        <f>+'36. mell. E.felh.c.kiad.'!O46</f>
        <v>5000000</v>
      </c>
      <c r="O124" s="999">
        <f>+'36. mell. E.felh.c.kiad.'!P46</f>
        <v>0</v>
      </c>
      <c r="P124" s="999">
        <f>+'36. mell. E.felh.c.kiad.'!K45+'36. mell. E.felh.c.kiad.'!K52+'36. mell. E.felh.c.kiad.'!K51+'36. mell. E.felh.c.kiad.'!K53+'36. mell. E.felh.c.kiad.'!K54+'36. mell. E.felh.c.kiad.'!K55</f>
        <v>240066046</v>
      </c>
      <c r="Q124" s="999">
        <f>+'36. mell. E.felh.c.kiad.'!L45+'36. mell. E.felh.c.kiad.'!L52+'36. mell. E.felh.c.kiad.'!L51+'36. mell. E.felh.c.kiad.'!L53+'36. mell. E.felh.c.kiad.'!L54+'36. mell. E.felh.c.kiad.'!L55</f>
        <v>236526380</v>
      </c>
      <c r="R124" s="999">
        <f>+'36. mell. E.felh.c.kiad.'!M45+'36. mell. E.felh.c.kiad.'!M52+'36. mell. E.felh.c.kiad.'!M51+'36. mell. E.felh.c.kiad.'!M53+'36. mell. E.felh.c.kiad.'!M54+'36. mell. E.felh.c.kiad.'!M55</f>
        <v>242714578</v>
      </c>
      <c r="S124" s="999">
        <f>+'36. mell. E.felh.c.kiad.'!N45+'36. mell. E.felh.c.kiad.'!N52+'36. mell. E.felh.c.kiad.'!N51+'36. mell. E.felh.c.kiad.'!N53+'36. mell. E.felh.c.kiad.'!N54+'36. mell. E.felh.c.kiad.'!N55</f>
        <v>292892573</v>
      </c>
      <c r="T124" s="999">
        <f>+'36. mell. E.felh.c.kiad.'!O45+'36. mell. E.felh.c.kiad.'!O52+'36. mell. E.felh.c.kiad.'!O51+'36. mell. E.felh.c.kiad.'!O53+'36. mell. E.felh.c.kiad.'!O54+'36. mell. E.felh.c.kiad.'!O55</f>
        <v>292892573</v>
      </c>
      <c r="U124" s="999">
        <f>+'36. mell. E.felh.c.kiad.'!P45+'36. mell. E.felh.c.kiad.'!P52+'36. mell. E.felh.c.kiad.'!P51+'36. mell. E.felh.c.kiad.'!P55+'36. mell. E.felh.c.kiad.'!P53</f>
        <v>254380188</v>
      </c>
      <c r="V124" s="999">
        <v>0</v>
      </c>
      <c r="W124" s="999">
        <v>0</v>
      </c>
      <c r="X124" s="999">
        <v>0</v>
      </c>
      <c r="Y124" s="999">
        <v>0</v>
      </c>
      <c r="Z124" s="999"/>
      <c r="AA124" s="999">
        <v>0</v>
      </c>
      <c r="AB124" s="1890">
        <f t="shared" si="97"/>
        <v>245066046</v>
      </c>
      <c r="AC124" s="1890">
        <f t="shared" si="98"/>
        <v>241526380</v>
      </c>
      <c r="AD124" s="1890">
        <f t="shared" si="99"/>
        <v>247714578</v>
      </c>
      <c r="AE124" s="1890">
        <f t="shared" si="100"/>
        <v>297892573</v>
      </c>
      <c r="AF124" s="1890">
        <f t="shared" si="101"/>
        <v>297892573</v>
      </c>
      <c r="AG124" s="2383">
        <f t="shared" si="102"/>
        <v>254380188</v>
      </c>
      <c r="AH124" s="2391">
        <f t="shared" si="78"/>
        <v>0</v>
      </c>
      <c r="AI124" s="79">
        <f t="shared" si="79"/>
        <v>0</v>
      </c>
      <c r="AJ124" s="79">
        <f t="shared" si="80"/>
        <v>0</v>
      </c>
      <c r="AK124" s="79">
        <f t="shared" si="81"/>
        <v>0</v>
      </c>
      <c r="AL124" s="79">
        <f t="shared" si="82"/>
        <v>0</v>
      </c>
      <c r="AM124" s="1684">
        <f t="shared" si="83"/>
        <v>0</v>
      </c>
      <c r="AN124" s="137"/>
      <c r="AO124" s="137"/>
      <c r="AP124" s="137"/>
      <c r="AQ124" s="137"/>
    </row>
    <row r="125" spans="1:43" ht="12" customHeight="1">
      <c r="A125" s="1966" t="s">
        <v>14</v>
      </c>
      <c r="B125" s="2032" t="s">
        <v>360</v>
      </c>
      <c r="C125" s="1968">
        <f t="shared" ref="C125:AG125" si="105">+C126+C127</f>
        <v>1644020281</v>
      </c>
      <c r="D125" s="1968">
        <f t="shared" si="105"/>
        <v>1475781815</v>
      </c>
      <c r="E125" s="1968">
        <f t="shared" si="105"/>
        <v>1790463917</v>
      </c>
      <c r="F125" s="1968">
        <f t="shared" si="105"/>
        <v>1540115825</v>
      </c>
      <c r="G125" s="1968">
        <f t="shared" si="105"/>
        <v>496332358</v>
      </c>
      <c r="H125" s="1968">
        <f t="shared" si="105"/>
        <v>496332358</v>
      </c>
      <c r="I125" s="1968">
        <f t="shared" si="105"/>
        <v>0</v>
      </c>
      <c r="J125" s="1968">
        <f t="shared" si="105"/>
        <v>1475781815</v>
      </c>
      <c r="K125" s="1968">
        <f t="shared" si="105"/>
        <v>1790463917</v>
      </c>
      <c r="L125" s="1968">
        <f t="shared" si="105"/>
        <v>1540115825</v>
      </c>
      <c r="M125" s="1968">
        <f t="shared" si="105"/>
        <v>496332358</v>
      </c>
      <c r="N125" s="1968">
        <f t="shared" si="105"/>
        <v>496332358</v>
      </c>
      <c r="O125" s="1968">
        <f t="shared" si="105"/>
        <v>0</v>
      </c>
      <c r="P125" s="1968">
        <f t="shared" si="105"/>
        <v>0</v>
      </c>
      <c r="Q125" s="1968">
        <f t="shared" si="105"/>
        <v>0</v>
      </c>
      <c r="R125" s="1968">
        <f t="shared" si="105"/>
        <v>0</v>
      </c>
      <c r="S125" s="1968">
        <f t="shared" si="105"/>
        <v>0</v>
      </c>
      <c r="T125" s="1968">
        <f t="shared" si="105"/>
        <v>0</v>
      </c>
      <c r="U125" s="1968">
        <f t="shared" si="105"/>
        <v>0</v>
      </c>
      <c r="V125" s="1968">
        <f t="shared" si="105"/>
        <v>0</v>
      </c>
      <c r="W125" s="1968">
        <f t="shared" si="105"/>
        <v>0</v>
      </c>
      <c r="X125" s="1968">
        <f t="shared" si="105"/>
        <v>0</v>
      </c>
      <c r="Y125" s="1968">
        <f t="shared" si="105"/>
        <v>0</v>
      </c>
      <c r="Z125" s="1968">
        <f t="shared" si="105"/>
        <v>0</v>
      </c>
      <c r="AA125" s="1968">
        <f t="shared" si="105"/>
        <v>0</v>
      </c>
      <c r="AB125" s="1968">
        <f t="shared" si="105"/>
        <v>1475781815</v>
      </c>
      <c r="AC125" s="1968">
        <f t="shared" si="105"/>
        <v>1790463917</v>
      </c>
      <c r="AD125" s="1968">
        <f t="shared" si="105"/>
        <v>1540115825</v>
      </c>
      <c r="AE125" s="1968">
        <f t="shared" si="105"/>
        <v>496332358</v>
      </c>
      <c r="AF125" s="1968">
        <f t="shared" si="105"/>
        <v>496332358</v>
      </c>
      <c r="AG125" s="2044">
        <f t="shared" si="105"/>
        <v>0</v>
      </c>
      <c r="AH125" s="2391">
        <f t="shared" si="78"/>
        <v>0</v>
      </c>
      <c r="AI125" s="79">
        <f t="shared" si="79"/>
        <v>0</v>
      </c>
      <c r="AJ125" s="79">
        <f t="shared" si="80"/>
        <v>0</v>
      </c>
      <c r="AK125" s="79">
        <f t="shared" si="81"/>
        <v>0</v>
      </c>
      <c r="AL125" s="79">
        <f t="shared" si="82"/>
        <v>0</v>
      </c>
      <c r="AM125" s="1684">
        <f t="shared" si="83"/>
        <v>0</v>
      </c>
      <c r="AN125" s="137"/>
      <c r="AO125" s="137"/>
      <c r="AP125" s="137"/>
      <c r="AQ125" s="137"/>
    </row>
    <row r="126" spans="1:43" ht="12" customHeight="1">
      <c r="A126" s="1971" t="s">
        <v>198</v>
      </c>
      <c r="B126" s="2027" t="s">
        <v>361</v>
      </c>
      <c r="C126" s="1973">
        <f>+'33. mell. E.műk.c.kiad.'!I88+'33. mell. E.műk.c.kiad.'!I89+'33. mell. E.műk.c.kiad.'!I90+'33. mell. E.műk.c.kiad.'!I98</f>
        <v>412591480</v>
      </c>
      <c r="D126" s="1973">
        <f>+'33. mell. E.műk.c.kiad.'!K88+'33. mell. E.műk.c.kiad.'!K89+'33. mell. E.műk.c.kiad.'!K90</f>
        <v>339515136</v>
      </c>
      <c r="E126" s="1973">
        <f>+'33. mell. E.műk.c.kiad.'!L88+'33. mell. E.műk.c.kiad.'!L89+'33. mell. E.műk.c.kiad.'!L90</f>
        <v>692819620</v>
      </c>
      <c r="F126" s="1973">
        <f>+'33. mell. E.műk.c.kiad.'!M88+'33. mell. E.műk.c.kiad.'!M89+'33. mell. E.műk.c.kiad.'!M90</f>
        <v>586925012</v>
      </c>
      <c r="G126" s="1973">
        <f>+'33. mell. E.műk.c.kiad.'!N88+'33. mell. E.műk.c.kiad.'!N89+'33. mell. E.műk.c.kiad.'!N90</f>
        <v>473275329</v>
      </c>
      <c r="H126" s="1973">
        <f>+'33. mell. E.műk.c.kiad.'!O88+'33. mell. E.műk.c.kiad.'!O89+'33. mell. E.műk.c.kiad.'!O90</f>
        <v>473275329</v>
      </c>
      <c r="I126" s="1973">
        <f>+'33. mell. E.műk.c.kiad.'!P88+'33. mell. E.műk.c.kiad.'!P89+'33. mell. E.műk.c.kiad.'!P90+'33. mell. E.műk.c.kiad.'!P98</f>
        <v>0</v>
      </c>
      <c r="J126" s="999">
        <f>+'33. mell. E.műk.c.kiad.'!K88+'33. mell. E.műk.c.kiad.'!K89+'33. mell. E.műk.c.kiad.'!K90</f>
        <v>339515136</v>
      </c>
      <c r="K126" s="999">
        <f>+'33. mell. E.műk.c.kiad.'!L88+'33. mell. E.műk.c.kiad.'!L89+'33. mell. E.műk.c.kiad.'!L90</f>
        <v>692819620</v>
      </c>
      <c r="L126" s="999">
        <f>+'33. mell. E.műk.c.kiad.'!M88+'33. mell. E.műk.c.kiad.'!M89+'33. mell. E.műk.c.kiad.'!M90</f>
        <v>586925012</v>
      </c>
      <c r="M126" s="999">
        <f>+'33. mell. E.műk.c.kiad.'!N88+'33. mell. E.műk.c.kiad.'!N89+'33. mell. E.műk.c.kiad.'!N90</f>
        <v>473275329</v>
      </c>
      <c r="N126" s="999">
        <f>+'33. mell. E.műk.c.kiad.'!O88+'33. mell. E.műk.c.kiad.'!O89+'33. mell. E.műk.c.kiad.'!O90</f>
        <v>473275329</v>
      </c>
      <c r="O126" s="999">
        <f>+'33. mell. E.műk.c.kiad.'!P88+'33. mell. E.műk.c.kiad.'!P89+'33. mell. E.műk.c.kiad.'!P90+'33. mell. E.műk.c.kiad.'!P98</f>
        <v>0</v>
      </c>
      <c r="P126" s="999">
        <v>0</v>
      </c>
      <c r="Q126" s="999">
        <v>0</v>
      </c>
      <c r="R126" s="999">
        <v>0</v>
      </c>
      <c r="S126" s="999">
        <v>0</v>
      </c>
      <c r="T126" s="999">
        <v>0</v>
      </c>
      <c r="U126" s="999">
        <v>0</v>
      </c>
      <c r="V126" s="999">
        <v>0</v>
      </c>
      <c r="W126" s="999">
        <v>0</v>
      </c>
      <c r="X126" s="999">
        <v>0</v>
      </c>
      <c r="Y126" s="999">
        <v>0</v>
      </c>
      <c r="Z126" s="999"/>
      <c r="AA126" s="999">
        <v>0</v>
      </c>
      <c r="AB126" s="1890">
        <f t="shared" ref="AB126:AG127" si="106">+J126+P126+V126</f>
        <v>339515136</v>
      </c>
      <c r="AC126" s="1890">
        <f t="shared" si="106"/>
        <v>692819620</v>
      </c>
      <c r="AD126" s="1890">
        <f t="shared" si="106"/>
        <v>586925012</v>
      </c>
      <c r="AE126" s="1890">
        <f t="shared" si="106"/>
        <v>473275329</v>
      </c>
      <c r="AF126" s="1890">
        <f t="shared" si="106"/>
        <v>473275329</v>
      </c>
      <c r="AG126" s="2383">
        <f t="shared" si="106"/>
        <v>0</v>
      </c>
      <c r="AH126" s="2391">
        <f t="shared" si="78"/>
        <v>0</v>
      </c>
      <c r="AI126" s="79">
        <f t="shared" si="79"/>
        <v>0</v>
      </c>
      <c r="AJ126" s="79">
        <f t="shared" si="80"/>
        <v>0</v>
      </c>
      <c r="AK126" s="79">
        <f t="shared" si="81"/>
        <v>0</v>
      </c>
      <c r="AL126" s="79">
        <f t="shared" si="82"/>
        <v>0</v>
      </c>
      <c r="AM126" s="1684">
        <f t="shared" si="83"/>
        <v>0</v>
      </c>
      <c r="AN126" s="1561"/>
      <c r="AO126" s="1561"/>
      <c r="AP126" s="137"/>
      <c r="AQ126" s="137"/>
    </row>
    <row r="127" spans="1:43" ht="12" customHeight="1">
      <c r="A127" s="1971" t="s">
        <v>200</v>
      </c>
      <c r="B127" s="2027" t="s">
        <v>362</v>
      </c>
      <c r="C127" s="1973">
        <f>+'33. mell. E.műk.c.kiad.'!I91+'33. mell. E.műk.c.kiad.'!I92+'33. mell. E.műk.c.kiad.'!I93+'33. mell. E.műk.c.kiad.'!I94+'33. mell. E.műk.c.kiad.'!I96+'33. mell. E.műk.c.kiad.'!I97</f>
        <v>1231428801</v>
      </c>
      <c r="D127" s="1973">
        <f>+'33. mell. E.műk.c.kiad.'!K91+'33. mell. E.műk.c.kiad.'!K92+'33. mell. E.műk.c.kiad.'!K93+'33. mell. E.műk.c.kiad.'!K94+'33. mell. E.műk.c.kiad.'!K96+'33. mell. E.műk.c.kiad.'!K97+'33. mell. E.műk.c.kiad.'!K98</f>
        <v>1136266679</v>
      </c>
      <c r="E127" s="1973">
        <f>+'33. mell. E.műk.c.kiad.'!L91+'33. mell. E.műk.c.kiad.'!L92+'33. mell. E.műk.c.kiad.'!L93+'33. mell. E.műk.c.kiad.'!L94+'33. mell. E.műk.c.kiad.'!L96+'33. mell. E.műk.c.kiad.'!L97+'33. mell. E.műk.c.kiad.'!L98</f>
        <v>1097644297</v>
      </c>
      <c r="F127" s="1973">
        <f>+'33. mell. E.műk.c.kiad.'!M91+'33. mell. E.műk.c.kiad.'!M92+'33. mell. E.műk.c.kiad.'!M93+'33. mell. E.műk.c.kiad.'!M94+'33. mell. E.műk.c.kiad.'!M96+'33. mell. E.műk.c.kiad.'!M97+'33. mell. E.műk.c.kiad.'!M98</f>
        <v>953190813</v>
      </c>
      <c r="G127" s="1973">
        <f>+'33. mell. E.műk.c.kiad.'!N91+'33. mell. E.műk.c.kiad.'!N92+'33. mell. E.műk.c.kiad.'!N93+'33. mell. E.műk.c.kiad.'!N94+'33. mell. E.műk.c.kiad.'!N96+'33. mell. E.műk.c.kiad.'!N97+'33. mell. E.műk.c.kiad.'!N98</f>
        <v>23057029</v>
      </c>
      <c r="H127" s="1973">
        <f>+'33. mell. E.műk.c.kiad.'!O91+'33. mell. E.műk.c.kiad.'!O92+'33. mell. E.műk.c.kiad.'!O93+'33. mell. E.műk.c.kiad.'!O94+'33. mell. E.műk.c.kiad.'!O96+'33. mell. E.műk.c.kiad.'!O97+'33. mell. E.műk.c.kiad.'!O98</f>
        <v>23057029</v>
      </c>
      <c r="I127" s="1973">
        <f>+'33. mell. E.műk.c.kiad.'!P91+'33. mell. E.műk.c.kiad.'!P92+'33. mell. E.műk.c.kiad.'!P93+'33. mell. E.műk.c.kiad.'!P94+'33. mell. E.műk.c.kiad.'!P96</f>
        <v>0</v>
      </c>
      <c r="J127" s="999">
        <f>+'33. mell. E.műk.c.kiad.'!K91+'33. mell. E.műk.c.kiad.'!K92+'33. mell. E.műk.c.kiad.'!K93+'33. mell. E.műk.c.kiad.'!K94+'33. mell. E.műk.c.kiad.'!K96+'33. mell. E.műk.c.kiad.'!K97+'33. mell. E.műk.c.kiad.'!K98</f>
        <v>1136266679</v>
      </c>
      <c r="K127" s="999">
        <f>+'33. mell. E.műk.c.kiad.'!L91+'33. mell. E.műk.c.kiad.'!L92+'33. mell. E.műk.c.kiad.'!L93+'33. mell. E.műk.c.kiad.'!L94+'33. mell. E.műk.c.kiad.'!L96+'33. mell. E.műk.c.kiad.'!L97+'33. mell. E.műk.c.kiad.'!L98</f>
        <v>1097644297</v>
      </c>
      <c r="L127" s="999">
        <f>+'33. mell. E.műk.c.kiad.'!M91+'33. mell. E.műk.c.kiad.'!M92+'33. mell. E.műk.c.kiad.'!M93+'33. mell. E.műk.c.kiad.'!M94+'33. mell. E.műk.c.kiad.'!M96+'33. mell. E.műk.c.kiad.'!M97+'33. mell. E.műk.c.kiad.'!M98</f>
        <v>953190813</v>
      </c>
      <c r="M127" s="999">
        <f>+'33. mell. E.műk.c.kiad.'!N91+'33. mell. E.műk.c.kiad.'!N92+'33. mell. E.műk.c.kiad.'!N93+'33. mell. E.műk.c.kiad.'!N94+'33. mell. E.műk.c.kiad.'!N96+'33. mell. E.műk.c.kiad.'!N97+'33. mell. E.műk.c.kiad.'!N98</f>
        <v>23057029</v>
      </c>
      <c r="N127" s="999">
        <f>+'33. mell. E.műk.c.kiad.'!O91+'33. mell. E.műk.c.kiad.'!O92+'33. mell. E.műk.c.kiad.'!O93+'33. mell. E.műk.c.kiad.'!O94+'33. mell. E.műk.c.kiad.'!O96+'33. mell. E.műk.c.kiad.'!O97+'33. mell. E.műk.c.kiad.'!O98</f>
        <v>23057029</v>
      </c>
      <c r="O127" s="999">
        <f>+'33. mell. E.műk.c.kiad.'!P92+'33. mell. E.műk.c.kiad.'!P93+'33. mell. E.műk.c.kiad.'!P94+'33. mell. E.műk.c.kiad.'!P96+'33. mell. E.műk.c.kiad.'!P97</f>
        <v>0</v>
      </c>
      <c r="P127" s="999">
        <v>0</v>
      </c>
      <c r="Q127" s="999">
        <v>0</v>
      </c>
      <c r="R127" s="999">
        <v>0</v>
      </c>
      <c r="S127" s="999">
        <v>0</v>
      </c>
      <c r="T127" s="999">
        <v>0</v>
      </c>
      <c r="U127" s="999">
        <v>0</v>
      </c>
      <c r="V127" s="999">
        <v>0</v>
      </c>
      <c r="W127" s="999">
        <v>0</v>
      </c>
      <c r="X127" s="999">
        <v>0</v>
      </c>
      <c r="Y127" s="999">
        <v>0</v>
      </c>
      <c r="Z127" s="999"/>
      <c r="AA127" s="999">
        <v>0</v>
      </c>
      <c r="AB127" s="1890">
        <f t="shared" si="106"/>
        <v>1136266679</v>
      </c>
      <c r="AC127" s="1890">
        <f t="shared" si="106"/>
        <v>1097644297</v>
      </c>
      <c r="AD127" s="1890">
        <f t="shared" si="106"/>
        <v>953190813</v>
      </c>
      <c r="AE127" s="1890">
        <f t="shared" si="106"/>
        <v>23057029</v>
      </c>
      <c r="AF127" s="1890">
        <f t="shared" si="106"/>
        <v>23057029</v>
      </c>
      <c r="AG127" s="2383">
        <f t="shared" si="106"/>
        <v>0</v>
      </c>
      <c r="AH127" s="2391">
        <f t="shared" si="78"/>
        <v>0</v>
      </c>
      <c r="AI127" s="79">
        <f t="shared" si="79"/>
        <v>0</v>
      </c>
      <c r="AJ127" s="79">
        <f t="shared" si="80"/>
        <v>0</v>
      </c>
      <c r="AK127" s="79">
        <f t="shared" si="81"/>
        <v>0</v>
      </c>
      <c r="AL127" s="79">
        <f t="shared" si="82"/>
        <v>0</v>
      </c>
      <c r="AM127" s="1684">
        <f t="shared" si="83"/>
        <v>0</v>
      </c>
      <c r="AN127" s="1561"/>
      <c r="AO127" s="1561"/>
      <c r="AP127" s="137"/>
      <c r="AQ127" s="137"/>
    </row>
    <row r="128" spans="1:43" ht="12" customHeight="1">
      <c r="A128" s="1988" t="s">
        <v>15</v>
      </c>
      <c r="B128" s="2033" t="s">
        <v>3035</v>
      </c>
      <c r="C128" s="1990">
        <f t="shared" ref="C128:AG128" si="107">+C92+C111+C125</f>
        <v>16837450420.190001</v>
      </c>
      <c r="D128" s="1990">
        <f t="shared" si="107"/>
        <v>11003648285</v>
      </c>
      <c r="E128" s="1990">
        <f t="shared" si="107"/>
        <v>11384729876</v>
      </c>
      <c r="F128" s="1990">
        <f t="shared" si="107"/>
        <v>11320510742</v>
      </c>
      <c r="G128" s="1990">
        <f t="shared" si="107"/>
        <v>10486425219</v>
      </c>
      <c r="H128" s="1990">
        <f t="shared" si="107"/>
        <v>10486425219</v>
      </c>
      <c r="I128" s="1990">
        <f t="shared" si="107"/>
        <v>8196222994</v>
      </c>
      <c r="J128" s="1990">
        <f t="shared" si="107"/>
        <v>7953880299.776</v>
      </c>
      <c r="K128" s="1990">
        <f t="shared" si="107"/>
        <v>8329892254.3059998</v>
      </c>
      <c r="L128" s="1990">
        <f t="shared" si="107"/>
        <v>8151812975.3059998</v>
      </c>
      <c r="M128" s="1990">
        <f t="shared" si="107"/>
        <v>7275158280.8392</v>
      </c>
      <c r="N128" s="1990">
        <f t="shared" si="107"/>
        <v>7275158280.8392</v>
      </c>
      <c r="O128" s="1990">
        <f t="shared" si="107"/>
        <v>6067049850.6560001</v>
      </c>
      <c r="P128" s="1990">
        <f t="shared" si="107"/>
        <v>3049767985.224</v>
      </c>
      <c r="Q128" s="1990">
        <f t="shared" si="107"/>
        <v>3054837621.6940002</v>
      </c>
      <c r="R128" s="1990">
        <f t="shared" si="107"/>
        <v>3168697766.6940002</v>
      </c>
      <c r="S128" s="1990">
        <f t="shared" si="107"/>
        <v>3211266938.1608</v>
      </c>
      <c r="T128" s="1990">
        <f t="shared" si="107"/>
        <v>3211266938.1608</v>
      </c>
      <c r="U128" s="1990">
        <f t="shared" si="107"/>
        <v>2129173143.3439999</v>
      </c>
      <c r="V128" s="1990">
        <f t="shared" si="107"/>
        <v>0</v>
      </c>
      <c r="W128" s="1990">
        <f t="shared" si="107"/>
        <v>0</v>
      </c>
      <c r="X128" s="1990">
        <f t="shared" si="107"/>
        <v>0</v>
      </c>
      <c r="Y128" s="1990">
        <f t="shared" si="107"/>
        <v>0</v>
      </c>
      <c r="Z128" s="1990">
        <f t="shared" si="107"/>
        <v>0</v>
      </c>
      <c r="AA128" s="1990">
        <f t="shared" si="107"/>
        <v>0</v>
      </c>
      <c r="AB128" s="1990">
        <f t="shared" si="107"/>
        <v>11003648285</v>
      </c>
      <c r="AC128" s="1990">
        <f t="shared" si="107"/>
        <v>11384729876</v>
      </c>
      <c r="AD128" s="1990">
        <f t="shared" si="107"/>
        <v>11320510742</v>
      </c>
      <c r="AE128" s="1990">
        <f t="shared" si="107"/>
        <v>10486425219</v>
      </c>
      <c r="AF128" s="1990">
        <f t="shared" si="107"/>
        <v>10486425219</v>
      </c>
      <c r="AG128" s="2048">
        <f t="shared" si="107"/>
        <v>8196222994</v>
      </c>
      <c r="AH128" s="2391">
        <f t="shared" si="78"/>
        <v>0</v>
      </c>
      <c r="AI128" s="79">
        <f t="shared" si="79"/>
        <v>0</v>
      </c>
      <c r="AJ128" s="79">
        <f t="shared" si="80"/>
        <v>0</v>
      </c>
      <c r="AK128" s="79">
        <f t="shared" si="81"/>
        <v>0</v>
      </c>
      <c r="AL128" s="79">
        <f t="shared" si="82"/>
        <v>0</v>
      </c>
      <c r="AM128" s="1684">
        <f t="shared" si="83"/>
        <v>0</v>
      </c>
      <c r="AN128" s="137"/>
      <c r="AO128" s="137"/>
      <c r="AP128" s="137"/>
      <c r="AQ128" s="137"/>
    </row>
    <row r="129" spans="1:43" ht="12" customHeight="1">
      <c r="A129" s="1966" t="s">
        <v>17</v>
      </c>
      <c r="B129" s="2032" t="s">
        <v>364</v>
      </c>
      <c r="C129" s="1968">
        <f t="shared" ref="C129:V129" si="108">+C130+C131+C132</f>
        <v>0</v>
      </c>
      <c r="D129" s="1968">
        <f t="shared" si="108"/>
        <v>0</v>
      </c>
      <c r="E129" s="1968">
        <f t="shared" si="108"/>
        <v>0</v>
      </c>
      <c r="F129" s="1968">
        <f t="shared" si="108"/>
        <v>0</v>
      </c>
      <c r="G129" s="1968">
        <f t="shared" si="108"/>
        <v>0</v>
      </c>
      <c r="H129" s="1968">
        <f t="shared" si="108"/>
        <v>0</v>
      </c>
      <c r="I129" s="1968">
        <f t="shared" si="108"/>
        <v>0</v>
      </c>
      <c r="J129" s="1968">
        <f t="shared" si="108"/>
        <v>0</v>
      </c>
      <c r="K129" s="1968">
        <f t="shared" si="108"/>
        <v>0</v>
      </c>
      <c r="L129" s="1968">
        <f t="shared" si="108"/>
        <v>0</v>
      </c>
      <c r="M129" s="1968">
        <f t="shared" si="108"/>
        <v>0</v>
      </c>
      <c r="N129" s="1968">
        <f t="shared" si="108"/>
        <v>0</v>
      </c>
      <c r="O129" s="1968">
        <f t="shared" si="108"/>
        <v>0</v>
      </c>
      <c r="P129" s="1968">
        <f t="shared" si="108"/>
        <v>0</v>
      </c>
      <c r="Q129" s="1968">
        <f t="shared" si="108"/>
        <v>0</v>
      </c>
      <c r="R129" s="1968">
        <f t="shared" si="108"/>
        <v>0</v>
      </c>
      <c r="S129" s="1968">
        <f t="shared" si="108"/>
        <v>0</v>
      </c>
      <c r="T129" s="1968">
        <f t="shared" si="108"/>
        <v>0</v>
      </c>
      <c r="U129" s="1968">
        <f t="shared" si="108"/>
        <v>0</v>
      </c>
      <c r="V129" s="1968">
        <f t="shared" si="108"/>
        <v>0</v>
      </c>
      <c r="W129" s="1968"/>
      <c r="X129" s="1968">
        <v>0</v>
      </c>
      <c r="Y129" s="1968">
        <v>0</v>
      </c>
      <c r="Z129" s="1968"/>
      <c r="AA129" s="1968"/>
      <c r="AB129" s="1968">
        <f t="shared" ref="AB129:AG129" si="109">+AB130+AB131+AB132</f>
        <v>0</v>
      </c>
      <c r="AC129" s="1968">
        <f t="shared" si="109"/>
        <v>0</v>
      </c>
      <c r="AD129" s="1968">
        <f t="shared" si="109"/>
        <v>0</v>
      </c>
      <c r="AE129" s="1968">
        <f t="shared" si="109"/>
        <v>0</v>
      </c>
      <c r="AF129" s="1968">
        <f t="shared" si="109"/>
        <v>0</v>
      </c>
      <c r="AG129" s="2044">
        <f t="shared" si="109"/>
        <v>0</v>
      </c>
      <c r="AH129" s="2391">
        <f t="shared" si="78"/>
        <v>0</v>
      </c>
      <c r="AI129" s="79">
        <f t="shared" si="79"/>
        <v>0</v>
      </c>
      <c r="AJ129" s="79">
        <f t="shared" si="80"/>
        <v>0</v>
      </c>
      <c r="AK129" s="79">
        <f t="shared" si="81"/>
        <v>0</v>
      </c>
      <c r="AL129" s="79">
        <f t="shared" si="82"/>
        <v>0</v>
      </c>
      <c r="AM129" s="1684">
        <f t="shared" si="83"/>
        <v>0</v>
      </c>
      <c r="AN129" s="137"/>
      <c r="AO129" s="137"/>
      <c r="AP129" s="137"/>
      <c r="AQ129" s="137"/>
    </row>
    <row r="130" spans="1:43" s="132" customFormat="1" ht="12" customHeight="1">
      <c r="A130" s="1971" t="s">
        <v>225</v>
      </c>
      <c r="B130" s="2027" t="s">
        <v>468</v>
      </c>
      <c r="C130" s="1973">
        <f>+'Fin.kiad.-nem része a rend-nek'!I9</f>
        <v>0</v>
      </c>
      <c r="D130" s="1973">
        <f>+'Fin.kiad.-nem része a rend-nek'!K9</f>
        <v>0</v>
      </c>
      <c r="E130" s="1973">
        <f>+'Fin.kiad.-nem része a rend-nek'!L9</f>
        <v>0</v>
      </c>
      <c r="F130" s="1973">
        <f>+'Fin.kiad.-nem része a rend-nek'!M9</f>
        <v>0</v>
      </c>
      <c r="G130" s="1973">
        <f>+'Fin.kiad.-nem része a rend-nek'!N9</f>
        <v>0</v>
      </c>
      <c r="H130" s="1973">
        <f>+'Fin.kiad.-nem része a rend-nek'!O9</f>
        <v>0</v>
      </c>
      <c r="I130" s="1973">
        <f>+'Fin.kiad.-nem része a rend-nek'!P9</f>
        <v>0</v>
      </c>
      <c r="J130" s="999">
        <v>0</v>
      </c>
      <c r="K130" s="999">
        <v>0</v>
      </c>
      <c r="L130" s="999">
        <v>0</v>
      </c>
      <c r="M130" s="999">
        <v>0</v>
      </c>
      <c r="N130" s="999">
        <v>0</v>
      </c>
      <c r="O130" s="999">
        <v>0</v>
      </c>
      <c r="P130" s="999">
        <v>0</v>
      </c>
      <c r="Q130" s="999">
        <v>0</v>
      </c>
      <c r="R130" s="999">
        <v>0</v>
      </c>
      <c r="S130" s="999">
        <v>0</v>
      </c>
      <c r="T130" s="999">
        <v>0</v>
      </c>
      <c r="U130" s="999">
        <v>0</v>
      </c>
      <c r="V130" s="999">
        <v>0</v>
      </c>
      <c r="W130" s="999">
        <v>0</v>
      </c>
      <c r="X130" s="999">
        <v>0</v>
      </c>
      <c r="Y130" s="999">
        <v>0</v>
      </c>
      <c r="Z130" s="999"/>
      <c r="AA130" s="999">
        <v>0</v>
      </c>
      <c r="AB130" s="1890">
        <f t="shared" ref="AB130:AG132" si="110">+J130+P130+V130</f>
        <v>0</v>
      </c>
      <c r="AC130" s="1890">
        <f t="shared" si="110"/>
        <v>0</v>
      </c>
      <c r="AD130" s="1890">
        <f t="shared" si="110"/>
        <v>0</v>
      </c>
      <c r="AE130" s="1890">
        <f t="shared" si="110"/>
        <v>0</v>
      </c>
      <c r="AF130" s="1890">
        <f t="shared" si="110"/>
        <v>0</v>
      </c>
      <c r="AG130" s="2383">
        <f t="shared" si="110"/>
        <v>0</v>
      </c>
      <c r="AH130" s="2391">
        <f t="shared" si="78"/>
        <v>0</v>
      </c>
      <c r="AI130" s="79">
        <f t="shared" si="79"/>
        <v>0</v>
      </c>
      <c r="AJ130" s="79">
        <f t="shared" si="80"/>
        <v>0</v>
      </c>
      <c r="AK130" s="79">
        <f t="shared" si="81"/>
        <v>0</v>
      </c>
      <c r="AL130" s="79">
        <f t="shared" si="82"/>
        <v>0</v>
      </c>
      <c r="AM130" s="1684">
        <f t="shared" si="83"/>
        <v>0</v>
      </c>
      <c r="AN130" s="1556"/>
      <c r="AO130" s="1556"/>
      <c r="AP130" s="1556"/>
      <c r="AQ130" s="1556"/>
    </row>
    <row r="131" spans="1:43" ht="12" customHeight="1">
      <c r="A131" s="1971" t="s">
        <v>227</v>
      </c>
      <c r="B131" s="2027" t="s">
        <v>469</v>
      </c>
      <c r="C131" s="1973">
        <f>+'Fin.kiad.-nem része a rend-nek'!I12</f>
        <v>0</v>
      </c>
      <c r="D131" s="1973">
        <f>+'Fin.kiad.-nem része a rend-nek'!K12</f>
        <v>0</v>
      </c>
      <c r="E131" s="1973">
        <f>+'Fin.kiad.-nem része a rend-nek'!L12</f>
        <v>0</v>
      </c>
      <c r="F131" s="1973">
        <f>+'Fin.kiad.-nem része a rend-nek'!M12</f>
        <v>0</v>
      </c>
      <c r="G131" s="1973">
        <f>+'Fin.kiad.-nem része a rend-nek'!N12</f>
        <v>0</v>
      </c>
      <c r="H131" s="1973">
        <f>+'Fin.kiad.-nem része a rend-nek'!O12</f>
        <v>0</v>
      </c>
      <c r="I131" s="1973">
        <f>+'Fin.kiad.-nem része a rend-nek'!P12</f>
        <v>0</v>
      </c>
      <c r="J131" s="999">
        <v>0</v>
      </c>
      <c r="K131" s="999">
        <v>0</v>
      </c>
      <c r="L131" s="999">
        <v>0</v>
      </c>
      <c r="M131" s="999">
        <v>0</v>
      </c>
      <c r="N131" s="999">
        <v>0</v>
      </c>
      <c r="O131" s="999">
        <v>0</v>
      </c>
      <c r="P131" s="999">
        <v>0</v>
      </c>
      <c r="Q131" s="999">
        <v>0</v>
      </c>
      <c r="R131" s="999">
        <v>0</v>
      </c>
      <c r="S131" s="999">
        <v>0</v>
      </c>
      <c r="T131" s="999">
        <v>0</v>
      </c>
      <c r="U131" s="999">
        <v>0</v>
      </c>
      <c r="V131" s="999">
        <v>0</v>
      </c>
      <c r="W131" s="999">
        <v>0</v>
      </c>
      <c r="X131" s="999">
        <v>0</v>
      </c>
      <c r="Y131" s="999">
        <v>0</v>
      </c>
      <c r="Z131" s="999"/>
      <c r="AA131" s="999">
        <v>0</v>
      </c>
      <c r="AB131" s="1890">
        <f t="shared" si="110"/>
        <v>0</v>
      </c>
      <c r="AC131" s="1890">
        <f t="shared" si="110"/>
        <v>0</v>
      </c>
      <c r="AD131" s="1890">
        <f t="shared" si="110"/>
        <v>0</v>
      </c>
      <c r="AE131" s="1890">
        <f t="shared" si="110"/>
        <v>0</v>
      </c>
      <c r="AF131" s="1890">
        <f t="shared" si="110"/>
        <v>0</v>
      </c>
      <c r="AG131" s="2383">
        <f t="shared" si="110"/>
        <v>0</v>
      </c>
      <c r="AH131" s="2391">
        <f t="shared" si="78"/>
        <v>0</v>
      </c>
      <c r="AI131" s="79">
        <f t="shared" si="79"/>
        <v>0</v>
      </c>
      <c r="AJ131" s="79">
        <f t="shared" si="80"/>
        <v>0</v>
      </c>
      <c r="AK131" s="79">
        <f t="shared" si="81"/>
        <v>0</v>
      </c>
      <c r="AL131" s="79">
        <f t="shared" si="82"/>
        <v>0</v>
      </c>
      <c r="AM131" s="1684">
        <f t="shared" si="83"/>
        <v>0</v>
      </c>
      <c r="AN131" s="137"/>
      <c r="AO131" s="137"/>
      <c r="AP131" s="137"/>
      <c r="AQ131" s="137"/>
    </row>
    <row r="132" spans="1:43" ht="12" customHeight="1">
      <c r="A132" s="1971" t="s">
        <v>229</v>
      </c>
      <c r="B132" s="2027" t="s">
        <v>470</v>
      </c>
      <c r="C132" s="1973">
        <f>+'Fin.kiad.-nem része a rend-nek'!I15</f>
        <v>0</v>
      </c>
      <c r="D132" s="1973">
        <f>+'Fin.kiad.-nem része a rend-nek'!K15</f>
        <v>0</v>
      </c>
      <c r="E132" s="1973">
        <f>+'Fin.kiad.-nem része a rend-nek'!L15</f>
        <v>0</v>
      </c>
      <c r="F132" s="1973">
        <f>+'Fin.kiad.-nem része a rend-nek'!M15</f>
        <v>0</v>
      </c>
      <c r="G132" s="1973">
        <f>+'Fin.kiad.-nem része a rend-nek'!N15</f>
        <v>0</v>
      </c>
      <c r="H132" s="1973">
        <f>+'Fin.kiad.-nem része a rend-nek'!O15</f>
        <v>0</v>
      </c>
      <c r="I132" s="1973">
        <f>+'Fin.kiad.-nem része a rend-nek'!P15</f>
        <v>0</v>
      </c>
      <c r="J132" s="999">
        <v>0</v>
      </c>
      <c r="K132" s="999">
        <f>+E132</f>
        <v>0</v>
      </c>
      <c r="L132" s="999">
        <v>0</v>
      </c>
      <c r="M132" s="999">
        <v>0</v>
      </c>
      <c r="N132" s="999">
        <v>0</v>
      </c>
      <c r="O132" s="999">
        <v>0</v>
      </c>
      <c r="P132" s="999">
        <v>0</v>
      </c>
      <c r="Q132" s="999">
        <v>0</v>
      </c>
      <c r="R132" s="999">
        <v>0</v>
      </c>
      <c r="S132" s="999">
        <v>0</v>
      </c>
      <c r="T132" s="999">
        <v>0</v>
      </c>
      <c r="U132" s="999">
        <v>0</v>
      </c>
      <c r="V132" s="999">
        <v>0</v>
      </c>
      <c r="W132" s="999">
        <v>0</v>
      </c>
      <c r="X132" s="999">
        <v>0</v>
      </c>
      <c r="Y132" s="999">
        <v>0</v>
      </c>
      <c r="Z132" s="999"/>
      <c r="AA132" s="999">
        <v>0</v>
      </c>
      <c r="AB132" s="1890">
        <f t="shared" si="110"/>
        <v>0</v>
      </c>
      <c r="AC132" s="1890">
        <f t="shared" si="110"/>
        <v>0</v>
      </c>
      <c r="AD132" s="1890">
        <f t="shared" si="110"/>
        <v>0</v>
      </c>
      <c r="AE132" s="1890">
        <f t="shared" si="110"/>
        <v>0</v>
      </c>
      <c r="AF132" s="1890">
        <f t="shared" si="110"/>
        <v>0</v>
      </c>
      <c r="AG132" s="2383">
        <f t="shared" si="110"/>
        <v>0</v>
      </c>
      <c r="AH132" s="2391">
        <f t="shared" si="78"/>
        <v>0</v>
      </c>
      <c r="AI132" s="79">
        <f t="shared" si="79"/>
        <v>0</v>
      </c>
      <c r="AJ132" s="79">
        <f t="shared" si="80"/>
        <v>0</v>
      </c>
      <c r="AK132" s="79">
        <f t="shared" si="81"/>
        <v>0</v>
      </c>
      <c r="AL132" s="79">
        <f t="shared" si="82"/>
        <v>0</v>
      </c>
      <c r="AM132" s="1684">
        <f t="shared" si="83"/>
        <v>0</v>
      </c>
      <c r="AN132" s="137"/>
      <c r="AO132" s="137"/>
      <c r="AP132" s="137"/>
      <c r="AQ132" s="137"/>
    </row>
    <row r="133" spans="1:43" ht="12" customHeight="1">
      <c r="A133" s="1966" t="s">
        <v>19</v>
      </c>
      <c r="B133" s="2032" t="s">
        <v>368</v>
      </c>
      <c r="C133" s="1968">
        <f t="shared" ref="C133:AG133" si="111">+C134+C135+C136+C137</f>
        <v>0</v>
      </c>
      <c r="D133" s="1968">
        <f t="shared" si="111"/>
        <v>0</v>
      </c>
      <c r="E133" s="1968">
        <f t="shared" si="111"/>
        <v>0</v>
      </c>
      <c r="F133" s="1968">
        <f t="shared" si="111"/>
        <v>0</v>
      </c>
      <c r="G133" s="1968">
        <f t="shared" si="111"/>
        <v>4999090000</v>
      </c>
      <c r="H133" s="1968">
        <f t="shared" si="111"/>
        <v>4999090000</v>
      </c>
      <c r="I133" s="1968">
        <f t="shared" si="111"/>
        <v>4999090000</v>
      </c>
      <c r="J133" s="1968">
        <f t="shared" si="111"/>
        <v>0</v>
      </c>
      <c r="K133" s="1968">
        <f t="shared" si="111"/>
        <v>0</v>
      </c>
      <c r="L133" s="1968">
        <f t="shared" si="111"/>
        <v>0</v>
      </c>
      <c r="M133" s="1968">
        <f t="shared" si="111"/>
        <v>4999090000</v>
      </c>
      <c r="N133" s="1968">
        <f t="shared" si="111"/>
        <v>4999090000</v>
      </c>
      <c r="O133" s="1968">
        <f t="shared" si="111"/>
        <v>4999090000</v>
      </c>
      <c r="P133" s="1968">
        <f t="shared" si="111"/>
        <v>0</v>
      </c>
      <c r="Q133" s="1968">
        <f t="shared" si="111"/>
        <v>0</v>
      </c>
      <c r="R133" s="1968">
        <f t="shared" si="111"/>
        <v>0</v>
      </c>
      <c r="S133" s="1968">
        <f t="shared" si="111"/>
        <v>0</v>
      </c>
      <c r="T133" s="1968">
        <f t="shared" si="111"/>
        <v>0</v>
      </c>
      <c r="U133" s="1968">
        <f t="shared" si="111"/>
        <v>0</v>
      </c>
      <c r="V133" s="1968">
        <f t="shared" si="111"/>
        <v>0</v>
      </c>
      <c r="W133" s="1968">
        <f t="shared" si="111"/>
        <v>0</v>
      </c>
      <c r="X133" s="1968">
        <f t="shared" si="111"/>
        <v>0</v>
      </c>
      <c r="Y133" s="1968">
        <f t="shared" si="111"/>
        <v>0</v>
      </c>
      <c r="Z133" s="1968">
        <f t="shared" si="111"/>
        <v>0</v>
      </c>
      <c r="AA133" s="1968">
        <f t="shared" si="111"/>
        <v>0</v>
      </c>
      <c r="AB133" s="1968">
        <f t="shared" si="111"/>
        <v>0</v>
      </c>
      <c r="AC133" s="1968">
        <f t="shared" si="111"/>
        <v>0</v>
      </c>
      <c r="AD133" s="1968">
        <f t="shared" si="111"/>
        <v>0</v>
      </c>
      <c r="AE133" s="1968">
        <f t="shared" si="111"/>
        <v>4999090000</v>
      </c>
      <c r="AF133" s="1968">
        <f t="shared" si="111"/>
        <v>4999090000</v>
      </c>
      <c r="AG133" s="2044">
        <f t="shared" si="111"/>
        <v>4999090000</v>
      </c>
      <c r="AH133" s="2391">
        <f t="shared" si="78"/>
        <v>0</v>
      </c>
      <c r="AI133" s="79">
        <f t="shared" si="79"/>
        <v>0</v>
      </c>
      <c r="AJ133" s="79">
        <f t="shared" si="80"/>
        <v>0</v>
      </c>
      <c r="AK133" s="79">
        <f t="shared" si="81"/>
        <v>0</v>
      </c>
      <c r="AL133" s="79">
        <f t="shared" si="82"/>
        <v>0</v>
      </c>
      <c r="AM133" s="1684">
        <f t="shared" si="83"/>
        <v>0</v>
      </c>
      <c r="AN133" s="137"/>
      <c r="AO133" s="137"/>
      <c r="AP133" s="137"/>
      <c r="AQ133" s="137"/>
    </row>
    <row r="134" spans="1:43" ht="12" customHeight="1">
      <c r="A134" s="1971" t="s">
        <v>246</v>
      </c>
      <c r="B134" s="2027" t="s">
        <v>471</v>
      </c>
      <c r="C134" s="1973">
        <f>+'Fin.kiad.-nem része a rend-nek'!I23</f>
        <v>0</v>
      </c>
      <c r="D134" s="1973">
        <f>+'Fin.kiad.-nem része a rend-nek'!K23</f>
        <v>0</v>
      </c>
      <c r="E134" s="1973">
        <f>+'Fin.kiad.-nem része a rend-nek'!L23</f>
        <v>0</v>
      </c>
      <c r="F134" s="1973">
        <f>+'Fin.kiad.-nem része a rend-nek'!M23</f>
        <v>0</v>
      </c>
      <c r="G134" s="1973">
        <f>+'Fin.kiad.-nem része a rend-nek'!N23</f>
        <v>4999090000</v>
      </c>
      <c r="H134" s="1973">
        <f>+'Fin.kiad.-nem része a rend-nek'!O23</f>
        <v>4999090000</v>
      </c>
      <c r="I134" s="1973">
        <f>+'Fin.kiad.-nem része a rend-nek'!P23</f>
        <v>4999090000</v>
      </c>
      <c r="J134" s="999">
        <v>0</v>
      </c>
      <c r="K134" s="999">
        <v>0</v>
      </c>
      <c r="L134" s="999">
        <v>0</v>
      </c>
      <c r="M134" s="999">
        <f>+'Fin.kiad.-nem része a rend-nek'!N23</f>
        <v>4999090000</v>
      </c>
      <c r="N134" s="999">
        <f>+'Fin.kiad.-nem része a rend-nek'!O23</f>
        <v>4999090000</v>
      </c>
      <c r="O134" s="999">
        <f>+'Fin.kiad.-nem része a rend-nek'!P23</f>
        <v>4999090000</v>
      </c>
      <c r="P134" s="999">
        <f>+'Fin.kiad.-nem része a rend-nek'!K23</f>
        <v>0</v>
      </c>
      <c r="Q134" s="999">
        <f>+'Fin.kiad.-nem része a rend-nek'!L23</f>
        <v>0</v>
      </c>
      <c r="R134" s="999">
        <f>+'Fin.kiad.-nem része a rend-nek'!M23</f>
        <v>0</v>
      </c>
      <c r="S134" s="999">
        <v>0</v>
      </c>
      <c r="T134" s="999">
        <v>0</v>
      </c>
      <c r="U134" s="999">
        <v>0</v>
      </c>
      <c r="V134" s="999">
        <v>0</v>
      </c>
      <c r="W134" s="999">
        <v>0</v>
      </c>
      <c r="X134" s="999">
        <v>0</v>
      </c>
      <c r="Y134" s="999">
        <v>0</v>
      </c>
      <c r="Z134" s="999"/>
      <c r="AA134" s="999">
        <v>0</v>
      </c>
      <c r="AB134" s="1890">
        <f t="shared" ref="AB134:AG137" si="112">+J134+P134+V134</f>
        <v>0</v>
      </c>
      <c r="AC134" s="1890">
        <f t="shared" si="112"/>
        <v>0</v>
      </c>
      <c r="AD134" s="1890">
        <f t="shared" si="112"/>
        <v>0</v>
      </c>
      <c r="AE134" s="1890">
        <f t="shared" si="112"/>
        <v>4999090000</v>
      </c>
      <c r="AF134" s="1890">
        <f t="shared" si="112"/>
        <v>4999090000</v>
      </c>
      <c r="AG134" s="2383">
        <f t="shared" si="112"/>
        <v>4999090000</v>
      </c>
      <c r="AH134" s="2391">
        <f t="shared" si="78"/>
        <v>0</v>
      </c>
      <c r="AI134" s="79">
        <f t="shared" si="79"/>
        <v>0</v>
      </c>
      <c r="AJ134" s="79">
        <f t="shared" si="80"/>
        <v>0</v>
      </c>
      <c r="AK134" s="79">
        <f t="shared" si="81"/>
        <v>0</v>
      </c>
      <c r="AL134" s="79">
        <f t="shared" si="82"/>
        <v>0</v>
      </c>
      <c r="AM134" s="1684">
        <f t="shared" si="83"/>
        <v>0</v>
      </c>
      <c r="AN134" s="137"/>
      <c r="AO134" s="137"/>
      <c r="AP134" s="137"/>
      <c r="AQ134" s="137"/>
    </row>
    <row r="135" spans="1:43" ht="12" customHeight="1">
      <c r="A135" s="1971" t="s">
        <v>248</v>
      </c>
      <c r="B135" s="2027" t="s">
        <v>472</v>
      </c>
      <c r="C135" s="1973">
        <f>+'Fin.kiad.-nem része a rend-nek'!I26</f>
        <v>0</v>
      </c>
      <c r="D135" s="1973">
        <f>+'Fin.kiad.-nem része a rend-nek'!K26</f>
        <v>0</v>
      </c>
      <c r="E135" s="1973">
        <f>+'Fin.kiad.-nem része a rend-nek'!L26</f>
        <v>0</v>
      </c>
      <c r="F135" s="1973">
        <f>+'Fin.kiad.-nem része a rend-nek'!M26</f>
        <v>0</v>
      </c>
      <c r="G135" s="1973">
        <f>+'Fin.kiad.-nem része a rend-nek'!N26</f>
        <v>0</v>
      </c>
      <c r="H135" s="1973">
        <f>+'Fin.kiad.-nem része a rend-nek'!O26</f>
        <v>0</v>
      </c>
      <c r="I135" s="1973">
        <f>+'Fin.kiad.-nem része a rend-nek'!P26</f>
        <v>0</v>
      </c>
      <c r="J135" s="999">
        <v>0</v>
      </c>
      <c r="K135" s="999">
        <v>0</v>
      </c>
      <c r="L135" s="999">
        <v>0</v>
      </c>
      <c r="M135" s="999">
        <v>0</v>
      </c>
      <c r="N135" s="999">
        <v>0</v>
      </c>
      <c r="O135" s="999">
        <v>0</v>
      </c>
      <c r="P135" s="999">
        <v>0</v>
      </c>
      <c r="Q135" s="999">
        <v>0</v>
      </c>
      <c r="R135" s="999">
        <v>0</v>
      </c>
      <c r="S135" s="999">
        <v>0</v>
      </c>
      <c r="T135" s="999">
        <v>0</v>
      </c>
      <c r="U135" s="999">
        <v>0</v>
      </c>
      <c r="V135" s="999">
        <v>0</v>
      </c>
      <c r="W135" s="999">
        <v>0</v>
      </c>
      <c r="X135" s="999">
        <v>0</v>
      </c>
      <c r="Y135" s="999">
        <v>0</v>
      </c>
      <c r="Z135" s="999"/>
      <c r="AA135" s="999">
        <v>0</v>
      </c>
      <c r="AB135" s="1890">
        <f t="shared" si="112"/>
        <v>0</v>
      </c>
      <c r="AC135" s="1890">
        <f t="shared" si="112"/>
        <v>0</v>
      </c>
      <c r="AD135" s="1890">
        <f t="shared" si="112"/>
        <v>0</v>
      </c>
      <c r="AE135" s="1890">
        <f t="shared" si="112"/>
        <v>0</v>
      </c>
      <c r="AF135" s="1890">
        <f t="shared" si="112"/>
        <v>0</v>
      </c>
      <c r="AG135" s="2383">
        <f t="shared" si="112"/>
        <v>0</v>
      </c>
      <c r="AH135" s="2391">
        <f t="shared" si="78"/>
        <v>0</v>
      </c>
      <c r="AI135" s="79">
        <f t="shared" si="79"/>
        <v>0</v>
      </c>
      <c r="AJ135" s="79">
        <f t="shared" si="80"/>
        <v>0</v>
      </c>
      <c r="AK135" s="79">
        <f t="shared" si="81"/>
        <v>0</v>
      </c>
      <c r="AL135" s="79">
        <f t="shared" si="82"/>
        <v>0</v>
      </c>
      <c r="AM135" s="1684">
        <f t="shared" si="83"/>
        <v>0</v>
      </c>
      <c r="AN135" s="137"/>
      <c r="AO135" s="137"/>
      <c r="AP135" s="137"/>
      <c r="AQ135" s="137"/>
    </row>
    <row r="136" spans="1:43" ht="12" customHeight="1">
      <c r="A136" s="1971" t="s">
        <v>250</v>
      </c>
      <c r="B136" s="2027" t="s">
        <v>473</v>
      </c>
      <c r="C136" s="1973">
        <f>+'Fin.kiad.-nem része a rend-nek'!I29</f>
        <v>0</v>
      </c>
      <c r="D136" s="1973">
        <f>+'Fin.kiad.-nem része a rend-nek'!K29</f>
        <v>0</v>
      </c>
      <c r="E136" s="1973">
        <f>+'Fin.kiad.-nem része a rend-nek'!L29</f>
        <v>0</v>
      </c>
      <c r="F136" s="1973">
        <f>+'Fin.kiad.-nem része a rend-nek'!M29</f>
        <v>0</v>
      </c>
      <c r="G136" s="1973">
        <f>+'Fin.kiad.-nem része a rend-nek'!N29</f>
        <v>0</v>
      </c>
      <c r="H136" s="1973">
        <f>+'Fin.kiad.-nem része a rend-nek'!O29</f>
        <v>0</v>
      </c>
      <c r="I136" s="1973">
        <f>+'Fin.kiad.-nem része a rend-nek'!P29</f>
        <v>0</v>
      </c>
      <c r="J136" s="999">
        <v>0</v>
      </c>
      <c r="K136" s="999">
        <v>0</v>
      </c>
      <c r="L136" s="999">
        <v>0</v>
      </c>
      <c r="M136" s="999">
        <v>0</v>
      </c>
      <c r="N136" s="999">
        <v>0</v>
      </c>
      <c r="O136" s="999">
        <v>0</v>
      </c>
      <c r="P136" s="999">
        <v>0</v>
      </c>
      <c r="Q136" s="999">
        <v>0</v>
      </c>
      <c r="R136" s="999">
        <v>0</v>
      </c>
      <c r="S136" s="999">
        <v>0</v>
      </c>
      <c r="T136" s="999">
        <v>0</v>
      </c>
      <c r="U136" s="999">
        <v>0</v>
      </c>
      <c r="V136" s="999">
        <v>0</v>
      </c>
      <c r="W136" s="999">
        <v>0</v>
      </c>
      <c r="X136" s="999">
        <v>0</v>
      </c>
      <c r="Y136" s="999">
        <v>0</v>
      </c>
      <c r="Z136" s="999"/>
      <c r="AA136" s="999">
        <v>0</v>
      </c>
      <c r="AB136" s="1890">
        <f t="shared" si="112"/>
        <v>0</v>
      </c>
      <c r="AC136" s="1890">
        <f t="shared" si="112"/>
        <v>0</v>
      </c>
      <c r="AD136" s="1890">
        <f t="shared" si="112"/>
        <v>0</v>
      </c>
      <c r="AE136" s="1890">
        <f t="shared" si="112"/>
        <v>0</v>
      </c>
      <c r="AF136" s="1890">
        <f t="shared" si="112"/>
        <v>0</v>
      </c>
      <c r="AG136" s="2383">
        <f t="shared" si="112"/>
        <v>0</v>
      </c>
      <c r="AH136" s="2391">
        <f t="shared" si="78"/>
        <v>0</v>
      </c>
      <c r="AI136" s="79">
        <f t="shared" si="79"/>
        <v>0</v>
      </c>
      <c r="AJ136" s="79">
        <f t="shared" si="80"/>
        <v>0</v>
      </c>
      <c r="AK136" s="79">
        <f t="shared" si="81"/>
        <v>0</v>
      </c>
      <c r="AL136" s="79">
        <f t="shared" si="82"/>
        <v>0</v>
      </c>
      <c r="AM136" s="1684">
        <f t="shared" si="83"/>
        <v>0</v>
      </c>
      <c r="AN136" s="137"/>
      <c r="AO136" s="137"/>
      <c r="AP136" s="137"/>
      <c r="AQ136" s="137"/>
    </row>
    <row r="137" spans="1:43" s="132" customFormat="1" ht="12" customHeight="1">
      <c r="A137" s="1971" t="s">
        <v>251</v>
      </c>
      <c r="B137" s="2027" t="s">
        <v>489</v>
      </c>
      <c r="C137" s="1973">
        <f>+'Fin.kiad.-nem része a rend-nek'!I32</f>
        <v>0</v>
      </c>
      <c r="D137" s="1973">
        <f>+'Fin.kiad.-nem része a rend-nek'!K32</f>
        <v>0</v>
      </c>
      <c r="E137" s="1973">
        <f>+'Fin.kiad.-nem része a rend-nek'!L32</f>
        <v>0</v>
      </c>
      <c r="F137" s="1973">
        <f>+'Fin.kiad.-nem része a rend-nek'!M32</f>
        <v>0</v>
      </c>
      <c r="G137" s="1973">
        <f>+'Fin.kiad.-nem része a rend-nek'!N32</f>
        <v>0</v>
      </c>
      <c r="H137" s="1973">
        <f>+'Fin.kiad.-nem része a rend-nek'!O32</f>
        <v>0</v>
      </c>
      <c r="I137" s="1973">
        <f>+'Fin.kiad.-nem része a rend-nek'!P32</f>
        <v>0</v>
      </c>
      <c r="J137" s="999">
        <v>0</v>
      </c>
      <c r="K137" s="999">
        <f>+J137+E137</f>
        <v>0</v>
      </c>
      <c r="L137" s="999">
        <f>+K137</f>
        <v>0</v>
      </c>
      <c r="M137" s="999">
        <f>+L137</f>
        <v>0</v>
      </c>
      <c r="N137" s="999">
        <f>+M137</f>
        <v>0</v>
      </c>
      <c r="O137" s="999">
        <f>+N137</f>
        <v>0</v>
      </c>
      <c r="P137" s="999">
        <v>0</v>
      </c>
      <c r="Q137" s="999">
        <v>0</v>
      </c>
      <c r="R137" s="999">
        <v>0</v>
      </c>
      <c r="S137" s="999">
        <v>0</v>
      </c>
      <c r="T137" s="999">
        <v>0</v>
      </c>
      <c r="U137" s="999">
        <v>0</v>
      </c>
      <c r="V137" s="999">
        <v>0</v>
      </c>
      <c r="W137" s="999">
        <v>0</v>
      </c>
      <c r="X137" s="999">
        <v>0</v>
      </c>
      <c r="Y137" s="999">
        <v>0</v>
      </c>
      <c r="Z137" s="999"/>
      <c r="AA137" s="999">
        <v>0</v>
      </c>
      <c r="AB137" s="1890">
        <f t="shared" si="112"/>
        <v>0</v>
      </c>
      <c r="AC137" s="1890">
        <f t="shared" si="112"/>
        <v>0</v>
      </c>
      <c r="AD137" s="1890">
        <f t="shared" si="112"/>
        <v>0</v>
      </c>
      <c r="AE137" s="1890">
        <f t="shared" si="112"/>
        <v>0</v>
      </c>
      <c r="AF137" s="1890">
        <f t="shared" si="112"/>
        <v>0</v>
      </c>
      <c r="AG137" s="2383">
        <f t="shared" si="112"/>
        <v>0</v>
      </c>
      <c r="AH137" s="2391">
        <f t="shared" si="78"/>
        <v>0</v>
      </c>
      <c r="AI137" s="79">
        <f t="shared" si="79"/>
        <v>0</v>
      </c>
      <c r="AJ137" s="79">
        <f t="shared" si="80"/>
        <v>0</v>
      </c>
      <c r="AK137" s="79">
        <f t="shared" si="81"/>
        <v>0</v>
      </c>
      <c r="AL137" s="79">
        <f t="shared" si="82"/>
        <v>0</v>
      </c>
      <c r="AM137" s="1684">
        <f t="shared" si="83"/>
        <v>0</v>
      </c>
      <c r="AN137" s="1556"/>
      <c r="AO137" s="1556"/>
      <c r="AP137" s="1556"/>
      <c r="AQ137" s="1556"/>
    </row>
    <row r="138" spans="1:43" ht="12" customHeight="1">
      <c r="A138" s="1966" t="s">
        <v>21</v>
      </c>
      <c r="B138" s="2032" t="s">
        <v>474</v>
      </c>
      <c r="C138" s="1979">
        <f t="shared" ref="C138:AG138" si="113">+C139+C140+C141+C142+C143</f>
        <v>20789856973</v>
      </c>
      <c r="D138" s="1979">
        <f t="shared" si="113"/>
        <v>19596899335</v>
      </c>
      <c r="E138" s="1979">
        <f t="shared" si="113"/>
        <v>19646956452</v>
      </c>
      <c r="F138" s="1979">
        <f t="shared" si="113"/>
        <v>21164065849</v>
      </c>
      <c r="G138" s="1979">
        <f t="shared" si="113"/>
        <v>22780570462</v>
      </c>
      <c r="H138" s="1979">
        <f t="shared" si="113"/>
        <v>22780570462</v>
      </c>
      <c r="I138" s="1979">
        <f t="shared" si="113"/>
        <v>21903469082</v>
      </c>
      <c r="J138" s="1979">
        <f t="shared" si="113"/>
        <v>19371709815</v>
      </c>
      <c r="K138" s="1979">
        <f t="shared" si="113"/>
        <v>19397045145</v>
      </c>
      <c r="L138" s="1979">
        <f t="shared" si="113"/>
        <v>20839950348</v>
      </c>
      <c r="M138" s="1979">
        <f t="shared" si="113"/>
        <v>22372722728</v>
      </c>
      <c r="N138" s="1979">
        <f t="shared" si="113"/>
        <v>22372722728</v>
      </c>
      <c r="O138" s="1979">
        <f t="shared" si="113"/>
        <v>21502822167</v>
      </c>
      <c r="P138" s="1979">
        <f t="shared" si="113"/>
        <v>221689520</v>
      </c>
      <c r="Q138" s="1979">
        <f t="shared" si="113"/>
        <v>246411307</v>
      </c>
      <c r="R138" s="1979">
        <f t="shared" si="113"/>
        <v>318642037</v>
      </c>
      <c r="S138" s="1979">
        <f t="shared" si="113"/>
        <v>405336094</v>
      </c>
      <c r="T138" s="1979">
        <f t="shared" si="113"/>
        <v>405336094</v>
      </c>
      <c r="U138" s="1979">
        <f t="shared" si="113"/>
        <v>398135275</v>
      </c>
      <c r="V138" s="1979">
        <f t="shared" si="113"/>
        <v>3500000</v>
      </c>
      <c r="W138" s="1979">
        <f t="shared" si="113"/>
        <v>3500000</v>
      </c>
      <c r="X138" s="1979">
        <f t="shared" si="113"/>
        <v>5473464</v>
      </c>
      <c r="Y138" s="1979">
        <f t="shared" si="113"/>
        <v>2511640</v>
      </c>
      <c r="Z138" s="1979">
        <f t="shared" si="113"/>
        <v>2511640</v>
      </c>
      <c r="AA138" s="1979">
        <f t="shared" si="113"/>
        <v>2511640</v>
      </c>
      <c r="AB138" s="1979">
        <f t="shared" si="113"/>
        <v>19596899335</v>
      </c>
      <c r="AC138" s="1979">
        <f t="shared" si="113"/>
        <v>19646956452</v>
      </c>
      <c r="AD138" s="1979">
        <f t="shared" si="113"/>
        <v>21164065849</v>
      </c>
      <c r="AE138" s="1979">
        <f t="shared" si="113"/>
        <v>22780570462</v>
      </c>
      <c r="AF138" s="1979">
        <f t="shared" si="113"/>
        <v>22780570462</v>
      </c>
      <c r="AG138" s="2045">
        <f t="shared" si="113"/>
        <v>21903469082</v>
      </c>
      <c r="AH138" s="2391">
        <f t="shared" si="78"/>
        <v>0</v>
      </c>
      <c r="AI138" s="79">
        <f t="shared" si="79"/>
        <v>0</v>
      </c>
      <c r="AJ138" s="79">
        <f t="shared" si="80"/>
        <v>0</v>
      </c>
      <c r="AK138" s="79">
        <f t="shared" si="81"/>
        <v>0</v>
      </c>
      <c r="AL138" s="79">
        <f t="shared" si="82"/>
        <v>0</v>
      </c>
      <c r="AM138" s="1684">
        <f t="shared" si="83"/>
        <v>0</v>
      </c>
      <c r="AN138" s="137"/>
      <c r="AO138" s="137"/>
      <c r="AP138" s="137"/>
      <c r="AQ138" s="137"/>
    </row>
    <row r="139" spans="1:43">
      <c r="A139" s="1971" t="s">
        <v>257</v>
      </c>
      <c r="B139" s="2027" t="s">
        <v>374</v>
      </c>
      <c r="C139" s="1973">
        <f>+'Fin.kiad.-nem része a rend-nek'!I34</f>
        <v>0</v>
      </c>
      <c r="D139" s="1973">
        <f>+'Fin.kiad.-nem része a rend-nek'!K34</f>
        <v>0</v>
      </c>
      <c r="E139" s="1973">
        <f>+'Fin.kiad.-nem része a rend-nek'!L34</f>
        <v>0</v>
      </c>
      <c r="F139" s="1973">
        <f>+'Fin.kiad.-nem része a rend-nek'!M34</f>
        <v>0</v>
      </c>
      <c r="G139" s="1973">
        <f>+'Fin.kiad.-nem része a rend-nek'!N34</f>
        <v>0</v>
      </c>
      <c r="H139" s="1973">
        <f>+'Fin.kiad.-nem része a rend-nek'!O34</f>
        <v>0</v>
      </c>
      <c r="I139" s="1973">
        <f>+'Fin.kiad.-nem része a rend-nek'!P34</f>
        <v>0</v>
      </c>
      <c r="J139" s="999">
        <v>0</v>
      </c>
      <c r="K139" s="999">
        <v>0</v>
      </c>
      <c r="L139" s="999">
        <v>0</v>
      </c>
      <c r="M139" s="999">
        <v>0</v>
      </c>
      <c r="N139" s="999">
        <v>0</v>
      </c>
      <c r="O139" s="999">
        <v>0</v>
      </c>
      <c r="P139" s="999">
        <v>0</v>
      </c>
      <c r="Q139" s="999">
        <v>0</v>
      </c>
      <c r="R139" s="999">
        <v>0</v>
      </c>
      <c r="S139" s="999">
        <v>0</v>
      </c>
      <c r="T139" s="999">
        <v>0</v>
      </c>
      <c r="U139" s="999">
        <v>0</v>
      </c>
      <c r="V139" s="999">
        <v>0</v>
      </c>
      <c r="W139" s="999">
        <v>0</v>
      </c>
      <c r="X139" s="999">
        <v>0</v>
      </c>
      <c r="Y139" s="999">
        <v>0</v>
      </c>
      <c r="Z139" s="999"/>
      <c r="AA139" s="999">
        <v>0</v>
      </c>
      <c r="AB139" s="1890">
        <f t="shared" ref="AB139:AB148" si="114">+J139+P139+V139</f>
        <v>0</v>
      </c>
      <c r="AC139" s="1890">
        <f t="shared" ref="AC139:AC144" si="115">+K139+Q139+W139</f>
        <v>0</v>
      </c>
      <c r="AD139" s="1890">
        <f t="shared" ref="AD139:AD144" si="116">+L139+R139+X139</f>
        <v>0</v>
      </c>
      <c r="AE139" s="1890">
        <f t="shared" ref="AE139:AE144" si="117">+M139+S139+Y139</f>
        <v>0</v>
      </c>
      <c r="AF139" s="1890">
        <f t="shared" ref="AF139:AF144" si="118">+N139+T139+Z139</f>
        <v>0</v>
      </c>
      <c r="AG139" s="2383">
        <f t="shared" ref="AG139:AG144" si="119">+O139+U139+AA139</f>
        <v>0</v>
      </c>
      <c r="AH139" s="2391">
        <f t="shared" si="78"/>
        <v>0</v>
      </c>
      <c r="AI139" s="79">
        <f t="shared" si="79"/>
        <v>0</v>
      </c>
      <c r="AJ139" s="79">
        <f t="shared" si="80"/>
        <v>0</v>
      </c>
      <c r="AK139" s="79">
        <f t="shared" si="81"/>
        <v>0</v>
      </c>
      <c r="AL139" s="79">
        <f t="shared" si="82"/>
        <v>0</v>
      </c>
      <c r="AM139" s="1684">
        <f t="shared" si="83"/>
        <v>0</v>
      </c>
      <c r="AN139" s="137"/>
      <c r="AO139" s="137"/>
      <c r="AP139" s="137"/>
      <c r="AQ139" s="137"/>
    </row>
    <row r="140" spans="1:43" ht="12" customHeight="1">
      <c r="A140" s="1971" t="s">
        <v>259</v>
      </c>
      <c r="B140" s="2027" t="s">
        <v>375</v>
      </c>
      <c r="C140" s="1973">
        <f>+'Fin.kiad.-nem része a rend-nek'!I35</f>
        <v>224610505</v>
      </c>
      <c r="D140" s="1973">
        <f>+'Fin.kiad.-nem része a rend-nek'!K35</f>
        <v>34974099</v>
      </c>
      <c r="E140" s="1973">
        <f>+'Fin.kiad.-nem része a rend-nek'!L35</f>
        <v>34974099</v>
      </c>
      <c r="F140" s="1973">
        <f>+'Fin.kiad.-nem része a rend-nek'!M35</f>
        <v>1408638915</v>
      </c>
      <c r="G140" s="1973">
        <f>+'Fin.kiad.-nem része a rend-nek'!N35</f>
        <v>1729921587</v>
      </c>
      <c r="H140" s="1973">
        <f>+'Fin.kiad.-nem része a rend-nek'!O35</f>
        <v>1729921587</v>
      </c>
      <c r="I140" s="1973">
        <f>+'Fin.kiad.-nem része a rend-nek'!P35</f>
        <v>1729921587</v>
      </c>
      <c r="J140" s="999">
        <f>+'Fin.kiad.-nem része a rend-nek'!K35</f>
        <v>34974099</v>
      </c>
      <c r="K140" s="999">
        <f>+'Fin.kiad.-nem része a rend-nek'!L35</f>
        <v>34974099</v>
      </c>
      <c r="L140" s="999">
        <f>+'Fin.kiad.-nem része a rend-nek'!M35</f>
        <v>1408638915</v>
      </c>
      <c r="M140" s="999">
        <f>+'Fin.kiad.-nem része a rend-nek'!N35</f>
        <v>1729921587</v>
      </c>
      <c r="N140" s="999">
        <f>+'Fin.kiad.-nem része a rend-nek'!O35</f>
        <v>1729921587</v>
      </c>
      <c r="O140" s="999">
        <f>+I140</f>
        <v>1729921587</v>
      </c>
      <c r="P140" s="999">
        <v>0</v>
      </c>
      <c r="Q140" s="999">
        <v>0</v>
      </c>
      <c r="R140" s="999">
        <v>0</v>
      </c>
      <c r="S140" s="999">
        <v>0</v>
      </c>
      <c r="T140" s="999">
        <v>0</v>
      </c>
      <c r="U140" s="999">
        <v>0</v>
      </c>
      <c r="V140" s="999">
        <v>0</v>
      </c>
      <c r="W140" s="999">
        <v>0</v>
      </c>
      <c r="X140" s="999">
        <v>0</v>
      </c>
      <c r="Y140" s="999">
        <v>0</v>
      </c>
      <c r="Z140" s="999"/>
      <c r="AA140" s="999">
        <v>0</v>
      </c>
      <c r="AB140" s="1890">
        <f t="shared" si="114"/>
        <v>34974099</v>
      </c>
      <c r="AC140" s="1890">
        <f t="shared" si="115"/>
        <v>34974099</v>
      </c>
      <c r="AD140" s="1890">
        <f t="shared" si="116"/>
        <v>1408638915</v>
      </c>
      <c r="AE140" s="1890">
        <f t="shared" si="117"/>
        <v>1729921587</v>
      </c>
      <c r="AF140" s="1890">
        <f t="shared" si="118"/>
        <v>1729921587</v>
      </c>
      <c r="AG140" s="2383">
        <f t="shared" si="119"/>
        <v>1729921587</v>
      </c>
      <c r="AH140" s="2391">
        <f t="shared" si="78"/>
        <v>0</v>
      </c>
      <c r="AI140" s="79">
        <f t="shared" si="79"/>
        <v>0</v>
      </c>
      <c r="AJ140" s="79">
        <f t="shared" si="80"/>
        <v>0</v>
      </c>
      <c r="AK140" s="79">
        <f t="shared" si="81"/>
        <v>0</v>
      </c>
      <c r="AL140" s="79">
        <f t="shared" si="82"/>
        <v>0</v>
      </c>
      <c r="AM140" s="1684">
        <f t="shared" si="83"/>
        <v>0</v>
      </c>
      <c r="AN140" s="137"/>
      <c r="AO140" s="137"/>
      <c r="AP140" s="137"/>
      <c r="AQ140" s="137"/>
    </row>
    <row r="141" spans="1:43" ht="12" customHeight="1">
      <c r="A141" s="1971" t="s">
        <v>261</v>
      </c>
      <c r="B141" s="2027" t="s">
        <v>490</v>
      </c>
      <c r="C141" s="1973">
        <f>+'Fin.kiad.-nem része a rend-nek'!I37</f>
        <v>12565246468</v>
      </c>
      <c r="D141" s="1973">
        <f>+'Fin.kiad.-nem része a rend-nek'!K37</f>
        <v>14061925236</v>
      </c>
      <c r="E141" s="1973">
        <f>+'Fin.kiad.-nem része a rend-nek'!L37</f>
        <v>14111982353</v>
      </c>
      <c r="F141" s="1973">
        <f>+'Fin.kiad.-nem része a rend-nek'!M37</f>
        <v>14255426934</v>
      </c>
      <c r="G141" s="1973">
        <f>+'Fin.kiad.-nem része a rend-nek'!N37</f>
        <v>14350648875</v>
      </c>
      <c r="H141" s="1973">
        <f>+'Fin.kiad.-nem része a rend-nek'!O37</f>
        <v>14350648875</v>
      </c>
      <c r="I141" s="1973">
        <f>+'Fin.kiad.-nem része a rend-nek'!P37</f>
        <v>13473547495</v>
      </c>
      <c r="J141" s="999">
        <f>+'8. mell. Intézmények összesen'!R36</f>
        <v>13836735716</v>
      </c>
      <c r="K141" s="999">
        <f>+'8. mell. Intézmények összesen'!S36</f>
        <v>13862071046</v>
      </c>
      <c r="L141" s="999">
        <f>+'8. mell. Intézmények összesen'!T36</f>
        <v>13931311433</v>
      </c>
      <c r="M141" s="999">
        <f>+'8. mell. Intézmények összesen'!U36</f>
        <v>13942801141</v>
      </c>
      <c r="N141" s="999">
        <f>+'8. mell. Intézmények összesen'!V36</f>
        <v>13942801141</v>
      </c>
      <c r="O141" s="999">
        <f>+'8. mell. Intézmények összesen'!W36</f>
        <v>13072900580</v>
      </c>
      <c r="P141" s="999">
        <f>+'8. mell. Intézmények összesen'!L36</f>
        <v>221689520</v>
      </c>
      <c r="Q141" s="999">
        <f>+'8. mell. Intézmények összesen'!M36</f>
        <v>246411307</v>
      </c>
      <c r="R141" s="999">
        <f>+'8. mell. Intézmények összesen'!N36</f>
        <v>318642037</v>
      </c>
      <c r="S141" s="999">
        <f>+'8. mell. Intézmények összesen'!O36</f>
        <v>405336094</v>
      </c>
      <c r="T141" s="999">
        <f>+'8. mell. Intézmények összesen'!P36</f>
        <v>405336094</v>
      </c>
      <c r="U141" s="999">
        <f>+'8. mell. Intézmények összesen'!Q36</f>
        <v>398135275</v>
      </c>
      <c r="V141" s="999">
        <f>+'8. mell. Intézmények összesen'!X36</f>
        <v>3500000</v>
      </c>
      <c r="W141" s="999">
        <f>+'8. mell. Intézmények összesen'!Y36</f>
        <v>3500000</v>
      </c>
      <c r="X141" s="999">
        <f>+'8. mell. Intézmények összesen'!Z36</f>
        <v>5473464</v>
      </c>
      <c r="Y141" s="999">
        <f>+'8. mell. Intézmények összesen'!AA36</f>
        <v>2511640</v>
      </c>
      <c r="Z141" s="999">
        <f>+'8. mell. Intézmények összesen'!AB36</f>
        <v>2511640</v>
      </c>
      <c r="AA141" s="999">
        <f>+'8. mell. Intézmények összesen'!AC36</f>
        <v>2511640</v>
      </c>
      <c r="AB141" s="1890">
        <f t="shared" si="114"/>
        <v>14061925236</v>
      </c>
      <c r="AC141" s="1890">
        <f t="shared" si="115"/>
        <v>14111982353</v>
      </c>
      <c r="AD141" s="1890">
        <f t="shared" si="116"/>
        <v>14255426934</v>
      </c>
      <c r="AE141" s="1890">
        <f t="shared" si="117"/>
        <v>14350648875</v>
      </c>
      <c r="AF141" s="1890">
        <f t="shared" si="118"/>
        <v>14350648875</v>
      </c>
      <c r="AG141" s="2383">
        <f t="shared" si="119"/>
        <v>13473547495</v>
      </c>
      <c r="AH141" s="2391">
        <f t="shared" si="78"/>
        <v>0</v>
      </c>
      <c r="AI141" s="79">
        <f t="shared" si="79"/>
        <v>0</v>
      </c>
      <c r="AJ141" s="79">
        <f t="shared" si="80"/>
        <v>0</v>
      </c>
      <c r="AK141" s="79">
        <f t="shared" si="81"/>
        <v>0</v>
      </c>
      <c r="AL141" s="79">
        <f t="shared" si="82"/>
        <v>0</v>
      </c>
      <c r="AM141" s="1684">
        <f t="shared" si="83"/>
        <v>0</v>
      </c>
      <c r="AN141" s="137"/>
      <c r="AO141" s="137"/>
      <c r="AP141" s="137"/>
      <c r="AQ141" s="137"/>
    </row>
    <row r="142" spans="1:43" s="132" customFormat="1" ht="12" customHeight="1">
      <c r="A142" s="1971" t="s">
        <v>263</v>
      </c>
      <c r="B142" s="2027" t="s">
        <v>376</v>
      </c>
      <c r="C142" s="1973">
        <f>+'Fin.kiad.-nem része a rend-nek'!I39</f>
        <v>8000000000</v>
      </c>
      <c r="D142" s="1973">
        <f>+'Fin.kiad.-nem része a rend-nek'!K39</f>
        <v>5500000000</v>
      </c>
      <c r="E142" s="1973">
        <f>+'Fin.kiad.-nem része a rend-nek'!L39</f>
        <v>5500000000</v>
      </c>
      <c r="F142" s="1973">
        <f>+'Fin.kiad.-nem része a rend-nek'!M39</f>
        <v>5500000000</v>
      </c>
      <c r="G142" s="1973">
        <f>+'Fin.kiad.-nem része a rend-nek'!N39</f>
        <v>6700000000</v>
      </c>
      <c r="H142" s="1973">
        <f>+'Fin.kiad.-nem része a rend-nek'!O39</f>
        <v>6700000000</v>
      </c>
      <c r="I142" s="1973">
        <f>+'Fin.kiad.-nem része a rend-nek'!P39</f>
        <v>6700000000</v>
      </c>
      <c r="J142" s="999">
        <f>+'Fin.kiad.-nem része a rend-nek'!K39</f>
        <v>5500000000</v>
      </c>
      <c r="K142" s="999">
        <f>+'Fin.kiad.-nem része a rend-nek'!L39</f>
        <v>5500000000</v>
      </c>
      <c r="L142" s="999">
        <f>+'Fin.kiad.-nem része a rend-nek'!M39</f>
        <v>5500000000</v>
      </c>
      <c r="M142" s="999">
        <f>+'Fin.kiad.-nem része a rend-nek'!N39</f>
        <v>6700000000</v>
      </c>
      <c r="N142" s="999">
        <f>+'Fin.kiad.-nem része a rend-nek'!O39</f>
        <v>6700000000</v>
      </c>
      <c r="O142" s="999">
        <f>+'Fin.kiad.-nem része a rend-nek'!P39</f>
        <v>6700000000</v>
      </c>
      <c r="P142" s="999">
        <v>0</v>
      </c>
      <c r="Q142" s="999">
        <v>0</v>
      </c>
      <c r="R142" s="999">
        <v>0</v>
      </c>
      <c r="S142" s="999">
        <f>+'Fin.kiad.-nem része a rend-nek'!N39-M142</f>
        <v>0</v>
      </c>
      <c r="T142" s="999">
        <f>+'Fin.kiad.-nem része a rend-nek'!O39-N142</f>
        <v>0</v>
      </c>
      <c r="U142" s="999">
        <v>0</v>
      </c>
      <c r="V142" s="999">
        <v>0</v>
      </c>
      <c r="W142" s="999">
        <v>0</v>
      </c>
      <c r="X142" s="999">
        <v>0</v>
      </c>
      <c r="Y142" s="999">
        <v>0</v>
      </c>
      <c r="Z142" s="999"/>
      <c r="AA142" s="999">
        <v>0</v>
      </c>
      <c r="AB142" s="1890">
        <f t="shared" si="114"/>
        <v>5500000000</v>
      </c>
      <c r="AC142" s="1890">
        <f t="shared" si="115"/>
        <v>5500000000</v>
      </c>
      <c r="AD142" s="1890">
        <f t="shared" si="116"/>
        <v>5500000000</v>
      </c>
      <c r="AE142" s="1890">
        <f t="shared" si="117"/>
        <v>6700000000</v>
      </c>
      <c r="AF142" s="1890">
        <f t="shared" si="118"/>
        <v>6700000000</v>
      </c>
      <c r="AG142" s="2383">
        <f t="shared" si="119"/>
        <v>6700000000</v>
      </c>
      <c r="AH142" s="2391">
        <f t="shared" si="78"/>
        <v>0</v>
      </c>
      <c r="AI142" s="79">
        <f t="shared" si="79"/>
        <v>0</v>
      </c>
      <c r="AJ142" s="79">
        <f t="shared" si="80"/>
        <v>0</v>
      </c>
      <c r="AK142" s="79">
        <f t="shared" si="81"/>
        <v>0</v>
      </c>
      <c r="AL142" s="79">
        <f t="shared" si="82"/>
        <v>0</v>
      </c>
      <c r="AM142" s="1684">
        <f t="shared" si="83"/>
        <v>0</v>
      </c>
      <c r="AN142" s="1556"/>
      <c r="AO142" s="1556"/>
      <c r="AP142" s="1556"/>
      <c r="AQ142" s="1556"/>
    </row>
    <row r="143" spans="1:43" s="132" customFormat="1" ht="12" customHeight="1">
      <c r="A143" s="1971" t="s">
        <v>491</v>
      </c>
      <c r="B143" s="2027" t="s">
        <v>377</v>
      </c>
      <c r="C143" s="1973">
        <f>+'Fin.kiad.-nem része a rend-nek'!I40</f>
        <v>0</v>
      </c>
      <c r="D143" s="1973">
        <f>+'Fin.kiad.-nem része a rend-nek'!K40</f>
        <v>0</v>
      </c>
      <c r="E143" s="1973">
        <f>+'Fin.kiad.-nem része a rend-nek'!L40</f>
        <v>0</v>
      </c>
      <c r="F143" s="1973">
        <f>+'Fin.kiad.-nem része a rend-nek'!M40</f>
        <v>0</v>
      </c>
      <c r="G143" s="1973">
        <f>+'Fin.kiad.-nem része a rend-nek'!N40</f>
        <v>0</v>
      </c>
      <c r="H143" s="1973">
        <f>+'Fin.kiad.-nem része a rend-nek'!O40</f>
        <v>0</v>
      </c>
      <c r="I143" s="1973">
        <f>+'Fin.kiad.-nem része a rend-nek'!P40</f>
        <v>0</v>
      </c>
      <c r="J143" s="999">
        <v>0</v>
      </c>
      <c r="K143" s="999">
        <v>0</v>
      </c>
      <c r="L143" s="999">
        <v>0</v>
      </c>
      <c r="M143" s="999">
        <v>0</v>
      </c>
      <c r="N143" s="999">
        <v>0</v>
      </c>
      <c r="O143" s="999">
        <v>0</v>
      </c>
      <c r="P143" s="999">
        <v>0</v>
      </c>
      <c r="Q143" s="999">
        <v>0</v>
      </c>
      <c r="R143" s="999">
        <v>0</v>
      </c>
      <c r="S143" s="999">
        <v>0</v>
      </c>
      <c r="T143" s="999">
        <v>0</v>
      </c>
      <c r="U143" s="999">
        <f>+T143</f>
        <v>0</v>
      </c>
      <c r="V143" s="999">
        <v>0</v>
      </c>
      <c r="W143" s="999">
        <v>0</v>
      </c>
      <c r="X143" s="999">
        <v>0</v>
      </c>
      <c r="Y143" s="999">
        <v>0</v>
      </c>
      <c r="Z143" s="999"/>
      <c r="AA143" s="999">
        <v>0</v>
      </c>
      <c r="AB143" s="1890">
        <f t="shared" si="114"/>
        <v>0</v>
      </c>
      <c r="AC143" s="1890">
        <f t="shared" si="115"/>
        <v>0</v>
      </c>
      <c r="AD143" s="1890">
        <f t="shared" si="116"/>
        <v>0</v>
      </c>
      <c r="AE143" s="1890">
        <f t="shared" si="117"/>
        <v>0</v>
      </c>
      <c r="AF143" s="1890">
        <f t="shared" si="118"/>
        <v>0</v>
      </c>
      <c r="AG143" s="2383">
        <f t="shared" si="119"/>
        <v>0</v>
      </c>
      <c r="AH143" s="2391">
        <f t="shared" si="78"/>
        <v>0</v>
      </c>
      <c r="AI143" s="79">
        <f t="shared" si="79"/>
        <v>0</v>
      </c>
      <c r="AJ143" s="79">
        <f t="shared" si="80"/>
        <v>0</v>
      </c>
      <c r="AK143" s="79">
        <f t="shared" si="81"/>
        <v>0</v>
      </c>
      <c r="AL143" s="79">
        <f t="shared" si="82"/>
        <v>0</v>
      </c>
      <c r="AM143" s="1684">
        <f t="shared" si="83"/>
        <v>0</v>
      </c>
      <c r="AN143" s="1556"/>
      <c r="AO143" s="1556"/>
      <c r="AP143" s="1556"/>
      <c r="AQ143" s="1556"/>
    </row>
    <row r="144" spans="1:43" s="132" customFormat="1" ht="12" customHeight="1">
      <c r="A144" s="1966" t="s">
        <v>23</v>
      </c>
      <c r="B144" s="2032" t="s">
        <v>500</v>
      </c>
      <c r="C144" s="2034">
        <f t="shared" ref="C144:AA144" si="120">+C145+C146+C147+C148</f>
        <v>0</v>
      </c>
      <c r="D144" s="2034">
        <f t="shared" si="120"/>
        <v>0</v>
      </c>
      <c r="E144" s="2034">
        <f t="shared" si="120"/>
        <v>0</v>
      </c>
      <c r="F144" s="2034">
        <f t="shared" si="120"/>
        <v>0</v>
      </c>
      <c r="G144" s="2034">
        <f t="shared" si="120"/>
        <v>0</v>
      </c>
      <c r="H144" s="2034">
        <f t="shared" si="120"/>
        <v>0</v>
      </c>
      <c r="I144" s="2034">
        <f t="shared" si="120"/>
        <v>0</v>
      </c>
      <c r="J144" s="2034">
        <f t="shared" si="120"/>
        <v>0</v>
      </c>
      <c r="K144" s="2034">
        <f t="shared" si="120"/>
        <v>0</v>
      </c>
      <c r="L144" s="2034">
        <f t="shared" si="120"/>
        <v>0</v>
      </c>
      <c r="M144" s="2034">
        <f t="shared" si="120"/>
        <v>0</v>
      </c>
      <c r="N144" s="2034">
        <f t="shared" si="120"/>
        <v>0</v>
      </c>
      <c r="O144" s="2034">
        <f t="shared" si="120"/>
        <v>0</v>
      </c>
      <c r="P144" s="2034">
        <f t="shared" si="120"/>
        <v>0</v>
      </c>
      <c r="Q144" s="2034">
        <f t="shared" si="120"/>
        <v>0</v>
      </c>
      <c r="R144" s="2034">
        <f t="shared" si="120"/>
        <v>0</v>
      </c>
      <c r="S144" s="2034">
        <f t="shared" si="120"/>
        <v>0</v>
      </c>
      <c r="T144" s="2034">
        <f t="shared" si="120"/>
        <v>0</v>
      </c>
      <c r="U144" s="2034">
        <f t="shared" si="120"/>
        <v>0</v>
      </c>
      <c r="V144" s="2034">
        <f t="shared" si="120"/>
        <v>0</v>
      </c>
      <c r="W144" s="2034">
        <f t="shared" si="120"/>
        <v>0</v>
      </c>
      <c r="X144" s="2034">
        <f t="shared" si="120"/>
        <v>0</v>
      </c>
      <c r="Y144" s="2034">
        <f t="shared" si="120"/>
        <v>0</v>
      </c>
      <c r="Z144" s="2034">
        <f t="shared" si="120"/>
        <v>0</v>
      </c>
      <c r="AA144" s="2034">
        <f t="shared" si="120"/>
        <v>0</v>
      </c>
      <c r="AB144" s="1968">
        <f t="shared" si="114"/>
        <v>0</v>
      </c>
      <c r="AC144" s="1968">
        <f t="shared" si="115"/>
        <v>0</v>
      </c>
      <c r="AD144" s="1968">
        <f t="shared" si="116"/>
        <v>0</v>
      </c>
      <c r="AE144" s="1968">
        <f t="shared" si="117"/>
        <v>0</v>
      </c>
      <c r="AF144" s="1968">
        <f t="shared" si="118"/>
        <v>0</v>
      </c>
      <c r="AG144" s="2044">
        <f t="shared" si="119"/>
        <v>0</v>
      </c>
      <c r="AH144" s="2391">
        <f t="shared" si="78"/>
        <v>0</v>
      </c>
      <c r="AI144" s="79">
        <f t="shared" si="79"/>
        <v>0</v>
      </c>
      <c r="AJ144" s="79">
        <f t="shared" si="80"/>
        <v>0</v>
      </c>
      <c r="AK144" s="79">
        <f t="shared" si="81"/>
        <v>0</v>
      </c>
      <c r="AL144" s="79">
        <f t="shared" si="82"/>
        <v>0</v>
      </c>
      <c r="AM144" s="1684">
        <f t="shared" si="83"/>
        <v>0</v>
      </c>
      <c r="AN144" s="1556"/>
      <c r="AO144" s="1556"/>
      <c r="AP144" s="1556"/>
      <c r="AQ144" s="1556"/>
    </row>
    <row r="145" spans="1:43" s="132" customFormat="1" ht="12" hidden="1" customHeight="1">
      <c r="A145" s="1971" t="s">
        <v>265</v>
      </c>
      <c r="B145" s="2027" t="s">
        <v>379</v>
      </c>
      <c r="C145" s="1973"/>
      <c r="D145" s="1973"/>
      <c r="E145" s="1973"/>
      <c r="F145" s="1973"/>
      <c r="G145" s="1973"/>
      <c r="H145" s="1973"/>
      <c r="I145" s="1973"/>
      <c r="J145" s="999"/>
      <c r="K145" s="999"/>
      <c r="L145" s="999"/>
      <c r="M145" s="999"/>
      <c r="N145" s="999"/>
      <c r="O145" s="999"/>
      <c r="P145" s="999"/>
      <c r="Q145" s="999"/>
      <c r="R145" s="999"/>
      <c r="S145" s="999"/>
      <c r="T145" s="999"/>
      <c r="U145" s="999"/>
      <c r="V145" s="999"/>
      <c r="W145" s="999"/>
      <c r="X145" s="999"/>
      <c r="Y145" s="999"/>
      <c r="Z145" s="999"/>
      <c r="AA145" s="999"/>
      <c r="AB145" s="1968">
        <f t="shared" si="114"/>
        <v>0</v>
      </c>
      <c r="AC145" s="1890"/>
      <c r="AD145" s="1890"/>
      <c r="AE145" s="1890"/>
      <c r="AF145" s="1890"/>
      <c r="AG145" s="2383"/>
      <c r="AH145" s="2391">
        <f t="shared" si="78"/>
        <v>0</v>
      </c>
      <c r="AI145" s="79">
        <f t="shared" si="79"/>
        <v>0</v>
      </c>
      <c r="AJ145" s="79">
        <f t="shared" si="80"/>
        <v>0</v>
      </c>
      <c r="AK145" s="79">
        <f t="shared" si="81"/>
        <v>0</v>
      </c>
      <c r="AL145" s="79">
        <f t="shared" si="82"/>
        <v>0</v>
      </c>
      <c r="AM145" s="1684">
        <f t="shared" si="83"/>
        <v>0</v>
      </c>
      <c r="AN145" s="1556"/>
      <c r="AO145" s="1556"/>
      <c r="AP145" s="1556"/>
      <c r="AQ145" s="1556"/>
    </row>
    <row r="146" spans="1:43" s="132" customFormat="1" ht="12" hidden="1" customHeight="1">
      <c r="A146" s="1971" t="s">
        <v>266</v>
      </c>
      <c r="B146" s="2027" t="s">
        <v>380</v>
      </c>
      <c r="C146" s="1973"/>
      <c r="D146" s="1973"/>
      <c r="E146" s="1973"/>
      <c r="F146" s="1973"/>
      <c r="G146" s="1973"/>
      <c r="H146" s="1973"/>
      <c r="I146" s="1973"/>
      <c r="J146" s="999"/>
      <c r="K146" s="999"/>
      <c r="L146" s="999"/>
      <c r="M146" s="999"/>
      <c r="N146" s="999"/>
      <c r="O146" s="999"/>
      <c r="P146" s="999"/>
      <c r="Q146" s="999"/>
      <c r="R146" s="999"/>
      <c r="S146" s="999"/>
      <c r="T146" s="999"/>
      <c r="U146" s="999"/>
      <c r="V146" s="999"/>
      <c r="W146" s="999"/>
      <c r="X146" s="999"/>
      <c r="Y146" s="999"/>
      <c r="Z146" s="999"/>
      <c r="AA146" s="999"/>
      <c r="AB146" s="1968">
        <f t="shared" si="114"/>
        <v>0</v>
      </c>
      <c r="AC146" s="1890"/>
      <c r="AD146" s="1890"/>
      <c r="AE146" s="1890"/>
      <c r="AF146" s="1890"/>
      <c r="AG146" s="2383"/>
      <c r="AH146" s="2391">
        <f t="shared" si="78"/>
        <v>0</v>
      </c>
      <c r="AI146" s="79">
        <f t="shared" si="79"/>
        <v>0</v>
      </c>
      <c r="AJ146" s="79">
        <f t="shared" si="80"/>
        <v>0</v>
      </c>
      <c r="AK146" s="79">
        <f t="shared" si="81"/>
        <v>0</v>
      </c>
      <c r="AL146" s="79">
        <f t="shared" si="82"/>
        <v>0</v>
      </c>
      <c r="AM146" s="1684">
        <f t="shared" si="83"/>
        <v>0</v>
      </c>
      <c r="AN146" s="1556"/>
      <c r="AO146" s="1556"/>
      <c r="AP146" s="1556"/>
      <c r="AQ146" s="1556"/>
    </row>
    <row r="147" spans="1:43" s="132" customFormat="1" ht="12" hidden="1" customHeight="1">
      <c r="A147" s="1971" t="s">
        <v>267</v>
      </c>
      <c r="B147" s="2027" t="s">
        <v>381</v>
      </c>
      <c r="C147" s="1973"/>
      <c r="D147" s="1973"/>
      <c r="E147" s="1973"/>
      <c r="F147" s="1973"/>
      <c r="G147" s="1973"/>
      <c r="H147" s="1973"/>
      <c r="I147" s="1973"/>
      <c r="J147" s="999"/>
      <c r="K147" s="999"/>
      <c r="L147" s="999"/>
      <c r="M147" s="999"/>
      <c r="N147" s="999"/>
      <c r="O147" s="999"/>
      <c r="P147" s="999"/>
      <c r="Q147" s="999"/>
      <c r="R147" s="999"/>
      <c r="S147" s="999"/>
      <c r="T147" s="999"/>
      <c r="U147" s="999"/>
      <c r="V147" s="999"/>
      <c r="W147" s="999"/>
      <c r="X147" s="999"/>
      <c r="Y147" s="999"/>
      <c r="Z147" s="999"/>
      <c r="AA147" s="999"/>
      <c r="AB147" s="1968">
        <f t="shared" si="114"/>
        <v>0</v>
      </c>
      <c r="AC147" s="1890"/>
      <c r="AD147" s="1890"/>
      <c r="AE147" s="1890"/>
      <c r="AF147" s="1890"/>
      <c r="AG147" s="2383"/>
      <c r="AH147" s="2391">
        <f t="shared" si="78"/>
        <v>0</v>
      </c>
      <c r="AI147" s="79">
        <f t="shared" si="79"/>
        <v>0</v>
      </c>
      <c r="AJ147" s="79">
        <f t="shared" si="80"/>
        <v>0</v>
      </c>
      <c r="AK147" s="79">
        <f t="shared" si="81"/>
        <v>0</v>
      </c>
      <c r="AL147" s="79">
        <f t="shared" si="82"/>
        <v>0</v>
      </c>
      <c r="AM147" s="1684">
        <f t="shared" si="83"/>
        <v>0</v>
      </c>
      <c r="AN147" s="1556"/>
      <c r="AO147" s="1556"/>
      <c r="AP147" s="1556"/>
      <c r="AQ147" s="1556"/>
    </row>
    <row r="148" spans="1:43" ht="12.75" hidden="1" customHeight="1">
      <c r="A148" s="1971" t="s">
        <v>269</v>
      </c>
      <c r="B148" s="2027" t="s">
        <v>382</v>
      </c>
      <c r="C148" s="1973"/>
      <c r="D148" s="1973"/>
      <c r="E148" s="1973"/>
      <c r="F148" s="1973"/>
      <c r="G148" s="1973"/>
      <c r="H148" s="1973"/>
      <c r="I148" s="1973"/>
      <c r="J148" s="999"/>
      <c r="K148" s="999"/>
      <c r="L148" s="999"/>
      <c r="M148" s="999"/>
      <c r="N148" s="999"/>
      <c r="O148" s="999"/>
      <c r="P148" s="999"/>
      <c r="Q148" s="999"/>
      <c r="R148" s="999"/>
      <c r="S148" s="999"/>
      <c r="T148" s="999"/>
      <c r="U148" s="999"/>
      <c r="V148" s="999"/>
      <c r="W148" s="999"/>
      <c r="X148" s="999"/>
      <c r="Y148" s="999"/>
      <c r="Z148" s="999"/>
      <c r="AA148" s="999"/>
      <c r="AB148" s="1968">
        <f t="shared" si="114"/>
        <v>0</v>
      </c>
      <c r="AC148" s="1890"/>
      <c r="AD148" s="1890"/>
      <c r="AE148" s="1890"/>
      <c r="AF148" s="1890"/>
      <c r="AG148" s="2383"/>
      <c r="AH148" s="2391">
        <f t="shared" si="78"/>
        <v>0</v>
      </c>
      <c r="AI148" s="79">
        <f t="shared" si="79"/>
        <v>0</v>
      </c>
      <c r="AJ148" s="79">
        <f t="shared" si="80"/>
        <v>0</v>
      </c>
      <c r="AK148" s="79">
        <f t="shared" si="81"/>
        <v>0</v>
      </c>
      <c r="AL148" s="79">
        <f t="shared" si="82"/>
        <v>0</v>
      </c>
      <c r="AM148" s="1684">
        <f t="shared" si="83"/>
        <v>0</v>
      </c>
      <c r="AN148" s="137"/>
      <c r="AO148" s="137"/>
      <c r="AP148" s="137"/>
      <c r="AQ148" s="137"/>
    </row>
    <row r="149" spans="1:43" ht="12.75" customHeight="1">
      <c r="A149" s="1966" t="s">
        <v>25</v>
      </c>
      <c r="B149" s="1978" t="s">
        <v>383</v>
      </c>
      <c r="C149" s="2034">
        <v>0</v>
      </c>
      <c r="D149" s="2034">
        <v>0</v>
      </c>
      <c r="E149" s="2034">
        <v>0</v>
      </c>
      <c r="F149" s="2034">
        <v>0</v>
      </c>
      <c r="G149" s="2034">
        <v>0</v>
      </c>
      <c r="H149" s="2034"/>
      <c r="I149" s="2034">
        <v>0</v>
      </c>
      <c r="J149" s="2034">
        <v>0</v>
      </c>
      <c r="K149" s="2034">
        <v>0</v>
      </c>
      <c r="L149" s="2034">
        <v>0</v>
      </c>
      <c r="M149" s="2034">
        <v>0</v>
      </c>
      <c r="N149" s="2034">
        <v>0</v>
      </c>
      <c r="O149" s="2034">
        <v>0</v>
      </c>
      <c r="P149" s="2034">
        <v>0</v>
      </c>
      <c r="Q149" s="2034">
        <v>0</v>
      </c>
      <c r="R149" s="2034">
        <v>0</v>
      </c>
      <c r="S149" s="2034">
        <v>0</v>
      </c>
      <c r="T149" s="2034">
        <v>0</v>
      </c>
      <c r="U149" s="2034">
        <v>0</v>
      </c>
      <c r="V149" s="2034">
        <v>0</v>
      </c>
      <c r="W149" s="2034">
        <v>0</v>
      </c>
      <c r="X149" s="2034">
        <v>0</v>
      </c>
      <c r="Y149" s="2034">
        <v>0</v>
      </c>
      <c r="Z149" s="2034">
        <v>0</v>
      </c>
      <c r="AA149" s="2034">
        <v>0</v>
      </c>
      <c r="AB149" s="2034">
        <v>0</v>
      </c>
      <c r="AC149" s="2034">
        <v>0</v>
      </c>
      <c r="AD149" s="2034">
        <v>0</v>
      </c>
      <c r="AE149" s="2034">
        <v>0</v>
      </c>
      <c r="AF149" s="2034">
        <v>0</v>
      </c>
      <c r="AG149" s="2049">
        <v>0</v>
      </c>
      <c r="AH149" s="2391">
        <f t="shared" si="78"/>
        <v>0</v>
      </c>
      <c r="AI149" s="79">
        <f t="shared" si="79"/>
        <v>0</v>
      </c>
      <c r="AJ149" s="79">
        <f t="shared" si="80"/>
        <v>0</v>
      </c>
      <c r="AK149" s="79">
        <f t="shared" si="81"/>
        <v>0</v>
      </c>
      <c r="AL149" s="79">
        <f t="shared" si="82"/>
        <v>0</v>
      </c>
      <c r="AM149" s="1684">
        <f t="shared" si="83"/>
        <v>0</v>
      </c>
      <c r="AN149" s="137"/>
      <c r="AO149" s="137"/>
      <c r="AP149" s="137"/>
      <c r="AQ149" s="137"/>
    </row>
    <row r="150" spans="1:43" ht="12.75" customHeight="1">
      <c r="A150" s="1966" t="s">
        <v>27</v>
      </c>
      <c r="B150" s="1978" t="s">
        <v>384</v>
      </c>
      <c r="C150" s="2034">
        <v>0</v>
      </c>
      <c r="D150" s="2034">
        <v>0</v>
      </c>
      <c r="E150" s="2034">
        <v>0</v>
      </c>
      <c r="F150" s="2034">
        <v>0</v>
      </c>
      <c r="G150" s="2034">
        <v>0</v>
      </c>
      <c r="H150" s="2034"/>
      <c r="I150" s="2034">
        <v>0</v>
      </c>
      <c r="J150" s="2034">
        <v>0</v>
      </c>
      <c r="K150" s="2034">
        <v>0</v>
      </c>
      <c r="L150" s="2034">
        <v>0</v>
      </c>
      <c r="M150" s="2034">
        <v>0</v>
      </c>
      <c r="N150" s="2034">
        <v>0</v>
      </c>
      <c r="O150" s="2034">
        <v>0</v>
      </c>
      <c r="P150" s="2034">
        <v>0</v>
      </c>
      <c r="Q150" s="2034">
        <v>0</v>
      </c>
      <c r="R150" s="2034">
        <v>0</v>
      </c>
      <c r="S150" s="2034">
        <v>0</v>
      </c>
      <c r="T150" s="2034">
        <v>0</v>
      </c>
      <c r="U150" s="2034">
        <v>0</v>
      </c>
      <c r="V150" s="2034">
        <v>0</v>
      </c>
      <c r="W150" s="2034">
        <v>0</v>
      </c>
      <c r="X150" s="2034">
        <v>0</v>
      </c>
      <c r="Y150" s="2034">
        <v>0</v>
      </c>
      <c r="Z150" s="2034">
        <v>0</v>
      </c>
      <c r="AA150" s="2034">
        <v>0</v>
      </c>
      <c r="AB150" s="1968">
        <v>0</v>
      </c>
      <c r="AC150" s="1968">
        <v>0</v>
      </c>
      <c r="AD150" s="1968">
        <v>0</v>
      </c>
      <c r="AE150" s="1890">
        <v>0</v>
      </c>
      <c r="AF150" s="1890">
        <v>0</v>
      </c>
      <c r="AG150" s="2383">
        <v>0</v>
      </c>
      <c r="AH150" s="2391">
        <f t="shared" si="78"/>
        <v>0</v>
      </c>
      <c r="AI150" s="79">
        <f t="shared" si="79"/>
        <v>0</v>
      </c>
      <c r="AJ150" s="79">
        <f t="shared" si="80"/>
        <v>0</v>
      </c>
      <c r="AK150" s="79">
        <f t="shared" si="81"/>
        <v>0</v>
      </c>
      <c r="AL150" s="79">
        <f t="shared" si="82"/>
        <v>0</v>
      </c>
      <c r="AM150" s="1684">
        <f t="shared" si="83"/>
        <v>0</v>
      </c>
      <c r="AN150" s="137"/>
      <c r="AO150" s="137"/>
      <c r="AP150" s="137"/>
      <c r="AQ150" s="137"/>
    </row>
    <row r="151" spans="1:43" ht="19.5" customHeight="1">
      <c r="A151" s="1988" t="s">
        <v>29</v>
      </c>
      <c r="B151" s="2004" t="s">
        <v>385</v>
      </c>
      <c r="C151" s="2035">
        <f t="shared" ref="C151:AG151" si="121">+C129+C133+C138+C144</f>
        <v>20789856973</v>
      </c>
      <c r="D151" s="2035">
        <f t="shared" si="121"/>
        <v>19596899335</v>
      </c>
      <c r="E151" s="2035">
        <f t="shared" si="121"/>
        <v>19646956452</v>
      </c>
      <c r="F151" s="2035">
        <f t="shared" si="121"/>
        <v>21164065849</v>
      </c>
      <c r="G151" s="2035">
        <f t="shared" si="121"/>
        <v>27779660462</v>
      </c>
      <c r="H151" s="2035">
        <f t="shared" si="121"/>
        <v>27779660462</v>
      </c>
      <c r="I151" s="2035">
        <f t="shared" si="121"/>
        <v>26902559082</v>
      </c>
      <c r="J151" s="2035">
        <f t="shared" si="121"/>
        <v>19371709815</v>
      </c>
      <c r="K151" s="2035">
        <f t="shared" si="121"/>
        <v>19397045145</v>
      </c>
      <c r="L151" s="2035">
        <f t="shared" si="121"/>
        <v>20839950348</v>
      </c>
      <c r="M151" s="2035">
        <f t="shared" si="121"/>
        <v>27371812728</v>
      </c>
      <c r="N151" s="2035">
        <f t="shared" si="121"/>
        <v>27371812728</v>
      </c>
      <c r="O151" s="2035">
        <f t="shared" si="121"/>
        <v>26501912167</v>
      </c>
      <c r="P151" s="2035">
        <f t="shared" si="121"/>
        <v>221689520</v>
      </c>
      <c r="Q151" s="2035">
        <f t="shared" si="121"/>
        <v>246411307</v>
      </c>
      <c r="R151" s="2035">
        <f t="shared" si="121"/>
        <v>318642037</v>
      </c>
      <c r="S151" s="2035">
        <f t="shared" si="121"/>
        <v>405336094</v>
      </c>
      <c r="T151" s="2035">
        <f t="shared" si="121"/>
        <v>405336094</v>
      </c>
      <c r="U151" s="2035">
        <f t="shared" si="121"/>
        <v>398135275</v>
      </c>
      <c r="V151" s="2035">
        <f t="shared" si="121"/>
        <v>3500000</v>
      </c>
      <c r="W151" s="2035">
        <f t="shared" si="121"/>
        <v>3500000</v>
      </c>
      <c r="X151" s="2035">
        <f t="shared" si="121"/>
        <v>5473464</v>
      </c>
      <c r="Y151" s="2035">
        <f t="shared" si="121"/>
        <v>2511640</v>
      </c>
      <c r="Z151" s="2035">
        <f t="shared" si="121"/>
        <v>2511640</v>
      </c>
      <c r="AA151" s="2035">
        <f t="shared" si="121"/>
        <v>2511640</v>
      </c>
      <c r="AB151" s="2035">
        <f t="shared" si="121"/>
        <v>19596899335</v>
      </c>
      <c r="AC151" s="2035">
        <f t="shared" si="121"/>
        <v>19646956452</v>
      </c>
      <c r="AD151" s="2035">
        <f t="shared" si="121"/>
        <v>21164065849</v>
      </c>
      <c r="AE151" s="2035">
        <f t="shared" si="121"/>
        <v>27779660462</v>
      </c>
      <c r="AF151" s="2035">
        <f t="shared" si="121"/>
        <v>27779660462</v>
      </c>
      <c r="AG151" s="2050">
        <f t="shared" si="121"/>
        <v>26902559082</v>
      </c>
      <c r="AH151" s="2391">
        <f t="shared" si="78"/>
        <v>0</v>
      </c>
      <c r="AI151" s="79">
        <f t="shared" si="79"/>
        <v>0</v>
      </c>
      <c r="AJ151" s="79">
        <f t="shared" si="80"/>
        <v>0</v>
      </c>
      <c r="AK151" s="79">
        <f t="shared" si="81"/>
        <v>0</v>
      </c>
      <c r="AL151" s="79">
        <f t="shared" si="82"/>
        <v>0</v>
      </c>
      <c r="AM151" s="1684">
        <f t="shared" si="83"/>
        <v>0</v>
      </c>
      <c r="AN151" s="137"/>
      <c r="AO151" s="137"/>
      <c r="AP151" s="137"/>
      <c r="AQ151" s="137"/>
    </row>
    <row r="152" spans="1:43" ht="27.75" customHeight="1" thickBot="1">
      <c r="A152" s="1988" t="s">
        <v>31</v>
      </c>
      <c r="B152" s="2479" t="s">
        <v>386</v>
      </c>
      <c r="C152" s="2035">
        <f t="shared" ref="C152:AG152" si="122">+C128+C151</f>
        <v>37627307393.190002</v>
      </c>
      <c r="D152" s="2035">
        <f t="shared" si="122"/>
        <v>30600547620</v>
      </c>
      <c r="E152" s="2035">
        <f t="shared" si="122"/>
        <v>31031686328</v>
      </c>
      <c r="F152" s="2035">
        <f t="shared" si="122"/>
        <v>32484576591</v>
      </c>
      <c r="G152" s="2035">
        <f t="shared" si="122"/>
        <v>38266085681</v>
      </c>
      <c r="H152" s="2035">
        <f t="shared" si="122"/>
        <v>38266085681</v>
      </c>
      <c r="I152" s="2035">
        <f t="shared" si="122"/>
        <v>35098782076</v>
      </c>
      <c r="J152" s="2035">
        <f t="shared" si="122"/>
        <v>27325590114.776001</v>
      </c>
      <c r="K152" s="2035">
        <f t="shared" si="122"/>
        <v>27726937399.306</v>
      </c>
      <c r="L152" s="2035">
        <f t="shared" si="122"/>
        <v>28991763323.306</v>
      </c>
      <c r="M152" s="2035">
        <f t="shared" si="122"/>
        <v>34646971008.839203</v>
      </c>
      <c r="N152" s="2035">
        <f t="shared" si="122"/>
        <v>34646971008.839203</v>
      </c>
      <c r="O152" s="2035">
        <f t="shared" si="122"/>
        <v>32568962017.655998</v>
      </c>
      <c r="P152" s="2035">
        <f t="shared" si="122"/>
        <v>3271457505.224</v>
      </c>
      <c r="Q152" s="2035">
        <f t="shared" si="122"/>
        <v>3301248928.6940002</v>
      </c>
      <c r="R152" s="2035">
        <f t="shared" si="122"/>
        <v>3487339803.6940002</v>
      </c>
      <c r="S152" s="2035">
        <f t="shared" si="122"/>
        <v>3616603032.1608</v>
      </c>
      <c r="T152" s="2035">
        <f t="shared" si="122"/>
        <v>3616603032.1608</v>
      </c>
      <c r="U152" s="2035">
        <f t="shared" si="122"/>
        <v>2527308418.3439999</v>
      </c>
      <c r="V152" s="2035">
        <f t="shared" si="122"/>
        <v>3500000</v>
      </c>
      <c r="W152" s="2035">
        <f t="shared" si="122"/>
        <v>3500000</v>
      </c>
      <c r="X152" s="2035">
        <f t="shared" si="122"/>
        <v>5473464</v>
      </c>
      <c r="Y152" s="2035">
        <f t="shared" si="122"/>
        <v>2511640</v>
      </c>
      <c r="Z152" s="2035">
        <f t="shared" si="122"/>
        <v>2511640</v>
      </c>
      <c r="AA152" s="2035">
        <f t="shared" si="122"/>
        <v>2511640</v>
      </c>
      <c r="AB152" s="2035">
        <f t="shared" si="122"/>
        <v>30600547620</v>
      </c>
      <c r="AC152" s="2035">
        <f t="shared" si="122"/>
        <v>31031686328</v>
      </c>
      <c r="AD152" s="2035">
        <f t="shared" si="122"/>
        <v>32484576591</v>
      </c>
      <c r="AE152" s="2035">
        <f t="shared" si="122"/>
        <v>38266085681</v>
      </c>
      <c r="AF152" s="2035">
        <f t="shared" si="122"/>
        <v>38266085681</v>
      </c>
      <c r="AG152" s="2050">
        <f t="shared" si="122"/>
        <v>35098782076</v>
      </c>
      <c r="AH152" s="2392">
        <f t="shared" si="78"/>
        <v>0</v>
      </c>
      <c r="AI152" s="79">
        <f t="shared" si="79"/>
        <v>0</v>
      </c>
      <c r="AJ152" s="79">
        <f t="shared" si="80"/>
        <v>0</v>
      </c>
      <c r="AK152" s="79">
        <f t="shared" si="81"/>
        <v>0</v>
      </c>
      <c r="AL152" s="79">
        <f t="shared" si="82"/>
        <v>0</v>
      </c>
      <c r="AM152" s="1684">
        <f t="shared" si="83"/>
        <v>0</v>
      </c>
      <c r="AN152" s="137"/>
      <c r="AO152" s="137"/>
      <c r="AP152" s="137"/>
      <c r="AQ152" s="137"/>
    </row>
    <row r="153" spans="1:43" hidden="1">
      <c r="A153" s="2393"/>
      <c r="B153" s="2394"/>
      <c r="C153" s="2395"/>
      <c r="D153" s="2395"/>
      <c r="E153" s="2395"/>
      <c r="F153" s="2395"/>
      <c r="G153" s="2395"/>
      <c r="H153" s="2395"/>
      <c r="I153" s="2395"/>
      <c r="J153" s="2395"/>
      <c r="K153" s="2395"/>
      <c r="L153" s="2395"/>
      <c r="M153" s="2395"/>
      <c r="N153" s="2395"/>
      <c r="O153" s="2395"/>
      <c r="P153" s="2395"/>
      <c r="Q153" s="2395"/>
      <c r="R153" s="2395"/>
      <c r="S153" s="2395"/>
      <c r="T153" s="2395"/>
      <c r="U153" s="2395"/>
      <c r="V153" s="2396"/>
      <c r="W153" s="2395"/>
      <c r="X153" s="2395"/>
      <c r="Y153" s="999"/>
      <c r="Z153" s="999"/>
      <c r="AA153" s="999"/>
      <c r="AB153" s="1890"/>
      <c r="AC153" s="1890"/>
      <c r="AD153" s="1890"/>
      <c r="AE153" s="1890"/>
      <c r="AF153" s="1890"/>
      <c r="AG153" s="1890"/>
      <c r="AH153" s="2012">
        <f t="shared" si="78"/>
        <v>0</v>
      </c>
      <c r="AI153" s="1691">
        <f t="shared" si="79"/>
        <v>0</v>
      </c>
      <c r="AJ153" s="79">
        <f t="shared" si="80"/>
        <v>0</v>
      </c>
      <c r="AK153" s="79">
        <f t="shared" si="81"/>
        <v>0</v>
      </c>
      <c r="AL153" s="79">
        <f t="shared" si="82"/>
        <v>0</v>
      </c>
      <c r="AM153" s="1684">
        <f t="shared" si="83"/>
        <v>0</v>
      </c>
      <c r="AN153" s="137"/>
      <c r="AO153" s="137"/>
      <c r="AP153" s="137"/>
      <c r="AQ153" s="137"/>
    </row>
    <row r="154" spans="1:43" ht="34.5" hidden="1" customHeight="1" thickBot="1">
      <c r="A154" s="1998"/>
      <c r="B154" s="2036"/>
      <c r="C154" s="2037"/>
      <c r="D154" s="2037"/>
      <c r="E154" s="2037"/>
      <c r="F154" s="2037"/>
      <c r="G154" s="2037"/>
      <c r="H154" s="2037"/>
      <c r="I154" s="2037"/>
      <c r="J154" s="2037"/>
      <c r="K154" s="2037"/>
      <c r="L154" s="2037"/>
      <c r="M154" s="2037"/>
      <c r="N154" s="2037"/>
      <c r="O154" s="2037"/>
      <c r="P154" s="2037"/>
      <c r="Q154" s="2037"/>
      <c r="R154" s="2038"/>
      <c r="S154" s="2038"/>
      <c r="T154" s="2038"/>
      <c r="U154" s="2038"/>
      <c r="V154" s="2051"/>
      <c r="W154" s="2038"/>
      <c r="X154" s="2038"/>
      <c r="Y154" s="2038"/>
      <c r="Z154" s="2038"/>
      <c r="AA154" s="2038"/>
      <c r="AB154" s="2038">
        <f t="shared" ref="AB154:AG155" si="123">+J154+P154+V154</f>
        <v>0</v>
      </c>
      <c r="AC154" s="2038">
        <f t="shared" si="123"/>
        <v>0</v>
      </c>
      <c r="AD154" s="2038">
        <f t="shared" si="123"/>
        <v>0</v>
      </c>
      <c r="AE154" s="2038">
        <f t="shared" si="123"/>
        <v>0</v>
      </c>
      <c r="AF154" s="2038">
        <f t="shared" si="123"/>
        <v>0</v>
      </c>
      <c r="AG154" s="2038">
        <f t="shared" si="123"/>
        <v>0</v>
      </c>
      <c r="AH154" s="2052">
        <f t="shared" si="78"/>
        <v>0</v>
      </c>
      <c r="AI154" s="1696">
        <f t="shared" si="79"/>
        <v>0</v>
      </c>
      <c r="AJ154" s="1697">
        <f t="shared" si="80"/>
        <v>0</v>
      </c>
      <c r="AK154" s="1697">
        <f t="shared" si="81"/>
        <v>0</v>
      </c>
      <c r="AL154" s="1697">
        <f t="shared" si="82"/>
        <v>0</v>
      </c>
      <c r="AM154" s="1698">
        <f t="shared" si="83"/>
        <v>0</v>
      </c>
      <c r="AN154" s="137"/>
      <c r="AO154" s="137"/>
      <c r="AP154" s="137"/>
      <c r="AQ154" s="137"/>
    </row>
    <row r="155" spans="1:43" ht="14.25" hidden="1" customHeight="1" thickBot="1">
      <c r="A155" s="1060"/>
      <c r="B155" s="1061"/>
      <c r="C155" s="1062"/>
      <c r="D155" s="1062"/>
      <c r="E155" s="1062"/>
      <c r="F155" s="1062"/>
      <c r="G155" s="1062"/>
      <c r="H155" s="1062"/>
      <c r="I155" s="1062"/>
      <c r="J155" s="1062"/>
      <c r="K155" s="1062"/>
      <c r="L155" s="1062"/>
      <c r="M155" s="1063"/>
      <c r="N155" s="1063"/>
      <c r="O155" s="1063"/>
      <c r="P155" s="1063"/>
      <c r="Q155" s="1063"/>
      <c r="R155" s="1063"/>
      <c r="S155" s="1063"/>
      <c r="T155" s="1063"/>
      <c r="U155" s="1063"/>
      <c r="V155" s="1064"/>
      <c r="W155" s="1063"/>
      <c r="X155" s="1063"/>
      <c r="Y155" s="1063"/>
      <c r="Z155" s="1063"/>
      <c r="AA155" s="1063"/>
      <c r="AB155" s="2053">
        <f t="shared" si="123"/>
        <v>0</v>
      </c>
      <c r="AC155" s="1062">
        <f t="shared" si="123"/>
        <v>0</v>
      </c>
      <c r="AD155" s="1062">
        <f t="shared" si="123"/>
        <v>0</v>
      </c>
      <c r="AE155" s="2053">
        <f t="shared" si="123"/>
        <v>0</v>
      </c>
      <c r="AF155" s="2053">
        <f t="shared" si="123"/>
        <v>0</v>
      </c>
      <c r="AG155" s="2053">
        <f t="shared" si="123"/>
        <v>0</v>
      </c>
      <c r="AH155" s="79">
        <f t="shared" si="78"/>
        <v>0</v>
      </c>
      <c r="AI155" s="79">
        <f t="shared" si="79"/>
        <v>0</v>
      </c>
      <c r="AJ155" s="79">
        <f t="shared" si="80"/>
        <v>0</v>
      </c>
      <c r="AK155" s="79">
        <f t="shared" si="81"/>
        <v>0</v>
      </c>
      <c r="AL155" s="79">
        <f t="shared" si="82"/>
        <v>0</v>
      </c>
      <c r="AM155" s="99"/>
    </row>
    <row r="156" spans="1:43" ht="15.75" hidden="1">
      <c r="B156" s="133" t="s">
        <v>494</v>
      </c>
      <c r="C156" s="163">
        <f t="shared" ref="C156:AG156" si="124">+C88-C152</f>
        <v>0</v>
      </c>
      <c r="D156" s="163">
        <f t="shared" si="124"/>
        <v>0</v>
      </c>
      <c r="E156" s="163">
        <f t="shared" si="124"/>
        <v>0</v>
      </c>
      <c r="F156" s="163">
        <f t="shared" si="124"/>
        <v>0</v>
      </c>
      <c r="G156" s="163">
        <f t="shared" si="124"/>
        <v>0</v>
      </c>
      <c r="H156" s="163">
        <f t="shared" si="124"/>
        <v>0</v>
      </c>
      <c r="I156" s="163">
        <f t="shared" si="124"/>
        <v>958683605</v>
      </c>
      <c r="J156" s="163">
        <f t="shared" si="124"/>
        <v>0.2239990234375</v>
      </c>
      <c r="K156" s="163">
        <f t="shared" si="124"/>
        <v>-0.305999755859375</v>
      </c>
      <c r="L156" s="163">
        <f t="shared" si="124"/>
        <v>-0.305999755859375</v>
      </c>
      <c r="M156" s="163">
        <f t="shared" si="124"/>
        <v>0.160797119140625</v>
      </c>
      <c r="N156" s="163">
        <f t="shared" si="124"/>
        <v>0.160797119140625</v>
      </c>
      <c r="O156" s="163">
        <f t="shared" si="124"/>
        <v>-130611008.65599823</v>
      </c>
      <c r="P156" s="163">
        <f t="shared" si="124"/>
        <v>-0.22399997711181641</v>
      </c>
      <c r="Q156" s="163">
        <f t="shared" si="124"/>
        <v>0.305999755859375</v>
      </c>
      <c r="R156" s="163">
        <f t="shared" si="124"/>
        <v>0.305999755859375</v>
      </c>
      <c r="S156" s="163">
        <f t="shared" si="124"/>
        <v>-0.16079998016357422</v>
      </c>
      <c r="T156" s="163">
        <f t="shared" si="124"/>
        <v>-0.16079998016357422</v>
      </c>
      <c r="U156" s="163">
        <f t="shared" si="124"/>
        <v>1089294613.6560001</v>
      </c>
      <c r="V156" s="163">
        <f t="shared" si="124"/>
        <v>0</v>
      </c>
      <c r="W156" s="163">
        <f t="shared" si="124"/>
        <v>0</v>
      </c>
      <c r="X156" s="163">
        <f t="shared" si="124"/>
        <v>0</v>
      </c>
      <c r="Y156" s="163">
        <f t="shared" si="124"/>
        <v>0</v>
      </c>
      <c r="Z156" s="163">
        <f t="shared" si="124"/>
        <v>0</v>
      </c>
      <c r="AA156" s="163">
        <f t="shared" si="124"/>
        <v>0</v>
      </c>
      <c r="AB156" s="163">
        <f t="shared" si="124"/>
        <v>0</v>
      </c>
      <c r="AC156" s="163">
        <f t="shared" si="124"/>
        <v>0</v>
      </c>
      <c r="AD156" s="163">
        <f t="shared" si="124"/>
        <v>0</v>
      </c>
      <c r="AE156" s="163">
        <f t="shared" si="124"/>
        <v>0</v>
      </c>
      <c r="AF156" s="163">
        <f t="shared" si="124"/>
        <v>0</v>
      </c>
      <c r="AG156" s="163">
        <f t="shared" si="124"/>
        <v>958683605</v>
      </c>
      <c r="AJ156" s="99"/>
      <c r="AK156" s="99"/>
      <c r="AL156" s="99"/>
      <c r="AM156" s="99"/>
    </row>
    <row r="157" spans="1:43" hidden="1">
      <c r="I157" s="2531">
        <f>+O156+U156</f>
        <v>958683605.00000191</v>
      </c>
      <c r="K157" s="47">
        <f>+K152+Q152+W152</f>
        <v>31031686328</v>
      </c>
      <c r="M157" s="47">
        <f>+I157-I156</f>
        <v>1.9073486328125E-6</v>
      </c>
    </row>
    <row r="158" spans="1:43" ht="18" hidden="1" customHeight="1">
      <c r="F158" s="2531">
        <f>+F152-L152-R152-X152</f>
        <v>0</v>
      </c>
      <c r="G158" s="2531"/>
      <c r="I158" s="2531">
        <f>+'5. mell.Önk-i mérleg'!J88</f>
        <v>36057465681</v>
      </c>
      <c r="K158" s="47">
        <f>+E152-K157</f>
        <v>0</v>
      </c>
      <c r="M158" s="47">
        <f>+AG156</f>
        <v>958683605</v>
      </c>
    </row>
    <row r="159" spans="1:43">
      <c r="I159" s="2531">
        <f>+'5. mell.Önk-i mérleg'!J152</f>
        <v>35098782076</v>
      </c>
    </row>
    <row r="160" spans="1:43">
      <c r="I160" s="2531">
        <f>+I158-I159</f>
        <v>958683605</v>
      </c>
    </row>
  </sheetData>
  <sheetProtection algorithmName="SHA-512" hashValue="SAyWM17QkQnJ7dHKLIkJ6TDzcxRTaoCyj5phXym0hHE0E3GfVbzl7y1JBKW00gKauEjw+8SqQ7gCflOAdIsiVQ==" saltValue="DSubCU0TnE430bP6ISXb+A==" spinCount="100000" sheet="1" selectLockedCells="1" selectUnlockedCells="1"/>
  <mergeCells count="6">
    <mergeCell ref="AI91:AK91"/>
    <mergeCell ref="A1:AD1"/>
    <mergeCell ref="B2:AD2"/>
    <mergeCell ref="AC6:AF6"/>
    <mergeCell ref="AI6:AK6"/>
    <mergeCell ref="AI4:AK4"/>
  </mergeCells>
  <printOptions horizontalCentered="1"/>
  <pageMargins left="0.15748031496062992" right="0.11811023622047245" top="0.6692913385826772" bottom="0.62992125984251968" header="0.51181102362204722" footer="0.23622047244094491"/>
  <pageSetup paperSize="9" scale="63" firstPageNumber="0" fitToWidth="2" fitToHeight="2" orientation="portrait" r:id="rId1"/>
  <headerFooter alignWithMargins="0">
    <oddFooter>&amp;C&amp;"Arial CE,Félkövér"&amp;14&amp;P/&amp;N</oddFooter>
  </headerFooter>
  <rowBreaks count="1" manualBreakCount="1">
    <brk id="88"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E56A9-5600-4793-AB47-8A7671D26272}">
  <sheetPr>
    <tabColor theme="7" tint="0.39997558519241921"/>
  </sheetPr>
  <dimension ref="A1:AK338"/>
  <sheetViews>
    <sheetView view="pageBreakPreview" zoomScale="90" zoomScaleSheetLayoutView="90" workbookViewId="0">
      <pane xSplit="2" ySplit="4" topLeftCell="K5" activePane="bottomRight" state="frozen"/>
      <selection sqref="A1:AC1"/>
      <selection pane="topRight" sqref="A1:AC1"/>
      <selection pane="bottomLeft" sqref="A1:AC1"/>
      <selection pane="bottomRight" sqref="A1:AC1"/>
    </sheetView>
  </sheetViews>
  <sheetFormatPr defaultRowHeight="12.75"/>
  <cols>
    <col min="1" max="1" width="9.140625" style="2695" customWidth="1"/>
    <col min="2" max="2" width="79.28515625" style="165" customWidth="1"/>
    <col min="3" max="3" width="5.7109375" style="166" hidden="1" customWidth="1"/>
    <col min="4" max="4" width="10.140625" style="167" hidden="1" customWidth="1"/>
    <col min="5" max="5" width="3.140625" style="167" hidden="1" customWidth="1"/>
    <col min="6" max="6" width="8" style="165" hidden="1" customWidth="1"/>
    <col min="7" max="7" width="9.5703125" style="165" hidden="1" customWidth="1"/>
    <col min="8" max="8" width="10.140625" style="168" hidden="1" customWidth="1"/>
    <col min="9" max="9" width="19.5703125" style="169" hidden="1" customWidth="1"/>
    <col min="10" max="10" width="19.42578125" style="169" hidden="1" customWidth="1"/>
    <col min="11" max="11" width="18.85546875" style="2332" customWidth="1"/>
    <col min="12" max="13" width="19.42578125" style="169" hidden="1" customWidth="1"/>
    <col min="14" max="14" width="19.42578125" style="169" customWidth="1"/>
    <col min="15" max="15" width="20.85546875" style="169" hidden="1" customWidth="1"/>
    <col min="16" max="16" width="19.42578125" style="212" customWidth="1"/>
    <col min="17" max="17" width="15.140625" style="169" customWidth="1"/>
    <col min="18" max="18" width="18" style="169" hidden="1" customWidth="1"/>
    <col min="19" max="19" width="17.85546875" style="169" hidden="1" customWidth="1"/>
    <col min="20" max="20" width="19.42578125" style="169" hidden="1" customWidth="1"/>
    <col min="21" max="21" width="20.85546875" style="169" hidden="1" customWidth="1"/>
    <col min="22" max="22" width="10.42578125" style="169" hidden="1" customWidth="1"/>
    <col min="23" max="23" width="9.42578125" style="169" hidden="1" customWidth="1"/>
    <col min="24" max="24" width="12.42578125" style="171" hidden="1" customWidth="1"/>
    <col min="25" max="25" width="1.85546875" style="171" hidden="1" customWidth="1"/>
    <col min="26" max="26" width="19.42578125" style="171" hidden="1" customWidth="1"/>
    <col min="27" max="27" width="14.7109375" style="171" hidden="1" customWidth="1"/>
    <col min="28" max="28" width="12.85546875" style="171" hidden="1" customWidth="1"/>
    <col min="29" max="29" width="19.42578125" style="212" hidden="1" customWidth="1"/>
    <col min="30" max="30" width="19.42578125" style="171" hidden="1" customWidth="1"/>
    <col min="31" max="31" width="10.5703125" style="171" hidden="1" customWidth="1"/>
    <col min="32" max="32" width="10.85546875" style="171" hidden="1" customWidth="1"/>
    <col min="33" max="33" width="19.42578125" style="212" hidden="1" customWidth="1"/>
    <col min="34" max="36" width="11.5703125" style="171" hidden="1" customWidth="1"/>
    <col min="37" max="37" width="9.140625" style="171" customWidth="1"/>
    <col min="38" max="16384" width="9.140625" style="171"/>
  </cols>
  <sheetData>
    <row r="1" spans="1:33" ht="26.25" customHeight="1">
      <c r="A1" s="3602" t="s">
        <v>4261</v>
      </c>
      <c r="B1" s="3602"/>
      <c r="C1" s="3602"/>
      <c r="D1" s="3602"/>
      <c r="E1" s="3602"/>
      <c r="F1" s="3602"/>
      <c r="G1" s="3602"/>
      <c r="H1" s="3602"/>
      <c r="I1" s="3602"/>
      <c r="J1" s="3602"/>
      <c r="K1" s="3602"/>
      <c r="L1" s="3602"/>
      <c r="M1" s="3602"/>
      <c r="N1" s="3602"/>
      <c r="O1" s="3602"/>
      <c r="P1" s="3602"/>
      <c r="Q1" s="3602"/>
      <c r="R1" s="3546"/>
      <c r="S1" s="3546"/>
      <c r="T1" s="3546"/>
      <c r="U1" s="172"/>
      <c r="V1" s="172"/>
      <c r="W1" s="172"/>
      <c r="AC1" s="171"/>
      <c r="AG1" s="171"/>
    </row>
    <row r="2" spans="1:33" s="174" customFormat="1" ht="27" customHeight="1">
      <c r="A2" s="3601" t="s">
        <v>501</v>
      </c>
      <c r="B2" s="3601"/>
      <c r="C2" s="3601"/>
      <c r="D2" s="3601"/>
      <c r="E2" s="3601"/>
      <c r="F2" s="3601"/>
      <c r="G2" s="3601"/>
      <c r="H2" s="3601"/>
      <c r="I2" s="3601"/>
      <c r="J2" s="3601"/>
      <c r="K2" s="3601"/>
      <c r="L2" s="3601"/>
      <c r="M2" s="3601"/>
      <c r="N2" s="3601"/>
      <c r="O2" s="3601"/>
      <c r="P2" s="3601"/>
      <c r="Q2" s="3601"/>
      <c r="R2" s="173"/>
      <c r="S2" s="173"/>
      <c r="T2" s="173"/>
      <c r="U2" s="173"/>
      <c r="V2" s="173"/>
      <c r="W2" s="173"/>
    </row>
    <row r="3" spans="1:33" s="174" customFormat="1" ht="24" customHeight="1">
      <c r="A3" s="2683"/>
      <c r="B3" s="1538" t="str">
        <f>+'1. mell.ÖSSZEVONT_MÉRLEG'!B4</f>
        <v>A</v>
      </c>
      <c r="C3" s="1539"/>
      <c r="D3" s="1538"/>
      <c r="E3" s="1538"/>
      <c r="F3" s="1425"/>
      <c r="G3" s="1425"/>
      <c r="H3" s="1426"/>
      <c r="I3" s="1545" t="str">
        <f>+'1. mell.ÖSSZEVONT_MÉRLEG'!C4</f>
        <v>B</v>
      </c>
      <c r="J3" s="1545" t="str">
        <f>+'1. mell.ÖSSZEVONT_MÉRLEG'!D4</f>
        <v>B</v>
      </c>
      <c r="K3" s="1545" t="str">
        <f>+'1. mell.ÖSSZEVONT_MÉRLEG'!E4</f>
        <v>B</v>
      </c>
      <c r="L3" s="1545" t="str">
        <f>+'1. mell.ÖSSZEVONT_MÉRLEG'!F4</f>
        <v>D</v>
      </c>
      <c r="M3" s="1545" t="str">
        <f>+'1. mell.ÖSSZEVONT_MÉRLEG'!G4</f>
        <v>E</v>
      </c>
      <c r="N3" s="1545" t="str">
        <f>+'1. mell.ÖSSZEVONT_MÉRLEG'!H4</f>
        <v>C</v>
      </c>
      <c r="O3" s="1545" t="str">
        <f>+'1. mell.ÖSSZEVONT_MÉRLEG'!I4</f>
        <v>F</v>
      </c>
      <c r="P3" s="1545" t="str">
        <f>+'1. mell.ÖSSZEVONT_MÉRLEG'!J4</f>
        <v>D</v>
      </c>
      <c r="Q3" s="1545" t="str">
        <f>+'1. mell.ÖSSZEVONT_MÉRLEG'!K4</f>
        <v>E</v>
      </c>
      <c r="R3" s="1545">
        <f>+'1. mell.ÖSSZEVONT_MÉRLEG'!L4</f>
        <v>0</v>
      </c>
      <c r="S3" s="1545" t="str">
        <f>+'1. mell.ÖSSZEVONT_MÉRLEG'!M4</f>
        <v>F</v>
      </c>
      <c r="T3" s="1545" t="str">
        <f>+'1. mell.ÖSSZEVONT_MÉRLEG'!N4</f>
        <v>G</v>
      </c>
      <c r="U3" s="173"/>
      <c r="V3" s="173"/>
      <c r="W3" s="173"/>
      <c r="X3" s="2450"/>
      <c r="Z3" s="1546"/>
      <c r="AC3" s="1545" t="s">
        <v>271</v>
      </c>
      <c r="AF3" s="3009" t="s">
        <v>3983</v>
      </c>
      <c r="AG3" s="1545"/>
    </row>
    <row r="4" spans="1:33" ht="65.25" customHeight="1">
      <c r="A4" s="2683" t="s">
        <v>6</v>
      </c>
      <c r="B4" s="1540" t="s">
        <v>3474</v>
      </c>
      <c r="C4" s="1541" t="s">
        <v>504</v>
      </c>
      <c r="D4" s="1542" t="s">
        <v>505</v>
      </c>
      <c r="E4" s="1541" t="s">
        <v>506</v>
      </c>
      <c r="F4" s="1541" t="s">
        <v>507</v>
      </c>
      <c r="G4" s="1541" t="s">
        <v>508</v>
      </c>
      <c r="H4" s="1541" t="s">
        <v>509</v>
      </c>
      <c r="I4" s="1341" t="str">
        <f>+'1. mell.ÖSSZEVONT_MÉRLEG'!C5</f>
        <v>2024. évi eredeti előirányzat
forintban</v>
      </c>
      <c r="J4" s="2607" t="str">
        <f>+'1. mell.ÖSSZEVONT_MÉRLEG'!D5</f>
        <v>2024. évi teljesítés forintban</v>
      </c>
      <c r="K4" s="2322" t="str">
        <f>+'1. mell.ÖSSZEVONT_MÉRLEG'!E5</f>
        <v>2025. évi eredeti előirányzat forintban</v>
      </c>
      <c r="L4" s="1341" t="str">
        <f>+'1. mell.ÖSSZEVONT_MÉRLEG'!F5</f>
        <v>2025. évi I. számú módosított előirányzat
forintban</v>
      </c>
      <c r="M4" s="1341" t="str">
        <f>+'1. mell.ÖSSZEVONT_MÉRLEG'!G5</f>
        <v>2025. évi II. számú módosított előirányzat forintban</v>
      </c>
      <c r="N4" s="1341" t="str">
        <f>+'1. mell.ÖSSZEVONT_MÉRLEG'!H5</f>
        <v>2025. évi III. számú módosított előirányzat forintban</v>
      </c>
      <c r="O4" s="1341" t="str">
        <f>+'1. mell.ÖSSZEVONT_MÉRLEG'!I5</f>
        <v>2025. évi IV. számú módosított előirányzat forintban</v>
      </c>
      <c r="P4" s="2614" t="str">
        <f>+'1. mell.ÖSSZEVONT_MÉRLEG'!J5</f>
        <v>2025. évi
teljesítés forintban</v>
      </c>
      <c r="Q4" s="1341" t="str">
        <f>+'1. mell.ÖSSZEVONT_MÉRLEG'!K5</f>
        <v xml:space="preserve"> 2025. évi teljesítés / 2025. évi III. számú módosított előirányzat</v>
      </c>
      <c r="R4" s="1341" t="str">
        <f>+'1. mell.ÖSSZEVONT_MÉRLEG'!L5</f>
        <v>Változás I. módosításnál</v>
      </c>
      <c r="S4" s="1341" t="str">
        <f>+'1. mell.ÖSSZEVONT_MÉRLEG'!M5</f>
        <v>Előirányzat-módosítások, előirányzat-átcsoportosítások összegszerű változásai</v>
      </c>
      <c r="T4" s="1341" t="str">
        <f>+'1. mell.ÖSSZEVONT_MÉRLEG'!N5</f>
        <v>Előirányzat-módosítások, előirányzat-átcsoportosítások összegszerű változásai a III. módosításnál</v>
      </c>
      <c r="U4" s="1341" t="s">
        <v>175</v>
      </c>
      <c r="V4" s="1341" t="s">
        <v>510</v>
      </c>
      <c r="W4" s="2170" t="s">
        <v>511</v>
      </c>
      <c r="X4" s="2098" t="s">
        <v>3743</v>
      </c>
      <c r="Z4" s="1543" t="s">
        <v>3690</v>
      </c>
      <c r="AC4" s="1341"/>
      <c r="AD4" s="1543" t="s">
        <v>3915</v>
      </c>
      <c r="AG4" s="1341" t="s">
        <v>3994</v>
      </c>
    </row>
    <row r="5" spans="1:33" ht="15" hidden="1" customHeight="1">
      <c r="A5" s="2683">
        <v>1</v>
      </c>
      <c r="B5" s="1423">
        <v>2</v>
      </c>
      <c r="C5" s="2095"/>
      <c r="D5" s="1423"/>
      <c r="E5" s="1423"/>
      <c r="F5" s="1423"/>
      <c r="G5" s="1423"/>
      <c r="H5" s="1423"/>
      <c r="I5" s="2096">
        <f>+'1. mell.ÖSSZEVONT_MÉRLEG'!C6</f>
        <v>3</v>
      </c>
      <c r="J5" s="2573">
        <f>+'1. mell.ÖSSZEVONT_MÉRLEG'!D6</f>
        <v>0</v>
      </c>
      <c r="K5" s="2323">
        <f>+'1. mell.ÖSSZEVONT_MÉRLEG'!E6</f>
        <v>3</v>
      </c>
      <c r="L5" s="2096">
        <f>+'1. mell.ÖSSZEVONT_MÉRLEG'!F6</f>
        <v>4</v>
      </c>
      <c r="M5" s="2096">
        <f>+'1. mell.ÖSSZEVONT_MÉRLEG'!G6</f>
        <v>5</v>
      </c>
      <c r="N5" s="2096">
        <f>+'1. mell.ÖSSZEVONT_MÉRLEG'!H6</f>
        <v>6</v>
      </c>
      <c r="O5" s="2096">
        <f>+'1. mell.ÖSSZEVONT_MÉRLEG'!I6</f>
        <v>7</v>
      </c>
      <c r="P5" s="3173">
        <f>+'1. mell.ÖSSZEVONT_MÉRLEG'!J6</f>
        <v>0</v>
      </c>
      <c r="Q5" s="2096">
        <f>+'1. mell.ÖSSZEVONT_MÉRLEG'!K6</f>
        <v>5</v>
      </c>
      <c r="R5" s="2397"/>
      <c r="S5" s="1423"/>
      <c r="T5" s="1423"/>
      <c r="U5" s="1423"/>
      <c r="V5" s="1423"/>
      <c r="W5" s="2433"/>
      <c r="X5" s="2113"/>
      <c r="Z5" s="1078">
        <v>0</v>
      </c>
      <c r="AC5" s="2096"/>
      <c r="AD5" s="2650">
        <v>0</v>
      </c>
      <c r="AG5" s="2096"/>
    </row>
    <row r="6" spans="1:33" ht="15.75" hidden="1" customHeight="1">
      <c r="A6" s="2684"/>
      <c r="B6" s="1423"/>
      <c r="C6" s="2095"/>
      <c r="D6" s="1423"/>
      <c r="E6" s="1423"/>
      <c r="F6" s="1423"/>
      <c r="G6" s="1423"/>
      <c r="H6" s="2095"/>
      <c r="I6" s="2095"/>
      <c r="J6" s="2574"/>
      <c r="K6" s="2324"/>
      <c r="L6" s="2095"/>
      <c r="M6" s="2095"/>
      <c r="N6" s="2095"/>
      <c r="O6" s="2095"/>
      <c r="P6" s="3174"/>
      <c r="Q6" s="2095"/>
      <c r="R6" s="2398"/>
      <c r="S6" s="2095"/>
      <c r="T6" s="2095"/>
      <c r="U6" s="2095"/>
      <c r="V6" s="2095"/>
      <c r="W6" s="2434"/>
      <c r="X6" s="2113"/>
      <c r="Z6" s="184"/>
      <c r="AC6" s="2095"/>
      <c r="AD6" s="1095"/>
      <c r="AG6" s="2095"/>
    </row>
    <row r="7" spans="1:33">
      <c r="A7" s="2684" t="s">
        <v>12</v>
      </c>
      <c r="B7" s="2097" t="s">
        <v>177</v>
      </c>
      <c r="C7" s="1541" t="s">
        <v>512</v>
      </c>
      <c r="D7" s="2098" t="s">
        <v>513</v>
      </c>
      <c r="E7" s="2098">
        <v>2</v>
      </c>
      <c r="F7" s="1541" t="s">
        <v>514</v>
      </c>
      <c r="G7" s="1541">
        <v>9990001</v>
      </c>
      <c r="H7" s="2099" t="s">
        <v>515</v>
      </c>
      <c r="I7" s="1365">
        <v>1197603775</v>
      </c>
      <c r="J7" s="2575">
        <v>1197603775</v>
      </c>
      <c r="K7" s="2321">
        <v>1196771675</v>
      </c>
      <c r="L7" s="1365">
        <f>+K7</f>
        <v>1196771675</v>
      </c>
      <c r="M7" s="1365">
        <f>+L7</f>
        <v>1196771675</v>
      </c>
      <c r="N7" s="1365">
        <f>+M7+42201530</f>
        <v>1238973205</v>
      </c>
      <c r="O7" s="1365">
        <f t="shared" ref="O7:O17" si="0">+N7</f>
        <v>1238973205</v>
      </c>
      <c r="P7" s="3170">
        <v>1238973205</v>
      </c>
      <c r="Q7" s="2409">
        <f>+P7/N7</f>
        <v>1</v>
      </c>
      <c r="R7" s="2399">
        <f t="shared" ref="R7:R59" si="1">+L7-K7</f>
        <v>0</v>
      </c>
      <c r="S7" s="1365">
        <f t="shared" ref="S7:S59" si="2">+M7-L7</f>
        <v>0</v>
      </c>
      <c r="T7" s="1365">
        <f t="shared" ref="T7:T59" si="3">+N7-M7</f>
        <v>42201530</v>
      </c>
      <c r="U7" s="1365">
        <f t="shared" ref="U7:U46" si="4">+O7-N7</f>
        <v>0</v>
      </c>
      <c r="V7" s="1365"/>
      <c r="W7" s="2435"/>
      <c r="X7" s="2451">
        <f>+K7-I7</f>
        <v>-832100</v>
      </c>
      <c r="Z7" s="1207">
        <v>1005987171</v>
      </c>
      <c r="AA7" s="172"/>
      <c r="AB7" s="172"/>
      <c r="AC7" s="2408"/>
      <c r="AD7" s="2651">
        <v>1197603775</v>
      </c>
      <c r="AE7" s="172">
        <f>+J7-AD7</f>
        <v>0</v>
      </c>
      <c r="AG7" s="2408">
        <f>+P7-N7</f>
        <v>0</v>
      </c>
    </row>
    <row r="8" spans="1:33">
      <c r="A8" s="2684" t="s">
        <v>14</v>
      </c>
      <c r="B8" s="2097" t="s">
        <v>3535</v>
      </c>
      <c r="C8" s="1541" t="s">
        <v>512</v>
      </c>
      <c r="D8" s="2098" t="s">
        <v>516</v>
      </c>
      <c r="E8" s="2098">
        <v>2</v>
      </c>
      <c r="F8" s="1541" t="s">
        <v>514</v>
      </c>
      <c r="G8" s="1541">
        <v>9990001</v>
      </c>
      <c r="H8" s="2099" t="s">
        <v>517</v>
      </c>
      <c r="I8" s="1365">
        <v>2720986226</v>
      </c>
      <c r="J8" s="2575">
        <v>2712360142</v>
      </c>
      <c r="K8" s="2321">
        <v>3022096356</v>
      </c>
      <c r="L8" s="1365">
        <f>+K8</f>
        <v>3022096356</v>
      </c>
      <c r="M8" s="1365">
        <f t="shared" ref="M8:M15" si="5">+L8+0</f>
        <v>3022096356</v>
      </c>
      <c r="N8" s="1365">
        <f>+M8-10324186</f>
        <v>3011772170</v>
      </c>
      <c r="O8" s="1365">
        <f t="shared" si="0"/>
        <v>3011772170</v>
      </c>
      <c r="P8" s="3170">
        <v>3011772170</v>
      </c>
      <c r="Q8" s="2409">
        <f>+P8/N8</f>
        <v>1</v>
      </c>
      <c r="R8" s="2399">
        <f t="shared" si="1"/>
        <v>0</v>
      </c>
      <c r="S8" s="1365">
        <f t="shared" si="2"/>
        <v>0</v>
      </c>
      <c r="T8" s="1365">
        <f t="shared" si="3"/>
        <v>-10324186</v>
      </c>
      <c r="U8" s="1365">
        <f t="shared" si="4"/>
        <v>0</v>
      </c>
      <c r="V8" s="1365"/>
      <c r="W8" s="2435"/>
      <c r="X8" s="2451">
        <f>+K8-I8</f>
        <v>301110130</v>
      </c>
      <c r="Z8" s="1207">
        <v>2289385853</v>
      </c>
      <c r="AA8" s="172" t="s">
        <v>3738</v>
      </c>
      <c r="AB8" s="172"/>
      <c r="AC8" s="2408"/>
      <c r="AD8" s="2651">
        <v>2712360142</v>
      </c>
      <c r="AE8" s="172">
        <f t="shared" ref="AE8:AE71" si="6">+J8-AD8</f>
        <v>0</v>
      </c>
      <c r="AG8" s="2408">
        <f t="shared" ref="AG8:AG71" si="7">+P8-N8</f>
        <v>0</v>
      </c>
    </row>
    <row r="9" spans="1:33" ht="25.5">
      <c r="A9" s="2684" t="s">
        <v>15</v>
      </c>
      <c r="B9" s="2097" t="s">
        <v>3536</v>
      </c>
      <c r="C9" s="1541" t="s">
        <v>512</v>
      </c>
      <c r="D9" s="2098" t="s">
        <v>518</v>
      </c>
      <c r="E9" s="2098">
        <v>2</v>
      </c>
      <c r="F9" s="1541" t="s">
        <v>514</v>
      </c>
      <c r="G9" s="1541">
        <v>9990001</v>
      </c>
      <c r="H9" s="2099" t="s">
        <v>519</v>
      </c>
      <c r="I9" s="1365">
        <v>2575588594</v>
      </c>
      <c r="J9" s="2575">
        <v>2354952863</v>
      </c>
      <c r="K9" s="2321">
        <f>+AA9+AA10+AA11+AA16+AA17</f>
        <v>2376252867</v>
      </c>
      <c r="L9" s="1365">
        <f>+K9</f>
        <v>2376252867</v>
      </c>
      <c r="M9" s="1365">
        <f>+L9+133185190</f>
        <v>2509438057</v>
      </c>
      <c r="N9" s="1365">
        <f>+M9+221692497</f>
        <v>2731130554</v>
      </c>
      <c r="O9" s="1365">
        <f t="shared" si="0"/>
        <v>2731130554</v>
      </c>
      <c r="P9" s="3170">
        <f>1480806308+1250324246</f>
        <v>2731130554</v>
      </c>
      <c r="Q9" s="2409">
        <f>+P9/N9</f>
        <v>1</v>
      </c>
      <c r="R9" s="2399">
        <f t="shared" si="1"/>
        <v>0</v>
      </c>
      <c r="S9" s="1365">
        <f t="shared" si="2"/>
        <v>133185190</v>
      </c>
      <c r="T9" s="1365">
        <f t="shared" si="3"/>
        <v>221692497</v>
      </c>
      <c r="U9" s="1365">
        <f t="shared" si="4"/>
        <v>0</v>
      </c>
      <c r="V9" s="1365"/>
      <c r="W9" s="2435"/>
      <c r="X9" s="2451">
        <f>+K9-I9</f>
        <v>-199335727</v>
      </c>
      <c r="Z9" s="1207">
        <f>1071499612+944839933</f>
        <v>2016339545</v>
      </c>
      <c r="AA9" s="1365">
        <v>146383115</v>
      </c>
      <c r="AB9" s="172" t="s">
        <v>3739</v>
      </c>
      <c r="AC9" s="2408"/>
      <c r="AD9" s="2651">
        <v>2354952863</v>
      </c>
      <c r="AE9" s="172">
        <f t="shared" si="6"/>
        <v>0</v>
      </c>
      <c r="AG9" s="2408">
        <f t="shared" si="7"/>
        <v>0</v>
      </c>
    </row>
    <row r="10" spans="1:33">
      <c r="A10" s="2684" t="s">
        <v>17</v>
      </c>
      <c r="B10" s="2097" t="s">
        <v>3534</v>
      </c>
      <c r="C10" s="1541" t="s">
        <v>512</v>
      </c>
      <c r="D10" s="2098" t="s">
        <v>520</v>
      </c>
      <c r="E10" s="2098">
        <v>2</v>
      </c>
      <c r="F10" s="1541" t="s">
        <v>514</v>
      </c>
      <c r="G10" s="1541">
        <v>9990001</v>
      </c>
      <c r="H10" s="2099" t="s">
        <v>521</v>
      </c>
      <c r="I10" s="1365">
        <v>40993128</v>
      </c>
      <c r="J10" s="2575">
        <v>84509544</v>
      </c>
      <c r="K10" s="2321">
        <v>40823296</v>
      </c>
      <c r="L10" s="1365">
        <f>+K10</f>
        <v>40823296</v>
      </c>
      <c r="M10" s="1365">
        <f>+L10+48090000</f>
        <v>88913296</v>
      </c>
      <c r="N10" s="1365">
        <f>+M10-2952254</f>
        <v>85961042</v>
      </c>
      <c r="O10" s="1365">
        <f t="shared" si="0"/>
        <v>85961042</v>
      </c>
      <c r="P10" s="3170">
        <f>41526726+44434316</f>
        <v>85961042</v>
      </c>
      <c r="Q10" s="2409">
        <f>+P10/N10</f>
        <v>1</v>
      </c>
      <c r="R10" s="2399">
        <f t="shared" si="1"/>
        <v>0</v>
      </c>
      <c r="S10" s="1365">
        <f t="shared" si="2"/>
        <v>48090000</v>
      </c>
      <c r="T10" s="1365">
        <f t="shared" si="3"/>
        <v>-2952254</v>
      </c>
      <c r="U10" s="1365">
        <f t="shared" si="4"/>
        <v>0</v>
      </c>
      <c r="V10" s="1365"/>
      <c r="W10" s="2435"/>
      <c r="X10" s="2451">
        <f>+K10-I10</f>
        <v>-169832</v>
      </c>
      <c r="Z10" s="1207">
        <f>36553787+34434225</f>
        <v>70988012</v>
      </c>
      <c r="AA10" s="1365">
        <v>225733420</v>
      </c>
      <c r="AB10" s="172" t="s">
        <v>3740</v>
      </c>
      <c r="AC10" s="2408"/>
      <c r="AD10" s="2651">
        <v>84509544</v>
      </c>
      <c r="AE10" s="172">
        <f t="shared" si="6"/>
        <v>0</v>
      </c>
      <c r="AG10" s="2408">
        <f t="shared" si="7"/>
        <v>0</v>
      </c>
    </row>
    <row r="11" spans="1:33">
      <c r="A11" s="2684" t="s">
        <v>19</v>
      </c>
      <c r="B11" s="2100" t="s">
        <v>3168</v>
      </c>
      <c r="C11" s="1541" t="s">
        <v>512</v>
      </c>
      <c r="D11" s="2098" t="s">
        <v>522</v>
      </c>
      <c r="E11" s="2098">
        <v>2</v>
      </c>
      <c r="F11" s="1541" t="s">
        <v>514</v>
      </c>
      <c r="G11" s="1541">
        <v>9990001</v>
      </c>
      <c r="H11" s="2099" t="s">
        <v>523</v>
      </c>
      <c r="I11" s="1365">
        <v>0</v>
      </c>
      <c r="J11" s="2575">
        <v>0</v>
      </c>
      <c r="K11" s="2321">
        <f>296750+92459-389209</f>
        <v>0</v>
      </c>
      <c r="L11" s="1365">
        <f t="shared" ref="L11:L16" si="8">K11</f>
        <v>0</v>
      </c>
      <c r="M11" s="1365">
        <f t="shared" si="5"/>
        <v>0</v>
      </c>
      <c r="N11" s="1365">
        <f t="shared" ref="N11:N17" si="9">+M11</f>
        <v>0</v>
      </c>
      <c r="O11" s="1365">
        <f t="shared" si="0"/>
        <v>0</v>
      </c>
      <c r="P11" s="3175">
        <v>0</v>
      </c>
      <c r="Q11" s="2409"/>
      <c r="R11" s="2399">
        <f t="shared" si="1"/>
        <v>0</v>
      </c>
      <c r="S11" s="1365">
        <f t="shared" si="2"/>
        <v>0</v>
      </c>
      <c r="T11" s="1365">
        <f t="shared" si="3"/>
        <v>0</v>
      </c>
      <c r="U11" s="1365">
        <f t="shared" si="4"/>
        <v>0</v>
      </c>
      <c r="V11" s="2171"/>
      <c r="W11" s="2436"/>
      <c r="X11" s="2113"/>
      <c r="Z11" s="225">
        <v>0</v>
      </c>
      <c r="AA11" s="1365">
        <v>899956400</v>
      </c>
      <c r="AB11" s="172" t="s">
        <v>3741</v>
      </c>
      <c r="AC11" s="2410"/>
      <c r="AD11" s="2652">
        <v>0</v>
      </c>
      <c r="AE11" s="172">
        <f t="shared" si="6"/>
        <v>0</v>
      </c>
      <c r="AG11" s="2410">
        <f t="shared" si="7"/>
        <v>0</v>
      </c>
    </row>
    <row r="12" spans="1:33" ht="25.5" hidden="1">
      <c r="A12" s="2684"/>
      <c r="B12" s="2097" t="s">
        <v>525</v>
      </c>
      <c r="C12" s="1541" t="s">
        <v>512</v>
      </c>
      <c r="D12" s="2098" t="s">
        <v>526</v>
      </c>
      <c r="E12" s="2098">
        <v>2</v>
      </c>
      <c r="F12" s="1541" t="s">
        <v>514</v>
      </c>
      <c r="G12" s="1541">
        <v>9990001</v>
      </c>
      <c r="H12" s="2099" t="s">
        <v>523</v>
      </c>
      <c r="I12" s="1365">
        <v>0</v>
      </c>
      <c r="J12" s="2575">
        <v>0</v>
      </c>
      <c r="K12" s="2321">
        <v>0</v>
      </c>
      <c r="L12" s="1365">
        <f t="shared" si="8"/>
        <v>0</v>
      </c>
      <c r="M12" s="1365">
        <f t="shared" si="5"/>
        <v>0</v>
      </c>
      <c r="N12" s="1365">
        <f t="shared" si="9"/>
        <v>0</v>
      </c>
      <c r="O12" s="1365">
        <f t="shared" si="0"/>
        <v>0</v>
      </c>
      <c r="P12" s="2618">
        <f>0</f>
        <v>0</v>
      </c>
      <c r="Q12" s="2409"/>
      <c r="R12" s="2399">
        <f t="shared" si="1"/>
        <v>0</v>
      </c>
      <c r="S12" s="1365">
        <f t="shared" si="2"/>
        <v>0</v>
      </c>
      <c r="T12" s="1365">
        <f t="shared" si="3"/>
        <v>0</v>
      </c>
      <c r="U12" s="1365">
        <f t="shared" si="4"/>
        <v>0</v>
      </c>
      <c r="V12" s="1365"/>
      <c r="W12" s="2435"/>
      <c r="X12" s="2113"/>
      <c r="Z12" s="192">
        <f>0</f>
        <v>0</v>
      </c>
      <c r="AA12" s="1365"/>
      <c r="AB12" s="172"/>
      <c r="AC12" s="1365"/>
      <c r="AD12" s="1014">
        <v>0</v>
      </c>
      <c r="AE12" s="172">
        <f t="shared" si="6"/>
        <v>0</v>
      </c>
      <c r="AG12" s="1365">
        <f t="shared" si="7"/>
        <v>0</v>
      </c>
    </row>
    <row r="13" spans="1:33" ht="25.5" hidden="1">
      <c r="A13" s="2684"/>
      <c r="B13" s="2101" t="s">
        <v>527</v>
      </c>
      <c r="C13" s="1541" t="s">
        <v>512</v>
      </c>
      <c r="D13" s="2098" t="s">
        <v>528</v>
      </c>
      <c r="E13" s="2098">
        <v>2</v>
      </c>
      <c r="F13" s="1541" t="s">
        <v>514</v>
      </c>
      <c r="G13" s="1541">
        <v>9990001</v>
      </c>
      <c r="H13" s="2099" t="s">
        <v>523</v>
      </c>
      <c r="I13" s="1365">
        <v>0</v>
      </c>
      <c r="J13" s="2575">
        <v>0</v>
      </c>
      <c r="K13" s="2321">
        <v>0</v>
      </c>
      <c r="L13" s="1365">
        <f t="shared" si="8"/>
        <v>0</v>
      </c>
      <c r="M13" s="1365">
        <f t="shared" si="5"/>
        <v>0</v>
      </c>
      <c r="N13" s="1365">
        <f t="shared" si="9"/>
        <v>0</v>
      </c>
      <c r="O13" s="1365">
        <f t="shared" si="0"/>
        <v>0</v>
      </c>
      <c r="P13" s="2618">
        <f>0</f>
        <v>0</v>
      </c>
      <c r="Q13" s="2409"/>
      <c r="R13" s="2399">
        <f t="shared" si="1"/>
        <v>0</v>
      </c>
      <c r="S13" s="1365">
        <f t="shared" si="2"/>
        <v>0</v>
      </c>
      <c r="T13" s="1365">
        <f t="shared" si="3"/>
        <v>0</v>
      </c>
      <c r="U13" s="1365">
        <f t="shared" si="4"/>
        <v>0</v>
      </c>
      <c r="V13" s="1365"/>
      <c r="W13" s="2435"/>
      <c r="X13" s="2113"/>
      <c r="Z13" s="192">
        <f>0</f>
        <v>0</v>
      </c>
      <c r="AA13" s="1365"/>
      <c r="AB13" s="172"/>
      <c r="AC13" s="1365"/>
      <c r="AD13" s="1014">
        <v>0</v>
      </c>
      <c r="AE13" s="172">
        <f t="shared" si="6"/>
        <v>0</v>
      </c>
      <c r="AG13" s="1365">
        <f t="shared" si="7"/>
        <v>0</v>
      </c>
    </row>
    <row r="14" spans="1:33" hidden="1">
      <c r="A14" s="2684"/>
      <c r="B14" s="2097" t="s">
        <v>3191</v>
      </c>
      <c r="C14" s="1541" t="s">
        <v>512</v>
      </c>
      <c r="D14" s="2098" t="s">
        <v>529</v>
      </c>
      <c r="E14" s="2098">
        <v>2</v>
      </c>
      <c r="F14" s="1541" t="s">
        <v>514</v>
      </c>
      <c r="G14" s="2098">
        <v>9990001</v>
      </c>
      <c r="H14" s="2095" t="s">
        <v>530</v>
      </c>
      <c r="I14" s="1365">
        <v>0</v>
      </c>
      <c r="J14" s="2575">
        <v>0</v>
      </c>
      <c r="K14" s="2321">
        <v>0</v>
      </c>
      <c r="L14" s="1365">
        <f t="shared" si="8"/>
        <v>0</v>
      </c>
      <c r="M14" s="1365">
        <f t="shared" si="5"/>
        <v>0</v>
      </c>
      <c r="N14" s="1365">
        <f t="shared" si="9"/>
        <v>0</v>
      </c>
      <c r="O14" s="1365">
        <f t="shared" si="0"/>
        <v>0</v>
      </c>
      <c r="P14" s="3175"/>
      <c r="Q14" s="2409"/>
      <c r="R14" s="2399">
        <f t="shared" si="1"/>
        <v>0</v>
      </c>
      <c r="S14" s="1365">
        <f t="shared" si="2"/>
        <v>0</v>
      </c>
      <c r="T14" s="1365">
        <f t="shared" si="3"/>
        <v>0</v>
      </c>
      <c r="U14" s="1365">
        <f t="shared" si="4"/>
        <v>0</v>
      </c>
      <c r="V14" s="1365"/>
      <c r="W14" s="2435"/>
      <c r="X14" s="2113"/>
      <c r="Z14" s="225"/>
      <c r="AA14" s="1365"/>
      <c r="AB14" s="172"/>
      <c r="AC14" s="2410"/>
      <c r="AD14" s="2652"/>
      <c r="AE14" s="172">
        <f t="shared" si="6"/>
        <v>0</v>
      </c>
      <c r="AG14" s="2410">
        <f t="shared" si="7"/>
        <v>0</v>
      </c>
    </row>
    <row r="15" spans="1:33" s="203" customFormat="1" ht="13.5" hidden="1">
      <c r="A15" s="2685"/>
      <c r="B15" s="2097" t="s">
        <v>3228</v>
      </c>
      <c r="C15" s="2103"/>
      <c r="D15" s="2104"/>
      <c r="E15" s="2104"/>
      <c r="F15" s="2103"/>
      <c r="G15" s="2104"/>
      <c r="H15" s="2105"/>
      <c r="I15" s="2106">
        <v>0</v>
      </c>
      <c r="J15" s="2575">
        <v>0</v>
      </c>
      <c r="K15" s="2236">
        <v>0</v>
      </c>
      <c r="L15" s="1365">
        <f t="shared" si="8"/>
        <v>0</v>
      </c>
      <c r="M15" s="1365">
        <f t="shared" si="5"/>
        <v>0</v>
      </c>
      <c r="N15" s="1365">
        <f t="shared" si="9"/>
        <v>0</v>
      </c>
      <c r="O15" s="2106">
        <f t="shared" si="0"/>
        <v>0</v>
      </c>
      <c r="P15" s="3175"/>
      <c r="Q15" s="2409"/>
      <c r="R15" s="2400">
        <f t="shared" si="1"/>
        <v>0</v>
      </c>
      <c r="S15" s="1365">
        <f t="shared" si="2"/>
        <v>0</v>
      </c>
      <c r="T15" s="2106">
        <f t="shared" si="3"/>
        <v>0</v>
      </c>
      <c r="U15" s="2106">
        <f t="shared" si="4"/>
        <v>0</v>
      </c>
      <c r="V15" s="2106"/>
      <c r="W15" s="2437"/>
      <c r="X15" s="2113"/>
      <c r="Y15" s="171"/>
      <c r="Z15" s="225"/>
      <c r="AA15" s="1365"/>
      <c r="AB15" s="172"/>
      <c r="AC15" s="2410"/>
      <c r="AD15" s="2652"/>
      <c r="AE15" s="172">
        <f t="shared" si="6"/>
        <v>0</v>
      </c>
      <c r="AG15" s="2410">
        <f t="shared" si="7"/>
        <v>0</v>
      </c>
    </row>
    <row r="16" spans="1:33" s="203" customFormat="1" ht="25.5">
      <c r="A16" s="2684" t="s">
        <v>21</v>
      </c>
      <c r="B16" s="2097" t="s">
        <v>3477</v>
      </c>
      <c r="C16" s="1541" t="s">
        <v>512</v>
      </c>
      <c r="D16" s="2098" t="s">
        <v>3273</v>
      </c>
      <c r="E16" s="2104"/>
      <c r="F16" s="2103"/>
      <c r="G16" s="2103"/>
      <c r="H16" s="2099" t="s">
        <v>3274</v>
      </c>
      <c r="I16" s="1365">
        <v>0</v>
      </c>
      <c r="J16" s="2575">
        <v>29515000</v>
      </c>
      <c r="K16" s="2321">
        <v>0</v>
      </c>
      <c r="L16" s="1365">
        <f t="shared" si="8"/>
        <v>0</v>
      </c>
      <c r="M16" s="1365">
        <f>+L16+5000000</f>
        <v>5000000</v>
      </c>
      <c r="N16" s="1365">
        <f>+M16+2300000</f>
        <v>7300000</v>
      </c>
      <c r="O16" s="1365">
        <f t="shared" si="0"/>
        <v>7300000</v>
      </c>
      <c r="P16" s="3170">
        <v>7300000</v>
      </c>
      <c r="Q16" s="2409">
        <f>+P16/N16</f>
        <v>1</v>
      </c>
      <c r="R16" s="2399">
        <f t="shared" si="1"/>
        <v>0</v>
      </c>
      <c r="S16" s="1365">
        <f t="shared" si="2"/>
        <v>5000000</v>
      </c>
      <c r="T16" s="2106">
        <f t="shared" si="3"/>
        <v>2300000</v>
      </c>
      <c r="U16" s="2106">
        <f t="shared" si="4"/>
        <v>0</v>
      </c>
      <c r="V16" s="2106"/>
      <c r="W16" s="2437"/>
      <c r="X16" s="2113"/>
      <c r="Y16" s="171"/>
      <c r="Z16" s="1207">
        <v>28295000</v>
      </c>
      <c r="AA16" s="1365">
        <v>1104080182</v>
      </c>
      <c r="AB16" s="172" t="s">
        <v>3742</v>
      </c>
      <c r="AC16" s="2408"/>
      <c r="AD16" s="2651">
        <v>29515000</v>
      </c>
      <c r="AE16" s="172">
        <f t="shared" si="6"/>
        <v>0</v>
      </c>
      <c r="AG16" s="2408">
        <f t="shared" si="7"/>
        <v>0</v>
      </c>
    </row>
    <row r="17" spans="1:33">
      <c r="A17" s="2684" t="s">
        <v>23</v>
      </c>
      <c r="B17" s="2097" t="s">
        <v>3228</v>
      </c>
      <c r="C17" s="1541"/>
      <c r="D17" s="2098"/>
      <c r="E17" s="2098"/>
      <c r="F17" s="1541"/>
      <c r="G17" s="1541"/>
      <c r="H17" s="2095" t="s">
        <v>530</v>
      </c>
      <c r="I17" s="1365">
        <v>0</v>
      </c>
      <c r="J17" s="2575">
        <v>0</v>
      </c>
      <c r="K17" s="2321">
        <f>0</f>
        <v>0</v>
      </c>
      <c r="L17" s="1365">
        <f>+K17+55709452</f>
        <v>55709452</v>
      </c>
      <c r="M17" s="1365">
        <f>+L17</f>
        <v>55709452</v>
      </c>
      <c r="N17" s="1365">
        <f t="shared" si="9"/>
        <v>55709452</v>
      </c>
      <c r="O17" s="1365">
        <f t="shared" si="0"/>
        <v>55709452</v>
      </c>
      <c r="P17" s="2618">
        <v>55709452</v>
      </c>
      <c r="Q17" s="2409">
        <f>+P17/N17</f>
        <v>1</v>
      </c>
      <c r="R17" s="2399">
        <f t="shared" si="1"/>
        <v>55709452</v>
      </c>
      <c r="S17" s="1365">
        <f t="shared" si="2"/>
        <v>0</v>
      </c>
      <c r="T17" s="1365">
        <f t="shared" si="3"/>
        <v>0</v>
      </c>
      <c r="U17" s="1365">
        <f t="shared" si="4"/>
        <v>0</v>
      </c>
      <c r="V17" s="1365"/>
      <c r="W17" s="2435"/>
      <c r="X17" s="2113"/>
      <c r="Z17" s="192">
        <v>0</v>
      </c>
      <c r="AA17" s="1365">
        <v>99750</v>
      </c>
      <c r="AB17" s="172" t="s">
        <v>3137</v>
      </c>
      <c r="AC17" s="1365"/>
      <c r="AD17" s="1014">
        <v>0</v>
      </c>
      <c r="AE17" s="172">
        <f t="shared" si="6"/>
        <v>0</v>
      </c>
      <c r="AG17" s="1365">
        <f t="shared" si="7"/>
        <v>0</v>
      </c>
    </row>
    <row r="18" spans="1:33" ht="18.75" customHeight="1">
      <c r="A18" s="2683" t="s">
        <v>25</v>
      </c>
      <c r="B18" s="2107" t="s">
        <v>3393</v>
      </c>
      <c r="C18" s="1426"/>
      <c r="D18" s="2108"/>
      <c r="E18" s="2108"/>
      <c r="F18" s="2107"/>
      <c r="G18" s="2107"/>
      <c r="H18" s="2095" t="s">
        <v>531</v>
      </c>
      <c r="I18" s="1701">
        <f t="shared" ref="I18:P18" si="10">SUM(I7:I17)</f>
        <v>6535171723</v>
      </c>
      <c r="J18" s="2576">
        <f t="shared" si="10"/>
        <v>6378941324</v>
      </c>
      <c r="K18" s="2325">
        <f t="shared" si="10"/>
        <v>6635944194</v>
      </c>
      <c r="L18" s="1701">
        <f t="shared" si="10"/>
        <v>6691653646</v>
      </c>
      <c r="M18" s="1701">
        <f t="shared" si="10"/>
        <v>6877928836</v>
      </c>
      <c r="N18" s="1701">
        <f t="shared" si="10"/>
        <v>7130846423</v>
      </c>
      <c r="O18" s="1701">
        <f t="shared" si="10"/>
        <v>7130846423</v>
      </c>
      <c r="P18" s="2617">
        <f t="shared" si="10"/>
        <v>7130846423</v>
      </c>
      <c r="Q18" s="2411">
        <f>+P18/N18</f>
        <v>1</v>
      </c>
      <c r="R18" s="2401">
        <f t="shared" si="1"/>
        <v>55709452</v>
      </c>
      <c r="S18" s="1701">
        <f t="shared" si="2"/>
        <v>186275190</v>
      </c>
      <c r="T18" s="1701">
        <f t="shared" si="3"/>
        <v>252917587</v>
      </c>
      <c r="U18" s="1701">
        <f t="shared" si="4"/>
        <v>0</v>
      </c>
      <c r="V18" s="1701"/>
      <c r="W18" s="2438"/>
      <c r="X18" s="2113"/>
      <c r="Z18" s="209">
        <f>SUM(Z7:Z17)</f>
        <v>5410995581</v>
      </c>
      <c r="AA18" s="172">
        <f>+AA9+AA10+AA11+AA16+AA17</f>
        <v>2376252867</v>
      </c>
      <c r="AB18" s="172">
        <f>+K9</f>
        <v>2376252867</v>
      </c>
      <c r="AC18" s="1701">
        <v>7130846423</v>
      </c>
      <c r="AD18" s="1025">
        <v>6378941324</v>
      </c>
      <c r="AE18" s="172">
        <f t="shared" si="6"/>
        <v>0</v>
      </c>
      <c r="AF18" s="172">
        <f>+P18-AC18</f>
        <v>0</v>
      </c>
      <c r="AG18" s="1701">
        <f t="shared" si="7"/>
        <v>0</v>
      </c>
    </row>
    <row r="19" spans="1:33">
      <c r="A19" s="2684" t="s">
        <v>27</v>
      </c>
      <c r="B19" s="2109" t="s">
        <v>532</v>
      </c>
      <c r="C19" s="1541" t="s">
        <v>512</v>
      </c>
      <c r="D19" s="2098" t="s">
        <v>533</v>
      </c>
      <c r="E19" s="2098">
        <v>2</v>
      </c>
      <c r="F19" s="1541" t="s">
        <v>534</v>
      </c>
      <c r="G19" s="2098">
        <v>9990001</v>
      </c>
      <c r="H19" s="2099" t="s">
        <v>535</v>
      </c>
      <c r="I19" s="1365">
        <v>0</v>
      </c>
      <c r="J19" s="2575">
        <v>204742187</v>
      </c>
      <c r="K19" s="2321">
        <v>0</v>
      </c>
      <c r="L19" s="1365">
        <f>+K19+349772953+185846+1879114</f>
        <v>351837913</v>
      </c>
      <c r="M19" s="1365">
        <f>+L19</f>
        <v>351837913</v>
      </c>
      <c r="N19" s="1365">
        <f>+M19</f>
        <v>351837913</v>
      </c>
      <c r="O19" s="1365">
        <f>+N19</f>
        <v>351837913</v>
      </c>
      <c r="P19" s="3170">
        <v>351837913</v>
      </c>
      <c r="Q19" s="2409">
        <f>+P19/N19</f>
        <v>1</v>
      </c>
      <c r="R19" s="2399">
        <f t="shared" si="1"/>
        <v>351837913</v>
      </c>
      <c r="S19" s="1365">
        <f t="shared" si="2"/>
        <v>0</v>
      </c>
      <c r="T19" s="1365">
        <f t="shared" si="3"/>
        <v>0</v>
      </c>
      <c r="U19" s="1365">
        <f t="shared" si="4"/>
        <v>0</v>
      </c>
      <c r="V19" s="1365"/>
      <c r="W19" s="2435"/>
      <c r="X19" s="2113"/>
      <c r="Z19" s="1207">
        <v>204742187</v>
      </c>
      <c r="AC19" s="2408"/>
      <c r="AD19" s="2651">
        <v>204742187</v>
      </c>
      <c r="AE19" s="172">
        <f t="shared" si="6"/>
        <v>0</v>
      </c>
      <c r="AG19" s="2408">
        <f t="shared" si="7"/>
        <v>0</v>
      </c>
    </row>
    <row r="20" spans="1:33" ht="17.25" customHeight="1">
      <c r="A20" s="2683" t="s">
        <v>29</v>
      </c>
      <c r="B20" s="2110" t="s">
        <v>3394</v>
      </c>
      <c r="C20" s="1426"/>
      <c r="D20" s="2108"/>
      <c r="E20" s="2108"/>
      <c r="F20" s="2110"/>
      <c r="G20" s="2110"/>
      <c r="H20" s="2095" t="s">
        <v>536</v>
      </c>
      <c r="I20" s="1701">
        <f t="shared" ref="I20:P20" si="11">+I19</f>
        <v>0</v>
      </c>
      <c r="J20" s="2576">
        <f t="shared" si="11"/>
        <v>204742187</v>
      </c>
      <c r="K20" s="2325">
        <f t="shared" si="11"/>
        <v>0</v>
      </c>
      <c r="L20" s="1701">
        <f t="shared" si="11"/>
        <v>351837913</v>
      </c>
      <c r="M20" s="1701">
        <f t="shared" si="11"/>
        <v>351837913</v>
      </c>
      <c r="N20" s="1701">
        <f t="shared" si="11"/>
        <v>351837913</v>
      </c>
      <c r="O20" s="1701">
        <f t="shared" si="11"/>
        <v>351837913</v>
      </c>
      <c r="P20" s="2617">
        <f t="shared" si="11"/>
        <v>351837913</v>
      </c>
      <c r="Q20" s="2411">
        <f>+P20/N20</f>
        <v>1</v>
      </c>
      <c r="R20" s="2399">
        <f t="shared" si="1"/>
        <v>351837913</v>
      </c>
      <c r="S20" s="1365">
        <f t="shared" si="2"/>
        <v>0</v>
      </c>
      <c r="T20" s="1365">
        <f t="shared" si="3"/>
        <v>0</v>
      </c>
      <c r="U20" s="1365">
        <f t="shared" si="4"/>
        <v>0</v>
      </c>
      <c r="V20" s="1365"/>
      <c r="W20" s="2435"/>
      <c r="X20" s="2113"/>
      <c r="Z20" s="209">
        <f>+Z19</f>
        <v>204742187</v>
      </c>
      <c r="AC20" s="1701"/>
      <c r="AD20" s="1025">
        <v>204742187</v>
      </c>
      <c r="AE20" s="172">
        <f t="shared" si="6"/>
        <v>0</v>
      </c>
      <c r="AG20" s="1701">
        <f t="shared" si="7"/>
        <v>0</v>
      </c>
    </row>
    <row r="21" spans="1:33" ht="25.5">
      <c r="A21" s="2683" t="s">
        <v>31</v>
      </c>
      <c r="B21" s="2110" t="s">
        <v>537</v>
      </c>
      <c r="C21" s="1426"/>
      <c r="D21" s="2108"/>
      <c r="E21" s="2108"/>
      <c r="F21" s="2110"/>
      <c r="G21" s="2110"/>
      <c r="H21" s="2095" t="s">
        <v>538</v>
      </c>
      <c r="I21" s="1701">
        <v>0</v>
      </c>
      <c r="J21" s="2575">
        <v>0</v>
      </c>
      <c r="K21" s="2325">
        <v>0</v>
      </c>
      <c r="L21" s="1701">
        <f>+K21</f>
        <v>0</v>
      </c>
      <c r="M21" s="1701">
        <f>+L21</f>
        <v>0</v>
      </c>
      <c r="N21" s="1701">
        <f>+M21</f>
        <v>0</v>
      </c>
      <c r="O21" s="1365">
        <f>+N21</f>
        <v>0</v>
      </c>
      <c r="P21" s="2617">
        <v>0</v>
      </c>
      <c r="Q21" s="2409"/>
      <c r="R21" s="2399">
        <f t="shared" si="1"/>
        <v>0</v>
      </c>
      <c r="S21" s="1365">
        <f t="shared" si="2"/>
        <v>0</v>
      </c>
      <c r="T21" s="1365">
        <f t="shared" si="3"/>
        <v>0</v>
      </c>
      <c r="U21" s="1365">
        <f t="shared" si="4"/>
        <v>0</v>
      </c>
      <c r="V21" s="1365"/>
      <c r="W21" s="2435"/>
      <c r="X21" s="2113"/>
      <c r="Z21" s="209">
        <v>0</v>
      </c>
      <c r="AC21" s="1701"/>
      <c r="AD21" s="1025">
        <v>0</v>
      </c>
      <c r="AE21" s="172">
        <f t="shared" si="6"/>
        <v>0</v>
      </c>
      <c r="AG21" s="1701">
        <f t="shared" si="7"/>
        <v>0</v>
      </c>
    </row>
    <row r="22" spans="1:33" ht="25.5" hidden="1">
      <c r="A22" s="2683"/>
      <c r="B22" s="2097" t="s">
        <v>539</v>
      </c>
      <c r="C22" s="1541"/>
      <c r="D22" s="2098"/>
      <c r="E22" s="2098"/>
      <c r="F22" s="2097"/>
      <c r="G22" s="2097"/>
      <c r="H22" s="2099" t="s">
        <v>540</v>
      </c>
      <c r="I22" s="1365"/>
      <c r="J22" s="2575"/>
      <c r="K22" s="2321"/>
      <c r="L22" s="1365"/>
      <c r="M22" s="1365"/>
      <c r="N22" s="1365"/>
      <c r="O22" s="1365"/>
      <c r="P22" s="2617"/>
      <c r="Q22" s="2409"/>
      <c r="R22" s="2399">
        <f t="shared" si="1"/>
        <v>0</v>
      </c>
      <c r="S22" s="1365">
        <f t="shared" si="2"/>
        <v>0</v>
      </c>
      <c r="T22" s="1365">
        <f t="shared" si="3"/>
        <v>0</v>
      </c>
      <c r="U22" s="1365">
        <f t="shared" si="4"/>
        <v>0</v>
      </c>
      <c r="V22" s="1365"/>
      <c r="W22" s="2435"/>
      <c r="X22" s="2113"/>
      <c r="Z22" s="209"/>
      <c r="AC22" s="1701"/>
      <c r="AD22" s="1025"/>
      <c r="AE22" s="172">
        <f t="shared" si="6"/>
        <v>0</v>
      </c>
      <c r="AG22" s="1701">
        <f t="shared" si="7"/>
        <v>0</v>
      </c>
    </row>
    <row r="23" spans="1:33" ht="25.5" hidden="1">
      <c r="A23" s="2683"/>
      <c r="B23" s="2097" t="s">
        <v>541</v>
      </c>
      <c r="C23" s="1541"/>
      <c r="D23" s="2098"/>
      <c r="E23" s="2098"/>
      <c r="F23" s="2097"/>
      <c r="G23" s="2097"/>
      <c r="H23" s="2099" t="s">
        <v>542</v>
      </c>
      <c r="I23" s="1365"/>
      <c r="J23" s="2575"/>
      <c r="K23" s="2321"/>
      <c r="L23" s="1365"/>
      <c r="M23" s="1365"/>
      <c r="N23" s="1365"/>
      <c r="O23" s="1365"/>
      <c r="P23" s="2617"/>
      <c r="Q23" s="2409"/>
      <c r="R23" s="2399">
        <f t="shared" si="1"/>
        <v>0</v>
      </c>
      <c r="S23" s="1365">
        <f t="shared" si="2"/>
        <v>0</v>
      </c>
      <c r="T23" s="1365">
        <f t="shared" si="3"/>
        <v>0</v>
      </c>
      <c r="U23" s="1365">
        <f t="shared" si="4"/>
        <v>0</v>
      </c>
      <c r="V23" s="1365"/>
      <c r="W23" s="2435"/>
      <c r="X23" s="2113"/>
      <c r="Z23" s="209"/>
      <c r="AC23" s="1701"/>
      <c r="AD23" s="1025"/>
      <c r="AE23" s="172">
        <f t="shared" si="6"/>
        <v>0</v>
      </c>
      <c r="AG23" s="1701">
        <f t="shared" si="7"/>
        <v>0</v>
      </c>
    </row>
    <row r="24" spans="1:33" ht="25.5" hidden="1">
      <c r="A24" s="2683"/>
      <c r="B24" s="2097" t="s">
        <v>543</v>
      </c>
      <c r="C24" s="1541"/>
      <c r="D24" s="2098"/>
      <c r="E24" s="2098"/>
      <c r="F24" s="2097"/>
      <c r="G24" s="2097"/>
      <c r="H24" s="2099" t="s">
        <v>544</v>
      </c>
      <c r="I24" s="1365"/>
      <c r="J24" s="2575"/>
      <c r="K24" s="2321"/>
      <c r="L24" s="1365"/>
      <c r="M24" s="1365"/>
      <c r="N24" s="1365"/>
      <c r="O24" s="1365"/>
      <c r="P24" s="2617"/>
      <c r="Q24" s="2409"/>
      <c r="R24" s="2399">
        <f t="shared" si="1"/>
        <v>0</v>
      </c>
      <c r="S24" s="1365">
        <f t="shared" si="2"/>
        <v>0</v>
      </c>
      <c r="T24" s="1365">
        <f t="shared" si="3"/>
        <v>0</v>
      </c>
      <c r="U24" s="1365">
        <f t="shared" si="4"/>
        <v>0</v>
      </c>
      <c r="V24" s="1365"/>
      <c r="W24" s="2435"/>
      <c r="X24" s="2113"/>
      <c r="Z24" s="209"/>
      <c r="AC24" s="1701"/>
      <c r="AD24" s="1025"/>
      <c r="AE24" s="172">
        <f t="shared" si="6"/>
        <v>0</v>
      </c>
      <c r="AG24" s="1701">
        <f t="shared" si="7"/>
        <v>0</v>
      </c>
    </row>
    <row r="25" spans="1:33" ht="25.5" hidden="1">
      <c r="A25" s="2683"/>
      <c r="B25" s="2097" t="s">
        <v>545</v>
      </c>
      <c r="C25" s="1541"/>
      <c r="D25" s="2098"/>
      <c r="E25" s="2098"/>
      <c r="F25" s="2097"/>
      <c r="G25" s="2097"/>
      <c r="H25" s="2099" t="s">
        <v>546</v>
      </c>
      <c r="I25" s="1365"/>
      <c r="J25" s="2575"/>
      <c r="K25" s="2321"/>
      <c r="L25" s="1365"/>
      <c r="M25" s="1365"/>
      <c r="N25" s="1365"/>
      <c r="O25" s="1365"/>
      <c r="P25" s="2617"/>
      <c r="Q25" s="2409"/>
      <c r="R25" s="2399">
        <f t="shared" si="1"/>
        <v>0</v>
      </c>
      <c r="S25" s="1365">
        <f t="shared" si="2"/>
        <v>0</v>
      </c>
      <c r="T25" s="1365">
        <f t="shared" si="3"/>
        <v>0</v>
      </c>
      <c r="U25" s="1365">
        <f t="shared" si="4"/>
        <v>0</v>
      </c>
      <c r="V25" s="1365"/>
      <c r="W25" s="2435"/>
      <c r="X25" s="2113"/>
      <c r="Z25" s="209"/>
      <c r="AC25" s="1701"/>
      <c r="AD25" s="1025"/>
      <c r="AE25" s="172">
        <f t="shared" si="6"/>
        <v>0</v>
      </c>
      <c r="AG25" s="1701">
        <f t="shared" si="7"/>
        <v>0</v>
      </c>
    </row>
    <row r="26" spans="1:33" ht="25.5" hidden="1">
      <c r="A26" s="2683"/>
      <c r="B26" s="2097" t="s">
        <v>547</v>
      </c>
      <c r="C26" s="1541"/>
      <c r="D26" s="2098"/>
      <c r="E26" s="2098"/>
      <c r="F26" s="2097"/>
      <c r="G26" s="2097"/>
      <c r="H26" s="2099" t="s">
        <v>548</v>
      </c>
      <c r="I26" s="1365"/>
      <c r="J26" s="2575"/>
      <c r="K26" s="2321"/>
      <c r="L26" s="1365"/>
      <c r="M26" s="1365"/>
      <c r="N26" s="1365"/>
      <c r="O26" s="1365"/>
      <c r="P26" s="2617"/>
      <c r="Q26" s="2409"/>
      <c r="R26" s="2399">
        <f t="shared" si="1"/>
        <v>0</v>
      </c>
      <c r="S26" s="1365">
        <f t="shared" si="2"/>
        <v>0</v>
      </c>
      <c r="T26" s="1365">
        <f t="shared" si="3"/>
        <v>0</v>
      </c>
      <c r="U26" s="1365">
        <f t="shared" si="4"/>
        <v>0</v>
      </c>
      <c r="V26" s="1365"/>
      <c r="W26" s="2435"/>
      <c r="X26" s="2113"/>
      <c r="Z26" s="209"/>
      <c r="AC26" s="1701"/>
      <c r="AD26" s="1025"/>
      <c r="AE26" s="172">
        <f t="shared" si="6"/>
        <v>0</v>
      </c>
      <c r="AG26" s="1701">
        <f t="shared" si="7"/>
        <v>0</v>
      </c>
    </row>
    <row r="27" spans="1:33" ht="27" customHeight="1">
      <c r="A27" s="2683" t="s">
        <v>33</v>
      </c>
      <c r="B27" s="2110" t="s">
        <v>549</v>
      </c>
      <c r="C27" s="1426"/>
      <c r="D27" s="2108"/>
      <c r="E27" s="2108"/>
      <c r="F27" s="2110"/>
      <c r="G27" s="2110"/>
      <c r="H27" s="2095" t="s">
        <v>550</v>
      </c>
      <c r="I27" s="1701">
        <f t="shared" ref="I27:P27" si="12">SUM(I22:I26)</f>
        <v>0</v>
      </c>
      <c r="J27" s="2576">
        <f t="shared" si="12"/>
        <v>0</v>
      </c>
      <c r="K27" s="2325">
        <f t="shared" si="12"/>
        <v>0</v>
      </c>
      <c r="L27" s="1701">
        <f t="shared" si="12"/>
        <v>0</v>
      </c>
      <c r="M27" s="1701">
        <f t="shared" si="12"/>
        <v>0</v>
      </c>
      <c r="N27" s="1701">
        <f t="shared" si="12"/>
        <v>0</v>
      </c>
      <c r="O27" s="1701">
        <f t="shared" si="12"/>
        <v>0</v>
      </c>
      <c r="P27" s="2617">
        <f t="shared" si="12"/>
        <v>0</v>
      </c>
      <c r="Q27" s="2411"/>
      <c r="R27" s="2401">
        <f t="shared" si="1"/>
        <v>0</v>
      </c>
      <c r="S27" s="1701">
        <f t="shared" si="2"/>
        <v>0</v>
      </c>
      <c r="T27" s="1701">
        <f t="shared" si="3"/>
        <v>0</v>
      </c>
      <c r="U27" s="1701">
        <f t="shared" si="4"/>
        <v>0</v>
      </c>
      <c r="V27" s="1701"/>
      <c r="W27" s="2438"/>
      <c r="X27" s="2113"/>
      <c r="Z27" s="209">
        <f>SUM(Z22:Z26)</f>
        <v>0</v>
      </c>
      <c r="AC27" s="1701"/>
      <c r="AD27" s="1025">
        <v>0</v>
      </c>
      <c r="AE27" s="172">
        <f t="shared" si="6"/>
        <v>0</v>
      </c>
      <c r="AG27" s="1701">
        <f t="shared" si="7"/>
        <v>0</v>
      </c>
    </row>
    <row r="28" spans="1:33" ht="25.5" hidden="1">
      <c r="A28" s="2683"/>
      <c r="B28" s="2097" t="s">
        <v>551</v>
      </c>
      <c r="C28" s="1541"/>
      <c r="D28" s="2098"/>
      <c r="E28" s="2098"/>
      <c r="F28" s="2097"/>
      <c r="G28" s="2097"/>
      <c r="H28" s="2099" t="s">
        <v>552</v>
      </c>
      <c r="I28" s="1365"/>
      <c r="J28" s="2575"/>
      <c r="K28" s="2321"/>
      <c r="L28" s="1365"/>
      <c r="M28" s="1365"/>
      <c r="N28" s="1365"/>
      <c r="O28" s="1365"/>
      <c r="P28" s="2617"/>
      <c r="Q28" s="2409"/>
      <c r="R28" s="2399">
        <f t="shared" si="1"/>
        <v>0</v>
      </c>
      <c r="S28" s="1365">
        <f t="shared" si="2"/>
        <v>0</v>
      </c>
      <c r="T28" s="1365">
        <f t="shared" si="3"/>
        <v>0</v>
      </c>
      <c r="U28" s="1365">
        <f t="shared" si="4"/>
        <v>0</v>
      </c>
      <c r="V28" s="1365"/>
      <c r="W28" s="2435"/>
      <c r="X28" s="2113"/>
      <c r="Z28" s="209"/>
      <c r="AC28" s="1701"/>
      <c r="AD28" s="1025"/>
      <c r="AE28" s="172">
        <f t="shared" si="6"/>
        <v>0</v>
      </c>
      <c r="AG28" s="1701">
        <f t="shared" si="7"/>
        <v>0</v>
      </c>
    </row>
    <row r="29" spans="1:33" ht="25.5" hidden="1">
      <c r="A29" s="2683"/>
      <c r="B29" s="2097" t="s">
        <v>553</v>
      </c>
      <c r="C29" s="1541"/>
      <c r="D29" s="2098"/>
      <c r="E29" s="2098"/>
      <c r="F29" s="2097"/>
      <c r="G29" s="2097"/>
      <c r="H29" s="2099" t="s">
        <v>554</v>
      </c>
      <c r="I29" s="1365"/>
      <c r="J29" s="2575"/>
      <c r="K29" s="2321"/>
      <c r="L29" s="1365"/>
      <c r="M29" s="1365"/>
      <c r="N29" s="1365"/>
      <c r="O29" s="1365"/>
      <c r="P29" s="2617"/>
      <c r="Q29" s="2409"/>
      <c r="R29" s="2399">
        <f t="shared" si="1"/>
        <v>0</v>
      </c>
      <c r="S29" s="1365">
        <f t="shared" si="2"/>
        <v>0</v>
      </c>
      <c r="T29" s="1365">
        <f t="shared" si="3"/>
        <v>0</v>
      </c>
      <c r="U29" s="1365">
        <f t="shared" si="4"/>
        <v>0</v>
      </c>
      <c r="V29" s="1365"/>
      <c r="W29" s="2435"/>
      <c r="X29" s="2113"/>
      <c r="Z29" s="209"/>
      <c r="AC29" s="1701"/>
      <c r="AD29" s="1025"/>
      <c r="AE29" s="172">
        <f t="shared" si="6"/>
        <v>0</v>
      </c>
      <c r="AG29" s="1701">
        <f t="shared" si="7"/>
        <v>0</v>
      </c>
    </row>
    <row r="30" spans="1:33" ht="25.5" hidden="1">
      <c r="A30" s="2683"/>
      <c r="B30" s="2097" t="s">
        <v>555</v>
      </c>
      <c r="C30" s="1541"/>
      <c r="D30" s="2098"/>
      <c r="E30" s="2098"/>
      <c r="F30" s="2097"/>
      <c r="G30" s="2097"/>
      <c r="H30" s="2099" t="s">
        <v>556</v>
      </c>
      <c r="I30" s="1365"/>
      <c r="J30" s="2575"/>
      <c r="K30" s="2321"/>
      <c r="L30" s="1365"/>
      <c r="M30" s="1365"/>
      <c r="N30" s="1365"/>
      <c r="O30" s="1365"/>
      <c r="P30" s="2617"/>
      <c r="Q30" s="2409"/>
      <c r="R30" s="2399">
        <f t="shared" si="1"/>
        <v>0</v>
      </c>
      <c r="S30" s="1365">
        <f t="shared" si="2"/>
        <v>0</v>
      </c>
      <c r="T30" s="1365">
        <f t="shared" si="3"/>
        <v>0</v>
      </c>
      <c r="U30" s="1365">
        <f t="shared" si="4"/>
        <v>0</v>
      </c>
      <c r="V30" s="1365"/>
      <c r="W30" s="2435"/>
      <c r="X30" s="2113"/>
      <c r="Z30" s="209"/>
      <c r="AC30" s="1701"/>
      <c r="AD30" s="1025"/>
      <c r="AE30" s="172">
        <f t="shared" si="6"/>
        <v>0</v>
      </c>
      <c r="AG30" s="1701">
        <f t="shared" si="7"/>
        <v>0</v>
      </c>
    </row>
    <row r="31" spans="1:33" ht="25.5" hidden="1">
      <c r="A31" s="2683"/>
      <c r="B31" s="2097" t="s">
        <v>557</v>
      </c>
      <c r="C31" s="1541"/>
      <c r="D31" s="2098"/>
      <c r="E31" s="2098"/>
      <c r="F31" s="2097"/>
      <c r="G31" s="2097"/>
      <c r="H31" s="2099" t="s">
        <v>558</v>
      </c>
      <c r="I31" s="1365"/>
      <c r="J31" s="2575"/>
      <c r="K31" s="2321"/>
      <c r="L31" s="1365"/>
      <c r="M31" s="1365"/>
      <c r="N31" s="1365"/>
      <c r="O31" s="1365"/>
      <c r="P31" s="2617"/>
      <c r="Q31" s="2409"/>
      <c r="R31" s="2399">
        <f t="shared" si="1"/>
        <v>0</v>
      </c>
      <c r="S31" s="1365">
        <f t="shared" si="2"/>
        <v>0</v>
      </c>
      <c r="T31" s="1365">
        <f t="shared" si="3"/>
        <v>0</v>
      </c>
      <c r="U31" s="1365">
        <f t="shared" si="4"/>
        <v>0</v>
      </c>
      <c r="V31" s="1365"/>
      <c r="W31" s="2435"/>
      <c r="X31" s="2113"/>
      <c r="Z31" s="209"/>
      <c r="AC31" s="1701"/>
      <c r="AD31" s="1025"/>
      <c r="AE31" s="172">
        <f t="shared" si="6"/>
        <v>0</v>
      </c>
      <c r="AG31" s="1701">
        <f t="shared" si="7"/>
        <v>0</v>
      </c>
    </row>
    <row r="32" spans="1:33" ht="25.5" hidden="1">
      <c r="A32" s="2683"/>
      <c r="B32" s="2097" t="s">
        <v>559</v>
      </c>
      <c r="C32" s="1541"/>
      <c r="D32" s="2098"/>
      <c r="E32" s="2098"/>
      <c r="F32" s="2097"/>
      <c r="G32" s="2097"/>
      <c r="H32" s="2099" t="s">
        <v>560</v>
      </c>
      <c r="I32" s="1365"/>
      <c r="J32" s="2575"/>
      <c r="K32" s="2321"/>
      <c r="L32" s="1365"/>
      <c r="M32" s="1365"/>
      <c r="N32" s="1365"/>
      <c r="O32" s="1365"/>
      <c r="P32" s="2617"/>
      <c r="Q32" s="2409"/>
      <c r="R32" s="2399">
        <f t="shared" si="1"/>
        <v>0</v>
      </c>
      <c r="S32" s="1365">
        <f t="shared" si="2"/>
        <v>0</v>
      </c>
      <c r="T32" s="1365">
        <f t="shared" si="3"/>
        <v>0</v>
      </c>
      <c r="U32" s="1365">
        <f t="shared" si="4"/>
        <v>0</v>
      </c>
      <c r="V32" s="1365"/>
      <c r="W32" s="2435"/>
      <c r="X32" s="2113"/>
      <c r="Z32" s="209"/>
      <c r="AC32" s="1701"/>
      <c r="AD32" s="1025"/>
      <c r="AE32" s="172">
        <f t="shared" si="6"/>
        <v>0</v>
      </c>
      <c r="AG32" s="1701">
        <f t="shared" si="7"/>
        <v>0</v>
      </c>
    </row>
    <row r="33" spans="1:33" ht="26.25" customHeight="1">
      <c r="A33" s="2683" t="s">
        <v>35</v>
      </c>
      <c r="B33" s="2110" t="s">
        <v>561</v>
      </c>
      <c r="C33" s="1426"/>
      <c r="D33" s="2108"/>
      <c r="E33" s="2108"/>
      <c r="F33" s="2110"/>
      <c r="G33" s="2110"/>
      <c r="H33" s="2095" t="s">
        <v>562</v>
      </c>
      <c r="I33" s="1701">
        <f>SUM(I28:I32)</f>
        <v>0</v>
      </c>
      <c r="J33" s="2576">
        <v>0</v>
      </c>
      <c r="K33" s="2325">
        <f t="shared" ref="K33:P33" si="13">SUM(K28:K32)</f>
        <v>0</v>
      </c>
      <c r="L33" s="1701">
        <f t="shared" si="13"/>
        <v>0</v>
      </c>
      <c r="M33" s="1701">
        <f t="shared" si="13"/>
        <v>0</v>
      </c>
      <c r="N33" s="1701">
        <f t="shared" si="13"/>
        <v>0</v>
      </c>
      <c r="O33" s="1701">
        <f t="shared" si="13"/>
        <v>0</v>
      </c>
      <c r="P33" s="2617">
        <f t="shared" si="13"/>
        <v>0</v>
      </c>
      <c r="Q33" s="2409"/>
      <c r="R33" s="2399">
        <f t="shared" si="1"/>
        <v>0</v>
      </c>
      <c r="S33" s="1365">
        <f t="shared" si="2"/>
        <v>0</v>
      </c>
      <c r="T33" s="1365">
        <f t="shared" si="3"/>
        <v>0</v>
      </c>
      <c r="U33" s="1365">
        <f t="shared" si="4"/>
        <v>0</v>
      </c>
      <c r="V33" s="1365"/>
      <c r="W33" s="2435"/>
      <c r="X33" s="2113"/>
      <c r="Z33" s="209">
        <f>SUM(Z28:Z32)</f>
        <v>0</v>
      </c>
      <c r="AA33" s="172">
        <f>+R17+R19+R323</f>
        <v>411138708</v>
      </c>
      <c r="AB33" s="172">
        <f>+változtató!H126</f>
        <v>0</v>
      </c>
      <c r="AC33" s="1701"/>
      <c r="AD33" s="1025">
        <v>0</v>
      </c>
      <c r="AE33" s="172">
        <f t="shared" si="6"/>
        <v>0</v>
      </c>
      <c r="AG33" s="1701">
        <f t="shared" si="7"/>
        <v>0</v>
      </c>
    </row>
    <row r="34" spans="1:33" ht="25.5">
      <c r="A34" s="2684" t="s">
        <v>37</v>
      </c>
      <c r="B34" s="2097" t="s">
        <v>563</v>
      </c>
      <c r="C34" s="1541" t="s">
        <v>512</v>
      </c>
      <c r="D34" s="2098" t="s">
        <v>564</v>
      </c>
      <c r="E34" s="2098">
        <v>3</v>
      </c>
      <c r="F34" s="1541" t="s">
        <v>565</v>
      </c>
      <c r="G34" s="1541">
        <v>9990001</v>
      </c>
      <c r="H34" s="2099" t="s">
        <v>566</v>
      </c>
      <c r="I34" s="1365">
        <f>3765000</f>
        <v>3765000</v>
      </c>
      <c r="J34" s="2575">
        <v>4050000</v>
      </c>
      <c r="K34" s="2321">
        <f>2970000+1080000</f>
        <v>4050000</v>
      </c>
      <c r="L34" s="1365">
        <f t="shared" ref="L34:O37" si="14">+K34</f>
        <v>4050000</v>
      </c>
      <c r="M34" s="1365">
        <f t="shared" si="14"/>
        <v>4050000</v>
      </c>
      <c r="N34" s="1365">
        <f>+M34+180000</f>
        <v>4230000</v>
      </c>
      <c r="O34" s="1365">
        <f t="shared" si="14"/>
        <v>4230000</v>
      </c>
      <c r="P34" s="3170">
        <v>4230000</v>
      </c>
      <c r="Q34" s="2409">
        <f>+P34/N34</f>
        <v>1</v>
      </c>
      <c r="R34" s="2399">
        <f t="shared" si="1"/>
        <v>0</v>
      </c>
      <c r="S34" s="1365">
        <f t="shared" si="2"/>
        <v>0</v>
      </c>
      <c r="T34" s="1365">
        <f t="shared" si="3"/>
        <v>180000</v>
      </c>
      <c r="U34" s="1365">
        <f t="shared" si="4"/>
        <v>0</v>
      </c>
      <c r="V34" s="1365"/>
      <c r="W34" s="2435"/>
      <c r="X34" s="2113"/>
      <c r="Z34" s="1207">
        <v>2970000</v>
      </c>
      <c r="AC34" s="2408"/>
      <c r="AD34" s="2651">
        <v>4050000</v>
      </c>
      <c r="AE34" s="172">
        <f t="shared" si="6"/>
        <v>0</v>
      </c>
      <c r="AG34" s="2408">
        <f t="shared" si="7"/>
        <v>0</v>
      </c>
    </row>
    <row r="35" spans="1:33" ht="25.5" hidden="1">
      <c r="A35" s="2684" t="s">
        <v>3447</v>
      </c>
      <c r="B35" s="2097" t="s">
        <v>3695</v>
      </c>
      <c r="C35" s="1541" t="s">
        <v>512</v>
      </c>
      <c r="D35" s="2111" t="s">
        <v>3070</v>
      </c>
      <c r="E35" s="2098">
        <v>3</v>
      </c>
      <c r="F35" s="1541" t="s">
        <v>534</v>
      </c>
      <c r="G35" s="2098">
        <v>9990001</v>
      </c>
      <c r="H35" s="2099" t="s">
        <v>566</v>
      </c>
      <c r="I35" s="1365">
        <v>0</v>
      </c>
      <c r="J35" s="2575">
        <v>1500000</v>
      </c>
      <c r="K35" s="2321">
        <v>0</v>
      </c>
      <c r="L35" s="1365">
        <f t="shared" si="14"/>
        <v>0</v>
      </c>
      <c r="M35" s="1365">
        <f>+L35</f>
        <v>0</v>
      </c>
      <c r="N35" s="1365">
        <f t="shared" si="14"/>
        <v>0</v>
      </c>
      <c r="O35" s="1365">
        <f t="shared" si="14"/>
        <v>0</v>
      </c>
      <c r="P35" s="3176"/>
      <c r="Q35" s="2409"/>
      <c r="R35" s="2399">
        <f t="shared" si="1"/>
        <v>0</v>
      </c>
      <c r="S35" s="1365">
        <f t="shared" si="2"/>
        <v>0</v>
      </c>
      <c r="T35" s="1365">
        <f t="shared" si="3"/>
        <v>0</v>
      </c>
      <c r="U35" s="1365">
        <f t="shared" si="4"/>
        <v>0</v>
      </c>
      <c r="V35" s="1365"/>
      <c r="W35" s="2435"/>
      <c r="X35" s="2113"/>
      <c r="Z35" s="1208"/>
      <c r="AC35" s="2412"/>
      <c r="AD35" s="2653">
        <v>1500000</v>
      </c>
      <c r="AE35" s="172">
        <f t="shared" si="6"/>
        <v>0</v>
      </c>
      <c r="AG35" s="2412">
        <f t="shared" si="7"/>
        <v>0</v>
      </c>
    </row>
    <row r="36" spans="1:33" ht="18.75" hidden="1" customHeight="1">
      <c r="A36" s="2686" t="s">
        <v>3448</v>
      </c>
      <c r="B36" s="2097" t="s">
        <v>3529</v>
      </c>
      <c r="C36" s="1541" t="s">
        <v>512</v>
      </c>
      <c r="D36" s="2098" t="s">
        <v>1035</v>
      </c>
      <c r="E36" s="2098">
        <v>2</v>
      </c>
      <c r="F36" s="1541" t="s">
        <v>534</v>
      </c>
      <c r="G36" s="2098">
        <v>9990001</v>
      </c>
      <c r="H36" s="2095" t="s">
        <v>566</v>
      </c>
      <c r="I36" s="1365">
        <v>0</v>
      </c>
      <c r="J36" s="2575">
        <v>0</v>
      </c>
      <c r="K36" s="2321">
        <v>0</v>
      </c>
      <c r="L36" s="1365">
        <f t="shared" si="14"/>
        <v>0</v>
      </c>
      <c r="M36" s="1365">
        <f>+L36</f>
        <v>0</v>
      </c>
      <c r="N36" s="1365">
        <f t="shared" si="14"/>
        <v>0</v>
      </c>
      <c r="O36" s="1365">
        <f t="shared" si="14"/>
        <v>0</v>
      </c>
      <c r="P36" s="3170"/>
      <c r="Q36" s="2409"/>
      <c r="R36" s="2399">
        <f t="shared" si="1"/>
        <v>0</v>
      </c>
      <c r="S36" s="1365">
        <f t="shared" si="2"/>
        <v>0</v>
      </c>
      <c r="T36" s="1365">
        <f t="shared" si="3"/>
        <v>0</v>
      </c>
      <c r="U36" s="1365">
        <f t="shared" si="4"/>
        <v>0</v>
      </c>
      <c r="V36" s="1365"/>
      <c r="W36" s="2435"/>
      <c r="X36" s="2113"/>
      <c r="Z36" s="1207"/>
      <c r="AC36" s="2408"/>
      <c r="AD36" s="2651"/>
      <c r="AE36" s="172">
        <f t="shared" si="6"/>
        <v>0</v>
      </c>
      <c r="AG36" s="2408">
        <f t="shared" si="7"/>
        <v>0</v>
      </c>
    </row>
    <row r="37" spans="1:33" ht="25.5" customHeight="1">
      <c r="A37" s="2686" t="s">
        <v>39</v>
      </c>
      <c r="B37" s="2097" t="s">
        <v>3672</v>
      </c>
      <c r="C37" s="1541" t="s">
        <v>569</v>
      </c>
      <c r="D37" s="2098" t="s">
        <v>570</v>
      </c>
      <c r="E37" s="2098">
        <v>3</v>
      </c>
      <c r="F37" s="1541" t="s">
        <v>571</v>
      </c>
      <c r="G37" s="1541" t="s">
        <v>572</v>
      </c>
      <c r="H37" s="2099" t="s">
        <v>566</v>
      </c>
      <c r="I37" s="1365">
        <v>0</v>
      </c>
      <c r="J37" s="2575">
        <v>600000</v>
      </c>
      <c r="K37" s="2321">
        <v>0</v>
      </c>
      <c r="L37" s="1365">
        <f>+K37</f>
        <v>0</v>
      </c>
      <c r="M37" s="1365">
        <f>+L37</f>
        <v>0</v>
      </c>
      <c r="N37" s="1365">
        <f>+M37+270000</f>
        <v>270000</v>
      </c>
      <c r="O37" s="1365">
        <f t="shared" si="14"/>
        <v>270000</v>
      </c>
      <c r="P37" s="3170">
        <v>270000</v>
      </c>
      <c r="Q37" s="2409">
        <f>+P37/N37</f>
        <v>1</v>
      </c>
      <c r="R37" s="2399">
        <f t="shared" si="1"/>
        <v>0</v>
      </c>
      <c r="S37" s="1365">
        <f t="shared" si="2"/>
        <v>0</v>
      </c>
      <c r="T37" s="1365">
        <f t="shared" si="3"/>
        <v>270000</v>
      </c>
      <c r="U37" s="1365">
        <f t="shared" si="4"/>
        <v>0</v>
      </c>
      <c r="V37" s="1365"/>
      <c r="W37" s="2435"/>
      <c r="X37" s="2113"/>
      <c r="Z37" s="1207">
        <v>600000</v>
      </c>
      <c r="AC37" s="2408"/>
      <c r="AD37" s="2651">
        <v>600000</v>
      </c>
      <c r="AE37" s="172">
        <f t="shared" si="6"/>
        <v>0</v>
      </c>
      <c r="AG37" s="2408">
        <f t="shared" si="7"/>
        <v>0</v>
      </c>
    </row>
    <row r="38" spans="1:33" s="174" customFormat="1" ht="30" customHeight="1">
      <c r="A38" s="2683" t="s">
        <v>41</v>
      </c>
      <c r="B38" s="2110" t="s">
        <v>3402</v>
      </c>
      <c r="C38" s="1426"/>
      <c r="D38" s="2108"/>
      <c r="E38" s="2108"/>
      <c r="F38" s="2110"/>
      <c r="G38" s="2110"/>
      <c r="H38" s="2095"/>
      <c r="I38" s="1701">
        <f t="shared" ref="I38:P38" si="15">SUM(I34:I37)</f>
        <v>3765000</v>
      </c>
      <c r="J38" s="2576">
        <f t="shared" si="15"/>
        <v>6150000</v>
      </c>
      <c r="K38" s="2325">
        <f t="shared" si="15"/>
        <v>4050000</v>
      </c>
      <c r="L38" s="1701">
        <f t="shared" si="15"/>
        <v>4050000</v>
      </c>
      <c r="M38" s="1701">
        <f t="shared" si="15"/>
        <v>4050000</v>
      </c>
      <c r="N38" s="1701">
        <f t="shared" si="15"/>
        <v>4500000</v>
      </c>
      <c r="O38" s="1701">
        <f t="shared" si="15"/>
        <v>4500000</v>
      </c>
      <c r="P38" s="2617">
        <f t="shared" si="15"/>
        <v>4500000</v>
      </c>
      <c r="Q38" s="2411">
        <f>+P38/N38</f>
        <v>1</v>
      </c>
      <c r="R38" s="2401">
        <f t="shared" si="1"/>
        <v>0</v>
      </c>
      <c r="S38" s="1701">
        <f t="shared" si="2"/>
        <v>0</v>
      </c>
      <c r="T38" s="1701">
        <f t="shared" si="3"/>
        <v>450000</v>
      </c>
      <c r="U38" s="1701">
        <f t="shared" si="4"/>
        <v>0</v>
      </c>
      <c r="V38" s="1701"/>
      <c r="W38" s="2438"/>
      <c r="X38" s="2113"/>
      <c r="Y38" s="171"/>
      <c r="Z38" s="209">
        <f>SUM(Z34:Z37)</f>
        <v>3570000</v>
      </c>
      <c r="AC38" s="1701"/>
      <c r="AD38" s="1025"/>
      <c r="AE38" s="172"/>
      <c r="AF38" s="173"/>
      <c r="AG38" s="1701">
        <f t="shared" si="7"/>
        <v>0</v>
      </c>
    </row>
    <row r="39" spans="1:33" s="174" customFormat="1">
      <c r="A39" s="2683" t="s">
        <v>314</v>
      </c>
      <c r="B39" s="2110" t="s">
        <v>158</v>
      </c>
      <c r="C39" s="1426"/>
      <c r="D39" s="2108"/>
      <c r="E39" s="2108"/>
      <c r="F39" s="2110"/>
      <c r="G39" s="2110"/>
      <c r="H39" s="2095"/>
      <c r="I39" s="1701">
        <v>0</v>
      </c>
      <c r="J39" s="2576">
        <v>0</v>
      </c>
      <c r="K39" s="2325">
        <v>0</v>
      </c>
      <c r="L39" s="1701">
        <f t="shared" ref="L39:O41" si="16">+K39</f>
        <v>0</v>
      </c>
      <c r="M39" s="1701">
        <f t="shared" si="16"/>
        <v>0</v>
      </c>
      <c r="N39" s="1701">
        <f t="shared" si="16"/>
        <v>0</v>
      </c>
      <c r="O39" s="1701">
        <f t="shared" si="16"/>
        <v>0</v>
      </c>
      <c r="P39" s="2617">
        <v>0</v>
      </c>
      <c r="Q39" s="2411"/>
      <c r="R39" s="2401">
        <f t="shared" si="1"/>
        <v>0</v>
      </c>
      <c r="S39" s="1701">
        <f t="shared" si="2"/>
        <v>0</v>
      </c>
      <c r="T39" s="1701">
        <f t="shared" si="3"/>
        <v>0</v>
      </c>
      <c r="U39" s="1701">
        <f t="shared" si="4"/>
        <v>0</v>
      </c>
      <c r="V39" s="1701"/>
      <c r="W39" s="2438"/>
      <c r="X39" s="2113"/>
      <c r="Y39" s="171"/>
      <c r="Z39" s="209">
        <v>0</v>
      </c>
      <c r="AC39" s="1701"/>
      <c r="AD39" s="1025"/>
      <c r="AE39" s="172"/>
      <c r="AG39" s="1701">
        <f t="shared" si="7"/>
        <v>0</v>
      </c>
    </row>
    <row r="40" spans="1:33" ht="15.75" hidden="1" customHeight="1">
      <c r="A40" s="2684"/>
      <c r="B40" s="2112" t="s">
        <v>573</v>
      </c>
      <c r="C40" s="1541" t="s">
        <v>574</v>
      </c>
      <c r="D40" s="2098" t="s">
        <v>575</v>
      </c>
      <c r="E40" s="2098">
        <v>3</v>
      </c>
      <c r="F40" s="1541" t="s">
        <v>534</v>
      </c>
      <c r="G40" s="1541">
        <v>9990001</v>
      </c>
      <c r="H40" s="2099" t="s">
        <v>576</v>
      </c>
      <c r="I40" s="1365">
        <v>0</v>
      </c>
      <c r="J40" s="2575">
        <v>0</v>
      </c>
      <c r="K40" s="2321">
        <v>0</v>
      </c>
      <c r="L40" s="1365">
        <f t="shared" si="16"/>
        <v>0</v>
      </c>
      <c r="M40" s="1365">
        <f t="shared" si="16"/>
        <v>0</v>
      </c>
      <c r="N40" s="1365">
        <f t="shared" si="16"/>
        <v>0</v>
      </c>
      <c r="O40" s="1365">
        <f t="shared" si="16"/>
        <v>0</v>
      </c>
      <c r="P40" s="2618">
        <f>0</f>
        <v>0</v>
      </c>
      <c r="Q40" s="2409"/>
      <c r="R40" s="2399">
        <f t="shared" si="1"/>
        <v>0</v>
      </c>
      <c r="S40" s="1365">
        <f t="shared" si="2"/>
        <v>0</v>
      </c>
      <c r="T40" s="1365">
        <f t="shared" si="3"/>
        <v>0</v>
      </c>
      <c r="U40" s="1365">
        <f t="shared" si="4"/>
        <v>0</v>
      </c>
      <c r="V40" s="1365"/>
      <c r="W40" s="2435"/>
      <c r="X40" s="2113"/>
      <c r="Z40" s="192">
        <f>0</f>
        <v>0</v>
      </c>
      <c r="AC40" s="1365"/>
      <c r="AD40" s="1014"/>
      <c r="AE40" s="172"/>
      <c r="AG40" s="1365">
        <f t="shared" si="7"/>
        <v>0</v>
      </c>
    </row>
    <row r="41" spans="1:33" ht="15.75" hidden="1" customHeight="1">
      <c r="A41" s="2684"/>
      <c r="B41" s="2112" t="s">
        <v>577</v>
      </c>
      <c r="C41" s="1541" t="s">
        <v>578</v>
      </c>
      <c r="D41" s="2098" t="s">
        <v>579</v>
      </c>
      <c r="E41" s="2098">
        <v>3</v>
      </c>
      <c r="F41" s="1541" t="s">
        <v>534</v>
      </c>
      <c r="G41" s="1541">
        <v>9990001</v>
      </c>
      <c r="H41" s="2099" t="s">
        <v>576</v>
      </c>
      <c r="I41" s="1365">
        <v>0</v>
      </c>
      <c r="J41" s="2575">
        <v>0</v>
      </c>
      <c r="K41" s="2321">
        <v>0</v>
      </c>
      <c r="L41" s="1365">
        <f t="shared" si="16"/>
        <v>0</v>
      </c>
      <c r="M41" s="1365">
        <f t="shared" si="16"/>
        <v>0</v>
      </c>
      <c r="N41" s="1365">
        <f t="shared" si="16"/>
        <v>0</v>
      </c>
      <c r="O41" s="1365">
        <f t="shared" si="16"/>
        <v>0</v>
      </c>
      <c r="P41" s="2618">
        <f>0</f>
        <v>0</v>
      </c>
      <c r="Q41" s="2409"/>
      <c r="R41" s="2399">
        <f t="shared" si="1"/>
        <v>0</v>
      </c>
      <c r="S41" s="1365">
        <f t="shared" si="2"/>
        <v>0</v>
      </c>
      <c r="T41" s="1365">
        <f t="shared" si="3"/>
        <v>0</v>
      </c>
      <c r="U41" s="1365">
        <f t="shared" si="4"/>
        <v>0</v>
      </c>
      <c r="V41" s="1365"/>
      <c r="W41" s="2435"/>
      <c r="X41" s="2113"/>
      <c r="Z41" s="192">
        <f>0</f>
        <v>0</v>
      </c>
      <c r="AC41" s="1365"/>
      <c r="AD41" s="1014"/>
      <c r="AE41" s="172"/>
      <c r="AG41" s="1365">
        <f t="shared" si="7"/>
        <v>0</v>
      </c>
    </row>
    <row r="42" spans="1:33" s="174" customFormat="1" ht="25.5">
      <c r="A42" s="2683" t="s">
        <v>402</v>
      </c>
      <c r="B42" s="2110" t="s">
        <v>580</v>
      </c>
      <c r="C42" s="1426"/>
      <c r="D42" s="2108"/>
      <c r="E42" s="2108"/>
      <c r="F42" s="2110"/>
      <c r="G42" s="2110"/>
      <c r="H42" s="2095" t="s">
        <v>581</v>
      </c>
      <c r="I42" s="1701">
        <f t="shared" ref="I42:P42" si="17">SUM(I40:I41)</f>
        <v>0</v>
      </c>
      <c r="J42" s="2576">
        <f t="shared" si="17"/>
        <v>0</v>
      </c>
      <c r="K42" s="2325">
        <f t="shared" si="17"/>
        <v>0</v>
      </c>
      <c r="L42" s="1701">
        <f t="shared" si="17"/>
        <v>0</v>
      </c>
      <c r="M42" s="1701">
        <f t="shared" si="17"/>
        <v>0</v>
      </c>
      <c r="N42" s="1701">
        <f t="shared" si="17"/>
        <v>0</v>
      </c>
      <c r="O42" s="1701">
        <f t="shared" si="17"/>
        <v>0</v>
      </c>
      <c r="P42" s="2617">
        <f t="shared" si="17"/>
        <v>0</v>
      </c>
      <c r="Q42" s="2411"/>
      <c r="R42" s="2401">
        <f t="shared" si="1"/>
        <v>0</v>
      </c>
      <c r="S42" s="1365">
        <f t="shared" si="2"/>
        <v>0</v>
      </c>
      <c r="T42" s="1365">
        <f t="shared" si="3"/>
        <v>0</v>
      </c>
      <c r="U42" s="1365">
        <f t="shared" si="4"/>
        <v>0</v>
      </c>
      <c r="V42" s="1701"/>
      <c r="W42" s="2438"/>
      <c r="X42" s="2113"/>
      <c r="Y42" s="171"/>
      <c r="Z42" s="209">
        <f>SUM(Z40:Z41)</f>
        <v>0</v>
      </c>
      <c r="AC42" s="1701"/>
      <c r="AD42" s="1025"/>
      <c r="AE42" s="172"/>
      <c r="AG42" s="1701">
        <f t="shared" si="7"/>
        <v>0</v>
      </c>
    </row>
    <row r="43" spans="1:33" ht="17.25" hidden="1" customHeight="1">
      <c r="A43" s="2687"/>
      <c r="B43" s="2114" t="s">
        <v>582</v>
      </c>
      <c r="C43" s="1541" t="s">
        <v>583</v>
      </c>
      <c r="D43" s="2098" t="s">
        <v>584</v>
      </c>
      <c r="E43" s="2098">
        <v>3</v>
      </c>
      <c r="F43" s="1541" t="s">
        <v>585</v>
      </c>
      <c r="G43" s="1541" t="s">
        <v>572</v>
      </c>
      <c r="H43" s="2099" t="s">
        <v>586</v>
      </c>
      <c r="I43" s="1365">
        <v>0</v>
      </c>
      <c r="J43" s="2575">
        <v>0</v>
      </c>
      <c r="K43" s="2321">
        <v>0</v>
      </c>
      <c r="L43" s="1365">
        <f t="shared" ref="L43:L48" si="18">+K43</f>
        <v>0</v>
      </c>
      <c r="M43" s="1365">
        <f t="shared" ref="M43:M48" si="19">+L43</f>
        <v>0</v>
      </c>
      <c r="N43" s="1365">
        <f>+M43</f>
        <v>0</v>
      </c>
      <c r="O43" s="1365">
        <f t="shared" ref="O43:O48" si="20">+N43</f>
        <v>0</v>
      </c>
      <c r="P43" s="2617"/>
      <c r="Q43" s="2409" t="e">
        <f t="shared" ref="Q43:Q59" si="21">+P43/N43</f>
        <v>#DIV/0!</v>
      </c>
      <c r="R43" s="2399">
        <f t="shared" si="1"/>
        <v>0</v>
      </c>
      <c r="S43" s="1365">
        <f t="shared" si="2"/>
        <v>0</v>
      </c>
      <c r="T43" s="1365">
        <f t="shared" si="3"/>
        <v>0</v>
      </c>
      <c r="U43" s="1365">
        <f t="shared" si="4"/>
        <v>0</v>
      </c>
      <c r="V43" s="2069"/>
      <c r="W43" s="2439"/>
      <c r="X43" s="2113"/>
      <c r="Z43" s="209"/>
      <c r="AC43" s="1701"/>
      <c r="AD43" s="1025"/>
      <c r="AE43" s="172"/>
      <c r="AG43" s="1701">
        <f t="shared" si="7"/>
        <v>0</v>
      </c>
    </row>
    <row r="44" spans="1:33" ht="25.5" hidden="1" customHeight="1">
      <c r="A44" s="2684"/>
      <c r="B44" s="2115" t="s">
        <v>3541</v>
      </c>
      <c r="C44" s="1541" t="s">
        <v>583</v>
      </c>
      <c r="D44" s="2098" t="s">
        <v>587</v>
      </c>
      <c r="E44" s="2098">
        <v>3</v>
      </c>
      <c r="F44" s="1541" t="s">
        <v>588</v>
      </c>
      <c r="G44" s="2098">
        <v>9990001</v>
      </c>
      <c r="H44" s="2099" t="s">
        <v>586</v>
      </c>
      <c r="I44" s="1365">
        <v>0</v>
      </c>
      <c r="J44" s="2575">
        <v>0</v>
      </c>
      <c r="K44" s="2321">
        <v>0</v>
      </c>
      <c r="L44" s="1365">
        <f t="shared" si="18"/>
        <v>0</v>
      </c>
      <c r="M44" s="1365">
        <f t="shared" si="19"/>
        <v>0</v>
      </c>
      <c r="N44" s="1365">
        <f>+M44</f>
        <v>0</v>
      </c>
      <c r="O44" s="1365">
        <f t="shared" si="20"/>
        <v>0</v>
      </c>
      <c r="P44" s="3170"/>
      <c r="Q44" s="2409" t="e">
        <f t="shared" si="21"/>
        <v>#DIV/0!</v>
      </c>
      <c r="R44" s="2399">
        <f t="shared" si="1"/>
        <v>0</v>
      </c>
      <c r="S44" s="1365">
        <f t="shared" si="2"/>
        <v>0</v>
      </c>
      <c r="T44" s="1365">
        <f t="shared" si="3"/>
        <v>0</v>
      </c>
      <c r="U44" s="1365">
        <f t="shared" si="4"/>
        <v>0</v>
      </c>
      <c r="V44" s="1365"/>
      <c r="W44" s="2435"/>
      <c r="X44" s="2113"/>
      <c r="Z44" s="1207"/>
      <c r="AC44" s="2408"/>
      <c r="AD44" s="2651"/>
      <c r="AE44" s="172"/>
      <c r="AG44" s="2408">
        <f t="shared" si="7"/>
        <v>0</v>
      </c>
    </row>
    <row r="45" spans="1:33" ht="25.5" hidden="1" customHeight="1">
      <c r="A45" s="2684"/>
      <c r="B45" s="2097" t="s">
        <v>3181</v>
      </c>
      <c r="C45" s="1541" t="s">
        <v>512</v>
      </c>
      <c r="D45" s="2098" t="s">
        <v>589</v>
      </c>
      <c r="E45" s="2098">
        <v>3</v>
      </c>
      <c r="F45" s="1541" t="s">
        <v>590</v>
      </c>
      <c r="G45" s="2098">
        <v>9990001</v>
      </c>
      <c r="H45" s="2099" t="s">
        <v>586</v>
      </c>
      <c r="I45" s="1365">
        <v>0</v>
      </c>
      <c r="J45" s="2575">
        <v>0</v>
      </c>
      <c r="K45" s="2321">
        <v>0</v>
      </c>
      <c r="L45" s="1365">
        <f t="shared" si="18"/>
        <v>0</v>
      </c>
      <c r="M45" s="1365">
        <f>+L45</f>
        <v>0</v>
      </c>
      <c r="N45" s="1365">
        <f>+M45</f>
        <v>0</v>
      </c>
      <c r="O45" s="1365">
        <f t="shared" si="20"/>
        <v>0</v>
      </c>
      <c r="P45" s="3170"/>
      <c r="Q45" s="2409" t="e">
        <f t="shared" si="21"/>
        <v>#DIV/0!</v>
      </c>
      <c r="R45" s="2399">
        <f t="shared" si="1"/>
        <v>0</v>
      </c>
      <c r="S45" s="1365">
        <f t="shared" si="2"/>
        <v>0</v>
      </c>
      <c r="T45" s="1365">
        <f t="shared" si="3"/>
        <v>0</v>
      </c>
      <c r="U45" s="1365">
        <f t="shared" si="4"/>
        <v>0</v>
      </c>
      <c r="V45" s="1365"/>
      <c r="W45" s="2435"/>
      <c r="X45" s="2113"/>
      <c r="Z45" s="1207"/>
      <c r="AC45" s="2408"/>
      <c r="AD45" s="2651"/>
      <c r="AE45" s="172"/>
      <c r="AG45" s="2408">
        <f t="shared" si="7"/>
        <v>0</v>
      </c>
    </row>
    <row r="46" spans="1:33" ht="12.75" hidden="1" customHeight="1">
      <c r="A46" s="2684"/>
      <c r="B46" s="2097" t="s">
        <v>3180</v>
      </c>
      <c r="C46" s="1541" t="s">
        <v>569</v>
      </c>
      <c r="D46" s="2098" t="s">
        <v>570</v>
      </c>
      <c r="E46" s="2098">
        <v>3</v>
      </c>
      <c r="F46" s="1541" t="s">
        <v>571</v>
      </c>
      <c r="G46" s="2098">
        <v>9990001</v>
      </c>
      <c r="H46" s="2099" t="s">
        <v>586</v>
      </c>
      <c r="I46" s="1365">
        <v>0</v>
      </c>
      <c r="J46" s="2575">
        <v>0</v>
      </c>
      <c r="K46" s="2321">
        <v>0</v>
      </c>
      <c r="L46" s="1365">
        <f t="shared" si="18"/>
        <v>0</v>
      </c>
      <c r="M46" s="1365">
        <f>+L46</f>
        <v>0</v>
      </c>
      <c r="N46" s="1365">
        <f>+M46</f>
        <v>0</v>
      </c>
      <c r="O46" s="1365">
        <f t="shared" si="20"/>
        <v>0</v>
      </c>
      <c r="P46" s="2617">
        <v>0</v>
      </c>
      <c r="Q46" s="2409" t="e">
        <f t="shared" si="21"/>
        <v>#DIV/0!</v>
      </c>
      <c r="R46" s="2399">
        <f t="shared" si="1"/>
        <v>0</v>
      </c>
      <c r="S46" s="1365">
        <f t="shared" si="2"/>
        <v>0</v>
      </c>
      <c r="T46" s="1365">
        <f t="shared" si="3"/>
        <v>0</v>
      </c>
      <c r="U46" s="1365">
        <f t="shared" si="4"/>
        <v>0</v>
      </c>
      <c r="V46" s="1365"/>
      <c r="W46" s="2435"/>
      <c r="X46" s="2113"/>
      <c r="Z46" s="209">
        <v>0</v>
      </c>
      <c r="AC46" s="1701"/>
      <c r="AD46" s="1025"/>
      <c r="AE46" s="172"/>
      <c r="AG46" s="1701">
        <f t="shared" si="7"/>
        <v>0</v>
      </c>
    </row>
    <row r="47" spans="1:33" ht="12.75" customHeight="1">
      <c r="A47" s="2684" t="s">
        <v>404</v>
      </c>
      <c r="B47" s="2097" t="s">
        <v>159</v>
      </c>
      <c r="C47" s="1541" t="s">
        <v>512</v>
      </c>
      <c r="D47" s="2111" t="s">
        <v>567</v>
      </c>
      <c r="E47" s="2098">
        <v>3</v>
      </c>
      <c r="F47" s="1541" t="s">
        <v>534</v>
      </c>
      <c r="G47" s="2098">
        <v>9990001</v>
      </c>
      <c r="H47" s="2099" t="s">
        <v>586</v>
      </c>
      <c r="I47" s="1365">
        <f>4000000</f>
        <v>4000000</v>
      </c>
      <c r="J47" s="2575">
        <v>7785709</v>
      </c>
      <c r="K47" s="2321">
        <f>8000000</f>
        <v>8000000</v>
      </c>
      <c r="L47" s="1365">
        <f t="shared" si="18"/>
        <v>8000000</v>
      </c>
      <c r="M47" s="1365">
        <f>+L47</f>
        <v>8000000</v>
      </c>
      <c r="N47" s="1365">
        <f>+M47+669475</f>
        <v>8669475</v>
      </c>
      <c r="O47" s="1365">
        <f t="shared" si="20"/>
        <v>8669475</v>
      </c>
      <c r="P47" s="3170">
        <v>8669475</v>
      </c>
      <c r="Q47" s="2409">
        <f t="shared" si="21"/>
        <v>1</v>
      </c>
      <c r="R47" s="2399">
        <f t="shared" si="1"/>
        <v>0</v>
      </c>
      <c r="S47" s="1365">
        <f t="shared" si="2"/>
        <v>0</v>
      </c>
      <c r="T47" s="1365">
        <f t="shared" si="3"/>
        <v>669475</v>
      </c>
      <c r="U47" s="1365"/>
      <c r="V47" s="1365"/>
      <c r="W47" s="2435"/>
      <c r="X47" s="2113"/>
      <c r="Z47" s="1207">
        <v>7785709</v>
      </c>
      <c r="AC47" s="2408"/>
      <c r="AD47" s="2651"/>
      <c r="AE47" s="172"/>
      <c r="AG47" s="2408">
        <f t="shared" si="7"/>
        <v>0</v>
      </c>
    </row>
    <row r="48" spans="1:33" ht="30" customHeight="1">
      <c r="A48" s="2684" t="s">
        <v>407</v>
      </c>
      <c r="B48" s="2097" t="s">
        <v>160</v>
      </c>
      <c r="C48" s="1541" t="s">
        <v>512</v>
      </c>
      <c r="D48" s="2098" t="s">
        <v>591</v>
      </c>
      <c r="E48" s="2098">
        <v>3</v>
      </c>
      <c r="F48" s="1541" t="s">
        <v>592</v>
      </c>
      <c r="G48" s="2098">
        <v>999001</v>
      </c>
      <c r="H48" s="2099" t="s">
        <v>586</v>
      </c>
      <c r="I48" s="1365">
        <f>2468000</f>
        <v>2468000</v>
      </c>
      <c r="J48" s="2575">
        <v>2861600</v>
      </c>
      <c r="K48" s="2321">
        <f>2468000</f>
        <v>2468000</v>
      </c>
      <c r="L48" s="1365">
        <f t="shared" si="18"/>
        <v>2468000</v>
      </c>
      <c r="M48" s="1365">
        <f t="shared" si="19"/>
        <v>2468000</v>
      </c>
      <c r="N48" s="1365">
        <f>+M48-180000-270000-576712</f>
        <v>1441288</v>
      </c>
      <c r="O48" s="1365">
        <f t="shared" si="20"/>
        <v>1441288</v>
      </c>
      <c r="P48" s="3170">
        <v>1441288</v>
      </c>
      <c r="Q48" s="2409">
        <f t="shared" si="21"/>
        <v>1</v>
      </c>
      <c r="R48" s="2399">
        <f t="shared" si="1"/>
        <v>0</v>
      </c>
      <c r="S48" s="1365">
        <f t="shared" si="2"/>
        <v>0</v>
      </c>
      <c r="T48" s="1365">
        <f t="shared" si="3"/>
        <v>-1026712</v>
      </c>
      <c r="U48" s="1365">
        <f t="shared" ref="U48:U59" si="22">+O48-N48</f>
        <v>0</v>
      </c>
      <c r="V48" s="1365"/>
      <c r="W48" s="2435"/>
      <c r="X48" s="2113"/>
      <c r="Z48" s="1207">
        <v>2861600</v>
      </c>
      <c r="AC48" s="2408"/>
      <c r="AD48" s="2651"/>
      <c r="AE48" s="172"/>
      <c r="AG48" s="2408">
        <f t="shared" si="7"/>
        <v>0</v>
      </c>
    </row>
    <row r="49" spans="1:33" s="174" customFormat="1" ht="29.25" customHeight="1">
      <c r="A49" s="2683" t="s">
        <v>409</v>
      </c>
      <c r="B49" s="2110" t="s">
        <v>3403</v>
      </c>
      <c r="C49" s="1426"/>
      <c r="D49" s="2108"/>
      <c r="E49" s="2108"/>
      <c r="F49" s="2110"/>
      <c r="G49" s="2110"/>
      <c r="H49" s="2095" t="s">
        <v>586</v>
      </c>
      <c r="I49" s="1701">
        <f t="shared" ref="I49:P49" si="23">SUM(I43:I48)</f>
        <v>6468000</v>
      </c>
      <c r="J49" s="2576">
        <f t="shared" si="23"/>
        <v>10647309</v>
      </c>
      <c r="K49" s="2325">
        <f t="shared" si="23"/>
        <v>10468000</v>
      </c>
      <c r="L49" s="1701">
        <f t="shared" si="23"/>
        <v>10468000</v>
      </c>
      <c r="M49" s="1701">
        <f t="shared" si="23"/>
        <v>10468000</v>
      </c>
      <c r="N49" s="1701">
        <f t="shared" si="23"/>
        <v>10110763</v>
      </c>
      <c r="O49" s="1701">
        <f t="shared" si="23"/>
        <v>10110763</v>
      </c>
      <c r="P49" s="2617">
        <f t="shared" si="23"/>
        <v>10110763</v>
      </c>
      <c r="Q49" s="2411">
        <f t="shared" si="21"/>
        <v>1</v>
      </c>
      <c r="R49" s="2401">
        <f t="shared" si="1"/>
        <v>0</v>
      </c>
      <c r="S49" s="1701">
        <f t="shared" si="2"/>
        <v>0</v>
      </c>
      <c r="T49" s="1701">
        <f t="shared" si="3"/>
        <v>-357237</v>
      </c>
      <c r="U49" s="1701">
        <f t="shared" si="22"/>
        <v>0</v>
      </c>
      <c r="V49" s="1701"/>
      <c r="W49" s="2438"/>
      <c r="X49" s="2113"/>
      <c r="Y49" s="171"/>
      <c r="Z49" s="209">
        <f>SUM(Z43:Z48)</f>
        <v>10647309</v>
      </c>
      <c r="AC49" s="1701"/>
      <c r="AD49" s="1025"/>
      <c r="AE49" s="172"/>
      <c r="AF49" s="173"/>
      <c r="AG49" s="1701">
        <f t="shared" si="7"/>
        <v>0</v>
      </c>
    </row>
    <row r="50" spans="1:33">
      <c r="A50" s="2683" t="s">
        <v>410</v>
      </c>
      <c r="B50" s="2110" t="s">
        <v>3404</v>
      </c>
      <c r="C50" s="1426"/>
      <c r="D50" s="2108"/>
      <c r="E50" s="2108"/>
      <c r="F50" s="2110"/>
      <c r="G50" s="2110"/>
      <c r="H50" s="2095" t="s">
        <v>593</v>
      </c>
      <c r="I50" s="1701">
        <f t="shared" ref="I50:P50" si="24">+I42+I49</f>
        <v>6468000</v>
      </c>
      <c r="J50" s="2576">
        <f t="shared" si="24"/>
        <v>10647309</v>
      </c>
      <c r="K50" s="2325">
        <f t="shared" si="24"/>
        <v>10468000</v>
      </c>
      <c r="L50" s="1701">
        <f t="shared" si="24"/>
        <v>10468000</v>
      </c>
      <c r="M50" s="1701">
        <f t="shared" si="24"/>
        <v>10468000</v>
      </c>
      <c r="N50" s="1701">
        <f t="shared" si="24"/>
        <v>10110763</v>
      </c>
      <c r="O50" s="1701">
        <f t="shared" si="24"/>
        <v>10110763</v>
      </c>
      <c r="P50" s="2617">
        <f t="shared" si="24"/>
        <v>10110763</v>
      </c>
      <c r="Q50" s="2411">
        <f t="shared" si="21"/>
        <v>1</v>
      </c>
      <c r="R50" s="2401">
        <f t="shared" si="1"/>
        <v>0</v>
      </c>
      <c r="S50" s="1701">
        <f t="shared" si="2"/>
        <v>0</v>
      </c>
      <c r="T50" s="1701">
        <f t="shared" si="3"/>
        <v>-357237</v>
      </c>
      <c r="U50" s="1701">
        <f t="shared" si="22"/>
        <v>0</v>
      </c>
      <c r="V50" s="1701"/>
      <c r="W50" s="2438"/>
      <c r="X50" s="2113"/>
      <c r="Z50" s="209">
        <f>+Z42+Z49</f>
        <v>10647309</v>
      </c>
      <c r="AC50" s="1701"/>
      <c r="AD50" s="1025">
        <v>10647309</v>
      </c>
      <c r="AE50" s="172">
        <f t="shared" si="6"/>
        <v>0</v>
      </c>
      <c r="AG50" s="1701">
        <f t="shared" si="7"/>
        <v>0</v>
      </c>
    </row>
    <row r="51" spans="1:33">
      <c r="A51" s="2684" t="s">
        <v>411</v>
      </c>
      <c r="B51" s="2097" t="s">
        <v>3350</v>
      </c>
      <c r="C51" s="1541" t="s">
        <v>512</v>
      </c>
      <c r="D51" s="2098" t="s">
        <v>594</v>
      </c>
      <c r="E51" s="2098">
        <v>2</v>
      </c>
      <c r="F51" s="1541" t="s">
        <v>595</v>
      </c>
      <c r="G51" s="1541">
        <v>9990001</v>
      </c>
      <c r="H51" s="2095" t="s">
        <v>596</v>
      </c>
      <c r="I51" s="1365">
        <f>44120000</f>
        <v>44120000</v>
      </c>
      <c r="J51" s="2575">
        <v>0</v>
      </c>
      <c r="K51" s="2321">
        <v>48090000</v>
      </c>
      <c r="L51" s="1365">
        <f t="shared" ref="L51:L57" si="25">+K51</f>
        <v>48090000</v>
      </c>
      <c r="M51" s="1365">
        <f>+L51-48090000</f>
        <v>0</v>
      </c>
      <c r="N51" s="1365">
        <f t="shared" ref="N51:O57" si="26">+M51</f>
        <v>0</v>
      </c>
      <c r="O51" s="1365">
        <f t="shared" si="26"/>
        <v>0</v>
      </c>
      <c r="P51" s="3170">
        <f>0</f>
        <v>0</v>
      </c>
      <c r="Q51" s="2409"/>
      <c r="R51" s="2399">
        <f t="shared" si="1"/>
        <v>0</v>
      </c>
      <c r="S51" s="1365">
        <f t="shared" si="2"/>
        <v>-48090000</v>
      </c>
      <c r="T51" s="1365">
        <f t="shared" si="3"/>
        <v>0</v>
      </c>
      <c r="U51" s="1365">
        <f t="shared" si="22"/>
        <v>0</v>
      </c>
      <c r="V51" s="1365"/>
      <c r="W51" s="2435"/>
      <c r="X51" s="2113"/>
      <c r="Z51" s="1207">
        <f>0</f>
        <v>0</v>
      </c>
      <c r="AC51" s="2408"/>
      <c r="AD51" s="2651">
        <v>0</v>
      </c>
      <c r="AE51" s="172">
        <f t="shared" si="6"/>
        <v>0</v>
      </c>
      <c r="AG51" s="2408">
        <f t="shared" si="7"/>
        <v>0</v>
      </c>
    </row>
    <row r="52" spans="1:33" ht="18" customHeight="1">
      <c r="A52" s="2684" t="s">
        <v>412</v>
      </c>
      <c r="B52" s="2097" t="s">
        <v>3351</v>
      </c>
      <c r="C52" s="1541" t="s">
        <v>583</v>
      </c>
      <c r="D52" s="2098" t="s">
        <v>591</v>
      </c>
      <c r="E52" s="2098">
        <v>3</v>
      </c>
      <c r="F52" s="1541" t="s">
        <v>592</v>
      </c>
      <c r="G52" s="1541">
        <v>9990001</v>
      </c>
      <c r="H52" s="1426" t="s">
        <v>597</v>
      </c>
      <c r="I52" s="1365">
        <f>132000000</f>
        <v>132000000</v>
      </c>
      <c r="J52" s="2575">
        <v>0</v>
      </c>
      <c r="K52" s="2321">
        <v>133185190</v>
      </c>
      <c r="L52" s="1365">
        <f>+K52</f>
        <v>133185190</v>
      </c>
      <c r="M52" s="1365">
        <f>+L52-133185190</f>
        <v>0</v>
      </c>
      <c r="N52" s="1365">
        <f t="shared" si="26"/>
        <v>0</v>
      </c>
      <c r="O52" s="1365">
        <f t="shared" si="26"/>
        <v>0</v>
      </c>
      <c r="P52" s="3170">
        <f>0</f>
        <v>0</v>
      </c>
      <c r="Q52" s="2409"/>
      <c r="R52" s="2399">
        <f t="shared" si="1"/>
        <v>0</v>
      </c>
      <c r="S52" s="1365">
        <f t="shared" si="2"/>
        <v>-133185190</v>
      </c>
      <c r="T52" s="1365">
        <f t="shared" si="3"/>
        <v>0</v>
      </c>
      <c r="U52" s="1365">
        <f t="shared" si="22"/>
        <v>0</v>
      </c>
      <c r="V52" s="1365"/>
      <c r="W52" s="2435"/>
      <c r="X52" s="2113"/>
      <c r="Z52" s="1207">
        <f>0</f>
        <v>0</v>
      </c>
      <c r="AC52" s="2408"/>
      <c r="AD52" s="2651">
        <v>0</v>
      </c>
      <c r="AE52" s="172">
        <f t="shared" si="6"/>
        <v>0</v>
      </c>
      <c r="AG52" s="2408">
        <f t="shared" si="7"/>
        <v>0</v>
      </c>
    </row>
    <row r="53" spans="1:33" ht="17.25" customHeight="1">
      <c r="A53" s="2684" t="s">
        <v>413</v>
      </c>
      <c r="B53" s="2097" t="s">
        <v>3476</v>
      </c>
      <c r="C53" s="1541" t="s">
        <v>512</v>
      </c>
      <c r="D53" s="2095" t="s">
        <v>598</v>
      </c>
      <c r="E53" s="1701">
        <v>2</v>
      </c>
      <c r="F53" s="1541" t="s">
        <v>514</v>
      </c>
      <c r="G53" s="1541" t="s">
        <v>572</v>
      </c>
      <c r="H53" s="2095" t="s">
        <v>519</v>
      </c>
      <c r="I53" s="1365">
        <f>0</f>
        <v>0</v>
      </c>
      <c r="J53" s="2575">
        <v>0</v>
      </c>
      <c r="K53" s="2321">
        <f>0+5000000</f>
        <v>5000000</v>
      </c>
      <c r="L53" s="1365">
        <f>+K53</f>
        <v>5000000</v>
      </c>
      <c r="M53" s="1365">
        <f>+L53-5000000</f>
        <v>0</v>
      </c>
      <c r="N53" s="1365">
        <f t="shared" si="26"/>
        <v>0</v>
      </c>
      <c r="O53" s="1365">
        <f t="shared" si="26"/>
        <v>0</v>
      </c>
      <c r="P53" s="2618">
        <v>0</v>
      </c>
      <c r="Q53" s="2409"/>
      <c r="R53" s="2399">
        <f t="shared" si="1"/>
        <v>0</v>
      </c>
      <c r="S53" s="1365">
        <f t="shared" si="2"/>
        <v>-5000000</v>
      </c>
      <c r="T53" s="1365">
        <f t="shared" si="3"/>
        <v>0</v>
      </c>
      <c r="U53" s="1365">
        <f t="shared" si="22"/>
        <v>0</v>
      </c>
      <c r="V53" s="1365"/>
      <c r="W53" s="2435"/>
      <c r="X53" s="2113"/>
      <c r="Z53" s="216">
        <v>0</v>
      </c>
      <c r="AC53" s="2413"/>
      <c r="AD53" s="1014">
        <v>0</v>
      </c>
      <c r="AE53" s="172">
        <f t="shared" si="6"/>
        <v>0</v>
      </c>
      <c r="AG53" s="2413">
        <f t="shared" si="7"/>
        <v>0</v>
      </c>
    </row>
    <row r="54" spans="1:33" ht="25.5" hidden="1">
      <c r="A54" s="2683"/>
      <c r="B54" s="2097" t="s">
        <v>3275</v>
      </c>
      <c r="C54" s="1541" t="s">
        <v>512</v>
      </c>
      <c r="D54" s="2095" t="s">
        <v>3278</v>
      </c>
      <c r="E54" s="1701">
        <v>3</v>
      </c>
      <c r="F54" s="1541" t="s">
        <v>2421</v>
      </c>
      <c r="G54" s="1541" t="s">
        <v>572</v>
      </c>
      <c r="H54" s="2095" t="s">
        <v>602</v>
      </c>
      <c r="I54" s="1365">
        <v>0</v>
      </c>
      <c r="J54" s="2575">
        <v>0</v>
      </c>
      <c r="K54" s="2321">
        <v>0</v>
      </c>
      <c r="L54" s="1365">
        <f>+K54</f>
        <v>0</v>
      </c>
      <c r="M54" s="1365">
        <f>+L54</f>
        <v>0</v>
      </c>
      <c r="N54" s="1365">
        <f t="shared" si="26"/>
        <v>0</v>
      </c>
      <c r="O54" s="1365">
        <f t="shared" si="26"/>
        <v>0</v>
      </c>
      <c r="P54" s="2618">
        <f>0</f>
        <v>0</v>
      </c>
      <c r="Q54" s="2409" t="e">
        <f t="shared" si="21"/>
        <v>#DIV/0!</v>
      </c>
      <c r="R54" s="2399">
        <f t="shared" si="1"/>
        <v>0</v>
      </c>
      <c r="S54" s="1365">
        <f t="shared" si="2"/>
        <v>0</v>
      </c>
      <c r="T54" s="1365">
        <f t="shared" si="3"/>
        <v>0</v>
      </c>
      <c r="U54" s="1365">
        <f t="shared" si="22"/>
        <v>0</v>
      </c>
      <c r="V54" s="1365"/>
      <c r="W54" s="2435"/>
      <c r="X54" s="2113"/>
      <c r="Z54" s="192">
        <f>0</f>
        <v>0</v>
      </c>
      <c r="AC54" s="1365"/>
      <c r="AD54" s="1014">
        <v>0</v>
      </c>
      <c r="AE54" s="172">
        <f t="shared" si="6"/>
        <v>0</v>
      </c>
      <c r="AG54" s="1365">
        <f t="shared" si="7"/>
        <v>0</v>
      </c>
    </row>
    <row r="55" spans="1:33" ht="25.5" hidden="1">
      <c r="A55" s="2683"/>
      <c r="B55" s="2097" t="s">
        <v>3291</v>
      </c>
      <c r="C55" s="1541" t="s">
        <v>599</v>
      </c>
      <c r="D55" s="2116" t="s">
        <v>600</v>
      </c>
      <c r="E55" s="1701">
        <v>3</v>
      </c>
      <c r="F55" s="1541" t="s">
        <v>3292</v>
      </c>
      <c r="G55" s="1541"/>
      <c r="H55" s="2095"/>
      <c r="I55" s="1365">
        <v>0</v>
      </c>
      <c r="J55" s="2575">
        <v>0</v>
      </c>
      <c r="K55" s="2321">
        <v>0</v>
      </c>
      <c r="L55" s="1365">
        <f t="shared" si="25"/>
        <v>0</v>
      </c>
      <c r="M55" s="1365">
        <f>+L55</f>
        <v>0</v>
      </c>
      <c r="N55" s="1365">
        <f t="shared" si="26"/>
        <v>0</v>
      </c>
      <c r="O55" s="1365">
        <f t="shared" si="26"/>
        <v>0</v>
      </c>
      <c r="P55" s="3170">
        <v>0</v>
      </c>
      <c r="Q55" s="2409" t="e">
        <f t="shared" si="21"/>
        <v>#DIV/0!</v>
      </c>
      <c r="R55" s="2399">
        <f t="shared" si="1"/>
        <v>0</v>
      </c>
      <c r="S55" s="1365">
        <f t="shared" si="2"/>
        <v>0</v>
      </c>
      <c r="T55" s="1365">
        <f t="shared" si="3"/>
        <v>0</v>
      </c>
      <c r="U55" s="1365">
        <f t="shared" si="22"/>
        <v>0</v>
      </c>
      <c r="V55" s="1365"/>
      <c r="W55" s="2435"/>
      <c r="X55" s="2113"/>
      <c r="Z55" s="1207">
        <v>0</v>
      </c>
      <c r="AC55" s="2408"/>
      <c r="AD55" s="2651">
        <v>0</v>
      </c>
      <c r="AE55" s="172">
        <f t="shared" si="6"/>
        <v>0</v>
      </c>
      <c r="AG55" s="2408">
        <f t="shared" si="7"/>
        <v>0</v>
      </c>
    </row>
    <row r="56" spans="1:33" hidden="1">
      <c r="A56" s="2683"/>
      <c r="B56" s="2097" t="s">
        <v>603</v>
      </c>
      <c r="C56" s="1541"/>
      <c r="D56" s="2098"/>
      <c r="E56" s="2098"/>
      <c r="F56" s="2097"/>
      <c r="G56" s="2097"/>
      <c r="H56" s="2099" t="s">
        <v>604</v>
      </c>
      <c r="I56" s="1365">
        <v>0</v>
      </c>
      <c r="J56" s="2575">
        <v>0</v>
      </c>
      <c r="K56" s="2321">
        <v>0</v>
      </c>
      <c r="L56" s="1365">
        <f t="shared" si="25"/>
        <v>0</v>
      </c>
      <c r="M56" s="1365">
        <f>+L56</f>
        <v>0</v>
      </c>
      <c r="N56" s="1365">
        <f>+M56</f>
        <v>0</v>
      </c>
      <c r="O56" s="1365">
        <f t="shared" si="26"/>
        <v>0</v>
      </c>
      <c r="P56" s="2618">
        <v>0</v>
      </c>
      <c r="Q56" s="2409" t="e">
        <f t="shared" si="21"/>
        <v>#DIV/0!</v>
      </c>
      <c r="R56" s="2399">
        <f t="shared" si="1"/>
        <v>0</v>
      </c>
      <c r="S56" s="1365">
        <f t="shared" si="2"/>
        <v>0</v>
      </c>
      <c r="T56" s="1365">
        <f t="shared" si="3"/>
        <v>0</v>
      </c>
      <c r="U56" s="1365">
        <f t="shared" si="22"/>
        <v>0</v>
      </c>
      <c r="V56" s="1365"/>
      <c r="W56" s="2435"/>
      <c r="X56" s="2113"/>
      <c r="Z56" s="192">
        <v>0</v>
      </c>
      <c r="AC56" s="1365"/>
      <c r="AD56" s="1014">
        <v>0</v>
      </c>
      <c r="AE56" s="172">
        <f t="shared" si="6"/>
        <v>0</v>
      </c>
      <c r="AG56" s="1365">
        <f t="shared" si="7"/>
        <v>0</v>
      </c>
    </row>
    <row r="57" spans="1:33" ht="20.25" hidden="1" customHeight="1">
      <c r="A57" s="2688"/>
      <c r="B57" s="2117"/>
      <c r="C57" s="2118"/>
      <c r="D57" s="2119"/>
      <c r="E57" s="2119"/>
      <c r="F57" s="1874"/>
      <c r="G57" s="1874"/>
      <c r="H57" s="1874" t="s">
        <v>605</v>
      </c>
      <c r="I57" s="1365">
        <v>0</v>
      </c>
      <c r="J57" s="2575">
        <v>0</v>
      </c>
      <c r="K57" s="2321">
        <f>0</f>
        <v>0</v>
      </c>
      <c r="L57" s="1365">
        <f t="shared" si="25"/>
        <v>0</v>
      </c>
      <c r="M57" s="1365">
        <f>+L57</f>
        <v>0</v>
      </c>
      <c r="N57" s="1365">
        <f>+M57</f>
        <v>0</v>
      </c>
      <c r="O57" s="1365">
        <f t="shared" si="26"/>
        <v>0</v>
      </c>
      <c r="P57" s="2618">
        <v>0</v>
      </c>
      <c r="Q57" s="2409" t="e">
        <f t="shared" si="21"/>
        <v>#DIV/0!</v>
      </c>
      <c r="R57" s="2399">
        <f t="shared" si="1"/>
        <v>0</v>
      </c>
      <c r="S57" s="1365">
        <f t="shared" si="2"/>
        <v>0</v>
      </c>
      <c r="T57" s="1365">
        <f t="shared" si="3"/>
        <v>0</v>
      </c>
      <c r="U57" s="1365">
        <f t="shared" si="22"/>
        <v>0</v>
      </c>
      <c r="V57" s="1365"/>
      <c r="W57" s="2435"/>
      <c r="X57" s="2113"/>
      <c r="Z57" s="216">
        <v>0</v>
      </c>
      <c r="AC57" s="2413"/>
      <c r="AD57" s="1014">
        <v>0</v>
      </c>
      <c r="AE57" s="172">
        <f t="shared" si="6"/>
        <v>0</v>
      </c>
      <c r="AG57" s="2413">
        <f t="shared" si="7"/>
        <v>0</v>
      </c>
    </row>
    <row r="58" spans="1:33" ht="24.75" customHeight="1">
      <c r="A58" s="2683" t="s">
        <v>417</v>
      </c>
      <c r="B58" s="2110" t="s">
        <v>3405</v>
      </c>
      <c r="C58" s="1426"/>
      <c r="D58" s="2108"/>
      <c r="E58" s="2108"/>
      <c r="F58" s="2110"/>
      <c r="G58" s="2110"/>
      <c r="H58" s="2095" t="s">
        <v>606</v>
      </c>
      <c r="I58" s="1701">
        <f t="shared" ref="I58:P58" si="27">+I38+I39+I50+I51+I52+I53+I54+I55+I56+I57</f>
        <v>186353000</v>
      </c>
      <c r="J58" s="2576">
        <f t="shared" si="27"/>
        <v>16797309</v>
      </c>
      <c r="K58" s="2325">
        <f t="shared" si="27"/>
        <v>200793190</v>
      </c>
      <c r="L58" s="1701">
        <f t="shared" si="27"/>
        <v>200793190</v>
      </c>
      <c r="M58" s="1701">
        <f t="shared" si="27"/>
        <v>14518000</v>
      </c>
      <c r="N58" s="1701">
        <f t="shared" si="27"/>
        <v>14610763</v>
      </c>
      <c r="O58" s="1701">
        <f t="shared" si="27"/>
        <v>14610763</v>
      </c>
      <c r="P58" s="2617">
        <f t="shared" si="27"/>
        <v>14610763</v>
      </c>
      <c r="Q58" s="2411">
        <f t="shared" si="21"/>
        <v>1</v>
      </c>
      <c r="R58" s="2399">
        <f t="shared" si="1"/>
        <v>0</v>
      </c>
      <c r="S58" s="1365">
        <f t="shared" si="2"/>
        <v>-186275190</v>
      </c>
      <c r="T58" s="1365">
        <f t="shared" si="3"/>
        <v>92763</v>
      </c>
      <c r="U58" s="1365">
        <f t="shared" si="22"/>
        <v>0</v>
      </c>
      <c r="V58" s="1365"/>
      <c r="W58" s="2435"/>
      <c r="X58" s="2113"/>
      <c r="Z58" s="209">
        <f>+Z38+Z39+Z50+Z51+Z52+Z53+Z54+Z55+Z56+Z57</f>
        <v>14217309</v>
      </c>
      <c r="AC58" s="1701">
        <v>14610763</v>
      </c>
      <c r="AD58" s="1025">
        <v>16797309</v>
      </c>
      <c r="AE58" s="172">
        <f t="shared" si="6"/>
        <v>0</v>
      </c>
      <c r="AF58" s="172">
        <f>+P58-AC58</f>
        <v>0</v>
      </c>
      <c r="AG58" s="1701">
        <f t="shared" si="7"/>
        <v>0</v>
      </c>
    </row>
    <row r="59" spans="1:33" ht="18.75">
      <c r="A59" s="2683" t="s">
        <v>450</v>
      </c>
      <c r="B59" s="2120" t="s">
        <v>3406</v>
      </c>
      <c r="C59" s="2121"/>
      <c r="D59" s="2122"/>
      <c r="E59" s="2122"/>
      <c r="F59" s="2123"/>
      <c r="G59" s="2123"/>
      <c r="H59" s="2120"/>
      <c r="I59" s="2123">
        <f t="shared" ref="I59:P59" si="28">+I18+I20+I21+I27+I33+I58</f>
        <v>6721524723</v>
      </c>
      <c r="J59" s="2577">
        <f t="shared" si="28"/>
        <v>6600480820</v>
      </c>
      <c r="K59" s="2326">
        <f t="shared" si="28"/>
        <v>6836737384</v>
      </c>
      <c r="L59" s="2123">
        <f t="shared" si="28"/>
        <v>7244284749</v>
      </c>
      <c r="M59" s="2123">
        <f t="shared" si="28"/>
        <v>7244284749</v>
      </c>
      <c r="N59" s="2123">
        <f t="shared" si="28"/>
        <v>7497295099</v>
      </c>
      <c r="O59" s="2123">
        <f t="shared" si="28"/>
        <v>7497295099</v>
      </c>
      <c r="P59" s="3177">
        <f t="shared" si="28"/>
        <v>7497295099</v>
      </c>
      <c r="Q59" s="2415">
        <f t="shared" si="21"/>
        <v>1</v>
      </c>
      <c r="R59" s="2402">
        <f t="shared" si="1"/>
        <v>407547365</v>
      </c>
      <c r="S59" s="2123">
        <f t="shared" si="2"/>
        <v>0</v>
      </c>
      <c r="T59" s="2123">
        <f t="shared" si="3"/>
        <v>253010350</v>
      </c>
      <c r="U59" s="2123">
        <f t="shared" si="22"/>
        <v>0</v>
      </c>
      <c r="V59" s="2123"/>
      <c r="W59" s="2440"/>
      <c r="X59" s="2113"/>
      <c r="Z59" s="222">
        <f>+Z18+Z20+Z21+Z27+Z33+Z58</f>
        <v>5629955077</v>
      </c>
      <c r="AC59" s="2414">
        <v>7497295099</v>
      </c>
      <c r="AD59" s="1096">
        <v>6600480820</v>
      </c>
      <c r="AE59" s="172">
        <f t="shared" si="6"/>
        <v>0</v>
      </c>
      <c r="AF59" s="2414">
        <f>+P59-AC59</f>
        <v>0</v>
      </c>
      <c r="AG59" s="2414">
        <f t="shared" si="7"/>
        <v>0</v>
      </c>
    </row>
    <row r="60" spans="1:33" ht="19.5" hidden="1" customHeight="1">
      <c r="A60" s="2683"/>
      <c r="B60" s="1423"/>
      <c r="C60" s="2095"/>
      <c r="D60" s="1423"/>
      <c r="E60" s="1423"/>
      <c r="F60" s="1423"/>
      <c r="G60" s="1423"/>
      <c r="H60" s="1423"/>
      <c r="I60" s="1423"/>
      <c r="J60" s="2578"/>
      <c r="K60" s="2327"/>
      <c r="L60" s="1423"/>
      <c r="M60" s="1423"/>
      <c r="N60" s="1423"/>
      <c r="O60" s="1423"/>
      <c r="P60" s="2615"/>
      <c r="Q60" s="2416"/>
      <c r="R60" s="2403"/>
      <c r="S60" s="1423"/>
      <c r="T60" s="1423"/>
      <c r="U60" s="1423"/>
      <c r="V60" s="1423"/>
      <c r="W60" s="2433"/>
      <c r="X60" s="2113"/>
      <c r="Z60" s="179"/>
      <c r="AC60" s="1423"/>
      <c r="AD60" s="2654"/>
      <c r="AE60" s="172">
        <f t="shared" si="6"/>
        <v>0</v>
      </c>
      <c r="AG60" s="1423">
        <f t="shared" si="7"/>
        <v>0</v>
      </c>
    </row>
    <row r="61" spans="1:33" hidden="1">
      <c r="A61" s="2683"/>
      <c r="B61" s="2097" t="s">
        <v>607</v>
      </c>
      <c r="C61" s="1541"/>
      <c r="D61" s="2098"/>
      <c r="E61" s="2098"/>
      <c r="F61" s="2097"/>
      <c r="G61" s="2097"/>
      <c r="H61" s="2095" t="s">
        <v>608</v>
      </c>
      <c r="I61" s="1365"/>
      <c r="J61" s="2575"/>
      <c r="K61" s="2321"/>
      <c r="L61" s="1365"/>
      <c r="M61" s="1365"/>
      <c r="N61" s="1365"/>
      <c r="O61" s="1365"/>
      <c r="P61" s="2617"/>
      <c r="Q61" s="2409"/>
      <c r="R61" s="2399">
        <f t="shared" ref="R61:U64" si="29">+L61-K61</f>
        <v>0</v>
      </c>
      <c r="S61" s="1365">
        <f t="shared" si="29"/>
        <v>0</v>
      </c>
      <c r="T61" s="1365">
        <f t="shared" si="29"/>
        <v>0</v>
      </c>
      <c r="U61" s="1365">
        <f t="shared" si="29"/>
        <v>0</v>
      </c>
      <c r="V61" s="1365"/>
      <c r="W61" s="2435"/>
      <c r="X61" s="2113"/>
      <c r="Z61" s="209"/>
      <c r="AC61" s="1701"/>
      <c r="AD61" s="1025"/>
      <c r="AE61" s="172">
        <f t="shared" si="6"/>
        <v>0</v>
      </c>
      <c r="AG61" s="1701">
        <f t="shared" si="7"/>
        <v>0</v>
      </c>
    </row>
    <row r="62" spans="1:33" hidden="1">
      <c r="A62" s="2683"/>
      <c r="B62" s="2110" t="s">
        <v>609</v>
      </c>
      <c r="C62" s="1426"/>
      <c r="D62" s="2108"/>
      <c r="E62" s="2108"/>
      <c r="F62" s="2110"/>
      <c r="G62" s="2110"/>
      <c r="H62" s="2095" t="s">
        <v>610</v>
      </c>
      <c r="I62" s="1701">
        <f>SUM(I61:I61)</f>
        <v>0</v>
      </c>
      <c r="J62" s="2576">
        <v>0</v>
      </c>
      <c r="K62" s="2325">
        <f t="shared" ref="K62:P62" si="30">SUM(K61:K61)</f>
        <v>0</v>
      </c>
      <c r="L62" s="1701">
        <f t="shared" si="30"/>
        <v>0</v>
      </c>
      <c r="M62" s="1701">
        <f t="shared" si="30"/>
        <v>0</v>
      </c>
      <c r="N62" s="1701">
        <f t="shared" si="30"/>
        <v>0</v>
      </c>
      <c r="O62" s="1701">
        <f t="shared" si="30"/>
        <v>0</v>
      </c>
      <c r="P62" s="2617">
        <f t="shared" si="30"/>
        <v>0</v>
      </c>
      <c r="Q62" s="2411"/>
      <c r="R62" s="2401">
        <f t="shared" si="29"/>
        <v>0</v>
      </c>
      <c r="S62" s="1701">
        <f t="shared" si="29"/>
        <v>0</v>
      </c>
      <c r="T62" s="1701">
        <f t="shared" si="29"/>
        <v>0</v>
      </c>
      <c r="U62" s="1701">
        <f t="shared" si="29"/>
        <v>0</v>
      </c>
      <c r="V62" s="1701"/>
      <c r="W62" s="2438"/>
      <c r="X62" s="2113"/>
      <c r="Z62" s="209">
        <f>SUM(Z61:Z61)</f>
        <v>0</v>
      </c>
      <c r="AC62" s="1701"/>
      <c r="AD62" s="1025">
        <v>0</v>
      </c>
      <c r="AE62" s="172">
        <f t="shared" si="6"/>
        <v>0</v>
      </c>
      <c r="AG62" s="1701">
        <f t="shared" si="7"/>
        <v>0</v>
      </c>
    </row>
    <row r="63" spans="1:33" hidden="1">
      <c r="A63" s="2683"/>
      <c r="B63" s="2110" t="s">
        <v>611</v>
      </c>
      <c r="C63" s="1426"/>
      <c r="D63" s="2108"/>
      <c r="E63" s="2108"/>
      <c r="F63" s="2110"/>
      <c r="G63" s="2110"/>
      <c r="H63" s="2095" t="s">
        <v>612</v>
      </c>
      <c r="I63" s="1701">
        <f>+J62</f>
        <v>0</v>
      </c>
      <c r="J63" s="2576">
        <v>0</v>
      </c>
      <c r="K63" s="2325">
        <f>+L62</f>
        <v>0</v>
      </c>
      <c r="L63" s="1701">
        <f>+M62</f>
        <v>0</v>
      </c>
      <c r="M63" s="1701">
        <f>+N62</f>
        <v>0</v>
      </c>
      <c r="N63" s="1701">
        <f>+O62</f>
        <v>0</v>
      </c>
      <c r="O63" s="1701">
        <f>+P62</f>
        <v>0</v>
      </c>
      <c r="P63" s="2617">
        <f>+R62</f>
        <v>0</v>
      </c>
      <c r="Q63" s="2411"/>
      <c r="R63" s="2401">
        <f t="shared" si="29"/>
        <v>0</v>
      </c>
      <c r="S63" s="1701">
        <f t="shared" si="29"/>
        <v>0</v>
      </c>
      <c r="T63" s="1701">
        <f t="shared" si="29"/>
        <v>0</v>
      </c>
      <c r="U63" s="1701">
        <f t="shared" si="29"/>
        <v>0</v>
      </c>
      <c r="V63" s="1701"/>
      <c r="W63" s="2438"/>
      <c r="X63" s="2113"/>
      <c r="Z63" s="209">
        <f>+AB62</f>
        <v>0</v>
      </c>
      <c r="AC63" s="1701"/>
      <c r="AD63" s="1025">
        <v>0</v>
      </c>
      <c r="AE63" s="172">
        <f t="shared" si="6"/>
        <v>0</v>
      </c>
      <c r="AG63" s="1701">
        <f t="shared" si="7"/>
        <v>0</v>
      </c>
    </row>
    <row r="64" spans="1:33">
      <c r="A64" s="2684" t="s">
        <v>1379</v>
      </c>
      <c r="B64" s="2097" t="s">
        <v>613</v>
      </c>
      <c r="C64" s="1541" t="s">
        <v>614</v>
      </c>
      <c r="D64" s="2098" t="s">
        <v>615</v>
      </c>
      <c r="E64" s="2098">
        <v>2</v>
      </c>
      <c r="F64" s="1541" t="s">
        <v>595</v>
      </c>
      <c r="G64" s="1541">
        <v>9990001</v>
      </c>
      <c r="H64" s="2099" t="s">
        <v>616</v>
      </c>
      <c r="I64" s="1701">
        <f>630000000+30000000</f>
        <v>660000000</v>
      </c>
      <c r="J64" s="2576">
        <v>643469180</v>
      </c>
      <c r="K64" s="2325">
        <f>800000000</f>
        <v>800000000</v>
      </c>
      <c r="L64" s="1701">
        <f t="shared" ref="L64:O66" si="31">+K64</f>
        <v>800000000</v>
      </c>
      <c r="M64" s="1701">
        <f t="shared" si="31"/>
        <v>800000000</v>
      </c>
      <c r="N64" s="1701">
        <f>+M64-4804665</f>
        <v>795195335</v>
      </c>
      <c r="O64" s="1701">
        <f t="shared" si="31"/>
        <v>795195335</v>
      </c>
      <c r="P64" s="3175">
        <v>795195335</v>
      </c>
      <c r="Q64" s="2411">
        <f>+P64/N64</f>
        <v>1</v>
      </c>
      <c r="R64" s="2401">
        <f t="shared" si="29"/>
        <v>0</v>
      </c>
      <c r="S64" s="1701">
        <f t="shared" si="29"/>
        <v>0</v>
      </c>
      <c r="T64" s="1701">
        <f t="shared" si="29"/>
        <v>-4804665</v>
      </c>
      <c r="U64" s="1701">
        <f t="shared" si="29"/>
        <v>0</v>
      </c>
      <c r="V64" s="1701"/>
      <c r="W64" s="2438"/>
      <c r="X64" s="2113"/>
      <c r="Z64" s="225">
        <v>619629978</v>
      </c>
      <c r="AC64" s="2410"/>
      <c r="AD64" s="2652">
        <v>643469180</v>
      </c>
      <c r="AE64" s="172">
        <f t="shared" si="6"/>
        <v>0</v>
      </c>
      <c r="AG64" s="2410">
        <f t="shared" si="7"/>
        <v>0</v>
      </c>
    </row>
    <row r="65" spans="1:33" hidden="1">
      <c r="A65" s="2684"/>
      <c r="B65" s="2097" t="s">
        <v>617</v>
      </c>
      <c r="C65" s="1541"/>
      <c r="D65" s="2098" t="s">
        <v>618</v>
      </c>
      <c r="E65" s="2098"/>
      <c r="F65" s="1541"/>
      <c r="G65" s="1541"/>
      <c r="H65" s="2099"/>
      <c r="I65" s="1701">
        <v>0</v>
      </c>
      <c r="J65" s="2576">
        <v>0</v>
      </c>
      <c r="K65" s="2325">
        <v>0</v>
      </c>
      <c r="L65" s="1701">
        <f>+K65</f>
        <v>0</v>
      </c>
      <c r="M65" s="1701">
        <f t="shared" si="31"/>
        <v>0</v>
      </c>
      <c r="N65" s="1701">
        <f t="shared" si="31"/>
        <v>0</v>
      </c>
      <c r="O65" s="1701">
        <f t="shared" si="31"/>
        <v>0</v>
      </c>
      <c r="P65" s="2617"/>
      <c r="Q65" s="2411"/>
      <c r="R65" s="2401"/>
      <c r="S65" s="1701"/>
      <c r="T65" s="1701"/>
      <c r="U65" s="1701"/>
      <c r="V65" s="1701"/>
      <c r="W65" s="2438"/>
      <c r="X65" s="2113"/>
      <c r="Z65" s="226"/>
      <c r="AC65" s="2417"/>
      <c r="AD65" s="1025"/>
      <c r="AE65" s="172">
        <f t="shared" si="6"/>
        <v>0</v>
      </c>
      <c r="AG65" s="2417">
        <f t="shared" si="7"/>
        <v>0</v>
      </c>
    </row>
    <row r="66" spans="1:33">
      <c r="A66" s="2684" t="s">
        <v>619</v>
      </c>
      <c r="B66" s="2097" t="s">
        <v>620</v>
      </c>
      <c r="C66" s="1541" t="s">
        <v>614</v>
      </c>
      <c r="D66" s="2098" t="s">
        <v>621</v>
      </c>
      <c r="E66" s="2098">
        <v>2</v>
      </c>
      <c r="F66" s="1541" t="s">
        <v>595</v>
      </c>
      <c r="G66" s="1541">
        <v>9990001</v>
      </c>
      <c r="H66" s="2099" t="s">
        <v>622</v>
      </c>
      <c r="I66" s="1701">
        <f>250000000+90000000</f>
        <v>340000000</v>
      </c>
      <c r="J66" s="2576">
        <v>260447761</v>
      </c>
      <c r="K66" s="2325">
        <f>400000000</f>
        <v>400000000</v>
      </c>
      <c r="L66" s="1701">
        <f t="shared" si="31"/>
        <v>400000000</v>
      </c>
      <c r="M66" s="1701">
        <f t="shared" si="31"/>
        <v>400000000</v>
      </c>
      <c r="N66" s="1701">
        <f>+M66+56099396</f>
        <v>456099396</v>
      </c>
      <c r="O66" s="1701">
        <f t="shared" si="31"/>
        <v>456099396</v>
      </c>
      <c r="P66" s="3175">
        <v>456099396</v>
      </c>
      <c r="Q66" s="2411">
        <f>+P66/N66</f>
        <v>1</v>
      </c>
      <c r="R66" s="2401">
        <f t="shared" ref="R66:R82" si="32">+L66-K66</f>
        <v>0</v>
      </c>
      <c r="S66" s="1701">
        <f t="shared" ref="S66:S101" si="33">+M66-L66</f>
        <v>0</v>
      </c>
      <c r="T66" s="1701">
        <f t="shared" ref="T66:T102" si="34">+N66-M66</f>
        <v>56099396</v>
      </c>
      <c r="U66" s="1701">
        <f t="shared" ref="U66:U102" si="35">+O66-N66</f>
        <v>0</v>
      </c>
      <c r="V66" s="1701"/>
      <c r="W66" s="2438"/>
      <c r="X66" s="2113"/>
      <c r="Z66" s="225">
        <v>253235304</v>
      </c>
      <c r="AC66" s="2410"/>
      <c r="AD66" s="2652">
        <v>260447761</v>
      </c>
      <c r="AE66" s="172">
        <f t="shared" si="6"/>
        <v>0</v>
      </c>
      <c r="AG66" s="2410">
        <f t="shared" si="7"/>
        <v>0</v>
      </c>
    </row>
    <row r="67" spans="1:33" hidden="1">
      <c r="A67" s="2683"/>
      <c r="B67" s="2097" t="s">
        <v>623</v>
      </c>
      <c r="C67" s="1541"/>
      <c r="D67" s="2098"/>
      <c r="E67" s="2098"/>
      <c r="F67" s="2097"/>
      <c r="G67" s="2097"/>
      <c r="H67" s="2099" t="s">
        <v>624</v>
      </c>
      <c r="I67" s="1701"/>
      <c r="J67" s="2576"/>
      <c r="K67" s="2325"/>
      <c r="L67" s="1701"/>
      <c r="M67" s="1701"/>
      <c r="N67" s="1701"/>
      <c r="O67" s="1701"/>
      <c r="P67" s="2617"/>
      <c r="Q67" s="2411"/>
      <c r="R67" s="2401">
        <f t="shared" si="32"/>
        <v>0</v>
      </c>
      <c r="S67" s="1701">
        <f t="shared" si="33"/>
        <v>0</v>
      </c>
      <c r="T67" s="1701">
        <f t="shared" si="34"/>
        <v>0</v>
      </c>
      <c r="U67" s="1701">
        <f t="shared" si="35"/>
        <v>0</v>
      </c>
      <c r="V67" s="1701"/>
      <c r="W67" s="2438"/>
      <c r="X67" s="2113"/>
      <c r="Z67" s="209"/>
      <c r="AC67" s="1701"/>
      <c r="AD67" s="1025"/>
      <c r="AE67" s="172">
        <f t="shared" si="6"/>
        <v>0</v>
      </c>
      <c r="AG67" s="1701">
        <f t="shared" si="7"/>
        <v>0</v>
      </c>
    </row>
    <row r="68" spans="1:33" hidden="1">
      <c r="A68" s="2683"/>
      <c r="B68" s="2097" t="s">
        <v>625</v>
      </c>
      <c r="C68" s="1541"/>
      <c r="D68" s="2098"/>
      <c r="E68" s="2098"/>
      <c r="F68" s="2097"/>
      <c r="G68" s="2097"/>
      <c r="H68" s="2099" t="s">
        <v>626</v>
      </c>
      <c r="I68" s="1701"/>
      <c r="J68" s="2576"/>
      <c r="K68" s="2325"/>
      <c r="L68" s="1701"/>
      <c r="M68" s="1701"/>
      <c r="N68" s="1701"/>
      <c r="O68" s="1701"/>
      <c r="P68" s="2617"/>
      <c r="Q68" s="2411"/>
      <c r="R68" s="2401">
        <f t="shared" si="32"/>
        <v>0</v>
      </c>
      <c r="S68" s="1701">
        <f t="shared" si="33"/>
        <v>0</v>
      </c>
      <c r="T68" s="1701">
        <f t="shared" si="34"/>
        <v>0</v>
      </c>
      <c r="U68" s="1701">
        <f t="shared" si="35"/>
        <v>0</v>
      </c>
      <c r="V68" s="1701"/>
      <c r="W68" s="2438"/>
      <c r="X68" s="2113"/>
      <c r="Z68" s="209"/>
      <c r="AC68" s="1701"/>
      <c r="AD68" s="1025"/>
      <c r="AE68" s="172">
        <f t="shared" si="6"/>
        <v>0</v>
      </c>
      <c r="AG68" s="1701">
        <f t="shared" si="7"/>
        <v>0</v>
      </c>
    </row>
    <row r="69" spans="1:33" hidden="1">
      <c r="A69" s="2683"/>
      <c r="B69" s="2097" t="s">
        <v>627</v>
      </c>
      <c r="C69" s="1541"/>
      <c r="D69" s="2098" t="s">
        <v>615</v>
      </c>
      <c r="E69" s="2098"/>
      <c r="F69" s="2097"/>
      <c r="G69" s="2097"/>
      <c r="H69" s="2099" t="s">
        <v>628</v>
      </c>
      <c r="I69" s="1701">
        <v>0</v>
      </c>
      <c r="J69" s="2576">
        <v>0</v>
      </c>
      <c r="K69" s="2325">
        <v>0</v>
      </c>
      <c r="L69" s="1701">
        <f>+K69</f>
        <v>0</v>
      </c>
      <c r="M69" s="1701">
        <f>+L69</f>
        <v>0</v>
      </c>
      <c r="N69" s="1701">
        <f>+M69</f>
        <v>0</v>
      </c>
      <c r="O69" s="1701">
        <f>+N69</f>
        <v>0</v>
      </c>
      <c r="P69" s="3178">
        <v>0</v>
      </c>
      <c r="Q69" s="2411"/>
      <c r="R69" s="2401">
        <f t="shared" si="32"/>
        <v>0</v>
      </c>
      <c r="S69" s="1701">
        <f t="shared" si="33"/>
        <v>0</v>
      </c>
      <c r="T69" s="1701">
        <f t="shared" si="34"/>
        <v>0</v>
      </c>
      <c r="U69" s="1701">
        <f t="shared" si="35"/>
        <v>0</v>
      </c>
      <c r="V69" s="1701"/>
      <c r="W69" s="2438"/>
      <c r="X69" s="2113"/>
      <c r="Z69" s="227">
        <v>0</v>
      </c>
      <c r="AC69" s="2418"/>
      <c r="AD69" s="2655">
        <v>0</v>
      </c>
      <c r="AE69" s="172">
        <f t="shared" si="6"/>
        <v>0</v>
      </c>
      <c r="AG69" s="2418">
        <f t="shared" si="7"/>
        <v>0</v>
      </c>
    </row>
    <row r="70" spans="1:33">
      <c r="A70" s="2683" t="s">
        <v>629</v>
      </c>
      <c r="B70" s="2110" t="s">
        <v>3188</v>
      </c>
      <c r="C70" s="1426"/>
      <c r="D70" s="2108"/>
      <c r="E70" s="2108"/>
      <c r="F70" s="2110"/>
      <c r="G70" s="2110"/>
      <c r="H70" s="2095" t="s">
        <v>630</v>
      </c>
      <c r="I70" s="1701">
        <f t="shared" ref="I70:P70" si="36">SUM(I64:I69)</f>
        <v>1000000000</v>
      </c>
      <c r="J70" s="2576">
        <f t="shared" si="36"/>
        <v>903916941</v>
      </c>
      <c r="K70" s="2325">
        <f t="shared" si="36"/>
        <v>1200000000</v>
      </c>
      <c r="L70" s="1701">
        <f t="shared" si="36"/>
        <v>1200000000</v>
      </c>
      <c r="M70" s="1701">
        <f t="shared" si="36"/>
        <v>1200000000</v>
      </c>
      <c r="N70" s="1701">
        <f t="shared" si="36"/>
        <v>1251294731</v>
      </c>
      <c r="O70" s="1701">
        <f t="shared" si="36"/>
        <v>1251294731</v>
      </c>
      <c r="P70" s="2617">
        <f t="shared" si="36"/>
        <v>1251294731</v>
      </c>
      <c r="Q70" s="2411">
        <f>+P70/N70</f>
        <v>1</v>
      </c>
      <c r="R70" s="2401">
        <f t="shared" si="32"/>
        <v>0</v>
      </c>
      <c r="S70" s="1701">
        <f t="shared" si="33"/>
        <v>0</v>
      </c>
      <c r="T70" s="1701">
        <f t="shared" si="34"/>
        <v>51294731</v>
      </c>
      <c r="U70" s="1701">
        <f t="shared" si="35"/>
        <v>0</v>
      </c>
      <c r="V70" s="1701"/>
      <c r="W70" s="2438"/>
      <c r="X70" s="2113"/>
      <c r="Z70" s="209">
        <f>SUM(Z64:Z69)</f>
        <v>872865282</v>
      </c>
      <c r="AC70" s="1701">
        <v>1251294731</v>
      </c>
      <c r="AD70" s="1025">
        <v>903916941</v>
      </c>
      <c r="AE70" s="172">
        <f t="shared" si="6"/>
        <v>0</v>
      </c>
      <c r="AF70" s="172">
        <f>+P70-AC70</f>
        <v>0</v>
      </c>
      <c r="AG70" s="1701">
        <f t="shared" si="7"/>
        <v>0</v>
      </c>
    </row>
    <row r="71" spans="1:33" hidden="1">
      <c r="A71" s="2689" t="s">
        <v>3389</v>
      </c>
      <c r="B71" s="2097" t="s">
        <v>631</v>
      </c>
      <c r="C71" s="1541" t="s">
        <v>512</v>
      </c>
      <c r="D71" s="2098" t="s">
        <v>632</v>
      </c>
      <c r="E71" s="2098">
        <v>2</v>
      </c>
      <c r="F71" s="1541" t="s">
        <v>595</v>
      </c>
      <c r="G71" s="1541">
        <v>9990001</v>
      </c>
      <c r="H71" s="2099" t="s">
        <v>633</v>
      </c>
      <c r="I71" s="1365">
        <f>10774768010-I73</f>
        <v>10769768010</v>
      </c>
      <c r="J71" s="2575">
        <v>10520383083</v>
      </c>
      <c r="K71" s="2321">
        <f>10774768010-K73</f>
        <v>10771268010</v>
      </c>
      <c r="L71" s="1365">
        <f t="shared" ref="L71:O73" si="37">+K71</f>
        <v>10771268010</v>
      </c>
      <c r="M71" s="1365">
        <f t="shared" si="37"/>
        <v>10771268010</v>
      </c>
      <c r="N71" s="1365">
        <f>+M71+265761423</f>
        <v>11037029433</v>
      </c>
      <c r="O71" s="1365">
        <f t="shared" si="37"/>
        <v>11037029433</v>
      </c>
      <c r="P71" s="3175">
        <f>11040529433-P73</f>
        <v>11037029433</v>
      </c>
      <c r="Q71" s="2409">
        <f>+P71/N71</f>
        <v>1</v>
      </c>
      <c r="R71" s="2399">
        <f t="shared" si="32"/>
        <v>0</v>
      </c>
      <c r="S71" s="1365">
        <f t="shared" si="33"/>
        <v>0</v>
      </c>
      <c r="T71" s="1365">
        <f t="shared" si="34"/>
        <v>265761423</v>
      </c>
      <c r="U71" s="1365">
        <f t="shared" si="35"/>
        <v>0</v>
      </c>
      <c r="V71" s="1365"/>
      <c r="W71" s="2435"/>
      <c r="X71" s="2113"/>
      <c r="Z71" s="225">
        <v>9992532293</v>
      </c>
      <c r="AC71" s="2410"/>
      <c r="AD71" s="2652">
        <v>10520383083</v>
      </c>
      <c r="AE71" s="172">
        <f t="shared" si="6"/>
        <v>0</v>
      </c>
      <c r="AG71" s="2410">
        <f t="shared" si="7"/>
        <v>0</v>
      </c>
    </row>
    <row r="72" spans="1:33" hidden="1">
      <c r="A72" s="2689" t="s">
        <v>3390</v>
      </c>
      <c r="B72" s="2097" t="s">
        <v>634</v>
      </c>
      <c r="C72" s="1541" t="s">
        <v>512</v>
      </c>
      <c r="D72" s="2098" t="s">
        <v>632</v>
      </c>
      <c r="E72" s="2098">
        <v>3</v>
      </c>
      <c r="F72" s="1541" t="s">
        <v>595</v>
      </c>
      <c r="G72" s="1541">
        <v>9990001</v>
      </c>
      <c r="H72" s="2099" t="s">
        <v>633</v>
      </c>
      <c r="I72" s="1365">
        <f>0</f>
        <v>0</v>
      </c>
      <c r="J72" s="2575">
        <v>0</v>
      </c>
      <c r="K72" s="2321">
        <f>0</f>
        <v>0</v>
      </c>
      <c r="L72" s="1365">
        <f t="shared" si="37"/>
        <v>0</v>
      </c>
      <c r="M72" s="1365">
        <f t="shared" si="37"/>
        <v>0</v>
      </c>
      <c r="N72" s="1365">
        <f t="shared" si="37"/>
        <v>0</v>
      </c>
      <c r="O72" s="1365">
        <f t="shared" si="37"/>
        <v>0</v>
      </c>
      <c r="P72" s="2617">
        <v>0</v>
      </c>
      <c r="Q72" s="2409"/>
      <c r="R72" s="2399">
        <f t="shared" si="32"/>
        <v>0</v>
      </c>
      <c r="S72" s="1365">
        <f t="shared" si="33"/>
        <v>0</v>
      </c>
      <c r="T72" s="1365">
        <f t="shared" si="34"/>
        <v>0</v>
      </c>
      <c r="U72" s="1365">
        <f t="shared" si="35"/>
        <v>0</v>
      </c>
      <c r="V72" s="1365"/>
      <c r="W72" s="2435"/>
      <c r="X72" s="2113"/>
      <c r="Z72" s="226">
        <v>0</v>
      </c>
      <c r="AC72" s="2417"/>
      <c r="AD72" s="1025">
        <v>0</v>
      </c>
      <c r="AE72" s="172">
        <f t="shared" ref="AE72:AE135" si="38">+J72-AD72</f>
        <v>0</v>
      </c>
      <c r="AG72" s="2417">
        <f t="shared" ref="AG72:AG135" si="39">+P72-N72</f>
        <v>0</v>
      </c>
    </row>
    <row r="73" spans="1:33" hidden="1">
      <c r="A73" s="2689" t="s">
        <v>3391</v>
      </c>
      <c r="B73" s="2097" t="s">
        <v>635</v>
      </c>
      <c r="C73" s="1541" t="s">
        <v>512</v>
      </c>
      <c r="D73" s="2098" t="s">
        <v>632</v>
      </c>
      <c r="E73" s="2098">
        <v>4</v>
      </c>
      <c r="F73" s="1541" t="s">
        <v>595</v>
      </c>
      <c r="G73" s="1541">
        <v>9990001</v>
      </c>
      <c r="H73" s="2099" t="s">
        <v>633</v>
      </c>
      <c r="I73" s="1365">
        <f>5000000</f>
        <v>5000000</v>
      </c>
      <c r="J73" s="2575">
        <v>0</v>
      </c>
      <c r="K73" s="2321">
        <f>3500000</f>
        <v>3500000</v>
      </c>
      <c r="L73" s="1365">
        <f t="shared" si="37"/>
        <v>3500000</v>
      </c>
      <c r="M73" s="1365">
        <f t="shared" si="37"/>
        <v>3500000</v>
      </c>
      <c r="N73" s="1365">
        <f t="shared" si="37"/>
        <v>3500000</v>
      </c>
      <c r="O73" s="1365">
        <f t="shared" si="37"/>
        <v>3500000</v>
      </c>
      <c r="P73" s="2617">
        <v>3500000</v>
      </c>
      <c r="Q73" s="2409">
        <f t="shared" ref="Q73:Q78" si="40">+P73/N73</f>
        <v>1</v>
      </c>
      <c r="R73" s="2399">
        <f t="shared" si="32"/>
        <v>0</v>
      </c>
      <c r="S73" s="1365">
        <f t="shared" si="33"/>
        <v>0</v>
      </c>
      <c r="T73" s="1365">
        <f t="shared" si="34"/>
        <v>0</v>
      </c>
      <c r="U73" s="1365">
        <f t="shared" si="35"/>
        <v>0</v>
      </c>
      <c r="V73" s="1365"/>
      <c r="W73" s="2435"/>
      <c r="X73" s="2113"/>
      <c r="Z73" s="226">
        <v>0</v>
      </c>
      <c r="AC73" s="2417"/>
      <c r="AD73" s="1025">
        <v>0</v>
      </c>
      <c r="AE73" s="172">
        <f t="shared" si="38"/>
        <v>0</v>
      </c>
      <c r="AG73" s="2417">
        <f t="shared" si="39"/>
        <v>0</v>
      </c>
    </row>
    <row r="74" spans="1:33">
      <c r="A74" s="2683" t="s">
        <v>636</v>
      </c>
      <c r="B74" s="2110" t="s">
        <v>637</v>
      </c>
      <c r="C74" s="1426"/>
      <c r="D74" s="2098"/>
      <c r="E74" s="2098"/>
      <c r="F74" s="1541"/>
      <c r="G74" s="1541"/>
      <c r="H74" s="2095" t="s">
        <v>633</v>
      </c>
      <c r="I74" s="1701">
        <f>SUM(I71:I73)</f>
        <v>10774768010</v>
      </c>
      <c r="J74" s="2576">
        <f>SUM(J71:J73)</f>
        <v>10520383083</v>
      </c>
      <c r="K74" s="2325">
        <f>SUM(K71:K73)</f>
        <v>10774768010</v>
      </c>
      <c r="L74" s="1701">
        <f>+L71+L72+L73</f>
        <v>10774768010</v>
      </c>
      <c r="M74" s="1701">
        <f>+M71+M72+M73</f>
        <v>10774768010</v>
      </c>
      <c r="N74" s="1701">
        <f>+N71+N72+N73</f>
        <v>11040529433</v>
      </c>
      <c r="O74" s="1701">
        <f>+O71+O72+O73</f>
        <v>11040529433</v>
      </c>
      <c r="P74" s="2617">
        <f>+P71+P72+P73</f>
        <v>11040529433</v>
      </c>
      <c r="Q74" s="2411">
        <f t="shared" si="40"/>
        <v>1</v>
      </c>
      <c r="R74" s="2401">
        <f t="shared" si="32"/>
        <v>0</v>
      </c>
      <c r="S74" s="1701">
        <f t="shared" si="33"/>
        <v>0</v>
      </c>
      <c r="T74" s="1701">
        <f t="shared" si="34"/>
        <v>265761423</v>
      </c>
      <c r="U74" s="1701">
        <f t="shared" si="35"/>
        <v>0</v>
      </c>
      <c r="V74" s="1701"/>
      <c r="W74" s="2438"/>
      <c r="X74" s="2113"/>
      <c r="Z74" s="209">
        <f>+Z71+Z72+Z73</f>
        <v>9992532293</v>
      </c>
      <c r="AC74" s="1701">
        <v>11040529433</v>
      </c>
      <c r="AD74" s="1025">
        <v>10520383083</v>
      </c>
      <c r="AE74" s="172">
        <f t="shared" si="38"/>
        <v>0</v>
      </c>
      <c r="AF74" s="172">
        <f>+P74-AC74</f>
        <v>0</v>
      </c>
      <c r="AG74" s="1701">
        <f t="shared" si="39"/>
        <v>0</v>
      </c>
    </row>
    <row r="75" spans="1:33" hidden="1">
      <c r="A75" s="2683"/>
      <c r="B75" s="2110" t="s">
        <v>639</v>
      </c>
      <c r="C75" s="1541" t="s">
        <v>614</v>
      </c>
      <c r="D75" s="2098" t="s">
        <v>640</v>
      </c>
      <c r="E75" s="2098">
        <v>2</v>
      </c>
      <c r="F75" s="1541" t="s">
        <v>595</v>
      </c>
      <c r="G75" s="1541">
        <v>9990001</v>
      </c>
      <c r="H75" s="2095" t="s">
        <v>641</v>
      </c>
      <c r="I75" s="1701">
        <v>0</v>
      </c>
      <c r="J75" s="2576">
        <v>0</v>
      </c>
      <c r="K75" s="2325">
        <v>0</v>
      </c>
      <c r="L75" s="1701">
        <f>+K75</f>
        <v>0</v>
      </c>
      <c r="M75" s="1701">
        <f t="shared" ref="L75:O77" si="41">+L75</f>
        <v>0</v>
      </c>
      <c r="N75" s="1701">
        <f t="shared" si="41"/>
        <v>0</v>
      </c>
      <c r="O75" s="1701">
        <f t="shared" si="41"/>
        <v>0</v>
      </c>
      <c r="P75" s="3175">
        <v>0</v>
      </c>
      <c r="Q75" s="2411"/>
      <c r="R75" s="2401">
        <f t="shared" si="32"/>
        <v>0</v>
      </c>
      <c r="S75" s="1701">
        <f t="shared" si="33"/>
        <v>0</v>
      </c>
      <c r="T75" s="1701">
        <f t="shared" si="34"/>
        <v>0</v>
      </c>
      <c r="U75" s="1701">
        <f t="shared" si="35"/>
        <v>0</v>
      </c>
      <c r="V75" s="1701"/>
      <c r="W75" s="2438"/>
      <c r="X75" s="2113"/>
      <c r="Z75" s="225">
        <v>0</v>
      </c>
      <c r="AC75" s="2410"/>
      <c r="AD75" s="2652">
        <v>0</v>
      </c>
      <c r="AE75" s="172">
        <f t="shared" si="38"/>
        <v>0</v>
      </c>
      <c r="AG75" s="2410">
        <f t="shared" si="39"/>
        <v>0</v>
      </c>
    </row>
    <row r="76" spans="1:33">
      <c r="A76" s="2684" t="s">
        <v>638</v>
      </c>
      <c r="B76" s="2097" t="s">
        <v>642</v>
      </c>
      <c r="C76" s="1541"/>
      <c r="D76" s="2124" t="s">
        <v>594</v>
      </c>
      <c r="E76" s="2098"/>
      <c r="F76" s="2097"/>
      <c r="G76" s="2097"/>
      <c r="H76" s="2099" t="s">
        <v>596</v>
      </c>
      <c r="I76" s="1701">
        <f>2000000+500000*2</f>
        <v>3000000</v>
      </c>
      <c r="J76" s="2576">
        <v>4549604</v>
      </c>
      <c r="K76" s="2325">
        <f>3600000+500000</f>
        <v>4100000</v>
      </c>
      <c r="L76" s="1701">
        <f t="shared" si="41"/>
        <v>4100000</v>
      </c>
      <c r="M76" s="1701">
        <f t="shared" si="41"/>
        <v>4100000</v>
      </c>
      <c r="N76" s="1701">
        <f>+M76-300475</f>
        <v>3799525</v>
      </c>
      <c r="O76" s="1701">
        <f t="shared" si="41"/>
        <v>3799525</v>
      </c>
      <c r="P76" s="3175">
        <v>3799525</v>
      </c>
      <c r="Q76" s="2411">
        <f t="shared" si="40"/>
        <v>1</v>
      </c>
      <c r="R76" s="2401">
        <f t="shared" si="32"/>
        <v>0</v>
      </c>
      <c r="S76" s="1701">
        <f t="shared" si="33"/>
        <v>0</v>
      </c>
      <c r="T76" s="1701">
        <f t="shared" si="34"/>
        <v>-300475</v>
      </c>
      <c r="U76" s="1701">
        <f t="shared" si="35"/>
        <v>0</v>
      </c>
      <c r="V76" s="1701"/>
      <c r="W76" s="2438"/>
      <c r="X76" s="2113"/>
      <c r="Z76" s="225">
        <v>2839390</v>
      </c>
      <c r="AC76" s="2410">
        <v>3799525</v>
      </c>
      <c r="AD76" s="2652">
        <v>4549604</v>
      </c>
      <c r="AE76" s="172">
        <f t="shared" si="38"/>
        <v>0</v>
      </c>
      <c r="AG76" s="2410">
        <f t="shared" si="39"/>
        <v>0</v>
      </c>
    </row>
    <row r="77" spans="1:33">
      <c r="A77" s="2684" t="s">
        <v>1389</v>
      </c>
      <c r="B77" s="2097" t="s">
        <v>643</v>
      </c>
      <c r="C77" s="1541" t="s">
        <v>614</v>
      </c>
      <c r="D77" s="2098" t="s">
        <v>644</v>
      </c>
      <c r="E77" s="2098">
        <v>2</v>
      </c>
      <c r="F77" s="1541" t="s">
        <v>595</v>
      </c>
      <c r="G77" s="1541">
        <v>9990001</v>
      </c>
      <c r="H77" s="2099" t="s">
        <v>645</v>
      </c>
      <c r="I77" s="1701">
        <f>2000000+1000000</f>
        <v>3000000</v>
      </c>
      <c r="J77" s="2576">
        <v>5114226</v>
      </c>
      <c r="K77" s="2325">
        <f>4000000</f>
        <v>4000000</v>
      </c>
      <c r="L77" s="1701">
        <f t="shared" si="41"/>
        <v>4000000</v>
      </c>
      <c r="M77" s="1701">
        <f t="shared" si="41"/>
        <v>4000000</v>
      </c>
      <c r="N77" s="1701">
        <f>+M77+2238860</f>
        <v>6238860</v>
      </c>
      <c r="O77" s="1701">
        <f t="shared" si="41"/>
        <v>6238860</v>
      </c>
      <c r="P77" s="3175">
        <v>6238860</v>
      </c>
      <c r="Q77" s="2411">
        <f t="shared" si="40"/>
        <v>1</v>
      </c>
      <c r="R77" s="2401">
        <f t="shared" si="32"/>
        <v>0</v>
      </c>
      <c r="S77" s="1701">
        <f t="shared" si="33"/>
        <v>0</v>
      </c>
      <c r="T77" s="1701">
        <f t="shared" si="34"/>
        <v>2238860</v>
      </c>
      <c r="U77" s="1701">
        <f t="shared" si="35"/>
        <v>0</v>
      </c>
      <c r="V77" s="1701"/>
      <c r="W77" s="2438"/>
      <c r="X77" s="2113"/>
      <c r="Z77" s="225">
        <v>2750202</v>
      </c>
      <c r="AC77" s="2410">
        <v>6238860</v>
      </c>
      <c r="AD77" s="2652">
        <v>5114226</v>
      </c>
      <c r="AE77" s="172">
        <f t="shared" si="38"/>
        <v>0</v>
      </c>
      <c r="AG77" s="2410">
        <f t="shared" si="39"/>
        <v>0</v>
      </c>
    </row>
    <row r="78" spans="1:33">
      <c r="A78" s="2683" t="s">
        <v>646</v>
      </c>
      <c r="B78" s="2110" t="s">
        <v>3407</v>
      </c>
      <c r="C78" s="1426"/>
      <c r="D78" s="2108"/>
      <c r="E78" s="2108"/>
      <c r="F78" s="2110"/>
      <c r="G78" s="2110"/>
      <c r="H78" s="2095" t="s">
        <v>647</v>
      </c>
      <c r="I78" s="1701">
        <f>SUM(I76:I77)</f>
        <v>6000000</v>
      </c>
      <c r="J78" s="2576">
        <f t="shared" ref="J78:P78" si="42">SUM(J76:J77)</f>
        <v>9663830</v>
      </c>
      <c r="K78" s="2325">
        <f t="shared" si="42"/>
        <v>8100000</v>
      </c>
      <c r="L78" s="1701">
        <f t="shared" si="42"/>
        <v>8100000</v>
      </c>
      <c r="M78" s="1701">
        <f t="shared" si="42"/>
        <v>8100000</v>
      </c>
      <c r="N78" s="1701">
        <f t="shared" si="42"/>
        <v>10038385</v>
      </c>
      <c r="O78" s="1701">
        <f t="shared" si="42"/>
        <v>10038385</v>
      </c>
      <c r="P78" s="2617">
        <f t="shared" si="42"/>
        <v>10038385</v>
      </c>
      <c r="Q78" s="2411">
        <f t="shared" si="40"/>
        <v>1</v>
      </c>
      <c r="R78" s="2401">
        <f t="shared" si="32"/>
        <v>0</v>
      </c>
      <c r="S78" s="1701">
        <f t="shared" si="33"/>
        <v>0</v>
      </c>
      <c r="T78" s="1701">
        <f t="shared" si="34"/>
        <v>1938385</v>
      </c>
      <c r="U78" s="1701">
        <f t="shared" si="35"/>
        <v>0</v>
      </c>
      <c r="V78" s="1701"/>
      <c r="W78" s="2438"/>
      <c r="X78" s="2113"/>
      <c r="Z78" s="209">
        <f>SUM(Z76:Z77)</f>
        <v>5589592</v>
      </c>
      <c r="AC78" s="1701"/>
      <c r="AD78" s="1025">
        <v>9663830</v>
      </c>
      <c r="AE78" s="172">
        <f t="shared" si="38"/>
        <v>0</v>
      </c>
      <c r="AG78" s="1701">
        <f t="shared" si="39"/>
        <v>0</v>
      </c>
    </row>
    <row r="79" spans="1:33">
      <c r="A79" s="2683" t="s">
        <v>648</v>
      </c>
      <c r="B79" s="2110" t="s">
        <v>649</v>
      </c>
      <c r="C79" s="1426"/>
      <c r="D79" s="2108"/>
      <c r="E79" s="2108"/>
      <c r="F79" s="2110"/>
      <c r="G79" s="2110"/>
      <c r="H79" s="2095" t="s">
        <v>650</v>
      </c>
      <c r="I79" s="1701">
        <v>0</v>
      </c>
      <c r="J79" s="2576">
        <v>0</v>
      </c>
      <c r="K79" s="2325">
        <v>0</v>
      </c>
      <c r="L79" s="1701">
        <f t="shared" ref="L79:O82" si="43">+K79</f>
        <v>0</v>
      </c>
      <c r="M79" s="1701">
        <f t="shared" si="43"/>
        <v>0</v>
      </c>
      <c r="N79" s="1701">
        <f t="shared" si="43"/>
        <v>0</v>
      </c>
      <c r="O79" s="1701">
        <f t="shared" si="43"/>
        <v>0</v>
      </c>
      <c r="P79" s="2617">
        <v>0</v>
      </c>
      <c r="Q79" s="2411"/>
      <c r="R79" s="2401">
        <f t="shared" si="32"/>
        <v>0</v>
      </c>
      <c r="S79" s="1701">
        <f t="shared" si="33"/>
        <v>0</v>
      </c>
      <c r="T79" s="1701">
        <f t="shared" si="34"/>
        <v>0</v>
      </c>
      <c r="U79" s="1701">
        <f t="shared" si="35"/>
        <v>0</v>
      </c>
      <c r="V79" s="1701"/>
      <c r="W79" s="2438"/>
      <c r="X79" s="2113"/>
      <c r="Z79" s="209">
        <v>0</v>
      </c>
      <c r="AC79" s="1701"/>
      <c r="AD79" s="1025">
        <v>0</v>
      </c>
      <c r="AE79" s="172">
        <f t="shared" si="38"/>
        <v>0</v>
      </c>
      <c r="AG79" s="1701">
        <f t="shared" si="39"/>
        <v>0</v>
      </c>
    </row>
    <row r="80" spans="1:33" s="203" customFormat="1" ht="13.5" hidden="1" customHeight="1">
      <c r="A80" s="2685" t="s">
        <v>651</v>
      </c>
      <c r="B80" s="2125" t="s">
        <v>652</v>
      </c>
      <c r="C80" s="2103" t="s">
        <v>512</v>
      </c>
      <c r="D80" s="2098" t="s">
        <v>653</v>
      </c>
      <c r="E80" s="2098">
        <v>2</v>
      </c>
      <c r="F80" s="1541" t="s">
        <v>534</v>
      </c>
      <c r="G80" s="1541" t="s">
        <v>572</v>
      </c>
      <c r="H80" s="2099" t="s">
        <v>654</v>
      </c>
      <c r="I80" s="2106">
        <f>500000</f>
        <v>500000</v>
      </c>
      <c r="J80" s="2579">
        <v>0</v>
      </c>
      <c r="K80" s="2236"/>
      <c r="L80" s="2106">
        <f t="shared" si="43"/>
        <v>0</v>
      </c>
      <c r="M80" s="2106">
        <f t="shared" si="43"/>
        <v>0</v>
      </c>
      <c r="N80" s="2106">
        <f>+M80+3134200</f>
        <v>3134200</v>
      </c>
      <c r="O80" s="2106">
        <f t="shared" si="43"/>
        <v>3134200</v>
      </c>
      <c r="P80" s="3172">
        <v>3134200</v>
      </c>
      <c r="Q80" s="2420">
        <f>+P80/N80</f>
        <v>1</v>
      </c>
      <c r="R80" s="2400">
        <f t="shared" si="32"/>
        <v>0</v>
      </c>
      <c r="S80" s="2106">
        <f t="shared" si="33"/>
        <v>0</v>
      </c>
      <c r="T80" s="2106">
        <f t="shared" si="34"/>
        <v>3134200</v>
      </c>
      <c r="U80" s="2106">
        <f t="shared" si="35"/>
        <v>0</v>
      </c>
      <c r="V80" s="2106"/>
      <c r="W80" s="2437"/>
      <c r="X80" s="2113"/>
      <c r="Y80" s="171"/>
      <c r="Z80" s="1209"/>
      <c r="AC80" s="2419"/>
      <c r="AD80" s="2656"/>
      <c r="AE80" s="172">
        <f t="shared" si="38"/>
        <v>0</v>
      </c>
      <c r="AG80" s="2419">
        <f t="shared" si="39"/>
        <v>0</v>
      </c>
    </row>
    <row r="81" spans="1:33" s="203" customFormat="1" ht="13.5" hidden="1" customHeight="1">
      <c r="A81" s="2685" t="s">
        <v>655</v>
      </c>
      <c r="B81" s="2126" t="s">
        <v>3204</v>
      </c>
      <c r="C81" s="2103" t="s">
        <v>656</v>
      </c>
      <c r="D81" s="2104" t="s">
        <v>657</v>
      </c>
      <c r="E81" s="2104">
        <v>2</v>
      </c>
      <c r="F81" s="2103" t="s">
        <v>534</v>
      </c>
      <c r="G81" s="2103" t="s">
        <v>572</v>
      </c>
      <c r="H81" s="2127" t="s">
        <v>658</v>
      </c>
      <c r="I81" s="2106">
        <f>16000000</f>
        <v>16000000</v>
      </c>
      <c r="J81" s="2579">
        <v>15721991</v>
      </c>
      <c r="K81" s="2236">
        <v>16836447</v>
      </c>
      <c r="L81" s="2106">
        <f>+K81</f>
        <v>16836447</v>
      </c>
      <c r="M81" s="2106">
        <f t="shared" si="43"/>
        <v>16836447</v>
      </c>
      <c r="N81" s="2106">
        <f>+M81+13513407</f>
        <v>30349854</v>
      </c>
      <c r="O81" s="2106">
        <f t="shared" si="43"/>
        <v>30349854</v>
      </c>
      <c r="P81" s="3170">
        <v>30349854</v>
      </c>
      <c r="Q81" s="2420">
        <f>+P81/N81</f>
        <v>1</v>
      </c>
      <c r="R81" s="2400">
        <f t="shared" si="32"/>
        <v>0</v>
      </c>
      <c r="S81" s="2106">
        <f t="shared" si="33"/>
        <v>0</v>
      </c>
      <c r="T81" s="2106">
        <f t="shared" si="34"/>
        <v>13513407</v>
      </c>
      <c r="U81" s="2106">
        <f t="shared" si="35"/>
        <v>0</v>
      </c>
      <c r="V81" s="2106"/>
      <c r="W81" s="2437"/>
      <c r="X81" s="2113"/>
      <c r="Y81" s="171"/>
      <c r="Z81" s="1207">
        <v>11484829</v>
      </c>
      <c r="AC81" s="2408"/>
      <c r="AD81" s="2651">
        <v>15721991</v>
      </c>
      <c r="AE81" s="172">
        <f t="shared" si="38"/>
        <v>0</v>
      </c>
      <c r="AG81" s="2408">
        <f t="shared" si="39"/>
        <v>0</v>
      </c>
    </row>
    <row r="82" spans="1:33" s="203" customFormat="1" ht="13.5" hidden="1" customHeight="1">
      <c r="A82" s="2685" t="s">
        <v>659</v>
      </c>
      <c r="B82" s="2125" t="s">
        <v>660</v>
      </c>
      <c r="C82" s="2103" t="s">
        <v>656</v>
      </c>
      <c r="D82" s="2104" t="s">
        <v>661</v>
      </c>
      <c r="E82" s="2104">
        <v>2</v>
      </c>
      <c r="F82" s="2103" t="s">
        <v>534</v>
      </c>
      <c r="G82" s="2103" t="s">
        <v>572</v>
      </c>
      <c r="H82" s="2127" t="s">
        <v>658</v>
      </c>
      <c r="I82" s="2106">
        <v>0</v>
      </c>
      <c r="J82" s="2579">
        <v>1410000</v>
      </c>
      <c r="K82" s="2236">
        <v>1538182</v>
      </c>
      <c r="L82" s="2106">
        <f t="shared" si="43"/>
        <v>1538182</v>
      </c>
      <c r="M82" s="2106">
        <f t="shared" si="43"/>
        <v>1538182</v>
      </c>
      <c r="N82" s="2106">
        <f>+M82-1538182</f>
        <v>0</v>
      </c>
      <c r="O82" s="2106">
        <f t="shared" si="43"/>
        <v>0</v>
      </c>
      <c r="P82" s="3170"/>
      <c r="Q82" s="2420"/>
      <c r="R82" s="2400">
        <f t="shared" si="32"/>
        <v>0</v>
      </c>
      <c r="S82" s="2106">
        <f t="shared" si="33"/>
        <v>0</v>
      </c>
      <c r="T82" s="2106">
        <f t="shared" si="34"/>
        <v>-1538182</v>
      </c>
      <c r="U82" s="2106">
        <f t="shared" si="35"/>
        <v>0</v>
      </c>
      <c r="V82" s="2106"/>
      <c r="W82" s="2437"/>
      <c r="X82" s="2452"/>
      <c r="Z82" s="1207">
        <v>1410000</v>
      </c>
      <c r="AC82" s="2408"/>
      <c r="AD82" s="2651">
        <v>1410000</v>
      </c>
      <c r="AE82" s="172">
        <f t="shared" si="38"/>
        <v>0</v>
      </c>
      <c r="AG82" s="2408">
        <f t="shared" si="39"/>
        <v>0</v>
      </c>
    </row>
    <row r="83" spans="1:33">
      <c r="A83" s="2684" t="s">
        <v>662</v>
      </c>
      <c r="B83" s="2097" t="s">
        <v>663</v>
      </c>
      <c r="C83" s="1541"/>
      <c r="D83" s="2098"/>
      <c r="E83" s="2098"/>
      <c r="F83" s="1541"/>
      <c r="G83" s="1541"/>
      <c r="H83" s="2095" t="s">
        <v>664</v>
      </c>
      <c r="I83" s="1365">
        <f>SUM(I80:I82)</f>
        <v>16500000</v>
      </c>
      <c r="J83" s="2575">
        <f t="shared" ref="J83:P83" si="44">SUM(J80:J82)</f>
        <v>17131991</v>
      </c>
      <c r="K83" s="2321">
        <f t="shared" si="44"/>
        <v>18374629</v>
      </c>
      <c r="L83" s="1365">
        <f t="shared" si="44"/>
        <v>18374629</v>
      </c>
      <c r="M83" s="1365">
        <f t="shared" si="44"/>
        <v>18374629</v>
      </c>
      <c r="N83" s="1365">
        <f t="shared" si="44"/>
        <v>33484054</v>
      </c>
      <c r="O83" s="1365">
        <f t="shared" si="44"/>
        <v>33484054</v>
      </c>
      <c r="P83" s="2618">
        <f t="shared" si="44"/>
        <v>33484054</v>
      </c>
      <c r="Q83" s="2409">
        <f>+P83/N83</f>
        <v>1</v>
      </c>
      <c r="R83" s="2399">
        <f>SUM(R80:R82)</f>
        <v>0</v>
      </c>
      <c r="S83" s="2106">
        <f t="shared" si="33"/>
        <v>0</v>
      </c>
      <c r="T83" s="1365">
        <f t="shared" si="34"/>
        <v>15109425</v>
      </c>
      <c r="U83" s="1365">
        <f t="shared" si="35"/>
        <v>0</v>
      </c>
      <c r="V83" s="1365"/>
      <c r="W83" s="2435"/>
      <c r="X83" s="2452"/>
      <c r="Z83" s="192">
        <f>SUM(Z80:Z82)</f>
        <v>12894829</v>
      </c>
      <c r="AC83" s="1365"/>
      <c r="AD83" s="1014">
        <v>17131991</v>
      </c>
      <c r="AE83" s="172">
        <f t="shared" si="38"/>
        <v>0</v>
      </c>
      <c r="AG83" s="1365">
        <f t="shared" si="39"/>
        <v>0</v>
      </c>
    </row>
    <row r="84" spans="1:33">
      <c r="A84" s="2684" t="s">
        <v>665</v>
      </c>
      <c r="B84" s="2097" t="s">
        <v>666</v>
      </c>
      <c r="C84" s="1541"/>
      <c r="D84" s="2098"/>
      <c r="E84" s="2098"/>
      <c r="F84" s="2097"/>
      <c r="G84" s="2097"/>
      <c r="H84" s="2099" t="s">
        <v>667</v>
      </c>
      <c r="I84" s="1365">
        <v>0</v>
      </c>
      <c r="J84" s="2579">
        <v>0</v>
      </c>
      <c r="K84" s="2321">
        <v>0</v>
      </c>
      <c r="L84" s="1365">
        <f t="shared" ref="L84:O86" si="45">+K84</f>
        <v>0</v>
      </c>
      <c r="M84" s="2106">
        <f t="shared" si="45"/>
        <v>0</v>
      </c>
      <c r="N84" s="1365">
        <f t="shared" si="45"/>
        <v>0</v>
      </c>
      <c r="O84" s="1365">
        <f t="shared" si="45"/>
        <v>0</v>
      </c>
      <c r="P84" s="2618">
        <v>0</v>
      </c>
      <c r="Q84" s="2409"/>
      <c r="R84" s="2399">
        <f t="shared" ref="R84:R101" si="46">+L84-K84</f>
        <v>0</v>
      </c>
      <c r="S84" s="2106">
        <f t="shared" si="33"/>
        <v>0</v>
      </c>
      <c r="T84" s="1365">
        <f t="shared" si="34"/>
        <v>0</v>
      </c>
      <c r="U84" s="1365">
        <f t="shared" si="35"/>
        <v>0</v>
      </c>
      <c r="V84" s="1365"/>
      <c r="W84" s="2435"/>
      <c r="X84" s="2452"/>
      <c r="Z84" s="192">
        <v>0</v>
      </c>
      <c r="AC84" s="1365"/>
      <c r="AD84" s="1014">
        <v>0</v>
      </c>
      <c r="AE84" s="172">
        <f t="shared" si="38"/>
        <v>0</v>
      </c>
      <c r="AG84" s="1365">
        <f t="shared" si="39"/>
        <v>0</v>
      </c>
    </row>
    <row r="85" spans="1:33" s="203" customFormat="1" ht="13.5" hidden="1" customHeight="1">
      <c r="A85" s="2685" t="s">
        <v>668</v>
      </c>
      <c r="B85" s="2125" t="s">
        <v>669</v>
      </c>
      <c r="C85" s="2103" t="s">
        <v>614</v>
      </c>
      <c r="D85" s="2104" t="s">
        <v>670</v>
      </c>
      <c r="E85" s="2104">
        <v>2</v>
      </c>
      <c r="F85" s="1541" t="s">
        <v>534</v>
      </c>
      <c r="G85" s="1541">
        <v>9990001</v>
      </c>
      <c r="H85" s="2099" t="s">
        <v>671</v>
      </c>
      <c r="I85" s="2106">
        <f>0+155630</f>
        <v>155630</v>
      </c>
      <c r="J85" s="2579">
        <v>0</v>
      </c>
      <c r="K85" s="2236"/>
      <c r="L85" s="2106">
        <f t="shared" si="45"/>
        <v>0</v>
      </c>
      <c r="M85" s="2106">
        <f t="shared" si="45"/>
        <v>0</v>
      </c>
      <c r="N85" s="2106">
        <f>+M85+417926</f>
        <v>417926</v>
      </c>
      <c r="O85" s="2106">
        <f t="shared" si="45"/>
        <v>417926</v>
      </c>
      <c r="P85" s="3172">
        <v>417926</v>
      </c>
      <c r="Q85" s="2409">
        <f>+P85/N85</f>
        <v>1</v>
      </c>
      <c r="R85" s="2400">
        <f t="shared" si="46"/>
        <v>0</v>
      </c>
      <c r="S85" s="2106">
        <f t="shared" si="33"/>
        <v>0</v>
      </c>
      <c r="T85" s="1365">
        <f t="shared" si="34"/>
        <v>417926</v>
      </c>
      <c r="U85" s="1365">
        <f t="shared" si="35"/>
        <v>0</v>
      </c>
      <c r="V85" s="1365"/>
      <c r="W85" s="2435"/>
      <c r="X85" s="2452"/>
      <c r="Z85" s="1209">
        <v>-190200</v>
      </c>
      <c r="AC85" s="2419"/>
      <c r="AD85" s="2656"/>
      <c r="AE85" s="172">
        <f t="shared" si="38"/>
        <v>0</v>
      </c>
      <c r="AG85" s="2419">
        <f t="shared" si="39"/>
        <v>0</v>
      </c>
    </row>
    <row r="86" spans="1:33" s="203" customFormat="1" ht="13.5" hidden="1" customHeight="1">
      <c r="A86" s="2685" t="s">
        <v>672</v>
      </c>
      <c r="B86" s="2125" t="s">
        <v>673</v>
      </c>
      <c r="C86" s="2103" t="s">
        <v>674</v>
      </c>
      <c r="D86" s="2128" t="s">
        <v>675</v>
      </c>
      <c r="E86" s="2104">
        <v>2</v>
      </c>
      <c r="F86" s="2103" t="s">
        <v>534</v>
      </c>
      <c r="G86" s="2103" t="s">
        <v>572</v>
      </c>
      <c r="H86" s="2127" t="s">
        <v>658</v>
      </c>
      <c r="I86" s="2106">
        <v>0</v>
      </c>
      <c r="J86" s="2580">
        <v>0</v>
      </c>
      <c r="K86" s="2236">
        <v>0</v>
      </c>
      <c r="L86" s="2106">
        <f t="shared" si="45"/>
        <v>0</v>
      </c>
      <c r="M86" s="2129">
        <f t="shared" si="45"/>
        <v>0</v>
      </c>
      <c r="N86" s="2106">
        <f t="shared" si="45"/>
        <v>0</v>
      </c>
      <c r="O86" s="2106">
        <f t="shared" si="45"/>
        <v>0</v>
      </c>
      <c r="P86" s="3172">
        <v>0</v>
      </c>
      <c r="Q86" s="2409"/>
      <c r="R86" s="2400">
        <f t="shared" si="46"/>
        <v>0</v>
      </c>
      <c r="S86" s="2106">
        <f t="shared" si="33"/>
        <v>0</v>
      </c>
      <c r="T86" s="1365">
        <f t="shared" si="34"/>
        <v>0</v>
      </c>
      <c r="U86" s="1365">
        <f t="shared" si="35"/>
        <v>0</v>
      </c>
      <c r="V86" s="1365"/>
      <c r="W86" s="2435"/>
      <c r="X86" s="2452"/>
      <c r="Z86" s="1209">
        <v>0</v>
      </c>
      <c r="AC86" s="2419"/>
      <c r="AD86" s="2656">
        <v>0</v>
      </c>
      <c r="AE86" s="172">
        <f t="shared" si="38"/>
        <v>0</v>
      </c>
      <c r="AG86" s="2419">
        <f t="shared" si="39"/>
        <v>0</v>
      </c>
    </row>
    <row r="87" spans="1:33">
      <c r="A87" s="2684" t="s">
        <v>676</v>
      </c>
      <c r="B87" s="2097" t="s">
        <v>677</v>
      </c>
      <c r="C87" s="1541"/>
      <c r="D87" s="2098"/>
      <c r="E87" s="2098"/>
      <c r="F87" s="2097"/>
      <c r="G87" s="2097"/>
      <c r="H87" s="2099" t="s">
        <v>678</v>
      </c>
      <c r="I87" s="1365">
        <f>SUM(I85:I86)</f>
        <v>155630</v>
      </c>
      <c r="J87" s="2575">
        <f t="shared" ref="J87:P87" si="47">SUM(J85:J86)</f>
        <v>0</v>
      </c>
      <c r="K87" s="2321">
        <f t="shared" si="47"/>
        <v>0</v>
      </c>
      <c r="L87" s="1365">
        <f t="shared" si="47"/>
        <v>0</v>
      </c>
      <c r="M87" s="1365">
        <f t="shared" si="47"/>
        <v>0</v>
      </c>
      <c r="N87" s="1365">
        <f t="shared" si="47"/>
        <v>417926</v>
      </c>
      <c r="O87" s="1365">
        <f t="shared" si="47"/>
        <v>417926</v>
      </c>
      <c r="P87" s="2618">
        <f t="shared" si="47"/>
        <v>417926</v>
      </c>
      <c r="Q87" s="2409">
        <f t="shared" ref="Q87:Q92" si="48">+P87/N87</f>
        <v>1</v>
      </c>
      <c r="R87" s="2399">
        <f t="shared" si="46"/>
        <v>0</v>
      </c>
      <c r="S87" s="1365">
        <f t="shared" si="33"/>
        <v>0</v>
      </c>
      <c r="T87" s="1365">
        <f t="shared" si="34"/>
        <v>417926</v>
      </c>
      <c r="U87" s="1365">
        <f t="shared" si="35"/>
        <v>0</v>
      </c>
      <c r="V87" s="1365"/>
      <c r="W87" s="2435"/>
      <c r="X87" s="2452"/>
      <c r="Z87" s="192">
        <f>SUM(Z85:Z86)</f>
        <v>-190200</v>
      </c>
      <c r="AC87" s="1365"/>
      <c r="AD87" s="1014">
        <v>0</v>
      </c>
      <c r="AE87" s="172">
        <f t="shared" si="38"/>
        <v>0</v>
      </c>
      <c r="AG87" s="1365">
        <f t="shared" si="39"/>
        <v>0</v>
      </c>
    </row>
    <row r="88" spans="1:33" s="203" customFormat="1" ht="12.75" hidden="1" customHeight="1">
      <c r="A88" s="2685" t="s">
        <v>679</v>
      </c>
      <c r="B88" s="2125" t="s">
        <v>680</v>
      </c>
      <c r="C88" s="2103" t="s">
        <v>656</v>
      </c>
      <c r="D88" s="2104" t="s">
        <v>681</v>
      </c>
      <c r="E88" s="2104">
        <v>2</v>
      </c>
      <c r="F88" s="2103" t="s">
        <v>534</v>
      </c>
      <c r="G88" s="2103" t="s">
        <v>572</v>
      </c>
      <c r="H88" s="2127" t="s">
        <v>682</v>
      </c>
      <c r="I88" s="2106">
        <v>0</v>
      </c>
      <c r="J88" s="2579">
        <v>602800</v>
      </c>
      <c r="K88" s="2236">
        <v>574330</v>
      </c>
      <c r="L88" s="2106">
        <f t="shared" ref="L88:O89" si="49">+K88</f>
        <v>574330</v>
      </c>
      <c r="M88" s="2106">
        <f t="shared" si="49"/>
        <v>574330</v>
      </c>
      <c r="N88" s="1365">
        <f>+M88-522230</f>
        <v>52100</v>
      </c>
      <c r="O88" s="1365">
        <f t="shared" si="49"/>
        <v>52100</v>
      </c>
      <c r="P88" s="2618">
        <f>20000+32100</f>
        <v>52100</v>
      </c>
      <c r="Q88" s="2409">
        <f t="shared" si="48"/>
        <v>1</v>
      </c>
      <c r="R88" s="2400">
        <f t="shared" si="46"/>
        <v>0</v>
      </c>
      <c r="S88" s="2106">
        <f t="shared" si="33"/>
        <v>0</v>
      </c>
      <c r="T88" s="1365">
        <f t="shared" si="34"/>
        <v>-522230</v>
      </c>
      <c r="U88" s="1365">
        <f t="shared" si="35"/>
        <v>0</v>
      </c>
      <c r="V88" s="1365"/>
      <c r="W88" s="2435"/>
      <c r="X88" s="2452"/>
      <c r="Z88" s="1014">
        <v>526469</v>
      </c>
      <c r="AC88" s="2168"/>
      <c r="AD88" s="1014">
        <v>602800</v>
      </c>
      <c r="AE88" s="172">
        <f t="shared" si="38"/>
        <v>0</v>
      </c>
      <c r="AG88" s="2168">
        <f t="shared" si="39"/>
        <v>0</v>
      </c>
    </row>
    <row r="89" spans="1:33" s="203" customFormat="1" ht="12.75" hidden="1" customHeight="1">
      <c r="A89" s="2685" t="s">
        <v>683</v>
      </c>
      <c r="B89" s="2125" t="s">
        <v>684</v>
      </c>
      <c r="C89" s="2103" t="s">
        <v>512</v>
      </c>
      <c r="D89" s="2104" t="s">
        <v>685</v>
      </c>
      <c r="E89" s="2104">
        <v>2</v>
      </c>
      <c r="F89" s="2103" t="s">
        <v>534</v>
      </c>
      <c r="G89" s="2103" t="s">
        <v>572</v>
      </c>
      <c r="H89" s="2127" t="s">
        <v>682</v>
      </c>
      <c r="I89" s="2106">
        <f>3000000</f>
        <v>3000000</v>
      </c>
      <c r="J89" s="2579">
        <v>2242500</v>
      </c>
      <c r="K89" s="2236">
        <v>5000000</v>
      </c>
      <c r="L89" s="2106">
        <f t="shared" si="49"/>
        <v>5000000</v>
      </c>
      <c r="M89" s="2106">
        <f t="shared" si="49"/>
        <v>5000000</v>
      </c>
      <c r="N89" s="1365">
        <f>+M89-1714669</f>
        <v>3285331</v>
      </c>
      <c r="O89" s="1365">
        <f t="shared" si="49"/>
        <v>3285331</v>
      </c>
      <c r="P89" s="3170">
        <v>3285331</v>
      </c>
      <c r="Q89" s="2409">
        <f t="shared" si="48"/>
        <v>1</v>
      </c>
      <c r="R89" s="2400">
        <f t="shared" si="46"/>
        <v>0</v>
      </c>
      <c r="S89" s="2106">
        <f t="shared" si="33"/>
        <v>0</v>
      </c>
      <c r="T89" s="1365">
        <f t="shared" si="34"/>
        <v>-1714669</v>
      </c>
      <c r="U89" s="1365">
        <f t="shared" si="35"/>
        <v>0</v>
      </c>
      <c r="V89" s="1365"/>
      <c r="W89" s="2435"/>
      <c r="X89" s="2452">
        <f>5000000-K89</f>
        <v>0</v>
      </c>
      <c r="Z89" s="1207">
        <v>1941500</v>
      </c>
      <c r="AC89" s="2408"/>
      <c r="AD89" s="2651">
        <v>2242500</v>
      </c>
      <c r="AE89" s="172">
        <f t="shared" si="38"/>
        <v>0</v>
      </c>
      <c r="AG89" s="2408">
        <f t="shared" si="39"/>
        <v>0</v>
      </c>
    </row>
    <row r="90" spans="1:33">
      <c r="A90" s="2684" t="s">
        <v>686</v>
      </c>
      <c r="B90" s="2097" t="s">
        <v>687</v>
      </c>
      <c r="C90" s="1541"/>
      <c r="D90" s="2098"/>
      <c r="E90" s="2098"/>
      <c r="F90" s="2097"/>
      <c r="G90" s="2097"/>
      <c r="H90" s="2095" t="s">
        <v>671</v>
      </c>
      <c r="I90" s="1365">
        <f>SUM(I88:I89)</f>
        <v>3000000</v>
      </c>
      <c r="J90" s="2575">
        <f>SUM(J88:J89)</f>
        <v>2845300</v>
      </c>
      <c r="K90" s="2321">
        <f t="shared" ref="K90:P90" si="50">SUM(K88:K89)</f>
        <v>5574330</v>
      </c>
      <c r="L90" s="1365">
        <f t="shared" si="50"/>
        <v>5574330</v>
      </c>
      <c r="M90" s="1365">
        <f t="shared" si="50"/>
        <v>5574330</v>
      </c>
      <c r="N90" s="1365">
        <f t="shared" si="50"/>
        <v>3337431</v>
      </c>
      <c r="O90" s="1365">
        <f t="shared" si="50"/>
        <v>3337431</v>
      </c>
      <c r="P90" s="2618">
        <f t="shared" si="50"/>
        <v>3337431</v>
      </c>
      <c r="Q90" s="2409">
        <f t="shared" si="48"/>
        <v>1</v>
      </c>
      <c r="R90" s="2399">
        <f t="shared" si="46"/>
        <v>0</v>
      </c>
      <c r="S90" s="1365">
        <f t="shared" si="33"/>
        <v>0</v>
      </c>
      <c r="T90" s="1365">
        <f t="shared" si="34"/>
        <v>-2236899</v>
      </c>
      <c r="U90" s="1365">
        <f t="shared" si="35"/>
        <v>0</v>
      </c>
      <c r="V90" s="1365"/>
      <c r="W90" s="2435"/>
      <c r="X90" s="2452"/>
      <c r="Z90" s="192">
        <f>SUM(Z88:Z89)</f>
        <v>2467969</v>
      </c>
      <c r="AC90" s="1365"/>
      <c r="AD90" s="1014">
        <v>2845300</v>
      </c>
      <c r="AE90" s="172">
        <f t="shared" si="38"/>
        <v>0</v>
      </c>
      <c r="AG90" s="1365">
        <f t="shared" si="39"/>
        <v>0</v>
      </c>
    </row>
    <row r="91" spans="1:33" s="203" customFormat="1" hidden="1">
      <c r="A91" s="2685" t="s">
        <v>688</v>
      </c>
      <c r="B91" s="2125" t="s">
        <v>689</v>
      </c>
      <c r="C91" s="2103" t="s">
        <v>656</v>
      </c>
      <c r="D91" s="2104" t="s">
        <v>690</v>
      </c>
      <c r="E91" s="2104">
        <v>2</v>
      </c>
      <c r="F91" s="2103" t="s">
        <v>534</v>
      </c>
      <c r="G91" s="2103" t="s">
        <v>572</v>
      </c>
      <c r="H91" s="2127" t="s">
        <v>658</v>
      </c>
      <c r="I91" s="2106">
        <f>3000000</f>
        <v>3000000</v>
      </c>
      <c r="J91" s="2579">
        <v>77400</v>
      </c>
      <c r="K91" s="2236">
        <v>78982</v>
      </c>
      <c r="L91" s="2106">
        <f t="shared" ref="L91:L96" si="51">+K91</f>
        <v>78982</v>
      </c>
      <c r="M91" s="2106">
        <f t="shared" ref="M91:M96" si="52">+L91</f>
        <v>78982</v>
      </c>
      <c r="N91" s="2106">
        <f>+M91+361918</f>
        <v>440900</v>
      </c>
      <c r="O91" s="2106">
        <f t="shared" ref="O91:O96" si="53">+N91</f>
        <v>440900</v>
      </c>
      <c r="P91" s="3172">
        <f>225000+215900</f>
        <v>440900</v>
      </c>
      <c r="Q91" s="2409">
        <f t="shared" si="48"/>
        <v>1</v>
      </c>
      <c r="R91" s="2400">
        <f t="shared" si="46"/>
        <v>0</v>
      </c>
      <c r="S91" s="2106">
        <f t="shared" si="33"/>
        <v>0</v>
      </c>
      <c r="T91" s="1365">
        <f t="shared" si="34"/>
        <v>361918</v>
      </c>
      <c r="U91" s="1365">
        <f t="shared" si="35"/>
        <v>0</v>
      </c>
      <c r="V91" s="1365"/>
      <c r="W91" s="2435"/>
      <c r="X91" s="2452"/>
      <c r="Z91" s="1209">
        <v>72400</v>
      </c>
      <c r="AC91" s="2419"/>
      <c r="AD91" s="2656">
        <v>77400</v>
      </c>
      <c r="AE91" s="172">
        <f t="shared" si="38"/>
        <v>0</v>
      </c>
      <c r="AG91" s="2419">
        <f t="shared" si="39"/>
        <v>0</v>
      </c>
    </row>
    <row r="92" spans="1:33" s="203" customFormat="1" hidden="1">
      <c r="A92" s="2685" t="s">
        <v>691</v>
      </c>
      <c r="B92" s="2125" t="s">
        <v>692</v>
      </c>
      <c r="C92" s="2103" t="s">
        <v>656</v>
      </c>
      <c r="D92" s="2104" t="s">
        <v>693</v>
      </c>
      <c r="E92" s="2104">
        <v>2</v>
      </c>
      <c r="F92" s="2103" t="s">
        <v>534</v>
      </c>
      <c r="G92" s="2103" t="s">
        <v>572</v>
      </c>
      <c r="H92" s="2127" t="s">
        <v>658</v>
      </c>
      <c r="I92" s="2106">
        <v>0</v>
      </c>
      <c r="J92" s="2579">
        <v>50000</v>
      </c>
      <c r="K92" s="2236">
        <v>54972</v>
      </c>
      <c r="L92" s="2106">
        <f t="shared" si="51"/>
        <v>54972</v>
      </c>
      <c r="M92" s="2106">
        <f t="shared" si="52"/>
        <v>54972</v>
      </c>
      <c r="N92" s="2106">
        <f>+M92+45028</f>
        <v>100000</v>
      </c>
      <c r="O92" s="2106">
        <f t="shared" si="53"/>
        <v>100000</v>
      </c>
      <c r="P92" s="3172">
        <v>100000</v>
      </c>
      <c r="Q92" s="2409">
        <f t="shared" si="48"/>
        <v>1</v>
      </c>
      <c r="R92" s="2400">
        <f t="shared" si="46"/>
        <v>0</v>
      </c>
      <c r="S92" s="2106">
        <f t="shared" si="33"/>
        <v>0</v>
      </c>
      <c r="T92" s="1365">
        <f t="shared" si="34"/>
        <v>45028</v>
      </c>
      <c r="U92" s="1365">
        <f t="shared" si="35"/>
        <v>0</v>
      </c>
      <c r="V92" s="1365"/>
      <c r="W92" s="2435"/>
      <c r="X92" s="2452"/>
      <c r="Z92" s="1209">
        <v>50000</v>
      </c>
      <c r="AC92" s="2419"/>
      <c r="AD92" s="2656">
        <v>50000</v>
      </c>
      <c r="AE92" s="172">
        <f t="shared" si="38"/>
        <v>0</v>
      </c>
      <c r="AG92" s="2419">
        <f t="shared" si="39"/>
        <v>0</v>
      </c>
    </row>
    <row r="93" spans="1:33" s="203" customFormat="1" hidden="1">
      <c r="A93" s="2685" t="s">
        <v>694</v>
      </c>
      <c r="B93" s="2125" t="s">
        <v>695</v>
      </c>
      <c r="C93" s="2103" t="s">
        <v>674</v>
      </c>
      <c r="D93" s="2128" t="s">
        <v>675</v>
      </c>
      <c r="E93" s="2104">
        <v>2</v>
      </c>
      <c r="F93" s="2103" t="s">
        <v>534</v>
      </c>
      <c r="G93" s="2103" t="s">
        <v>572</v>
      </c>
      <c r="H93" s="2127" t="s">
        <v>658</v>
      </c>
      <c r="I93" s="2106">
        <f>0</f>
        <v>0</v>
      </c>
      <c r="J93" s="2580">
        <v>0</v>
      </c>
      <c r="K93" s="2236">
        <f>0</f>
        <v>0</v>
      </c>
      <c r="L93" s="2106">
        <f t="shared" si="51"/>
        <v>0</v>
      </c>
      <c r="M93" s="2129">
        <f t="shared" si="52"/>
        <v>0</v>
      </c>
      <c r="N93" s="2106">
        <f>+M93</f>
        <v>0</v>
      </c>
      <c r="O93" s="2106">
        <f t="shared" si="53"/>
        <v>0</v>
      </c>
      <c r="P93" s="3172">
        <v>0</v>
      </c>
      <c r="Q93" s="2409"/>
      <c r="R93" s="2400">
        <f t="shared" si="46"/>
        <v>0</v>
      </c>
      <c r="S93" s="2106">
        <f t="shared" si="33"/>
        <v>0</v>
      </c>
      <c r="T93" s="1365">
        <f t="shared" si="34"/>
        <v>0</v>
      </c>
      <c r="U93" s="1365">
        <f t="shared" si="35"/>
        <v>0</v>
      </c>
      <c r="V93" s="1365"/>
      <c r="W93" s="2435"/>
      <c r="X93" s="2452"/>
      <c r="Z93" s="1209">
        <v>0</v>
      </c>
      <c r="AC93" s="2419"/>
      <c r="AD93" s="2656">
        <v>0</v>
      </c>
      <c r="AE93" s="172">
        <f t="shared" si="38"/>
        <v>0</v>
      </c>
      <c r="AG93" s="2419">
        <f t="shared" si="39"/>
        <v>0</v>
      </c>
    </row>
    <row r="94" spans="1:33" s="203" customFormat="1" hidden="1">
      <c r="A94" s="2685" t="s">
        <v>696</v>
      </c>
      <c r="B94" s="2125" t="s">
        <v>697</v>
      </c>
      <c r="C94" s="2103" t="s">
        <v>656</v>
      </c>
      <c r="D94" s="2104" t="s">
        <v>698</v>
      </c>
      <c r="E94" s="2104">
        <v>2</v>
      </c>
      <c r="F94" s="2103" t="s">
        <v>534</v>
      </c>
      <c r="G94" s="2103" t="s">
        <v>572</v>
      </c>
      <c r="H94" s="2127" t="s">
        <v>658</v>
      </c>
      <c r="I94" s="2106">
        <v>0</v>
      </c>
      <c r="J94" s="2579">
        <v>0</v>
      </c>
      <c r="K94" s="2236">
        <v>0</v>
      </c>
      <c r="L94" s="2106">
        <f t="shared" si="51"/>
        <v>0</v>
      </c>
      <c r="M94" s="2106">
        <f t="shared" si="52"/>
        <v>0</v>
      </c>
      <c r="N94" s="2106">
        <f>+M94</f>
        <v>0</v>
      </c>
      <c r="O94" s="2106">
        <f t="shared" si="53"/>
        <v>0</v>
      </c>
      <c r="P94" s="3179">
        <v>0</v>
      </c>
      <c r="Q94" s="2409"/>
      <c r="R94" s="2400">
        <f t="shared" si="46"/>
        <v>0</v>
      </c>
      <c r="S94" s="2106">
        <f t="shared" si="33"/>
        <v>0</v>
      </c>
      <c r="T94" s="1365">
        <f t="shared" si="34"/>
        <v>0</v>
      </c>
      <c r="U94" s="1365">
        <f t="shared" si="35"/>
        <v>0</v>
      </c>
      <c r="V94" s="1365"/>
      <c r="W94" s="2435"/>
      <c r="X94" s="2452"/>
      <c r="Z94" s="199">
        <v>0</v>
      </c>
      <c r="AC94" s="2106"/>
      <c r="AD94" s="1011">
        <v>0</v>
      </c>
      <c r="AE94" s="172">
        <f t="shared" si="38"/>
        <v>0</v>
      </c>
      <c r="AG94" s="2106">
        <f t="shared" si="39"/>
        <v>0</v>
      </c>
    </row>
    <row r="95" spans="1:33" s="203" customFormat="1" hidden="1">
      <c r="A95" s="2685" t="s">
        <v>699</v>
      </c>
      <c r="B95" s="2125" t="s">
        <v>700</v>
      </c>
      <c r="C95" s="2103" t="s">
        <v>614</v>
      </c>
      <c r="D95" s="2104" t="s">
        <v>701</v>
      </c>
      <c r="E95" s="2104">
        <v>2</v>
      </c>
      <c r="F95" s="2103" t="s">
        <v>534</v>
      </c>
      <c r="G95" s="2103" t="s">
        <v>572</v>
      </c>
      <c r="H95" s="2127" t="s">
        <v>658</v>
      </c>
      <c r="I95" s="2106">
        <v>0</v>
      </c>
      <c r="J95" s="2579">
        <v>0</v>
      </c>
      <c r="K95" s="2236">
        <v>0</v>
      </c>
      <c r="L95" s="2106">
        <f t="shared" si="51"/>
        <v>0</v>
      </c>
      <c r="M95" s="2106">
        <f t="shared" si="52"/>
        <v>0</v>
      </c>
      <c r="N95" s="2106">
        <f>+M95</f>
        <v>0</v>
      </c>
      <c r="O95" s="2106">
        <f t="shared" si="53"/>
        <v>0</v>
      </c>
      <c r="P95" s="3172">
        <v>0</v>
      </c>
      <c r="Q95" s="2409"/>
      <c r="R95" s="2400">
        <f t="shared" si="46"/>
        <v>0</v>
      </c>
      <c r="S95" s="2106">
        <f t="shared" si="33"/>
        <v>0</v>
      </c>
      <c r="T95" s="1365">
        <f t="shared" si="34"/>
        <v>0</v>
      </c>
      <c r="U95" s="1365">
        <f t="shared" si="35"/>
        <v>0</v>
      </c>
      <c r="V95" s="1365"/>
      <c r="W95" s="2435"/>
      <c r="X95" s="2452"/>
      <c r="Z95" s="1209">
        <v>0</v>
      </c>
      <c r="AC95" s="2419"/>
      <c r="AD95" s="2656">
        <v>0</v>
      </c>
      <c r="AE95" s="172">
        <f t="shared" si="38"/>
        <v>0</v>
      </c>
      <c r="AG95" s="2419">
        <f t="shared" si="39"/>
        <v>0</v>
      </c>
    </row>
    <row r="96" spans="1:33" s="203" customFormat="1" ht="38.25" hidden="1">
      <c r="A96" s="2685" t="s">
        <v>702</v>
      </c>
      <c r="B96" s="2125" t="s">
        <v>703</v>
      </c>
      <c r="C96" s="2103" t="s">
        <v>512</v>
      </c>
      <c r="D96" s="2128" t="s">
        <v>3184</v>
      </c>
      <c r="E96" s="2104">
        <v>2</v>
      </c>
      <c r="F96" s="2103" t="s">
        <v>534</v>
      </c>
      <c r="G96" s="2103" t="s">
        <v>572</v>
      </c>
      <c r="H96" s="2127" t="s">
        <v>658</v>
      </c>
      <c r="I96" s="2106">
        <v>0</v>
      </c>
      <c r="J96" s="2579">
        <v>0</v>
      </c>
      <c r="K96" s="2236">
        <v>0</v>
      </c>
      <c r="L96" s="2106">
        <f t="shared" si="51"/>
        <v>0</v>
      </c>
      <c r="M96" s="2106">
        <f t="shared" si="52"/>
        <v>0</v>
      </c>
      <c r="N96" s="2106">
        <f>+M96</f>
        <v>0</v>
      </c>
      <c r="O96" s="2106">
        <f t="shared" si="53"/>
        <v>0</v>
      </c>
      <c r="P96" s="3172">
        <f>20000-20000</f>
        <v>0</v>
      </c>
      <c r="Q96" s="2409"/>
      <c r="R96" s="2400">
        <f t="shared" si="46"/>
        <v>0</v>
      </c>
      <c r="S96" s="2106">
        <f t="shared" si="33"/>
        <v>0</v>
      </c>
      <c r="T96" s="1365">
        <f t="shared" si="34"/>
        <v>0</v>
      </c>
      <c r="U96" s="1365">
        <f t="shared" si="35"/>
        <v>0</v>
      </c>
      <c r="V96" s="1365"/>
      <c r="W96" s="2435"/>
      <c r="X96" s="2452"/>
      <c r="Z96" s="1209">
        <v>0</v>
      </c>
      <c r="AC96" s="2419"/>
      <c r="AD96" s="2656">
        <v>0</v>
      </c>
      <c r="AE96" s="172">
        <f t="shared" si="38"/>
        <v>0</v>
      </c>
      <c r="AG96" s="2419">
        <f t="shared" si="39"/>
        <v>0</v>
      </c>
    </row>
    <row r="97" spans="1:33">
      <c r="A97" s="2684" t="s">
        <v>704</v>
      </c>
      <c r="B97" s="2097" t="s">
        <v>705</v>
      </c>
      <c r="C97" s="1541"/>
      <c r="D97" s="2098"/>
      <c r="E97" s="2098"/>
      <c r="F97" s="1541"/>
      <c r="G97" s="1541"/>
      <c r="H97" s="2095" t="s">
        <v>667</v>
      </c>
      <c r="I97" s="1365">
        <f>SUM(I91:I96)</f>
        <v>3000000</v>
      </c>
      <c r="J97" s="2575">
        <f t="shared" ref="J97:P97" si="54">SUM(J91:J96)</f>
        <v>127400</v>
      </c>
      <c r="K97" s="2321">
        <f t="shared" si="54"/>
        <v>133954</v>
      </c>
      <c r="L97" s="1365">
        <f t="shared" si="54"/>
        <v>133954</v>
      </c>
      <c r="M97" s="1365">
        <f t="shared" si="54"/>
        <v>133954</v>
      </c>
      <c r="N97" s="1365">
        <f t="shared" si="54"/>
        <v>540900</v>
      </c>
      <c r="O97" s="1365">
        <f t="shared" si="54"/>
        <v>540900</v>
      </c>
      <c r="P97" s="2618">
        <f t="shared" si="54"/>
        <v>540900</v>
      </c>
      <c r="Q97" s="2409">
        <f>+P97/N97</f>
        <v>1</v>
      </c>
      <c r="R97" s="2399">
        <f t="shared" si="46"/>
        <v>0</v>
      </c>
      <c r="S97" s="1365">
        <f t="shared" si="33"/>
        <v>0</v>
      </c>
      <c r="T97" s="1365">
        <f t="shared" si="34"/>
        <v>406946</v>
      </c>
      <c r="U97" s="1365">
        <f t="shared" si="35"/>
        <v>0</v>
      </c>
      <c r="V97" s="1365"/>
      <c r="W97" s="2435"/>
      <c r="X97" s="2452"/>
      <c r="Z97" s="192">
        <f>SUM(Z91:Z96)</f>
        <v>122400</v>
      </c>
      <c r="AC97" s="1365"/>
      <c r="AD97" s="1014">
        <v>127400</v>
      </c>
      <c r="AE97" s="172">
        <f t="shared" si="38"/>
        <v>0</v>
      </c>
      <c r="AG97" s="1365">
        <f t="shared" si="39"/>
        <v>0</v>
      </c>
    </row>
    <row r="98" spans="1:33">
      <c r="A98" s="2684" t="s">
        <v>706</v>
      </c>
      <c r="B98" s="2097" t="s">
        <v>707</v>
      </c>
      <c r="C98" s="1541" t="s">
        <v>614</v>
      </c>
      <c r="D98" s="2098" t="s">
        <v>708</v>
      </c>
      <c r="E98" s="2098">
        <v>2</v>
      </c>
      <c r="F98" s="1541" t="s">
        <v>534</v>
      </c>
      <c r="G98" s="1541">
        <v>9990001</v>
      </c>
      <c r="H98" s="2095" t="s">
        <v>709</v>
      </c>
      <c r="I98" s="1365">
        <f>38344370</f>
        <v>38344370</v>
      </c>
      <c r="J98" s="2575">
        <v>63339694</v>
      </c>
      <c r="K98" s="2321">
        <f>30675496</f>
        <v>30675496</v>
      </c>
      <c r="L98" s="1365">
        <f t="shared" ref="L98:O99" si="55">+K98</f>
        <v>30675496</v>
      </c>
      <c r="M98" s="1365">
        <f t="shared" si="55"/>
        <v>30675496</v>
      </c>
      <c r="N98" s="1365">
        <f>+M98+21456536</f>
        <v>52132032</v>
      </c>
      <c r="O98" s="1365">
        <f t="shared" si="55"/>
        <v>52132032</v>
      </c>
      <c r="P98" s="3170">
        <f>10744643+41387389</f>
        <v>52132032</v>
      </c>
      <c r="Q98" s="2409">
        <f>+P98/N98</f>
        <v>1</v>
      </c>
      <c r="R98" s="2399">
        <f t="shared" si="46"/>
        <v>0</v>
      </c>
      <c r="S98" s="1365">
        <f t="shared" si="33"/>
        <v>0</v>
      </c>
      <c r="T98" s="1365">
        <f t="shared" si="34"/>
        <v>21456536</v>
      </c>
      <c r="U98" s="1365">
        <f t="shared" si="35"/>
        <v>0</v>
      </c>
      <c r="V98" s="1365"/>
      <c r="W98" s="2435"/>
      <c r="X98" s="2452"/>
      <c r="Z98" s="1207">
        <f>19620687+31574466</f>
        <v>51195153</v>
      </c>
      <c r="AC98" s="2408"/>
      <c r="AD98" s="2651">
        <v>63339694</v>
      </c>
      <c r="AE98" s="172">
        <f t="shared" si="38"/>
        <v>0</v>
      </c>
      <c r="AG98" s="2408">
        <f t="shared" si="39"/>
        <v>0</v>
      </c>
    </row>
    <row r="99" spans="1:33" ht="25.5">
      <c r="A99" s="2684" t="s">
        <v>710</v>
      </c>
      <c r="B99" s="2097" t="s">
        <v>4055</v>
      </c>
      <c r="C99" s="1541" t="s">
        <v>512</v>
      </c>
      <c r="D99" s="2098" t="s">
        <v>711</v>
      </c>
      <c r="E99" s="2098">
        <v>2</v>
      </c>
      <c r="F99" s="2097">
        <v>11130</v>
      </c>
      <c r="G99" s="2098">
        <v>9990001</v>
      </c>
      <c r="H99" s="2099" t="s">
        <v>645</v>
      </c>
      <c r="I99" s="1365">
        <f>0</f>
        <v>0</v>
      </c>
      <c r="J99" s="2575">
        <v>34006243</v>
      </c>
      <c r="K99" s="2321">
        <f>0</f>
        <v>0</v>
      </c>
      <c r="L99" s="1365">
        <f t="shared" si="55"/>
        <v>0</v>
      </c>
      <c r="M99" s="1365">
        <f t="shared" si="55"/>
        <v>0</v>
      </c>
      <c r="N99" s="1365">
        <f>+M99+36019597</f>
        <v>36019597</v>
      </c>
      <c r="O99" s="1365">
        <f t="shared" si="55"/>
        <v>36019597</v>
      </c>
      <c r="P99" s="2618">
        <f>0+3049+31340238+4676310</f>
        <v>36019597</v>
      </c>
      <c r="Q99" s="2409">
        <f>+P99/N99</f>
        <v>1</v>
      </c>
      <c r="R99" s="2399">
        <f t="shared" si="46"/>
        <v>0</v>
      </c>
      <c r="S99" s="1365">
        <f t="shared" si="33"/>
        <v>0</v>
      </c>
      <c r="T99" s="1365">
        <f t="shared" si="34"/>
        <v>36019597</v>
      </c>
      <c r="U99" s="1365">
        <f t="shared" si="35"/>
        <v>0</v>
      </c>
      <c r="V99" s="1365"/>
      <c r="W99" s="2435"/>
      <c r="X99" s="2452"/>
      <c r="Z99" s="209">
        <v>0</v>
      </c>
      <c r="AC99" s="1701"/>
      <c r="AD99" s="1014">
        <v>34006243</v>
      </c>
      <c r="AE99" s="172">
        <f t="shared" si="38"/>
        <v>0</v>
      </c>
      <c r="AG99" s="1701">
        <f t="shared" si="39"/>
        <v>0</v>
      </c>
    </row>
    <row r="100" spans="1:33">
      <c r="A100" s="2683" t="s">
        <v>712</v>
      </c>
      <c r="B100" s="2110" t="s">
        <v>713</v>
      </c>
      <c r="C100" s="1426"/>
      <c r="D100" s="2108"/>
      <c r="E100" s="2108"/>
      <c r="F100" s="2110"/>
      <c r="G100" s="2110"/>
      <c r="H100" s="2095" t="s">
        <v>714</v>
      </c>
      <c r="I100" s="1701">
        <f>+I83+I84+I87+I90+I97+I98+I99</f>
        <v>61000000</v>
      </c>
      <c r="J100" s="2576">
        <f t="shared" ref="J100:P100" si="56">+J83+J84+J87+J90+J97+J98+J99</f>
        <v>117450628</v>
      </c>
      <c r="K100" s="2325">
        <f t="shared" si="56"/>
        <v>54758409</v>
      </c>
      <c r="L100" s="1701">
        <f t="shared" si="56"/>
        <v>54758409</v>
      </c>
      <c r="M100" s="1701">
        <f t="shared" si="56"/>
        <v>54758409</v>
      </c>
      <c r="N100" s="1701">
        <f t="shared" si="56"/>
        <v>125931940</v>
      </c>
      <c r="O100" s="1701">
        <f t="shared" si="56"/>
        <v>125931940</v>
      </c>
      <c r="P100" s="2617">
        <f t="shared" si="56"/>
        <v>125931940</v>
      </c>
      <c r="Q100" s="2411">
        <f>+P100/N100</f>
        <v>1</v>
      </c>
      <c r="R100" s="2401">
        <f t="shared" si="46"/>
        <v>0</v>
      </c>
      <c r="S100" s="1701">
        <f t="shared" si="33"/>
        <v>0</v>
      </c>
      <c r="T100" s="1701">
        <f t="shared" si="34"/>
        <v>71173531</v>
      </c>
      <c r="U100" s="1701">
        <f t="shared" si="35"/>
        <v>0</v>
      </c>
      <c r="V100" s="1701"/>
      <c r="W100" s="2438"/>
      <c r="X100" s="2452"/>
      <c r="Y100" s="169"/>
      <c r="Z100" s="209">
        <f>+Z83+Z84+Z87+Z90+Z97+Z98+Z99</f>
        <v>66490151</v>
      </c>
      <c r="AC100" s="1701"/>
      <c r="AD100" s="1025">
        <v>117450628</v>
      </c>
      <c r="AE100" s="172">
        <f t="shared" si="38"/>
        <v>0</v>
      </c>
      <c r="AG100" s="1701">
        <f t="shared" si="39"/>
        <v>0</v>
      </c>
    </row>
    <row r="101" spans="1:33" ht="18.75">
      <c r="A101" s="2683" t="s">
        <v>715</v>
      </c>
      <c r="B101" s="2120" t="s">
        <v>3408</v>
      </c>
      <c r="C101" s="2121"/>
      <c r="D101" s="2122"/>
      <c r="E101" s="2122"/>
      <c r="F101" s="2120"/>
      <c r="G101" s="2120"/>
      <c r="H101" s="2120"/>
      <c r="I101" s="2123">
        <f>+I63+I70+I74+I75+I78+I79+I100</f>
        <v>11841768010</v>
      </c>
      <c r="J101" s="2577">
        <f t="shared" ref="J101:P101" si="57">+J63+J70+J74+J75+J78+J79+J100</f>
        <v>11551414482</v>
      </c>
      <c r="K101" s="2326">
        <f t="shared" si="57"/>
        <v>12037626419</v>
      </c>
      <c r="L101" s="2123">
        <f t="shared" si="57"/>
        <v>12037626419</v>
      </c>
      <c r="M101" s="2123">
        <f t="shared" si="57"/>
        <v>12037626419</v>
      </c>
      <c r="N101" s="2123">
        <f t="shared" si="57"/>
        <v>12427794489</v>
      </c>
      <c r="O101" s="2123">
        <f t="shared" si="57"/>
        <v>12427794489</v>
      </c>
      <c r="P101" s="3177">
        <f t="shared" si="57"/>
        <v>12427794489</v>
      </c>
      <c r="Q101" s="2415">
        <f>+P101/N101</f>
        <v>1</v>
      </c>
      <c r="R101" s="2402">
        <f t="shared" si="46"/>
        <v>0</v>
      </c>
      <c r="S101" s="2123">
        <f t="shared" si="33"/>
        <v>0</v>
      </c>
      <c r="T101" s="2123">
        <f t="shared" si="34"/>
        <v>390168070</v>
      </c>
      <c r="U101" s="2123">
        <f t="shared" si="35"/>
        <v>0</v>
      </c>
      <c r="V101" s="2123"/>
      <c r="W101" s="2440"/>
      <c r="X101" s="1365"/>
      <c r="Z101" s="222">
        <f>+Z63+Z70+Z74+Z75+Z78+Z79+Z100</f>
        <v>10937477318</v>
      </c>
      <c r="AC101" s="2414">
        <v>12427794489</v>
      </c>
      <c r="AD101" s="1096">
        <v>11551414482</v>
      </c>
      <c r="AE101" s="172">
        <f t="shared" si="38"/>
        <v>0</v>
      </c>
      <c r="AF101" s="2414">
        <f>+P101-AC101</f>
        <v>0</v>
      </c>
      <c r="AG101" s="2414">
        <f t="shared" si="39"/>
        <v>0</v>
      </c>
    </row>
    <row r="102" spans="1:33" ht="18.75" hidden="1" customHeight="1">
      <c r="A102" s="2683"/>
      <c r="B102" s="2130"/>
      <c r="C102" s="2099"/>
      <c r="D102" s="1542"/>
      <c r="E102" s="1542"/>
      <c r="F102" s="2130"/>
      <c r="G102" s="2130"/>
      <c r="H102" s="2131"/>
      <c r="I102" s="1701"/>
      <c r="J102" s="2576"/>
      <c r="K102" s="2325"/>
      <c r="L102" s="1701"/>
      <c r="M102" s="1701"/>
      <c r="N102" s="1701"/>
      <c r="O102" s="1701"/>
      <c r="P102" s="2617"/>
      <c r="Q102" s="2411"/>
      <c r="R102" s="2401"/>
      <c r="S102" s="1701"/>
      <c r="T102" s="1701">
        <f t="shared" si="34"/>
        <v>0</v>
      </c>
      <c r="U102" s="1701">
        <f t="shared" si="35"/>
        <v>0</v>
      </c>
      <c r="V102" s="1701"/>
      <c r="W102" s="2438"/>
      <c r="X102" s="2113"/>
      <c r="Z102" s="212"/>
      <c r="AC102" s="1701"/>
      <c r="AD102" s="2657"/>
      <c r="AE102" s="172">
        <f t="shared" si="38"/>
        <v>0</v>
      </c>
      <c r="AG102" s="1701">
        <f t="shared" si="39"/>
        <v>0</v>
      </c>
    </row>
    <row r="103" spans="1:33" ht="18.75" hidden="1" customHeight="1">
      <c r="A103" s="2683"/>
      <c r="B103" s="1423"/>
      <c r="C103" s="2095"/>
      <c r="D103" s="1423"/>
      <c r="E103" s="1423"/>
      <c r="F103" s="1423"/>
      <c r="G103" s="1423"/>
      <c r="H103" s="2095"/>
      <c r="I103" s="1546"/>
      <c r="J103" s="2581"/>
      <c r="K103" s="2328"/>
      <c r="L103" s="1546"/>
      <c r="M103" s="1546"/>
      <c r="N103" s="1546"/>
      <c r="O103" s="1546"/>
      <c r="P103" s="3180"/>
      <c r="Q103" s="2416"/>
      <c r="R103" s="2404"/>
      <c r="S103" s="1546"/>
      <c r="T103" s="1546"/>
      <c r="U103" s="1546"/>
      <c r="V103" s="1546"/>
      <c r="W103" s="2441"/>
      <c r="X103" s="2113"/>
      <c r="Z103" s="228"/>
      <c r="AC103" s="1546"/>
      <c r="AD103" s="2658"/>
      <c r="AE103" s="172">
        <f t="shared" si="38"/>
        <v>0</v>
      </c>
      <c r="AG103" s="1546"/>
    </row>
    <row r="104" spans="1:33">
      <c r="A104" s="3482" t="s">
        <v>3903</v>
      </c>
      <c r="B104" s="2110" t="s">
        <v>226</v>
      </c>
      <c r="C104" s="1426"/>
      <c r="D104" s="2108"/>
      <c r="E104" s="2108"/>
      <c r="F104" s="2110"/>
      <c r="G104" s="2110"/>
      <c r="H104" s="2095" t="s">
        <v>718</v>
      </c>
      <c r="I104" s="1701">
        <v>0</v>
      </c>
      <c r="J104" s="2575">
        <v>0</v>
      </c>
      <c r="K104" s="2325">
        <v>0</v>
      </c>
      <c r="L104" s="1701">
        <f t="shared" ref="L104:L114" si="58">+K104</f>
        <v>0</v>
      </c>
      <c r="M104" s="1365">
        <f>+L104+674730</f>
        <v>674730</v>
      </c>
      <c r="N104" s="1365">
        <f>+M104-32130</f>
        <v>642600</v>
      </c>
      <c r="O104" s="1365">
        <f t="shared" ref="O104:O114" si="59">+N104</f>
        <v>642600</v>
      </c>
      <c r="P104" s="2618">
        <v>642600</v>
      </c>
      <c r="Q104" s="2409">
        <f>+P104/N104</f>
        <v>1</v>
      </c>
      <c r="R104" s="2401">
        <f t="shared" ref="R104:R123" si="60">+L104-K104</f>
        <v>0</v>
      </c>
      <c r="S104" s="1365">
        <f t="shared" ref="S104:S179" si="61">+M104-L104</f>
        <v>674730</v>
      </c>
      <c r="T104" s="1701">
        <f t="shared" ref="T104:T124" si="62">+N104-M104</f>
        <v>-32130</v>
      </c>
      <c r="U104" s="1701">
        <f t="shared" ref="U104:U123" si="63">+O104-N104</f>
        <v>0</v>
      </c>
      <c r="V104" s="1701"/>
      <c r="W104" s="2438"/>
      <c r="X104" s="2113"/>
      <c r="Z104" s="192">
        <v>0</v>
      </c>
      <c r="AC104" s="1365">
        <v>642600</v>
      </c>
      <c r="AD104" s="1014">
        <v>0</v>
      </c>
      <c r="AE104" s="172">
        <f t="shared" si="38"/>
        <v>0</v>
      </c>
      <c r="AG104" s="1365">
        <f t="shared" si="39"/>
        <v>0</v>
      </c>
    </row>
    <row r="105" spans="1:33" ht="12.75" hidden="1" customHeight="1">
      <c r="A105" s="2683"/>
      <c r="B105" s="2097" t="s">
        <v>719</v>
      </c>
      <c r="C105" s="1541"/>
      <c r="D105" s="2098"/>
      <c r="E105" s="2098"/>
      <c r="F105" s="2097"/>
      <c r="G105" s="2097"/>
      <c r="H105" s="2099" t="s">
        <v>720</v>
      </c>
      <c r="I105" s="1365">
        <f>0</f>
        <v>0</v>
      </c>
      <c r="J105" s="2575">
        <v>0</v>
      </c>
      <c r="K105" s="2321">
        <f>0</f>
        <v>0</v>
      </c>
      <c r="L105" s="1365">
        <f t="shared" si="58"/>
        <v>0</v>
      </c>
      <c r="M105" s="1365">
        <f t="shared" ref="M105:M114" si="64">+L105</f>
        <v>0</v>
      </c>
      <c r="N105" s="1365">
        <f t="shared" ref="N105:N114" si="65">+M105</f>
        <v>0</v>
      </c>
      <c r="O105" s="1365">
        <f t="shared" si="59"/>
        <v>0</v>
      </c>
      <c r="P105" s="2618">
        <v>0</v>
      </c>
      <c r="Q105" s="2409"/>
      <c r="R105" s="2399">
        <f t="shared" si="60"/>
        <v>0</v>
      </c>
      <c r="S105" s="1365">
        <f t="shared" si="61"/>
        <v>0</v>
      </c>
      <c r="T105" s="1701">
        <f t="shared" si="62"/>
        <v>0</v>
      </c>
      <c r="U105" s="1701">
        <f t="shared" si="63"/>
        <v>0</v>
      </c>
      <c r="V105" s="1701"/>
      <c r="W105" s="2438"/>
      <c r="X105" s="2113"/>
      <c r="Z105" s="192">
        <v>0</v>
      </c>
      <c r="AC105" s="1365"/>
      <c r="AD105" s="1014">
        <v>0</v>
      </c>
      <c r="AE105" s="172">
        <f t="shared" si="38"/>
        <v>0</v>
      </c>
      <c r="AG105" s="1365">
        <f t="shared" si="39"/>
        <v>0</v>
      </c>
    </row>
    <row r="106" spans="1:33" ht="13.5" hidden="1" customHeight="1">
      <c r="A106" s="2683"/>
      <c r="B106" s="2097" t="s">
        <v>721</v>
      </c>
      <c r="C106" s="2098" t="s">
        <v>512</v>
      </c>
      <c r="D106" s="2098" t="s">
        <v>722</v>
      </c>
      <c r="E106" s="2098">
        <v>2</v>
      </c>
      <c r="F106" s="2098" t="s">
        <v>534</v>
      </c>
      <c r="G106" s="2098">
        <v>999000</v>
      </c>
      <c r="H106" s="2098" t="s">
        <v>723</v>
      </c>
      <c r="I106" s="1365">
        <f>5300000</f>
        <v>5300000</v>
      </c>
      <c r="J106" s="2575">
        <v>200900</v>
      </c>
      <c r="K106" s="2321">
        <v>5300000</v>
      </c>
      <c r="L106" s="1365">
        <f t="shared" si="58"/>
        <v>5300000</v>
      </c>
      <c r="M106" s="1365">
        <f t="shared" si="64"/>
        <v>5300000</v>
      </c>
      <c r="N106" s="1365">
        <f>+M106-5300000</f>
        <v>0</v>
      </c>
      <c r="O106" s="1365">
        <f t="shared" si="59"/>
        <v>0</v>
      </c>
      <c r="P106" s="3170">
        <f>4676310-4676310</f>
        <v>0</v>
      </c>
      <c r="Q106" s="2409" t="e">
        <f>+P106/N106</f>
        <v>#DIV/0!</v>
      </c>
      <c r="R106" s="2399">
        <f t="shared" si="60"/>
        <v>0</v>
      </c>
      <c r="S106" s="1365">
        <f t="shared" si="61"/>
        <v>0</v>
      </c>
      <c r="T106" s="1701">
        <f t="shared" si="62"/>
        <v>-5300000</v>
      </c>
      <c r="U106" s="1701">
        <f t="shared" si="63"/>
        <v>0</v>
      </c>
      <c r="V106" s="2139">
        <f>+K106/1.27</f>
        <v>4173228.346456693</v>
      </c>
      <c r="W106" s="2442">
        <f>+V106*0.27</f>
        <v>1126771.6535433072</v>
      </c>
      <c r="X106" s="2452"/>
      <c r="Z106" s="1207">
        <f>3368620+200900</f>
        <v>3569520</v>
      </c>
      <c r="AC106" s="2408"/>
      <c r="AD106" s="2651">
        <v>200900</v>
      </c>
      <c r="AE106" s="172">
        <f t="shared" si="38"/>
        <v>0</v>
      </c>
      <c r="AG106" s="2408">
        <f t="shared" si="39"/>
        <v>0</v>
      </c>
    </row>
    <row r="107" spans="1:33" ht="13.5" hidden="1" customHeight="1">
      <c r="A107" s="2683"/>
      <c r="B107" s="2097" t="s">
        <v>724</v>
      </c>
      <c r="C107" s="2098" t="s">
        <v>512</v>
      </c>
      <c r="D107" s="2098" t="s">
        <v>725</v>
      </c>
      <c r="E107" s="2098">
        <v>2</v>
      </c>
      <c r="F107" s="2098" t="s">
        <v>534</v>
      </c>
      <c r="G107" s="2098">
        <v>999000</v>
      </c>
      <c r="H107" s="2098" t="s">
        <v>723</v>
      </c>
      <c r="I107" s="1365"/>
      <c r="J107" s="2575">
        <v>0</v>
      </c>
      <c r="K107" s="2321"/>
      <c r="L107" s="1365">
        <f t="shared" si="58"/>
        <v>0</v>
      </c>
      <c r="M107" s="1365">
        <f t="shared" si="64"/>
        <v>0</v>
      </c>
      <c r="N107" s="1365">
        <f t="shared" si="65"/>
        <v>0</v>
      </c>
      <c r="O107" s="1365">
        <f t="shared" si="59"/>
        <v>0</v>
      </c>
      <c r="P107" s="2618"/>
      <c r="Q107" s="2409"/>
      <c r="R107" s="2399">
        <f t="shared" si="60"/>
        <v>0</v>
      </c>
      <c r="S107" s="1365">
        <f t="shared" si="61"/>
        <v>0</v>
      </c>
      <c r="T107" s="1701">
        <f t="shared" si="62"/>
        <v>0</v>
      </c>
      <c r="U107" s="1701">
        <f t="shared" si="63"/>
        <v>0</v>
      </c>
      <c r="V107" s="2139">
        <f>+K107/1.27</f>
        <v>0</v>
      </c>
      <c r="W107" s="2442">
        <f>+V107*0.27</f>
        <v>0</v>
      </c>
      <c r="X107" s="1365"/>
      <c r="Z107" s="192"/>
      <c r="AC107" s="1365"/>
      <c r="AD107" s="1014"/>
      <c r="AE107" s="172">
        <f t="shared" si="38"/>
        <v>0</v>
      </c>
      <c r="AG107" s="1365">
        <f t="shared" si="39"/>
        <v>0</v>
      </c>
    </row>
    <row r="108" spans="1:33" ht="12.75" hidden="1" customHeight="1">
      <c r="A108" s="2683"/>
      <c r="B108" s="2097" t="s">
        <v>726</v>
      </c>
      <c r="C108" s="1541"/>
      <c r="D108" s="2098"/>
      <c r="E108" s="2098"/>
      <c r="F108" s="2097"/>
      <c r="G108" s="2097"/>
      <c r="H108" s="2098" t="s">
        <v>723</v>
      </c>
      <c r="I108" s="1365">
        <v>0</v>
      </c>
      <c r="J108" s="2575">
        <v>0</v>
      </c>
      <c r="K108" s="2321">
        <v>0</v>
      </c>
      <c r="L108" s="1365">
        <f t="shared" si="58"/>
        <v>0</v>
      </c>
      <c r="M108" s="1365">
        <f t="shared" si="64"/>
        <v>0</v>
      </c>
      <c r="N108" s="1365">
        <f t="shared" si="65"/>
        <v>0</v>
      </c>
      <c r="O108" s="1365">
        <f t="shared" si="59"/>
        <v>0</v>
      </c>
      <c r="P108" s="2618">
        <v>0</v>
      </c>
      <c r="Q108" s="2409"/>
      <c r="R108" s="2399">
        <f t="shared" si="60"/>
        <v>0</v>
      </c>
      <c r="S108" s="1365">
        <f t="shared" si="61"/>
        <v>0</v>
      </c>
      <c r="T108" s="1701">
        <f t="shared" si="62"/>
        <v>0</v>
      </c>
      <c r="U108" s="1701">
        <f t="shared" si="63"/>
        <v>0</v>
      </c>
      <c r="V108" s="1701"/>
      <c r="W108" s="2438"/>
      <c r="X108" s="2113"/>
      <c r="Z108" s="192">
        <v>0</v>
      </c>
      <c r="AC108" s="1365"/>
      <c r="AD108" s="1014">
        <v>0</v>
      </c>
      <c r="AE108" s="172">
        <f t="shared" si="38"/>
        <v>0</v>
      </c>
      <c r="AG108" s="1365">
        <f t="shared" si="39"/>
        <v>0</v>
      </c>
    </row>
    <row r="109" spans="1:33" ht="12.75" hidden="1" customHeight="1">
      <c r="A109" s="2683"/>
      <c r="B109" s="2097" t="s">
        <v>727</v>
      </c>
      <c r="C109" s="1541"/>
      <c r="D109" s="2098"/>
      <c r="E109" s="2098"/>
      <c r="F109" s="2097"/>
      <c r="G109" s="2097"/>
      <c r="H109" s="2099" t="s">
        <v>728</v>
      </c>
      <c r="I109" s="1365">
        <v>0</v>
      </c>
      <c r="J109" s="2575">
        <v>0</v>
      </c>
      <c r="K109" s="2321">
        <v>0</v>
      </c>
      <c r="L109" s="1365">
        <f t="shared" si="58"/>
        <v>0</v>
      </c>
      <c r="M109" s="1365">
        <f t="shared" si="64"/>
        <v>0</v>
      </c>
      <c r="N109" s="1365">
        <f>+M109+3411524</f>
        <v>3411524</v>
      </c>
      <c r="O109" s="1365">
        <f t="shared" si="59"/>
        <v>3411524</v>
      </c>
      <c r="P109" s="2618">
        <f>0+3411524</f>
        <v>3411524</v>
      </c>
      <c r="Q109" s="2409">
        <f>+P109/N109</f>
        <v>1</v>
      </c>
      <c r="R109" s="2399">
        <f t="shared" si="60"/>
        <v>0</v>
      </c>
      <c r="S109" s="1365">
        <f t="shared" si="61"/>
        <v>0</v>
      </c>
      <c r="T109" s="1701">
        <f t="shared" si="62"/>
        <v>3411524</v>
      </c>
      <c r="U109" s="1701">
        <f t="shared" si="63"/>
        <v>0</v>
      </c>
      <c r="V109" s="1701"/>
      <c r="W109" s="2438"/>
      <c r="X109" s="2113"/>
      <c r="Z109" s="192">
        <v>0</v>
      </c>
      <c r="AC109" s="1365"/>
      <c r="AD109" s="1014">
        <v>0</v>
      </c>
      <c r="AE109" s="172">
        <f t="shared" si="38"/>
        <v>0</v>
      </c>
      <c r="AG109" s="1365">
        <f t="shared" si="39"/>
        <v>0</v>
      </c>
    </row>
    <row r="110" spans="1:33" s="203" customFormat="1" ht="13.5" hidden="1" customHeight="1">
      <c r="A110" s="2690"/>
      <c r="B110" s="2132" t="s">
        <v>729</v>
      </c>
      <c r="C110" s="2103" t="s">
        <v>730</v>
      </c>
      <c r="D110" s="2103" t="s">
        <v>731</v>
      </c>
      <c r="E110" s="2104">
        <v>3</v>
      </c>
      <c r="F110" s="2103" t="s">
        <v>732</v>
      </c>
      <c r="G110" s="2103" t="s">
        <v>733</v>
      </c>
      <c r="H110" s="2127" t="s">
        <v>734</v>
      </c>
      <c r="I110" s="2106">
        <f>7150000*1.17+500</f>
        <v>8365999.9999999991</v>
      </c>
      <c r="J110" s="2579">
        <v>8823700</v>
      </c>
      <c r="K110" s="2236">
        <v>9570000</v>
      </c>
      <c r="L110" s="2106">
        <f t="shared" si="58"/>
        <v>9570000</v>
      </c>
      <c r="M110" s="2106">
        <f t="shared" si="64"/>
        <v>9570000</v>
      </c>
      <c r="N110" s="2106">
        <f>+M110-2016809</f>
        <v>7553191</v>
      </c>
      <c r="O110" s="2106">
        <f t="shared" si="59"/>
        <v>7553191</v>
      </c>
      <c r="P110" s="3172">
        <f>6784691+6400+762100</f>
        <v>7553191</v>
      </c>
      <c r="Q110" s="2420">
        <f>+P110/N110</f>
        <v>1</v>
      </c>
      <c r="R110" s="2400">
        <f t="shared" si="60"/>
        <v>0</v>
      </c>
      <c r="S110" s="2106">
        <f t="shared" si="61"/>
        <v>0</v>
      </c>
      <c r="T110" s="2139">
        <f t="shared" si="62"/>
        <v>-2016809</v>
      </c>
      <c r="U110" s="2139">
        <f t="shared" si="63"/>
        <v>0</v>
      </c>
      <c r="V110" s="2139">
        <f>+K110/1.27</f>
        <v>7535433.0708661415</v>
      </c>
      <c r="W110" s="2442">
        <f>+V110*0.27</f>
        <v>2034566.9291338583</v>
      </c>
      <c r="X110" s="2141">
        <f>9570000-8700000</f>
        <v>870000</v>
      </c>
      <c r="Z110" s="1209">
        <f>6806901+420000+6400+1222899</f>
        <v>8456200</v>
      </c>
      <c r="AC110" s="2419"/>
      <c r="AD110" s="2656">
        <v>8823700</v>
      </c>
      <c r="AE110" s="172">
        <f t="shared" si="38"/>
        <v>0</v>
      </c>
      <c r="AG110" s="2419">
        <f t="shared" si="39"/>
        <v>0</v>
      </c>
    </row>
    <row r="111" spans="1:33" s="203" customFormat="1" ht="13.5" hidden="1" customHeight="1">
      <c r="A111" s="2690"/>
      <c r="B111" s="2132" t="s">
        <v>735</v>
      </c>
      <c r="C111" s="2103" t="s">
        <v>736</v>
      </c>
      <c r="D111" s="2103" t="s">
        <v>737</v>
      </c>
      <c r="E111" s="2103" t="s">
        <v>738</v>
      </c>
      <c r="F111" s="2103" t="s">
        <v>732</v>
      </c>
      <c r="G111" s="2103" t="s">
        <v>733</v>
      </c>
      <c r="H111" s="2127" t="s">
        <v>739</v>
      </c>
      <c r="I111" s="2106">
        <f>1281000+1257730-230-500</f>
        <v>2538000</v>
      </c>
      <c r="J111" s="2579">
        <v>1875900</v>
      </c>
      <c r="K111" s="2236">
        <v>2130000</v>
      </c>
      <c r="L111" s="2106">
        <f t="shared" si="58"/>
        <v>2130000</v>
      </c>
      <c r="M111" s="2106">
        <f t="shared" si="64"/>
        <v>2130000</v>
      </c>
      <c r="N111" s="2106">
        <f>+M111-1555748</f>
        <v>574252</v>
      </c>
      <c r="O111" s="2106">
        <f t="shared" si="59"/>
        <v>574252</v>
      </c>
      <c r="P111" s="3172">
        <v>574252</v>
      </c>
      <c r="Q111" s="2420">
        <f>+P111/N111</f>
        <v>1</v>
      </c>
      <c r="R111" s="2400">
        <f t="shared" si="60"/>
        <v>0</v>
      </c>
      <c r="S111" s="2106">
        <f t="shared" si="61"/>
        <v>0</v>
      </c>
      <c r="T111" s="2139">
        <f t="shared" si="62"/>
        <v>-1555748</v>
      </c>
      <c r="U111" s="2139">
        <f t="shared" si="63"/>
        <v>0</v>
      </c>
      <c r="V111" s="2139">
        <f>+K111/1.27</f>
        <v>1677165.3543307087</v>
      </c>
      <c r="W111" s="2442">
        <f>+V111*0.27</f>
        <v>452834.64566929138</v>
      </c>
      <c r="X111" s="2141"/>
      <c r="Z111" s="1209">
        <f>1477087+398813</f>
        <v>1875900</v>
      </c>
      <c r="AC111" s="2419"/>
      <c r="AD111" s="2656">
        <v>1875900</v>
      </c>
      <c r="AE111" s="172">
        <f t="shared" si="38"/>
        <v>0</v>
      </c>
      <c r="AG111" s="2419">
        <f t="shared" si="39"/>
        <v>0</v>
      </c>
    </row>
    <row r="112" spans="1:33" s="203" customFormat="1" ht="13.5" hidden="1" customHeight="1">
      <c r="A112" s="2690"/>
      <c r="B112" s="2132" t="s">
        <v>740</v>
      </c>
      <c r="C112" s="2103" t="s">
        <v>512</v>
      </c>
      <c r="D112" s="2103" t="s">
        <v>741</v>
      </c>
      <c r="E112" s="2103" t="s">
        <v>738</v>
      </c>
      <c r="F112" s="2103" t="s">
        <v>742</v>
      </c>
      <c r="G112" s="2103" t="s">
        <v>743</v>
      </c>
      <c r="H112" s="2127" t="s">
        <v>744</v>
      </c>
      <c r="I112" s="2106">
        <f>11400000</f>
        <v>11400000</v>
      </c>
      <c r="J112" s="2579">
        <v>10638029</v>
      </c>
      <c r="K112" s="2236">
        <f>11400000</f>
        <v>11400000</v>
      </c>
      <c r="L112" s="2106">
        <f t="shared" si="58"/>
        <v>11400000</v>
      </c>
      <c r="M112" s="2106">
        <f t="shared" si="64"/>
        <v>11400000</v>
      </c>
      <c r="N112" s="2106">
        <f>+M112-3102108</f>
        <v>8297892</v>
      </c>
      <c r="O112" s="2106">
        <f t="shared" si="59"/>
        <v>8297892</v>
      </c>
      <c r="P112" s="3172">
        <v>8297892</v>
      </c>
      <c r="Q112" s="2420">
        <f>+P112/N112</f>
        <v>1</v>
      </c>
      <c r="R112" s="2400">
        <f t="shared" si="60"/>
        <v>0</v>
      </c>
      <c r="S112" s="2106">
        <f t="shared" si="61"/>
        <v>0</v>
      </c>
      <c r="T112" s="2139">
        <f t="shared" si="62"/>
        <v>-3102108</v>
      </c>
      <c r="U112" s="2139">
        <f t="shared" si="63"/>
        <v>0</v>
      </c>
      <c r="V112" s="2139">
        <f>+K112/1.27</f>
        <v>8976377.9527559057</v>
      </c>
      <c r="W112" s="2442">
        <f>+V112*0.27</f>
        <v>2423622.0472440948</v>
      </c>
      <c r="X112" s="2452"/>
      <c r="Y112" s="1269"/>
      <c r="Z112" s="1209">
        <f>7132278+1920374</f>
        <v>9052652</v>
      </c>
      <c r="AC112" s="2419"/>
      <c r="AD112" s="2656">
        <v>10638029</v>
      </c>
      <c r="AE112" s="172">
        <f t="shared" si="38"/>
        <v>0</v>
      </c>
      <c r="AG112" s="2419">
        <f t="shared" si="39"/>
        <v>0</v>
      </c>
    </row>
    <row r="113" spans="1:33" s="203" customFormat="1" ht="13.5" hidden="1" customHeight="1">
      <c r="A113" s="2690"/>
      <c r="B113" s="2132" t="s">
        <v>745</v>
      </c>
      <c r="C113" s="2103" t="s">
        <v>736</v>
      </c>
      <c r="D113" s="2103" t="s">
        <v>746</v>
      </c>
      <c r="E113" s="2103" t="s">
        <v>738</v>
      </c>
      <c r="F113" s="2103" t="s">
        <v>534</v>
      </c>
      <c r="G113" s="2103" t="s">
        <v>572</v>
      </c>
      <c r="H113" s="2127" t="s">
        <v>744</v>
      </c>
      <c r="I113" s="2106">
        <v>0</v>
      </c>
      <c r="J113" s="2579">
        <v>0</v>
      </c>
      <c r="K113" s="2236">
        <v>0</v>
      </c>
      <c r="L113" s="2106">
        <f t="shared" si="58"/>
        <v>0</v>
      </c>
      <c r="M113" s="2106">
        <f t="shared" si="64"/>
        <v>0</v>
      </c>
      <c r="N113" s="2106">
        <f t="shared" si="65"/>
        <v>0</v>
      </c>
      <c r="O113" s="2106">
        <f t="shared" si="59"/>
        <v>0</v>
      </c>
      <c r="P113" s="3181">
        <v>0</v>
      </c>
      <c r="Q113" s="2420"/>
      <c r="R113" s="2400">
        <f t="shared" si="60"/>
        <v>0</v>
      </c>
      <c r="S113" s="2106">
        <f t="shared" si="61"/>
        <v>0</v>
      </c>
      <c r="T113" s="2106">
        <f t="shared" si="62"/>
        <v>0</v>
      </c>
      <c r="U113" s="2106">
        <f t="shared" si="63"/>
        <v>0</v>
      </c>
      <c r="V113" s="2106"/>
      <c r="W113" s="2437"/>
      <c r="X113" s="2141"/>
      <c r="Y113" s="1269"/>
      <c r="Z113" s="229">
        <v>0</v>
      </c>
      <c r="AC113" s="2139"/>
      <c r="AD113" s="1026">
        <v>0</v>
      </c>
      <c r="AE113" s="172">
        <f t="shared" si="38"/>
        <v>0</v>
      </c>
      <c r="AG113" s="2139">
        <f t="shared" si="39"/>
        <v>0</v>
      </c>
    </row>
    <row r="114" spans="1:33" s="203" customFormat="1" ht="13.5" hidden="1" customHeight="1">
      <c r="A114" s="2690"/>
      <c r="B114" s="2132" t="s">
        <v>747</v>
      </c>
      <c r="C114" s="2103" t="s">
        <v>656</v>
      </c>
      <c r="D114" s="2103" t="s">
        <v>748</v>
      </c>
      <c r="E114" s="2103" t="s">
        <v>738</v>
      </c>
      <c r="F114" s="2103" t="s">
        <v>534</v>
      </c>
      <c r="G114" s="2103" t="s">
        <v>572</v>
      </c>
      <c r="H114" s="2127" t="s">
        <v>744</v>
      </c>
      <c r="I114" s="2106">
        <v>0</v>
      </c>
      <c r="J114" s="2579">
        <v>0</v>
      </c>
      <c r="K114" s="2236">
        <v>0</v>
      </c>
      <c r="L114" s="2106">
        <f t="shared" si="58"/>
        <v>0</v>
      </c>
      <c r="M114" s="2106">
        <f t="shared" si="64"/>
        <v>0</v>
      </c>
      <c r="N114" s="2106">
        <f t="shared" si="65"/>
        <v>0</v>
      </c>
      <c r="O114" s="2106">
        <f t="shared" si="59"/>
        <v>0</v>
      </c>
      <c r="P114" s="3181">
        <v>0</v>
      </c>
      <c r="Q114" s="2420"/>
      <c r="R114" s="2400">
        <f t="shared" si="60"/>
        <v>0</v>
      </c>
      <c r="S114" s="2106">
        <f t="shared" si="61"/>
        <v>0</v>
      </c>
      <c r="T114" s="2106">
        <f t="shared" si="62"/>
        <v>0</v>
      </c>
      <c r="U114" s="2106">
        <f t="shared" si="63"/>
        <v>0</v>
      </c>
      <c r="V114" s="2139">
        <f>+K114/1.27</f>
        <v>0</v>
      </c>
      <c r="W114" s="2442">
        <f>+V114*0.27</f>
        <v>0</v>
      </c>
      <c r="X114" s="2141"/>
      <c r="Z114" s="229">
        <v>0</v>
      </c>
      <c r="AC114" s="2139"/>
      <c r="AD114" s="1026">
        <v>0</v>
      </c>
      <c r="AE114" s="172">
        <f t="shared" si="38"/>
        <v>0</v>
      </c>
      <c r="AG114" s="2139">
        <f t="shared" si="39"/>
        <v>0</v>
      </c>
    </row>
    <row r="115" spans="1:33" s="203" customFormat="1" ht="13.5" hidden="1" customHeight="1">
      <c r="A115" s="2690"/>
      <c r="B115" s="2132" t="s">
        <v>749</v>
      </c>
      <c r="C115" s="2103" t="s">
        <v>736</v>
      </c>
      <c r="D115" s="2103" t="s">
        <v>750</v>
      </c>
      <c r="E115" s="2103" t="s">
        <v>738</v>
      </c>
      <c r="F115" s="2103" t="s">
        <v>751</v>
      </c>
      <c r="G115" s="2103" t="s">
        <v>572</v>
      </c>
      <c r="H115" s="2127" t="s">
        <v>744</v>
      </c>
      <c r="I115" s="2106">
        <v>0</v>
      </c>
      <c r="J115" s="2579">
        <v>37500</v>
      </c>
      <c r="K115" s="2236">
        <v>0</v>
      </c>
      <c r="L115" s="2106">
        <f>+K115</f>
        <v>0</v>
      </c>
      <c r="M115" s="2106">
        <f>+L115</f>
        <v>0</v>
      </c>
      <c r="N115" s="2106">
        <f>+M115</f>
        <v>0</v>
      </c>
      <c r="O115" s="2106"/>
      <c r="P115" s="3172">
        <v>0</v>
      </c>
      <c r="Q115" s="2420"/>
      <c r="R115" s="2400">
        <f t="shared" si="60"/>
        <v>0</v>
      </c>
      <c r="S115" s="2106">
        <f t="shared" si="61"/>
        <v>0</v>
      </c>
      <c r="T115" s="2106">
        <f t="shared" si="62"/>
        <v>0</v>
      </c>
      <c r="U115" s="2106">
        <f t="shared" si="63"/>
        <v>0</v>
      </c>
      <c r="V115" s="2139"/>
      <c r="W115" s="2442"/>
      <c r="X115" s="2141"/>
      <c r="Z115" s="1209">
        <f>29528+7972</f>
        <v>37500</v>
      </c>
      <c r="AC115" s="2419"/>
      <c r="AD115" s="2656">
        <v>37500</v>
      </c>
      <c r="AE115" s="172">
        <f t="shared" si="38"/>
        <v>0</v>
      </c>
      <c r="AG115" s="2419">
        <f t="shared" si="39"/>
        <v>0</v>
      </c>
    </row>
    <row r="116" spans="1:33" s="203" customFormat="1" ht="13.5" hidden="1" customHeight="1">
      <c r="A116" s="2690"/>
      <c r="B116" s="2132" t="s">
        <v>752</v>
      </c>
      <c r="C116" s="2103" t="s">
        <v>736</v>
      </c>
      <c r="D116" s="2103" t="s">
        <v>753</v>
      </c>
      <c r="E116" s="2103" t="s">
        <v>754</v>
      </c>
      <c r="F116" s="2103" t="s">
        <v>751</v>
      </c>
      <c r="G116" s="2103" t="s">
        <v>572</v>
      </c>
      <c r="H116" s="2127" t="s">
        <v>755</v>
      </c>
      <c r="I116" s="2133">
        <f>2000000</f>
        <v>2000000</v>
      </c>
      <c r="J116" s="2579">
        <v>303953</v>
      </c>
      <c r="K116" s="2236">
        <f>2000000</f>
        <v>2000000</v>
      </c>
      <c r="L116" s="2106">
        <f t="shared" ref="L116:O117" si="66">+K116</f>
        <v>2000000</v>
      </c>
      <c r="M116" s="2106">
        <f t="shared" si="66"/>
        <v>2000000</v>
      </c>
      <c r="N116" s="2106">
        <f>+M116-765740</f>
        <v>1234260</v>
      </c>
      <c r="O116" s="2106">
        <f t="shared" si="66"/>
        <v>1234260</v>
      </c>
      <c r="P116" s="3172">
        <v>1234260</v>
      </c>
      <c r="Q116" s="2420">
        <f>+P116/N116</f>
        <v>1</v>
      </c>
      <c r="R116" s="2400">
        <f t="shared" si="60"/>
        <v>0</v>
      </c>
      <c r="S116" s="2106">
        <f t="shared" si="61"/>
        <v>0</v>
      </c>
      <c r="T116" s="2106">
        <f t="shared" si="62"/>
        <v>-765740</v>
      </c>
      <c r="U116" s="2106">
        <f t="shared" si="63"/>
        <v>0</v>
      </c>
      <c r="V116" s="2139">
        <f>+K116/1.27</f>
        <v>1574803.1496062991</v>
      </c>
      <c r="W116" s="2442">
        <f>+V116*0.27</f>
        <v>425196.85039370076</v>
      </c>
      <c r="X116" s="2452"/>
      <c r="Z116" s="1209">
        <f>303953+1125750</f>
        <v>1429703</v>
      </c>
      <c r="AC116" s="2419"/>
      <c r="AD116" s="2656">
        <v>303953</v>
      </c>
      <c r="AE116" s="172">
        <f t="shared" si="38"/>
        <v>0</v>
      </c>
      <c r="AG116" s="2419">
        <f t="shared" si="39"/>
        <v>0</v>
      </c>
    </row>
    <row r="117" spans="1:33" s="203" customFormat="1" ht="13.5" hidden="1" customHeight="1">
      <c r="A117" s="2690"/>
      <c r="B117" s="2132" t="s">
        <v>756</v>
      </c>
      <c r="C117" s="2103"/>
      <c r="D117" s="2103" t="s">
        <v>757</v>
      </c>
      <c r="E117" s="2103" t="s">
        <v>738</v>
      </c>
      <c r="F117" s="2103" t="s">
        <v>758</v>
      </c>
      <c r="G117" s="2103" t="s">
        <v>572</v>
      </c>
      <c r="H117" s="2127"/>
      <c r="I117" s="2106">
        <v>0</v>
      </c>
      <c r="J117" s="2579">
        <v>0</v>
      </c>
      <c r="K117" s="2236">
        <v>0</v>
      </c>
      <c r="L117" s="2106">
        <f t="shared" si="66"/>
        <v>0</v>
      </c>
      <c r="M117" s="2106">
        <f t="shared" si="66"/>
        <v>0</v>
      </c>
      <c r="N117" s="2106">
        <f t="shared" si="66"/>
        <v>0</v>
      </c>
      <c r="O117" s="2106">
        <f t="shared" si="66"/>
        <v>0</v>
      </c>
      <c r="P117" s="3181">
        <v>0</v>
      </c>
      <c r="Q117" s="2420"/>
      <c r="R117" s="2400">
        <f t="shared" si="60"/>
        <v>0</v>
      </c>
      <c r="S117" s="2106">
        <f t="shared" si="61"/>
        <v>0</v>
      </c>
      <c r="T117" s="2106">
        <f t="shared" si="62"/>
        <v>0</v>
      </c>
      <c r="U117" s="2106">
        <f t="shared" si="63"/>
        <v>0</v>
      </c>
      <c r="V117" s="2139"/>
      <c r="W117" s="2442"/>
      <c r="X117" s="2452"/>
      <c r="Z117" s="229">
        <v>0</v>
      </c>
      <c r="AC117" s="2139"/>
      <c r="AD117" s="1026">
        <v>0</v>
      </c>
      <c r="AE117" s="172">
        <f t="shared" si="38"/>
        <v>0</v>
      </c>
      <c r="AG117" s="2139">
        <f t="shared" si="39"/>
        <v>0</v>
      </c>
    </row>
    <row r="118" spans="1:33" s="1027" customFormat="1" ht="13.5" hidden="1" customHeight="1">
      <c r="A118" s="2690"/>
      <c r="B118" s="2134" t="s">
        <v>3056</v>
      </c>
      <c r="C118" s="2135" t="s">
        <v>656</v>
      </c>
      <c r="D118" s="2135" t="s">
        <v>3295</v>
      </c>
      <c r="E118" s="2135" t="s">
        <v>754</v>
      </c>
      <c r="F118" s="2135" t="s">
        <v>534</v>
      </c>
      <c r="G118" s="2135" t="s">
        <v>572</v>
      </c>
      <c r="H118" s="2136" t="s">
        <v>3057</v>
      </c>
      <c r="I118" s="2133"/>
      <c r="J118" s="2579"/>
      <c r="K118" s="2236"/>
      <c r="L118" s="2133"/>
      <c r="M118" s="2133"/>
      <c r="N118" s="2133"/>
      <c r="O118" s="2133"/>
      <c r="P118" s="3181"/>
      <c r="Q118" s="2421"/>
      <c r="R118" s="2405"/>
      <c r="S118" s="2106">
        <f t="shared" si="61"/>
        <v>0</v>
      </c>
      <c r="T118" s="2133"/>
      <c r="U118" s="2133"/>
      <c r="V118" s="2172"/>
      <c r="W118" s="2443"/>
      <c r="X118" s="2452"/>
      <c r="Z118" s="1026"/>
      <c r="AC118" s="2172"/>
      <c r="AD118" s="1026"/>
      <c r="AE118" s="172">
        <f t="shared" si="38"/>
        <v>0</v>
      </c>
      <c r="AG118" s="2172">
        <f t="shared" si="39"/>
        <v>0</v>
      </c>
    </row>
    <row r="119" spans="1:33">
      <c r="A119" s="3482" t="s">
        <v>3904</v>
      </c>
      <c r="B119" s="2110" t="s">
        <v>228</v>
      </c>
      <c r="C119" s="1426"/>
      <c r="D119" s="2108"/>
      <c r="E119" s="2108"/>
      <c r="F119" s="2110"/>
      <c r="G119" s="2110"/>
      <c r="H119" s="2095" t="s">
        <v>760</v>
      </c>
      <c r="I119" s="1701">
        <f>SUM(I105:I118)</f>
        <v>29604000</v>
      </c>
      <c r="J119" s="2576">
        <f>SUM(J105:J117)</f>
        <v>21879982</v>
      </c>
      <c r="K119" s="2325">
        <f t="shared" ref="K119:P119" si="67">SUM(K105:K118)</f>
        <v>30400000</v>
      </c>
      <c r="L119" s="1701">
        <f t="shared" si="67"/>
        <v>30400000</v>
      </c>
      <c r="M119" s="1701">
        <f t="shared" si="67"/>
        <v>30400000</v>
      </c>
      <c r="N119" s="1701">
        <f t="shared" si="67"/>
        <v>21071119</v>
      </c>
      <c r="O119" s="1701">
        <f t="shared" si="67"/>
        <v>21071119</v>
      </c>
      <c r="P119" s="2617">
        <f t="shared" si="67"/>
        <v>21071119</v>
      </c>
      <c r="Q119" s="2411">
        <f>+P119/N119</f>
        <v>1</v>
      </c>
      <c r="R119" s="2401">
        <f t="shared" si="60"/>
        <v>0</v>
      </c>
      <c r="S119" s="1701">
        <f t="shared" si="61"/>
        <v>0</v>
      </c>
      <c r="T119" s="1701">
        <f t="shared" si="62"/>
        <v>-9328881</v>
      </c>
      <c r="U119" s="1701">
        <f t="shared" si="63"/>
        <v>0</v>
      </c>
      <c r="V119" s="1701"/>
      <c r="W119" s="2438"/>
      <c r="X119" s="2452"/>
      <c r="Z119" s="209">
        <f>SUM(Z105:Z118)</f>
        <v>24421475</v>
      </c>
      <c r="AC119" s="1701">
        <v>21071119</v>
      </c>
      <c r="AD119" s="1025">
        <v>21879982</v>
      </c>
      <c r="AE119" s="172">
        <f t="shared" si="38"/>
        <v>0</v>
      </c>
      <c r="AF119" s="172">
        <f>+P119-AC119</f>
        <v>0</v>
      </c>
      <c r="AG119" s="1701">
        <f t="shared" si="39"/>
        <v>0</v>
      </c>
    </row>
    <row r="120" spans="1:33" ht="25.5" hidden="1">
      <c r="A120" s="2691" t="s">
        <v>3854</v>
      </c>
      <c r="B120" s="2239" t="s">
        <v>3853</v>
      </c>
      <c r="C120" s="1426"/>
      <c r="D120" s="2108"/>
      <c r="E120" s="2103"/>
      <c r="F120" s="2103"/>
      <c r="G120" s="2103"/>
      <c r="H120" s="2127"/>
      <c r="I120" s="2106"/>
      <c r="J120" s="2579"/>
      <c r="K120" s="2236">
        <v>0</v>
      </c>
      <c r="L120" s="2106">
        <f>+K120+20000000</f>
        <v>20000000</v>
      </c>
      <c r="M120" s="2106">
        <f>+L120+4848628+3030921+1897551+1629151+2700596+1826148+2617722</f>
        <v>38550717</v>
      </c>
      <c r="N120" s="2106">
        <f>+M120+2267547+3600530+1206081+1966406+1692081+2714602+3857+1372125-12419627</f>
        <v>40954319</v>
      </c>
      <c r="O120" s="2106">
        <f>+N120</f>
        <v>40954319</v>
      </c>
      <c r="P120" s="3179">
        <f>40954319</f>
        <v>40954319</v>
      </c>
      <c r="Q120" s="2420">
        <f>+P120/N120</f>
        <v>1</v>
      </c>
      <c r="R120" s="2400">
        <f t="shared" si="60"/>
        <v>20000000</v>
      </c>
      <c r="S120" s="2106">
        <f t="shared" si="61"/>
        <v>18550717</v>
      </c>
      <c r="T120" s="2106">
        <f t="shared" si="62"/>
        <v>2403602</v>
      </c>
      <c r="U120" s="2106">
        <f t="shared" si="63"/>
        <v>0</v>
      </c>
      <c r="V120" s="2139"/>
      <c r="W120" s="2442"/>
      <c r="X120" s="2452"/>
      <c r="Z120" s="229"/>
      <c r="AC120" s="2139"/>
      <c r="AD120" s="1026"/>
      <c r="AE120" s="172">
        <f t="shared" si="38"/>
        <v>0</v>
      </c>
      <c r="AG120" s="2139">
        <f t="shared" si="39"/>
        <v>0</v>
      </c>
    </row>
    <row r="121" spans="1:33" ht="13.5" hidden="1">
      <c r="A121" s="2683"/>
      <c r="B121" s="2125" t="s">
        <v>761</v>
      </c>
      <c r="C121" s="2244" t="s">
        <v>512</v>
      </c>
      <c r="D121" s="2245" t="s">
        <v>762</v>
      </c>
      <c r="E121" s="2246" t="s">
        <v>754</v>
      </c>
      <c r="F121" s="2246" t="s">
        <v>534</v>
      </c>
      <c r="G121" s="2246" t="s">
        <v>763</v>
      </c>
      <c r="H121" s="2247" t="s">
        <v>764</v>
      </c>
      <c r="I121" s="2106">
        <f>8000000</f>
        <v>8000000</v>
      </c>
      <c r="J121" s="2579">
        <v>944862</v>
      </c>
      <c r="K121" s="2236">
        <v>1030800</v>
      </c>
      <c r="L121" s="2106">
        <f t="shared" ref="L121:L128" si="68">+K121</f>
        <v>1030800</v>
      </c>
      <c r="M121" s="2106">
        <f t="shared" ref="M121:M128" si="69">+L121</f>
        <v>1030800</v>
      </c>
      <c r="N121" s="2106">
        <f>+M121-785800</f>
        <v>245000</v>
      </c>
      <c r="O121" s="2106">
        <f t="shared" ref="O121:O128" si="70">+N121</f>
        <v>245000</v>
      </c>
      <c r="P121" s="3172">
        <f>245000</f>
        <v>245000</v>
      </c>
      <c r="Q121" s="2420">
        <f>+P121/N121</f>
        <v>1</v>
      </c>
      <c r="R121" s="2400">
        <f t="shared" si="60"/>
        <v>0</v>
      </c>
      <c r="S121" s="2106">
        <f t="shared" si="61"/>
        <v>0</v>
      </c>
      <c r="T121" s="2106">
        <f t="shared" si="62"/>
        <v>-785800</v>
      </c>
      <c r="U121" s="2106">
        <f t="shared" si="63"/>
        <v>0</v>
      </c>
      <c r="V121" s="2139">
        <f>+K121/1.27</f>
        <v>811653.54330708657</v>
      </c>
      <c r="W121" s="2442">
        <f>+V121*0.27</f>
        <v>219146.4566929134</v>
      </c>
      <c r="X121" s="2452"/>
      <c r="Z121" s="1209">
        <f>743985+200877</f>
        <v>944862</v>
      </c>
      <c r="AC121" s="2419"/>
      <c r="AD121" s="2656">
        <v>944862</v>
      </c>
      <c r="AE121" s="172">
        <f t="shared" si="38"/>
        <v>0</v>
      </c>
      <c r="AG121" s="2419">
        <f t="shared" si="39"/>
        <v>0</v>
      </c>
    </row>
    <row r="122" spans="1:33" s="203" customFormat="1" ht="13.5" hidden="1">
      <c r="A122" s="2690"/>
      <c r="B122" s="2125" t="s">
        <v>765</v>
      </c>
      <c r="C122" s="2103"/>
      <c r="D122" s="2104"/>
      <c r="E122" s="2104"/>
      <c r="F122" s="2125"/>
      <c r="G122" s="2125"/>
      <c r="H122" s="2127" t="s">
        <v>764</v>
      </c>
      <c r="I122" s="2106">
        <v>0</v>
      </c>
      <c r="J122" s="2579">
        <v>0</v>
      </c>
      <c r="K122" s="2236">
        <v>0</v>
      </c>
      <c r="L122" s="2106">
        <f t="shared" si="68"/>
        <v>0</v>
      </c>
      <c r="M122" s="2106">
        <f t="shared" si="69"/>
        <v>0</v>
      </c>
      <c r="N122" s="2106">
        <f t="shared" ref="N122:N128" si="71">+M122</f>
        <v>0</v>
      </c>
      <c r="O122" s="2106">
        <f t="shared" si="70"/>
        <v>0</v>
      </c>
      <c r="P122" s="3179">
        <v>0</v>
      </c>
      <c r="Q122" s="2420"/>
      <c r="R122" s="2400">
        <f t="shared" si="60"/>
        <v>0</v>
      </c>
      <c r="S122" s="2106">
        <f t="shared" si="61"/>
        <v>0</v>
      </c>
      <c r="T122" s="2106">
        <f t="shared" si="62"/>
        <v>0</v>
      </c>
      <c r="U122" s="2106">
        <f t="shared" si="63"/>
        <v>0</v>
      </c>
      <c r="V122" s="2106"/>
      <c r="W122" s="2437"/>
      <c r="X122" s="2452"/>
      <c r="Z122" s="199">
        <v>0</v>
      </c>
      <c r="AC122" s="2106"/>
      <c r="AD122" s="1011">
        <v>0</v>
      </c>
      <c r="AE122" s="172">
        <f t="shared" si="38"/>
        <v>0</v>
      </c>
      <c r="AG122" s="2106">
        <f t="shared" si="39"/>
        <v>0</v>
      </c>
    </row>
    <row r="123" spans="1:33" s="203" customFormat="1" hidden="1">
      <c r="A123" s="2692">
        <f>+K121+K124+K125</f>
        <v>2769100</v>
      </c>
      <c r="B123" s="2125" t="s">
        <v>766</v>
      </c>
      <c r="C123" s="2103"/>
      <c r="D123" s="2104"/>
      <c r="E123" s="2104"/>
      <c r="F123" s="2125"/>
      <c r="G123" s="2125"/>
      <c r="H123" s="2127" t="s">
        <v>767</v>
      </c>
      <c r="I123" s="2106">
        <v>0</v>
      </c>
      <c r="J123" s="2579">
        <v>0</v>
      </c>
      <c r="K123" s="2236">
        <v>0</v>
      </c>
      <c r="L123" s="2106">
        <f t="shared" si="68"/>
        <v>0</v>
      </c>
      <c r="M123" s="2106">
        <f t="shared" si="69"/>
        <v>0</v>
      </c>
      <c r="N123" s="2106">
        <f t="shared" si="71"/>
        <v>0</v>
      </c>
      <c r="O123" s="2106">
        <f t="shared" si="70"/>
        <v>0</v>
      </c>
      <c r="P123" s="3179">
        <v>0</v>
      </c>
      <c r="Q123" s="2420"/>
      <c r="R123" s="2400">
        <f t="shared" si="60"/>
        <v>0</v>
      </c>
      <c r="S123" s="2106">
        <f t="shared" si="61"/>
        <v>0</v>
      </c>
      <c r="T123" s="2106">
        <f t="shared" si="62"/>
        <v>0</v>
      </c>
      <c r="U123" s="2106">
        <f t="shared" si="63"/>
        <v>0</v>
      </c>
      <c r="V123" s="2106"/>
      <c r="W123" s="2437"/>
      <c r="X123" s="2452"/>
      <c r="Z123" s="199">
        <v>0</v>
      </c>
      <c r="AC123" s="2106"/>
      <c r="AD123" s="1011">
        <v>0</v>
      </c>
      <c r="AE123" s="172">
        <f t="shared" si="38"/>
        <v>0</v>
      </c>
      <c r="AG123" s="2106">
        <f t="shared" si="39"/>
        <v>0</v>
      </c>
    </row>
    <row r="124" spans="1:33" s="203" customFormat="1" ht="13.5" hidden="1">
      <c r="A124" s="2692">
        <f>+I121+I124</f>
        <v>8140000</v>
      </c>
      <c r="B124" s="2125" t="s">
        <v>768</v>
      </c>
      <c r="C124" s="2244" t="s">
        <v>512</v>
      </c>
      <c r="D124" s="2245" t="s">
        <v>769</v>
      </c>
      <c r="E124" s="2246" t="s">
        <v>754</v>
      </c>
      <c r="F124" s="2246" t="s">
        <v>534</v>
      </c>
      <c r="G124" s="2246" t="s">
        <v>763</v>
      </c>
      <c r="H124" s="2247" t="s">
        <v>767</v>
      </c>
      <c r="I124" s="2106">
        <f>140000</f>
        <v>140000</v>
      </c>
      <c r="J124" s="2579">
        <v>433319</v>
      </c>
      <c r="K124" s="2236">
        <v>340400</v>
      </c>
      <c r="L124" s="2106">
        <f t="shared" si="68"/>
        <v>340400</v>
      </c>
      <c r="M124" s="2106">
        <f t="shared" si="69"/>
        <v>340400</v>
      </c>
      <c r="N124" s="2106">
        <f>+M124-340400</f>
        <v>0</v>
      </c>
      <c r="O124" s="2106">
        <f t="shared" si="70"/>
        <v>0</v>
      </c>
      <c r="P124" s="3172"/>
      <c r="Q124" s="2420" t="e">
        <f>+P124/N124</f>
        <v>#DIV/0!</v>
      </c>
      <c r="R124" s="2400"/>
      <c r="S124" s="2106">
        <f t="shared" si="61"/>
        <v>0</v>
      </c>
      <c r="T124" s="2106">
        <f t="shared" si="62"/>
        <v>-340400</v>
      </c>
      <c r="U124" s="2106"/>
      <c r="V124" s="2139">
        <f>+K124/1.27</f>
        <v>268031.49606299214</v>
      </c>
      <c r="W124" s="2442">
        <f>+V124*0.27</f>
        <v>72368.503937007888</v>
      </c>
      <c r="X124" s="2452"/>
      <c r="Z124" s="1209">
        <f>39370+10630</f>
        <v>50000</v>
      </c>
      <c r="AC124" s="2419"/>
      <c r="AD124" s="2656">
        <v>433319</v>
      </c>
      <c r="AE124" s="172">
        <f t="shared" si="38"/>
        <v>0</v>
      </c>
      <c r="AG124" s="2419">
        <f t="shared" si="39"/>
        <v>0</v>
      </c>
    </row>
    <row r="125" spans="1:33" s="203" customFormat="1" ht="13.5" hidden="1">
      <c r="A125" s="2690">
        <f>+A123/A124</f>
        <v>0.34018427518427519</v>
      </c>
      <c r="B125" s="2125" t="s">
        <v>770</v>
      </c>
      <c r="C125" s="2246" t="s">
        <v>512</v>
      </c>
      <c r="D125" s="2246" t="s">
        <v>771</v>
      </c>
      <c r="E125" s="2246" t="s">
        <v>754</v>
      </c>
      <c r="F125" s="2246" t="s">
        <v>534</v>
      </c>
      <c r="G125" s="2246" t="s">
        <v>763</v>
      </c>
      <c r="H125" s="2247" t="s">
        <v>767</v>
      </c>
      <c r="I125" s="2106">
        <f>0</f>
        <v>0</v>
      </c>
      <c r="J125" s="2579">
        <v>1281430</v>
      </c>
      <c r="K125" s="2236">
        <v>1397900</v>
      </c>
      <c r="L125" s="2106">
        <f t="shared" si="68"/>
        <v>1397900</v>
      </c>
      <c r="M125" s="2106">
        <f t="shared" si="69"/>
        <v>1397900</v>
      </c>
      <c r="N125" s="2106">
        <f>+M125+191013</f>
        <v>1588913</v>
      </c>
      <c r="O125" s="2106">
        <f t="shared" si="70"/>
        <v>1588913</v>
      </c>
      <c r="P125" s="3172">
        <f>1588913</f>
        <v>1588913</v>
      </c>
      <c r="Q125" s="2420">
        <f>+P125/N125</f>
        <v>1</v>
      </c>
      <c r="R125" s="2400">
        <f t="shared" ref="R125:R179" si="72">+L125-K125</f>
        <v>0</v>
      </c>
      <c r="S125" s="2106">
        <f t="shared" si="61"/>
        <v>0</v>
      </c>
      <c r="T125" s="2106">
        <f t="shared" ref="T125:T179" si="73">+N125-M125</f>
        <v>191013</v>
      </c>
      <c r="U125" s="2106">
        <f t="shared" ref="U125:U179" si="74">+O125-N125</f>
        <v>0</v>
      </c>
      <c r="V125" s="2139">
        <f>+K125/1.27</f>
        <v>1100708.6614173229</v>
      </c>
      <c r="W125" s="2442">
        <f>+V125*0.27</f>
        <v>297191.33858267718</v>
      </c>
      <c r="X125" s="2452"/>
      <c r="Z125" s="1209">
        <f>1009000+272430</f>
        <v>1281430</v>
      </c>
      <c r="AC125" s="2419"/>
      <c r="AD125" s="2656">
        <v>1281430</v>
      </c>
      <c r="AE125" s="172">
        <f t="shared" si="38"/>
        <v>0</v>
      </c>
      <c r="AG125" s="2419">
        <f t="shared" si="39"/>
        <v>0</v>
      </c>
    </row>
    <row r="126" spans="1:33" s="203" customFormat="1" ht="39.75" hidden="1">
      <c r="A126" s="2690"/>
      <c r="B126" s="2125" t="s">
        <v>3871</v>
      </c>
      <c r="C126" s="2103" t="s">
        <v>736</v>
      </c>
      <c r="D126" s="2103" t="s">
        <v>772</v>
      </c>
      <c r="E126" s="2103" t="s">
        <v>754</v>
      </c>
      <c r="F126" s="2103" t="s">
        <v>751</v>
      </c>
      <c r="G126" s="2103" t="s">
        <v>773</v>
      </c>
      <c r="H126" s="2127" t="s">
        <v>767</v>
      </c>
      <c r="I126" s="2106">
        <f>27176357+1323643</f>
        <v>28500000</v>
      </c>
      <c r="J126" s="2579">
        <v>21886088</v>
      </c>
      <c r="K126" s="2236">
        <f>23890864</f>
        <v>23890864</v>
      </c>
      <c r="L126" s="2106">
        <f t="shared" si="68"/>
        <v>23890864</v>
      </c>
      <c r="M126" s="2106">
        <f t="shared" si="69"/>
        <v>23890864</v>
      </c>
      <c r="N126" s="2106">
        <f>+M126-8667196</f>
        <v>15223668</v>
      </c>
      <c r="O126" s="2106">
        <f t="shared" si="70"/>
        <v>15223668</v>
      </c>
      <c r="P126" s="3182">
        <f>2736+15220932</f>
        <v>15223668</v>
      </c>
      <c r="Q126" s="2420">
        <f>+P126/N126</f>
        <v>1</v>
      </c>
      <c r="R126" s="2400">
        <f t="shared" si="72"/>
        <v>0</v>
      </c>
      <c r="S126" s="2106">
        <f t="shared" si="61"/>
        <v>0</v>
      </c>
      <c r="T126" s="2106">
        <f t="shared" si="73"/>
        <v>-8667196</v>
      </c>
      <c r="U126" s="2106">
        <f t="shared" si="74"/>
        <v>0</v>
      </c>
      <c r="V126" s="2139">
        <f>+K126/1.27</f>
        <v>18811703.937007874</v>
      </c>
      <c r="W126" s="2442">
        <f>+V126*0.27</f>
        <v>5079160.0629921267</v>
      </c>
      <c r="X126" s="2452"/>
      <c r="Y126" s="1269"/>
      <c r="Z126" s="1354">
        <f>283223+76471+15755908+4153145</f>
        <v>20268747</v>
      </c>
      <c r="AC126" s="2422"/>
      <c r="AD126" s="2659">
        <v>21886088</v>
      </c>
      <c r="AE126" s="172">
        <f t="shared" si="38"/>
        <v>0</v>
      </c>
      <c r="AG126" s="2422">
        <f t="shared" si="39"/>
        <v>0</v>
      </c>
    </row>
    <row r="127" spans="1:33" s="203" customFormat="1" ht="13.5" hidden="1">
      <c r="A127" s="2690"/>
      <c r="B127" s="2125" t="s">
        <v>774</v>
      </c>
      <c r="C127" s="2103" t="s">
        <v>736</v>
      </c>
      <c r="D127" s="2103" t="s">
        <v>772</v>
      </c>
      <c r="E127" s="2103" t="s">
        <v>754</v>
      </c>
      <c r="F127" s="2103" t="s">
        <v>751</v>
      </c>
      <c r="G127" s="2103" t="s">
        <v>773</v>
      </c>
      <c r="H127" s="2127" t="s">
        <v>767</v>
      </c>
      <c r="I127" s="2106">
        <v>0</v>
      </c>
      <c r="J127" s="2579">
        <v>0</v>
      </c>
      <c r="K127" s="2236">
        <v>0</v>
      </c>
      <c r="L127" s="2106">
        <f t="shared" si="68"/>
        <v>0</v>
      </c>
      <c r="M127" s="2106">
        <f t="shared" si="69"/>
        <v>0</v>
      </c>
      <c r="N127" s="2106">
        <f t="shared" si="71"/>
        <v>0</v>
      </c>
      <c r="O127" s="2106">
        <f t="shared" si="70"/>
        <v>0</v>
      </c>
      <c r="P127" s="3179">
        <v>0</v>
      </c>
      <c r="Q127" s="2420"/>
      <c r="R127" s="2400">
        <f t="shared" si="72"/>
        <v>0</v>
      </c>
      <c r="S127" s="2106">
        <f t="shared" si="61"/>
        <v>0</v>
      </c>
      <c r="T127" s="2106">
        <f t="shared" si="73"/>
        <v>0</v>
      </c>
      <c r="U127" s="2106">
        <f t="shared" si="74"/>
        <v>0</v>
      </c>
      <c r="V127" s="2106"/>
      <c r="W127" s="2437"/>
      <c r="X127" s="2452"/>
      <c r="Z127" s="199">
        <v>0</v>
      </c>
      <c r="AC127" s="2106"/>
      <c r="AD127" s="1011">
        <v>0</v>
      </c>
      <c r="AE127" s="172">
        <f t="shared" si="38"/>
        <v>0</v>
      </c>
      <c r="AG127" s="2106">
        <f t="shared" si="39"/>
        <v>0</v>
      </c>
    </row>
    <row r="128" spans="1:33" s="203" customFormat="1" ht="13.5" hidden="1">
      <c r="A128" s="2690"/>
      <c r="B128" s="2125" t="s">
        <v>775</v>
      </c>
      <c r="C128" s="2103" t="s">
        <v>736</v>
      </c>
      <c r="D128" s="2103" t="s">
        <v>772</v>
      </c>
      <c r="E128" s="2103" t="s">
        <v>754</v>
      </c>
      <c r="F128" s="2103" t="s">
        <v>751</v>
      </c>
      <c r="G128" s="2103" t="s">
        <v>773</v>
      </c>
      <c r="H128" s="2127" t="s">
        <v>767</v>
      </c>
      <c r="I128" s="2106">
        <v>0</v>
      </c>
      <c r="J128" s="2579">
        <v>0</v>
      </c>
      <c r="K128" s="2236">
        <v>0</v>
      </c>
      <c r="L128" s="2106">
        <f t="shared" si="68"/>
        <v>0</v>
      </c>
      <c r="M128" s="2106">
        <f t="shared" si="69"/>
        <v>0</v>
      </c>
      <c r="N128" s="2106">
        <f t="shared" si="71"/>
        <v>0</v>
      </c>
      <c r="O128" s="2106">
        <f t="shared" si="70"/>
        <v>0</v>
      </c>
      <c r="P128" s="3179">
        <v>0</v>
      </c>
      <c r="Q128" s="2420"/>
      <c r="R128" s="2400">
        <f t="shared" si="72"/>
        <v>0</v>
      </c>
      <c r="S128" s="2106">
        <f t="shared" si="61"/>
        <v>0</v>
      </c>
      <c r="T128" s="2106">
        <f t="shared" si="73"/>
        <v>0</v>
      </c>
      <c r="U128" s="2106">
        <f t="shared" si="74"/>
        <v>0</v>
      </c>
      <c r="V128" s="2106"/>
      <c r="W128" s="2437"/>
      <c r="X128" s="2452"/>
      <c r="Z128" s="199">
        <v>0</v>
      </c>
      <c r="AC128" s="2106"/>
      <c r="AD128" s="1011">
        <v>0</v>
      </c>
      <c r="AE128" s="172">
        <f t="shared" si="38"/>
        <v>0</v>
      </c>
      <c r="AG128" s="2106">
        <f t="shared" si="39"/>
        <v>0</v>
      </c>
    </row>
    <row r="129" spans="1:33" s="232" customFormat="1" ht="13.5" hidden="1">
      <c r="A129" s="2690"/>
      <c r="B129" s="2137" t="s">
        <v>3217</v>
      </c>
      <c r="C129" s="2138" t="s">
        <v>736</v>
      </c>
      <c r="D129" s="2138" t="s">
        <v>772</v>
      </c>
      <c r="E129" s="2138" t="s">
        <v>754</v>
      </c>
      <c r="F129" s="2138" t="s">
        <v>751</v>
      </c>
      <c r="G129" s="2138" t="s">
        <v>773</v>
      </c>
      <c r="H129" s="2105" t="s">
        <v>767</v>
      </c>
      <c r="I129" s="2139">
        <f>SUM(I126:I128)</f>
        <v>28500000</v>
      </c>
      <c r="J129" s="2582">
        <f t="shared" ref="J129:P129" si="75">SUM(J126:J128)</f>
        <v>21886088</v>
      </c>
      <c r="K129" s="2329">
        <f t="shared" si="75"/>
        <v>23890864</v>
      </c>
      <c r="L129" s="2139">
        <f t="shared" si="75"/>
        <v>23890864</v>
      </c>
      <c r="M129" s="2139">
        <f t="shared" si="75"/>
        <v>23890864</v>
      </c>
      <c r="N129" s="2139">
        <f t="shared" si="75"/>
        <v>15223668</v>
      </c>
      <c r="O129" s="2139">
        <f t="shared" si="75"/>
        <v>15223668</v>
      </c>
      <c r="P129" s="3181">
        <f t="shared" si="75"/>
        <v>15223668</v>
      </c>
      <c r="Q129" s="2423">
        <f>+P129/N129</f>
        <v>1</v>
      </c>
      <c r="R129" s="2406">
        <f t="shared" si="72"/>
        <v>0</v>
      </c>
      <c r="S129" s="2139">
        <f t="shared" si="61"/>
        <v>0</v>
      </c>
      <c r="T129" s="2139">
        <f t="shared" si="73"/>
        <v>-8667196</v>
      </c>
      <c r="U129" s="2139">
        <f t="shared" si="74"/>
        <v>0</v>
      </c>
      <c r="V129" s="2139"/>
      <c r="W129" s="2442"/>
      <c r="X129" s="2452"/>
      <c r="Z129" s="229">
        <f>SUM(Z126:Z128)</f>
        <v>20268747</v>
      </c>
      <c r="AC129" s="2139"/>
      <c r="AD129" s="1026">
        <v>21886088</v>
      </c>
      <c r="AE129" s="172">
        <f t="shared" si="38"/>
        <v>0</v>
      </c>
      <c r="AG129" s="2139">
        <f t="shared" si="39"/>
        <v>0</v>
      </c>
    </row>
    <row r="130" spans="1:33">
      <c r="A130" s="2683" t="s">
        <v>717</v>
      </c>
      <c r="B130" s="2110" t="s">
        <v>460</v>
      </c>
      <c r="C130" s="1426"/>
      <c r="D130" s="2108"/>
      <c r="E130" s="2108"/>
      <c r="F130" s="2110"/>
      <c r="G130" s="2110"/>
      <c r="H130" s="2095" t="s">
        <v>777</v>
      </c>
      <c r="I130" s="1701">
        <f>SUM(I120:I125)+I129</f>
        <v>36640000</v>
      </c>
      <c r="J130" s="2576">
        <f t="shared" ref="J130:P130" si="76">SUM(J120:J125)+J129</f>
        <v>24545699</v>
      </c>
      <c r="K130" s="2325">
        <f t="shared" si="76"/>
        <v>26659964</v>
      </c>
      <c r="L130" s="1701">
        <f t="shared" si="76"/>
        <v>46659964</v>
      </c>
      <c r="M130" s="1701">
        <f t="shared" si="76"/>
        <v>65210681</v>
      </c>
      <c r="N130" s="1701">
        <f t="shared" si="76"/>
        <v>58011900</v>
      </c>
      <c r="O130" s="1701">
        <f t="shared" si="76"/>
        <v>58011900</v>
      </c>
      <c r="P130" s="2617">
        <f t="shared" si="76"/>
        <v>58011900</v>
      </c>
      <c r="Q130" s="2411">
        <f>+P130/N130</f>
        <v>1</v>
      </c>
      <c r="R130" s="2401">
        <f t="shared" si="72"/>
        <v>20000000</v>
      </c>
      <c r="S130" s="1701">
        <f t="shared" si="61"/>
        <v>18550717</v>
      </c>
      <c r="T130" s="1701">
        <f t="shared" si="73"/>
        <v>-7198781</v>
      </c>
      <c r="U130" s="1701">
        <f t="shared" si="74"/>
        <v>0</v>
      </c>
      <c r="V130" s="1701"/>
      <c r="W130" s="2438"/>
      <c r="X130" s="2452"/>
      <c r="Z130" s="209">
        <f>SUM(Z120:Z125)+Z129</f>
        <v>22545039</v>
      </c>
      <c r="AC130" s="1701">
        <v>58011900</v>
      </c>
      <c r="AD130" s="1025">
        <v>24545699</v>
      </c>
      <c r="AE130" s="172">
        <f t="shared" si="38"/>
        <v>0</v>
      </c>
      <c r="AF130" s="172">
        <f>+P130-AC130</f>
        <v>0</v>
      </c>
      <c r="AG130" s="1701">
        <f t="shared" si="39"/>
        <v>0</v>
      </c>
    </row>
    <row r="131" spans="1:33" s="203" customFormat="1" ht="15.75" hidden="1">
      <c r="A131" s="2690"/>
      <c r="B131" s="2125" t="s">
        <v>3049</v>
      </c>
      <c r="C131" s="2103" t="s">
        <v>736</v>
      </c>
      <c r="D131" s="2103" t="s">
        <v>778</v>
      </c>
      <c r="E131" s="2103" t="s">
        <v>754</v>
      </c>
      <c r="F131" s="2103" t="s">
        <v>751</v>
      </c>
      <c r="G131" s="2103" t="s">
        <v>773</v>
      </c>
      <c r="H131" s="2127" t="s">
        <v>767</v>
      </c>
      <c r="I131" s="2106">
        <v>0</v>
      </c>
      <c r="J131" s="2579">
        <v>3600414</v>
      </c>
      <c r="K131" s="2236">
        <v>0</v>
      </c>
      <c r="L131" s="2106">
        <f t="shared" ref="L131:L159" si="77">+K131</f>
        <v>0</v>
      </c>
      <c r="M131" s="2106">
        <f t="shared" ref="M131:M159" si="78">+L131</f>
        <v>0</v>
      </c>
      <c r="N131" s="2106">
        <f>+M131+1867641</f>
        <v>1867641</v>
      </c>
      <c r="O131" s="2106">
        <f t="shared" ref="O131:O159" si="79">+N131</f>
        <v>1867641</v>
      </c>
      <c r="P131" s="3183">
        <f>100168+3356386-1588913</f>
        <v>1867641</v>
      </c>
      <c r="Q131" s="2420"/>
      <c r="R131" s="2400">
        <f t="shared" si="72"/>
        <v>0</v>
      </c>
      <c r="S131" s="2106">
        <f t="shared" si="61"/>
        <v>0</v>
      </c>
      <c r="T131" s="2173">
        <f t="shared" si="73"/>
        <v>1867641</v>
      </c>
      <c r="U131" s="2173">
        <f t="shared" si="74"/>
        <v>0</v>
      </c>
      <c r="V131" s="2173"/>
      <c r="W131" s="2444"/>
      <c r="X131" s="2452"/>
      <c r="Z131" s="1355">
        <f>371498+2786584</f>
        <v>3158082</v>
      </c>
      <c r="AC131" s="2424"/>
      <c r="AD131" s="2660">
        <v>3600414</v>
      </c>
      <c r="AE131" s="172">
        <f t="shared" si="38"/>
        <v>0</v>
      </c>
      <c r="AG131" s="2424">
        <f t="shared" si="39"/>
        <v>0</v>
      </c>
    </row>
    <row r="132" spans="1:33" s="203" customFormat="1" ht="15.75" hidden="1">
      <c r="A132" s="2690"/>
      <c r="B132" s="2125" t="s">
        <v>774</v>
      </c>
      <c r="C132" s="2103" t="s">
        <v>736</v>
      </c>
      <c r="D132" s="2103" t="s">
        <v>779</v>
      </c>
      <c r="E132" s="2103" t="s">
        <v>754</v>
      </c>
      <c r="F132" s="2103" t="s">
        <v>751</v>
      </c>
      <c r="G132" s="2103" t="s">
        <v>773</v>
      </c>
      <c r="H132" s="2127" t="s">
        <v>767</v>
      </c>
      <c r="I132" s="2106">
        <v>0</v>
      </c>
      <c r="J132" s="2579">
        <v>0</v>
      </c>
      <c r="K132" s="2236">
        <v>0</v>
      </c>
      <c r="L132" s="2106">
        <f t="shared" si="77"/>
        <v>0</v>
      </c>
      <c r="M132" s="2106">
        <f t="shared" si="78"/>
        <v>0</v>
      </c>
      <c r="N132" s="2106">
        <f t="shared" ref="N132:N159" si="80">+M132</f>
        <v>0</v>
      </c>
      <c r="O132" s="2106">
        <f t="shared" si="79"/>
        <v>0</v>
      </c>
      <c r="P132" s="3179">
        <f>601035-601035+6117213-6117213</f>
        <v>0</v>
      </c>
      <c r="Q132" s="2420"/>
      <c r="R132" s="2400">
        <f t="shared" si="72"/>
        <v>0</v>
      </c>
      <c r="S132" s="2106">
        <f t="shared" si="61"/>
        <v>0</v>
      </c>
      <c r="T132" s="2173">
        <f t="shared" si="73"/>
        <v>0</v>
      </c>
      <c r="U132" s="2173">
        <f t="shared" si="74"/>
        <v>0</v>
      </c>
      <c r="V132" s="2173"/>
      <c r="W132" s="2444"/>
      <c r="X132" s="2452"/>
      <c r="Z132" s="199">
        <f>850810</f>
        <v>850810</v>
      </c>
      <c r="AC132" s="2106"/>
      <c r="AD132" s="1011">
        <v>0</v>
      </c>
      <c r="AE132" s="172">
        <f t="shared" si="38"/>
        <v>0</v>
      </c>
      <c r="AG132" s="2106">
        <f t="shared" si="39"/>
        <v>0</v>
      </c>
    </row>
    <row r="133" spans="1:33" s="203" customFormat="1" ht="15.75" hidden="1">
      <c r="A133" s="2690"/>
      <c r="B133" s="2125" t="s">
        <v>775</v>
      </c>
      <c r="C133" s="2103" t="s">
        <v>736</v>
      </c>
      <c r="D133" s="2103" t="s">
        <v>780</v>
      </c>
      <c r="E133" s="2103" t="s">
        <v>754</v>
      </c>
      <c r="F133" s="2103" t="s">
        <v>751</v>
      </c>
      <c r="G133" s="2103" t="s">
        <v>773</v>
      </c>
      <c r="H133" s="2127" t="s">
        <v>767</v>
      </c>
      <c r="I133" s="2106">
        <v>0</v>
      </c>
      <c r="J133" s="2579">
        <v>0</v>
      </c>
      <c r="K133" s="2236">
        <v>0</v>
      </c>
      <c r="L133" s="2106">
        <f t="shared" si="77"/>
        <v>0</v>
      </c>
      <c r="M133" s="2106">
        <f t="shared" si="78"/>
        <v>0</v>
      </c>
      <c r="N133" s="2106">
        <f t="shared" si="80"/>
        <v>0</v>
      </c>
      <c r="O133" s="2106">
        <f t="shared" si="79"/>
        <v>0</v>
      </c>
      <c r="P133" s="3182">
        <f>15220932-15220932</f>
        <v>0</v>
      </c>
      <c r="Q133" s="2420"/>
      <c r="R133" s="2400">
        <f t="shared" si="72"/>
        <v>0</v>
      </c>
      <c r="S133" s="2106">
        <f t="shared" si="61"/>
        <v>0</v>
      </c>
      <c r="T133" s="2173">
        <f t="shared" si="73"/>
        <v>0</v>
      </c>
      <c r="U133" s="2173">
        <f t="shared" si="74"/>
        <v>0</v>
      </c>
      <c r="V133" s="2173"/>
      <c r="W133" s="2444"/>
      <c r="X133" s="2452"/>
      <c r="Z133" s="1354">
        <f>15755908+4153145-15755908-4153145</f>
        <v>0</v>
      </c>
      <c r="AC133" s="2422"/>
      <c r="AD133" s="2659">
        <v>0</v>
      </c>
      <c r="AE133" s="172">
        <f t="shared" si="38"/>
        <v>0</v>
      </c>
      <c r="AG133" s="2422">
        <f t="shared" si="39"/>
        <v>0</v>
      </c>
    </row>
    <row r="134" spans="1:33" s="203" customFormat="1" ht="15.75" hidden="1">
      <c r="A134" s="2690"/>
      <c r="B134" s="2125" t="s">
        <v>781</v>
      </c>
      <c r="C134" s="2103" t="s">
        <v>736</v>
      </c>
      <c r="D134" s="2103" t="s">
        <v>782</v>
      </c>
      <c r="E134" s="2103" t="s">
        <v>754</v>
      </c>
      <c r="F134" s="2103" t="s">
        <v>751</v>
      </c>
      <c r="G134" s="2103" t="s">
        <v>773</v>
      </c>
      <c r="H134" s="2127" t="s">
        <v>767</v>
      </c>
      <c r="I134" s="2106">
        <v>0</v>
      </c>
      <c r="J134" s="2579">
        <v>0</v>
      </c>
      <c r="K134" s="2236">
        <v>0</v>
      </c>
      <c r="L134" s="2106">
        <f t="shared" si="77"/>
        <v>0</v>
      </c>
      <c r="M134" s="2106">
        <f t="shared" si="78"/>
        <v>0</v>
      </c>
      <c r="N134" s="2106">
        <f t="shared" si="80"/>
        <v>0</v>
      </c>
      <c r="O134" s="2106">
        <f t="shared" si="79"/>
        <v>0</v>
      </c>
      <c r="P134" s="3179">
        <v>0</v>
      </c>
      <c r="Q134" s="2420"/>
      <c r="R134" s="2400">
        <f t="shared" si="72"/>
        <v>0</v>
      </c>
      <c r="S134" s="2106">
        <f t="shared" si="61"/>
        <v>0</v>
      </c>
      <c r="T134" s="2173">
        <f t="shared" si="73"/>
        <v>0</v>
      </c>
      <c r="U134" s="2173">
        <f t="shared" si="74"/>
        <v>0</v>
      </c>
      <c r="V134" s="2139">
        <f>+K134/1.27</f>
        <v>0</v>
      </c>
      <c r="W134" s="2442">
        <f>+V134*0.27</f>
        <v>0</v>
      </c>
      <c r="X134" s="2452"/>
      <c r="Z134" s="199">
        <v>0</v>
      </c>
      <c r="AC134" s="2106"/>
      <c r="AD134" s="1011">
        <v>0</v>
      </c>
      <c r="AE134" s="172">
        <f t="shared" si="38"/>
        <v>0</v>
      </c>
      <c r="AG134" s="2106">
        <f t="shared" si="39"/>
        <v>0</v>
      </c>
    </row>
    <row r="135" spans="1:33" s="203" customFormat="1" ht="16.5" hidden="1" thickBot="1">
      <c r="A135" s="2690"/>
      <c r="B135" s="2125" t="s">
        <v>3312</v>
      </c>
      <c r="C135" s="2103" t="s">
        <v>736</v>
      </c>
      <c r="D135" s="2103" t="s">
        <v>783</v>
      </c>
      <c r="E135" s="2103" t="s">
        <v>754</v>
      </c>
      <c r="F135" s="2103" t="s">
        <v>751</v>
      </c>
      <c r="G135" s="2103" t="s">
        <v>773</v>
      </c>
      <c r="H135" s="2127" t="s">
        <v>784</v>
      </c>
      <c r="I135" s="2106">
        <f>3427433+6036257</f>
        <v>9463690</v>
      </c>
      <c r="J135" s="2579">
        <v>11777887</v>
      </c>
      <c r="K135" s="2236">
        <v>10390383</v>
      </c>
      <c r="L135" s="2106">
        <f t="shared" si="77"/>
        <v>10390383</v>
      </c>
      <c r="M135" s="2106">
        <f t="shared" si="78"/>
        <v>10390383</v>
      </c>
      <c r="N135" s="2106">
        <f>+M135+3153537</f>
        <v>13543920</v>
      </c>
      <c r="O135" s="2106">
        <f t="shared" si="79"/>
        <v>13543920</v>
      </c>
      <c r="P135" s="3172">
        <f>13543920</f>
        <v>13543920</v>
      </c>
      <c r="Q135" s="2420">
        <f>+P135/N135</f>
        <v>1</v>
      </c>
      <c r="R135" s="2400">
        <f t="shared" si="72"/>
        <v>0</v>
      </c>
      <c r="S135" s="2106">
        <f t="shared" si="61"/>
        <v>0</v>
      </c>
      <c r="T135" s="2173">
        <f t="shared" si="73"/>
        <v>3153537</v>
      </c>
      <c r="U135" s="2173">
        <f t="shared" si="74"/>
        <v>0</v>
      </c>
      <c r="V135" s="2139">
        <f>+K135/1.27</f>
        <v>8181403.9370078743</v>
      </c>
      <c r="W135" s="2442">
        <f>+V135*0.27</f>
        <v>2208979.0629921262</v>
      </c>
      <c r="X135" s="2452"/>
      <c r="Z135" s="1356">
        <f>8762561+2365888</f>
        <v>11128449</v>
      </c>
      <c r="AC135" s="2419"/>
      <c r="AD135" s="2661">
        <v>11777887</v>
      </c>
      <c r="AE135" s="172">
        <f t="shared" si="38"/>
        <v>0</v>
      </c>
      <c r="AG135" s="2419">
        <f t="shared" si="39"/>
        <v>0</v>
      </c>
    </row>
    <row r="136" spans="1:33" s="203" customFormat="1" ht="15.75" hidden="1">
      <c r="A136" s="2690"/>
      <c r="B136" s="2125" t="s">
        <v>785</v>
      </c>
      <c r="C136" s="2103" t="s">
        <v>736</v>
      </c>
      <c r="D136" s="2103" t="s">
        <v>786</v>
      </c>
      <c r="E136" s="2103" t="s">
        <v>754</v>
      </c>
      <c r="F136" s="2103" t="s">
        <v>787</v>
      </c>
      <c r="G136" s="2103" t="s">
        <v>788</v>
      </c>
      <c r="H136" s="2127" t="s">
        <v>739</v>
      </c>
      <c r="I136" s="2106">
        <f>20664260+2562434</f>
        <v>23226694</v>
      </c>
      <c r="J136" s="2579">
        <v>15907667</v>
      </c>
      <c r="K136" s="2236">
        <f>20777960</f>
        <v>20777960</v>
      </c>
      <c r="L136" s="2106">
        <f t="shared" si="77"/>
        <v>20777960</v>
      </c>
      <c r="M136" s="2106">
        <f t="shared" si="78"/>
        <v>20777960</v>
      </c>
      <c r="N136" s="2106">
        <f>+M136-5249286</f>
        <v>15528674</v>
      </c>
      <c r="O136" s="2106">
        <f t="shared" si="79"/>
        <v>15528674</v>
      </c>
      <c r="P136" s="3172">
        <f>15528674</f>
        <v>15528674</v>
      </c>
      <c r="Q136" s="2420">
        <f>+P136/N136</f>
        <v>1</v>
      </c>
      <c r="R136" s="2400">
        <f t="shared" si="72"/>
        <v>0</v>
      </c>
      <c r="S136" s="2106">
        <f t="shared" si="61"/>
        <v>0</v>
      </c>
      <c r="T136" s="2173">
        <f t="shared" si="73"/>
        <v>-5249286</v>
      </c>
      <c r="U136" s="2173">
        <f t="shared" si="74"/>
        <v>0</v>
      </c>
      <c r="V136" s="2173"/>
      <c r="W136" s="2444"/>
      <c r="X136" s="2452"/>
      <c r="Y136" s="1269"/>
      <c r="Z136" s="1367">
        <f>13230747</f>
        <v>13230747</v>
      </c>
      <c r="AC136" s="2419"/>
      <c r="AD136" s="2662">
        <v>15907667</v>
      </c>
      <c r="AE136" s="172">
        <f t="shared" ref="AE136:AE199" si="81">+J136-AD136</f>
        <v>0</v>
      </c>
      <c r="AG136" s="2419">
        <f t="shared" ref="AG136:AG199" si="82">+P136-N136</f>
        <v>0</v>
      </c>
    </row>
    <row r="137" spans="1:33" s="203" customFormat="1" ht="15.75" hidden="1">
      <c r="A137" s="2690"/>
      <c r="B137" s="2125" t="s">
        <v>789</v>
      </c>
      <c r="C137" s="2103" t="s">
        <v>736</v>
      </c>
      <c r="D137" s="2103" t="s">
        <v>790</v>
      </c>
      <c r="E137" s="2103" t="s">
        <v>754</v>
      </c>
      <c r="F137" s="2103" t="s">
        <v>787</v>
      </c>
      <c r="G137" s="2103" t="s">
        <v>788</v>
      </c>
      <c r="H137" s="2127" t="s">
        <v>739</v>
      </c>
      <c r="I137" s="2106">
        <f>0</f>
        <v>0</v>
      </c>
      <c r="J137" s="2579">
        <v>267</v>
      </c>
      <c r="K137" s="2236">
        <f>0</f>
        <v>0</v>
      </c>
      <c r="L137" s="2106">
        <f t="shared" si="77"/>
        <v>0</v>
      </c>
      <c r="M137" s="2106">
        <f t="shared" si="78"/>
        <v>0</v>
      </c>
      <c r="N137" s="2106">
        <f>+M137+161583</f>
        <v>161583</v>
      </c>
      <c r="O137" s="2106">
        <f t="shared" si="79"/>
        <v>161583</v>
      </c>
      <c r="P137" s="3172">
        <f>67333+94250</f>
        <v>161583</v>
      </c>
      <c r="Q137" s="2420">
        <f>+P137/N137</f>
        <v>1</v>
      </c>
      <c r="R137" s="2400">
        <f t="shared" si="72"/>
        <v>0</v>
      </c>
      <c r="S137" s="2106">
        <f t="shared" si="61"/>
        <v>0</v>
      </c>
      <c r="T137" s="2173">
        <f t="shared" si="73"/>
        <v>161583</v>
      </c>
      <c r="U137" s="2173">
        <f t="shared" si="74"/>
        <v>0</v>
      </c>
      <c r="V137" s="2173"/>
      <c r="W137" s="2444"/>
      <c r="X137" s="2452"/>
      <c r="Z137" s="1209">
        <f>46552-48940</f>
        <v>-2388</v>
      </c>
      <c r="AC137" s="2419"/>
      <c r="AD137" s="2656">
        <v>267</v>
      </c>
      <c r="AE137" s="172">
        <f t="shared" si="81"/>
        <v>0</v>
      </c>
      <c r="AG137" s="2419">
        <f t="shared" si="82"/>
        <v>0</v>
      </c>
    </row>
    <row r="138" spans="1:33" s="203" customFormat="1" ht="15.75" hidden="1">
      <c r="A138" s="2690"/>
      <c r="B138" s="2125" t="s">
        <v>791</v>
      </c>
      <c r="C138" s="2103" t="s">
        <v>736</v>
      </c>
      <c r="D138" s="2103" t="s">
        <v>792</v>
      </c>
      <c r="E138" s="2103" t="s">
        <v>754</v>
      </c>
      <c r="F138" s="2103" t="s">
        <v>787</v>
      </c>
      <c r="G138" s="2103" t="s">
        <v>788</v>
      </c>
      <c r="H138" s="2127" t="s">
        <v>739</v>
      </c>
      <c r="I138" s="2106">
        <f>0</f>
        <v>0</v>
      </c>
      <c r="J138" s="2579">
        <v>0</v>
      </c>
      <c r="K138" s="2236">
        <f>0</f>
        <v>0</v>
      </c>
      <c r="L138" s="2106">
        <f t="shared" si="77"/>
        <v>0</v>
      </c>
      <c r="M138" s="2106">
        <f t="shared" si="78"/>
        <v>0</v>
      </c>
      <c r="N138" s="2106">
        <f t="shared" si="80"/>
        <v>0</v>
      </c>
      <c r="O138" s="2106">
        <f t="shared" si="79"/>
        <v>0</v>
      </c>
      <c r="P138" s="3172"/>
      <c r="Q138" s="2420"/>
      <c r="R138" s="2400">
        <f t="shared" si="72"/>
        <v>0</v>
      </c>
      <c r="S138" s="2106">
        <f t="shared" si="61"/>
        <v>0</v>
      </c>
      <c r="T138" s="2173">
        <f t="shared" si="73"/>
        <v>0</v>
      </c>
      <c r="U138" s="2173">
        <f t="shared" si="74"/>
        <v>0</v>
      </c>
      <c r="V138" s="2173"/>
      <c r="W138" s="2444"/>
      <c r="X138" s="2452"/>
      <c r="Z138" s="1209"/>
      <c r="AC138" s="2419"/>
      <c r="AD138" s="2656"/>
      <c r="AE138" s="172">
        <f t="shared" si="81"/>
        <v>0</v>
      </c>
      <c r="AG138" s="2419">
        <f t="shared" si="82"/>
        <v>0</v>
      </c>
    </row>
    <row r="139" spans="1:33" s="203" customFormat="1" ht="15.75" hidden="1">
      <c r="A139" s="2690"/>
      <c r="B139" s="2125" t="s">
        <v>793</v>
      </c>
      <c r="C139" s="2103" t="s">
        <v>736</v>
      </c>
      <c r="D139" s="2103" t="s">
        <v>794</v>
      </c>
      <c r="E139" s="2103" t="s">
        <v>754</v>
      </c>
      <c r="F139" s="2103" t="s">
        <v>787</v>
      </c>
      <c r="G139" s="2103" t="s">
        <v>788</v>
      </c>
      <c r="H139" s="2127" t="s">
        <v>739</v>
      </c>
      <c r="I139" s="2106">
        <f>0</f>
        <v>0</v>
      </c>
      <c r="J139" s="2579">
        <v>0</v>
      </c>
      <c r="K139" s="2236">
        <f>0</f>
        <v>0</v>
      </c>
      <c r="L139" s="2106">
        <f t="shared" si="77"/>
        <v>0</v>
      </c>
      <c r="M139" s="2106">
        <f t="shared" si="78"/>
        <v>0</v>
      </c>
      <c r="N139" s="2106">
        <f>+M139+1544</f>
        <v>1544</v>
      </c>
      <c r="O139" s="2106">
        <f t="shared" si="79"/>
        <v>1544</v>
      </c>
      <c r="P139" s="3172">
        <f>1544</f>
        <v>1544</v>
      </c>
      <c r="Q139" s="2420">
        <f>+P139/N139</f>
        <v>1</v>
      </c>
      <c r="R139" s="2400">
        <f t="shared" si="72"/>
        <v>0</v>
      </c>
      <c r="S139" s="2106">
        <f t="shared" si="61"/>
        <v>0</v>
      </c>
      <c r="T139" s="2173">
        <f t="shared" si="73"/>
        <v>1544</v>
      </c>
      <c r="U139" s="2173">
        <f t="shared" si="74"/>
        <v>0</v>
      </c>
      <c r="V139" s="2173"/>
      <c r="W139" s="2444"/>
      <c r="X139" s="2452"/>
      <c r="Z139" s="1209">
        <f>0</f>
        <v>0</v>
      </c>
      <c r="AC139" s="2419"/>
      <c r="AD139" s="2656">
        <v>0</v>
      </c>
      <c r="AE139" s="172">
        <f t="shared" si="81"/>
        <v>0</v>
      </c>
      <c r="AG139" s="2419">
        <f t="shared" si="82"/>
        <v>0</v>
      </c>
    </row>
    <row r="140" spans="1:33" s="203" customFormat="1" ht="15.75" hidden="1">
      <c r="A140" s="2690"/>
      <c r="B140" s="2125" t="s">
        <v>795</v>
      </c>
      <c r="C140" s="2103" t="s">
        <v>736</v>
      </c>
      <c r="D140" s="2103" t="s">
        <v>796</v>
      </c>
      <c r="E140" s="2103" t="s">
        <v>754</v>
      </c>
      <c r="F140" s="2103" t="s">
        <v>787</v>
      </c>
      <c r="G140" s="2103" t="s">
        <v>788</v>
      </c>
      <c r="H140" s="2127" t="s">
        <v>739</v>
      </c>
      <c r="I140" s="2106">
        <f>0</f>
        <v>0</v>
      </c>
      <c r="J140" s="2579">
        <v>0</v>
      </c>
      <c r="K140" s="2236">
        <f>0</f>
        <v>0</v>
      </c>
      <c r="L140" s="2106">
        <f t="shared" si="77"/>
        <v>0</v>
      </c>
      <c r="M140" s="2106">
        <f t="shared" si="78"/>
        <v>0</v>
      </c>
      <c r="N140" s="2106">
        <f>+M140+9876</f>
        <v>9876</v>
      </c>
      <c r="O140" s="2106">
        <f t="shared" si="79"/>
        <v>9876</v>
      </c>
      <c r="P140" s="3172">
        <f>9876</f>
        <v>9876</v>
      </c>
      <c r="Q140" s="2420">
        <f>+P140/N140</f>
        <v>1</v>
      </c>
      <c r="R140" s="2400">
        <f t="shared" si="72"/>
        <v>0</v>
      </c>
      <c r="S140" s="2106">
        <f t="shared" si="61"/>
        <v>0</v>
      </c>
      <c r="T140" s="2173">
        <f t="shared" si="73"/>
        <v>9876</v>
      </c>
      <c r="U140" s="2173">
        <f t="shared" si="74"/>
        <v>0</v>
      </c>
      <c r="V140" s="2173"/>
      <c r="W140" s="2444"/>
      <c r="X140" s="2452"/>
      <c r="Z140" s="1209"/>
      <c r="AC140" s="2419"/>
      <c r="AD140" s="2656"/>
      <c r="AE140" s="172">
        <f t="shared" si="81"/>
        <v>0</v>
      </c>
      <c r="AG140" s="2419">
        <f t="shared" si="82"/>
        <v>0</v>
      </c>
    </row>
    <row r="141" spans="1:33" s="203" customFormat="1" ht="15.75" hidden="1">
      <c r="A141" s="2690"/>
      <c r="B141" s="2125" t="s">
        <v>797</v>
      </c>
      <c r="C141" s="2103" t="s">
        <v>736</v>
      </c>
      <c r="D141" s="2103" t="s">
        <v>798</v>
      </c>
      <c r="E141" s="2103" t="s">
        <v>754</v>
      </c>
      <c r="F141" s="2103" t="s">
        <v>787</v>
      </c>
      <c r="G141" s="2103" t="s">
        <v>788</v>
      </c>
      <c r="H141" s="2127" t="s">
        <v>739</v>
      </c>
      <c r="I141" s="2106">
        <f>0</f>
        <v>0</v>
      </c>
      <c r="J141" s="2579">
        <v>0</v>
      </c>
      <c r="K141" s="2236">
        <f>0</f>
        <v>0</v>
      </c>
      <c r="L141" s="2106">
        <f t="shared" si="77"/>
        <v>0</v>
      </c>
      <c r="M141" s="2106">
        <f t="shared" si="78"/>
        <v>0</v>
      </c>
      <c r="N141" s="2106">
        <f t="shared" si="80"/>
        <v>0</v>
      </c>
      <c r="O141" s="2106">
        <f t="shared" si="79"/>
        <v>0</v>
      </c>
      <c r="P141" s="3179">
        <v>0</v>
      </c>
      <c r="Q141" s="2420"/>
      <c r="R141" s="2400">
        <f t="shared" si="72"/>
        <v>0</v>
      </c>
      <c r="S141" s="2106">
        <f t="shared" si="61"/>
        <v>0</v>
      </c>
      <c r="T141" s="2173">
        <f t="shared" si="73"/>
        <v>0</v>
      </c>
      <c r="U141" s="2173">
        <f t="shared" si="74"/>
        <v>0</v>
      </c>
      <c r="V141" s="2173"/>
      <c r="W141" s="2444"/>
      <c r="X141" s="2452"/>
      <c r="Z141" s="199">
        <v>0</v>
      </c>
      <c r="AC141" s="2106"/>
      <c r="AD141" s="1011">
        <v>0</v>
      </c>
      <c r="AE141" s="172">
        <f t="shared" si="81"/>
        <v>0</v>
      </c>
      <c r="AG141" s="2106">
        <f t="shared" si="82"/>
        <v>0</v>
      </c>
    </row>
    <row r="142" spans="1:33" s="203" customFormat="1" ht="15.75" hidden="1">
      <c r="A142" s="2690"/>
      <c r="B142" s="2125" t="s">
        <v>799</v>
      </c>
      <c r="C142" s="2103" t="s">
        <v>736</v>
      </c>
      <c r="D142" s="2103" t="s">
        <v>800</v>
      </c>
      <c r="E142" s="2103" t="s">
        <v>754</v>
      </c>
      <c r="F142" s="2103" t="s">
        <v>787</v>
      </c>
      <c r="G142" s="2103" t="s">
        <v>788</v>
      </c>
      <c r="H142" s="2127" t="s">
        <v>739</v>
      </c>
      <c r="I142" s="2106">
        <f>0</f>
        <v>0</v>
      </c>
      <c r="J142" s="2579">
        <v>0</v>
      </c>
      <c r="K142" s="2236">
        <f>0</f>
        <v>0</v>
      </c>
      <c r="L142" s="2106">
        <f t="shared" si="77"/>
        <v>0</v>
      </c>
      <c r="M142" s="2106">
        <f t="shared" si="78"/>
        <v>0</v>
      </c>
      <c r="N142" s="2106">
        <f t="shared" si="80"/>
        <v>0</v>
      </c>
      <c r="O142" s="2106">
        <f t="shared" si="79"/>
        <v>0</v>
      </c>
      <c r="P142" s="3172"/>
      <c r="Q142" s="2420"/>
      <c r="R142" s="2400">
        <f t="shared" si="72"/>
        <v>0</v>
      </c>
      <c r="S142" s="2106">
        <f t="shared" si="61"/>
        <v>0</v>
      </c>
      <c r="T142" s="2173">
        <f t="shared" si="73"/>
        <v>0</v>
      </c>
      <c r="U142" s="2173">
        <f t="shared" si="74"/>
        <v>0</v>
      </c>
      <c r="V142" s="2173"/>
      <c r="W142" s="2444"/>
      <c r="X142" s="2452"/>
      <c r="Z142" s="1209">
        <v>0</v>
      </c>
      <c r="AC142" s="2419"/>
      <c r="AD142" s="2656">
        <v>0</v>
      </c>
      <c r="AE142" s="172">
        <f t="shared" si="81"/>
        <v>0</v>
      </c>
      <c r="AG142" s="2419">
        <f t="shared" si="82"/>
        <v>0</v>
      </c>
    </row>
    <row r="143" spans="1:33" s="203" customFormat="1" ht="15.75" hidden="1">
      <c r="A143" s="2690"/>
      <c r="B143" s="2125" t="s">
        <v>801</v>
      </c>
      <c r="C143" s="2103" t="s">
        <v>736</v>
      </c>
      <c r="D143" s="2103" t="s">
        <v>802</v>
      </c>
      <c r="E143" s="2103" t="s">
        <v>754</v>
      </c>
      <c r="F143" s="2103" t="s">
        <v>787</v>
      </c>
      <c r="G143" s="2103" t="s">
        <v>788</v>
      </c>
      <c r="H143" s="2127" t="s">
        <v>739</v>
      </c>
      <c r="I143" s="2106">
        <f>0</f>
        <v>0</v>
      </c>
      <c r="J143" s="2579">
        <v>203070</v>
      </c>
      <c r="K143" s="2236">
        <f>0</f>
        <v>0</v>
      </c>
      <c r="L143" s="2106">
        <f t="shared" si="77"/>
        <v>0</v>
      </c>
      <c r="M143" s="2106">
        <f t="shared" si="78"/>
        <v>0</v>
      </c>
      <c r="N143" s="2106">
        <f>+M143+95724</f>
        <v>95724</v>
      </c>
      <c r="O143" s="2106">
        <f t="shared" si="79"/>
        <v>95724</v>
      </c>
      <c r="P143" s="3172">
        <f>95724</f>
        <v>95724</v>
      </c>
      <c r="Q143" s="2420">
        <f>+P143/N143</f>
        <v>1</v>
      </c>
      <c r="R143" s="2400">
        <f t="shared" si="72"/>
        <v>0</v>
      </c>
      <c r="S143" s="2106">
        <f t="shared" si="61"/>
        <v>0</v>
      </c>
      <c r="T143" s="2173">
        <f t="shared" si="73"/>
        <v>95724</v>
      </c>
      <c r="U143" s="2173">
        <f t="shared" si="74"/>
        <v>0</v>
      </c>
      <c r="V143" s="2173"/>
      <c r="W143" s="2444"/>
      <c r="X143" s="2452"/>
      <c r="Z143" s="1209">
        <v>147595</v>
      </c>
      <c r="AC143" s="2419"/>
      <c r="AD143" s="2656">
        <v>203070</v>
      </c>
      <c r="AE143" s="172">
        <f t="shared" si="81"/>
        <v>0</v>
      </c>
      <c r="AG143" s="2419">
        <f t="shared" si="82"/>
        <v>0</v>
      </c>
    </row>
    <row r="144" spans="1:33" s="203" customFormat="1" ht="15.75" hidden="1">
      <c r="A144" s="2690"/>
      <c r="B144" s="2125" t="s">
        <v>803</v>
      </c>
      <c r="C144" s="2103" t="s">
        <v>736</v>
      </c>
      <c r="D144" s="2103" t="s">
        <v>804</v>
      </c>
      <c r="E144" s="2103" t="s">
        <v>754</v>
      </c>
      <c r="F144" s="2103" t="s">
        <v>787</v>
      </c>
      <c r="G144" s="2103" t="s">
        <v>788</v>
      </c>
      <c r="H144" s="2127" t="s">
        <v>739</v>
      </c>
      <c r="I144" s="2106">
        <f>0</f>
        <v>0</v>
      </c>
      <c r="J144" s="2579">
        <v>61326</v>
      </c>
      <c r="K144" s="2236">
        <f>0</f>
        <v>0</v>
      </c>
      <c r="L144" s="2106">
        <f t="shared" si="77"/>
        <v>0</v>
      </c>
      <c r="M144" s="2106">
        <f t="shared" si="78"/>
        <v>0</v>
      </c>
      <c r="N144" s="2106">
        <f>+M144+121758</f>
        <v>121758</v>
      </c>
      <c r="O144" s="2106">
        <f t="shared" si="79"/>
        <v>121758</v>
      </c>
      <c r="P144" s="3172">
        <v>121758</v>
      </c>
      <c r="Q144" s="2420">
        <f>+P144/N144</f>
        <v>1</v>
      </c>
      <c r="R144" s="2400">
        <f t="shared" si="72"/>
        <v>0</v>
      </c>
      <c r="S144" s="2106">
        <f t="shared" si="61"/>
        <v>0</v>
      </c>
      <c r="T144" s="2173">
        <f t="shared" si="73"/>
        <v>121758</v>
      </c>
      <c r="U144" s="2173">
        <f t="shared" si="74"/>
        <v>0</v>
      </c>
      <c r="V144" s="2173"/>
      <c r="W144" s="2444"/>
      <c r="X144" s="2452"/>
      <c r="Z144" s="1209">
        <f>61326</f>
        <v>61326</v>
      </c>
      <c r="AC144" s="2419"/>
      <c r="AD144" s="2656">
        <v>61326</v>
      </c>
      <c r="AE144" s="172">
        <f t="shared" si="81"/>
        <v>0</v>
      </c>
      <c r="AG144" s="2419">
        <f t="shared" si="82"/>
        <v>0</v>
      </c>
    </row>
    <row r="145" spans="1:33" s="203" customFormat="1" ht="16.5" hidden="1" thickBot="1">
      <c r="A145" s="2690"/>
      <c r="B145" s="2125" t="s">
        <v>805</v>
      </c>
      <c r="C145" s="2103" t="s">
        <v>736</v>
      </c>
      <c r="D145" s="2103" t="s">
        <v>806</v>
      </c>
      <c r="E145" s="2103" t="s">
        <v>754</v>
      </c>
      <c r="F145" s="2103" t="s">
        <v>787</v>
      </c>
      <c r="G145" s="2103" t="s">
        <v>788</v>
      </c>
      <c r="H145" s="2127" t="s">
        <v>739</v>
      </c>
      <c r="I145" s="2106">
        <f>0</f>
        <v>0</v>
      </c>
      <c r="J145" s="2579">
        <v>509676</v>
      </c>
      <c r="K145" s="2236">
        <f>0</f>
        <v>0</v>
      </c>
      <c r="L145" s="2106">
        <f t="shared" si="77"/>
        <v>0</v>
      </c>
      <c r="M145" s="2106">
        <f t="shared" si="78"/>
        <v>0</v>
      </c>
      <c r="N145" s="2106">
        <f>+M145+464221</f>
        <v>464221</v>
      </c>
      <c r="O145" s="2106">
        <f t="shared" si="79"/>
        <v>464221</v>
      </c>
      <c r="P145" s="3172">
        <f>464221</f>
        <v>464221</v>
      </c>
      <c r="Q145" s="2420">
        <f>+P145/N145</f>
        <v>1</v>
      </c>
      <c r="R145" s="2400">
        <f t="shared" si="72"/>
        <v>0</v>
      </c>
      <c r="S145" s="2106">
        <f t="shared" si="61"/>
        <v>0</v>
      </c>
      <c r="T145" s="2173">
        <f t="shared" si="73"/>
        <v>464221</v>
      </c>
      <c r="U145" s="2173">
        <f t="shared" si="74"/>
        <v>0</v>
      </c>
      <c r="V145" s="2173"/>
      <c r="W145" s="2444"/>
      <c r="X145" s="2452"/>
      <c r="Z145" s="1368">
        <f>414604</f>
        <v>414604</v>
      </c>
      <c r="AC145" s="2419"/>
      <c r="AD145" s="2663">
        <v>509676</v>
      </c>
      <c r="AE145" s="172">
        <f t="shared" si="81"/>
        <v>0</v>
      </c>
      <c r="AG145" s="2419">
        <f t="shared" si="82"/>
        <v>0</v>
      </c>
    </row>
    <row r="146" spans="1:33" s="203" customFormat="1" ht="15.75" hidden="1">
      <c r="A146" s="2690"/>
      <c r="B146" s="2125" t="s">
        <v>807</v>
      </c>
      <c r="C146" s="2103" t="s">
        <v>736</v>
      </c>
      <c r="D146" s="2103" t="s">
        <v>808</v>
      </c>
      <c r="E146" s="2103" t="s">
        <v>754</v>
      </c>
      <c r="F146" s="2103" t="s">
        <v>787</v>
      </c>
      <c r="G146" s="2103" t="s">
        <v>788</v>
      </c>
      <c r="H146" s="2127" t="s">
        <v>739</v>
      </c>
      <c r="I146" s="2106">
        <f>0</f>
        <v>0</v>
      </c>
      <c r="J146" s="2579">
        <v>0</v>
      </c>
      <c r="K146" s="2236">
        <f>0</f>
        <v>0</v>
      </c>
      <c r="L146" s="2106">
        <f t="shared" si="77"/>
        <v>0</v>
      </c>
      <c r="M146" s="2106">
        <f t="shared" si="78"/>
        <v>0</v>
      </c>
      <c r="N146" s="2106">
        <f t="shared" si="80"/>
        <v>0</v>
      </c>
      <c r="O146" s="2106">
        <f t="shared" si="79"/>
        <v>0</v>
      </c>
      <c r="P146" s="3179">
        <v>0</v>
      </c>
      <c r="Q146" s="2420"/>
      <c r="R146" s="2400">
        <f t="shared" si="72"/>
        <v>0</v>
      </c>
      <c r="S146" s="2106">
        <f t="shared" si="61"/>
        <v>0</v>
      </c>
      <c r="T146" s="2173">
        <f t="shared" si="73"/>
        <v>0</v>
      </c>
      <c r="U146" s="2173">
        <f t="shared" si="74"/>
        <v>0</v>
      </c>
      <c r="V146" s="2173"/>
      <c r="W146" s="2444"/>
      <c r="X146" s="2452"/>
      <c r="Z146" s="1366">
        <v>0</v>
      </c>
      <c r="AC146" s="2106"/>
      <c r="AD146" s="2664">
        <v>0</v>
      </c>
      <c r="AE146" s="172">
        <f t="shared" si="81"/>
        <v>0</v>
      </c>
      <c r="AG146" s="2106">
        <f t="shared" si="82"/>
        <v>0</v>
      </c>
    </row>
    <row r="147" spans="1:33" s="203" customFormat="1" ht="15.75" hidden="1">
      <c r="A147" s="2690"/>
      <c r="B147" s="2125" t="s">
        <v>809</v>
      </c>
      <c r="C147" s="2103" t="s">
        <v>736</v>
      </c>
      <c r="D147" s="2103" t="s">
        <v>810</v>
      </c>
      <c r="E147" s="2103" t="s">
        <v>754</v>
      </c>
      <c r="F147" s="2103" t="s">
        <v>751</v>
      </c>
      <c r="G147" s="2103" t="s">
        <v>788</v>
      </c>
      <c r="H147" s="2127" t="s">
        <v>739</v>
      </c>
      <c r="I147" s="2106">
        <f>0</f>
        <v>0</v>
      </c>
      <c r="J147" s="2579">
        <v>395123</v>
      </c>
      <c r="K147" s="2236">
        <f>0</f>
        <v>0</v>
      </c>
      <c r="L147" s="2106">
        <f t="shared" si="77"/>
        <v>0</v>
      </c>
      <c r="M147" s="2106">
        <f t="shared" si="78"/>
        <v>0</v>
      </c>
      <c r="N147" s="2106">
        <f>+M147+590900</f>
        <v>590900</v>
      </c>
      <c r="O147" s="2106">
        <f t="shared" si="79"/>
        <v>590900</v>
      </c>
      <c r="P147" s="3172">
        <f>440900+150000</f>
        <v>590900</v>
      </c>
      <c r="Q147" s="2420">
        <f>+P147/N147</f>
        <v>1</v>
      </c>
      <c r="R147" s="2400">
        <f t="shared" si="72"/>
        <v>0</v>
      </c>
      <c r="S147" s="2106">
        <f t="shared" si="61"/>
        <v>0</v>
      </c>
      <c r="T147" s="2173">
        <f t="shared" si="73"/>
        <v>590900</v>
      </c>
      <c r="U147" s="2173">
        <f t="shared" si="74"/>
        <v>0</v>
      </c>
      <c r="V147" s="2173"/>
      <c r="W147" s="2444"/>
      <c r="X147" s="2452"/>
      <c r="Z147" s="1209">
        <f>303900+54823</f>
        <v>358723</v>
      </c>
      <c r="AC147" s="2419"/>
      <c r="AD147" s="2656">
        <v>395123</v>
      </c>
      <c r="AE147" s="172">
        <f t="shared" si="81"/>
        <v>0</v>
      </c>
      <c r="AG147" s="2419">
        <f t="shared" si="82"/>
        <v>0</v>
      </c>
    </row>
    <row r="148" spans="1:33" s="203" customFormat="1" ht="15.75" hidden="1">
      <c r="A148" s="2690"/>
      <c r="B148" s="2125" t="s">
        <v>811</v>
      </c>
      <c r="C148" s="2103" t="s">
        <v>736</v>
      </c>
      <c r="D148" s="2103" t="s">
        <v>812</v>
      </c>
      <c r="E148" s="2103" t="s">
        <v>754</v>
      </c>
      <c r="F148" s="2103" t="s">
        <v>751</v>
      </c>
      <c r="G148" s="2103" t="s">
        <v>788</v>
      </c>
      <c r="H148" s="2127" t="s">
        <v>739</v>
      </c>
      <c r="I148" s="2106">
        <f>0</f>
        <v>0</v>
      </c>
      <c r="J148" s="2579">
        <v>0</v>
      </c>
      <c r="K148" s="2236">
        <f>0</f>
        <v>0</v>
      </c>
      <c r="L148" s="2106">
        <f t="shared" si="77"/>
        <v>0</v>
      </c>
      <c r="M148" s="2106">
        <f t="shared" si="78"/>
        <v>0</v>
      </c>
      <c r="N148" s="2106">
        <f t="shared" si="80"/>
        <v>0</v>
      </c>
      <c r="O148" s="2106">
        <f t="shared" si="79"/>
        <v>0</v>
      </c>
      <c r="P148" s="3172">
        <v>0</v>
      </c>
      <c r="Q148" s="2420"/>
      <c r="R148" s="2400">
        <f t="shared" si="72"/>
        <v>0</v>
      </c>
      <c r="S148" s="2106">
        <f t="shared" si="61"/>
        <v>0</v>
      </c>
      <c r="T148" s="2173">
        <f t="shared" si="73"/>
        <v>0</v>
      </c>
      <c r="U148" s="2173">
        <f t="shared" si="74"/>
        <v>0</v>
      </c>
      <c r="V148" s="2173"/>
      <c r="W148" s="2444"/>
      <c r="X148" s="2452"/>
      <c r="Z148" s="1209">
        <v>0</v>
      </c>
      <c r="AC148" s="2419"/>
      <c r="AD148" s="2656">
        <v>0</v>
      </c>
      <c r="AE148" s="172">
        <f t="shared" si="81"/>
        <v>0</v>
      </c>
      <c r="AG148" s="2419">
        <f t="shared" si="82"/>
        <v>0</v>
      </c>
    </row>
    <row r="149" spans="1:33" s="203" customFormat="1" ht="15.75" hidden="1">
      <c r="A149" s="2690"/>
      <c r="B149" s="2125" t="s">
        <v>813</v>
      </c>
      <c r="C149" s="2103" t="s">
        <v>736</v>
      </c>
      <c r="D149" s="2103" t="s">
        <v>814</v>
      </c>
      <c r="E149" s="2103" t="s">
        <v>754</v>
      </c>
      <c r="F149" s="2103" t="s">
        <v>751</v>
      </c>
      <c r="G149" s="2103" t="s">
        <v>788</v>
      </c>
      <c r="H149" s="2127" t="s">
        <v>739</v>
      </c>
      <c r="I149" s="2106">
        <f>0</f>
        <v>0</v>
      </c>
      <c r="J149" s="2579">
        <v>0</v>
      </c>
      <c r="K149" s="2236">
        <f>0</f>
        <v>0</v>
      </c>
      <c r="L149" s="2106">
        <f t="shared" si="77"/>
        <v>0</v>
      </c>
      <c r="M149" s="2106">
        <f t="shared" si="78"/>
        <v>0</v>
      </c>
      <c r="N149" s="2106">
        <f t="shared" si="80"/>
        <v>0</v>
      </c>
      <c r="O149" s="2106">
        <f t="shared" si="79"/>
        <v>0</v>
      </c>
      <c r="P149" s="3172">
        <v>0</v>
      </c>
      <c r="Q149" s="2420"/>
      <c r="R149" s="2400">
        <f t="shared" si="72"/>
        <v>0</v>
      </c>
      <c r="S149" s="2106">
        <f t="shared" si="61"/>
        <v>0</v>
      </c>
      <c r="T149" s="2173">
        <f t="shared" si="73"/>
        <v>0</v>
      </c>
      <c r="U149" s="2173">
        <f t="shared" si="74"/>
        <v>0</v>
      </c>
      <c r="V149" s="2173"/>
      <c r="W149" s="2444"/>
      <c r="X149" s="2452"/>
      <c r="Z149" s="1209">
        <v>0</v>
      </c>
      <c r="AC149" s="2419"/>
      <c r="AD149" s="2656">
        <v>0</v>
      </c>
      <c r="AE149" s="172">
        <f t="shared" si="81"/>
        <v>0</v>
      </c>
      <c r="AG149" s="2419">
        <f t="shared" si="82"/>
        <v>0</v>
      </c>
    </row>
    <row r="150" spans="1:33" s="203" customFormat="1" ht="15.75" hidden="1">
      <c r="A150" s="2690"/>
      <c r="B150" s="2125" t="s">
        <v>815</v>
      </c>
      <c r="C150" s="2103" t="s">
        <v>736</v>
      </c>
      <c r="D150" s="2103" t="s">
        <v>816</v>
      </c>
      <c r="E150" s="2103" t="s">
        <v>754</v>
      </c>
      <c r="F150" s="2103" t="s">
        <v>751</v>
      </c>
      <c r="G150" s="2103" t="s">
        <v>788</v>
      </c>
      <c r="H150" s="2127" t="s">
        <v>739</v>
      </c>
      <c r="I150" s="2106">
        <f>0</f>
        <v>0</v>
      </c>
      <c r="J150" s="2579">
        <v>105748</v>
      </c>
      <c r="K150" s="2236">
        <f>0</f>
        <v>0</v>
      </c>
      <c r="L150" s="2106">
        <f t="shared" si="77"/>
        <v>0</v>
      </c>
      <c r="M150" s="2106">
        <f t="shared" si="78"/>
        <v>0</v>
      </c>
      <c r="N150" s="2106">
        <f>+M150+78736</f>
        <v>78736</v>
      </c>
      <c r="O150" s="2106">
        <f t="shared" si="79"/>
        <v>78736</v>
      </c>
      <c r="P150" s="3172">
        <v>78736</v>
      </c>
      <c r="Q150" s="2420">
        <f>+P150/N150</f>
        <v>1</v>
      </c>
      <c r="R150" s="2400">
        <f t="shared" si="72"/>
        <v>0</v>
      </c>
      <c r="S150" s="2106">
        <f t="shared" si="61"/>
        <v>0</v>
      </c>
      <c r="T150" s="2173">
        <f t="shared" si="73"/>
        <v>78736</v>
      </c>
      <c r="U150" s="2173">
        <f t="shared" si="74"/>
        <v>0</v>
      </c>
      <c r="V150" s="2173"/>
      <c r="W150" s="2444"/>
      <c r="X150" s="2452"/>
      <c r="Z150" s="1209">
        <f>100954</f>
        <v>100954</v>
      </c>
      <c r="AC150" s="2419"/>
      <c r="AD150" s="2656">
        <v>105748</v>
      </c>
      <c r="AE150" s="172">
        <f t="shared" si="81"/>
        <v>0</v>
      </c>
      <c r="AG150" s="2419">
        <f t="shared" si="82"/>
        <v>0</v>
      </c>
    </row>
    <row r="151" spans="1:33" s="203" customFormat="1" ht="15.75" hidden="1">
      <c r="A151" s="2690"/>
      <c r="B151" s="2125" t="s">
        <v>817</v>
      </c>
      <c r="C151" s="2103" t="s">
        <v>736</v>
      </c>
      <c r="D151" s="2103" t="s">
        <v>818</v>
      </c>
      <c r="E151" s="2103" t="s">
        <v>754</v>
      </c>
      <c r="F151" s="2103" t="s">
        <v>751</v>
      </c>
      <c r="G151" s="2103" t="s">
        <v>788</v>
      </c>
      <c r="H151" s="2127" t="s">
        <v>739</v>
      </c>
      <c r="I151" s="2106">
        <f>0</f>
        <v>0</v>
      </c>
      <c r="J151" s="2579">
        <v>0</v>
      </c>
      <c r="K151" s="2236">
        <f>0</f>
        <v>0</v>
      </c>
      <c r="L151" s="2106">
        <f t="shared" si="77"/>
        <v>0</v>
      </c>
      <c r="M151" s="2106">
        <f t="shared" si="78"/>
        <v>0</v>
      </c>
      <c r="N151" s="2106">
        <f t="shared" si="80"/>
        <v>0</v>
      </c>
      <c r="O151" s="2106">
        <f t="shared" si="79"/>
        <v>0</v>
      </c>
      <c r="P151" s="3179">
        <v>0</v>
      </c>
      <c r="Q151" s="2420"/>
      <c r="R151" s="2400">
        <f t="shared" si="72"/>
        <v>0</v>
      </c>
      <c r="S151" s="2106">
        <f t="shared" si="61"/>
        <v>0</v>
      </c>
      <c r="T151" s="2173">
        <f t="shared" si="73"/>
        <v>0</v>
      </c>
      <c r="U151" s="2173">
        <f t="shared" si="74"/>
        <v>0</v>
      </c>
      <c r="V151" s="2173"/>
      <c r="W151" s="2444"/>
      <c r="X151" s="2452"/>
      <c r="Z151" s="199">
        <v>0</v>
      </c>
      <c r="AC151" s="2106"/>
      <c r="AD151" s="1011">
        <v>0</v>
      </c>
      <c r="AE151" s="172">
        <f t="shared" si="81"/>
        <v>0</v>
      </c>
      <c r="AG151" s="2106">
        <f t="shared" si="82"/>
        <v>0</v>
      </c>
    </row>
    <row r="152" spans="1:33" s="203" customFormat="1" ht="15.75" hidden="1">
      <c r="A152" s="2690"/>
      <c r="B152" s="2125" t="s">
        <v>819</v>
      </c>
      <c r="C152" s="2103" t="s">
        <v>736</v>
      </c>
      <c r="D152" s="2103" t="s">
        <v>820</v>
      </c>
      <c r="E152" s="2103" t="s">
        <v>754</v>
      </c>
      <c r="F152" s="2103" t="s">
        <v>751</v>
      </c>
      <c r="G152" s="2103" t="s">
        <v>788</v>
      </c>
      <c r="H152" s="2127" t="s">
        <v>739</v>
      </c>
      <c r="I152" s="2106">
        <f>0</f>
        <v>0</v>
      </c>
      <c r="J152" s="2579">
        <v>0</v>
      </c>
      <c r="K152" s="2236">
        <f>0</f>
        <v>0</v>
      </c>
      <c r="L152" s="2106">
        <f t="shared" si="77"/>
        <v>0</v>
      </c>
      <c r="M152" s="2106">
        <f t="shared" si="78"/>
        <v>0</v>
      </c>
      <c r="N152" s="2106">
        <f t="shared" si="80"/>
        <v>0</v>
      </c>
      <c r="O152" s="2106">
        <f t="shared" si="79"/>
        <v>0</v>
      </c>
      <c r="P152" s="3179">
        <v>0</v>
      </c>
      <c r="Q152" s="2420"/>
      <c r="R152" s="2400">
        <f t="shared" si="72"/>
        <v>0</v>
      </c>
      <c r="S152" s="2106">
        <f t="shared" si="61"/>
        <v>0</v>
      </c>
      <c r="T152" s="2173">
        <f t="shared" si="73"/>
        <v>0</v>
      </c>
      <c r="U152" s="2173">
        <f t="shared" si="74"/>
        <v>0</v>
      </c>
      <c r="V152" s="2173"/>
      <c r="W152" s="2444"/>
      <c r="X152" s="2452"/>
      <c r="Z152" s="199">
        <v>0</v>
      </c>
      <c r="AC152" s="2106"/>
      <c r="AD152" s="1011">
        <v>0</v>
      </c>
      <c r="AE152" s="172">
        <f t="shared" si="81"/>
        <v>0</v>
      </c>
      <c r="AG152" s="2106">
        <f t="shared" si="82"/>
        <v>0</v>
      </c>
    </row>
    <row r="153" spans="1:33" s="203" customFormat="1" ht="15.75" hidden="1">
      <c r="A153" s="2690"/>
      <c r="B153" s="2125" t="s">
        <v>821</v>
      </c>
      <c r="C153" s="2103" t="s">
        <v>736</v>
      </c>
      <c r="D153" s="2103" t="s">
        <v>822</v>
      </c>
      <c r="E153" s="2103" t="s">
        <v>754</v>
      </c>
      <c r="F153" s="2103" t="s">
        <v>751</v>
      </c>
      <c r="G153" s="2103" t="s">
        <v>788</v>
      </c>
      <c r="H153" s="2127" t="s">
        <v>739</v>
      </c>
      <c r="I153" s="2106">
        <f>0</f>
        <v>0</v>
      </c>
      <c r="J153" s="2579">
        <v>0</v>
      </c>
      <c r="K153" s="2236">
        <f>0</f>
        <v>0</v>
      </c>
      <c r="L153" s="2106">
        <f t="shared" si="77"/>
        <v>0</v>
      </c>
      <c r="M153" s="2106">
        <f t="shared" si="78"/>
        <v>0</v>
      </c>
      <c r="N153" s="2106">
        <f t="shared" si="80"/>
        <v>0</v>
      </c>
      <c r="O153" s="2106">
        <f t="shared" si="79"/>
        <v>0</v>
      </c>
      <c r="P153" s="3172">
        <v>0</v>
      </c>
      <c r="Q153" s="2420"/>
      <c r="R153" s="2400">
        <f t="shared" si="72"/>
        <v>0</v>
      </c>
      <c r="S153" s="2106">
        <f t="shared" si="61"/>
        <v>0</v>
      </c>
      <c r="T153" s="2173">
        <f t="shared" si="73"/>
        <v>0</v>
      </c>
      <c r="U153" s="2173">
        <f t="shared" si="74"/>
        <v>0</v>
      </c>
      <c r="V153" s="2173"/>
      <c r="W153" s="2444"/>
      <c r="X153" s="2452"/>
      <c r="Z153" s="1209">
        <v>0</v>
      </c>
      <c r="AC153" s="2419"/>
      <c r="AD153" s="2656">
        <v>0</v>
      </c>
      <c r="AE153" s="172">
        <f t="shared" si="81"/>
        <v>0</v>
      </c>
      <c r="AG153" s="2419">
        <f t="shared" si="82"/>
        <v>0</v>
      </c>
    </row>
    <row r="154" spans="1:33" s="203" customFormat="1" ht="16.5" hidden="1" thickBot="1">
      <c r="A154" s="2690"/>
      <c r="B154" s="2125" t="s">
        <v>823</v>
      </c>
      <c r="C154" s="2103" t="s">
        <v>736</v>
      </c>
      <c r="D154" s="2103" t="s">
        <v>824</v>
      </c>
      <c r="E154" s="2103" t="s">
        <v>754</v>
      </c>
      <c r="F154" s="2103" t="s">
        <v>751</v>
      </c>
      <c r="G154" s="2103" t="s">
        <v>788</v>
      </c>
      <c r="H154" s="2127" t="s">
        <v>739</v>
      </c>
      <c r="I154" s="2106">
        <f>0</f>
        <v>0</v>
      </c>
      <c r="J154" s="2579">
        <v>110385</v>
      </c>
      <c r="K154" s="2236">
        <f>0</f>
        <v>0</v>
      </c>
      <c r="L154" s="2106">
        <f t="shared" si="77"/>
        <v>0</v>
      </c>
      <c r="M154" s="2106">
        <f t="shared" si="78"/>
        <v>0</v>
      </c>
      <c r="N154" s="2106">
        <f>+M154+77477</f>
        <v>77477</v>
      </c>
      <c r="O154" s="2106">
        <f t="shared" si="79"/>
        <v>77477</v>
      </c>
      <c r="P154" s="3172">
        <v>77477</v>
      </c>
      <c r="Q154" s="2420">
        <f>+P154/N154</f>
        <v>1</v>
      </c>
      <c r="R154" s="2400">
        <f t="shared" si="72"/>
        <v>0</v>
      </c>
      <c r="S154" s="2106">
        <f t="shared" si="61"/>
        <v>0</v>
      </c>
      <c r="T154" s="2173">
        <f t="shared" si="73"/>
        <v>77477</v>
      </c>
      <c r="U154" s="2173">
        <f t="shared" si="74"/>
        <v>0</v>
      </c>
      <c r="V154" s="2173"/>
      <c r="W154" s="2444"/>
      <c r="X154" s="2452"/>
      <c r="Z154" s="1368">
        <f>97156+11029</f>
        <v>108185</v>
      </c>
      <c r="AC154" s="2419"/>
      <c r="AD154" s="2663">
        <v>110385</v>
      </c>
      <c r="AE154" s="172">
        <f t="shared" si="81"/>
        <v>0</v>
      </c>
      <c r="AG154" s="2419">
        <f t="shared" si="82"/>
        <v>0</v>
      </c>
    </row>
    <row r="155" spans="1:33" s="203" customFormat="1" ht="15.75" hidden="1">
      <c r="A155" s="2690"/>
      <c r="B155" s="2125" t="s">
        <v>825</v>
      </c>
      <c r="C155" s="2103" t="s">
        <v>736</v>
      </c>
      <c r="D155" s="2103" t="s">
        <v>826</v>
      </c>
      <c r="E155" s="2103" t="s">
        <v>754</v>
      </c>
      <c r="F155" s="2103" t="s">
        <v>751</v>
      </c>
      <c r="G155" s="2103" t="s">
        <v>788</v>
      </c>
      <c r="H155" s="2127" t="s">
        <v>739</v>
      </c>
      <c r="I155" s="2106">
        <v>0</v>
      </c>
      <c r="J155" s="2579">
        <v>43200</v>
      </c>
      <c r="K155" s="2236">
        <v>0</v>
      </c>
      <c r="L155" s="2106">
        <f t="shared" si="77"/>
        <v>0</v>
      </c>
      <c r="M155" s="2106">
        <f t="shared" si="78"/>
        <v>0</v>
      </c>
      <c r="N155" s="2106">
        <f>+M155+155511</f>
        <v>155511</v>
      </c>
      <c r="O155" s="2106">
        <f t="shared" si="79"/>
        <v>155511</v>
      </c>
      <c r="P155" s="3172">
        <f>155511</f>
        <v>155511</v>
      </c>
      <c r="Q155" s="2420">
        <f>+P155/N155</f>
        <v>1</v>
      </c>
      <c r="R155" s="2400">
        <f t="shared" si="72"/>
        <v>0</v>
      </c>
      <c r="S155" s="2106">
        <f t="shared" si="61"/>
        <v>0</v>
      </c>
      <c r="T155" s="2173">
        <f t="shared" si="73"/>
        <v>155511</v>
      </c>
      <c r="U155" s="2173">
        <f t="shared" si="74"/>
        <v>0</v>
      </c>
      <c r="V155" s="2173"/>
      <c r="W155" s="2444"/>
      <c r="X155" s="2452"/>
      <c r="Y155" s="1269"/>
      <c r="Z155" s="1367">
        <v>36000</v>
      </c>
      <c r="AC155" s="2419"/>
      <c r="AD155" s="2662">
        <v>43200</v>
      </c>
      <c r="AE155" s="172">
        <f t="shared" si="81"/>
        <v>0</v>
      </c>
      <c r="AG155" s="2419">
        <f t="shared" si="82"/>
        <v>0</v>
      </c>
    </row>
    <row r="156" spans="1:33" s="203" customFormat="1" ht="16.5" hidden="1" thickBot="1">
      <c r="A156" s="2690"/>
      <c r="B156" s="2125" t="s">
        <v>827</v>
      </c>
      <c r="C156" s="2103" t="s">
        <v>736</v>
      </c>
      <c r="D156" s="2103" t="s">
        <v>828</v>
      </c>
      <c r="E156" s="2103" t="s">
        <v>754</v>
      </c>
      <c r="F156" s="2103" t="s">
        <v>751</v>
      </c>
      <c r="G156" s="2103" t="s">
        <v>788</v>
      </c>
      <c r="H156" s="2127" t="s">
        <v>739</v>
      </c>
      <c r="I156" s="2106">
        <f>14828614+1140916</f>
        <v>15969530</v>
      </c>
      <c r="J156" s="2579">
        <v>11597645</v>
      </c>
      <c r="K156" s="2236">
        <f>17521095</f>
        <v>17521095</v>
      </c>
      <c r="L156" s="2106">
        <f t="shared" si="77"/>
        <v>17521095</v>
      </c>
      <c r="M156" s="2106">
        <f t="shared" si="78"/>
        <v>17521095</v>
      </c>
      <c r="N156" s="2106">
        <f>+M156-3776172</f>
        <v>13744923</v>
      </c>
      <c r="O156" s="2106">
        <f t="shared" si="79"/>
        <v>13744923</v>
      </c>
      <c r="P156" s="3172">
        <f>13744923</f>
        <v>13744923</v>
      </c>
      <c r="Q156" s="2420">
        <f>+P156/N156</f>
        <v>1</v>
      </c>
      <c r="R156" s="2400">
        <f t="shared" si="72"/>
        <v>0</v>
      </c>
      <c r="S156" s="2106">
        <f t="shared" si="61"/>
        <v>0</v>
      </c>
      <c r="T156" s="2173">
        <f t="shared" si="73"/>
        <v>-3776172</v>
      </c>
      <c r="U156" s="2173">
        <f t="shared" si="74"/>
        <v>0</v>
      </c>
      <c r="V156" s="2173"/>
      <c r="W156" s="2444"/>
      <c r="X156" s="2452"/>
      <c r="Y156" s="1269"/>
      <c r="Z156" s="1368">
        <f>19081+9567238</f>
        <v>9586319</v>
      </c>
      <c r="AC156" s="2419"/>
      <c r="AD156" s="2663">
        <v>11597645</v>
      </c>
      <c r="AE156" s="172">
        <f t="shared" si="81"/>
        <v>0</v>
      </c>
      <c r="AG156" s="2419">
        <f t="shared" si="82"/>
        <v>0</v>
      </c>
    </row>
    <row r="157" spans="1:33" s="203" customFormat="1" ht="15.75" hidden="1">
      <c r="A157" s="2690"/>
      <c r="B157" s="2226" t="s">
        <v>3694</v>
      </c>
      <c r="C157" s="2103" t="s">
        <v>736</v>
      </c>
      <c r="D157" s="2103" t="s">
        <v>829</v>
      </c>
      <c r="E157" s="2103" t="s">
        <v>754</v>
      </c>
      <c r="F157" s="2103" t="s">
        <v>751</v>
      </c>
      <c r="G157" s="2103" t="s">
        <v>788</v>
      </c>
      <c r="H157" s="2127" t="s">
        <v>739</v>
      </c>
      <c r="I157" s="2106">
        <v>0</v>
      </c>
      <c r="J157" s="2579">
        <v>65869</v>
      </c>
      <c r="K157" s="2236">
        <f>934536</f>
        <v>934536</v>
      </c>
      <c r="L157" s="2106">
        <f t="shared" si="77"/>
        <v>934536</v>
      </c>
      <c r="M157" s="2106">
        <f t="shared" si="78"/>
        <v>934536</v>
      </c>
      <c r="N157" s="2106">
        <f>+M157-289751</f>
        <v>644785</v>
      </c>
      <c r="O157" s="2106">
        <f t="shared" si="79"/>
        <v>644785</v>
      </c>
      <c r="P157" s="3171">
        <f>34285+6465+3000+601035</f>
        <v>644785</v>
      </c>
      <c r="Q157" s="2420">
        <f>+P157/N157</f>
        <v>1</v>
      </c>
      <c r="R157" s="2400">
        <f t="shared" si="72"/>
        <v>0</v>
      </c>
      <c r="S157" s="2106">
        <f t="shared" si="61"/>
        <v>0</v>
      </c>
      <c r="T157" s="2173">
        <f t="shared" si="73"/>
        <v>-289751</v>
      </c>
      <c r="U157" s="2173">
        <f t="shared" si="74"/>
        <v>0</v>
      </c>
      <c r="V157" s="2173"/>
      <c r="W157" s="2444"/>
      <c r="X157" s="2452"/>
      <c r="Z157" s="233">
        <v>0</v>
      </c>
      <c r="AC157" s="2425"/>
      <c r="AD157" s="2665">
        <v>65869</v>
      </c>
      <c r="AE157" s="172">
        <f t="shared" si="81"/>
        <v>0</v>
      </c>
      <c r="AG157" s="2425">
        <f t="shared" si="82"/>
        <v>0</v>
      </c>
    </row>
    <row r="158" spans="1:33" s="203" customFormat="1" ht="15.75" hidden="1">
      <c r="A158" s="2690"/>
      <c r="B158" s="2125" t="s">
        <v>830</v>
      </c>
      <c r="C158" s="2103" t="s">
        <v>736</v>
      </c>
      <c r="D158" s="2103" t="s">
        <v>831</v>
      </c>
      <c r="E158" s="2103" t="s">
        <v>754</v>
      </c>
      <c r="F158" s="2103" t="s">
        <v>751</v>
      </c>
      <c r="G158" s="2103" t="s">
        <v>788</v>
      </c>
      <c r="H158" s="2127" t="s">
        <v>739</v>
      </c>
      <c r="I158" s="2106">
        <v>0</v>
      </c>
      <c r="J158" s="2579">
        <v>0</v>
      </c>
      <c r="K158" s="2236">
        <v>0</v>
      </c>
      <c r="L158" s="2106">
        <f t="shared" si="77"/>
        <v>0</v>
      </c>
      <c r="M158" s="2106">
        <f t="shared" si="78"/>
        <v>0</v>
      </c>
      <c r="N158" s="2106">
        <f t="shared" si="80"/>
        <v>0</v>
      </c>
      <c r="O158" s="2106">
        <f t="shared" si="79"/>
        <v>0</v>
      </c>
      <c r="P158" s="3172">
        <v>0</v>
      </c>
      <c r="Q158" s="2420"/>
      <c r="R158" s="2400">
        <f t="shared" si="72"/>
        <v>0</v>
      </c>
      <c r="S158" s="2106">
        <f t="shared" si="61"/>
        <v>0</v>
      </c>
      <c r="T158" s="2173">
        <f t="shared" si="73"/>
        <v>0</v>
      </c>
      <c r="U158" s="2173">
        <f t="shared" si="74"/>
        <v>0</v>
      </c>
      <c r="V158" s="2173"/>
      <c r="W158" s="2444"/>
      <c r="X158" s="2452"/>
      <c r="Z158" s="1209">
        <v>0</v>
      </c>
      <c r="AC158" s="2419"/>
      <c r="AD158" s="2656">
        <v>0</v>
      </c>
      <c r="AE158" s="172">
        <f t="shared" si="81"/>
        <v>0</v>
      </c>
      <c r="AG158" s="2419">
        <f t="shared" si="82"/>
        <v>0</v>
      </c>
    </row>
    <row r="159" spans="1:33" s="203" customFormat="1" ht="15.75" hidden="1">
      <c r="A159" s="2690"/>
      <c r="B159" s="2125" t="s">
        <v>832</v>
      </c>
      <c r="C159" s="2103"/>
      <c r="D159" s="2103" t="s">
        <v>833</v>
      </c>
      <c r="E159" s="2103" t="s">
        <v>754</v>
      </c>
      <c r="F159" s="2103"/>
      <c r="G159" s="2103"/>
      <c r="H159" s="2127"/>
      <c r="I159" s="2106">
        <v>0</v>
      </c>
      <c r="J159" s="2579">
        <v>0</v>
      </c>
      <c r="K159" s="2236">
        <v>0</v>
      </c>
      <c r="L159" s="2106">
        <f t="shared" si="77"/>
        <v>0</v>
      </c>
      <c r="M159" s="2106">
        <f t="shared" si="78"/>
        <v>0</v>
      </c>
      <c r="N159" s="2106">
        <f t="shared" si="80"/>
        <v>0</v>
      </c>
      <c r="O159" s="2106">
        <f t="shared" si="79"/>
        <v>0</v>
      </c>
      <c r="P159" s="3172">
        <v>0</v>
      </c>
      <c r="Q159" s="2420"/>
      <c r="R159" s="2400">
        <f t="shared" si="72"/>
        <v>0</v>
      </c>
      <c r="S159" s="2106">
        <f t="shared" si="61"/>
        <v>0</v>
      </c>
      <c r="T159" s="2173">
        <f t="shared" si="73"/>
        <v>0</v>
      </c>
      <c r="U159" s="2173">
        <f t="shared" si="74"/>
        <v>0</v>
      </c>
      <c r="V159" s="2173"/>
      <c r="W159" s="2444"/>
      <c r="X159" s="2452"/>
      <c r="Z159" s="1209">
        <v>0</v>
      </c>
      <c r="AC159" s="2419"/>
      <c r="AD159" s="2656">
        <v>0</v>
      </c>
      <c r="AE159" s="172">
        <f t="shared" si="81"/>
        <v>0</v>
      </c>
      <c r="AG159" s="2419">
        <f t="shared" si="82"/>
        <v>0</v>
      </c>
    </row>
    <row r="160" spans="1:33" ht="15.75">
      <c r="A160" s="2683" t="s">
        <v>759</v>
      </c>
      <c r="B160" s="2110" t="s">
        <v>835</v>
      </c>
      <c r="C160" s="1426"/>
      <c r="D160" s="2108"/>
      <c r="E160" s="2108"/>
      <c r="F160" s="2110"/>
      <c r="G160" s="2110"/>
      <c r="H160" s="2095" t="s">
        <v>836</v>
      </c>
      <c r="I160" s="1701">
        <f>SUM(I131:I159)</f>
        <v>48659914</v>
      </c>
      <c r="J160" s="2576">
        <f t="shared" ref="J160:P160" si="83">SUM(J131:J159)</f>
        <v>44378277</v>
      </c>
      <c r="K160" s="2325">
        <f t="shared" si="83"/>
        <v>49623974</v>
      </c>
      <c r="L160" s="1701">
        <f t="shared" si="83"/>
        <v>49623974</v>
      </c>
      <c r="M160" s="1701">
        <f t="shared" si="83"/>
        <v>49623974</v>
      </c>
      <c r="N160" s="1701">
        <f t="shared" si="83"/>
        <v>47087273</v>
      </c>
      <c r="O160" s="1701">
        <f t="shared" si="83"/>
        <v>47087273</v>
      </c>
      <c r="P160" s="2617">
        <f t="shared" si="83"/>
        <v>47087273</v>
      </c>
      <c r="Q160" s="2411">
        <f>+P160/N160</f>
        <v>1</v>
      </c>
      <c r="R160" s="2401">
        <f t="shared" si="72"/>
        <v>0</v>
      </c>
      <c r="S160" s="1701">
        <f t="shared" si="61"/>
        <v>0</v>
      </c>
      <c r="T160" s="2174">
        <f t="shared" si="73"/>
        <v>-2536701</v>
      </c>
      <c r="U160" s="2174">
        <f t="shared" si="74"/>
        <v>0</v>
      </c>
      <c r="V160" s="2174"/>
      <c r="W160" s="2445"/>
      <c r="X160" s="2452"/>
      <c r="Z160" s="209">
        <f>SUM(Z131:Z159)</f>
        <v>39179406</v>
      </c>
      <c r="AC160" s="1701"/>
      <c r="AD160" s="1025">
        <v>44378277</v>
      </c>
      <c r="AE160" s="172">
        <f t="shared" si="81"/>
        <v>0</v>
      </c>
      <c r="AG160" s="1701">
        <f t="shared" si="82"/>
        <v>0</v>
      </c>
    </row>
    <row r="161" spans="1:37" s="174" customFormat="1" ht="15.75" hidden="1">
      <c r="A161" s="2683"/>
      <c r="B161" s="2110" t="s">
        <v>837</v>
      </c>
      <c r="C161" s="1426"/>
      <c r="D161" s="2108"/>
      <c r="E161" s="2108"/>
      <c r="F161" s="2110"/>
      <c r="G161" s="2110"/>
      <c r="H161" s="2095" t="s">
        <v>838</v>
      </c>
      <c r="I161" s="1701">
        <v>0</v>
      </c>
      <c r="J161" s="2576">
        <v>0</v>
      </c>
      <c r="K161" s="2325">
        <v>0</v>
      </c>
      <c r="L161" s="1701">
        <f t="shared" ref="L161:O164" si="84">+K161</f>
        <v>0</v>
      </c>
      <c r="M161" s="1701">
        <f t="shared" si="84"/>
        <v>0</v>
      </c>
      <c r="N161" s="1701">
        <f t="shared" si="84"/>
        <v>0</v>
      </c>
      <c r="O161" s="1701">
        <f t="shared" si="84"/>
        <v>0</v>
      </c>
      <c r="P161" s="2617">
        <v>0</v>
      </c>
      <c r="Q161" s="2411"/>
      <c r="R161" s="2401">
        <f t="shared" si="72"/>
        <v>0</v>
      </c>
      <c r="S161" s="1701">
        <f t="shared" si="61"/>
        <v>0</v>
      </c>
      <c r="T161" s="2174">
        <f t="shared" si="73"/>
        <v>0</v>
      </c>
      <c r="U161" s="2174">
        <f t="shared" si="74"/>
        <v>0</v>
      </c>
      <c r="V161" s="2174"/>
      <c r="W161" s="2445"/>
      <c r="X161" s="2452"/>
      <c r="Z161" s="209">
        <v>0</v>
      </c>
      <c r="AC161" s="1701"/>
      <c r="AD161" s="1025">
        <v>0</v>
      </c>
      <c r="AE161" s="172">
        <f t="shared" si="81"/>
        <v>0</v>
      </c>
      <c r="AG161" s="1701">
        <f t="shared" si="82"/>
        <v>0</v>
      </c>
    </row>
    <row r="162" spans="1:37" s="203" customFormat="1" ht="15.75" hidden="1">
      <c r="A162" s="2690"/>
      <c r="B162" s="2125" t="s">
        <v>839</v>
      </c>
      <c r="C162" s="2103" t="s">
        <v>736</v>
      </c>
      <c r="D162" s="2103" t="s">
        <v>840</v>
      </c>
      <c r="E162" s="2103" t="s">
        <v>754</v>
      </c>
      <c r="F162" s="2103" t="s">
        <v>787</v>
      </c>
      <c r="G162" s="2103" t="s">
        <v>788</v>
      </c>
      <c r="H162" s="2127" t="s">
        <v>739</v>
      </c>
      <c r="I162" s="2106">
        <f>6152868+922930-158007</f>
        <v>6917791</v>
      </c>
      <c r="J162" s="2579">
        <v>6778582</v>
      </c>
      <c r="K162" s="2236">
        <f>13303868</f>
        <v>13303868</v>
      </c>
      <c r="L162" s="2106">
        <f t="shared" si="84"/>
        <v>13303868</v>
      </c>
      <c r="M162" s="2106">
        <f t="shared" si="84"/>
        <v>13303868</v>
      </c>
      <c r="N162" s="2106">
        <f>+M162-3869650</f>
        <v>9434218</v>
      </c>
      <c r="O162" s="2106">
        <f t="shared" si="84"/>
        <v>9434218</v>
      </c>
      <c r="P162" s="3172">
        <f>9434218</f>
        <v>9434218</v>
      </c>
      <c r="Q162" s="2420">
        <f>+P162/N162</f>
        <v>1</v>
      </c>
      <c r="R162" s="2400">
        <f t="shared" si="72"/>
        <v>0</v>
      </c>
      <c r="S162" s="2106">
        <f t="shared" si="61"/>
        <v>0</v>
      </c>
      <c r="T162" s="2175">
        <f t="shared" si="73"/>
        <v>-3869650</v>
      </c>
      <c r="U162" s="2175">
        <f t="shared" si="74"/>
        <v>0</v>
      </c>
      <c r="V162" s="2175"/>
      <c r="W162" s="2446"/>
      <c r="X162" s="2452"/>
      <c r="Y162" s="1269"/>
      <c r="Z162" s="1209">
        <f>5870860</f>
        <v>5870860</v>
      </c>
      <c r="AA162" s="1269"/>
      <c r="AB162" s="1269"/>
      <c r="AC162" s="2419"/>
      <c r="AD162" s="2656">
        <v>6778582</v>
      </c>
      <c r="AE162" s="172">
        <f t="shared" si="81"/>
        <v>0</v>
      </c>
      <c r="AG162" s="2419">
        <f t="shared" si="82"/>
        <v>0</v>
      </c>
    </row>
    <row r="163" spans="1:37" s="203" customFormat="1" ht="15.75" hidden="1">
      <c r="A163" s="2690"/>
      <c r="B163" s="2239" t="s">
        <v>3707</v>
      </c>
      <c r="C163" s="2103" t="s">
        <v>736</v>
      </c>
      <c r="D163" s="2103" t="s">
        <v>841</v>
      </c>
      <c r="E163" s="2103" t="s">
        <v>754</v>
      </c>
      <c r="F163" s="2103" t="s">
        <v>787</v>
      </c>
      <c r="G163" s="2103" t="s">
        <v>788</v>
      </c>
      <c r="H163" s="2127" t="s">
        <v>739</v>
      </c>
      <c r="I163" s="2106">
        <v>0</v>
      </c>
      <c r="J163" s="2579">
        <v>1805399</v>
      </c>
      <c r="K163" s="2236">
        <f>6228658</f>
        <v>6228658</v>
      </c>
      <c r="L163" s="2106">
        <f t="shared" si="84"/>
        <v>6228658</v>
      </c>
      <c r="M163" s="2106">
        <f t="shared" si="84"/>
        <v>6228658</v>
      </c>
      <c r="N163" s="2106">
        <f>+M163-111445</f>
        <v>6117213</v>
      </c>
      <c r="O163" s="2106">
        <f t="shared" si="84"/>
        <v>6117213</v>
      </c>
      <c r="P163" s="3179">
        <f>0+6117213</f>
        <v>6117213</v>
      </c>
      <c r="Q163" s="2420">
        <f>+P163/N163</f>
        <v>1</v>
      </c>
      <c r="R163" s="2400">
        <f t="shared" si="72"/>
        <v>0</v>
      </c>
      <c r="S163" s="2106">
        <f t="shared" si="61"/>
        <v>0</v>
      </c>
      <c r="T163" s="2175">
        <f t="shared" si="73"/>
        <v>-111445</v>
      </c>
      <c r="U163" s="2175">
        <f t="shared" si="74"/>
        <v>0</v>
      </c>
      <c r="V163" s="2175"/>
      <c r="W163" s="2446"/>
      <c r="X163" s="2452"/>
      <c r="Y163" s="174"/>
      <c r="Z163" s="199">
        <v>0</v>
      </c>
      <c r="AC163" s="2106"/>
      <c r="AD163" s="1011">
        <v>1805399</v>
      </c>
      <c r="AE163" s="172">
        <f t="shared" si="81"/>
        <v>0</v>
      </c>
      <c r="AG163" s="2106">
        <f t="shared" si="82"/>
        <v>0</v>
      </c>
    </row>
    <row r="164" spans="1:37" s="203" customFormat="1" ht="15.75" hidden="1">
      <c r="A164" s="2690"/>
      <c r="B164" s="2125" t="s">
        <v>842</v>
      </c>
      <c r="C164" s="2103" t="s">
        <v>736</v>
      </c>
      <c r="D164" s="2103" t="s">
        <v>843</v>
      </c>
      <c r="E164" s="2103" t="s">
        <v>754</v>
      </c>
      <c r="F164" s="2103" t="s">
        <v>751</v>
      </c>
      <c r="G164" s="2103" t="s">
        <v>788</v>
      </c>
      <c r="H164" s="2127" t="s">
        <v>739</v>
      </c>
      <c r="I164" s="2106">
        <f>57962962+12059363-1538470</f>
        <v>68483855</v>
      </c>
      <c r="J164" s="2579">
        <v>65804311</v>
      </c>
      <c r="K164" s="2236">
        <f>72565512</f>
        <v>72565512</v>
      </c>
      <c r="L164" s="2106">
        <f t="shared" si="84"/>
        <v>72565512</v>
      </c>
      <c r="M164" s="2106">
        <f t="shared" si="84"/>
        <v>72565512</v>
      </c>
      <c r="N164" s="2106">
        <f>+M164+1614984</f>
        <v>74180496</v>
      </c>
      <c r="O164" s="2106">
        <f t="shared" si="84"/>
        <v>74180496</v>
      </c>
      <c r="P164" s="3172">
        <f>74180496</f>
        <v>74180496</v>
      </c>
      <c r="Q164" s="2420">
        <f>+P164/N164</f>
        <v>1</v>
      </c>
      <c r="R164" s="2400">
        <f t="shared" si="72"/>
        <v>0</v>
      </c>
      <c r="S164" s="2106">
        <f t="shared" si="61"/>
        <v>0</v>
      </c>
      <c r="T164" s="2175">
        <f t="shared" si="73"/>
        <v>1614984</v>
      </c>
      <c r="U164" s="2175">
        <f t="shared" si="74"/>
        <v>0</v>
      </c>
      <c r="V164" s="2175"/>
      <c r="W164" s="2446"/>
      <c r="X164" s="2452"/>
      <c r="Y164" s="1269"/>
      <c r="Z164" s="1209">
        <f>54937053</f>
        <v>54937053</v>
      </c>
      <c r="AA164" s="1269"/>
      <c r="AB164" s="1269"/>
      <c r="AC164" s="2419"/>
      <c r="AD164" s="2656">
        <v>65804311</v>
      </c>
      <c r="AE164" s="172">
        <f t="shared" si="81"/>
        <v>0</v>
      </c>
      <c r="AG164" s="2419">
        <f t="shared" si="82"/>
        <v>0</v>
      </c>
    </row>
    <row r="165" spans="1:37" s="232" customFormat="1" ht="15.75">
      <c r="A165" s="2684" t="s">
        <v>776</v>
      </c>
      <c r="B165" s="2097" t="s">
        <v>844</v>
      </c>
      <c r="C165" s="2138"/>
      <c r="D165" s="2140"/>
      <c r="E165" s="2140"/>
      <c r="F165" s="2137"/>
      <c r="G165" s="2137"/>
      <c r="H165" s="2105" t="s">
        <v>739</v>
      </c>
      <c r="I165" s="2139">
        <f>SUM(I162:I164)</f>
        <v>75401646</v>
      </c>
      <c r="J165" s="2582">
        <f t="shared" ref="J165:P165" si="85">SUM(J162:J164)</f>
        <v>74388292</v>
      </c>
      <c r="K165" s="2329">
        <f t="shared" si="85"/>
        <v>92098038</v>
      </c>
      <c r="L165" s="2139">
        <f t="shared" si="85"/>
        <v>92098038</v>
      </c>
      <c r="M165" s="2139">
        <f t="shared" si="85"/>
        <v>92098038</v>
      </c>
      <c r="N165" s="2139">
        <f t="shared" si="85"/>
        <v>89731927</v>
      </c>
      <c r="O165" s="2139">
        <f t="shared" si="85"/>
        <v>89731927</v>
      </c>
      <c r="P165" s="3181">
        <f t="shared" si="85"/>
        <v>89731927</v>
      </c>
      <c r="Q165" s="2423">
        <f>+P165/N165</f>
        <v>1</v>
      </c>
      <c r="R165" s="2406">
        <f t="shared" si="72"/>
        <v>0</v>
      </c>
      <c r="S165" s="2139">
        <f t="shared" si="61"/>
        <v>0</v>
      </c>
      <c r="T165" s="2173">
        <f t="shared" si="73"/>
        <v>-2366111</v>
      </c>
      <c r="U165" s="2173">
        <f t="shared" si="74"/>
        <v>0</v>
      </c>
      <c r="V165" s="2173"/>
      <c r="W165" s="2444"/>
      <c r="X165" s="2452"/>
      <c r="Y165" s="174"/>
      <c r="Z165" s="229">
        <f>SUM(Z162:Z164)</f>
        <v>60807913</v>
      </c>
      <c r="AC165" s="2139"/>
      <c r="AD165" s="1026">
        <v>74388292</v>
      </c>
      <c r="AE165" s="172">
        <f t="shared" si="81"/>
        <v>0</v>
      </c>
      <c r="AG165" s="2139">
        <f t="shared" si="82"/>
        <v>0</v>
      </c>
    </row>
    <row r="166" spans="1:37" s="232" customFormat="1" ht="15.75">
      <c r="A166" s="2684" t="s">
        <v>834</v>
      </c>
      <c r="B166" s="2097" t="s">
        <v>845</v>
      </c>
      <c r="C166" s="2138" t="s">
        <v>736</v>
      </c>
      <c r="D166" s="2138" t="s">
        <v>846</v>
      </c>
      <c r="E166" s="2138" t="s">
        <v>754</v>
      </c>
      <c r="F166" s="2138" t="s">
        <v>751</v>
      </c>
      <c r="G166" s="2138" t="s">
        <v>773</v>
      </c>
      <c r="H166" s="2105" t="s">
        <v>739</v>
      </c>
      <c r="I166" s="2139">
        <f>246794340+19090843-901306</f>
        <v>264983877</v>
      </c>
      <c r="J166" s="2582">
        <v>257902281</v>
      </c>
      <c r="K166" s="2236">
        <f>314492255+19033143</f>
        <v>333525398</v>
      </c>
      <c r="L166" s="2139">
        <f t="shared" ref="L166:L172" si="86">+K166</f>
        <v>333525398</v>
      </c>
      <c r="M166" s="2139">
        <f t="shared" ref="M166:M172" si="87">+L166</f>
        <v>333525398</v>
      </c>
      <c r="N166" s="2139">
        <f>+M166-113383629+28196</f>
        <v>220169965</v>
      </c>
      <c r="O166" s="2139">
        <f t="shared" ref="O166:O172" si="88">+N166</f>
        <v>220169965</v>
      </c>
      <c r="P166" s="3184">
        <f>46336+220095433+28196</f>
        <v>220169965</v>
      </c>
      <c r="Q166" s="2423">
        <f>+P166/N166</f>
        <v>1</v>
      </c>
      <c r="R166" s="2406">
        <f t="shared" si="72"/>
        <v>0</v>
      </c>
      <c r="S166" s="2139">
        <f t="shared" si="61"/>
        <v>0</v>
      </c>
      <c r="T166" s="2173">
        <f t="shared" si="73"/>
        <v>-113355433</v>
      </c>
      <c r="U166" s="2173">
        <f t="shared" si="74"/>
        <v>0</v>
      </c>
      <c r="V166" s="2139"/>
      <c r="W166" s="2442"/>
      <c r="X166" s="2452"/>
      <c r="Y166" s="1269"/>
      <c r="Z166" s="235">
        <f>169129153+45664857</f>
        <v>214794010</v>
      </c>
      <c r="AC166" s="2426"/>
      <c r="AD166" s="2666">
        <v>257902281</v>
      </c>
      <c r="AE166" s="172">
        <f t="shared" si="81"/>
        <v>0</v>
      </c>
      <c r="AG166" s="2426">
        <f t="shared" si="82"/>
        <v>0</v>
      </c>
    </row>
    <row r="167" spans="1:37" s="203" customFormat="1" ht="15.75" hidden="1">
      <c r="A167" s="2684"/>
      <c r="B167" s="2097" t="s">
        <v>847</v>
      </c>
      <c r="C167" s="2103" t="s">
        <v>736</v>
      </c>
      <c r="D167" s="2103" t="s">
        <v>848</v>
      </c>
      <c r="E167" s="2103" t="s">
        <v>754</v>
      </c>
      <c r="F167" s="2103" t="s">
        <v>751</v>
      </c>
      <c r="G167" s="2103" t="s">
        <v>773</v>
      </c>
      <c r="H167" s="2127" t="s">
        <v>739</v>
      </c>
      <c r="I167" s="2106">
        <v>0</v>
      </c>
      <c r="J167" s="2579">
        <v>0</v>
      </c>
      <c r="K167" s="2236">
        <v>0</v>
      </c>
      <c r="L167" s="2106">
        <f t="shared" si="86"/>
        <v>0</v>
      </c>
      <c r="M167" s="2106">
        <f t="shared" si="87"/>
        <v>0</v>
      </c>
      <c r="N167" s="2106">
        <f>+M167+28196-28196</f>
        <v>0</v>
      </c>
      <c r="O167" s="2106">
        <f t="shared" si="88"/>
        <v>0</v>
      </c>
      <c r="P167" s="3172">
        <f>28196-28196</f>
        <v>0</v>
      </c>
      <c r="Q167" s="2420"/>
      <c r="R167" s="2400">
        <f t="shared" si="72"/>
        <v>0</v>
      </c>
      <c r="S167" s="2106">
        <f t="shared" si="61"/>
        <v>0</v>
      </c>
      <c r="T167" s="2173">
        <f t="shared" si="73"/>
        <v>0</v>
      </c>
      <c r="U167" s="2173">
        <f t="shared" si="74"/>
        <v>0</v>
      </c>
      <c r="V167" s="2139"/>
      <c r="W167" s="2442"/>
      <c r="X167" s="2452"/>
      <c r="Y167" s="1269"/>
      <c r="Z167" s="1357">
        <f>191444+51690</f>
        <v>243134</v>
      </c>
      <c r="AA167" s="1269"/>
      <c r="AB167" s="1269"/>
      <c r="AC167" s="3007"/>
      <c r="AD167" s="2656">
        <v>0</v>
      </c>
      <c r="AE167" s="172">
        <f t="shared" si="81"/>
        <v>0</v>
      </c>
      <c r="AG167" s="3007">
        <f t="shared" si="82"/>
        <v>0</v>
      </c>
    </row>
    <row r="168" spans="1:37" s="203" customFormat="1" ht="33" hidden="1" customHeight="1">
      <c r="A168" s="2684" t="s">
        <v>849</v>
      </c>
      <c r="B168" s="2097" t="s">
        <v>850</v>
      </c>
      <c r="C168" s="2138" t="s">
        <v>736</v>
      </c>
      <c r="D168" s="2102" t="s">
        <v>851</v>
      </c>
      <c r="E168" s="2141">
        <v>2</v>
      </c>
      <c r="F168" s="2138" t="s">
        <v>751</v>
      </c>
      <c r="G168" s="2141">
        <v>680002</v>
      </c>
      <c r="H168" s="2127" t="s">
        <v>852</v>
      </c>
      <c r="I168" s="2106">
        <v>0</v>
      </c>
      <c r="J168" s="2579">
        <v>0</v>
      </c>
      <c r="K168" s="2236">
        <v>0</v>
      </c>
      <c r="L168" s="2139">
        <f t="shared" si="86"/>
        <v>0</v>
      </c>
      <c r="M168" s="2106">
        <f t="shared" si="87"/>
        <v>0</v>
      </c>
      <c r="N168" s="2106">
        <f>+M168</f>
        <v>0</v>
      </c>
      <c r="O168" s="2106">
        <f t="shared" si="88"/>
        <v>0</v>
      </c>
      <c r="P168" s="3172">
        <f>0</f>
        <v>0</v>
      </c>
      <c r="Q168" s="2420"/>
      <c r="R168" s="2406">
        <f t="shared" si="72"/>
        <v>0</v>
      </c>
      <c r="S168" s="2106">
        <f t="shared" si="61"/>
        <v>0</v>
      </c>
      <c r="T168" s="2173">
        <f t="shared" si="73"/>
        <v>0</v>
      </c>
      <c r="U168" s="2173">
        <f t="shared" si="74"/>
        <v>0</v>
      </c>
      <c r="V168" s="2173"/>
      <c r="W168" s="2444"/>
      <c r="X168" s="2452"/>
      <c r="Y168" s="1269"/>
      <c r="Z168" s="1209">
        <f>0</f>
        <v>0</v>
      </c>
      <c r="AC168" s="2419"/>
      <c r="AD168" s="2656">
        <v>0</v>
      </c>
      <c r="AE168" s="172">
        <f t="shared" si="81"/>
        <v>0</v>
      </c>
      <c r="AG168" s="2419">
        <f t="shared" si="82"/>
        <v>0</v>
      </c>
    </row>
    <row r="169" spans="1:37" s="203" customFormat="1" ht="15.75" hidden="1">
      <c r="A169" s="2684"/>
      <c r="B169" s="2097" t="s">
        <v>853</v>
      </c>
      <c r="C169" s="2103"/>
      <c r="D169" s="2103" t="s">
        <v>854</v>
      </c>
      <c r="E169" s="2103"/>
      <c r="F169" s="2103"/>
      <c r="G169" s="2103"/>
      <c r="H169" s="2127"/>
      <c r="I169" s="2106">
        <f>0</f>
        <v>0</v>
      </c>
      <c r="J169" s="2579">
        <v>0</v>
      </c>
      <c r="K169" s="2236">
        <f>0</f>
        <v>0</v>
      </c>
      <c r="L169" s="2106">
        <f t="shared" si="86"/>
        <v>0</v>
      </c>
      <c r="M169" s="2106">
        <f t="shared" si="87"/>
        <v>0</v>
      </c>
      <c r="N169" s="2106">
        <f>+M169</f>
        <v>0</v>
      </c>
      <c r="O169" s="2106">
        <f t="shared" si="88"/>
        <v>0</v>
      </c>
      <c r="P169" s="3181">
        <v>0</v>
      </c>
      <c r="Q169" s="2420"/>
      <c r="R169" s="2400">
        <f t="shared" si="72"/>
        <v>0</v>
      </c>
      <c r="S169" s="2106">
        <f t="shared" si="61"/>
        <v>0</v>
      </c>
      <c r="T169" s="2173">
        <f t="shared" si="73"/>
        <v>0</v>
      </c>
      <c r="U169" s="2173">
        <f t="shared" si="74"/>
        <v>0</v>
      </c>
      <c r="V169" s="2173"/>
      <c r="W169" s="2444"/>
      <c r="X169" s="2452"/>
      <c r="Z169" s="1024">
        <v>0</v>
      </c>
      <c r="AC169" s="2427"/>
      <c r="AD169" s="1026">
        <v>0</v>
      </c>
      <c r="AE169" s="172">
        <f t="shared" si="81"/>
        <v>0</v>
      </c>
      <c r="AG169" s="2427">
        <f t="shared" si="82"/>
        <v>0</v>
      </c>
    </row>
    <row r="170" spans="1:37" s="203" customFormat="1" ht="15.75" hidden="1">
      <c r="A170" s="2684"/>
      <c r="B170" s="2097" t="s">
        <v>855</v>
      </c>
      <c r="C170" s="2103" t="s">
        <v>736</v>
      </c>
      <c r="D170" s="2103" t="s">
        <v>856</v>
      </c>
      <c r="E170" s="2103" t="s">
        <v>754</v>
      </c>
      <c r="F170" s="2103" t="s">
        <v>751</v>
      </c>
      <c r="G170" s="2103" t="s">
        <v>773</v>
      </c>
      <c r="H170" s="2127" t="s">
        <v>739</v>
      </c>
      <c r="I170" s="2106">
        <f>4168510-14131</f>
        <v>4154379</v>
      </c>
      <c r="J170" s="2579">
        <v>4378582</v>
      </c>
      <c r="K170" s="2428">
        <f>4690841+22726</f>
        <v>4713567</v>
      </c>
      <c r="L170" s="2106">
        <f t="shared" si="86"/>
        <v>4713567</v>
      </c>
      <c r="M170" s="2106">
        <f t="shared" si="87"/>
        <v>4713567</v>
      </c>
      <c r="N170" s="2106">
        <f>+M170-229242</f>
        <v>4484325</v>
      </c>
      <c r="O170" s="2106">
        <f t="shared" si="88"/>
        <v>4484325</v>
      </c>
      <c r="P170" s="3172">
        <f>3049-3049+4484325</f>
        <v>4484325</v>
      </c>
      <c r="Q170" s="2420">
        <f>+P170/N170</f>
        <v>1</v>
      </c>
      <c r="R170" s="2400">
        <f t="shared" si="72"/>
        <v>0</v>
      </c>
      <c r="S170" s="2106">
        <f t="shared" si="61"/>
        <v>0</v>
      </c>
      <c r="T170" s="2173">
        <f t="shared" si="73"/>
        <v>-229242</v>
      </c>
      <c r="U170" s="2173">
        <f t="shared" si="74"/>
        <v>0</v>
      </c>
      <c r="V170" s="2139">
        <f>+K170/1.27</f>
        <v>3711470.0787401577</v>
      </c>
      <c r="W170" s="2442">
        <f>+V170*0.27</f>
        <v>1002096.9212598426</v>
      </c>
      <c r="X170" s="2452"/>
      <c r="Y170" s="1269"/>
      <c r="Z170" s="1209">
        <f>350+2425950+654999</f>
        <v>3081299</v>
      </c>
      <c r="AA170" s="1269"/>
      <c r="AB170" s="1269"/>
      <c r="AC170" s="2419"/>
      <c r="AD170" s="2656">
        <v>4378582</v>
      </c>
      <c r="AE170" s="172">
        <f t="shared" si="81"/>
        <v>0</v>
      </c>
      <c r="AG170" s="2419">
        <f t="shared" si="82"/>
        <v>0</v>
      </c>
      <c r="AH170" s="2419"/>
      <c r="AI170" s="2419"/>
      <c r="AJ170" s="2419"/>
    </row>
    <row r="171" spans="1:37" s="203" customFormat="1" ht="15.75" hidden="1">
      <c r="A171" s="2684"/>
      <c r="B171" s="2097" t="s">
        <v>3766</v>
      </c>
      <c r="C171" s="2103" t="s">
        <v>736</v>
      </c>
      <c r="D171" s="2103" t="s">
        <v>857</v>
      </c>
      <c r="E171" s="2103" t="s">
        <v>754</v>
      </c>
      <c r="F171" s="2103" t="s">
        <v>751</v>
      </c>
      <c r="G171" s="2103" t="s">
        <v>773</v>
      </c>
      <c r="H171" s="2127" t="s">
        <v>739</v>
      </c>
      <c r="I171" s="2106">
        <f>9799175-33217+(26986318+4047948-1133711)</f>
        <v>39666513</v>
      </c>
      <c r="J171" s="2579">
        <v>12218223</v>
      </c>
      <c r="K171" s="2236">
        <f>10124122+49051+31861685+1178882</f>
        <v>43213740</v>
      </c>
      <c r="L171" s="2106">
        <f t="shared" si="86"/>
        <v>43213740</v>
      </c>
      <c r="M171" s="2106">
        <f t="shared" si="87"/>
        <v>43213740</v>
      </c>
      <c r="N171" s="2106">
        <f>+M171-30719597-4714085+17060</f>
        <v>7797118</v>
      </c>
      <c r="O171" s="2106">
        <f t="shared" si="88"/>
        <v>7797118</v>
      </c>
      <c r="P171" s="3172">
        <f>31340238-31340238+7780058+17060</f>
        <v>7797118</v>
      </c>
      <c r="Q171" s="2420">
        <f>+P171/N171</f>
        <v>1</v>
      </c>
      <c r="R171" s="2400">
        <f t="shared" si="72"/>
        <v>0</v>
      </c>
      <c r="S171" s="2106">
        <f t="shared" si="61"/>
        <v>0</v>
      </c>
      <c r="T171" s="2173">
        <f t="shared" si="73"/>
        <v>-35416622</v>
      </c>
      <c r="U171" s="2173">
        <f t="shared" si="74"/>
        <v>0</v>
      </c>
      <c r="V171" s="2139">
        <f>+K171/1.27</f>
        <v>34026566.929133855</v>
      </c>
      <c r="W171" s="2442">
        <f>+V171*0.27</f>
        <v>9187173.0708661415</v>
      </c>
      <c r="X171" s="2452"/>
      <c r="Y171" s="1269"/>
      <c r="Z171" s="1209">
        <f>29387734+8195937+1753979</f>
        <v>39337650</v>
      </c>
      <c r="AC171" s="2419"/>
      <c r="AD171" s="2656">
        <v>12218223</v>
      </c>
      <c r="AE171" s="172">
        <f t="shared" si="81"/>
        <v>0</v>
      </c>
      <c r="AG171" s="2419">
        <f t="shared" si="82"/>
        <v>0</v>
      </c>
      <c r="AH171" s="2419">
        <f>36019597-5300000</f>
        <v>30719597</v>
      </c>
      <c r="AI171" s="2419"/>
      <c r="AJ171" s="2419">
        <v>36019597</v>
      </c>
      <c r="AK171" s="1269">
        <f>+AJ171-AI171</f>
        <v>36019597</v>
      </c>
    </row>
    <row r="172" spans="1:37" s="203" customFormat="1" ht="15.75" hidden="1">
      <c r="A172" s="2684"/>
      <c r="B172" s="2142" t="s">
        <v>858</v>
      </c>
      <c r="C172" s="2103"/>
      <c r="D172" s="2143" t="s">
        <v>859</v>
      </c>
      <c r="E172" s="2103"/>
      <c r="F172" s="2103"/>
      <c r="G172" s="2103"/>
      <c r="H172" s="2127"/>
      <c r="I172" s="2106">
        <f>2000000</f>
        <v>2000000</v>
      </c>
      <c r="J172" s="2579">
        <v>4788327</v>
      </c>
      <c r="K172" s="2236">
        <v>4990000</v>
      </c>
      <c r="L172" s="2106">
        <f t="shared" si="86"/>
        <v>4990000</v>
      </c>
      <c r="M172" s="2106">
        <f t="shared" si="87"/>
        <v>4990000</v>
      </c>
      <c r="N172" s="2106">
        <f>+M172-712596</f>
        <v>4277404</v>
      </c>
      <c r="O172" s="2106">
        <f t="shared" si="88"/>
        <v>4277404</v>
      </c>
      <c r="P172" s="3172">
        <f>4277404</f>
        <v>4277404</v>
      </c>
      <c r="Q172" s="2420">
        <f>+P172/N172</f>
        <v>1</v>
      </c>
      <c r="R172" s="2400">
        <f t="shared" si="72"/>
        <v>0</v>
      </c>
      <c r="S172" s="2106">
        <f t="shared" si="61"/>
        <v>0</v>
      </c>
      <c r="T172" s="2173">
        <f t="shared" si="73"/>
        <v>-712596</v>
      </c>
      <c r="U172" s="2173">
        <f t="shared" si="74"/>
        <v>0</v>
      </c>
      <c r="V172" s="2173"/>
      <c r="W172" s="2444"/>
      <c r="X172" s="2452"/>
      <c r="Y172" s="1269"/>
      <c r="Z172" s="1209">
        <v>4518327</v>
      </c>
      <c r="AA172" s="1269"/>
      <c r="AB172" s="1269"/>
      <c r="AC172" s="2419"/>
      <c r="AD172" s="2656">
        <v>4788327</v>
      </c>
      <c r="AE172" s="172">
        <f t="shared" si="81"/>
        <v>0</v>
      </c>
      <c r="AG172" s="2419">
        <f t="shared" si="82"/>
        <v>0</v>
      </c>
      <c r="AH172" s="2419"/>
      <c r="AI172" s="2419"/>
      <c r="AJ172" s="2419"/>
    </row>
    <row r="173" spans="1:37" s="232" customFormat="1" ht="15.75">
      <c r="A173" s="2684" t="s">
        <v>862</v>
      </c>
      <c r="B173" s="2097" t="s">
        <v>860</v>
      </c>
      <c r="C173" s="2144"/>
      <c r="D173" s="2145"/>
      <c r="E173" s="2145"/>
      <c r="F173" s="2146"/>
      <c r="G173" s="2146"/>
      <c r="H173" s="2105" t="s">
        <v>739</v>
      </c>
      <c r="I173" s="2139">
        <f t="shared" ref="I173:P173" si="89">SUM(I170:I172)</f>
        <v>45820892</v>
      </c>
      <c r="J173" s="2582">
        <f t="shared" si="89"/>
        <v>21385132</v>
      </c>
      <c r="K173" s="2329">
        <f t="shared" si="89"/>
        <v>52917307</v>
      </c>
      <c r="L173" s="2139">
        <f t="shared" si="89"/>
        <v>52917307</v>
      </c>
      <c r="M173" s="2139">
        <f t="shared" si="89"/>
        <v>52917307</v>
      </c>
      <c r="N173" s="2139">
        <f t="shared" si="89"/>
        <v>16558847</v>
      </c>
      <c r="O173" s="2139">
        <f t="shared" si="89"/>
        <v>16558847</v>
      </c>
      <c r="P173" s="3185">
        <f t="shared" si="89"/>
        <v>16558847</v>
      </c>
      <c r="Q173" s="2423">
        <f>+P173/N173</f>
        <v>1</v>
      </c>
      <c r="R173" s="2406">
        <f t="shared" si="72"/>
        <v>0</v>
      </c>
      <c r="S173" s="2139">
        <f t="shared" si="61"/>
        <v>0</v>
      </c>
      <c r="T173" s="2173">
        <f t="shared" si="73"/>
        <v>-36358460</v>
      </c>
      <c r="U173" s="2173">
        <f t="shared" si="74"/>
        <v>0</v>
      </c>
      <c r="V173" s="2173"/>
      <c r="W173" s="2444"/>
      <c r="X173" s="2452"/>
      <c r="Z173" s="1210">
        <f>SUM(Z170:Z172)</f>
        <v>46937276</v>
      </c>
      <c r="AC173" s="2429"/>
      <c r="AD173" s="2667">
        <v>21385132</v>
      </c>
      <c r="AE173" s="172">
        <f t="shared" si="81"/>
        <v>0</v>
      </c>
      <c r="AG173" s="2429">
        <f t="shared" si="82"/>
        <v>0</v>
      </c>
    </row>
    <row r="174" spans="1:37" s="203" customFormat="1" ht="15.75" hidden="1">
      <c r="A174" s="2690"/>
      <c r="B174" s="2125" t="s">
        <v>861</v>
      </c>
      <c r="C174" s="2147"/>
      <c r="D174" s="2148"/>
      <c r="E174" s="2148"/>
      <c r="F174" s="2149"/>
      <c r="G174" s="2149"/>
      <c r="H174" s="2127" t="s">
        <v>739</v>
      </c>
      <c r="I174" s="2106">
        <v>0</v>
      </c>
      <c r="J174" s="2579">
        <v>0</v>
      </c>
      <c r="K174" s="2236">
        <v>0</v>
      </c>
      <c r="L174" s="2106">
        <f>+K174</f>
        <v>0</v>
      </c>
      <c r="M174" s="2106">
        <f>+L174</f>
        <v>0</v>
      </c>
      <c r="N174" s="2106">
        <f>+M174</f>
        <v>0</v>
      </c>
      <c r="O174" s="2106">
        <f>+N174</f>
        <v>0</v>
      </c>
      <c r="P174" s="3179">
        <v>0</v>
      </c>
      <c r="Q174" s="2420"/>
      <c r="R174" s="2400">
        <f t="shared" si="72"/>
        <v>0</v>
      </c>
      <c r="S174" s="2106">
        <f t="shared" si="61"/>
        <v>0</v>
      </c>
      <c r="T174" s="2173">
        <f t="shared" si="73"/>
        <v>0</v>
      </c>
      <c r="U174" s="2173">
        <f t="shared" si="74"/>
        <v>0</v>
      </c>
      <c r="V174" s="2173"/>
      <c r="W174" s="2444"/>
      <c r="X174" s="2452"/>
      <c r="Z174" s="199">
        <v>0</v>
      </c>
      <c r="AC174" s="2106"/>
      <c r="AD174" s="1011">
        <v>0</v>
      </c>
      <c r="AE174" s="172">
        <f t="shared" si="81"/>
        <v>0</v>
      </c>
      <c r="AG174" s="2106">
        <f t="shared" si="82"/>
        <v>0</v>
      </c>
    </row>
    <row r="175" spans="1:37">
      <c r="A175" s="2683" t="s">
        <v>870</v>
      </c>
      <c r="B175" s="2110" t="s">
        <v>3409</v>
      </c>
      <c r="C175" s="1426"/>
      <c r="D175" s="2108"/>
      <c r="E175" s="2108"/>
      <c r="F175" s="2110"/>
      <c r="G175" s="2110"/>
      <c r="H175" s="2095" t="s">
        <v>739</v>
      </c>
      <c r="I175" s="1701">
        <f>+I165+I166+I167+I173+I174</f>
        <v>386206415</v>
      </c>
      <c r="J175" s="2576">
        <f t="shared" ref="J175:P175" si="90">+J165+J166+J167+J173+J174</f>
        <v>353675705</v>
      </c>
      <c r="K175" s="2325">
        <f t="shared" si="90"/>
        <v>478540743</v>
      </c>
      <c r="L175" s="1701">
        <f t="shared" si="90"/>
        <v>478540743</v>
      </c>
      <c r="M175" s="1701">
        <f t="shared" si="90"/>
        <v>478540743</v>
      </c>
      <c r="N175" s="1701">
        <f t="shared" si="90"/>
        <v>326460739</v>
      </c>
      <c r="O175" s="1701">
        <f t="shared" si="90"/>
        <v>326460739</v>
      </c>
      <c r="P175" s="2617">
        <f t="shared" si="90"/>
        <v>326460739</v>
      </c>
      <c r="Q175" s="2411">
        <f>+P175/N175</f>
        <v>1</v>
      </c>
      <c r="R175" s="2401">
        <f t="shared" si="72"/>
        <v>0</v>
      </c>
      <c r="S175" s="1701">
        <f t="shared" si="61"/>
        <v>0</v>
      </c>
      <c r="T175" s="1701">
        <f t="shared" si="73"/>
        <v>-152080004</v>
      </c>
      <c r="U175" s="1701">
        <f t="shared" si="74"/>
        <v>0</v>
      </c>
      <c r="V175" s="1701"/>
      <c r="W175" s="2438"/>
      <c r="X175" s="2452"/>
      <c r="Z175" s="209">
        <f>+Z165+Z166+Z167+Z173+Z174</f>
        <v>322782333</v>
      </c>
      <c r="AC175" s="1701"/>
      <c r="AD175" s="1025">
        <v>353675705</v>
      </c>
      <c r="AE175" s="172">
        <f t="shared" si="81"/>
        <v>0</v>
      </c>
      <c r="AG175" s="1701">
        <f t="shared" si="82"/>
        <v>0</v>
      </c>
    </row>
    <row r="176" spans="1:37" hidden="1">
      <c r="A176" s="2683"/>
      <c r="B176" s="2110" t="s">
        <v>863</v>
      </c>
      <c r="C176" s="1426"/>
      <c r="D176" s="2108"/>
      <c r="E176" s="2108"/>
      <c r="F176" s="2110"/>
      <c r="G176" s="2110"/>
      <c r="H176" s="2095" t="s">
        <v>739</v>
      </c>
      <c r="I176" s="1701"/>
      <c r="J176" s="2576"/>
      <c r="K176" s="2325"/>
      <c r="L176" s="1701"/>
      <c r="M176" s="1701"/>
      <c r="N176" s="1701"/>
      <c r="O176" s="1701"/>
      <c r="P176" s="2617"/>
      <c r="Q176" s="2411"/>
      <c r="R176" s="2401">
        <f t="shared" si="72"/>
        <v>0</v>
      </c>
      <c r="S176" s="1701">
        <f t="shared" si="61"/>
        <v>0</v>
      </c>
      <c r="T176" s="1701">
        <f t="shared" si="73"/>
        <v>0</v>
      </c>
      <c r="U176" s="1701">
        <f t="shared" si="74"/>
        <v>0</v>
      </c>
      <c r="V176" s="1701"/>
      <c r="W176" s="2438"/>
      <c r="X176" s="2452"/>
      <c r="Z176" s="209"/>
      <c r="AC176" s="1701"/>
      <c r="AD176" s="1025"/>
      <c r="AE176" s="172">
        <f t="shared" si="81"/>
        <v>0</v>
      </c>
      <c r="AG176" s="1701">
        <f t="shared" si="82"/>
        <v>0</v>
      </c>
    </row>
    <row r="177" spans="1:35" hidden="1">
      <c r="A177" s="2683"/>
      <c r="B177" s="2110" t="s">
        <v>864</v>
      </c>
      <c r="C177" s="1426"/>
      <c r="D177" s="2108"/>
      <c r="E177" s="2108"/>
      <c r="F177" s="2110"/>
      <c r="G177" s="2110"/>
      <c r="H177" s="2095" t="s">
        <v>865</v>
      </c>
      <c r="I177" s="1701"/>
      <c r="J177" s="2576"/>
      <c r="K177" s="2325"/>
      <c r="L177" s="1701"/>
      <c r="M177" s="1701"/>
      <c r="N177" s="1701"/>
      <c r="O177" s="1701"/>
      <c r="P177" s="2617"/>
      <c r="Q177" s="2411"/>
      <c r="R177" s="2401">
        <f t="shared" si="72"/>
        <v>0</v>
      </c>
      <c r="S177" s="1701">
        <f t="shared" si="61"/>
        <v>0</v>
      </c>
      <c r="T177" s="1701">
        <f t="shared" si="73"/>
        <v>0</v>
      </c>
      <c r="U177" s="1701">
        <f t="shared" si="74"/>
        <v>0</v>
      </c>
      <c r="V177" s="1701"/>
      <c r="W177" s="2438"/>
      <c r="X177" s="2452"/>
      <c r="Z177" s="209"/>
      <c r="AC177" s="1701"/>
      <c r="AD177" s="1025"/>
      <c r="AE177" s="172">
        <f t="shared" si="81"/>
        <v>0</v>
      </c>
      <c r="AG177" s="1701">
        <f t="shared" si="82"/>
        <v>0</v>
      </c>
      <c r="AI177" s="172">
        <v>79390435</v>
      </c>
    </row>
    <row r="178" spans="1:35" hidden="1">
      <c r="A178" s="2683"/>
      <c r="B178" s="2110" t="s">
        <v>866</v>
      </c>
      <c r="C178" s="1541" t="s">
        <v>512</v>
      </c>
      <c r="D178" s="2108" t="s">
        <v>867</v>
      </c>
      <c r="E178" s="2108">
        <v>2</v>
      </c>
      <c r="F178" s="2103" t="s">
        <v>751</v>
      </c>
      <c r="G178" s="2098">
        <v>9990001</v>
      </c>
      <c r="H178" s="2095" t="s">
        <v>784</v>
      </c>
      <c r="I178" s="2106">
        <v>0</v>
      </c>
      <c r="J178" s="2579">
        <v>0</v>
      </c>
      <c r="K178" s="2236">
        <v>0</v>
      </c>
      <c r="L178" s="2106">
        <f t="shared" ref="L178:O179" si="91">+K178</f>
        <v>0</v>
      </c>
      <c r="M178" s="2106">
        <f t="shared" si="91"/>
        <v>0</v>
      </c>
      <c r="N178" s="2106">
        <f t="shared" si="91"/>
        <v>0</v>
      </c>
      <c r="O178" s="2106">
        <f t="shared" si="91"/>
        <v>0</v>
      </c>
      <c r="P178" s="3179"/>
      <c r="Q178" s="2411"/>
      <c r="R178" s="2400">
        <f t="shared" si="72"/>
        <v>0</v>
      </c>
      <c r="S178" s="2106">
        <f t="shared" si="61"/>
        <v>0</v>
      </c>
      <c r="T178" s="1701">
        <f t="shared" si="73"/>
        <v>0</v>
      </c>
      <c r="U178" s="1701">
        <f t="shared" si="74"/>
        <v>0</v>
      </c>
      <c r="V178" s="1701"/>
      <c r="W178" s="2438"/>
      <c r="X178" s="2452"/>
      <c r="Z178" s="199"/>
      <c r="AC178" s="2106"/>
      <c r="AD178" s="1011"/>
      <c r="AE178" s="172">
        <f t="shared" si="81"/>
        <v>0</v>
      </c>
      <c r="AG178" s="2106">
        <f t="shared" si="82"/>
        <v>0</v>
      </c>
      <c r="AI178" s="172">
        <f>79390435-36019597</f>
        <v>43370838</v>
      </c>
    </row>
    <row r="179" spans="1:35" hidden="1">
      <c r="A179" s="2683"/>
      <c r="B179" s="2110"/>
      <c r="C179" s="1541"/>
      <c r="D179" s="2108"/>
      <c r="E179" s="2108"/>
      <c r="F179" s="2103"/>
      <c r="G179" s="2098"/>
      <c r="H179" s="2095"/>
      <c r="I179" s="2106">
        <v>0</v>
      </c>
      <c r="J179" s="2579">
        <v>0</v>
      </c>
      <c r="K179" s="2236">
        <v>0</v>
      </c>
      <c r="L179" s="2106">
        <f t="shared" si="91"/>
        <v>0</v>
      </c>
      <c r="M179" s="2106">
        <f t="shared" si="91"/>
        <v>0</v>
      </c>
      <c r="N179" s="2106">
        <f t="shared" si="91"/>
        <v>0</v>
      </c>
      <c r="O179" s="2106">
        <f t="shared" si="91"/>
        <v>0</v>
      </c>
      <c r="P179" s="3179">
        <v>0</v>
      </c>
      <c r="Q179" s="2411"/>
      <c r="R179" s="2400">
        <f t="shared" si="72"/>
        <v>0</v>
      </c>
      <c r="S179" s="2106">
        <f t="shared" si="61"/>
        <v>0</v>
      </c>
      <c r="T179" s="1701">
        <f t="shared" si="73"/>
        <v>0</v>
      </c>
      <c r="U179" s="1701">
        <f t="shared" si="74"/>
        <v>0</v>
      </c>
      <c r="V179" s="1701"/>
      <c r="W179" s="2438"/>
      <c r="X179" s="2452"/>
      <c r="Z179" s="199">
        <v>0</v>
      </c>
      <c r="AC179" s="2106"/>
      <c r="AD179" s="1011">
        <v>0</v>
      </c>
      <c r="AE179" s="172">
        <f t="shared" si="81"/>
        <v>0</v>
      </c>
      <c r="AG179" s="2106">
        <f t="shared" si="82"/>
        <v>0</v>
      </c>
    </row>
    <row r="180" spans="1:35" hidden="1">
      <c r="A180" s="2683"/>
      <c r="B180" s="2110" t="s">
        <v>868</v>
      </c>
      <c r="C180" s="1426"/>
      <c r="D180" s="2108"/>
      <c r="E180" s="2108"/>
      <c r="F180" s="2110"/>
      <c r="G180" s="2110"/>
      <c r="H180" s="2095" t="s">
        <v>869</v>
      </c>
      <c r="I180" s="1701">
        <f>SUM(I178:I179)</f>
        <v>0</v>
      </c>
      <c r="J180" s="2576">
        <f t="shared" ref="J180:P180" si="92">SUM(J178:J179)</f>
        <v>0</v>
      </c>
      <c r="K180" s="2325">
        <f t="shared" si="92"/>
        <v>0</v>
      </c>
      <c r="L180" s="1701">
        <f t="shared" si="92"/>
        <v>0</v>
      </c>
      <c r="M180" s="1701">
        <f t="shared" si="92"/>
        <v>0</v>
      </c>
      <c r="N180" s="1701">
        <f t="shared" si="92"/>
        <v>0</v>
      </c>
      <c r="O180" s="1701">
        <f t="shared" si="92"/>
        <v>0</v>
      </c>
      <c r="P180" s="2617">
        <f t="shared" si="92"/>
        <v>0</v>
      </c>
      <c r="Q180" s="1701"/>
      <c r="R180" s="2401">
        <f>SUM(R178:R179)</f>
        <v>0</v>
      </c>
      <c r="S180" s="1701">
        <f>SUM(S178:S179)</f>
        <v>0</v>
      </c>
      <c r="T180" s="1701">
        <f>SUM(T178:T179)</f>
        <v>0</v>
      </c>
      <c r="U180" s="1701">
        <f>SUM(U178:U179)</f>
        <v>0</v>
      </c>
      <c r="V180" s="1701"/>
      <c r="W180" s="2438"/>
      <c r="X180" s="2452"/>
      <c r="Z180" s="209">
        <f>SUM(Z178:Z179)</f>
        <v>0</v>
      </c>
      <c r="AC180" s="1701"/>
      <c r="AD180" s="1025">
        <v>0</v>
      </c>
      <c r="AE180" s="172">
        <f t="shared" si="81"/>
        <v>0</v>
      </c>
      <c r="AG180" s="1701">
        <f t="shared" si="82"/>
        <v>0</v>
      </c>
    </row>
    <row r="181" spans="1:35">
      <c r="A181" s="2683" t="s">
        <v>889</v>
      </c>
      <c r="B181" s="2110" t="s">
        <v>3410</v>
      </c>
      <c r="C181" s="1426"/>
      <c r="D181" s="2108"/>
      <c r="E181" s="2108"/>
      <c r="F181" s="2110"/>
      <c r="G181" s="2110"/>
      <c r="H181" s="2095" t="s">
        <v>871</v>
      </c>
      <c r="I181" s="1701">
        <f>+I160+I175</f>
        <v>434866329</v>
      </c>
      <c r="J181" s="2576">
        <f t="shared" ref="J181:P181" si="93">+J160+J175</f>
        <v>398053982</v>
      </c>
      <c r="K181" s="2325">
        <f t="shared" si="93"/>
        <v>528164717</v>
      </c>
      <c r="L181" s="1701">
        <f t="shared" si="93"/>
        <v>528164717</v>
      </c>
      <c r="M181" s="1701">
        <f t="shared" si="93"/>
        <v>528164717</v>
      </c>
      <c r="N181" s="1701">
        <f t="shared" si="93"/>
        <v>373548012</v>
      </c>
      <c r="O181" s="1701">
        <f t="shared" si="93"/>
        <v>373548012</v>
      </c>
      <c r="P181" s="2617">
        <f t="shared" si="93"/>
        <v>373548012</v>
      </c>
      <c r="Q181" s="2411">
        <f>+P181/N181</f>
        <v>1</v>
      </c>
      <c r="R181" s="2401">
        <f t="shared" ref="R181:R193" si="94">+L181-K181</f>
        <v>0</v>
      </c>
      <c r="S181" s="1701">
        <f t="shared" ref="S181:S194" si="95">+M181-L181</f>
        <v>0</v>
      </c>
      <c r="T181" s="1701">
        <f t="shared" ref="T181:T193" si="96">+N181-M181</f>
        <v>-154616705</v>
      </c>
      <c r="U181" s="1701">
        <f t="shared" ref="U181:U193" si="97">+O181-N181</f>
        <v>0</v>
      </c>
      <c r="V181" s="1701"/>
      <c r="W181" s="2438"/>
      <c r="X181" s="2452"/>
      <c r="Z181" s="209">
        <f>+Z160+Z175</f>
        <v>361961739</v>
      </c>
      <c r="AC181" s="1701"/>
      <c r="AD181" s="1025">
        <v>398053982</v>
      </c>
      <c r="AE181" s="172">
        <f t="shared" si="81"/>
        <v>0</v>
      </c>
      <c r="AG181" s="1701">
        <f t="shared" si="82"/>
        <v>0</v>
      </c>
    </row>
    <row r="182" spans="1:35" hidden="1">
      <c r="A182" s="2683"/>
      <c r="B182" s="2097" t="s">
        <v>872</v>
      </c>
      <c r="C182" s="1541"/>
      <c r="D182" s="2098"/>
      <c r="E182" s="2098"/>
      <c r="F182" s="2097"/>
      <c r="G182" s="2097"/>
      <c r="H182" s="2099" t="s">
        <v>873</v>
      </c>
      <c r="I182" s="1701"/>
      <c r="J182" s="2576"/>
      <c r="K182" s="2325"/>
      <c r="L182" s="1701"/>
      <c r="M182" s="1701"/>
      <c r="N182" s="1701"/>
      <c r="O182" s="1701"/>
      <c r="P182" s="2617"/>
      <c r="Q182" s="2411"/>
      <c r="R182" s="2401">
        <f t="shared" si="94"/>
        <v>0</v>
      </c>
      <c r="S182" s="1701">
        <f t="shared" si="95"/>
        <v>0</v>
      </c>
      <c r="T182" s="1701">
        <f t="shared" si="96"/>
        <v>0</v>
      </c>
      <c r="U182" s="1701">
        <f t="shared" si="97"/>
        <v>0</v>
      </c>
      <c r="V182" s="1701"/>
      <c r="W182" s="2438"/>
      <c r="X182" s="2452"/>
      <c r="Z182" s="209"/>
      <c r="AC182" s="1701"/>
      <c r="AD182" s="1025"/>
      <c r="AE182" s="172">
        <f t="shared" si="81"/>
        <v>0</v>
      </c>
      <c r="AG182" s="1701">
        <f t="shared" si="82"/>
        <v>0</v>
      </c>
    </row>
    <row r="183" spans="1:35" hidden="1">
      <c r="A183" s="2683"/>
      <c r="B183" s="2097" t="s">
        <v>874</v>
      </c>
      <c r="C183" s="1541"/>
      <c r="D183" s="2098"/>
      <c r="E183" s="2098"/>
      <c r="F183" s="2097"/>
      <c r="G183" s="2097"/>
      <c r="H183" s="2099" t="s">
        <v>875</v>
      </c>
      <c r="I183" s="1701"/>
      <c r="J183" s="2576"/>
      <c r="K183" s="2325"/>
      <c r="L183" s="1701"/>
      <c r="M183" s="1701"/>
      <c r="N183" s="1701"/>
      <c r="O183" s="1701"/>
      <c r="P183" s="2617"/>
      <c r="Q183" s="2411"/>
      <c r="R183" s="2401">
        <f t="shared" si="94"/>
        <v>0</v>
      </c>
      <c r="S183" s="1701">
        <f t="shared" si="95"/>
        <v>0</v>
      </c>
      <c r="T183" s="1701">
        <f t="shared" si="96"/>
        <v>0</v>
      </c>
      <c r="U183" s="1701">
        <f t="shared" si="97"/>
        <v>0</v>
      </c>
      <c r="V183" s="1701"/>
      <c r="W183" s="2438"/>
      <c r="X183" s="2452"/>
      <c r="Z183" s="209"/>
      <c r="AC183" s="1701"/>
      <c r="AD183" s="1025"/>
      <c r="AE183" s="172">
        <f t="shared" si="81"/>
        <v>0</v>
      </c>
      <c r="AG183" s="1701">
        <f t="shared" si="82"/>
        <v>0</v>
      </c>
    </row>
    <row r="184" spans="1:35" hidden="1">
      <c r="A184" s="2683"/>
      <c r="B184" s="2097" t="s">
        <v>876</v>
      </c>
      <c r="C184" s="1541"/>
      <c r="D184" s="2098"/>
      <c r="E184" s="2098"/>
      <c r="F184" s="2097"/>
      <c r="G184" s="2097"/>
      <c r="H184" s="2099" t="s">
        <v>877</v>
      </c>
      <c r="I184" s="1701"/>
      <c r="J184" s="2576"/>
      <c r="K184" s="2325"/>
      <c r="L184" s="1701"/>
      <c r="M184" s="1701"/>
      <c r="N184" s="1701"/>
      <c r="O184" s="1701"/>
      <c r="P184" s="2617"/>
      <c r="Q184" s="2411"/>
      <c r="R184" s="2401">
        <f t="shared" si="94"/>
        <v>0</v>
      </c>
      <c r="S184" s="1701">
        <f t="shared" si="95"/>
        <v>0</v>
      </c>
      <c r="T184" s="1701">
        <f t="shared" si="96"/>
        <v>0</v>
      </c>
      <c r="U184" s="1701">
        <f t="shared" si="97"/>
        <v>0</v>
      </c>
      <c r="V184" s="1701"/>
      <c r="W184" s="2438"/>
      <c r="X184" s="2452"/>
      <c r="Z184" s="209"/>
      <c r="AC184" s="1701"/>
      <c r="AD184" s="1025"/>
      <c r="AE184" s="172">
        <f t="shared" si="81"/>
        <v>0</v>
      </c>
      <c r="AG184" s="1701">
        <f t="shared" si="82"/>
        <v>0</v>
      </c>
    </row>
    <row r="185" spans="1:35" hidden="1">
      <c r="A185" s="2683"/>
      <c r="B185" s="2110" t="s">
        <v>878</v>
      </c>
      <c r="C185" s="1426"/>
      <c r="D185" s="2108"/>
      <c r="E185" s="2108"/>
      <c r="F185" s="2110"/>
      <c r="G185" s="2110"/>
      <c r="H185" s="2095" t="s">
        <v>879</v>
      </c>
      <c r="I185" s="1701"/>
      <c r="J185" s="2576">
        <v>0</v>
      </c>
      <c r="K185" s="2325"/>
      <c r="L185" s="1701">
        <f>SUM(L182:L184)</f>
        <v>0</v>
      </c>
      <c r="M185" s="1701">
        <f>SUM(M182:M184)</f>
        <v>0</v>
      </c>
      <c r="N185" s="1701">
        <f>SUM(N182:N184)</f>
        <v>0</v>
      </c>
      <c r="O185" s="1701">
        <f>SUM(O182:O184)</f>
        <v>0</v>
      </c>
      <c r="P185" s="2617">
        <f>SUM(P182:P184)</f>
        <v>0</v>
      </c>
      <c r="Q185" s="2411"/>
      <c r="R185" s="2401">
        <f t="shared" si="94"/>
        <v>0</v>
      </c>
      <c r="S185" s="1701">
        <f t="shared" si="95"/>
        <v>0</v>
      </c>
      <c r="T185" s="1701">
        <f t="shared" si="96"/>
        <v>0</v>
      </c>
      <c r="U185" s="1701">
        <f t="shared" si="97"/>
        <v>0</v>
      </c>
      <c r="V185" s="1701"/>
      <c r="W185" s="2438"/>
      <c r="X185" s="2452"/>
      <c r="Z185" s="209">
        <f>SUM(Z182:Z184)</f>
        <v>0</v>
      </c>
      <c r="AC185" s="1701"/>
      <c r="AD185" s="1025">
        <v>0</v>
      </c>
      <c r="AE185" s="172">
        <f t="shared" si="81"/>
        <v>0</v>
      </c>
      <c r="AG185" s="1701">
        <f t="shared" si="82"/>
        <v>0</v>
      </c>
    </row>
    <row r="186" spans="1:35" hidden="1">
      <c r="A186" s="2693" t="s">
        <v>880</v>
      </c>
      <c r="B186" s="2110" t="s">
        <v>881</v>
      </c>
      <c r="C186" s="1426"/>
      <c r="D186" s="2108"/>
      <c r="E186" s="2108"/>
      <c r="F186" s="2110"/>
      <c r="G186" s="2110"/>
      <c r="H186" s="2095" t="s">
        <v>882</v>
      </c>
      <c r="I186" s="1701">
        <f>+I181</f>
        <v>434866329</v>
      </c>
      <c r="J186" s="2576">
        <f t="shared" ref="J186:P186" si="98">+J181</f>
        <v>398053982</v>
      </c>
      <c r="K186" s="2325">
        <f t="shared" si="98"/>
        <v>528164717</v>
      </c>
      <c r="L186" s="1701">
        <f t="shared" si="98"/>
        <v>528164717</v>
      </c>
      <c r="M186" s="1701">
        <f t="shared" si="98"/>
        <v>528164717</v>
      </c>
      <c r="N186" s="1701">
        <f t="shared" si="98"/>
        <v>373548012</v>
      </c>
      <c r="O186" s="1701">
        <f t="shared" si="98"/>
        <v>373548012</v>
      </c>
      <c r="P186" s="2617">
        <f t="shared" si="98"/>
        <v>373548012</v>
      </c>
      <c r="Q186" s="2411">
        <f t="shared" ref="Q186:Q192" si="99">+P186/N186</f>
        <v>1</v>
      </c>
      <c r="R186" s="2401">
        <f t="shared" si="94"/>
        <v>0</v>
      </c>
      <c r="S186" s="1701">
        <f t="shared" si="95"/>
        <v>0</v>
      </c>
      <c r="T186" s="1701">
        <f t="shared" si="96"/>
        <v>-154616705</v>
      </c>
      <c r="U186" s="1701">
        <f t="shared" si="97"/>
        <v>0</v>
      </c>
      <c r="V186" s="1701"/>
      <c r="W186" s="2438"/>
      <c r="X186" s="2452"/>
      <c r="Z186" s="209">
        <f>+Z181</f>
        <v>361961739</v>
      </c>
      <c r="AC186" s="1701">
        <v>373548012</v>
      </c>
      <c r="AD186" s="1025">
        <v>398053982</v>
      </c>
      <c r="AE186" s="172">
        <f t="shared" si="81"/>
        <v>0</v>
      </c>
      <c r="AF186" s="172">
        <f>+P186-AC186</f>
        <v>0</v>
      </c>
      <c r="AG186" s="1701">
        <f t="shared" si="82"/>
        <v>0</v>
      </c>
    </row>
    <row r="187" spans="1:35">
      <c r="A187" s="2686" t="s">
        <v>4039</v>
      </c>
      <c r="B187" s="2097" t="s">
        <v>883</v>
      </c>
      <c r="C187" s="1541"/>
      <c r="D187" s="2098"/>
      <c r="E187" s="2098"/>
      <c r="F187" s="2097"/>
      <c r="G187" s="2097"/>
      <c r="H187" s="2099" t="s">
        <v>884</v>
      </c>
      <c r="I187" s="1701">
        <v>0</v>
      </c>
      <c r="J187" s="2576">
        <v>0</v>
      </c>
      <c r="K187" s="2325">
        <v>0</v>
      </c>
      <c r="L187" s="1701">
        <f t="shared" ref="L187:O188" si="100">+K187</f>
        <v>0</v>
      </c>
      <c r="M187" s="1701">
        <f t="shared" si="100"/>
        <v>0</v>
      </c>
      <c r="N187" s="1701">
        <f>+M187+85483942+4606</f>
        <v>85488548</v>
      </c>
      <c r="O187" s="1701">
        <f t="shared" si="100"/>
        <v>85488548</v>
      </c>
      <c r="P187" s="2617">
        <f>84803152+680790+4606</f>
        <v>85488548</v>
      </c>
      <c r="Q187" s="2411">
        <f t="shared" si="99"/>
        <v>1</v>
      </c>
      <c r="R187" s="2401">
        <f t="shared" si="94"/>
        <v>0</v>
      </c>
      <c r="S187" s="1701">
        <f t="shared" si="95"/>
        <v>0</v>
      </c>
      <c r="T187" s="1701">
        <f t="shared" si="96"/>
        <v>85488548</v>
      </c>
      <c r="U187" s="1701">
        <f t="shared" si="97"/>
        <v>0</v>
      </c>
      <c r="V187" s="1701"/>
      <c r="W187" s="2438"/>
      <c r="X187" s="2452"/>
      <c r="Z187" s="209">
        <v>0</v>
      </c>
      <c r="AC187" s="3004"/>
      <c r="AD187" s="1025">
        <v>0</v>
      </c>
      <c r="AE187" s="172">
        <f t="shared" si="81"/>
        <v>0</v>
      </c>
      <c r="AG187" s="3004">
        <f t="shared" si="82"/>
        <v>0</v>
      </c>
    </row>
    <row r="188" spans="1:35" ht="25.5">
      <c r="A188" s="2686" t="s">
        <v>4040</v>
      </c>
      <c r="B188" s="2097" t="s">
        <v>885</v>
      </c>
      <c r="C188" s="1541"/>
      <c r="D188" s="2098"/>
      <c r="E188" s="2098"/>
      <c r="F188" s="2097"/>
      <c r="G188" s="2097"/>
      <c r="H188" s="2099" t="s">
        <v>886</v>
      </c>
      <c r="I188" s="1701">
        <v>0</v>
      </c>
      <c r="J188" s="2576">
        <v>0</v>
      </c>
      <c r="K188" s="2325">
        <v>0</v>
      </c>
      <c r="L188" s="1701">
        <f t="shared" si="100"/>
        <v>0</v>
      </c>
      <c r="M188" s="1701">
        <f t="shared" si="100"/>
        <v>0</v>
      </c>
      <c r="N188" s="1701">
        <f>+M188+6244202</f>
        <v>6244202</v>
      </c>
      <c r="O188" s="1701">
        <f t="shared" si="100"/>
        <v>6244202</v>
      </c>
      <c r="P188" s="2617">
        <v>6244202</v>
      </c>
      <c r="Q188" s="2411">
        <f t="shared" si="99"/>
        <v>1</v>
      </c>
      <c r="R188" s="2401">
        <f t="shared" si="94"/>
        <v>0</v>
      </c>
      <c r="S188" s="1701">
        <f t="shared" si="95"/>
        <v>0</v>
      </c>
      <c r="T188" s="1701">
        <f t="shared" si="96"/>
        <v>6244202</v>
      </c>
      <c r="U188" s="1701">
        <f t="shared" si="97"/>
        <v>0</v>
      </c>
      <c r="V188" s="1701"/>
      <c r="W188" s="2438"/>
      <c r="X188" s="2452"/>
      <c r="Z188" s="209">
        <v>0</v>
      </c>
      <c r="AC188" s="3004"/>
      <c r="AD188" s="1025">
        <v>0</v>
      </c>
      <c r="AE188" s="172">
        <f t="shared" si="81"/>
        <v>0</v>
      </c>
      <c r="AG188" s="3004">
        <f t="shared" si="82"/>
        <v>0</v>
      </c>
    </row>
    <row r="189" spans="1:35">
      <c r="A189" s="3482" t="s">
        <v>4041</v>
      </c>
      <c r="B189" s="2110" t="s">
        <v>4043</v>
      </c>
      <c r="C189" s="1426"/>
      <c r="D189" s="2108" t="s">
        <v>3979</v>
      </c>
      <c r="E189" s="2108"/>
      <c r="F189" s="2110"/>
      <c r="G189" s="2110"/>
      <c r="H189" s="2095" t="s">
        <v>888</v>
      </c>
      <c r="I189" s="1701">
        <v>0</v>
      </c>
      <c r="J189" s="2576">
        <v>0</v>
      </c>
      <c r="K189" s="2325">
        <v>0</v>
      </c>
      <c r="L189" s="1701">
        <f>SUM(L187:L188)</f>
        <v>0</v>
      </c>
      <c r="M189" s="1701">
        <f>SUM(M187:M188)</f>
        <v>0</v>
      </c>
      <c r="N189" s="1701">
        <f>SUM(N187:N188)</f>
        <v>91732750</v>
      </c>
      <c r="O189" s="1701">
        <f>SUM(O187:O188)</f>
        <v>91732750</v>
      </c>
      <c r="P189" s="2617">
        <f>SUM(P187:P188)</f>
        <v>91732750</v>
      </c>
      <c r="Q189" s="2411">
        <f t="shared" si="99"/>
        <v>1</v>
      </c>
      <c r="R189" s="2401">
        <f t="shared" si="94"/>
        <v>0</v>
      </c>
      <c r="S189" s="1701">
        <f t="shared" si="95"/>
        <v>0</v>
      </c>
      <c r="T189" s="1701">
        <f t="shared" si="96"/>
        <v>91732750</v>
      </c>
      <c r="U189" s="1701">
        <f t="shared" si="97"/>
        <v>0</v>
      </c>
      <c r="V189" s="1701"/>
      <c r="W189" s="2438"/>
      <c r="X189" s="2452"/>
      <c r="Z189" s="209">
        <f>SUM(Z187:Z188)</f>
        <v>0</v>
      </c>
      <c r="AC189" s="1701">
        <v>91732750</v>
      </c>
      <c r="AD189" s="1025">
        <v>0</v>
      </c>
      <c r="AE189" s="172">
        <f t="shared" si="81"/>
        <v>0</v>
      </c>
      <c r="AF189" s="172">
        <f>+P189-AC189</f>
        <v>0</v>
      </c>
      <c r="AG189" s="1701">
        <f t="shared" si="82"/>
        <v>0</v>
      </c>
    </row>
    <row r="190" spans="1:35">
      <c r="A190" s="3483" t="s">
        <v>4042</v>
      </c>
      <c r="B190" s="2110" t="s">
        <v>238</v>
      </c>
      <c r="C190" s="1541" t="s">
        <v>512</v>
      </c>
      <c r="D190" s="2098" t="s">
        <v>890</v>
      </c>
      <c r="E190" s="2098">
        <v>2</v>
      </c>
      <c r="F190" s="1541" t="s">
        <v>534</v>
      </c>
      <c r="G190" s="2098">
        <v>9990001</v>
      </c>
      <c r="H190" s="2095" t="s">
        <v>891</v>
      </c>
      <c r="I190" s="1701">
        <f>5000000</f>
        <v>5000000</v>
      </c>
      <c r="J190" s="2576">
        <v>9612000</v>
      </c>
      <c r="K190" s="2325">
        <f>5000000</f>
        <v>5000000</v>
      </c>
      <c r="L190" s="1701">
        <f t="shared" ref="L190:L196" si="101">+K190</f>
        <v>5000000</v>
      </c>
      <c r="M190" s="1701">
        <f t="shared" ref="M190:M195" si="102">+L190</f>
        <v>5000000</v>
      </c>
      <c r="N190" s="1701">
        <f>+M190+195000</f>
        <v>5195000</v>
      </c>
      <c r="O190" s="1701">
        <f t="shared" ref="O190:O196" si="103">+N190</f>
        <v>5195000</v>
      </c>
      <c r="P190" s="3175">
        <f>5195000</f>
        <v>5195000</v>
      </c>
      <c r="Q190" s="2411">
        <f t="shared" si="99"/>
        <v>1</v>
      </c>
      <c r="R190" s="2401">
        <f t="shared" si="94"/>
        <v>0</v>
      </c>
      <c r="S190" s="1701">
        <f t="shared" si="95"/>
        <v>0</v>
      </c>
      <c r="T190" s="1701">
        <f t="shared" si="96"/>
        <v>195000</v>
      </c>
      <c r="U190" s="1701">
        <f t="shared" si="97"/>
        <v>0</v>
      </c>
      <c r="V190" s="1701"/>
      <c r="W190" s="2438"/>
      <c r="X190" s="2452"/>
      <c r="Z190" s="225">
        <v>9452000</v>
      </c>
      <c r="AC190" s="2410">
        <v>5195000</v>
      </c>
      <c r="AD190" s="2652">
        <v>9612000</v>
      </c>
      <c r="AE190" s="172">
        <f t="shared" si="81"/>
        <v>0</v>
      </c>
      <c r="AF190" s="172">
        <f>+P190-AC190</f>
        <v>0</v>
      </c>
      <c r="AG190" s="2410">
        <f t="shared" si="82"/>
        <v>0</v>
      </c>
    </row>
    <row r="191" spans="1:35" hidden="1">
      <c r="A191" s="2683"/>
      <c r="B191" s="2110" t="s">
        <v>892</v>
      </c>
      <c r="C191" s="1426"/>
      <c r="D191" s="2108"/>
      <c r="E191" s="2108"/>
      <c r="F191" s="2110"/>
      <c r="G191" s="2110"/>
      <c r="H191" s="2095" t="s">
        <v>893</v>
      </c>
      <c r="I191" s="1701">
        <v>0</v>
      </c>
      <c r="J191" s="2576">
        <v>0</v>
      </c>
      <c r="K191" s="2325">
        <v>0</v>
      </c>
      <c r="L191" s="1701">
        <f t="shared" si="101"/>
        <v>0</v>
      </c>
      <c r="M191" s="1701">
        <f t="shared" si="102"/>
        <v>0</v>
      </c>
      <c r="N191" s="1701">
        <f>+M191+9510974</f>
        <v>9510974</v>
      </c>
      <c r="O191" s="1701">
        <f t="shared" si="103"/>
        <v>9510974</v>
      </c>
      <c r="P191" s="2617">
        <f>9510974</f>
        <v>9510974</v>
      </c>
      <c r="Q191" s="2411">
        <f t="shared" si="99"/>
        <v>1</v>
      </c>
      <c r="R191" s="2401">
        <f t="shared" si="94"/>
        <v>0</v>
      </c>
      <c r="S191" s="1701">
        <f t="shared" si="95"/>
        <v>0</v>
      </c>
      <c r="T191" s="1701">
        <f t="shared" si="96"/>
        <v>9510974</v>
      </c>
      <c r="U191" s="1701">
        <f t="shared" si="97"/>
        <v>0</v>
      </c>
      <c r="V191" s="1701"/>
      <c r="W191" s="2438"/>
      <c r="X191" s="2452"/>
      <c r="Z191" s="209">
        <v>0</v>
      </c>
      <c r="AC191" s="1701"/>
      <c r="AD191" s="1025">
        <v>0</v>
      </c>
      <c r="AE191" s="172">
        <f t="shared" si="81"/>
        <v>0</v>
      </c>
      <c r="AG191" s="1701">
        <f t="shared" si="82"/>
        <v>0</v>
      </c>
    </row>
    <row r="192" spans="1:35" hidden="1">
      <c r="A192" s="2684" t="s">
        <v>894</v>
      </c>
      <c r="B192" s="2097" t="s">
        <v>895</v>
      </c>
      <c r="C192" s="1541" t="s">
        <v>512</v>
      </c>
      <c r="D192" s="1541" t="s">
        <v>896</v>
      </c>
      <c r="E192" s="1541" t="s">
        <v>738</v>
      </c>
      <c r="F192" s="1541" t="s">
        <v>534</v>
      </c>
      <c r="G192" s="2098">
        <v>9990001</v>
      </c>
      <c r="H192" s="2099" t="s">
        <v>897</v>
      </c>
      <c r="I192" s="1365">
        <f>7000000+1500000</f>
        <v>8500000</v>
      </c>
      <c r="J192" s="2575">
        <v>79111320</v>
      </c>
      <c r="K192" s="2321">
        <v>40000000</v>
      </c>
      <c r="L192" s="1365">
        <f t="shared" ref="L192:M194" si="104">+K192</f>
        <v>40000000</v>
      </c>
      <c r="M192" s="1365">
        <f t="shared" si="104"/>
        <v>40000000</v>
      </c>
      <c r="N192" s="1365">
        <f>+M192-18745206</f>
        <v>21254794</v>
      </c>
      <c r="O192" s="1365">
        <f t="shared" si="103"/>
        <v>21254794</v>
      </c>
      <c r="P192" s="3170">
        <f>21254794</f>
        <v>21254794</v>
      </c>
      <c r="Q192" s="2409">
        <f t="shared" si="99"/>
        <v>1</v>
      </c>
      <c r="R192" s="2399">
        <f t="shared" si="94"/>
        <v>0</v>
      </c>
      <c r="S192" s="1365">
        <f t="shared" si="95"/>
        <v>0</v>
      </c>
      <c r="T192" s="1365">
        <f t="shared" si="96"/>
        <v>-18745206</v>
      </c>
      <c r="U192" s="1365">
        <f t="shared" si="97"/>
        <v>0</v>
      </c>
      <c r="V192" s="1365"/>
      <c r="W192" s="2435"/>
      <c r="X192" s="2452"/>
      <c r="Z192" s="1207">
        <f>79111320</f>
        <v>79111320</v>
      </c>
      <c r="AC192" s="2408"/>
      <c r="AD192" s="2651">
        <v>79111320</v>
      </c>
      <c r="AE192" s="172">
        <f t="shared" si="81"/>
        <v>0</v>
      </c>
      <c r="AG192" s="2408">
        <f t="shared" si="82"/>
        <v>0</v>
      </c>
    </row>
    <row r="193" spans="1:33" ht="25.5" hidden="1">
      <c r="A193" s="2684"/>
      <c r="B193" s="2097" t="s">
        <v>898</v>
      </c>
      <c r="C193" s="1426" t="s">
        <v>512</v>
      </c>
      <c r="D193" s="2108" t="s">
        <v>899</v>
      </c>
      <c r="E193" s="2108">
        <v>3</v>
      </c>
      <c r="F193" s="1541" t="s">
        <v>534</v>
      </c>
      <c r="G193" s="2098">
        <v>9990001</v>
      </c>
      <c r="H193" s="2099" t="s">
        <v>900</v>
      </c>
      <c r="I193" s="1365">
        <f>0</f>
        <v>0</v>
      </c>
      <c r="J193" s="2575">
        <v>0</v>
      </c>
      <c r="K193" s="2321">
        <f>0</f>
        <v>0</v>
      </c>
      <c r="L193" s="1365">
        <f t="shared" si="104"/>
        <v>0</v>
      </c>
      <c r="M193" s="1365">
        <f t="shared" si="104"/>
        <v>0</v>
      </c>
      <c r="N193" s="1365">
        <f>+M193</f>
        <v>0</v>
      </c>
      <c r="O193" s="1365">
        <f t="shared" si="103"/>
        <v>0</v>
      </c>
      <c r="P193" s="3170"/>
      <c r="Q193" s="2409"/>
      <c r="R193" s="2399">
        <f t="shared" si="94"/>
        <v>0</v>
      </c>
      <c r="S193" s="1365">
        <f t="shared" si="95"/>
        <v>0</v>
      </c>
      <c r="T193" s="1365">
        <f t="shared" si="96"/>
        <v>0</v>
      </c>
      <c r="U193" s="1365">
        <f t="shared" si="97"/>
        <v>0</v>
      </c>
      <c r="V193" s="1365"/>
      <c r="W193" s="2435"/>
      <c r="X193" s="2452"/>
      <c r="Z193" s="1207"/>
      <c r="AC193" s="2408"/>
      <c r="AD193" s="2651"/>
      <c r="AE193" s="172">
        <f t="shared" si="81"/>
        <v>0</v>
      </c>
      <c r="AG193" s="2408">
        <f t="shared" si="82"/>
        <v>0</v>
      </c>
    </row>
    <row r="194" spans="1:33" hidden="1">
      <c r="A194" s="2684"/>
      <c r="B194" s="2097" t="s">
        <v>901</v>
      </c>
      <c r="C194" s="1541"/>
      <c r="D194" s="2098" t="s">
        <v>902</v>
      </c>
      <c r="E194" s="2098"/>
      <c r="F194" s="2097"/>
      <c r="G194" s="2097"/>
      <c r="H194" s="2099"/>
      <c r="I194" s="1365">
        <f>1500000</f>
        <v>1500000</v>
      </c>
      <c r="J194" s="2575">
        <v>1578820</v>
      </c>
      <c r="K194" s="2321">
        <f>1500000</f>
        <v>1500000</v>
      </c>
      <c r="L194" s="1365">
        <f t="shared" si="104"/>
        <v>1500000</v>
      </c>
      <c r="M194" s="1365">
        <f t="shared" si="104"/>
        <v>1500000</v>
      </c>
      <c r="N194" s="1365">
        <f>+M194-200693</f>
        <v>1299307</v>
      </c>
      <c r="O194" s="1365">
        <f t="shared" si="103"/>
        <v>1299307</v>
      </c>
      <c r="P194" s="3170">
        <f>129229+1170078</f>
        <v>1299307</v>
      </c>
      <c r="Q194" s="2409">
        <f>+P194/N194</f>
        <v>1</v>
      </c>
      <c r="R194" s="2399"/>
      <c r="S194" s="1365">
        <f t="shared" si="95"/>
        <v>0</v>
      </c>
      <c r="T194" s="1365"/>
      <c r="U194" s="1365"/>
      <c r="V194" s="1365"/>
      <c r="W194" s="2435"/>
      <c r="X194" s="2452"/>
      <c r="Z194" s="1207">
        <f>279500+1058791</f>
        <v>1338291</v>
      </c>
      <c r="AC194" s="2408"/>
      <c r="AD194" s="2651">
        <v>1578820</v>
      </c>
      <c r="AE194" s="172">
        <f t="shared" si="81"/>
        <v>0</v>
      </c>
      <c r="AG194" s="2408">
        <f t="shared" si="82"/>
        <v>0</v>
      </c>
    </row>
    <row r="195" spans="1:33" ht="25.5" hidden="1">
      <c r="A195" s="2684"/>
      <c r="B195" s="2097" t="s">
        <v>903</v>
      </c>
      <c r="C195" s="1541"/>
      <c r="D195" s="2098"/>
      <c r="E195" s="2098"/>
      <c r="F195" s="2097"/>
      <c r="G195" s="2097"/>
      <c r="H195" s="2099" t="s">
        <v>904</v>
      </c>
      <c r="I195" s="1365">
        <v>0</v>
      </c>
      <c r="J195" s="2575">
        <v>0</v>
      </c>
      <c r="K195" s="2321">
        <v>0</v>
      </c>
      <c r="L195" s="1365">
        <f t="shared" si="101"/>
        <v>0</v>
      </c>
      <c r="M195" s="1365">
        <f t="shared" si="102"/>
        <v>0</v>
      </c>
      <c r="N195" s="1365">
        <f>+M195</f>
        <v>0</v>
      </c>
      <c r="O195" s="1365">
        <f t="shared" si="103"/>
        <v>0</v>
      </c>
      <c r="P195" s="2618">
        <v>0</v>
      </c>
      <c r="Q195" s="2409"/>
      <c r="R195" s="2399">
        <f t="shared" ref="R195:R217" si="105">+L195-K195</f>
        <v>0</v>
      </c>
      <c r="S195" s="1365">
        <f t="shared" ref="S195:S218" si="106">+M195-L195</f>
        <v>0</v>
      </c>
      <c r="T195" s="1365">
        <f t="shared" ref="T195:T218" si="107">+N195-M195</f>
        <v>0</v>
      </c>
      <c r="U195" s="1365">
        <f t="shared" ref="U195:U218" si="108">+O195-N195</f>
        <v>0</v>
      </c>
      <c r="V195" s="1365"/>
      <c r="W195" s="2435"/>
      <c r="X195" s="2452"/>
      <c r="Z195" s="192">
        <v>0</v>
      </c>
      <c r="AC195" s="1365"/>
      <c r="AD195" s="1014">
        <v>0</v>
      </c>
      <c r="AE195" s="172">
        <f t="shared" si="81"/>
        <v>0</v>
      </c>
      <c r="AG195" s="1365">
        <f t="shared" si="82"/>
        <v>0</v>
      </c>
    </row>
    <row r="196" spans="1:33" hidden="1">
      <c r="A196" s="2684" t="s">
        <v>905</v>
      </c>
      <c r="B196" s="2097" t="s">
        <v>906</v>
      </c>
      <c r="C196" s="1541" t="s">
        <v>512</v>
      </c>
      <c r="D196" s="2098" t="s">
        <v>907</v>
      </c>
      <c r="E196" s="2098">
        <v>2</v>
      </c>
      <c r="F196" s="1541" t="s">
        <v>534</v>
      </c>
      <c r="G196" s="2098">
        <v>9990001</v>
      </c>
      <c r="H196" s="2099" t="s">
        <v>908</v>
      </c>
      <c r="I196" s="1365">
        <f>350000000+140000000</f>
        <v>490000000</v>
      </c>
      <c r="J196" s="2575">
        <v>307721020</v>
      </c>
      <c r="K196" s="2321">
        <v>150000000</v>
      </c>
      <c r="L196" s="1365">
        <f t="shared" si="101"/>
        <v>150000000</v>
      </c>
      <c r="M196" s="1365">
        <f>+L196</f>
        <v>150000000</v>
      </c>
      <c r="N196" s="1365">
        <f>+M196+12267870</f>
        <v>162267870</v>
      </c>
      <c r="O196" s="1365">
        <f t="shared" si="103"/>
        <v>162267870</v>
      </c>
      <c r="P196" s="3170">
        <f>52372304+109895566</f>
        <v>162267870</v>
      </c>
      <c r="Q196" s="2409">
        <f>+P196/N196</f>
        <v>1</v>
      </c>
      <c r="R196" s="2399">
        <f t="shared" si="105"/>
        <v>0</v>
      </c>
      <c r="S196" s="1365">
        <f t="shared" si="106"/>
        <v>0</v>
      </c>
      <c r="T196" s="1365">
        <f t="shared" si="107"/>
        <v>12267870</v>
      </c>
      <c r="U196" s="1365">
        <f t="shared" si="108"/>
        <v>0</v>
      </c>
      <c r="V196" s="1365"/>
      <c r="W196" s="2435"/>
      <c r="X196" s="2452"/>
      <c r="Z196" s="1207">
        <f>250060564</f>
        <v>250060564</v>
      </c>
      <c r="AC196" s="2408"/>
      <c r="AD196" s="2651">
        <v>307721020</v>
      </c>
      <c r="AE196" s="172">
        <f t="shared" si="81"/>
        <v>0</v>
      </c>
      <c r="AG196" s="2408">
        <f t="shared" si="82"/>
        <v>0</v>
      </c>
    </row>
    <row r="197" spans="1:33" hidden="1">
      <c r="A197" s="2683"/>
      <c r="B197" s="2107" t="s">
        <v>909</v>
      </c>
      <c r="C197" s="1426"/>
      <c r="D197" s="2108"/>
      <c r="E197" s="2108"/>
      <c r="F197" s="2107"/>
      <c r="G197" s="2107"/>
      <c r="H197" s="2095" t="s">
        <v>910</v>
      </c>
      <c r="I197" s="1701">
        <f>+I192+I193+I194+I195+I196</f>
        <v>500000000</v>
      </c>
      <c r="J197" s="2576">
        <f t="shared" ref="J197:P197" si="109">+J192+J193+J194+J195+J196</f>
        <v>388411160</v>
      </c>
      <c r="K197" s="2325">
        <f t="shared" si="109"/>
        <v>191500000</v>
      </c>
      <c r="L197" s="1701">
        <f t="shared" si="109"/>
        <v>191500000</v>
      </c>
      <c r="M197" s="1701">
        <f t="shared" si="109"/>
        <v>191500000</v>
      </c>
      <c r="N197" s="1701">
        <f t="shared" si="109"/>
        <v>184821971</v>
      </c>
      <c r="O197" s="1701">
        <f t="shared" si="109"/>
        <v>184821971</v>
      </c>
      <c r="P197" s="2617">
        <f t="shared" si="109"/>
        <v>184821971</v>
      </c>
      <c r="Q197" s="2411">
        <f>+P197/N197</f>
        <v>1</v>
      </c>
      <c r="R197" s="2401">
        <f t="shared" si="105"/>
        <v>0</v>
      </c>
      <c r="S197" s="1701">
        <f t="shared" si="106"/>
        <v>0</v>
      </c>
      <c r="T197" s="1701">
        <f t="shared" si="107"/>
        <v>-6678029</v>
      </c>
      <c r="U197" s="1701">
        <f t="shared" si="108"/>
        <v>0</v>
      </c>
      <c r="V197" s="1701"/>
      <c r="W197" s="2438"/>
      <c r="X197" s="2452"/>
      <c r="Z197" s="209">
        <f>+Z192+Z193+Z194+Z195+Z196</f>
        <v>330510175</v>
      </c>
      <c r="AC197" s="1701"/>
      <c r="AD197" s="1025">
        <v>388411160</v>
      </c>
      <c r="AE197" s="172">
        <f t="shared" si="81"/>
        <v>0</v>
      </c>
      <c r="AG197" s="1701">
        <f t="shared" si="82"/>
        <v>0</v>
      </c>
    </row>
    <row r="198" spans="1:33">
      <c r="A198" s="2683" t="s">
        <v>1405</v>
      </c>
      <c r="B198" s="2107" t="s">
        <v>240</v>
      </c>
      <c r="C198" s="1426"/>
      <c r="D198" s="2108"/>
      <c r="E198" s="2108"/>
      <c r="F198" s="1541"/>
      <c r="G198" s="2098"/>
      <c r="H198" s="2095" t="s">
        <v>912</v>
      </c>
      <c r="I198" s="1701">
        <f>+I191+I197</f>
        <v>500000000</v>
      </c>
      <c r="J198" s="2576">
        <f t="shared" ref="J198:P198" si="110">+J191+J197</f>
        <v>388411160</v>
      </c>
      <c r="K198" s="2325">
        <f t="shared" si="110"/>
        <v>191500000</v>
      </c>
      <c r="L198" s="1701">
        <f t="shared" si="110"/>
        <v>191500000</v>
      </c>
      <c r="M198" s="1701">
        <f t="shared" si="110"/>
        <v>191500000</v>
      </c>
      <c r="N198" s="1701">
        <f t="shared" si="110"/>
        <v>194332945</v>
      </c>
      <c r="O198" s="1701">
        <f t="shared" si="110"/>
        <v>194332945</v>
      </c>
      <c r="P198" s="2617">
        <f t="shared" si="110"/>
        <v>194332945</v>
      </c>
      <c r="Q198" s="2411">
        <f>+P198/N198</f>
        <v>1</v>
      </c>
      <c r="R198" s="2401">
        <f t="shared" si="105"/>
        <v>0</v>
      </c>
      <c r="S198" s="1701">
        <f t="shared" si="106"/>
        <v>0</v>
      </c>
      <c r="T198" s="1701">
        <f t="shared" si="107"/>
        <v>2832945</v>
      </c>
      <c r="U198" s="1701">
        <f t="shared" si="108"/>
        <v>0</v>
      </c>
      <c r="V198" s="1701"/>
      <c r="W198" s="2438"/>
      <c r="X198" s="2452"/>
      <c r="Z198" s="209">
        <f>+Z191+Z197</f>
        <v>330510175</v>
      </c>
      <c r="AC198" s="1701">
        <v>194332945</v>
      </c>
      <c r="AD198" s="1025">
        <v>388411160</v>
      </c>
      <c r="AE198" s="172">
        <f t="shared" si="81"/>
        <v>0</v>
      </c>
      <c r="AF198" s="172">
        <f>+P198-AC198</f>
        <v>0</v>
      </c>
      <c r="AG198" s="1701">
        <f t="shared" si="82"/>
        <v>0</v>
      </c>
    </row>
    <row r="199" spans="1:33">
      <c r="A199" s="3482" t="s">
        <v>4044</v>
      </c>
      <c r="B199" s="2107" t="s">
        <v>242</v>
      </c>
      <c r="C199" s="1426"/>
      <c r="D199" s="2108"/>
      <c r="E199" s="2108"/>
      <c r="F199" s="2107"/>
      <c r="G199" s="2107"/>
      <c r="H199" s="2095" t="s">
        <v>913</v>
      </c>
      <c r="I199" s="1701">
        <v>0</v>
      </c>
      <c r="J199" s="2576">
        <v>20628</v>
      </c>
      <c r="K199" s="2325">
        <v>0</v>
      </c>
      <c r="L199" s="1701">
        <f t="shared" ref="L199:L206" si="111">+K199</f>
        <v>0</v>
      </c>
      <c r="M199" s="1701">
        <f t="shared" ref="M199:M206" si="112">+L199</f>
        <v>0</v>
      </c>
      <c r="N199" s="1701">
        <f>+M199+14077+89</f>
        <v>14166</v>
      </c>
      <c r="O199" s="1701">
        <f t="shared" ref="O199:O206" si="113">+N199</f>
        <v>14166</v>
      </c>
      <c r="P199" s="2617">
        <f>0+14077+89</f>
        <v>14166</v>
      </c>
      <c r="Q199" s="2411">
        <f>+P199/N199</f>
        <v>1</v>
      </c>
      <c r="R199" s="2401">
        <f t="shared" si="105"/>
        <v>0</v>
      </c>
      <c r="S199" s="1701">
        <f t="shared" si="106"/>
        <v>0</v>
      </c>
      <c r="T199" s="1701">
        <f t="shared" si="107"/>
        <v>14166</v>
      </c>
      <c r="U199" s="1701">
        <f t="shared" si="108"/>
        <v>0</v>
      </c>
      <c r="V199" s="1701"/>
      <c r="W199" s="2438"/>
      <c r="X199" s="2452"/>
      <c r="Z199" s="209">
        <v>0</v>
      </c>
      <c r="AC199" s="1701">
        <v>14166</v>
      </c>
      <c r="AD199" s="1025">
        <v>20628</v>
      </c>
      <c r="AE199" s="172">
        <f t="shared" si="81"/>
        <v>0</v>
      </c>
      <c r="AF199" s="172">
        <f>+P199-AC199</f>
        <v>0</v>
      </c>
      <c r="AG199" s="1701">
        <f t="shared" si="82"/>
        <v>0</v>
      </c>
    </row>
    <row r="200" spans="1:33" hidden="1">
      <c r="A200" s="2684"/>
      <c r="B200" s="2109" t="s">
        <v>914</v>
      </c>
      <c r="C200" s="1541" t="s">
        <v>512</v>
      </c>
      <c r="D200" s="2098" t="s">
        <v>915</v>
      </c>
      <c r="E200" s="2098"/>
      <c r="F200" s="2109"/>
      <c r="G200" s="2109"/>
      <c r="H200" s="2099" t="s">
        <v>916</v>
      </c>
      <c r="I200" s="1365">
        <v>0</v>
      </c>
      <c r="J200" s="2575">
        <v>0</v>
      </c>
      <c r="K200" s="2321">
        <v>0</v>
      </c>
      <c r="L200" s="1365">
        <f t="shared" si="111"/>
        <v>0</v>
      </c>
      <c r="M200" s="1365">
        <f t="shared" si="112"/>
        <v>0</v>
      </c>
      <c r="N200" s="1365">
        <f t="shared" ref="N200:N205" si="114">+M200</f>
        <v>0</v>
      </c>
      <c r="O200" s="1365">
        <f t="shared" si="113"/>
        <v>0</v>
      </c>
      <c r="P200" s="3170">
        <v>0</v>
      </c>
      <c r="Q200" s="2411"/>
      <c r="R200" s="2399">
        <f t="shared" si="105"/>
        <v>0</v>
      </c>
      <c r="S200" s="1365">
        <f t="shared" si="106"/>
        <v>0</v>
      </c>
      <c r="T200" s="1365">
        <f t="shared" si="107"/>
        <v>0</v>
      </c>
      <c r="U200" s="1365">
        <f t="shared" si="108"/>
        <v>0</v>
      </c>
      <c r="V200" s="1365"/>
      <c r="W200" s="2435"/>
      <c r="X200" s="2452"/>
      <c r="Z200" s="1207">
        <v>0</v>
      </c>
      <c r="AC200" s="2408"/>
      <c r="AD200" s="2651">
        <v>0</v>
      </c>
      <c r="AE200" s="172">
        <f t="shared" ref="AE200:AE263" si="115">+J200-AD200</f>
        <v>0</v>
      </c>
      <c r="AG200" s="2408">
        <f t="shared" ref="AG200:AG263" si="116">+P200-N200</f>
        <v>0</v>
      </c>
    </row>
    <row r="201" spans="1:33" hidden="1">
      <c r="A201" s="2684"/>
      <c r="B201" s="2109" t="s">
        <v>917</v>
      </c>
      <c r="C201" s="1541" t="s">
        <v>512</v>
      </c>
      <c r="D201" s="2098" t="s">
        <v>568</v>
      </c>
      <c r="E201" s="2098">
        <v>2</v>
      </c>
      <c r="F201" s="2098" t="s">
        <v>534</v>
      </c>
      <c r="G201" s="2098">
        <v>9990001</v>
      </c>
      <c r="H201" s="2099" t="s">
        <v>918</v>
      </c>
      <c r="I201" s="1365">
        <f>708345000-80000000</f>
        <v>628345000</v>
      </c>
      <c r="J201" s="2575">
        <v>348766565</v>
      </c>
      <c r="K201" s="2321">
        <f>0</f>
        <v>0</v>
      </c>
      <c r="L201" s="1365">
        <f t="shared" si="111"/>
        <v>0</v>
      </c>
      <c r="M201" s="1365">
        <f>+L201</f>
        <v>0</v>
      </c>
      <c r="N201" s="1365">
        <f>+M201+633884</f>
        <v>633884</v>
      </c>
      <c r="O201" s="1365">
        <f t="shared" si="113"/>
        <v>633884</v>
      </c>
      <c r="P201" s="3170">
        <f>633884</f>
        <v>633884</v>
      </c>
      <c r="Q201" s="2409">
        <f>+P201/N201</f>
        <v>1</v>
      </c>
      <c r="R201" s="2399">
        <f t="shared" si="105"/>
        <v>0</v>
      </c>
      <c r="S201" s="1365">
        <f t="shared" si="106"/>
        <v>0</v>
      </c>
      <c r="T201" s="1365">
        <f t="shared" si="107"/>
        <v>633884</v>
      </c>
      <c r="U201" s="1365">
        <f t="shared" si="108"/>
        <v>0</v>
      </c>
      <c r="V201" s="1365"/>
      <c r="W201" s="2435"/>
      <c r="X201" s="2452"/>
      <c r="Z201" s="192">
        <v>148766565</v>
      </c>
      <c r="AC201" s="2408"/>
      <c r="AD201" s="2651">
        <v>348766565</v>
      </c>
      <c r="AE201" s="172">
        <f t="shared" si="115"/>
        <v>0</v>
      </c>
      <c r="AG201" s="2408">
        <f t="shared" si="116"/>
        <v>0</v>
      </c>
    </row>
    <row r="202" spans="1:33" hidden="1">
      <c r="A202" s="2684"/>
      <c r="B202" s="2109" t="s">
        <v>919</v>
      </c>
      <c r="C202" s="1541" t="s">
        <v>512</v>
      </c>
      <c r="D202" s="2098" t="s">
        <v>920</v>
      </c>
      <c r="E202" s="2098">
        <v>2</v>
      </c>
      <c r="F202" s="2098" t="s">
        <v>534</v>
      </c>
      <c r="G202" s="2098">
        <v>9990001</v>
      </c>
      <c r="H202" s="2099" t="s">
        <v>921</v>
      </c>
      <c r="I202" s="1365">
        <v>0</v>
      </c>
      <c r="J202" s="2575">
        <v>1910760</v>
      </c>
      <c r="K202" s="2321">
        <v>0</v>
      </c>
      <c r="L202" s="1365">
        <f t="shared" si="111"/>
        <v>0</v>
      </c>
      <c r="M202" s="1365">
        <f t="shared" si="112"/>
        <v>0</v>
      </c>
      <c r="N202" s="1365">
        <f>+M202+3021496</f>
        <v>3021496</v>
      </c>
      <c r="O202" s="1365">
        <f t="shared" si="113"/>
        <v>3021496</v>
      </c>
      <c r="P202" s="3170">
        <f>3021496</f>
        <v>3021496</v>
      </c>
      <c r="Q202" s="2411">
        <f>+P202/N202</f>
        <v>1</v>
      </c>
      <c r="R202" s="2399">
        <f t="shared" si="105"/>
        <v>0</v>
      </c>
      <c r="S202" s="1365">
        <f t="shared" si="106"/>
        <v>0</v>
      </c>
      <c r="T202" s="1365">
        <f t="shared" si="107"/>
        <v>3021496</v>
      </c>
      <c r="U202" s="1365">
        <f t="shared" si="108"/>
        <v>0</v>
      </c>
      <c r="V202" s="1365"/>
      <c r="W202" s="2435"/>
      <c r="X202" s="2452"/>
      <c r="Z202" s="1207">
        <f>1588920</f>
        <v>1588920</v>
      </c>
      <c r="AC202" s="2408"/>
      <c r="AD202" s="2651">
        <v>1910760</v>
      </c>
      <c r="AE202" s="172">
        <f t="shared" si="115"/>
        <v>0</v>
      </c>
      <c r="AG202" s="2408">
        <f t="shared" si="116"/>
        <v>0</v>
      </c>
    </row>
    <row r="203" spans="1:33" s="203" customFormat="1" hidden="1">
      <c r="A203" s="2685"/>
      <c r="B203" s="2132"/>
      <c r="C203" s="2103"/>
      <c r="D203" s="2103"/>
      <c r="E203" s="2104"/>
      <c r="F203" s="2103"/>
      <c r="G203" s="2103"/>
      <c r="H203" s="2099"/>
      <c r="I203" s="2106">
        <v>0</v>
      </c>
      <c r="J203" s="2575">
        <v>0</v>
      </c>
      <c r="K203" s="2236">
        <v>0</v>
      </c>
      <c r="L203" s="2106">
        <f t="shared" si="111"/>
        <v>0</v>
      </c>
      <c r="M203" s="1365">
        <f t="shared" si="112"/>
        <v>0</v>
      </c>
      <c r="N203" s="2106">
        <f t="shared" si="114"/>
        <v>0</v>
      </c>
      <c r="O203" s="2106">
        <f t="shared" si="113"/>
        <v>0</v>
      </c>
      <c r="P203" s="3179">
        <v>0</v>
      </c>
      <c r="Q203" s="2420"/>
      <c r="R203" s="2400">
        <f t="shared" si="105"/>
        <v>0</v>
      </c>
      <c r="S203" s="1365">
        <f t="shared" si="106"/>
        <v>0</v>
      </c>
      <c r="T203" s="2106">
        <f t="shared" si="107"/>
        <v>0</v>
      </c>
      <c r="U203" s="2106">
        <f t="shared" si="108"/>
        <v>0</v>
      </c>
      <c r="V203" s="2106"/>
      <c r="W203" s="2437"/>
      <c r="X203" s="2452"/>
      <c r="Z203" s="199">
        <v>0</v>
      </c>
      <c r="AC203" s="2106"/>
      <c r="AD203" s="1011">
        <v>0</v>
      </c>
      <c r="AE203" s="172">
        <f t="shared" si="115"/>
        <v>0</v>
      </c>
      <c r="AG203" s="2106">
        <f t="shared" si="116"/>
        <v>0</v>
      </c>
    </row>
    <row r="204" spans="1:33" s="203" customFormat="1" hidden="1">
      <c r="A204" s="2685"/>
      <c r="B204" s="2132"/>
      <c r="C204" s="2103"/>
      <c r="D204" s="2103"/>
      <c r="E204" s="2103"/>
      <c r="F204" s="2103"/>
      <c r="G204" s="2103"/>
      <c r="H204" s="2099"/>
      <c r="I204" s="2106">
        <v>0</v>
      </c>
      <c r="J204" s="2575">
        <v>0</v>
      </c>
      <c r="K204" s="2236">
        <v>0</v>
      </c>
      <c r="L204" s="2106">
        <f t="shared" si="111"/>
        <v>0</v>
      </c>
      <c r="M204" s="1365">
        <f t="shared" si="112"/>
        <v>0</v>
      </c>
      <c r="N204" s="2106">
        <f t="shared" si="114"/>
        <v>0</v>
      </c>
      <c r="O204" s="2106">
        <f t="shared" si="113"/>
        <v>0</v>
      </c>
      <c r="P204" s="3179">
        <v>0</v>
      </c>
      <c r="Q204" s="2420"/>
      <c r="R204" s="2400">
        <f t="shared" si="105"/>
        <v>0</v>
      </c>
      <c r="S204" s="1365">
        <f t="shared" si="106"/>
        <v>0</v>
      </c>
      <c r="T204" s="2106">
        <f t="shared" si="107"/>
        <v>0</v>
      </c>
      <c r="U204" s="2106">
        <f t="shared" si="108"/>
        <v>0</v>
      </c>
      <c r="V204" s="2106"/>
      <c r="W204" s="2437"/>
      <c r="X204" s="2452"/>
      <c r="Z204" s="199">
        <v>0</v>
      </c>
      <c r="AC204" s="2106"/>
      <c r="AD204" s="1011">
        <v>0</v>
      </c>
      <c r="AE204" s="172">
        <f t="shared" si="115"/>
        <v>0</v>
      </c>
      <c r="AG204" s="2106">
        <f t="shared" si="116"/>
        <v>0</v>
      </c>
    </row>
    <row r="205" spans="1:33" s="203" customFormat="1" hidden="1">
      <c r="A205" s="2685"/>
      <c r="B205" s="2132"/>
      <c r="C205" s="2103"/>
      <c r="D205" s="2103"/>
      <c r="E205" s="2103"/>
      <c r="F205" s="2103"/>
      <c r="G205" s="2103"/>
      <c r="H205" s="2127"/>
      <c r="I205" s="2106">
        <v>0</v>
      </c>
      <c r="J205" s="2575">
        <v>0</v>
      </c>
      <c r="K205" s="2236">
        <v>0</v>
      </c>
      <c r="L205" s="2106">
        <f t="shared" si="111"/>
        <v>0</v>
      </c>
      <c r="M205" s="1365">
        <f t="shared" si="112"/>
        <v>0</v>
      </c>
      <c r="N205" s="2106">
        <f t="shared" si="114"/>
        <v>0</v>
      </c>
      <c r="O205" s="2106">
        <f t="shared" si="113"/>
        <v>0</v>
      </c>
      <c r="P205" s="3179"/>
      <c r="Q205" s="2420"/>
      <c r="R205" s="2400">
        <f t="shared" si="105"/>
        <v>0</v>
      </c>
      <c r="S205" s="1365">
        <f t="shared" si="106"/>
        <v>0</v>
      </c>
      <c r="T205" s="2106">
        <f t="shared" si="107"/>
        <v>0</v>
      </c>
      <c r="U205" s="2106">
        <f t="shared" si="108"/>
        <v>0</v>
      </c>
      <c r="V205" s="2106"/>
      <c r="W205" s="2437"/>
      <c r="X205" s="2452"/>
      <c r="Z205" s="199"/>
      <c r="AC205" s="2106"/>
      <c r="AD205" s="1011"/>
      <c r="AE205" s="172">
        <f t="shared" si="115"/>
        <v>0</v>
      </c>
      <c r="AG205" s="2106">
        <f t="shared" si="116"/>
        <v>0</v>
      </c>
    </row>
    <row r="206" spans="1:33" s="203" customFormat="1" hidden="1">
      <c r="A206" s="2685"/>
      <c r="B206" s="2132" t="s">
        <v>922</v>
      </c>
      <c r="C206" s="2103" t="s">
        <v>512</v>
      </c>
      <c r="D206" s="2103" t="s">
        <v>568</v>
      </c>
      <c r="E206" s="2103" t="s">
        <v>754</v>
      </c>
      <c r="F206" s="2103" t="s">
        <v>534</v>
      </c>
      <c r="G206" s="2098">
        <v>9990001</v>
      </c>
      <c r="H206" s="2127" t="s">
        <v>923</v>
      </c>
      <c r="I206" s="2106">
        <f>11000000</f>
        <v>11000000</v>
      </c>
      <c r="J206" s="2575">
        <v>8479212</v>
      </c>
      <c r="K206" s="2236">
        <v>9000000</v>
      </c>
      <c r="L206" s="2106">
        <f t="shared" si="111"/>
        <v>9000000</v>
      </c>
      <c r="M206" s="1365">
        <f t="shared" si="112"/>
        <v>9000000</v>
      </c>
      <c r="N206" s="2106">
        <f>+M206+9908008+526667</f>
        <v>19434675</v>
      </c>
      <c r="O206" s="2106">
        <f t="shared" si="113"/>
        <v>19434675</v>
      </c>
      <c r="P206" s="3172">
        <f>3411524-3411524+18888008+20000+526667</f>
        <v>19434675</v>
      </c>
      <c r="Q206" s="2420">
        <f>+P206/N206</f>
        <v>1</v>
      </c>
      <c r="R206" s="2400">
        <f t="shared" si="105"/>
        <v>0</v>
      </c>
      <c r="S206" s="1365">
        <f t="shared" si="106"/>
        <v>0</v>
      </c>
      <c r="T206" s="2106">
        <f t="shared" si="107"/>
        <v>10434675</v>
      </c>
      <c r="U206" s="2106">
        <f t="shared" si="108"/>
        <v>0</v>
      </c>
      <c r="V206" s="2106"/>
      <c r="W206" s="2437"/>
      <c r="X206" s="2452"/>
      <c r="Z206" s="1209">
        <f>48581+2430147+548139+15711+1723359+3420233</f>
        <v>8186170</v>
      </c>
      <c r="AC206" s="2419"/>
      <c r="AD206" s="2656">
        <v>8479212</v>
      </c>
      <c r="AE206" s="172">
        <f t="shared" si="115"/>
        <v>0</v>
      </c>
      <c r="AG206" s="2419">
        <f t="shared" si="116"/>
        <v>0</v>
      </c>
    </row>
    <row r="207" spans="1:33" s="174" customFormat="1" ht="13.5" hidden="1">
      <c r="A207" s="2683"/>
      <c r="B207" s="2110" t="s">
        <v>162</v>
      </c>
      <c r="C207" s="1426"/>
      <c r="D207" s="2108"/>
      <c r="E207" s="2108"/>
      <c r="F207" s="2110"/>
      <c r="G207" s="2110"/>
      <c r="H207" s="2095"/>
      <c r="I207" s="1701">
        <f>I206</f>
        <v>11000000</v>
      </c>
      <c r="J207" s="2576">
        <f t="shared" ref="J207:P207" si="117">J206</f>
        <v>8479212</v>
      </c>
      <c r="K207" s="2325">
        <f t="shared" si="117"/>
        <v>9000000</v>
      </c>
      <c r="L207" s="2139">
        <f t="shared" si="117"/>
        <v>9000000</v>
      </c>
      <c r="M207" s="1701">
        <f t="shared" si="117"/>
        <v>9000000</v>
      </c>
      <c r="N207" s="1701">
        <f t="shared" si="117"/>
        <v>19434675</v>
      </c>
      <c r="O207" s="1701">
        <f t="shared" si="117"/>
        <v>19434675</v>
      </c>
      <c r="P207" s="2617">
        <f t="shared" si="117"/>
        <v>19434675</v>
      </c>
      <c r="Q207" s="2411">
        <f>+P207/N207</f>
        <v>1</v>
      </c>
      <c r="R207" s="2406">
        <f t="shared" si="105"/>
        <v>0</v>
      </c>
      <c r="S207" s="1701">
        <f t="shared" si="106"/>
        <v>0</v>
      </c>
      <c r="T207" s="1701">
        <f t="shared" si="107"/>
        <v>10434675</v>
      </c>
      <c r="U207" s="1701">
        <f t="shared" si="108"/>
        <v>0</v>
      </c>
      <c r="V207" s="1701"/>
      <c r="W207" s="2438"/>
      <c r="X207" s="2452"/>
      <c r="Z207" s="209">
        <f>Z206</f>
        <v>8186170</v>
      </c>
      <c r="AC207" s="1701"/>
      <c r="AD207" s="1025"/>
      <c r="AE207" s="172"/>
      <c r="AF207" s="172"/>
      <c r="AG207" s="1701">
        <f t="shared" si="116"/>
        <v>0</v>
      </c>
    </row>
    <row r="208" spans="1:33" hidden="1">
      <c r="A208" s="2683"/>
      <c r="B208" s="2097" t="s">
        <v>924</v>
      </c>
      <c r="C208" s="1541"/>
      <c r="D208" s="2098"/>
      <c r="E208" s="2098"/>
      <c r="F208" s="2097"/>
      <c r="G208" s="2097"/>
      <c r="H208" s="2099" t="s">
        <v>925</v>
      </c>
      <c r="I208" s="1365">
        <v>0</v>
      </c>
      <c r="J208" s="2575">
        <v>0</v>
      </c>
      <c r="K208" s="2321">
        <v>0</v>
      </c>
      <c r="L208" s="1365">
        <f t="shared" ref="L208:O210" si="118">+K208</f>
        <v>0</v>
      </c>
      <c r="M208" s="1365">
        <f t="shared" si="118"/>
        <v>0</v>
      </c>
      <c r="N208" s="1365">
        <f t="shared" si="118"/>
        <v>0</v>
      </c>
      <c r="O208" s="1365">
        <f t="shared" si="118"/>
        <v>0</v>
      </c>
      <c r="P208" s="2618">
        <v>0</v>
      </c>
      <c r="Q208" s="2409"/>
      <c r="R208" s="2399">
        <f t="shared" si="105"/>
        <v>0</v>
      </c>
      <c r="S208" s="1365">
        <f t="shared" si="106"/>
        <v>0</v>
      </c>
      <c r="T208" s="1701">
        <f t="shared" si="107"/>
        <v>0</v>
      </c>
      <c r="U208" s="1701">
        <f t="shared" si="108"/>
        <v>0</v>
      </c>
      <c r="V208" s="1701"/>
      <c r="W208" s="2438"/>
      <c r="X208" s="2452"/>
      <c r="Z208" s="192">
        <v>0</v>
      </c>
      <c r="AC208" s="1365"/>
      <c r="AD208" s="1014">
        <v>0</v>
      </c>
      <c r="AE208" s="172">
        <f t="shared" si="115"/>
        <v>0</v>
      </c>
      <c r="AG208" s="1365">
        <f t="shared" si="116"/>
        <v>0</v>
      </c>
    </row>
    <row r="209" spans="1:37" hidden="1">
      <c r="A209" s="2683"/>
      <c r="B209" s="2097" t="s">
        <v>926</v>
      </c>
      <c r="C209" s="1541"/>
      <c r="D209" s="2098"/>
      <c r="E209" s="2098"/>
      <c r="F209" s="2097"/>
      <c r="G209" s="2097"/>
      <c r="H209" s="2099" t="s">
        <v>927</v>
      </c>
      <c r="I209" s="1365">
        <v>0</v>
      </c>
      <c r="J209" s="2575">
        <v>1723359</v>
      </c>
      <c r="K209" s="2321">
        <v>0</v>
      </c>
      <c r="L209" s="1365">
        <f t="shared" si="118"/>
        <v>0</v>
      </c>
      <c r="M209" s="1365">
        <f t="shared" si="118"/>
        <v>0</v>
      </c>
      <c r="N209" s="1365">
        <f t="shared" si="118"/>
        <v>0</v>
      </c>
      <c r="O209" s="1365">
        <f t="shared" si="118"/>
        <v>0</v>
      </c>
      <c r="P209" s="2618">
        <v>0</v>
      </c>
      <c r="Q209" s="2409"/>
      <c r="R209" s="2399">
        <f t="shared" si="105"/>
        <v>0</v>
      </c>
      <c r="S209" s="1365">
        <f t="shared" si="106"/>
        <v>0</v>
      </c>
      <c r="T209" s="1701">
        <f t="shared" si="107"/>
        <v>0</v>
      </c>
      <c r="U209" s="1701">
        <f t="shared" si="108"/>
        <v>0</v>
      </c>
      <c r="V209" s="1701"/>
      <c r="W209" s="2438"/>
      <c r="X209" s="2452"/>
      <c r="Z209" s="192">
        <v>0</v>
      </c>
      <c r="AC209" s="1365"/>
      <c r="AD209" s="1014">
        <v>1723359</v>
      </c>
      <c r="AE209" s="172">
        <f t="shared" si="115"/>
        <v>0</v>
      </c>
      <c r="AG209" s="1365">
        <f t="shared" si="116"/>
        <v>0</v>
      </c>
    </row>
    <row r="210" spans="1:37" hidden="1">
      <c r="A210" s="2683"/>
      <c r="B210" s="2097" t="s">
        <v>928</v>
      </c>
      <c r="C210" s="1541"/>
      <c r="D210" s="2098"/>
      <c r="E210" s="2098"/>
      <c r="F210" s="2097"/>
      <c r="G210" s="2097"/>
      <c r="H210" s="2099" t="s">
        <v>929</v>
      </c>
      <c r="I210" s="1365">
        <v>0</v>
      </c>
      <c r="J210" s="2575">
        <v>0</v>
      </c>
      <c r="K210" s="2321">
        <v>0</v>
      </c>
      <c r="L210" s="1365">
        <f t="shared" si="118"/>
        <v>0</v>
      </c>
      <c r="M210" s="1365">
        <f t="shared" si="118"/>
        <v>0</v>
      </c>
      <c r="N210" s="1365">
        <f t="shared" si="118"/>
        <v>0</v>
      </c>
      <c r="O210" s="1365">
        <f t="shared" si="118"/>
        <v>0</v>
      </c>
      <c r="P210" s="2618">
        <v>0</v>
      </c>
      <c r="Q210" s="2409"/>
      <c r="R210" s="2399">
        <f t="shared" si="105"/>
        <v>0</v>
      </c>
      <c r="S210" s="1365">
        <f t="shared" si="106"/>
        <v>0</v>
      </c>
      <c r="T210" s="1701">
        <f t="shared" si="107"/>
        <v>0</v>
      </c>
      <c r="U210" s="1701">
        <f t="shared" si="108"/>
        <v>0</v>
      </c>
      <c r="V210" s="1701"/>
      <c r="W210" s="2438"/>
      <c r="X210" s="2452"/>
      <c r="Z210" s="192">
        <v>0</v>
      </c>
      <c r="AC210" s="1365"/>
      <c r="AD210" s="1014">
        <v>0</v>
      </c>
      <c r="AE210" s="172">
        <f t="shared" si="115"/>
        <v>0</v>
      </c>
      <c r="AG210" s="1365">
        <f t="shared" si="116"/>
        <v>0</v>
      </c>
    </row>
    <row r="211" spans="1:37" ht="13.5" customHeight="1">
      <c r="A211" s="3482" t="s">
        <v>4045</v>
      </c>
      <c r="B211" s="2110" t="s">
        <v>162</v>
      </c>
      <c r="C211" s="1426"/>
      <c r="D211" s="2108"/>
      <c r="E211" s="2108"/>
      <c r="F211" s="2110"/>
      <c r="G211" s="2110"/>
      <c r="H211" s="2095" t="s">
        <v>918</v>
      </c>
      <c r="I211" s="1701">
        <f>+I200+I201+I202+I207+I208+I209+I210</f>
        <v>639345000</v>
      </c>
      <c r="J211" s="2576">
        <f t="shared" ref="J211:P211" si="119">+J200+J201+J202+J207+J208+J209+J210</f>
        <v>360879896</v>
      </c>
      <c r="K211" s="2325">
        <f t="shared" si="119"/>
        <v>9000000</v>
      </c>
      <c r="L211" s="1701">
        <f t="shared" si="119"/>
        <v>9000000</v>
      </c>
      <c r="M211" s="1701">
        <f t="shared" si="119"/>
        <v>9000000</v>
      </c>
      <c r="N211" s="1701">
        <f t="shared" si="119"/>
        <v>23090055</v>
      </c>
      <c r="O211" s="1701">
        <f t="shared" si="119"/>
        <v>23090055</v>
      </c>
      <c r="P211" s="2617">
        <f t="shared" si="119"/>
        <v>23090055</v>
      </c>
      <c r="Q211" s="2411">
        <f>+P211/N211</f>
        <v>1</v>
      </c>
      <c r="R211" s="2401">
        <f t="shared" si="105"/>
        <v>0</v>
      </c>
      <c r="S211" s="1701">
        <f t="shared" si="106"/>
        <v>0</v>
      </c>
      <c r="T211" s="1701">
        <f t="shared" si="107"/>
        <v>14090055</v>
      </c>
      <c r="U211" s="1701">
        <f t="shared" si="108"/>
        <v>0</v>
      </c>
      <c r="V211" s="1701"/>
      <c r="W211" s="2438"/>
      <c r="X211" s="2452"/>
      <c r="Z211" s="209">
        <f>+Z200+Z201+Z202+Z207+Z208+Z209+Z210</f>
        <v>158541655</v>
      </c>
      <c r="AC211" s="1701">
        <v>24074852</v>
      </c>
      <c r="AD211" s="1025">
        <v>8479212</v>
      </c>
      <c r="AE211" s="172">
        <f>+J211-AD211</f>
        <v>352400684</v>
      </c>
      <c r="AF211" s="172">
        <f>+P211+P212+P213-AC211</f>
        <v>0</v>
      </c>
      <c r="AG211" s="1701">
        <f t="shared" si="116"/>
        <v>0</v>
      </c>
    </row>
    <row r="212" spans="1:37" hidden="1">
      <c r="A212" s="2683"/>
      <c r="B212" s="2110" t="s">
        <v>930</v>
      </c>
      <c r="C212" s="1541" t="s">
        <v>736</v>
      </c>
      <c r="D212" s="2098" t="s">
        <v>931</v>
      </c>
      <c r="E212" s="2108">
        <v>2</v>
      </c>
      <c r="F212" s="2103" t="s">
        <v>751</v>
      </c>
      <c r="G212" s="2098">
        <v>6800011</v>
      </c>
      <c r="H212" s="2099" t="s">
        <v>932</v>
      </c>
      <c r="I212" s="1701">
        <f>2000000</f>
        <v>2000000</v>
      </c>
      <c r="J212" s="2576">
        <v>2461841</v>
      </c>
      <c r="K212" s="2325">
        <v>2554000</v>
      </c>
      <c r="L212" s="1701">
        <f t="shared" ref="L212:O216" si="120">+K212</f>
        <v>2554000</v>
      </c>
      <c r="M212" s="1701">
        <f t="shared" si="120"/>
        <v>2554000</v>
      </c>
      <c r="N212" s="1701">
        <f>+M212-1609212</f>
        <v>944788</v>
      </c>
      <c r="O212" s="1701">
        <f t="shared" si="120"/>
        <v>944788</v>
      </c>
      <c r="P212" s="3175">
        <f>943861-100+27+1000</f>
        <v>944788</v>
      </c>
      <c r="Q212" s="2411">
        <f>+P212/N212</f>
        <v>1</v>
      </c>
      <c r="R212" s="2401">
        <f t="shared" si="105"/>
        <v>0</v>
      </c>
      <c r="S212" s="1701">
        <f t="shared" si="106"/>
        <v>0</v>
      </c>
      <c r="T212" s="1701">
        <f t="shared" si="107"/>
        <v>-1609212</v>
      </c>
      <c r="U212" s="1701">
        <f t="shared" si="108"/>
        <v>0</v>
      </c>
      <c r="V212" s="1701"/>
      <c r="W212" s="2438"/>
      <c r="X212" s="2452"/>
      <c r="Z212" s="225">
        <f>18239+2008315</f>
        <v>2026554</v>
      </c>
      <c r="AC212" s="2410"/>
      <c r="AD212" s="2652">
        <v>2461841</v>
      </c>
      <c r="AE212" s="172">
        <f t="shared" si="115"/>
        <v>0</v>
      </c>
      <c r="AG212" s="2410">
        <f t="shared" si="116"/>
        <v>0</v>
      </c>
    </row>
    <row r="213" spans="1:37" hidden="1">
      <c r="A213" s="2683"/>
      <c r="B213" s="2097" t="s">
        <v>933</v>
      </c>
      <c r="C213" s="1541" t="s">
        <v>512</v>
      </c>
      <c r="D213" s="2098" t="s">
        <v>934</v>
      </c>
      <c r="E213" s="2098">
        <v>2</v>
      </c>
      <c r="F213" s="2103" t="s">
        <v>534</v>
      </c>
      <c r="G213" s="2098">
        <v>9990001</v>
      </c>
      <c r="H213" s="2099" t="s">
        <v>932</v>
      </c>
      <c r="I213" s="1701">
        <f>155000</f>
        <v>155000</v>
      </c>
      <c r="J213" s="2576">
        <v>206476</v>
      </c>
      <c r="K213" s="2325">
        <v>138000</v>
      </c>
      <c r="L213" s="1701">
        <f t="shared" si="120"/>
        <v>138000</v>
      </c>
      <c r="M213" s="1701">
        <f t="shared" si="120"/>
        <v>138000</v>
      </c>
      <c r="N213" s="1701">
        <f>+M213-97991</f>
        <v>40009</v>
      </c>
      <c r="O213" s="1701">
        <f t="shared" si="120"/>
        <v>40009</v>
      </c>
      <c r="P213" s="3175">
        <f>15000+25009</f>
        <v>40009</v>
      </c>
      <c r="Q213" s="2411">
        <f>+P213/N213</f>
        <v>1</v>
      </c>
      <c r="R213" s="2401">
        <f t="shared" si="105"/>
        <v>0</v>
      </c>
      <c r="S213" s="1701">
        <f t="shared" si="106"/>
        <v>0</v>
      </c>
      <c r="T213" s="1701">
        <f t="shared" si="107"/>
        <v>-97991</v>
      </c>
      <c r="U213" s="1701">
        <f t="shared" si="108"/>
        <v>0</v>
      </c>
      <c r="V213" s="1701"/>
      <c r="W213" s="2438"/>
      <c r="X213" s="2452"/>
      <c r="Z213" s="225">
        <v>116661</v>
      </c>
      <c r="AC213" s="2410"/>
      <c r="AD213" s="2652">
        <v>206476</v>
      </c>
      <c r="AE213" s="172">
        <f t="shared" si="115"/>
        <v>0</v>
      </c>
      <c r="AG213" s="2410">
        <f t="shared" si="116"/>
        <v>0</v>
      </c>
    </row>
    <row r="214" spans="1:37" hidden="1">
      <c r="A214" s="2683"/>
      <c r="B214" s="2097" t="s">
        <v>935</v>
      </c>
      <c r="C214" s="1541"/>
      <c r="D214" s="2098"/>
      <c r="E214" s="2098"/>
      <c r="F214" s="2097"/>
      <c r="G214" s="2097"/>
      <c r="H214" s="2099" t="s">
        <v>936</v>
      </c>
      <c r="I214" s="1701">
        <v>0</v>
      </c>
      <c r="J214" s="2576">
        <v>0</v>
      </c>
      <c r="K214" s="2325">
        <v>0</v>
      </c>
      <c r="L214" s="1701">
        <f t="shared" si="120"/>
        <v>0</v>
      </c>
      <c r="M214" s="1701">
        <f t="shared" si="120"/>
        <v>0</v>
      </c>
      <c r="N214" s="1701">
        <f t="shared" si="120"/>
        <v>0</v>
      </c>
      <c r="O214" s="1701">
        <f t="shared" si="120"/>
        <v>0</v>
      </c>
      <c r="P214" s="2617">
        <v>0</v>
      </c>
      <c r="Q214" s="2411"/>
      <c r="R214" s="2401">
        <f t="shared" si="105"/>
        <v>0</v>
      </c>
      <c r="S214" s="1701">
        <f t="shared" si="106"/>
        <v>0</v>
      </c>
      <c r="T214" s="1701">
        <f t="shared" si="107"/>
        <v>0</v>
      </c>
      <c r="U214" s="1701">
        <f t="shared" si="108"/>
        <v>0</v>
      </c>
      <c r="V214" s="1701"/>
      <c r="W214" s="2438"/>
      <c r="X214" s="2452"/>
      <c r="Z214" s="209">
        <v>0</v>
      </c>
      <c r="AC214" s="1701"/>
      <c r="AD214" s="1025">
        <v>0</v>
      </c>
      <c r="AE214" s="172">
        <f t="shared" si="115"/>
        <v>0</v>
      </c>
      <c r="AG214" s="1701">
        <f t="shared" si="116"/>
        <v>0</v>
      </c>
    </row>
    <row r="215" spans="1:37" hidden="1">
      <c r="A215" s="2683"/>
      <c r="B215" s="2097" t="s">
        <v>937</v>
      </c>
      <c r="C215" s="1541" t="s">
        <v>736</v>
      </c>
      <c r="D215" s="2098" t="s">
        <v>938</v>
      </c>
      <c r="E215" s="2108">
        <v>2</v>
      </c>
      <c r="F215" s="2103" t="s">
        <v>751</v>
      </c>
      <c r="G215" s="2098">
        <v>6800011</v>
      </c>
      <c r="H215" s="2099" t="s">
        <v>939</v>
      </c>
      <c r="I215" s="1701">
        <v>0</v>
      </c>
      <c r="J215" s="2576">
        <v>0</v>
      </c>
      <c r="K215" s="2325">
        <v>0</v>
      </c>
      <c r="L215" s="1701">
        <f t="shared" si="120"/>
        <v>0</v>
      </c>
      <c r="M215" s="1701">
        <f t="shared" si="120"/>
        <v>0</v>
      </c>
      <c r="N215" s="1701">
        <f t="shared" si="120"/>
        <v>0</v>
      </c>
      <c r="O215" s="1701">
        <f t="shared" si="120"/>
        <v>0</v>
      </c>
      <c r="P215" s="3175"/>
      <c r="Q215" s="2411"/>
      <c r="R215" s="2401">
        <f t="shared" si="105"/>
        <v>0</v>
      </c>
      <c r="S215" s="1701">
        <f t="shared" si="106"/>
        <v>0</v>
      </c>
      <c r="T215" s="1701">
        <f t="shared" si="107"/>
        <v>0</v>
      </c>
      <c r="U215" s="1701">
        <f t="shared" si="108"/>
        <v>0</v>
      </c>
      <c r="V215" s="1701"/>
      <c r="W215" s="2438"/>
      <c r="X215" s="2452"/>
      <c r="Z215" s="225"/>
      <c r="AC215" s="2410"/>
      <c r="AD215" s="2652"/>
      <c r="AE215" s="172">
        <f t="shared" si="115"/>
        <v>0</v>
      </c>
      <c r="AG215" s="2410">
        <f t="shared" si="116"/>
        <v>0</v>
      </c>
    </row>
    <row r="216" spans="1:37" hidden="1">
      <c r="A216" s="2683"/>
      <c r="B216" s="2097" t="s">
        <v>928</v>
      </c>
      <c r="C216" s="1541"/>
      <c r="D216" s="2098"/>
      <c r="E216" s="2098"/>
      <c r="F216" s="2097"/>
      <c r="G216" s="2097"/>
      <c r="H216" s="2099" t="s">
        <v>940</v>
      </c>
      <c r="I216" s="1701">
        <v>0</v>
      </c>
      <c r="J216" s="2576">
        <v>0</v>
      </c>
      <c r="K216" s="2325">
        <v>0</v>
      </c>
      <c r="L216" s="1701">
        <f t="shared" si="120"/>
        <v>0</v>
      </c>
      <c r="M216" s="1701">
        <f t="shared" si="120"/>
        <v>0</v>
      </c>
      <c r="N216" s="1701">
        <f t="shared" si="120"/>
        <v>0</v>
      </c>
      <c r="O216" s="1701">
        <f t="shared" si="120"/>
        <v>0</v>
      </c>
      <c r="P216" s="2617">
        <v>0</v>
      </c>
      <c r="Q216" s="2411"/>
      <c r="R216" s="2401">
        <f t="shared" si="105"/>
        <v>0</v>
      </c>
      <c r="S216" s="1701">
        <f t="shared" si="106"/>
        <v>0</v>
      </c>
      <c r="T216" s="1701">
        <f t="shared" si="107"/>
        <v>0</v>
      </c>
      <c r="U216" s="1701">
        <f t="shared" si="108"/>
        <v>0</v>
      </c>
      <c r="V216" s="1701"/>
      <c r="W216" s="2438"/>
      <c r="X216" s="2452"/>
      <c r="Z216" s="209">
        <v>0</v>
      </c>
      <c r="AC216" s="1701"/>
      <c r="AD216" s="1025">
        <v>0</v>
      </c>
      <c r="AE216" s="172">
        <f t="shared" si="115"/>
        <v>0</v>
      </c>
      <c r="AG216" s="1701">
        <f t="shared" si="116"/>
        <v>0</v>
      </c>
    </row>
    <row r="217" spans="1:37">
      <c r="A217" s="2683" t="s">
        <v>944</v>
      </c>
      <c r="B217" s="2110" t="s">
        <v>928</v>
      </c>
      <c r="C217" s="1426"/>
      <c r="D217" s="2108"/>
      <c r="E217" s="2108"/>
      <c r="F217" s="2110"/>
      <c r="G217" s="2110"/>
      <c r="H217" s="2095" t="s">
        <v>941</v>
      </c>
      <c r="I217" s="1701">
        <f>SUM(I212:I216)</f>
        <v>2155000</v>
      </c>
      <c r="J217" s="2576">
        <f t="shared" ref="J217:P217" si="121">SUM(J212:J216)</f>
        <v>2668317</v>
      </c>
      <c r="K217" s="2325">
        <f t="shared" si="121"/>
        <v>2692000</v>
      </c>
      <c r="L217" s="1701">
        <f t="shared" si="121"/>
        <v>2692000</v>
      </c>
      <c r="M217" s="1701">
        <f t="shared" si="121"/>
        <v>2692000</v>
      </c>
      <c r="N217" s="1701">
        <f t="shared" si="121"/>
        <v>984797</v>
      </c>
      <c r="O217" s="1701">
        <f t="shared" si="121"/>
        <v>984797</v>
      </c>
      <c r="P217" s="2617">
        <f t="shared" si="121"/>
        <v>984797</v>
      </c>
      <c r="Q217" s="2411">
        <f>+P217/N217</f>
        <v>1</v>
      </c>
      <c r="R217" s="2401">
        <f t="shared" si="105"/>
        <v>0</v>
      </c>
      <c r="S217" s="1701">
        <f t="shared" si="106"/>
        <v>0</v>
      </c>
      <c r="T217" s="1701">
        <f t="shared" si="107"/>
        <v>-1707203</v>
      </c>
      <c r="U217" s="1701">
        <f t="shared" si="108"/>
        <v>0</v>
      </c>
      <c r="V217" s="1701"/>
      <c r="W217" s="2438"/>
      <c r="X217" s="2452"/>
      <c r="Z217" s="209">
        <f>SUM(Z212:Z216)</f>
        <v>2143215</v>
      </c>
      <c r="AC217" s="1701"/>
      <c r="AD217" s="1025">
        <v>2668317</v>
      </c>
      <c r="AE217" s="172">
        <f t="shared" si="115"/>
        <v>0</v>
      </c>
      <c r="AG217" s="1701">
        <f t="shared" si="116"/>
        <v>0</v>
      </c>
    </row>
    <row r="218" spans="1:37" ht="37.5">
      <c r="A218" s="2683" t="s">
        <v>947</v>
      </c>
      <c r="B218" s="3166" t="s">
        <v>4046</v>
      </c>
      <c r="C218" s="2121"/>
      <c r="D218" s="2122"/>
      <c r="E218" s="2122"/>
      <c r="F218" s="2120"/>
      <c r="G218" s="2120"/>
      <c r="H218" s="2121" t="s">
        <v>943</v>
      </c>
      <c r="I218" s="2123">
        <f>+I104+I119+I130+I186+I189+I190+I198+I199+I211+I217</f>
        <v>1647610329</v>
      </c>
      <c r="J218" s="2577">
        <f t="shared" ref="J218:P218" si="122">+J104+J119+J130+J186+J189+J190+J198+J199+J211+J217</f>
        <v>1206071664</v>
      </c>
      <c r="K218" s="2326">
        <f t="shared" si="122"/>
        <v>793416681</v>
      </c>
      <c r="L218" s="2123">
        <f t="shared" si="122"/>
        <v>813416681</v>
      </c>
      <c r="M218" s="2123">
        <f t="shared" si="122"/>
        <v>832642128</v>
      </c>
      <c r="N218" s="2123">
        <f t="shared" si="122"/>
        <v>768623344</v>
      </c>
      <c r="O218" s="2123">
        <f t="shared" si="122"/>
        <v>768623344</v>
      </c>
      <c r="P218" s="3177">
        <f t="shared" si="122"/>
        <v>768623344</v>
      </c>
      <c r="Q218" s="2415">
        <f>+P218/N218</f>
        <v>1</v>
      </c>
      <c r="R218" s="2402">
        <f>+R104+R119+R130+R186+R189+R190+R198+R199+R211+R217</f>
        <v>20000000</v>
      </c>
      <c r="S218" s="2123">
        <f t="shared" si="106"/>
        <v>19225447</v>
      </c>
      <c r="T218" s="2123">
        <f t="shared" si="107"/>
        <v>-64018784</v>
      </c>
      <c r="U218" s="2123">
        <f t="shared" si="108"/>
        <v>0</v>
      </c>
      <c r="V218" s="2123"/>
      <c r="W218" s="2440"/>
      <c r="X218" s="2452"/>
      <c r="Z218" s="222">
        <f>+Z104+Z119+Z130+Z186+Z189+Z190+Z198+Z199+Z211+Z217</f>
        <v>909575298</v>
      </c>
      <c r="AA218" s="172"/>
      <c r="AC218" s="2414">
        <v>768623344</v>
      </c>
      <c r="AD218" s="1096">
        <v>1206071664</v>
      </c>
      <c r="AE218" s="172">
        <f t="shared" si="115"/>
        <v>0</v>
      </c>
      <c r="AF218" s="2414">
        <f>+P218-AC218</f>
        <v>0</v>
      </c>
      <c r="AG218" s="2414">
        <f t="shared" si="116"/>
        <v>0</v>
      </c>
      <c r="AH218" s="172">
        <v>79390435</v>
      </c>
      <c r="AI218" s="172">
        <v>64567206</v>
      </c>
      <c r="AJ218" s="172">
        <f>+AH218-AI218</f>
        <v>14823229</v>
      </c>
      <c r="AK218" s="172"/>
    </row>
    <row r="219" spans="1:37" ht="18" hidden="1" customHeight="1">
      <c r="A219" s="2683"/>
      <c r="B219" s="1423"/>
      <c r="C219" s="2095"/>
      <c r="D219" s="1423"/>
      <c r="E219" s="1423"/>
      <c r="F219" s="1423"/>
      <c r="G219" s="1423"/>
      <c r="H219" s="1423"/>
      <c r="I219" s="1423"/>
      <c r="J219" s="2578"/>
      <c r="K219" s="2327"/>
      <c r="L219" s="1423"/>
      <c r="M219" s="1423"/>
      <c r="N219" s="1423"/>
      <c r="O219" s="1423"/>
      <c r="P219" s="2615"/>
      <c r="Q219" s="2416"/>
      <c r="R219" s="2403"/>
      <c r="S219" s="1423"/>
      <c r="T219" s="1423"/>
      <c r="U219" s="1423"/>
      <c r="V219" s="1423"/>
      <c r="W219" s="2433"/>
      <c r="X219" s="2452"/>
      <c r="Z219" s="179"/>
      <c r="AC219" s="1423"/>
      <c r="AD219" s="2654"/>
      <c r="AE219" s="172">
        <f t="shared" si="115"/>
        <v>0</v>
      </c>
      <c r="AG219" s="1423"/>
      <c r="AH219" s="172"/>
      <c r="AI219" s="172"/>
      <c r="AJ219" s="172">
        <f>+változtató!H124</f>
        <v>14823229</v>
      </c>
      <c r="AK219" s="172"/>
    </row>
    <row r="220" spans="1:37" ht="25.5" hidden="1">
      <c r="A220" s="2683"/>
      <c r="B220" s="2097" t="s">
        <v>945</v>
      </c>
      <c r="C220" s="1541"/>
      <c r="D220" s="2098"/>
      <c r="E220" s="2098"/>
      <c r="F220" s="2097"/>
      <c r="G220" s="2097"/>
      <c r="H220" s="1542" t="s">
        <v>946</v>
      </c>
      <c r="I220" s="1365">
        <v>0</v>
      </c>
      <c r="J220" s="2575">
        <v>0</v>
      </c>
      <c r="K220" s="2321">
        <v>0</v>
      </c>
      <c r="L220" s="1365">
        <f t="shared" ref="L220:O223" si="123">+K220</f>
        <v>0</v>
      </c>
      <c r="M220" s="1365">
        <f t="shared" si="123"/>
        <v>0</v>
      </c>
      <c r="N220" s="1365">
        <f t="shared" si="123"/>
        <v>0</v>
      </c>
      <c r="O220" s="1365">
        <f t="shared" si="123"/>
        <v>0</v>
      </c>
      <c r="P220" s="2617">
        <v>0</v>
      </c>
      <c r="Q220" s="2409"/>
      <c r="R220" s="2399">
        <f t="shared" ref="R220:R244" si="124">+L220-K220</f>
        <v>0</v>
      </c>
      <c r="S220" s="1365">
        <f t="shared" ref="S220:S243" si="125">+M220-L220</f>
        <v>0</v>
      </c>
      <c r="T220" s="1701">
        <f t="shared" ref="T220:T244" si="126">+N220-M220</f>
        <v>0</v>
      </c>
      <c r="U220" s="1701">
        <f t="shared" ref="U220:U244" si="127">+O220-N220</f>
        <v>0</v>
      </c>
      <c r="V220" s="1701"/>
      <c r="W220" s="2438"/>
      <c r="X220" s="2452"/>
      <c r="Z220" s="209">
        <v>0</v>
      </c>
      <c r="AC220" s="1701"/>
      <c r="AD220" s="1025">
        <v>0</v>
      </c>
      <c r="AE220" s="172">
        <f t="shared" si="115"/>
        <v>0</v>
      </c>
      <c r="AG220" s="1701">
        <f t="shared" si="116"/>
        <v>0</v>
      </c>
      <c r="AH220" s="172"/>
      <c r="AI220" s="172"/>
      <c r="AJ220" s="172">
        <f>+AJ219-AJ218</f>
        <v>0</v>
      </c>
      <c r="AK220" s="172"/>
    </row>
    <row r="221" spans="1:37" ht="30" customHeight="1">
      <c r="A221" s="2684" t="s">
        <v>959</v>
      </c>
      <c r="B221" s="2097" t="s">
        <v>4026</v>
      </c>
      <c r="C221" s="1541" t="s">
        <v>512</v>
      </c>
      <c r="D221" s="1541" t="s">
        <v>948</v>
      </c>
      <c r="E221" s="1541" t="s">
        <v>738</v>
      </c>
      <c r="F221" s="1541" t="s">
        <v>534</v>
      </c>
      <c r="G221" s="1541">
        <v>9990001</v>
      </c>
      <c r="H221" s="1542" t="s">
        <v>949</v>
      </c>
      <c r="I221" s="1365">
        <f>15000000</f>
        <v>15000000</v>
      </c>
      <c r="J221" s="2575">
        <v>15000000</v>
      </c>
      <c r="K221" s="2321">
        <f>15000000</f>
        <v>15000000</v>
      </c>
      <c r="L221" s="1365">
        <f t="shared" si="123"/>
        <v>15000000</v>
      </c>
      <c r="M221" s="1365">
        <f t="shared" si="123"/>
        <v>15000000</v>
      </c>
      <c r="N221" s="1365">
        <f t="shared" si="123"/>
        <v>15000000</v>
      </c>
      <c r="O221" s="1365">
        <f t="shared" si="123"/>
        <v>15000000</v>
      </c>
      <c r="P221" s="3170">
        <f>15000000</f>
        <v>15000000</v>
      </c>
      <c r="Q221" s="2409">
        <f>+P221/N221</f>
        <v>1</v>
      </c>
      <c r="R221" s="2399">
        <f t="shared" si="124"/>
        <v>0</v>
      </c>
      <c r="S221" s="1365">
        <f t="shared" si="125"/>
        <v>0</v>
      </c>
      <c r="T221" s="1365">
        <f t="shared" si="126"/>
        <v>0</v>
      </c>
      <c r="U221" s="1365">
        <f t="shared" si="127"/>
        <v>0</v>
      </c>
      <c r="V221" s="1365"/>
      <c r="W221" s="2435"/>
      <c r="X221" s="2452"/>
      <c r="Z221" s="1207"/>
      <c r="AC221" s="2408"/>
      <c r="AD221" s="2651">
        <v>15000000</v>
      </c>
      <c r="AE221" s="172">
        <f t="shared" si="115"/>
        <v>0</v>
      </c>
      <c r="AG221" s="2408">
        <f t="shared" si="116"/>
        <v>0</v>
      </c>
    </row>
    <row r="222" spans="1:37" ht="25.5" hidden="1">
      <c r="A222" s="2684"/>
      <c r="B222" s="2097" t="s">
        <v>3392</v>
      </c>
      <c r="C222" s="1541"/>
      <c r="D222" s="1541" t="s">
        <v>3190</v>
      </c>
      <c r="E222" s="1541"/>
      <c r="F222" s="1541"/>
      <c r="G222" s="1541"/>
      <c r="H222" s="1542"/>
      <c r="I222" s="1365">
        <f>0</f>
        <v>0</v>
      </c>
      <c r="J222" s="2575">
        <v>0</v>
      </c>
      <c r="K222" s="2321">
        <f>0</f>
        <v>0</v>
      </c>
      <c r="L222" s="1365">
        <f>+K222</f>
        <v>0</v>
      </c>
      <c r="M222" s="1365">
        <f>+L222</f>
        <v>0</v>
      </c>
      <c r="N222" s="1365">
        <f>+M222</f>
        <v>0</v>
      </c>
      <c r="O222" s="1365">
        <f>+N222</f>
        <v>0</v>
      </c>
      <c r="P222" s="3170">
        <v>0</v>
      </c>
      <c r="Q222" s="2409"/>
      <c r="R222" s="2399">
        <f>+L222-K222</f>
        <v>0</v>
      </c>
      <c r="S222" s="1365">
        <f>+M222-L222</f>
        <v>0</v>
      </c>
      <c r="T222" s="1365">
        <f>+N222-M222</f>
        <v>0</v>
      </c>
      <c r="U222" s="1365">
        <f>+O222-N222</f>
        <v>0</v>
      </c>
      <c r="V222" s="1365"/>
      <c r="W222" s="2435"/>
      <c r="X222" s="2452"/>
      <c r="Z222" s="1207">
        <v>0</v>
      </c>
      <c r="AC222" s="2408"/>
      <c r="AD222" s="2651">
        <v>0</v>
      </c>
      <c r="AE222" s="172">
        <f t="shared" si="115"/>
        <v>0</v>
      </c>
      <c r="AG222" s="2408">
        <f t="shared" si="116"/>
        <v>0</v>
      </c>
    </row>
    <row r="223" spans="1:37" hidden="1">
      <c r="A223" s="2683"/>
      <c r="B223" s="2097" t="s">
        <v>950</v>
      </c>
      <c r="C223" s="1541"/>
      <c r="D223" s="2098"/>
      <c r="E223" s="2098"/>
      <c r="F223" s="2097"/>
      <c r="G223" s="2097"/>
      <c r="H223" s="1542" t="s">
        <v>951</v>
      </c>
      <c r="I223" s="1701">
        <v>0</v>
      </c>
      <c r="J223" s="2576">
        <v>0</v>
      </c>
      <c r="K223" s="2325">
        <v>0</v>
      </c>
      <c r="L223" s="1701">
        <f t="shared" si="123"/>
        <v>0</v>
      </c>
      <c r="M223" s="1701">
        <f t="shared" si="123"/>
        <v>0</v>
      </c>
      <c r="N223" s="1701">
        <f t="shared" si="123"/>
        <v>0</v>
      </c>
      <c r="O223" s="1701">
        <f t="shared" si="123"/>
        <v>0</v>
      </c>
      <c r="P223" s="2617">
        <v>0</v>
      </c>
      <c r="Q223" s="2411"/>
      <c r="R223" s="2401">
        <f t="shared" si="124"/>
        <v>0</v>
      </c>
      <c r="S223" s="1701">
        <f t="shared" si="125"/>
        <v>0</v>
      </c>
      <c r="T223" s="1701">
        <f t="shared" si="126"/>
        <v>0</v>
      </c>
      <c r="U223" s="1701">
        <f t="shared" si="127"/>
        <v>0</v>
      </c>
      <c r="V223" s="1701"/>
      <c r="W223" s="2438"/>
      <c r="X223" s="2113"/>
      <c r="Z223" s="209">
        <v>0</v>
      </c>
      <c r="AC223" s="1701"/>
      <c r="AD223" s="1025">
        <v>0</v>
      </c>
      <c r="AE223" s="172">
        <f t="shared" si="115"/>
        <v>0</v>
      </c>
      <c r="AG223" s="1701">
        <f t="shared" si="116"/>
        <v>0</v>
      </c>
    </row>
    <row r="224" spans="1:37" ht="25.5">
      <c r="A224" s="2683" t="s">
        <v>998</v>
      </c>
      <c r="B224" s="2110" t="s">
        <v>3411</v>
      </c>
      <c r="C224" s="1426"/>
      <c r="D224" s="2108"/>
      <c r="E224" s="2108"/>
      <c r="F224" s="2107"/>
      <c r="G224" s="2107"/>
      <c r="H224" s="1423" t="s">
        <v>952</v>
      </c>
      <c r="I224" s="1701">
        <f>SUM(I220:I223)</f>
        <v>15000000</v>
      </c>
      <c r="J224" s="2576">
        <f t="shared" ref="J224:P224" si="128">SUM(J220:J223)</f>
        <v>15000000</v>
      </c>
      <c r="K224" s="2325">
        <f t="shared" si="128"/>
        <v>15000000</v>
      </c>
      <c r="L224" s="1701">
        <f t="shared" si="128"/>
        <v>15000000</v>
      </c>
      <c r="M224" s="1701">
        <f t="shared" si="128"/>
        <v>15000000</v>
      </c>
      <c r="N224" s="1701">
        <f t="shared" si="128"/>
        <v>15000000</v>
      </c>
      <c r="O224" s="1701">
        <f t="shared" si="128"/>
        <v>15000000</v>
      </c>
      <c r="P224" s="2617">
        <f t="shared" si="128"/>
        <v>15000000</v>
      </c>
      <c r="Q224" s="2411">
        <f>+P224/N224</f>
        <v>1</v>
      </c>
      <c r="R224" s="2401">
        <f t="shared" si="124"/>
        <v>0</v>
      </c>
      <c r="S224" s="1701">
        <f t="shared" si="125"/>
        <v>0</v>
      </c>
      <c r="T224" s="1701">
        <f t="shared" si="126"/>
        <v>0</v>
      </c>
      <c r="U224" s="1701">
        <f t="shared" si="127"/>
        <v>0</v>
      </c>
      <c r="V224" s="1701"/>
      <c r="W224" s="2438"/>
      <c r="X224" s="2113"/>
      <c r="Z224" s="209">
        <f>SUM(Z220:Z223)</f>
        <v>0</v>
      </c>
      <c r="AC224" s="1701"/>
      <c r="AD224" s="1025">
        <v>15000000</v>
      </c>
      <c r="AE224" s="172">
        <f t="shared" si="115"/>
        <v>0</v>
      </c>
      <c r="AG224" s="1701">
        <f t="shared" si="116"/>
        <v>0</v>
      </c>
    </row>
    <row r="225" spans="1:33">
      <c r="A225" s="2683" t="s">
        <v>1000</v>
      </c>
      <c r="B225" s="2110" t="s">
        <v>953</v>
      </c>
      <c r="C225" s="1426"/>
      <c r="D225" s="2108"/>
      <c r="E225" s="2108"/>
      <c r="F225" s="2110"/>
      <c r="G225" s="2110"/>
      <c r="H225" s="2095" t="s">
        <v>954</v>
      </c>
      <c r="I225" s="1365">
        <f>853713</f>
        <v>853713</v>
      </c>
      <c r="J225" s="2575">
        <v>455000</v>
      </c>
      <c r="K225" s="2321">
        <v>1328120</v>
      </c>
      <c r="L225" s="1365">
        <f>+K225</f>
        <v>1328120</v>
      </c>
      <c r="M225" s="1365">
        <f>+L225</f>
        <v>1328120</v>
      </c>
      <c r="N225" s="1365">
        <f>+M225-419090</f>
        <v>909030</v>
      </c>
      <c r="O225" s="1365">
        <f>+N225</f>
        <v>909030</v>
      </c>
      <c r="P225" s="3170">
        <f>0+909030</f>
        <v>909030</v>
      </c>
      <c r="Q225" s="2409">
        <f>+K225/I225</f>
        <v>1.5556984607239202</v>
      </c>
      <c r="R225" s="2401">
        <f t="shared" si="124"/>
        <v>0</v>
      </c>
      <c r="S225" s="1701">
        <f t="shared" si="125"/>
        <v>0</v>
      </c>
      <c r="T225" s="1701">
        <f t="shared" si="126"/>
        <v>-419090</v>
      </c>
      <c r="U225" s="1701">
        <f t="shared" si="127"/>
        <v>0</v>
      </c>
      <c r="V225" s="1701"/>
      <c r="W225" s="2438"/>
      <c r="X225" s="2450"/>
      <c r="Z225" s="1207">
        <v>345000</v>
      </c>
      <c r="AC225" s="2408"/>
      <c r="AD225" s="2651">
        <v>455000</v>
      </c>
      <c r="AE225" s="172">
        <f t="shared" si="115"/>
        <v>0</v>
      </c>
      <c r="AG225" s="2408">
        <f t="shared" si="116"/>
        <v>0</v>
      </c>
    </row>
    <row r="226" spans="1:33" hidden="1">
      <c r="A226" s="2683"/>
      <c r="B226" s="2110" t="s">
        <v>955</v>
      </c>
      <c r="C226" s="1426"/>
      <c r="D226" s="2108"/>
      <c r="E226" s="2108"/>
      <c r="F226" s="2110"/>
      <c r="G226" s="2110"/>
      <c r="H226" s="2095" t="s">
        <v>956</v>
      </c>
      <c r="I226" s="1701">
        <v>0</v>
      </c>
      <c r="J226" s="2576">
        <v>0</v>
      </c>
      <c r="K226" s="2325">
        <v>0</v>
      </c>
      <c r="L226" s="1701">
        <f t="shared" ref="L226:O227" si="129">+K226</f>
        <v>0</v>
      </c>
      <c r="M226" s="1701">
        <f t="shared" si="129"/>
        <v>0</v>
      </c>
      <c r="N226" s="1701">
        <f t="shared" si="129"/>
        <v>0</v>
      </c>
      <c r="O226" s="1701">
        <f t="shared" si="129"/>
        <v>0</v>
      </c>
      <c r="P226" s="2617">
        <v>0</v>
      </c>
      <c r="Q226" s="2411"/>
      <c r="R226" s="2401">
        <f t="shared" si="124"/>
        <v>0</v>
      </c>
      <c r="S226" s="1701">
        <f t="shared" si="125"/>
        <v>0</v>
      </c>
      <c r="T226" s="1701">
        <f t="shared" si="126"/>
        <v>0</v>
      </c>
      <c r="U226" s="1701">
        <f t="shared" si="127"/>
        <v>0</v>
      </c>
      <c r="V226" s="1701"/>
      <c r="W226" s="2438"/>
      <c r="X226" s="2113"/>
      <c r="Z226" s="209">
        <v>0</v>
      </c>
      <c r="AC226" s="1701"/>
      <c r="AD226" s="1025">
        <v>0</v>
      </c>
      <c r="AE226" s="172">
        <f t="shared" si="115"/>
        <v>0</v>
      </c>
      <c r="AG226" s="1701">
        <f t="shared" si="116"/>
        <v>0</v>
      </c>
    </row>
    <row r="227" spans="1:33" hidden="1">
      <c r="A227" s="2683"/>
      <c r="B227" s="2110" t="s">
        <v>957</v>
      </c>
      <c r="C227" s="1426"/>
      <c r="D227" s="2108"/>
      <c r="E227" s="2108"/>
      <c r="F227" s="2110"/>
      <c r="G227" s="2110"/>
      <c r="H227" s="2095" t="s">
        <v>958</v>
      </c>
      <c r="I227" s="1701">
        <v>0</v>
      </c>
      <c r="J227" s="2576">
        <v>0</v>
      </c>
      <c r="K227" s="2325">
        <v>0</v>
      </c>
      <c r="L227" s="1701">
        <f t="shared" si="129"/>
        <v>0</v>
      </c>
      <c r="M227" s="1701">
        <f t="shared" si="129"/>
        <v>0</v>
      </c>
      <c r="N227" s="1701">
        <f t="shared" si="129"/>
        <v>0</v>
      </c>
      <c r="O227" s="1701">
        <f t="shared" si="129"/>
        <v>0</v>
      </c>
      <c r="P227" s="2617">
        <v>0</v>
      </c>
      <c r="Q227" s="2411"/>
      <c r="R227" s="2401">
        <f t="shared" si="124"/>
        <v>0</v>
      </c>
      <c r="S227" s="1701">
        <f t="shared" si="125"/>
        <v>0</v>
      </c>
      <c r="T227" s="1701">
        <f t="shared" si="126"/>
        <v>0</v>
      </c>
      <c r="U227" s="1701">
        <f t="shared" si="127"/>
        <v>0</v>
      </c>
      <c r="V227" s="1701"/>
      <c r="W227" s="2438"/>
      <c r="X227" s="2113"/>
      <c r="Z227" s="209">
        <v>0</v>
      </c>
      <c r="AC227" s="1701"/>
      <c r="AD227" s="1025">
        <v>0</v>
      </c>
      <c r="AE227" s="172">
        <f t="shared" si="115"/>
        <v>0</v>
      </c>
      <c r="AG227" s="1701">
        <f t="shared" si="116"/>
        <v>0</v>
      </c>
    </row>
    <row r="228" spans="1:33">
      <c r="A228" s="2683" t="s">
        <v>1002</v>
      </c>
      <c r="B228" s="2110" t="s">
        <v>3597</v>
      </c>
      <c r="C228" s="1426"/>
      <c r="D228" s="2108"/>
      <c r="E228" s="2108"/>
      <c r="F228" s="2110"/>
      <c r="G228" s="2110"/>
      <c r="H228" s="2095" t="s">
        <v>960</v>
      </c>
      <c r="I228" s="1701">
        <f>SUM(I224:I227)</f>
        <v>15853713</v>
      </c>
      <c r="J228" s="2576">
        <f t="shared" ref="J228:P228" si="130">SUM(J224:J227)</f>
        <v>15455000</v>
      </c>
      <c r="K228" s="2325">
        <f t="shared" si="130"/>
        <v>16328120</v>
      </c>
      <c r="L228" s="1701">
        <f t="shared" si="130"/>
        <v>16328120</v>
      </c>
      <c r="M228" s="1701">
        <f t="shared" si="130"/>
        <v>16328120</v>
      </c>
      <c r="N228" s="1701">
        <f t="shared" si="130"/>
        <v>15909030</v>
      </c>
      <c r="O228" s="1701">
        <f t="shared" si="130"/>
        <v>15909030</v>
      </c>
      <c r="P228" s="2617">
        <f t="shared" si="130"/>
        <v>15909030</v>
      </c>
      <c r="Q228" s="2411">
        <f>+P228/N228</f>
        <v>1</v>
      </c>
      <c r="R228" s="2401">
        <f t="shared" si="124"/>
        <v>0</v>
      </c>
      <c r="S228" s="1701">
        <f t="shared" si="125"/>
        <v>0</v>
      </c>
      <c r="T228" s="1701">
        <f t="shared" si="126"/>
        <v>-419090</v>
      </c>
      <c r="U228" s="1701">
        <f t="shared" si="127"/>
        <v>0</v>
      </c>
      <c r="V228" s="1701"/>
      <c r="W228" s="2438"/>
      <c r="X228" s="2113"/>
      <c r="Z228" s="209">
        <f>SUM(Z224:Z227)</f>
        <v>345000</v>
      </c>
      <c r="AC228" s="1701"/>
      <c r="AD228" s="1025">
        <v>15455000</v>
      </c>
      <c r="AE228" s="172">
        <f t="shared" si="115"/>
        <v>0</v>
      </c>
      <c r="AG228" s="1701">
        <f t="shared" si="116"/>
        <v>0</v>
      </c>
    </row>
    <row r="229" spans="1:33" ht="15.75" hidden="1">
      <c r="A229" s="2683"/>
      <c r="B229" s="2097" t="s">
        <v>961</v>
      </c>
      <c r="C229" s="1541" t="s">
        <v>512</v>
      </c>
      <c r="D229" s="2098" t="s">
        <v>962</v>
      </c>
      <c r="E229" s="2108">
        <v>2</v>
      </c>
      <c r="F229" s="1541" t="s">
        <v>534</v>
      </c>
      <c r="G229" s="1541">
        <v>9990001</v>
      </c>
      <c r="H229" s="2095" t="s">
        <v>963</v>
      </c>
      <c r="I229" s="1365">
        <v>0</v>
      </c>
      <c r="J229" s="2575">
        <v>0</v>
      </c>
      <c r="K229" s="2321">
        <v>0</v>
      </c>
      <c r="L229" s="1365">
        <f>+K229</f>
        <v>0</v>
      </c>
      <c r="M229" s="1365">
        <f>+L229</f>
        <v>0</v>
      </c>
      <c r="N229" s="1365">
        <f t="shared" ref="N229:N241" si="131">+M229</f>
        <v>0</v>
      </c>
      <c r="O229" s="1365">
        <f t="shared" ref="O229:O241" si="132">+N229</f>
        <v>0</v>
      </c>
      <c r="P229" s="3170">
        <v>0</v>
      </c>
      <c r="Q229" s="2409"/>
      <c r="R229" s="2399">
        <f t="shared" si="124"/>
        <v>0</v>
      </c>
      <c r="S229" s="1365">
        <f t="shared" si="125"/>
        <v>0</v>
      </c>
      <c r="T229" s="2176">
        <f t="shared" si="126"/>
        <v>0</v>
      </c>
      <c r="U229" s="2176">
        <f t="shared" si="127"/>
        <v>0</v>
      </c>
      <c r="V229" s="2176"/>
      <c r="W229" s="2447"/>
      <c r="X229" s="2113"/>
      <c r="Z229" s="1207">
        <v>0</v>
      </c>
      <c r="AC229" s="2408"/>
      <c r="AD229" s="2651">
        <v>0</v>
      </c>
      <c r="AE229" s="172">
        <f t="shared" si="115"/>
        <v>0</v>
      </c>
      <c r="AG229" s="2408">
        <f t="shared" si="116"/>
        <v>0</v>
      </c>
    </row>
    <row r="230" spans="1:33" ht="15.75" hidden="1">
      <c r="A230" s="2684"/>
      <c r="B230" s="2097" t="s">
        <v>964</v>
      </c>
      <c r="C230" s="1541"/>
      <c r="D230" s="2098"/>
      <c r="E230" s="2098"/>
      <c r="F230" s="2097"/>
      <c r="G230" s="2097"/>
      <c r="H230" s="2099" t="s">
        <v>965</v>
      </c>
      <c r="I230" s="1365">
        <v>0</v>
      </c>
      <c r="J230" s="2575">
        <v>0</v>
      </c>
      <c r="K230" s="2321">
        <v>0</v>
      </c>
      <c r="L230" s="1365">
        <f t="shared" ref="L230:L235" si="133">+K230</f>
        <v>0</v>
      </c>
      <c r="M230" s="1365">
        <f t="shared" ref="M230:M235" si="134">+L230</f>
        <v>0</v>
      </c>
      <c r="N230" s="1365">
        <f t="shared" si="131"/>
        <v>0</v>
      </c>
      <c r="O230" s="1365">
        <f t="shared" si="132"/>
        <v>0</v>
      </c>
      <c r="P230" s="2618">
        <v>0</v>
      </c>
      <c r="Q230" s="2409"/>
      <c r="R230" s="2399">
        <f t="shared" si="124"/>
        <v>0</v>
      </c>
      <c r="S230" s="1365">
        <f t="shared" si="125"/>
        <v>0</v>
      </c>
      <c r="T230" s="2176">
        <f t="shared" si="126"/>
        <v>0</v>
      </c>
      <c r="U230" s="2176">
        <f t="shared" si="127"/>
        <v>0</v>
      </c>
      <c r="V230" s="2176"/>
      <c r="W230" s="2447"/>
      <c r="X230" s="2113"/>
      <c r="Z230" s="192">
        <v>0</v>
      </c>
      <c r="AC230" s="1365"/>
      <c r="AD230" s="1014">
        <v>0</v>
      </c>
      <c r="AE230" s="172">
        <f t="shared" si="115"/>
        <v>0</v>
      </c>
      <c r="AG230" s="1365">
        <f t="shared" si="116"/>
        <v>0</v>
      </c>
    </row>
    <row r="231" spans="1:33" hidden="1">
      <c r="A231" s="2684"/>
      <c r="B231" s="2097" t="s">
        <v>966</v>
      </c>
      <c r="C231" s="1541"/>
      <c r="D231" s="2098" t="s">
        <v>967</v>
      </c>
      <c r="E231" s="2098"/>
      <c r="F231" s="2097"/>
      <c r="G231" s="2097"/>
      <c r="H231" s="2099" t="s">
        <v>968</v>
      </c>
      <c r="I231" s="1365">
        <v>0</v>
      </c>
      <c r="J231" s="2575">
        <v>0</v>
      </c>
      <c r="K231" s="2321">
        <v>0</v>
      </c>
      <c r="L231" s="1365">
        <f t="shared" si="133"/>
        <v>0</v>
      </c>
      <c r="M231" s="1365">
        <f t="shared" si="134"/>
        <v>0</v>
      </c>
      <c r="N231" s="1365">
        <f t="shared" si="131"/>
        <v>0</v>
      </c>
      <c r="O231" s="1365">
        <f t="shared" si="132"/>
        <v>0</v>
      </c>
      <c r="P231" s="2618">
        <v>0</v>
      </c>
      <c r="Q231" s="2409"/>
      <c r="R231" s="2399">
        <f t="shared" si="124"/>
        <v>0</v>
      </c>
      <c r="S231" s="1365">
        <f t="shared" si="125"/>
        <v>0</v>
      </c>
      <c r="T231" s="1365">
        <f t="shared" si="126"/>
        <v>0</v>
      </c>
      <c r="U231" s="1365">
        <f t="shared" si="127"/>
        <v>0</v>
      </c>
      <c r="V231" s="1365"/>
      <c r="W231" s="2435"/>
      <c r="X231" s="2113"/>
      <c r="Z231" s="192">
        <v>0</v>
      </c>
      <c r="AC231" s="1365"/>
      <c r="AD231" s="1014">
        <v>0</v>
      </c>
      <c r="AE231" s="172">
        <f t="shared" si="115"/>
        <v>0</v>
      </c>
      <c r="AG231" s="1365">
        <f t="shared" si="116"/>
        <v>0</v>
      </c>
    </row>
    <row r="232" spans="1:33" hidden="1">
      <c r="A232" s="2684"/>
      <c r="B232" s="2097" t="s">
        <v>969</v>
      </c>
      <c r="C232" s="1541"/>
      <c r="D232" s="2098" t="s">
        <v>970</v>
      </c>
      <c r="E232" s="2098"/>
      <c r="F232" s="2097"/>
      <c r="G232" s="2097"/>
      <c r="H232" s="2099" t="s">
        <v>971</v>
      </c>
      <c r="I232" s="1365">
        <v>0</v>
      </c>
      <c r="J232" s="2575">
        <v>0</v>
      </c>
      <c r="K232" s="2321">
        <v>0</v>
      </c>
      <c r="L232" s="1365">
        <f t="shared" si="133"/>
        <v>0</v>
      </c>
      <c r="M232" s="1365">
        <f t="shared" si="134"/>
        <v>0</v>
      </c>
      <c r="N232" s="1365">
        <f t="shared" si="131"/>
        <v>0</v>
      </c>
      <c r="O232" s="1365">
        <f t="shared" si="132"/>
        <v>0</v>
      </c>
      <c r="P232" s="2618">
        <v>0</v>
      </c>
      <c r="Q232" s="2409"/>
      <c r="R232" s="2399">
        <f t="shared" si="124"/>
        <v>0</v>
      </c>
      <c r="S232" s="1365">
        <f t="shared" si="125"/>
        <v>0</v>
      </c>
      <c r="T232" s="1365">
        <f t="shared" si="126"/>
        <v>0</v>
      </c>
      <c r="U232" s="1365">
        <f t="shared" si="127"/>
        <v>0</v>
      </c>
      <c r="V232" s="1365"/>
      <c r="W232" s="2435"/>
      <c r="X232" s="2113"/>
      <c r="Z232" s="192">
        <v>0</v>
      </c>
      <c r="AC232" s="1365"/>
      <c r="AD232" s="1014">
        <v>0</v>
      </c>
      <c r="AE232" s="172">
        <f t="shared" si="115"/>
        <v>0</v>
      </c>
      <c r="AG232" s="1365">
        <f t="shared" si="116"/>
        <v>0</v>
      </c>
    </row>
    <row r="233" spans="1:33" hidden="1">
      <c r="A233" s="2684" t="s">
        <v>972</v>
      </c>
      <c r="B233" s="2097" t="s">
        <v>161</v>
      </c>
      <c r="C233" s="1541" t="s">
        <v>973</v>
      </c>
      <c r="D233" s="2098" t="s">
        <v>974</v>
      </c>
      <c r="E233" s="2098">
        <v>3</v>
      </c>
      <c r="F233" s="1541" t="s">
        <v>975</v>
      </c>
      <c r="G233" s="2098">
        <v>8130001</v>
      </c>
      <c r="H233" s="2099" t="s">
        <v>976</v>
      </c>
      <c r="I233" s="1365">
        <v>0</v>
      </c>
      <c r="J233" s="2575">
        <v>0</v>
      </c>
      <c r="K233" s="2321">
        <v>0</v>
      </c>
      <c r="L233" s="1365">
        <f t="shared" si="133"/>
        <v>0</v>
      </c>
      <c r="M233" s="1365">
        <f t="shared" si="134"/>
        <v>0</v>
      </c>
      <c r="N233" s="1365">
        <f t="shared" si="131"/>
        <v>0</v>
      </c>
      <c r="O233" s="1365">
        <f t="shared" si="132"/>
        <v>0</v>
      </c>
      <c r="P233" s="3170">
        <v>0</v>
      </c>
      <c r="Q233" s="2409"/>
      <c r="R233" s="2399">
        <f t="shared" si="124"/>
        <v>0</v>
      </c>
      <c r="S233" s="1365">
        <f t="shared" si="125"/>
        <v>0</v>
      </c>
      <c r="T233" s="1365">
        <f t="shared" si="126"/>
        <v>0</v>
      </c>
      <c r="U233" s="1365">
        <f t="shared" si="127"/>
        <v>0</v>
      </c>
      <c r="V233" s="1365"/>
      <c r="W233" s="2435"/>
      <c r="X233" s="2113"/>
      <c r="Z233" s="1207">
        <v>0</v>
      </c>
      <c r="AC233" s="2408"/>
      <c r="AD233" s="2651">
        <v>0</v>
      </c>
      <c r="AE233" s="172">
        <f t="shared" si="115"/>
        <v>0</v>
      </c>
      <c r="AG233" s="2408">
        <f t="shared" si="116"/>
        <v>0</v>
      </c>
    </row>
    <row r="234" spans="1:33" hidden="1">
      <c r="A234" s="2684"/>
      <c r="B234" s="2097" t="s">
        <v>977</v>
      </c>
      <c r="C234" s="1541"/>
      <c r="D234" s="2150" t="s">
        <v>1031</v>
      </c>
      <c r="E234" s="2098"/>
      <c r="F234" s="2097"/>
      <c r="G234" s="2097"/>
      <c r="H234" s="2099" t="s">
        <v>978</v>
      </c>
      <c r="I234" s="1365">
        <v>0</v>
      </c>
      <c r="J234" s="2575">
        <v>0</v>
      </c>
      <c r="K234" s="2321">
        <v>0</v>
      </c>
      <c r="L234" s="1365">
        <f t="shared" si="133"/>
        <v>0</v>
      </c>
      <c r="M234" s="1365">
        <f t="shared" si="134"/>
        <v>0</v>
      </c>
      <c r="N234" s="1365">
        <f t="shared" si="131"/>
        <v>0</v>
      </c>
      <c r="O234" s="1365">
        <f t="shared" si="132"/>
        <v>0</v>
      </c>
      <c r="P234" s="3170"/>
      <c r="Q234" s="2409"/>
      <c r="R234" s="2399">
        <f t="shared" si="124"/>
        <v>0</v>
      </c>
      <c r="S234" s="1365">
        <f t="shared" si="125"/>
        <v>0</v>
      </c>
      <c r="T234" s="1365">
        <f t="shared" si="126"/>
        <v>0</v>
      </c>
      <c r="U234" s="1365">
        <f t="shared" si="127"/>
        <v>0</v>
      </c>
      <c r="V234" s="1365"/>
      <c r="W234" s="2435"/>
      <c r="X234" s="2113"/>
      <c r="Z234" s="1207"/>
      <c r="AC234" s="2408"/>
      <c r="AD234" s="2651"/>
      <c r="AE234" s="172">
        <f t="shared" si="115"/>
        <v>0</v>
      </c>
      <c r="AG234" s="2408">
        <f t="shared" si="116"/>
        <v>0</v>
      </c>
    </row>
    <row r="235" spans="1:33" hidden="1">
      <c r="A235" s="2684"/>
      <c r="B235" s="2097" t="s">
        <v>979</v>
      </c>
      <c r="C235" s="1541"/>
      <c r="D235" s="2098" t="s">
        <v>980</v>
      </c>
      <c r="E235" s="2098"/>
      <c r="F235" s="2109"/>
      <c r="G235" s="2109"/>
      <c r="H235" s="2099" t="s">
        <v>981</v>
      </c>
      <c r="I235" s="1365">
        <v>0</v>
      </c>
      <c r="J235" s="2575">
        <v>0</v>
      </c>
      <c r="K235" s="2321">
        <v>0</v>
      </c>
      <c r="L235" s="1365">
        <f t="shared" si="133"/>
        <v>0</v>
      </c>
      <c r="M235" s="1365">
        <f t="shared" si="134"/>
        <v>0</v>
      </c>
      <c r="N235" s="1365">
        <f t="shared" si="131"/>
        <v>0</v>
      </c>
      <c r="O235" s="1365">
        <f t="shared" si="132"/>
        <v>0</v>
      </c>
      <c r="P235" s="2618"/>
      <c r="Q235" s="2409"/>
      <c r="R235" s="2399">
        <f t="shared" si="124"/>
        <v>0</v>
      </c>
      <c r="S235" s="1365">
        <f t="shared" si="125"/>
        <v>0</v>
      </c>
      <c r="T235" s="1365">
        <f t="shared" si="126"/>
        <v>0</v>
      </c>
      <c r="U235" s="1365">
        <f t="shared" si="127"/>
        <v>0</v>
      </c>
      <c r="V235" s="1365"/>
      <c r="W235" s="2435"/>
      <c r="X235" s="2113"/>
      <c r="Z235" s="192"/>
      <c r="AC235" s="1365"/>
      <c r="AD235" s="1014"/>
      <c r="AE235" s="172">
        <f t="shared" si="115"/>
        <v>0</v>
      </c>
      <c r="AG235" s="1365">
        <f t="shared" si="116"/>
        <v>0</v>
      </c>
    </row>
    <row r="236" spans="1:33" hidden="1">
      <c r="A236" s="2684"/>
      <c r="B236" s="2109" t="s">
        <v>982</v>
      </c>
      <c r="C236" s="1541" t="s">
        <v>512</v>
      </c>
      <c r="D236" s="2098" t="s">
        <v>983</v>
      </c>
      <c r="E236" s="2098">
        <v>2</v>
      </c>
      <c r="F236" s="1541" t="s">
        <v>534</v>
      </c>
      <c r="G236" s="2098">
        <v>9990001</v>
      </c>
      <c r="H236" s="2099" t="s">
        <v>984</v>
      </c>
      <c r="I236" s="1365">
        <v>0</v>
      </c>
      <c r="J236" s="2575">
        <v>0</v>
      </c>
      <c r="K236" s="2321">
        <v>0</v>
      </c>
      <c r="L236" s="1365"/>
      <c r="M236" s="1365"/>
      <c r="N236" s="1365"/>
      <c r="O236" s="1365"/>
      <c r="P236" s="3170"/>
      <c r="Q236" s="2409"/>
      <c r="R236" s="2399">
        <f t="shared" si="124"/>
        <v>0</v>
      </c>
      <c r="S236" s="1365">
        <f t="shared" si="125"/>
        <v>0</v>
      </c>
      <c r="T236" s="1365">
        <f t="shared" si="126"/>
        <v>0</v>
      </c>
      <c r="U236" s="1365">
        <f t="shared" si="127"/>
        <v>0</v>
      </c>
      <c r="V236" s="1365"/>
      <c r="W236" s="2435"/>
      <c r="X236" s="2113"/>
      <c r="Z236" s="1207"/>
      <c r="AC236" s="2408"/>
      <c r="AD236" s="2651"/>
      <c r="AE236" s="172">
        <f t="shared" si="115"/>
        <v>0</v>
      </c>
      <c r="AG236" s="2408">
        <f t="shared" si="116"/>
        <v>0</v>
      </c>
    </row>
    <row r="237" spans="1:33" s="174" customFormat="1" ht="31.5" hidden="1" customHeight="1">
      <c r="A237" s="2684"/>
      <c r="B237" s="2097" t="s">
        <v>3530</v>
      </c>
      <c r="C237" s="1541" t="s">
        <v>583</v>
      </c>
      <c r="D237" s="2098" t="s">
        <v>985</v>
      </c>
      <c r="E237" s="2098">
        <v>3</v>
      </c>
      <c r="F237" s="1541" t="s">
        <v>986</v>
      </c>
      <c r="G237" s="2109"/>
      <c r="H237" s="2099" t="s">
        <v>987</v>
      </c>
      <c r="I237" s="1365">
        <v>0</v>
      </c>
      <c r="J237" s="2575">
        <v>0</v>
      </c>
      <c r="K237" s="2321">
        <v>0</v>
      </c>
      <c r="L237" s="1365">
        <f t="shared" ref="L237:M241" si="135">+K237</f>
        <v>0</v>
      </c>
      <c r="M237" s="1365">
        <f t="shared" si="135"/>
        <v>0</v>
      </c>
      <c r="N237" s="1365">
        <f t="shared" si="131"/>
        <v>0</v>
      </c>
      <c r="O237" s="1365">
        <f t="shared" si="132"/>
        <v>0</v>
      </c>
      <c r="P237" s="2618"/>
      <c r="Q237" s="2409"/>
      <c r="R237" s="2399">
        <f t="shared" si="124"/>
        <v>0</v>
      </c>
      <c r="S237" s="1365">
        <f t="shared" si="125"/>
        <v>0</v>
      </c>
      <c r="T237" s="1701">
        <f t="shared" si="126"/>
        <v>0</v>
      </c>
      <c r="U237" s="1701">
        <f t="shared" si="127"/>
        <v>0</v>
      </c>
      <c r="V237" s="1701"/>
      <c r="W237" s="2438"/>
      <c r="X237" s="2450"/>
      <c r="Z237" s="192"/>
      <c r="AC237" s="1365"/>
      <c r="AD237" s="1014"/>
      <c r="AE237" s="172">
        <f t="shared" si="115"/>
        <v>0</v>
      </c>
      <c r="AG237" s="1365">
        <f t="shared" si="116"/>
        <v>0</v>
      </c>
    </row>
    <row r="238" spans="1:33" s="1028" customFormat="1" hidden="1">
      <c r="A238" s="2684" t="s">
        <v>972</v>
      </c>
      <c r="B238" s="2109" t="s">
        <v>3061</v>
      </c>
      <c r="C238" s="1541"/>
      <c r="D238" s="2098" t="s">
        <v>988</v>
      </c>
      <c r="E238" s="2098"/>
      <c r="F238" s="2109"/>
      <c r="G238" s="2109"/>
      <c r="H238" s="2099" t="s">
        <v>989</v>
      </c>
      <c r="I238" s="1365">
        <v>0</v>
      </c>
      <c r="J238" s="2575">
        <v>0</v>
      </c>
      <c r="K238" s="2321">
        <v>0</v>
      </c>
      <c r="L238" s="1365">
        <f t="shared" si="135"/>
        <v>0</v>
      </c>
      <c r="M238" s="1365">
        <f t="shared" si="135"/>
        <v>0</v>
      </c>
      <c r="N238" s="1365">
        <f t="shared" si="131"/>
        <v>0</v>
      </c>
      <c r="O238" s="1365">
        <f t="shared" si="132"/>
        <v>0</v>
      </c>
      <c r="P238" s="2618"/>
      <c r="Q238" s="2409"/>
      <c r="R238" s="2407">
        <f t="shared" si="124"/>
        <v>0</v>
      </c>
      <c r="S238" s="2168">
        <f t="shared" si="125"/>
        <v>0</v>
      </c>
      <c r="T238" s="2168">
        <f t="shared" si="126"/>
        <v>0</v>
      </c>
      <c r="U238" s="2168">
        <f t="shared" si="127"/>
        <v>0</v>
      </c>
      <c r="V238" s="2168"/>
      <c r="W238" s="2448"/>
      <c r="X238" s="2453"/>
      <c r="Z238" s="192"/>
      <c r="AC238" s="1365"/>
      <c r="AD238" s="1014"/>
      <c r="AE238" s="172">
        <f t="shared" si="115"/>
        <v>0</v>
      </c>
      <c r="AG238" s="1365">
        <f t="shared" si="116"/>
        <v>0</v>
      </c>
    </row>
    <row r="239" spans="1:33" ht="17.25" customHeight="1">
      <c r="A239" s="3484" t="s">
        <v>1008</v>
      </c>
      <c r="B239" s="2097" t="s">
        <v>3675</v>
      </c>
      <c r="C239" s="1541"/>
      <c r="D239" s="2098" t="s">
        <v>990</v>
      </c>
      <c r="E239" s="2098"/>
      <c r="F239" s="2109"/>
      <c r="G239" s="2109"/>
      <c r="H239" s="2099" t="s">
        <v>991</v>
      </c>
      <c r="I239" s="1365">
        <f>0+11400000</f>
        <v>11400000</v>
      </c>
      <c r="J239" s="2575">
        <v>22170131</v>
      </c>
      <c r="K239" s="2321">
        <f>0</f>
        <v>0</v>
      </c>
      <c r="L239" s="1365">
        <f t="shared" si="135"/>
        <v>0</v>
      </c>
      <c r="M239" s="1365">
        <f t="shared" si="135"/>
        <v>0</v>
      </c>
      <c r="N239" s="1365">
        <f t="shared" si="131"/>
        <v>0</v>
      </c>
      <c r="O239" s="1365">
        <f t="shared" si="132"/>
        <v>0</v>
      </c>
      <c r="P239" s="2618">
        <v>0</v>
      </c>
      <c r="Q239" s="2409"/>
      <c r="R239" s="2399">
        <f t="shared" si="124"/>
        <v>0</v>
      </c>
      <c r="S239" s="1365">
        <f t="shared" si="125"/>
        <v>0</v>
      </c>
      <c r="T239" s="1365">
        <f t="shared" si="126"/>
        <v>0</v>
      </c>
      <c r="U239" s="1365">
        <f t="shared" si="127"/>
        <v>0</v>
      </c>
      <c r="V239" s="1365"/>
      <c r="W239" s="2435"/>
      <c r="X239" s="2113"/>
      <c r="Z239" s="192">
        <v>22170131</v>
      </c>
      <c r="AC239" s="1365"/>
      <c r="AD239" s="1014">
        <v>22170131</v>
      </c>
      <c r="AE239" s="172">
        <f t="shared" si="115"/>
        <v>0</v>
      </c>
      <c r="AG239" s="1365">
        <f t="shared" si="116"/>
        <v>0</v>
      </c>
    </row>
    <row r="240" spans="1:33" hidden="1">
      <c r="A240" s="2684"/>
      <c r="B240" s="2109" t="s">
        <v>992</v>
      </c>
      <c r="C240" s="1541"/>
      <c r="D240" s="2098" t="s">
        <v>993</v>
      </c>
      <c r="E240" s="2098"/>
      <c r="F240" s="2109"/>
      <c r="G240" s="2109"/>
      <c r="H240" s="2099" t="s">
        <v>994</v>
      </c>
      <c r="I240" s="1365">
        <v>0</v>
      </c>
      <c r="J240" s="2575">
        <v>0</v>
      </c>
      <c r="K240" s="2321">
        <v>0</v>
      </c>
      <c r="L240" s="1365">
        <f t="shared" si="135"/>
        <v>0</v>
      </c>
      <c r="M240" s="1365">
        <f t="shared" si="135"/>
        <v>0</v>
      </c>
      <c r="N240" s="1365">
        <f t="shared" si="131"/>
        <v>0</v>
      </c>
      <c r="O240" s="1365">
        <f t="shared" si="132"/>
        <v>0</v>
      </c>
      <c r="P240" s="2618">
        <v>0</v>
      </c>
      <c r="Q240" s="2409"/>
      <c r="R240" s="2399">
        <f t="shared" si="124"/>
        <v>0</v>
      </c>
      <c r="S240" s="1365">
        <f t="shared" si="125"/>
        <v>0</v>
      </c>
      <c r="T240" s="1365">
        <f t="shared" si="126"/>
        <v>0</v>
      </c>
      <c r="U240" s="1365">
        <f t="shared" si="127"/>
        <v>0</v>
      </c>
      <c r="V240" s="1365"/>
      <c r="W240" s="2435"/>
      <c r="X240" s="2113"/>
      <c r="Z240" s="192">
        <v>0</v>
      </c>
      <c r="AC240" s="1365"/>
      <c r="AD240" s="1014">
        <v>0</v>
      </c>
      <c r="AE240" s="172">
        <f t="shared" si="115"/>
        <v>0</v>
      </c>
      <c r="AG240" s="1365">
        <f t="shared" si="116"/>
        <v>0</v>
      </c>
    </row>
    <row r="241" spans="1:33" hidden="1">
      <c r="A241" s="2684"/>
      <c r="B241" s="2097" t="s">
        <v>995</v>
      </c>
      <c r="C241" s="1541"/>
      <c r="D241" s="2098" t="s">
        <v>996</v>
      </c>
      <c r="E241" s="2098"/>
      <c r="F241" s="2097"/>
      <c r="G241" s="2097"/>
      <c r="H241" s="2099" t="s">
        <v>997</v>
      </c>
      <c r="I241" s="1365">
        <v>0</v>
      </c>
      <c r="J241" s="2575">
        <v>0</v>
      </c>
      <c r="K241" s="2321">
        <v>0</v>
      </c>
      <c r="L241" s="1365">
        <f t="shared" si="135"/>
        <v>0</v>
      </c>
      <c r="M241" s="1365">
        <f t="shared" si="135"/>
        <v>0</v>
      </c>
      <c r="N241" s="1365">
        <f t="shared" si="131"/>
        <v>0</v>
      </c>
      <c r="O241" s="1365">
        <f t="shared" si="132"/>
        <v>0</v>
      </c>
      <c r="P241" s="2618">
        <v>0</v>
      </c>
      <c r="Q241" s="2409"/>
      <c r="R241" s="2399">
        <f t="shared" si="124"/>
        <v>0</v>
      </c>
      <c r="S241" s="1365">
        <f t="shared" si="125"/>
        <v>0</v>
      </c>
      <c r="T241" s="1365">
        <f t="shared" si="126"/>
        <v>0</v>
      </c>
      <c r="U241" s="1365">
        <f t="shared" si="127"/>
        <v>0</v>
      </c>
      <c r="V241" s="1365"/>
      <c r="W241" s="2435"/>
      <c r="X241" s="2113"/>
      <c r="Z241" s="192">
        <v>0</v>
      </c>
      <c r="AC241" s="1365"/>
      <c r="AD241" s="1014">
        <v>0</v>
      </c>
      <c r="AE241" s="172">
        <f t="shared" si="115"/>
        <v>0</v>
      </c>
      <c r="AG241" s="1365">
        <f t="shared" si="116"/>
        <v>0</v>
      </c>
    </row>
    <row r="242" spans="1:33">
      <c r="A242" s="2683" t="s">
        <v>1016</v>
      </c>
      <c r="B242" s="2107" t="s">
        <v>3598</v>
      </c>
      <c r="C242" s="1426"/>
      <c r="D242" s="2108"/>
      <c r="E242" s="2108"/>
      <c r="F242" s="2107"/>
      <c r="G242" s="2107"/>
      <c r="H242" s="2095" t="s">
        <v>999</v>
      </c>
      <c r="I242" s="1701">
        <f>SUM(I229:I241)</f>
        <v>11400000</v>
      </c>
      <c r="J242" s="2576">
        <f t="shared" ref="J242:P242" si="136">SUM(J229:J241)</f>
        <v>22170131</v>
      </c>
      <c r="K242" s="2325">
        <f t="shared" si="136"/>
        <v>0</v>
      </c>
      <c r="L242" s="1701">
        <f t="shared" si="136"/>
        <v>0</v>
      </c>
      <c r="M242" s="1701">
        <f t="shared" si="136"/>
        <v>0</v>
      </c>
      <c r="N242" s="1701">
        <f t="shared" si="136"/>
        <v>0</v>
      </c>
      <c r="O242" s="1701">
        <f t="shared" si="136"/>
        <v>0</v>
      </c>
      <c r="P242" s="2617">
        <f t="shared" si="136"/>
        <v>0</v>
      </c>
      <c r="Q242" s="2411"/>
      <c r="R242" s="2401">
        <f t="shared" si="124"/>
        <v>0</v>
      </c>
      <c r="S242" s="1701">
        <f t="shared" si="125"/>
        <v>0</v>
      </c>
      <c r="T242" s="1701">
        <f t="shared" si="126"/>
        <v>0</v>
      </c>
      <c r="U242" s="1701">
        <f t="shared" si="127"/>
        <v>0</v>
      </c>
      <c r="V242" s="1701"/>
      <c r="W242" s="2438"/>
      <c r="X242" s="2451"/>
      <c r="Z242" s="209">
        <f>SUM(Z229:Z241)</f>
        <v>22170131</v>
      </c>
      <c r="AC242" s="1701"/>
      <c r="AD242" s="1025">
        <v>22170131</v>
      </c>
      <c r="AE242" s="172">
        <f t="shared" si="115"/>
        <v>0</v>
      </c>
      <c r="AG242" s="1701">
        <f t="shared" si="116"/>
        <v>0</v>
      </c>
    </row>
    <row r="243" spans="1:33" ht="18.75">
      <c r="A243" s="2683" t="s">
        <v>1017</v>
      </c>
      <c r="B243" s="2120" t="s">
        <v>3599</v>
      </c>
      <c r="C243" s="2121"/>
      <c r="D243" s="2122"/>
      <c r="E243" s="2122"/>
      <c r="F243" s="2120"/>
      <c r="G243" s="2120"/>
      <c r="H243" s="2122" t="s">
        <v>1001</v>
      </c>
      <c r="I243" s="2123">
        <f>+I228+I242</f>
        <v>27253713</v>
      </c>
      <c r="J243" s="2577">
        <f t="shared" ref="J243:P243" si="137">+J228+J242</f>
        <v>37625131</v>
      </c>
      <c r="K243" s="2326">
        <f t="shared" si="137"/>
        <v>16328120</v>
      </c>
      <c r="L243" s="2123">
        <f t="shared" si="137"/>
        <v>16328120</v>
      </c>
      <c r="M243" s="2123">
        <f t="shared" si="137"/>
        <v>16328120</v>
      </c>
      <c r="N243" s="2123">
        <f t="shared" si="137"/>
        <v>15909030</v>
      </c>
      <c r="O243" s="2123">
        <f t="shared" si="137"/>
        <v>15909030</v>
      </c>
      <c r="P243" s="3177">
        <f t="shared" si="137"/>
        <v>15909030</v>
      </c>
      <c r="Q243" s="2415">
        <f>+P243/N243</f>
        <v>1</v>
      </c>
      <c r="R243" s="2402">
        <f t="shared" si="124"/>
        <v>0</v>
      </c>
      <c r="S243" s="2123">
        <f t="shared" si="125"/>
        <v>0</v>
      </c>
      <c r="T243" s="2123">
        <f t="shared" si="126"/>
        <v>-419090</v>
      </c>
      <c r="U243" s="2123">
        <f t="shared" si="127"/>
        <v>0</v>
      </c>
      <c r="V243" s="2123"/>
      <c r="W243" s="2440"/>
      <c r="X243" s="2454"/>
      <c r="Z243" s="222">
        <f>+Z228+Z242</f>
        <v>22515131</v>
      </c>
      <c r="AC243" s="2414">
        <v>15909030</v>
      </c>
      <c r="AD243" s="1096">
        <v>37625131</v>
      </c>
      <c r="AE243" s="172">
        <f t="shared" si="115"/>
        <v>0</v>
      </c>
      <c r="AF243" s="2414">
        <f>+P243-AC243</f>
        <v>0</v>
      </c>
      <c r="AG243" s="2414">
        <f t="shared" si="116"/>
        <v>0</v>
      </c>
    </row>
    <row r="244" spans="1:33" hidden="1">
      <c r="A244" s="2683"/>
      <c r="B244" s="2130"/>
      <c r="C244" s="2099"/>
      <c r="D244" s="1542"/>
      <c r="E244" s="1542"/>
      <c r="F244" s="2130"/>
      <c r="G244" s="2130"/>
      <c r="H244" s="2131"/>
      <c r="I244" s="1701"/>
      <c r="J244" s="2576"/>
      <c r="K244" s="2325"/>
      <c r="L244" s="1701"/>
      <c r="M244" s="1701"/>
      <c r="N244" s="1701"/>
      <c r="O244" s="1701"/>
      <c r="P244" s="2617"/>
      <c r="Q244" s="2411"/>
      <c r="R244" s="2401">
        <f t="shared" si="124"/>
        <v>0</v>
      </c>
      <c r="S244" s="1701"/>
      <c r="T244" s="1701">
        <f t="shared" si="126"/>
        <v>0</v>
      </c>
      <c r="U244" s="1701">
        <f t="shared" si="127"/>
        <v>0</v>
      </c>
      <c r="V244" s="1701"/>
      <c r="W244" s="2438"/>
      <c r="X244" s="2113"/>
      <c r="Z244" s="212"/>
      <c r="AC244" s="1701"/>
      <c r="AD244" s="2657"/>
      <c r="AE244" s="172">
        <f t="shared" si="115"/>
        <v>0</v>
      </c>
      <c r="AG244" s="1701">
        <f t="shared" si="116"/>
        <v>0</v>
      </c>
    </row>
    <row r="245" spans="1:33" ht="19.5" hidden="1" customHeight="1">
      <c r="A245" s="2683"/>
      <c r="B245" s="2095"/>
      <c r="C245" s="2095"/>
      <c r="D245" s="2095"/>
      <c r="E245" s="2095"/>
      <c r="F245" s="2095"/>
      <c r="G245" s="2095"/>
      <c r="H245" s="2095"/>
      <c r="I245" s="2095"/>
      <c r="J245" s="2574"/>
      <c r="K245" s="2324"/>
      <c r="L245" s="2095"/>
      <c r="M245" s="2095"/>
      <c r="N245" s="2095"/>
      <c r="O245" s="2095"/>
      <c r="P245" s="3174"/>
      <c r="Q245" s="2416"/>
      <c r="R245" s="2398"/>
      <c r="S245" s="2095"/>
      <c r="T245" s="2095"/>
      <c r="U245" s="2095"/>
      <c r="V245" s="2095"/>
      <c r="W245" s="2434"/>
      <c r="X245" s="2113"/>
      <c r="Z245" s="184"/>
      <c r="AC245" s="2095"/>
      <c r="AD245" s="1095"/>
      <c r="AE245" s="172">
        <f t="shared" si="115"/>
        <v>0</v>
      </c>
      <c r="AG245" s="2095">
        <f t="shared" si="116"/>
        <v>0</v>
      </c>
    </row>
    <row r="246" spans="1:33" hidden="1">
      <c r="A246" s="2683" t="s">
        <v>3177</v>
      </c>
      <c r="B246" s="2151" t="s">
        <v>3178</v>
      </c>
      <c r="C246" s="2099" t="s">
        <v>512</v>
      </c>
      <c r="D246" s="2152" t="s">
        <v>1003</v>
      </c>
      <c r="E246" s="2152">
        <v>2</v>
      </c>
      <c r="F246" s="1541" t="s">
        <v>514</v>
      </c>
      <c r="G246" s="2098">
        <v>9990001</v>
      </c>
      <c r="H246" s="2099" t="s">
        <v>1004</v>
      </c>
      <c r="I246" s="1365">
        <v>0</v>
      </c>
      <c r="J246" s="2575">
        <v>0</v>
      </c>
      <c r="K246" s="2321">
        <v>0</v>
      </c>
      <c r="L246" s="1365">
        <f t="shared" ref="L246:O248" si="138">+K246</f>
        <v>0</v>
      </c>
      <c r="M246" s="1365">
        <f>+L246</f>
        <v>0</v>
      </c>
      <c r="N246" s="1365">
        <f t="shared" si="138"/>
        <v>0</v>
      </c>
      <c r="O246" s="1365">
        <f t="shared" si="138"/>
        <v>0</v>
      </c>
      <c r="P246" s="2618">
        <v>0</v>
      </c>
      <c r="Q246" s="2409"/>
      <c r="R246" s="2399">
        <f t="shared" ref="R246:U251" si="139">+L246-K246</f>
        <v>0</v>
      </c>
      <c r="S246" s="1365">
        <f t="shared" si="139"/>
        <v>0</v>
      </c>
      <c r="T246" s="1365">
        <f t="shared" si="139"/>
        <v>0</v>
      </c>
      <c r="U246" s="1365">
        <f t="shared" si="139"/>
        <v>0</v>
      </c>
      <c r="V246" s="1365"/>
      <c r="W246" s="2435"/>
      <c r="X246" s="2113"/>
      <c r="Z246" s="192">
        <v>0</v>
      </c>
      <c r="AC246" s="1365"/>
      <c r="AD246" s="1014">
        <v>0</v>
      </c>
      <c r="AE246" s="172">
        <f t="shared" si="115"/>
        <v>0</v>
      </c>
      <c r="AG246" s="1365">
        <f t="shared" si="116"/>
        <v>0</v>
      </c>
    </row>
    <row r="247" spans="1:33" hidden="1">
      <c r="A247" s="2683"/>
      <c r="B247" s="2151" t="s">
        <v>1005</v>
      </c>
      <c r="C247" s="2099" t="s">
        <v>512</v>
      </c>
      <c r="D247" s="2152" t="s">
        <v>1006</v>
      </c>
      <c r="E247" s="2152">
        <v>2</v>
      </c>
      <c r="F247" s="1541" t="s">
        <v>514</v>
      </c>
      <c r="G247" s="1541" t="s">
        <v>572</v>
      </c>
      <c r="H247" s="2099" t="s">
        <v>1004</v>
      </c>
      <c r="I247" s="1365">
        <v>0</v>
      </c>
      <c r="J247" s="2575">
        <v>0</v>
      </c>
      <c r="K247" s="2321">
        <v>0</v>
      </c>
      <c r="L247" s="1365">
        <f t="shared" si="138"/>
        <v>0</v>
      </c>
      <c r="M247" s="1365">
        <f t="shared" si="138"/>
        <v>0</v>
      </c>
      <c r="N247" s="1365">
        <f t="shared" si="138"/>
        <v>0</v>
      </c>
      <c r="O247" s="1365">
        <f t="shared" si="138"/>
        <v>0</v>
      </c>
      <c r="P247" s="3170">
        <v>0</v>
      </c>
      <c r="Q247" s="2409"/>
      <c r="R247" s="2399">
        <f t="shared" si="139"/>
        <v>0</v>
      </c>
      <c r="S247" s="1365">
        <f t="shared" si="139"/>
        <v>0</v>
      </c>
      <c r="T247" s="1365">
        <f t="shared" si="139"/>
        <v>0</v>
      </c>
      <c r="U247" s="1365">
        <f t="shared" si="139"/>
        <v>0</v>
      </c>
      <c r="V247" s="1365"/>
      <c r="W247" s="2435"/>
      <c r="X247" s="2113"/>
      <c r="Z247" s="1207">
        <v>0</v>
      </c>
      <c r="AC247" s="2408"/>
      <c r="AD247" s="2651">
        <v>0</v>
      </c>
      <c r="AE247" s="172">
        <f t="shared" si="115"/>
        <v>0</v>
      </c>
      <c r="AG247" s="2408">
        <f t="shared" si="116"/>
        <v>0</v>
      </c>
    </row>
    <row r="248" spans="1:33" hidden="1">
      <c r="A248" s="2683"/>
      <c r="B248" s="2151" t="s">
        <v>1007</v>
      </c>
      <c r="C248" s="2099"/>
      <c r="D248" s="2152"/>
      <c r="E248" s="2152"/>
      <c r="F248" s="1541"/>
      <c r="G248" s="1541"/>
      <c r="H248" s="2099"/>
      <c r="I248" s="1365">
        <v>0</v>
      </c>
      <c r="J248" s="2575">
        <v>0</v>
      </c>
      <c r="K248" s="2321">
        <v>0</v>
      </c>
      <c r="L248" s="1365">
        <f t="shared" si="138"/>
        <v>0</v>
      </c>
      <c r="M248" s="1365">
        <f t="shared" si="138"/>
        <v>0</v>
      </c>
      <c r="N248" s="1365">
        <f t="shared" si="138"/>
        <v>0</v>
      </c>
      <c r="O248" s="1365">
        <f t="shared" si="138"/>
        <v>0</v>
      </c>
      <c r="P248" s="2618">
        <v>0</v>
      </c>
      <c r="Q248" s="2409"/>
      <c r="R248" s="2399">
        <f t="shared" si="139"/>
        <v>0</v>
      </c>
      <c r="S248" s="1365">
        <f t="shared" si="139"/>
        <v>0</v>
      </c>
      <c r="T248" s="1365">
        <f t="shared" si="139"/>
        <v>0</v>
      </c>
      <c r="U248" s="1365">
        <f t="shared" si="139"/>
        <v>0</v>
      </c>
      <c r="V248" s="1365"/>
      <c r="W248" s="2435"/>
      <c r="X248" s="2113"/>
      <c r="Z248" s="192">
        <v>0</v>
      </c>
      <c r="AC248" s="1365"/>
      <c r="AD248" s="1014">
        <v>0</v>
      </c>
      <c r="AE248" s="172">
        <f t="shared" si="115"/>
        <v>0</v>
      </c>
      <c r="AG248" s="1365">
        <f t="shared" si="116"/>
        <v>0</v>
      </c>
    </row>
    <row r="249" spans="1:33">
      <c r="A249" s="2684" t="s">
        <v>1022</v>
      </c>
      <c r="B249" s="2110" t="s">
        <v>1009</v>
      </c>
      <c r="C249" s="1426"/>
      <c r="D249" s="2108"/>
      <c r="E249" s="2108"/>
      <c r="F249" s="2110"/>
      <c r="G249" s="2110"/>
      <c r="H249" s="2095" t="s">
        <v>1010</v>
      </c>
      <c r="I249" s="1701">
        <f>SUM(I246:I248)</f>
        <v>0</v>
      </c>
      <c r="J249" s="2576">
        <v>0</v>
      </c>
      <c r="K249" s="2325">
        <f t="shared" ref="K249:P249" si="140">SUM(K246:K248)</f>
        <v>0</v>
      </c>
      <c r="L249" s="1701">
        <f t="shared" si="140"/>
        <v>0</v>
      </c>
      <c r="M249" s="1701">
        <f t="shared" si="140"/>
        <v>0</v>
      </c>
      <c r="N249" s="1701">
        <f t="shared" si="140"/>
        <v>0</v>
      </c>
      <c r="O249" s="1701">
        <f t="shared" si="140"/>
        <v>0</v>
      </c>
      <c r="P249" s="2617">
        <f t="shared" si="140"/>
        <v>0</v>
      </c>
      <c r="Q249" s="2411"/>
      <c r="R249" s="2401">
        <f t="shared" si="139"/>
        <v>0</v>
      </c>
      <c r="S249" s="1701">
        <f t="shared" si="139"/>
        <v>0</v>
      </c>
      <c r="T249" s="1701">
        <f t="shared" si="139"/>
        <v>0</v>
      </c>
      <c r="U249" s="1701">
        <f t="shared" si="139"/>
        <v>0</v>
      </c>
      <c r="V249" s="1701"/>
      <c r="W249" s="2438"/>
      <c r="X249" s="2113"/>
      <c r="Z249" s="209">
        <f>SUM(Z246:Z248)</f>
        <v>0</v>
      </c>
      <c r="AC249" s="1701"/>
      <c r="AD249" s="1025">
        <v>0</v>
      </c>
      <c r="AE249" s="172">
        <f t="shared" si="115"/>
        <v>0</v>
      </c>
      <c r="AG249" s="1701">
        <f t="shared" si="116"/>
        <v>0</v>
      </c>
    </row>
    <row r="250" spans="1:33" ht="25.5" hidden="1">
      <c r="A250" s="2685"/>
      <c r="B250" s="2125" t="s">
        <v>1011</v>
      </c>
      <c r="C250" s="1541" t="s">
        <v>1012</v>
      </c>
      <c r="D250" s="2152" t="s">
        <v>1013</v>
      </c>
      <c r="E250" s="2152">
        <v>3</v>
      </c>
      <c r="F250" s="1541" t="s">
        <v>975</v>
      </c>
      <c r="G250" s="1541" t="s">
        <v>1014</v>
      </c>
      <c r="H250" s="2099" t="s">
        <v>1015</v>
      </c>
      <c r="I250" s="2106">
        <v>0</v>
      </c>
      <c r="J250" s="2579">
        <v>0</v>
      </c>
      <c r="K250" s="2236">
        <v>0</v>
      </c>
      <c r="L250" s="2106">
        <f t="shared" ref="L250:O252" si="141">+K250</f>
        <v>0</v>
      </c>
      <c r="M250" s="2106">
        <f t="shared" si="141"/>
        <v>0</v>
      </c>
      <c r="N250" s="2106">
        <f t="shared" si="141"/>
        <v>0</v>
      </c>
      <c r="O250" s="2106">
        <f t="shared" si="141"/>
        <v>0</v>
      </c>
      <c r="P250" s="3179">
        <v>0</v>
      </c>
      <c r="Q250" s="2420"/>
      <c r="R250" s="2400">
        <f t="shared" si="139"/>
        <v>0</v>
      </c>
      <c r="S250" s="2106">
        <f t="shared" si="139"/>
        <v>0</v>
      </c>
      <c r="T250" s="2106">
        <f t="shared" si="139"/>
        <v>0</v>
      </c>
      <c r="U250" s="2106">
        <f t="shared" si="139"/>
        <v>0</v>
      </c>
      <c r="V250" s="2106"/>
      <c r="W250" s="2437"/>
      <c r="X250" s="2113"/>
      <c r="Z250" s="199">
        <v>0</v>
      </c>
      <c r="AC250" s="2106"/>
      <c r="AD250" s="1011">
        <v>0</v>
      </c>
      <c r="AE250" s="172">
        <f t="shared" si="115"/>
        <v>0</v>
      </c>
      <c r="AG250" s="2106">
        <f t="shared" si="116"/>
        <v>0</v>
      </c>
    </row>
    <row r="251" spans="1:33" ht="14.25" customHeight="1">
      <c r="A251" s="2684" t="s">
        <v>1045</v>
      </c>
      <c r="B251" s="2097" t="s">
        <v>3596</v>
      </c>
      <c r="C251" s="1541" t="s">
        <v>1012</v>
      </c>
      <c r="D251" s="2152" t="s">
        <v>1013</v>
      </c>
      <c r="E251" s="2152">
        <v>3</v>
      </c>
      <c r="F251" s="1541" t="s">
        <v>975</v>
      </c>
      <c r="G251" s="1541" t="s">
        <v>1014</v>
      </c>
      <c r="H251" s="2099" t="s">
        <v>1015</v>
      </c>
      <c r="I251" s="1365">
        <v>0</v>
      </c>
      <c r="J251" s="2575">
        <v>0</v>
      </c>
      <c r="K251" s="2321">
        <v>0</v>
      </c>
      <c r="L251" s="1365">
        <f>+K251</f>
        <v>0</v>
      </c>
      <c r="M251" s="1365">
        <f t="shared" si="141"/>
        <v>0</v>
      </c>
      <c r="N251" s="1365">
        <f t="shared" si="141"/>
        <v>0</v>
      </c>
      <c r="O251" s="1365">
        <f t="shared" si="141"/>
        <v>0</v>
      </c>
      <c r="P251" s="3170">
        <v>0</v>
      </c>
      <c r="Q251" s="2409"/>
      <c r="R251" s="2399">
        <f t="shared" si="139"/>
        <v>0</v>
      </c>
      <c r="S251" s="1365"/>
      <c r="T251" s="1365"/>
      <c r="U251" s="1365"/>
      <c r="V251" s="1365"/>
      <c r="W251" s="2435"/>
      <c r="X251" s="2113"/>
      <c r="Z251" s="1207"/>
      <c r="AC251" s="2408"/>
      <c r="AD251" s="2651">
        <v>0</v>
      </c>
      <c r="AE251" s="172">
        <f t="shared" si="115"/>
        <v>0</v>
      </c>
      <c r="AG251" s="2408">
        <f t="shared" si="116"/>
        <v>0</v>
      </c>
    </row>
    <row r="252" spans="1:33" ht="25.5" hidden="1" customHeight="1">
      <c r="A252" s="2684" t="s">
        <v>1017</v>
      </c>
      <c r="B252" s="2097" t="s">
        <v>1018</v>
      </c>
      <c r="C252" s="1541" t="s">
        <v>1012</v>
      </c>
      <c r="D252" s="2152" t="s">
        <v>1019</v>
      </c>
      <c r="E252" s="2152">
        <v>3</v>
      </c>
      <c r="F252" s="1541" t="s">
        <v>975</v>
      </c>
      <c r="G252" s="1541" t="s">
        <v>1014</v>
      </c>
      <c r="H252" s="2099" t="s">
        <v>1015</v>
      </c>
      <c r="I252" s="1365">
        <f>0</f>
        <v>0</v>
      </c>
      <c r="J252" s="2575">
        <v>0</v>
      </c>
      <c r="K252" s="2321">
        <f>0</f>
        <v>0</v>
      </c>
      <c r="L252" s="1365">
        <f t="shared" si="141"/>
        <v>0</v>
      </c>
      <c r="M252" s="1365">
        <f t="shared" si="141"/>
        <v>0</v>
      </c>
      <c r="N252" s="1365">
        <f t="shared" si="141"/>
        <v>0</v>
      </c>
      <c r="O252" s="1365">
        <f t="shared" si="141"/>
        <v>0</v>
      </c>
      <c r="P252" s="2618">
        <v>0</v>
      </c>
      <c r="Q252" s="2409"/>
      <c r="R252" s="2400">
        <f t="shared" ref="R252:R259" si="142">+L252-K252</f>
        <v>0</v>
      </c>
      <c r="S252" s="2106">
        <f t="shared" ref="S252:S259" si="143">+M252-L252</f>
        <v>0</v>
      </c>
      <c r="T252" s="2106">
        <f t="shared" ref="T252:T259" si="144">+N252-M252</f>
        <v>0</v>
      </c>
      <c r="U252" s="2106">
        <f t="shared" ref="U252:U259" si="145">+O252-N252</f>
        <v>0</v>
      </c>
      <c r="V252" s="2106"/>
      <c r="W252" s="2437"/>
      <c r="X252" s="2113"/>
      <c r="Z252" s="199">
        <v>0</v>
      </c>
      <c r="AC252" s="2106"/>
      <c r="AD252" s="1011">
        <v>0</v>
      </c>
      <c r="AE252" s="172">
        <f t="shared" si="115"/>
        <v>0</v>
      </c>
      <c r="AG252" s="2106">
        <f t="shared" si="116"/>
        <v>0</v>
      </c>
    </row>
    <row r="253" spans="1:33" hidden="1">
      <c r="A253" s="2683"/>
      <c r="B253" s="2110" t="s">
        <v>1020</v>
      </c>
      <c r="C253" s="1426"/>
      <c r="D253" s="2108"/>
      <c r="E253" s="2108"/>
      <c r="F253" s="2110"/>
      <c r="G253" s="2110"/>
      <c r="H253" s="2095" t="s">
        <v>1021</v>
      </c>
      <c r="I253" s="1701">
        <f>SUM(I250:I252)</f>
        <v>0</v>
      </c>
      <c r="J253" s="2576">
        <f t="shared" ref="J253:P253" si="146">SUM(J250:J252)</f>
        <v>0</v>
      </c>
      <c r="K253" s="2325">
        <f t="shared" si="146"/>
        <v>0</v>
      </c>
      <c r="L253" s="1701">
        <f t="shared" si="146"/>
        <v>0</v>
      </c>
      <c r="M253" s="1701">
        <f t="shared" si="146"/>
        <v>0</v>
      </c>
      <c r="N253" s="1701">
        <f t="shared" si="146"/>
        <v>0</v>
      </c>
      <c r="O253" s="1701">
        <f t="shared" si="146"/>
        <v>0</v>
      </c>
      <c r="P253" s="2617">
        <f t="shared" si="146"/>
        <v>0</v>
      </c>
      <c r="Q253" s="2411"/>
      <c r="R253" s="2401">
        <f t="shared" si="142"/>
        <v>0</v>
      </c>
      <c r="S253" s="1701">
        <f t="shared" si="143"/>
        <v>0</v>
      </c>
      <c r="T253" s="1701">
        <f t="shared" si="144"/>
        <v>0</v>
      </c>
      <c r="U253" s="1701">
        <f t="shared" si="145"/>
        <v>0</v>
      </c>
      <c r="V253" s="1701"/>
      <c r="W253" s="2438"/>
      <c r="X253" s="2113"/>
      <c r="Z253" s="209">
        <f>SUM(Z250:Z252)</f>
        <v>0</v>
      </c>
      <c r="AC253" s="1701"/>
      <c r="AD253" s="1025">
        <v>0</v>
      </c>
      <c r="AE253" s="172">
        <f t="shared" si="115"/>
        <v>0</v>
      </c>
      <c r="AG253" s="1701">
        <f t="shared" si="116"/>
        <v>0</v>
      </c>
    </row>
    <row r="254" spans="1:33" ht="18.75">
      <c r="A254" s="2683" t="s">
        <v>1055</v>
      </c>
      <c r="B254" s="2110" t="s">
        <v>3905</v>
      </c>
      <c r="C254" s="1426"/>
      <c r="D254" s="2108"/>
      <c r="E254" s="2108"/>
      <c r="F254" s="2107"/>
      <c r="G254" s="2107"/>
      <c r="H254" s="2095" t="s">
        <v>1010</v>
      </c>
      <c r="I254" s="1701">
        <f>I249+I253</f>
        <v>0</v>
      </c>
      <c r="J254" s="2576">
        <f t="shared" ref="J254:P254" si="147">J249+J253</f>
        <v>0</v>
      </c>
      <c r="K254" s="2325">
        <f t="shared" si="147"/>
        <v>0</v>
      </c>
      <c r="L254" s="1701">
        <f t="shared" si="147"/>
        <v>0</v>
      </c>
      <c r="M254" s="1701">
        <f t="shared" si="147"/>
        <v>0</v>
      </c>
      <c r="N254" s="1701">
        <f t="shared" si="147"/>
        <v>0</v>
      </c>
      <c r="O254" s="1701">
        <f t="shared" si="147"/>
        <v>0</v>
      </c>
      <c r="P254" s="2617">
        <f t="shared" si="147"/>
        <v>0</v>
      </c>
      <c r="Q254" s="2411"/>
      <c r="R254" s="2401">
        <f t="shared" si="142"/>
        <v>0</v>
      </c>
      <c r="S254" s="1701">
        <f t="shared" si="143"/>
        <v>0</v>
      </c>
      <c r="T254" s="2123">
        <f t="shared" si="144"/>
        <v>0</v>
      </c>
      <c r="U254" s="2123">
        <f t="shared" si="145"/>
        <v>0</v>
      </c>
      <c r="V254" s="2123"/>
      <c r="W254" s="2440"/>
      <c r="X254" s="2113"/>
      <c r="Z254" s="209">
        <f>Z249+Z253</f>
        <v>0</v>
      </c>
      <c r="AC254" s="1701"/>
      <c r="AD254" s="1025">
        <v>0</v>
      </c>
      <c r="AE254" s="172">
        <f t="shared" si="115"/>
        <v>0</v>
      </c>
      <c r="AG254" s="1701">
        <f t="shared" si="116"/>
        <v>0</v>
      </c>
    </row>
    <row r="255" spans="1:33" ht="25.5" hidden="1">
      <c r="A255" s="2683"/>
      <c r="B255" s="2110" t="s">
        <v>1023</v>
      </c>
      <c r="C255" s="1426"/>
      <c r="D255" s="2108"/>
      <c r="E255" s="2108"/>
      <c r="F255" s="2107"/>
      <c r="G255" s="2107"/>
      <c r="H255" s="2095" t="s">
        <v>1024</v>
      </c>
      <c r="I255" s="1365">
        <v>0</v>
      </c>
      <c r="J255" s="2575">
        <v>0</v>
      </c>
      <c r="K255" s="2321">
        <v>0</v>
      </c>
      <c r="L255" s="1365">
        <f t="shared" ref="L255:L263" si="148">+K255</f>
        <v>0</v>
      </c>
      <c r="M255" s="1365">
        <f t="shared" ref="M255:N263" si="149">+L255</f>
        <v>0</v>
      </c>
      <c r="N255" s="1365">
        <f t="shared" ref="N255:N263" si="150">+M255</f>
        <v>0</v>
      </c>
      <c r="O255" s="1365">
        <f t="shared" ref="O255:O263" si="151">+N255</f>
        <v>0</v>
      </c>
      <c r="P255" s="2618">
        <v>0</v>
      </c>
      <c r="Q255" s="2409"/>
      <c r="R255" s="2399">
        <f t="shared" si="142"/>
        <v>0</v>
      </c>
      <c r="S255" s="1365">
        <f t="shared" si="143"/>
        <v>0</v>
      </c>
      <c r="T255" s="1701">
        <f t="shared" si="144"/>
        <v>0</v>
      </c>
      <c r="U255" s="1701">
        <f t="shared" si="145"/>
        <v>0</v>
      </c>
      <c r="V255" s="1701"/>
      <c r="W255" s="2438"/>
      <c r="X255" s="2113"/>
      <c r="Z255" s="192">
        <v>0</v>
      </c>
      <c r="AC255" s="1365"/>
      <c r="AD255" s="1014">
        <v>0</v>
      </c>
      <c r="AE255" s="172">
        <f t="shared" si="115"/>
        <v>0</v>
      </c>
      <c r="AG255" s="1365">
        <f t="shared" si="116"/>
        <v>0</v>
      </c>
    </row>
    <row r="256" spans="1:33" ht="25.5" hidden="1">
      <c r="A256" s="2683"/>
      <c r="B256" s="2110" t="s">
        <v>1025</v>
      </c>
      <c r="C256" s="1426"/>
      <c r="D256" s="2108"/>
      <c r="E256" s="2108"/>
      <c r="F256" s="2107"/>
      <c r="G256" s="2107"/>
      <c r="H256" s="2095" t="s">
        <v>1026</v>
      </c>
      <c r="I256" s="1365">
        <v>0</v>
      </c>
      <c r="J256" s="2575">
        <v>0</v>
      </c>
      <c r="K256" s="2321">
        <v>0</v>
      </c>
      <c r="L256" s="1365">
        <f t="shared" si="148"/>
        <v>0</v>
      </c>
      <c r="M256" s="1365">
        <f t="shared" si="149"/>
        <v>0</v>
      </c>
      <c r="N256" s="1365">
        <f t="shared" si="150"/>
        <v>0</v>
      </c>
      <c r="O256" s="1365">
        <f t="shared" si="151"/>
        <v>0</v>
      </c>
      <c r="P256" s="2618">
        <v>0</v>
      </c>
      <c r="Q256" s="2409"/>
      <c r="R256" s="2399">
        <f t="shared" si="142"/>
        <v>0</v>
      </c>
      <c r="S256" s="1365">
        <f t="shared" si="143"/>
        <v>0</v>
      </c>
      <c r="T256" s="1701">
        <f t="shared" si="144"/>
        <v>0</v>
      </c>
      <c r="U256" s="1701">
        <f t="shared" si="145"/>
        <v>0</v>
      </c>
      <c r="V256" s="1701"/>
      <c r="W256" s="2438"/>
      <c r="X256" s="2113"/>
      <c r="Z256" s="192">
        <v>0</v>
      </c>
      <c r="AC256" s="1365"/>
      <c r="AD256" s="1014">
        <v>0</v>
      </c>
      <c r="AE256" s="172">
        <f t="shared" si="115"/>
        <v>0</v>
      </c>
      <c r="AG256" s="1365">
        <f t="shared" si="116"/>
        <v>0</v>
      </c>
    </row>
    <row r="257" spans="1:33" hidden="1">
      <c r="A257" s="2683"/>
      <c r="B257" s="2110" t="s">
        <v>1027</v>
      </c>
      <c r="C257" s="1426"/>
      <c r="D257" s="2108"/>
      <c r="E257" s="2108"/>
      <c r="F257" s="2107"/>
      <c r="G257" s="2107"/>
      <c r="H257" s="2095" t="s">
        <v>1028</v>
      </c>
      <c r="I257" s="1365">
        <f>100000-100000</f>
        <v>0</v>
      </c>
      <c r="J257" s="2575">
        <v>0</v>
      </c>
      <c r="K257" s="2321">
        <f>100000-100000</f>
        <v>0</v>
      </c>
      <c r="L257" s="1365">
        <f t="shared" si="148"/>
        <v>0</v>
      </c>
      <c r="M257" s="1365">
        <f t="shared" si="149"/>
        <v>0</v>
      </c>
      <c r="N257" s="1365">
        <f t="shared" si="150"/>
        <v>0</v>
      </c>
      <c r="O257" s="1365">
        <f t="shared" si="151"/>
        <v>0</v>
      </c>
      <c r="P257" s="2618">
        <v>0</v>
      </c>
      <c r="Q257" s="2409"/>
      <c r="R257" s="2399">
        <f t="shared" si="142"/>
        <v>0</v>
      </c>
      <c r="S257" s="1365">
        <f t="shared" si="143"/>
        <v>0</v>
      </c>
      <c r="T257" s="1701">
        <f t="shared" si="144"/>
        <v>0</v>
      </c>
      <c r="U257" s="1701">
        <f t="shared" si="145"/>
        <v>0</v>
      </c>
      <c r="V257" s="1701"/>
      <c r="W257" s="2438"/>
      <c r="X257" s="2113"/>
      <c r="Z257" s="192">
        <v>0</v>
      </c>
      <c r="AC257" s="1365"/>
      <c r="AD257" s="1014">
        <v>0</v>
      </c>
      <c r="AE257" s="172">
        <f t="shared" si="115"/>
        <v>0</v>
      </c>
      <c r="AG257" s="1365">
        <f t="shared" si="116"/>
        <v>0</v>
      </c>
    </row>
    <row r="258" spans="1:33" ht="25.5" hidden="1">
      <c r="A258" s="2684" t="s">
        <v>1029</v>
      </c>
      <c r="B258" s="2097" t="s">
        <v>3179</v>
      </c>
      <c r="C258" s="1426" t="s">
        <v>1030</v>
      </c>
      <c r="D258" s="2108" t="s">
        <v>1031</v>
      </c>
      <c r="E258" s="2108"/>
      <c r="F258" s="2107"/>
      <c r="G258" s="2107"/>
      <c r="H258" s="2095"/>
      <c r="I258" s="1365">
        <f>0</f>
        <v>0</v>
      </c>
      <c r="J258" s="2575">
        <v>0</v>
      </c>
      <c r="K258" s="2321">
        <f>0</f>
        <v>0</v>
      </c>
      <c r="L258" s="1365">
        <f t="shared" si="148"/>
        <v>0</v>
      </c>
      <c r="M258" s="1365">
        <f>+L258</f>
        <v>0</v>
      </c>
      <c r="N258" s="1365">
        <f t="shared" si="150"/>
        <v>0</v>
      </c>
      <c r="O258" s="1365">
        <f t="shared" si="151"/>
        <v>0</v>
      </c>
      <c r="P258" s="3170">
        <v>0</v>
      </c>
      <c r="Q258" s="2409"/>
      <c r="R258" s="2399">
        <f t="shared" si="142"/>
        <v>0</v>
      </c>
      <c r="S258" s="1365">
        <f t="shared" si="143"/>
        <v>0</v>
      </c>
      <c r="T258" s="1701">
        <f t="shared" si="144"/>
        <v>0</v>
      </c>
      <c r="U258" s="1701">
        <f t="shared" si="145"/>
        <v>0</v>
      </c>
      <c r="V258" s="1701"/>
      <c r="W258" s="2438"/>
      <c r="X258" s="2113"/>
      <c r="Z258" s="1207">
        <v>0</v>
      </c>
      <c r="AC258" s="2408"/>
      <c r="AD258" s="2651">
        <v>0</v>
      </c>
      <c r="AE258" s="172">
        <f t="shared" si="115"/>
        <v>0</v>
      </c>
      <c r="AG258" s="2408">
        <f t="shared" si="116"/>
        <v>0</v>
      </c>
    </row>
    <row r="259" spans="1:33" ht="44.25" customHeight="1">
      <c r="A259" s="2684" t="s">
        <v>1058</v>
      </c>
      <c r="B259" s="2097" t="s">
        <v>3746</v>
      </c>
      <c r="C259" s="1426" t="s">
        <v>1032</v>
      </c>
      <c r="D259" s="2108" t="s">
        <v>1031</v>
      </c>
      <c r="E259" s="2108">
        <v>3</v>
      </c>
      <c r="F259" s="1541" t="s">
        <v>751</v>
      </c>
      <c r="G259" s="2098">
        <v>9990001</v>
      </c>
      <c r="H259" s="2095" t="s">
        <v>1033</v>
      </c>
      <c r="I259" s="1365">
        <v>0</v>
      </c>
      <c r="J259" s="2575">
        <v>0</v>
      </c>
      <c r="K259" s="2321">
        <f>0+350000000</f>
        <v>350000000</v>
      </c>
      <c r="L259" s="1365">
        <f t="shared" si="148"/>
        <v>350000000</v>
      </c>
      <c r="M259" s="1365">
        <f t="shared" si="149"/>
        <v>350000000</v>
      </c>
      <c r="N259" s="1365">
        <f>+M259-175000000</f>
        <v>175000000</v>
      </c>
      <c r="O259" s="1365">
        <f t="shared" si="151"/>
        <v>175000000</v>
      </c>
      <c r="P259" s="3170">
        <v>175000000</v>
      </c>
      <c r="Q259" s="2409">
        <f>+P259/N259</f>
        <v>1</v>
      </c>
      <c r="R259" s="2399">
        <f t="shared" si="142"/>
        <v>0</v>
      </c>
      <c r="S259" s="1365">
        <f t="shared" si="143"/>
        <v>0</v>
      </c>
      <c r="T259" s="1701">
        <f t="shared" si="144"/>
        <v>-175000000</v>
      </c>
      <c r="U259" s="1701">
        <f t="shared" si="145"/>
        <v>0</v>
      </c>
      <c r="V259" s="1701"/>
      <c r="W259" s="2438"/>
      <c r="X259" s="2113"/>
      <c r="Z259" s="192">
        <v>0</v>
      </c>
      <c r="AC259" s="2408"/>
      <c r="AD259" s="1014">
        <v>0</v>
      </c>
      <c r="AE259" s="172">
        <f t="shared" si="115"/>
        <v>0</v>
      </c>
      <c r="AG259" s="2408">
        <f t="shared" si="116"/>
        <v>0</v>
      </c>
    </row>
    <row r="260" spans="1:33" ht="30" hidden="1">
      <c r="A260" s="2684" t="s">
        <v>880</v>
      </c>
      <c r="B260" s="2153" t="s">
        <v>1034</v>
      </c>
      <c r="C260" s="1426" t="s">
        <v>1032</v>
      </c>
      <c r="D260" s="2108"/>
      <c r="E260" s="2108"/>
      <c r="F260" s="2107"/>
      <c r="G260" s="2098"/>
      <c r="H260" s="2095"/>
      <c r="I260" s="1365">
        <f>0</f>
        <v>0</v>
      </c>
      <c r="J260" s="2575">
        <v>0</v>
      </c>
      <c r="K260" s="2321">
        <f>0</f>
        <v>0</v>
      </c>
      <c r="L260" s="1365">
        <f t="shared" si="148"/>
        <v>0</v>
      </c>
      <c r="M260" s="1365">
        <f t="shared" si="149"/>
        <v>0</v>
      </c>
      <c r="N260" s="1365">
        <f t="shared" si="150"/>
        <v>0</v>
      </c>
      <c r="O260" s="1365">
        <f t="shared" si="151"/>
        <v>0</v>
      </c>
      <c r="P260" s="2618">
        <v>0</v>
      </c>
      <c r="Q260" s="2409"/>
      <c r="R260" s="2399"/>
      <c r="S260" s="1365"/>
      <c r="T260" s="1701"/>
      <c r="U260" s="1701"/>
      <c r="V260" s="1701"/>
      <c r="W260" s="2438"/>
      <c r="X260" s="2113"/>
      <c r="Z260" s="192">
        <v>0</v>
      </c>
      <c r="AC260" s="1365"/>
      <c r="AD260" s="1014">
        <v>0</v>
      </c>
      <c r="AE260" s="172">
        <f t="shared" si="115"/>
        <v>0</v>
      </c>
      <c r="AG260" s="1365">
        <f t="shared" si="116"/>
        <v>0</v>
      </c>
    </row>
    <row r="261" spans="1:33" hidden="1">
      <c r="A261" s="2684" t="s">
        <v>1060</v>
      </c>
      <c r="B261" s="2154" t="s">
        <v>3200</v>
      </c>
      <c r="C261" s="1426" t="s">
        <v>1032</v>
      </c>
      <c r="D261" s="2108" t="s">
        <v>1035</v>
      </c>
      <c r="E261" s="2108">
        <v>3</v>
      </c>
      <c r="F261" s="1541" t="s">
        <v>1036</v>
      </c>
      <c r="G261" s="2098">
        <v>9990001</v>
      </c>
      <c r="H261" s="2095" t="s">
        <v>1033</v>
      </c>
      <c r="I261" s="2155">
        <f>7000000-7000000</f>
        <v>0</v>
      </c>
      <c r="J261" s="2575">
        <v>0</v>
      </c>
      <c r="K261" s="2330">
        <f>7000000-7000000</f>
        <v>0</v>
      </c>
      <c r="L261" s="1365">
        <f t="shared" si="148"/>
        <v>0</v>
      </c>
      <c r="M261" s="1365">
        <f t="shared" si="149"/>
        <v>0</v>
      </c>
      <c r="N261" s="1365">
        <f t="shared" si="149"/>
        <v>0</v>
      </c>
      <c r="O261" s="1365">
        <f t="shared" si="151"/>
        <v>0</v>
      </c>
      <c r="P261" s="3170"/>
      <c r="Q261" s="2409"/>
      <c r="R261" s="2399"/>
      <c r="S261" s="1365"/>
      <c r="T261" s="1701"/>
      <c r="U261" s="1701"/>
      <c r="V261" s="1701"/>
      <c r="W261" s="2438"/>
      <c r="X261" s="2113"/>
      <c r="Z261" s="1207"/>
      <c r="AC261" s="2408"/>
      <c r="AD261" s="2651">
        <v>0</v>
      </c>
      <c r="AE261" s="172">
        <f t="shared" si="115"/>
        <v>0</v>
      </c>
      <c r="AG261" s="2408">
        <f t="shared" si="116"/>
        <v>0</v>
      </c>
    </row>
    <row r="262" spans="1:33" ht="15" hidden="1">
      <c r="A262" s="2684" t="s">
        <v>1037</v>
      </c>
      <c r="B262" s="2153" t="s">
        <v>1038</v>
      </c>
      <c r="C262" s="1426" t="s">
        <v>1032</v>
      </c>
      <c r="D262" s="2108" t="s">
        <v>1039</v>
      </c>
      <c r="E262" s="2108">
        <v>3</v>
      </c>
      <c r="F262" s="1541" t="s">
        <v>751</v>
      </c>
      <c r="G262" s="2098">
        <v>9990001</v>
      </c>
      <c r="H262" s="2095" t="s">
        <v>1033</v>
      </c>
      <c r="I262" s="1365">
        <f>0</f>
        <v>0</v>
      </c>
      <c r="J262" s="2575">
        <v>0</v>
      </c>
      <c r="K262" s="2321">
        <f>0</f>
        <v>0</v>
      </c>
      <c r="L262" s="1365">
        <f t="shared" si="148"/>
        <v>0</v>
      </c>
      <c r="M262" s="1365">
        <f t="shared" si="149"/>
        <v>0</v>
      </c>
      <c r="N262" s="1365">
        <f t="shared" si="150"/>
        <v>0</v>
      </c>
      <c r="O262" s="1365">
        <f t="shared" si="151"/>
        <v>0</v>
      </c>
      <c r="P262" s="3170">
        <v>0</v>
      </c>
      <c r="Q262" s="2409"/>
      <c r="R262" s="2399"/>
      <c r="S262" s="1365"/>
      <c r="T262" s="1701"/>
      <c r="U262" s="1701"/>
      <c r="V262" s="1701"/>
      <c r="W262" s="2438"/>
      <c r="X262" s="2113"/>
      <c r="Z262" s="1207">
        <v>0</v>
      </c>
      <c r="AC262" s="2408"/>
      <c r="AD262" s="2651">
        <v>0</v>
      </c>
      <c r="AE262" s="172">
        <f t="shared" si="115"/>
        <v>0</v>
      </c>
      <c r="AG262" s="2408">
        <f t="shared" si="116"/>
        <v>0</v>
      </c>
    </row>
    <row r="263" spans="1:33" ht="38.25" hidden="1">
      <c r="A263" s="2684" t="s">
        <v>1040</v>
      </c>
      <c r="B263" s="2156" t="s">
        <v>1041</v>
      </c>
      <c r="C263" s="1426" t="s">
        <v>1032</v>
      </c>
      <c r="D263" s="2108" t="s">
        <v>1042</v>
      </c>
      <c r="E263" s="2108">
        <v>3</v>
      </c>
      <c r="F263" s="1541" t="s">
        <v>1043</v>
      </c>
      <c r="G263" s="2098"/>
      <c r="H263" s="2095" t="s">
        <v>1044</v>
      </c>
      <c r="I263" s="1365">
        <f>0</f>
        <v>0</v>
      </c>
      <c r="J263" s="2575">
        <v>0</v>
      </c>
      <c r="K263" s="2321">
        <f>0</f>
        <v>0</v>
      </c>
      <c r="L263" s="1365">
        <f t="shared" si="148"/>
        <v>0</v>
      </c>
      <c r="M263" s="1365">
        <f t="shared" si="149"/>
        <v>0</v>
      </c>
      <c r="N263" s="1365">
        <f t="shared" si="150"/>
        <v>0</v>
      </c>
      <c r="O263" s="1365">
        <f t="shared" si="151"/>
        <v>0</v>
      </c>
      <c r="P263" s="2618">
        <v>0</v>
      </c>
      <c r="Q263" s="2409"/>
      <c r="R263" s="2399"/>
      <c r="S263" s="1365"/>
      <c r="T263" s="1701"/>
      <c r="U263" s="1701"/>
      <c r="V263" s="1701"/>
      <c r="W263" s="2438"/>
      <c r="X263" s="2113"/>
      <c r="Z263" s="216">
        <v>0</v>
      </c>
      <c r="AC263" s="2413"/>
      <c r="AD263" s="1014">
        <v>0</v>
      </c>
      <c r="AE263" s="172">
        <f t="shared" si="115"/>
        <v>0</v>
      </c>
      <c r="AG263" s="2413">
        <f t="shared" si="116"/>
        <v>0</v>
      </c>
    </row>
    <row r="264" spans="1:33">
      <c r="A264" s="2683" t="s">
        <v>1060</v>
      </c>
      <c r="B264" s="2110" t="s">
        <v>3798</v>
      </c>
      <c r="C264" s="1426"/>
      <c r="D264" s="2108"/>
      <c r="E264" s="2108"/>
      <c r="F264" s="2107"/>
      <c r="G264" s="2098"/>
      <c r="H264" s="2095" t="s">
        <v>1046</v>
      </c>
      <c r="I264" s="1701">
        <f>SUM(I258:I263)</f>
        <v>0</v>
      </c>
      <c r="J264" s="2576">
        <f t="shared" ref="J264:P264" si="152">SUM(J258:J263)</f>
        <v>0</v>
      </c>
      <c r="K264" s="2325">
        <f t="shared" si="152"/>
        <v>350000000</v>
      </c>
      <c r="L264" s="1701">
        <f t="shared" si="152"/>
        <v>350000000</v>
      </c>
      <c r="M264" s="1701">
        <f t="shared" si="152"/>
        <v>350000000</v>
      </c>
      <c r="N264" s="1701">
        <f t="shared" si="152"/>
        <v>175000000</v>
      </c>
      <c r="O264" s="1701">
        <f t="shared" si="152"/>
        <v>175000000</v>
      </c>
      <c r="P264" s="2617">
        <f t="shared" si="152"/>
        <v>175000000</v>
      </c>
      <c r="Q264" s="2409">
        <f>+P264/N264</f>
        <v>1</v>
      </c>
      <c r="R264" s="2399">
        <f t="shared" ref="R264:R287" si="153">+L264-K264</f>
        <v>0</v>
      </c>
      <c r="S264" s="1365">
        <f t="shared" ref="S264:S287" si="154">+M264-L264</f>
        <v>0</v>
      </c>
      <c r="T264" s="1701">
        <f t="shared" ref="T264:T287" si="155">+N264-M264</f>
        <v>-175000000</v>
      </c>
      <c r="U264" s="1701">
        <f t="shared" ref="U264:U287" si="156">+O264-N264</f>
        <v>0</v>
      </c>
      <c r="V264" s="1701"/>
      <c r="W264" s="2438"/>
      <c r="X264" s="2113"/>
      <c r="Z264" s="209">
        <f>SUM(Z258:Z263)</f>
        <v>0</v>
      </c>
      <c r="AC264" s="1701"/>
      <c r="AD264" s="1025">
        <v>0</v>
      </c>
      <c r="AE264" s="172">
        <f t="shared" ref="AE264:AE323" si="157">+J264-AD264</f>
        <v>0</v>
      </c>
      <c r="AG264" s="1701">
        <f t="shared" ref="AG264:AG323" si="158">+P264-N264</f>
        <v>0</v>
      </c>
    </row>
    <row r="265" spans="1:33" hidden="1">
      <c r="A265" s="1916"/>
      <c r="B265" s="2097"/>
      <c r="C265" s="1541" t="s">
        <v>1012</v>
      </c>
      <c r="D265" s="2098" t="s">
        <v>1047</v>
      </c>
      <c r="E265" s="2098">
        <v>3</v>
      </c>
      <c r="F265" s="1541" t="s">
        <v>1048</v>
      </c>
      <c r="G265" s="2098">
        <v>9990001</v>
      </c>
      <c r="H265" s="2099" t="s">
        <v>1049</v>
      </c>
      <c r="I265" s="1365">
        <v>0</v>
      </c>
      <c r="J265" s="2575">
        <v>0</v>
      </c>
      <c r="K265" s="2321">
        <v>0</v>
      </c>
      <c r="L265" s="1365">
        <f t="shared" ref="L265:O269" si="159">+K265</f>
        <v>0</v>
      </c>
      <c r="M265" s="1365">
        <f t="shared" si="159"/>
        <v>0</v>
      </c>
      <c r="N265" s="1365">
        <f t="shared" si="159"/>
        <v>0</v>
      </c>
      <c r="O265" s="1365">
        <f t="shared" si="159"/>
        <v>0</v>
      </c>
      <c r="P265" s="3170"/>
      <c r="Q265" s="2409"/>
      <c r="R265" s="2399">
        <f t="shared" si="153"/>
        <v>0</v>
      </c>
      <c r="S265" s="1365">
        <f t="shared" si="154"/>
        <v>0</v>
      </c>
      <c r="T265" s="1701">
        <f t="shared" si="155"/>
        <v>0</v>
      </c>
      <c r="U265" s="1701">
        <f t="shared" si="156"/>
        <v>0</v>
      </c>
      <c r="V265" s="1701"/>
      <c r="W265" s="2438"/>
      <c r="X265" s="2113"/>
      <c r="Z265" s="1207"/>
      <c r="AC265" s="2408"/>
      <c r="AD265" s="2651"/>
      <c r="AE265" s="172">
        <f t="shared" si="157"/>
        <v>0</v>
      </c>
      <c r="AG265" s="2408">
        <f t="shared" si="158"/>
        <v>0</v>
      </c>
    </row>
    <row r="266" spans="1:33" ht="26.25" customHeight="1">
      <c r="A266" s="2684" t="s">
        <v>1062</v>
      </c>
      <c r="B266" s="2097" t="s">
        <v>3581</v>
      </c>
      <c r="C266" s="1541" t="s">
        <v>512</v>
      </c>
      <c r="D266" s="2098" t="s">
        <v>3278</v>
      </c>
      <c r="E266" s="2098">
        <v>3</v>
      </c>
      <c r="F266" s="1541" t="s">
        <v>2421</v>
      </c>
      <c r="G266" s="2098">
        <v>9990001</v>
      </c>
      <c r="H266" s="2099" t="s">
        <v>1051</v>
      </c>
      <c r="I266" s="1365">
        <f>428646048+371353952</f>
        <v>800000000</v>
      </c>
      <c r="J266" s="2575">
        <v>0</v>
      </c>
      <c r="K266" s="2321">
        <f>(217450847+277324871+43985561)+133589444</f>
        <v>672350723</v>
      </c>
      <c r="L266" s="1365">
        <f t="shared" si="159"/>
        <v>672350723</v>
      </c>
      <c r="M266" s="1365">
        <f>+L266</f>
        <v>672350723</v>
      </c>
      <c r="N266" s="1365">
        <f>+M266-252340875-25249458</f>
        <v>394760390</v>
      </c>
      <c r="O266" s="1365">
        <f t="shared" si="159"/>
        <v>394760390</v>
      </c>
      <c r="P266" s="3170">
        <v>394760390</v>
      </c>
      <c r="Q266" s="2411">
        <f>+P266/N266</f>
        <v>1</v>
      </c>
      <c r="R266" s="2399">
        <f t="shared" si="153"/>
        <v>0</v>
      </c>
      <c r="S266" s="1365">
        <f t="shared" si="154"/>
        <v>0</v>
      </c>
      <c r="T266" s="1701">
        <f t="shared" si="155"/>
        <v>-277590333</v>
      </c>
      <c r="U266" s="1701">
        <f t="shared" si="156"/>
        <v>0</v>
      </c>
      <c r="V266" s="1701"/>
      <c r="W266" s="2438"/>
      <c r="X266" s="2113"/>
      <c r="Z266" s="1207"/>
      <c r="AC266" s="2408"/>
      <c r="AD266" s="2651">
        <v>0</v>
      </c>
      <c r="AE266" s="172">
        <f t="shared" si="157"/>
        <v>0</v>
      </c>
      <c r="AG266" s="2408">
        <f t="shared" si="158"/>
        <v>0</v>
      </c>
    </row>
    <row r="267" spans="1:33">
      <c r="A267" s="2684" t="s">
        <v>1065</v>
      </c>
      <c r="B267" s="2097" t="s">
        <v>3725</v>
      </c>
      <c r="C267" s="1541" t="s">
        <v>1012</v>
      </c>
      <c r="D267" s="2098" t="s">
        <v>1052</v>
      </c>
      <c r="E267" s="2098"/>
      <c r="F267" s="1541"/>
      <c r="G267" s="2098"/>
      <c r="H267" s="2099" t="s">
        <v>1015</v>
      </c>
      <c r="I267" s="1365">
        <f>0</f>
        <v>0</v>
      </c>
      <c r="J267" s="2575">
        <v>0</v>
      </c>
      <c r="K267" s="2321">
        <f>46000000</f>
        <v>46000000</v>
      </c>
      <c r="L267" s="1365">
        <f t="shared" si="159"/>
        <v>46000000</v>
      </c>
      <c r="M267" s="1365">
        <f>+L267</f>
        <v>46000000</v>
      </c>
      <c r="N267" s="1365">
        <f>+M267-46000000</f>
        <v>0</v>
      </c>
      <c r="O267" s="1365">
        <f t="shared" si="159"/>
        <v>0</v>
      </c>
      <c r="P267" s="3170">
        <v>0</v>
      </c>
      <c r="Q267" s="2411"/>
      <c r="R267" s="2399">
        <f t="shared" si="153"/>
        <v>0</v>
      </c>
      <c r="S267" s="1365">
        <f t="shared" si="154"/>
        <v>0</v>
      </c>
      <c r="T267" s="1701">
        <f t="shared" si="155"/>
        <v>-46000000</v>
      </c>
      <c r="U267" s="1701">
        <f t="shared" si="156"/>
        <v>0</v>
      </c>
      <c r="V267" s="1701"/>
      <c r="W267" s="2438"/>
      <c r="X267" s="2113"/>
      <c r="Z267" s="1207"/>
      <c r="AC267" s="2408"/>
      <c r="AD267" s="2651"/>
      <c r="AE267" s="172">
        <f t="shared" si="157"/>
        <v>0</v>
      </c>
      <c r="AG267" s="2408">
        <f t="shared" si="158"/>
        <v>0</v>
      </c>
    </row>
    <row r="268" spans="1:33" ht="39" customHeight="1">
      <c r="A268" s="2686" t="s">
        <v>3898</v>
      </c>
      <c r="B268" s="2097" t="s">
        <v>3792</v>
      </c>
      <c r="C268" s="1541" t="s">
        <v>1032</v>
      </c>
      <c r="D268" s="2260"/>
      <c r="E268" s="2098"/>
      <c r="F268" s="2261" t="s">
        <v>1050</v>
      </c>
      <c r="G268" s="2098"/>
      <c r="H268" s="2099"/>
      <c r="I268" s="1365">
        <v>0</v>
      </c>
      <c r="J268" s="2575">
        <v>0</v>
      </c>
      <c r="K268" s="2321">
        <f>563000000</f>
        <v>563000000</v>
      </c>
      <c r="L268" s="1365">
        <f t="shared" si="159"/>
        <v>563000000</v>
      </c>
      <c r="M268" s="1365">
        <f t="shared" si="159"/>
        <v>563000000</v>
      </c>
      <c r="N268" s="1365">
        <f t="shared" si="159"/>
        <v>563000000</v>
      </c>
      <c r="O268" s="1365">
        <f t="shared" si="159"/>
        <v>563000000</v>
      </c>
      <c r="P268" s="3170">
        <v>563000000</v>
      </c>
      <c r="Q268" s="2411">
        <f>+P268/N268</f>
        <v>1</v>
      </c>
      <c r="R268" s="2399">
        <f t="shared" si="153"/>
        <v>0</v>
      </c>
      <c r="S268" s="1365">
        <f t="shared" si="154"/>
        <v>0</v>
      </c>
      <c r="T268" s="1701">
        <f t="shared" si="155"/>
        <v>0</v>
      </c>
      <c r="U268" s="1701">
        <f t="shared" si="156"/>
        <v>0</v>
      </c>
      <c r="V268" s="1701"/>
      <c r="W268" s="2438"/>
      <c r="X268" s="2113"/>
      <c r="Z268" s="1207"/>
      <c r="AC268" s="2408"/>
      <c r="AD268" s="2651"/>
      <c r="AE268" s="172">
        <f t="shared" si="157"/>
        <v>0</v>
      </c>
      <c r="AG268" s="2408">
        <f t="shared" si="158"/>
        <v>0</v>
      </c>
    </row>
    <row r="269" spans="1:33" ht="38.25">
      <c r="A269" s="2686" t="s">
        <v>3897</v>
      </c>
      <c r="B269" s="2097" t="s">
        <v>3892</v>
      </c>
      <c r="C269" s="1541" t="s">
        <v>599</v>
      </c>
      <c r="D269" s="2098" t="s">
        <v>1053</v>
      </c>
      <c r="E269" s="2098">
        <v>3</v>
      </c>
      <c r="F269" s="1541" t="s">
        <v>1054</v>
      </c>
      <c r="G269" s="2098">
        <v>9990001</v>
      </c>
      <c r="H269" s="2099" t="s">
        <v>1051</v>
      </c>
      <c r="I269" s="1365">
        <v>0</v>
      </c>
      <c r="J269" s="2575">
        <v>0</v>
      </c>
      <c r="K269" s="2321">
        <v>0</v>
      </c>
      <c r="L269" s="1365">
        <f t="shared" si="159"/>
        <v>0</v>
      </c>
      <c r="M269" s="1365">
        <f>+L269+60000000</f>
        <v>60000000</v>
      </c>
      <c r="N269" s="1365">
        <f t="shared" si="159"/>
        <v>60000000</v>
      </c>
      <c r="O269" s="1365">
        <f t="shared" si="159"/>
        <v>60000000</v>
      </c>
      <c r="P269" s="3170">
        <v>60000000</v>
      </c>
      <c r="Q269" s="2411">
        <f>+P269/N269</f>
        <v>1</v>
      </c>
      <c r="R269" s="2399">
        <f t="shared" si="153"/>
        <v>0</v>
      </c>
      <c r="S269" s="1365">
        <f t="shared" si="154"/>
        <v>60000000</v>
      </c>
      <c r="T269" s="1701">
        <f t="shared" si="155"/>
        <v>0</v>
      </c>
      <c r="U269" s="1701">
        <f t="shared" si="156"/>
        <v>0</v>
      </c>
      <c r="V269" s="1701"/>
      <c r="W269" s="2438"/>
      <c r="X269" s="2113"/>
      <c r="Z269" s="1207"/>
      <c r="AC269" s="2408"/>
      <c r="AD269" s="2651"/>
      <c r="AE269" s="172">
        <f t="shared" si="157"/>
        <v>0</v>
      </c>
      <c r="AG269" s="2408">
        <f t="shared" si="158"/>
        <v>0</v>
      </c>
    </row>
    <row r="270" spans="1:33" ht="26.25" customHeight="1">
      <c r="A270" s="2683" t="s">
        <v>1070</v>
      </c>
      <c r="B270" s="2110" t="s">
        <v>3893</v>
      </c>
      <c r="C270" s="1426"/>
      <c r="D270" s="2108"/>
      <c r="E270" s="2108"/>
      <c r="F270" s="2107"/>
      <c r="G270" s="2107"/>
      <c r="H270" s="2095" t="s">
        <v>1056</v>
      </c>
      <c r="I270" s="1701">
        <f>+I265+I266+I267+I268+I269</f>
        <v>800000000</v>
      </c>
      <c r="J270" s="2576">
        <f t="shared" ref="J270:O270" si="160">+J265+J266+J267+J268+J269</f>
        <v>0</v>
      </c>
      <c r="K270" s="2325">
        <f t="shared" si="160"/>
        <v>1281350723</v>
      </c>
      <c r="L270" s="1701">
        <f t="shared" si="160"/>
        <v>1281350723</v>
      </c>
      <c r="M270" s="1701">
        <f t="shared" si="160"/>
        <v>1341350723</v>
      </c>
      <c r="N270" s="1701">
        <f t="shared" si="160"/>
        <v>1017760390</v>
      </c>
      <c r="O270" s="1701">
        <f t="shared" si="160"/>
        <v>1017760390</v>
      </c>
      <c r="P270" s="3186">
        <f>+P265+P266+P267+P268+P269</f>
        <v>1017760390</v>
      </c>
      <c r="Q270" s="2411">
        <f>+P270/N270</f>
        <v>1</v>
      </c>
      <c r="R270" s="2401">
        <f t="shared" si="153"/>
        <v>0</v>
      </c>
      <c r="S270" s="1701">
        <f t="shared" si="154"/>
        <v>60000000</v>
      </c>
      <c r="T270" s="1701">
        <f t="shared" si="155"/>
        <v>-323590333</v>
      </c>
      <c r="U270" s="1701">
        <f t="shared" si="156"/>
        <v>0</v>
      </c>
      <c r="V270" s="1701"/>
      <c r="W270" s="2438"/>
      <c r="X270" s="2113"/>
      <c r="Z270" s="242">
        <f>+Z265+Z266+Z267+Z268+Z269</f>
        <v>0</v>
      </c>
      <c r="AC270" s="2430"/>
      <c r="AD270" s="2668">
        <v>0</v>
      </c>
      <c r="AE270" s="172">
        <f t="shared" si="157"/>
        <v>0</v>
      </c>
      <c r="AG270" s="2430">
        <f t="shared" si="158"/>
        <v>0</v>
      </c>
    </row>
    <row r="271" spans="1:33" ht="12.75" hidden="1" customHeight="1">
      <c r="A271" s="2683"/>
      <c r="B271" s="2110" t="s">
        <v>3218</v>
      </c>
      <c r="C271" s="1426"/>
      <c r="D271" s="2108"/>
      <c r="E271" s="2108"/>
      <c r="F271" s="2107"/>
      <c r="G271" s="2107"/>
      <c r="H271" s="2095" t="s">
        <v>1057</v>
      </c>
      <c r="I271" s="1701">
        <f>+I257+I264+I270</f>
        <v>800000000</v>
      </c>
      <c r="J271" s="2576">
        <f t="shared" ref="J271:P271" si="161">+J257+J264+J270</f>
        <v>0</v>
      </c>
      <c r="K271" s="2325">
        <f t="shared" si="161"/>
        <v>1631350723</v>
      </c>
      <c r="L271" s="1701">
        <f t="shared" si="161"/>
        <v>1631350723</v>
      </c>
      <c r="M271" s="1701">
        <f t="shared" si="161"/>
        <v>1691350723</v>
      </c>
      <c r="N271" s="1701">
        <f t="shared" si="161"/>
        <v>1192760390</v>
      </c>
      <c r="O271" s="1701">
        <f t="shared" si="161"/>
        <v>1192760390</v>
      </c>
      <c r="P271" s="2617">
        <f t="shared" si="161"/>
        <v>1192760390</v>
      </c>
      <c r="Q271" s="2411">
        <f>+P271/N271</f>
        <v>1</v>
      </c>
      <c r="R271" s="2401">
        <f t="shared" si="153"/>
        <v>0</v>
      </c>
      <c r="S271" s="1701">
        <f t="shared" si="154"/>
        <v>60000000</v>
      </c>
      <c r="T271" s="1701">
        <f t="shared" si="155"/>
        <v>-498590333</v>
      </c>
      <c r="U271" s="1701">
        <f t="shared" si="156"/>
        <v>0</v>
      </c>
      <c r="V271" s="1701"/>
      <c r="W271" s="2438"/>
      <c r="X271" s="2113"/>
      <c r="Z271" s="209">
        <f>+Z257+Z264+Z270</f>
        <v>0</v>
      </c>
      <c r="AC271" s="1701"/>
      <c r="AD271" s="1025">
        <v>0</v>
      </c>
      <c r="AE271" s="172">
        <f t="shared" si="157"/>
        <v>0</v>
      </c>
      <c r="AG271" s="1701">
        <f t="shared" si="158"/>
        <v>0</v>
      </c>
    </row>
    <row r="272" spans="1:33" ht="37.5">
      <c r="A272" s="2683" t="s">
        <v>1074</v>
      </c>
      <c r="B272" s="2157" t="s">
        <v>3799</v>
      </c>
      <c r="C272" s="2158"/>
      <c r="D272" s="2159"/>
      <c r="E272" s="2159"/>
      <c r="F272" s="2120"/>
      <c r="G272" s="2120"/>
      <c r="H272" s="2122" t="s">
        <v>1059</v>
      </c>
      <c r="I272" s="2123">
        <f>+I254+I255+I256+I271</f>
        <v>800000000</v>
      </c>
      <c r="J272" s="2577">
        <f t="shared" ref="J272:P272" si="162">+J254+J255+J256+J271</f>
        <v>0</v>
      </c>
      <c r="K272" s="2326">
        <f t="shared" si="162"/>
        <v>1631350723</v>
      </c>
      <c r="L272" s="2123">
        <f t="shared" si="162"/>
        <v>1631350723</v>
      </c>
      <c r="M272" s="2123">
        <f t="shared" si="162"/>
        <v>1691350723</v>
      </c>
      <c r="N272" s="2123">
        <f t="shared" si="162"/>
        <v>1192760390</v>
      </c>
      <c r="O272" s="2123">
        <f t="shared" si="162"/>
        <v>1192760390</v>
      </c>
      <c r="P272" s="3177">
        <f t="shared" si="162"/>
        <v>1192760390</v>
      </c>
      <c r="Q272" s="2415">
        <f>+P272/N272</f>
        <v>1</v>
      </c>
      <c r="R272" s="2402">
        <f t="shared" si="153"/>
        <v>0</v>
      </c>
      <c r="S272" s="2123">
        <f t="shared" si="154"/>
        <v>60000000</v>
      </c>
      <c r="T272" s="1701">
        <f t="shared" si="155"/>
        <v>-498590333</v>
      </c>
      <c r="U272" s="1701">
        <f t="shared" si="156"/>
        <v>0</v>
      </c>
      <c r="V272" s="1701"/>
      <c r="W272" s="2438"/>
      <c r="X272" s="2454"/>
      <c r="Z272" s="222">
        <f>+Z254+Z255+Z256+Z271</f>
        <v>0</v>
      </c>
      <c r="AC272" s="2414">
        <v>1192760390</v>
      </c>
      <c r="AD272" s="1096">
        <v>0</v>
      </c>
      <c r="AE272" s="172">
        <f t="shared" si="157"/>
        <v>0</v>
      </c>
      <c r="AF272" s="2414">
        <f>+P272-AC272</f>
        <v>0</v>
      </c>
      <c r="AG272" s="2414">
        <f t="shared" si="158"/>
        <v>0</v>
      </c>
    </row>
    <row r="273" spans="1:33" ht="18.75" customHeight="1">
      <c r="A273" s="2683" t="s">
        <v>1078</v>
      </c>
      <c r="B273" s="2107" t="s">
        <v>247</v>
      </c>
      <c r="C273" s="1426"/>
      <c r="D273" s="2108"/>
      <c r="E273" s="2108"/>
      <c r="F273" s="2107"/>
      <c r="G273" s="2107"/>
      <c r="H273" s="2095" t="s">
        <v>1061</v>
      </c>
      <c r="I273" s="1701">
        <v>0</v>
      </c>
      <c r="J273" s="2576">
        <v>0</v>
      </c>
      <c r="K273" s="2325">
        <v>0</v>
      </c>
      <c r="L273" s="1701">
        <f t="shared" ref="L273:O275" si="163">+K273</f>
        <v>0</v>
      </c>
      <c r="M273" s="1701">
        <f t="shared" si="163"/>
        <v>0</v>
      </c>
      <c r="N273" s="1701">
        <f t="shared" si="163"/>
        <v>0</v>
      </c>
      <c r="O273" s="1701">
        <f t="shared" si="163"/>
        <v>0</v>
      </c>
      <c r="P273" s="2617">
        <v>0</v>
      </c>
      <c r="Q273" s="2411"/>
      <c r="R273" s="2401">
        <f t="shared" si="153"/>
        <v>0</v>
      </c>
      <c r="S273" s="1701">
        <f t="shared" si="154"/>
        <v>0</v>
      </c>
      <c r="T273" s="1701">
        <f t="shared" si="155"/>
        <v>0</v>
      </c>
      <c r="U273" s="1701">
        <f t="shared" si="156"/>
        <v>0</v>
      </c>
      <c r="V273" s="1701"/>
      <c r="W273" s="2438"/>
      <c r="X273" s="2451"/>
      <c r="Z273" s="209">
        <v>0</v>
      </c>
      <c r="AC273" s="1701"/>
      <c r="AD273" s="1025">
        <v>0</v>
      </c>
      <c r="AE273" s="172">
        <f t="shared" si="157"/>
        <v>0</v>
      </c>
      <c r="AG273" s="1701">
        <f t="shared" si="158"/>
        <v>0</v>
      </c>
    </row>
    <row r="274" spans="1:33" ht="15" customHeight="1">
      <c r="A274" s="2684" t="s">
        <v>1080</v>
      </c>
      <c r="B274" s="2109" t="s">
        <v>1063</v>
      </c>
      <c r="C274" s="1541" t="s">
        <v>736</v>
      </c>
      <c r="D274" s="2152" t="s">
        <v>1064</v>
      </c>
      <c r="E274" s="2152">
        <v>2</v>
      </c>
      <c r="F274" s="1541" t="s">
        <v>751</v>
      </c>
      <c r="G274" s="2098">
        <v>9990001</v>
      </c>
      <c r="H274" s="2099" t="s">
        <v>755</v>
      </c>
      <c r="I274" s="1365">
        <v>1004828003.1900001</v>
      </c>
      <c r="J274" s="2575">
        <v>298400423</v>
      </c>
      <c r="K274" s="2321">
        <v>813480532</v>
      </c>
      <c r="L274" s="1701">
        <f t="shared" si="163"/>
        <v>813480532</v>
      </c>
      <c r="M274" s="1365">
        <f t="shared" si="163"/>
        <v>813480532</v>
      </c>
      <c r="N274" s="1365">
        <f>+M274-95597814-64657509-2035179-170000000-173071234-285000000</f>
        <v>23118796</v>
      </c>
      <c r="O274" s="1365">
        <f t="shared" si="163"/>
        <v>23118796</v>
      </c>
      <c r="P274" s="3170">
        <v>23118796</v>
      </c>
      <c r="Q274" s="2409">
        <f>+P274/N274</f>
        <v>1</v>
      </c>
      <c r="R274" s="2401">
        <f t="shared" si="153"/>
        <v>0</v>
      </c>
      <c r="S274" s="1365">
        <f t="shared" si="154"/>
        <v>0</v>
      </c>
      <c r="T274" s="1701">
        <f t="shared" si="155"/>
        <v>-790361736</v>
      </c>
      <c r="U274" s="1701">
        <f t="shared" si="156"/>
        <v>0</v>
      </c>
      <c r="V274" s="1701">
        <f>+R274/1.27</f>
        <v>0</v>
      </c>
      <c r="W274" s="2438">
        <f>+V274*0.27</f>
        <v>0</v>
      </c>
      <c r="X274" s="2451">
        <f>+'Telek,lakás, egyéb ing.bev.terv'!E51</f>
        <v>813480532.19000006</v>
      </c>
      <c r="Y274" s="172">
        <f>+K274-X274</f>
        <v>-0.19000005722045898</v>
      </c>
      <c r="Z274" s="1207">
        <f>32364180+119867331</f>
        <v>152231511</v>
      </c>
      <c r="AC274" s="2408"/>
      <c r="AD274" s="2651">
        <v>298400423</v>
      </c>
      <c r="AE274" s="172">
        <f t="shared" si="157"/>
        <v>0</v>
      </c>
      <c r="AG274" s="2408">
        <f t="shared" si="158"/>
        <v>0</v>
      </c>
    </row>
    <row r="275" spans="1:33" ht="14.25" customHeight="1">
      <c r="A275" s="2684" t="s">
        <v>1083</v>
      </c>
      <c r="B275" s="2109" t="s">
        <v>1066</v>
      </c>
      <c r="C275" s="1541" t="s">
        <v>736</v>
      </c>
      <c r="D275" s="2098" t="s">
        <v>1067</v>
      </c>
      <c r="E275" s="2098">
        <v>2</v>
      </c>
      <c r="F275" s="2109">
        <v>13350</v>
      </c>
      <c r="G275" s="2109">
        <v>9990001</v>
      </c>
      <c r="H275" s="2099" t="s">
        <v>755</v>
      </c>
      <c r="I275" s="1365">
        <f>0</f>
        <v>0</v>
      </c>
      <c r="J275" s="2575">
        <v>0</v>
      </c>
      <c r="K275" s="2321">
        <f>0</f>
        <v>0</v>
      </c>
      <c r="L275" s="1365">
        <f t="shared" si="163"/>
        <v>0</v>
      </c>
      <c r="M275" s="1365">
        <f t="shared" si="163"/>
        <v>0</v>
      </c>
      <c r="N275" s="1365">
        <f t="shared" si="163"/>
        <v>0</v>
      </c>
      <c r="O275" s="1365">
        <f t="shared" si="163"/>
        <v>0</v>
      </c>
      <c r="P275" s="2618">
        <v>0</v>
      </c>
      <c r="Q275" s="2409"/>
      <c r="R275" s="2399">
        <f t="shared" si="153"/>
        <v>0</v>
      </c>
      <c r="S275" s="1365">
        <f t="shared" si="154"/>
        <v>0</v>
      </c>
      <c r="T275" s="1365">
        <f t="shared" si="155"/>
        <v>0</v>
      </c>
      <c r="U275" s="1365">
        <f t="shared" si="156"/>
        <v>0</v>
      </c>
      <c r="V275" s="1365"/>
      <c r="W275" s="2435"/>
      <c r="X275" s="2113"/>
      <c r="Y275" s="172"/>
      <c r="Z275" s="192">
        <v>0</v>
      </c>
      <c r="AC275" s="1365"/>
      <c r="AD275" s="1014">
        <v>0</v>
      </c>
      <c r="AE275" s="172">
        <f t="shared" si="157"/>
        <v>0</v>
      </c>
      <c r="AG275" s="1365">
        <f t="shared" si="158"/>
        <v>0</v>
      </c>
    </row>
    <row r="276" spans="1:33">
      <c r="A276" s="2683" t="s">
        <v>1085</v>
      </c>
      <c r="B276" s="2107" t="s">
        <v>3800</v>
      </c>
      <c r="C276" s="1426"/>
      <c r="D276" s="2108"/>
      <c r="E276" s="2108"/>
      <c r="F276" s="2107"/>
      <c r="G276" s="2107"/>
      <c r="H276" s="2095" t="s">
        <v>1069</v>
      </c>
      <c r="I276" s="1701">
        <f>SUM(I274:I275)</f>
        <v>1004828003.1900001</v>
      </c>
      <c r="J276" s="2576">
        <f t="shared" ref="J276:P276" si="164">SUM(J274:J275)</f>
        <v>298400423</v>
      </c>
      <c r="K276" s="2325">
        <f t="shared" si="164"/>
        <v>813480532</v>
      </c>
      <c r="L276" s="1701">
        <f t="shared" si="164"/>
        <v>813480532</v>
      </c>
      <c r="M276" s="1701">
        <f t="shared" si="164"/>
        <v>813480532</v>
      </c>
      <c r="N276" s="1701">
        <f t="shared" si="164"/>
        <v>23118796</v>
      </c>
      <c r="O276" s="1701">
        <f t="shared" si="164"/>
        <v>23118796</v>
      </c>
      <c r="P276" s="2617">
        <f t="shared" si="164"/>
        <v>23118796</v>
      </c>
      <c r="Q276" s="2411">
        <f>+P276/N276</f>
        <v>1</v>
      </c>
      <c r="R276" s="2401">
        <f t="shared" si="153"/>
        <v>0</v>
      </c>
      <c r="S276" s="1701">
        <f t="shared" si="154"/>
        <v>0</v>
      </c>
      <c r="T276" s="1701">
        <f t="shared" si="155"/>
        <v>-790361736</v>
      </c>
      <c r="U276" s="1701">
        <f t="shared" si="156"/>
        <v>0</v>
      </c>
      <c r="V276" s="1701"/>
      <c r="W276" s="2438"/>
      <c r="X276" s="2113"/>
      <c r="Y276" s="172"/>
      <c r="Z276" s="209">
        <f>SUM(Z274:Z275)</f>
        <v>152231511</v>
      </c>
      <c r="AC276" s="1701"/>
      <c r="AD276" s="1025">
        <v>298400423</v>
      </c>
      <c r="AE276" s="172">
        <f t="shared" si="157"/>
        <v>0</v>
      </c>
      <c r="AG276" s="1701">
        <f t="shared" si="158"/>
        <v>0</v>
      </c>
    </row>
    <row r="277" spans="1:33">
      <c r="A277" s="2684" t="s">
        <v>1088</v>
      </c>
      <c r="B277" s="2109" t="s">
        <v>1071</v>
      </c>
      <c r="C277" s="1541" t="s">
        <v>736</v>
      </c>
      <c r="D277" s="2152" t="s">
        <v>1072</v>
      </c>
      <c r="E277" s="2152">
        <v>2</v>
      </c>
      <c r="F277" s="1541" t="s">
        <v>751</v>
      </c>
      <c r="G277" s="2098">
        <v>9990001</v>
      </c>
      <c r="H277" s="2099" t="s">
        <v>1073</v>
      </c>
      <c r="I277" s="1365">
        <v>279058427</v>
      </c>
      <c r="J277" s="2575">
        <v>130320</v>
      </c>
      <c r="K277" s="2321">
        <v>277914322</v>
      </c>
      <c r="L277" s="1365">
        <f t="shared" ref="L277:O278" si="165">+K277</f>
        <v>277914322</v>
      </c>
      <c r="M277" s="1365">
        <f t="shared" si="165"/>
        <v>277914322</v>
      </c>
      <c r="N277" s="1365">
        <f>+M277-125817926</f>
        <v>152096396</v>
      </c>
      <c r="O277" s="1365">
        <f t="shared" si="165"/>
        <v>152096396</v>
      </c>
      <c r="P277" s="3170">
        <f>11540000+140556396+1378223-1378223</f>
        <v>152096396</v>
      </c>
      <c r="Q277" s="2409">
        <f>+P277/N277</f>
        <v>1</v>
      </c>
      <c r="R277" s="2399">
        <f t="shared" si="153"/>
        <v>0</v>
      </c>
      <c r="S277" s="1365">
        <f t="shared" si="154"/>
        <v>0</v>
      </c>
      <c r="T277" s="1701">
        <f t="shared" si="155"/>
        <v>-125817926</v>
      </c>
      <c r="U277" s="1701">
        <f t="shared" si="156"/>
        <v>0</v>
      </c>
      <c r="V277" s="1701"/>
      <c r="W277" s="2438"/>
      <c r="X277" s="2451">
        <f>+'Telek,lakás, egyéb ing.bev.terv'!C77</f>
        <v>277914322</v>
      </c>
      <c r="Y277" s="172">
        <f>+K277-X277</f>
        <v>0</v>
      </c>
      <c r="Z277" s="1207">
        <f>108600+1722189</f>
        <v>1830789</v>
      </c>
      <c r="AC277" s="2408"/>
      <c r="AD277" s="2651">
        <v>130320</v>
      </c>
      <c r="AE277" s="172">
        <f t="shared" si="157"/>
        <v>0</v>
      </c>
      <c r="AG277" s="2408">
        <f t="shared" si="158"/>
        <v>0</v>
      </c>
    </row>
    <row r="278" spans="1:33">
      <c r="A278" s="2684" t="s">
        <v>1092</v>
      </c>
      <c r="B278" s="2109" t="s">
        <v>1075</v>
      </c>
      <c r="C278" s="1541" t="s">
        <v>736</v>
      </c>
      <c r="D278" s="2152" t="s">
        <v>1076</v>
      </c>
      <c r="E278" s="2152">
        <v>2</v>
      </c>
      <c r="F278" s="1541" t="s">
        <v>751</v>
      </c>
      <c r="G278" s="2098">
        <v>9990001</v>
      </c>
      <c r="H278" s="2099" t="s">
        <v>1077</v>
      </c>
      <c r="I278" s="1365">
        <v>0</v>
      </c>
      <c r="J278" s="2575">
        <v>0</v>
      </c>
      <c r="K278" s="2321">
        <v>0</v>
      </c>
      <c r="L278" s="1365">
        <f t="shared" si="165"/>
        <v>0</v>
      </c>
      <c r="M278" s="1365">
        <f t="shared" si="165"/>
        <v>0</v>
      </c>
      <c r="N278" s="1365">
        <f t="shared" si="165"/>
        <v>0</v>
      </c>
      <c r="O278" s="1365">
        <f t="shared" si="165"/>
        <v>0</v>
      </c>
      <c r="P278" s="3170"/>
      <c r="Q278" s="2409"/>
      <c r="R278" s="2399">
        <f t="shared" si="153"/>
        <v>0</v>
      </c>
      <c r="S278" s="1365">
        <f t="shared" si="154"/>
        <v>0</v>
      </c>
      <c r="T278" s="1701">
        <f t="shared" si="155"/>
        <v>0</v>
      </c>
      <c r="U278" s="1701">
        <f t="shared" si="156"/>
        <v>0</v>
      </c>
      <c r="V278" s="1701"/>
      <c r="W278" s="2438"/>
      <c r="X278" s="2451">
        <f>+'Telek,lakás, egyéb ing.bev.terv'!C76</f>
        <v>0</v>
      </c>
      <c r="Y278" s="172">
        <f>+K278-X278</f>
        <v>0</v>
      </c>
      <c r="Z278" s="1207"/>
      <c r="AC278" s="2408"/>
      <c r="AD278" s="2651">
        <v>0</v>
      </c>
      <c r="AE278" s="172">
        <f t="shared" si="157"/>
        <v>0</v>
      </c>
      <c r="AG278" s="2408">
        <f t="shared" si="158"/>
        <v>0</v>
      </c>
    </row>
    <row r="279" spans="1:33" ht="15.75" customHeight="1">
      <c r="A279" s="2683" t="s">
        <v>1095</v>
      </c>
      <c r="B279" s="2107" t="s">
        <v>3801</v>
      </c>
      <c r="C279" s="1426"/>
      <c r="D279" s="2108"/>
      <c r="E279" s="2108"/>
      <c r="F279" s="2107"/>
      <c r="G279" s="2107"/>
      <c r="H279" s="2095" t="s">
        <v>1079</v>
      </c>
      <c r="I279" s="1701">
        <f>+I278+I277</f>
        <v>279058427</v>
      </c>
      <c r="J279" s="2576">
        <f t="shared" ref="J279:P279" si="166">+J278+J277</f>
        <v>130320</v>
      </c>
      <c r="K279" s="2325">
        <f t="shared" si="166"/>
        <v>277914322</v>
      </c>
      <c r="L279" s="1701">
        <f t="shared" si="166"/>
        <v>277914322</v>
      </c>
      <c r="M279" s="1701">
        <f t="shared" si="166"/>
        <v>277914322</v>
      </c>
      <c r="N279" s="1701">
        <f t="shared" si="166"/>
        <v>152096396</v>
      </c>
      <c r="O279" s="1701">
        <f t="shared" si="166"/>
        <v>152096396</v>
      </c>
      <c r="P279" s="2617">
        <f t="shared" si="166"/>
        <v>152096396</v>
      </c>
      <c r="Q279" s="2411">
        <f>+P279/N279</f>
        <v>1</v>
      </c>
      <c r="R279" s="2401">
        <f t="shared" si="153"/>
        <v>0</v>
      </c>
      <c r="S279" s="1701">
        <f t="shared" si="154"/>
        <v>0</v>
      </c>
      <c r="T279" s="1701">
        <f t="shared" si="155"/>
        <v>-125817926</v>
      </c>
      <c r="U279" s="1701">
        <f t="shared" si="156"/>
        <v>0</v>
      </c>
      <c r="V279" s="1701"/>
      <c r="W279" s="2438"/>
      <c r="X279" s="2113"/>
      <c r="Z279" s="209">
        <f>+Z278+Z277</f>
        <v>1830789</v>
      </c>
      <c r="AC279" s="1701"/>
      <c r="AD279" s="1025">
        <v>130320</v>
      </c>
      <c r="AE279" s="172">
        <f t="shared" si="157"/>
        <v>0</v>
      </c>
      <c r="AG279" s="1701">
        <f t="shared" si="158"/>
        <v>0</v>
      </c>
    </row>
    <row r="280" spans="1:33">
      <c r="A280" s="2683" t="s">
        <v>1097</v>
      </c>
      <c r="B280" s="2107" t="s">
        <v>1081</v>
      </c>
      <c r="C280" s="1426"/>
      <c r="D280" s="2108"/>
      <c r="E280" s="2108"/>
      <c r="F280" s="2107"/>
      <c r="G280" s="2107"/>
      <c r="H280" s="2095" t="s">
        <v>1082</v>
      </c>
      <c r="I280" s="1701">
        <v>0</v>
      </c>
      <c r="J280" s="2576">
        <v>0</v>
      </c>
      <c r="K280" s="2325">
        <v>0</v>
      </c>
      <c r="L280" s="1701">
        <v>0</v>
      </c>
      <c r="M280" s="1701">
        <v>0</v>
      </c>
      <c r="N280" s="1701">
        <f>+M280</f>
        <v>0</v>
      </c>
      <c r="O280" s="1701"/>
      <c r="P280" s="2617">
        <v>0</v>
      </c>
      <c r="Q280" s="2411"/>
      <c r="R280" s="2401">
        <f t="shared" si="153"/>
        <v>0</v>
      </c>
      <c r="S280" s="1701">
        <f t="shared" si="154"/>
        <v>0</v>
      </c>
      <c r="T280" s="1701">
        <f t="shared" si="155"/>
        <v>0</v>
      </c>
      <c r="U280" s="1701">
        <f t="shared" si="156"/>
        <v>0</v>
      </c>
      <c r="V280" s="1701"/>
      <c r="W280" s="2438"/>
      <c r="X280" s="2113"/>
      <c r="Z280" s="209">
        <v>0</v>
      </c>
      <c r="AC280" s="1701"/>
      <c r="AD280" s="1025">
        <v>0</v>
      </c>
      <c r="AE280" s="172">
        <f t="shared" si="157"/>
        <v>0</v>
      </c>
      <c r="AG280" s="1701">
        <f t="shared" si="158"/>
        <v>0</v>
      </c>
    </row>
    <row r="281" spans="1:33">
      <c r="A281" s="2683" t="s">
        <v>1100</v>
      </c>
      <c r="B281" s="2107" t="s">
        <v>3802</v>
      </c>
      <c r="C281" s="1426"/>
      <c r="D281" s="2108"/>
      <c r="E281" s="2108"/>
      <c r="F281" s="2107"/>
      <c r="G281" s="2107"/>
      <c r="H281" s="2095" t="s">
        <v>1084</v>
      </c>
      <c r="I281" s="1701">
        <f>+I276+I279+I280</f>
        <v>1283886430.1900001</v>
      </c>
      <c r="J281" s="2576">
        <f t="shared" ref="J281:P281" si="167">+J276+J279+J280</f>
        <v>298530743</v>
      </c>
      <c r="K281" s="2325">
        <f t="shared" si="167"/>
        <v>1091394854</v>
      </c>
      <c r="L281" s="1701">
        <f t="shared" si="167"/>
        <v>1091394854</v>
      </c>
      <c r="M281" s="1701">
        <f t="shared" si="167"/>
        <v>1091394854</v>
      </c>
      <c r="N281" s="1701">
        <f t="shared" si="167"/>
        <v>175215192</v>
      </c>
      <c r="O281" s="1701">
        <f t="shared" si="167"/>
        <v>175215192</v>
      </c>
      <c r="P281" s="2617">
        <f t="shared" si="167"/>
        <v>175215192</v>
      </c>
      <c r="Q281" s="2411">
        <f>+P281/N281</f>
        <v>1</v>
      </c>
      <c r="R281" s="2401">
        <f t="shared" si="153"/>
        <v>0</v>
      </c>
      <c r="S281" s="1701">
        <f t="shared" si="154"/>
        <v>0</v>
      </c>
      <c r="T281" s="1701">
        <f t="shared" si="155"/>
        <v>-916179662</v>
      </c>
      <c r="U281" s="1701">
        <f t="shared" si="156"/>
        <v>0</v>
      </c>
      <c r="V281" s="1701"/>
      <c r="W281" s="2438"/>
      <c r="X281" s="2113"/>
      <c r="Z281" s="209">
        <f>+Z276+Z279+Z280</f>
        <v>154062300</v>
      </c>
      <c r="AC281" s="1701">
        <v>175215192</v>
      </c>
      <c r="AD281" s="1025">
        <v>298530743</v>
      </c>
      <c r="AE281" s="172">
        <f t="shared" si="157"/>
        <v>0</v>
      </c>
      <c r="AG281" s="1701">
        <f t="shared" si="158"/>
        <v>0</v>
      </c>
    </row>
    <row r="282" spans="1:33">
      <c r="A282" s="2684" t="s">
        <v>1102</v>
      </c>
      <c r="B282" s="2109" t="s">
        <v>1086</v>
      </c>
      <c r="C282" s="1541"/>
      <c r="D282" s="2098"/>
      <c r="E282" s="2098"/>
      <c r="F282" s="2109"/>
      <c r="G282" s="2109"/>
      <c r="H282" s="2099" t="s">
        <v>1087</v>
      </c>
      <c r="I282" s="1365">
        <v>0</v>
      </c>
      <c r="J282" s="2575">
        <v>0</v>
      </c>
      <c r="K282" s="2321">
        <v>0</v>
      </c>
      <c r="L282" s="1365">
        <f t="shared" ref="L282:O284" si="168">+K282</f>
        <v>0</v>
      </c>
      <c r="M282" s="1365">
        <f t="shared" si="168"/>
        <v>0</v>
      </c>
      <c r="N282" s="1365">
        <f t="shared" si="168"/>
        <v>0</v>
      </c>
      <c r="O282" s="1365">
        <f t="shared" si="168"/>
        <v>0</v>
      </c>
      <c r="P282" s="2618">
        <v>0</v>
      </c>
      <c r="Q282" s="2409"/>
      <c r="R282" s="2399">
        <f t="shared" si="153"/>
        <v>0</v>
      </c>
      <c r="S282" s="1365">
        <f t="shared" si="154"/>
        <v>0</v>
      </c>
      <c r="T282" s="1365">
        <f t="shared" si="155"/>
        <v>0</v>
      </c>
      <c r="U282" s="1365">
        <f t="shared" si="156"/>
        <v>0</v>
      </c>
      <c r="V282" s="1365"/>
      <c r="W282" s="2435"/>
      <c r="X282" s="2113"/>
      <c r="Z282" s="192">
        <v>0</v>
      </c>
      <c r="AC282" s="1365"/>
      <c r="AD282" s="1014">
        <v>0</v>
      </c>
      <c r="AE282" s="172">
        <f t="shared" si="157"/>
        <v>0</v>
      </c>
      <c r="AG282" s="1365">
        <f t="shared" si="158"/>
        <v>0</v>
      </c>
    </row>
    <row r="283" spans="1:33">
      <c r="A283" s="2684" t="s">
        <v>1118</v>
      </c>
      <c r="B283" s="2097" t="s">
        <v>1089</v>
      </c>
      <c r="C283" s="1541" t="s">
        <v>730</v>
      </c>
      <c r="D283" s="2098" t="s">
        <v>1090</v>
      </c>
      <c r="E283" s="2098">
        <v>2</v>
      </c>
      <c r="F283" s="1541" t="s">
        <v>534</v>
      </c>
      <c r="G283" s="2098">
        <v>9990001</v>
      </c>
      <c r="H283" s="2099" t="s">
        <v>1091</v>
      </c>
      <c r="I283" s="1365">
        <v>0</v>
      </c>
      <c r="J283" s="2575">
        <v>0</v>
      </c>
      <c r="K283" s="2321">
        <v>0</v>
      </c>
      <c r="L283" s="1365">
        <f t="shared" si="168"/>
        <v>0</v>
      </c>
      <c r="M283" s="1365">
        <f t="shared" si="168"/>
        <v>0</v>
      </c>
      <c r="N283" s="1365">
        <f>+M283+7874</f>
        <v>7874</v>
      </c>
      <c r="O283" s="1365">
        <f t="shared" si="168"/>
        <v>7874</v>
      </c>
      <c r="P283" s="3170">
        <f>7874</f>
        <v>7874</v>
      </c>
      <c r="Q283" s="2409">
        <f>+P283/N283</f>
        <v>1</v>
      </c>
      <c r="R283" s="2399">
        <f t="shared" si="153"/>
        <v>0</v>
      </c>
      <c r="S283" s="1365">
        <f t="shared" si="154"/>
        <v>0</v>
      </c>
      <c r="T283" s="1365">
        <f t="shared" si="155"/>
        <v>7874</v>
      </c>
      <c r="U283" s="1365">
        <f t="shared" si="156"/>
        <v>0</v>
      </c>
      <c r="V283" s="1365"/>
      <c r="W283" s="2435"/>
      <c r="X283" s="2113"/>
      <c r="Z283" s="1207"/>
      <c r="AC283" s="2408">
        <v>7874</v>
      </c>
      <c r="AD283" s="2651">
        <v>0</v>
      </c>
      <c r="AE283" s="172">
        <f t="shared" si="157"/>
        <v>0</v>
      </c>
      <c r="AG283" s="2408">
        <f t="shared" si="158"/>
        <v>0</v>
      </c>
    </row>
    <row r="284" spans="1:33">
      <c r="A284" s="2684" t="s">
        <v>1124</v>
      </c>
      <c r="B284" s="2097" t="s">
        <v>154</v>
      </c>
      <c r="C284" s="1541"/>
      <c r="D284" s="2160" t="s">
        <v>1093</v>
      </c>
      <c r="E284" s="2098"/>
      <c r="F284" s="2097"/>
      <c r="G284" s="2097"/>
      <c r="H284" s="2099" t="s">
        <v>1094</v>
      </c>
      <c r="I284" s="1365">
        <f>289000+360000+186000</f>
        <v>835000</v>
      </c>
      <c r="J284" s="2575">
        <v>0</v>
      </c>
      <c r="K284" s="2321">
        <f>289000+186000</f>
        <v>475000</v>
      </c>
      <c r="L284" s="1365">
        <f t="shared" si="168"/>
        <v>475000</v>
      </c>
      <c r="M284" s="1365">
        <f t="shared" si="168"/>
        <v>475000</v>
      </c>
      <c r="N284" s="1365">
        <f>+M284-475000</f>
        <v>0</v>
      </c>
      <c r="O284" s="1365">
        <f t="shared" si="168"/>
        <v>0</v>
      </c>
      <c r="P284" s="3170">
        <v>0</v>
      </c>
      <c r="Q284" s="2409"/>
      <c r="R284" s="2399">
        <f t="shared" si="153"/>
        <v>0</v>
      </c>
      <c r="S284" s="1365">
        <f t="shared" si="154"/>
        <v>0</v>
      </c>
      <c r="T284" s="1365">
        <f t="shared" si="155"/>
        <v>-475000</v>
      </c>
      <c r="U284" s="1365">
        <f t="shared" si="156"/>
        <v>0</v>
      </c>
      <c r="V284" s="1365"/>
      <c r="W284" s="2435"/>
      <c r="X284" s="2113"/>
      <c r="Z284" s="1207"/>
      <c r="AC284" s="2408"/>
      <c r="AD284" s="2651">
        <v>0</v>
      </c>
      <c r="AE284" s="172">
        <f t="shared" si="157"/>
        <v>0</v>
      </c>
      <c r="AG284" s="2408">
        <f t="shared" si="158"/>
        <v>0</v>
      </c>
    </row>
    <row r="285" spans="1:33">
      <c r="A285" s="2683" t="s">
        <v>3219</v>
      </c>
      <c r="B285" s="2110" t="s">
        <v>3803</v>
      </c>
      <c r="C285" s="1426"/>
      <c r="D285" s="2108"/>
      <c r="E285" s="2108"/>
      <c r="F285" s="2110"/>
      <c r="G285" s="2110"/>
      <c r="H285" s="2095" t="s">
        <v>1096</v>
      </c>
      <c r="I285" s="1701">
        <f>SUM(I282:I284)</f>
        <v>835000</v>
      </c>
      <c r="J285" s="2576">
        <f t="shared" ref="J285:P285" si="169">SUM(J282:J284)</f>
        <v>0</v>
      </c>
      <c r="K285" s="2325">
        <f t="shared" si="169"/>
        <v>475000</v>
      </c>
      <c r="L285" s="1701">
        <f t="shared" si="169"/>
        <v>475000</v>
      </c>
      <c r="M285" s="1701">
        <f t="shared" si="169"/>
        <v>475000</v>
      </c>
      <c r="N285" s="1701">
        <f t="shared" si="169"/>
        <v>7874</v>
      </c>
      <c r="O285" s="1701">
        <f t="shared" si="169"/>
        <v>7874</v>
      </c>
      <c r="P285" s="2617">
        <f t="shared" si="169"/>
        <v>7874</v>
      </c>
      <c r="Q285" s="2411">
        <f>+P285/N285</f>
        <v>1</v>
      </c>
      <c r="R285" s="2401">
        <f t="shared" si="153"/>
        <v>0</v>
      </c>
      <c r="S285" s="1701">
        <f t="shared" si="154"/>
        <v>0</v>
      </c>
      <c r="T285" s="1701">
        <f t="shared" si="155"/>
        <v>-467126</v>
      </c>
      <c r="U285" s="1701">
        <f t="shared" si="156"/>
        <v>0</v>
      </c>
      <c r="V285" s="1701"/>
      <c r="W285" s="2438"/>
      <c r="X285" s="2113"/>
      <c r="Z285" s="209">
        <f>SUM(Z282:Z284)</f>
        <v>0</v>
      </c>
      <c r="AC285" s="1701"/>
      <c r="AD285" s="1025">
        <v>0</v>
      </c>
      <c r="AE285" s="172">
        <f t="shared" si="157"/>
        <v>0</v>
      </c>
      <c r="AG285" s="1701">
        <f t="shared" si="158"/>
        <v>0</v>
      </c>
    </row>
    <row r="286" spans="1:33" s="174" customFormat="1">
      <c r="A286" s="2683" t="s">
        <v>1167</v>
      </c>
      <c r="B286" s="2110" t="s">
        <v>3169</v>
      </c>
      <c r="C286" s="1541" t="s">
        <v>736</v>
      </c>
      <c r="D286" s="2098" t="s">
        <v>1098</v>
      </c>
      <c r="E286" s="2103" t="s">
        <v>738</v>
      </c>
      <c r="F286" s="2103" t="s">
        <v>751</v>
      </c>
      <c r="G286" s="2103" t="s">
        <v>572</v>
      </c>
      <c r="H286" s="2095" t="s">
        <v>1099</v>
      </c>
      <c r="I286" s="1365">
        <f>0</f>
        <v>0</v>
      </c>
      <c r="J286" s="2575">
        <v>0</v>
      </c>
      <c r="K286" s="2321">
        <f>0</f>
        <v>0</v>
      </c>
      <c r="L286" s="1365">
        <f>+K286</f>
        <v>0</v>
      </c>
      <c r="M286" s="1365">
        <f>+L286</f>
        <v>0</v>
      </c>
      <c r="N286" s="1365">
        <f>+M286</f>
        <v>0</v>
      </c>
      <c r="O286" s="1365">
        <f>+N286</f>
        <v>0</v>
      </c>
      <c r="P286" s="2617">
        <v>0</v>
      </c>
      <c r="Q286" s="2411"/>
      <c r="R286" s="2399">
        <f t="shared" si="153"/>
        <v>0</v>
      </c>
      <c r="S286" s="1365">
        <f t="shared" si="154"/>
        <v>0</v>
      </c>
      <c r="T286" s="1701">
        <f t="shared" si="155"/>
        <v>0</v>
      </c>
      <c r="U286" s="1701">
        <f t="shared" si="156"/>
        <v>0</v>
      </c>
      <c r="V286" s="1701"/>
      <c r="W286" s="2438"/>
      <c r="X286" s="2450"/>
      <c r="Z286" s="209">
        <v>0</v>
      </c>
      <c r="AC286" s="1701"/>
      <c r="AD286" s="1025">
        <v>0</v>
      </c>
      <c r="AE286" s="172">
        <f t="shared" si="157"/>
        <v>0</v>
      </c>
      <c r="AG286" s="1701">
        <f t="shared" si="158"/>
        <v>0</v>
      </c>
    </row>
    <row r="287" spans="1:33" ht="18.75">
      <c r="A287" s="2683" t="s">
        <v>1169</v>
      </c>
      <c r="B287" s="2120" t="s">
        <v>3804</v>
      </c>
      <c r="C287" s="2121"/>
      <c r="D287" s="2122"/>
      <c r="E287" s="2122"/>
      <c r="F287" s="2120"/>
      <c r="G287" s="2120"/>
      <c r="H287" s="2122" t="s">
        <v>1101</v>
      </c>
      <c r="I287" s="2123">
        <f>+I273+I281+I285+I286</f>
        <v>1284721430.1900001</v>
      </c>
      <c r="J287" s="2577">
        <f t="shared" ref="J287:P287" si="170">+J273+J281+J285+J286</f>
        <v>298530743</v>
      </c>
      <c r="K287" s="2326">
        <f t="shared" si="170"/>
        <v>1091869854</v>
      </c>
      <c r="L287" s="2123">
        <f t="shared" si="170"/>
        <v>1091869854</v>
      </c>
      <c r="M287" s="2123">
        <f t="shared" si="170"/>
        <v>1091869854</v>
      </c>
      <c r="N287" s="2123">
        <f t="shared" si="170"/>
        <v>175223066</v>
      </c>
      <c r="O287" s="2123">
        <f t="shared" si="170"/>
        <v>175223066</v>
      </c>
      <c r="P287" s="3177">
        <f t="shared" si="170"/>
        <v>175223066</v>
      </c>
      <c r="Q287" s="2415">
        <f>+P287/N287</f>
        <v>1</v>
      </c>
      <c r="R287" s="2402">
        <f t="shared" si="153"/>
        <v>0</v>
      </c>
      <c r="S287" s="2123">
        <f t="shared" si="154"/>
        <v>0</v>
      </c>
      <c r="T287" s="2123">
        <f t="shared" si="155"/>
        <v>-916646788</v>
      </c>
      <c r="U287" s="2123">
        <f t="shared" si="156"/>
        <v>0</v>
      </c>
      <c r="V287" s="2123"/>
      <c r="W287" s="2440"/>
      <c r="X287" s="2113"/>
      <c r="Z287" s="222">
        <f>+Z273+Z281+Z285+Z286</f>
        <v>154062300</v>
      </c>
      <c r="AC287" s="2414">
        <v>175223066</v>
      </c>
      <c r="AD287" s="1096">
        <v>298530743</v>
      </c>
      <c r="AE287" s="172">
        <f t="shared" si="157"/>
        <v>0</v>
      </c>
      <c r="AF287" s="2414">
        <f>+P287-AC287</f>
        <v>0</v>
      </c>
      <c r="AG287" s="2414">
        <f t="shared" si="158"/>
        <v>0</v>
      </c>
    </row>
    <row r="288" spans="1:33" ht="15" hidden="1" customHeight="1">
      <c r="A288" s="2683"/>
      <c r="B288" s="2095"/>
      <c r="C288" s="2095"/>
      <c r="D288" s="2095"/>
      <c r="E288" s="2095"/>
      <c r="F288" s="2095"/>
      <c r="G288" s="2095"/>
      <c r="H288" s="2095"/>
      <c r="I288" s="2095"/>
      <c r="J288" s="2574"/>
      <c r="K288" s="2324"/>
      <c r="L288" s="2095"/>
      <c r="M288" s="2095"/>
      <c r="N288" s="2095"/>
      <c r="O288" s="2095"/>
      <c r="P288" s="3174"/>
      <c r="Q288" s="2416"/>
      <c r="R288" s="2398"/>
      <c r="S288" s="2095"/>
      <c r="T288" s="2095"/>
      <c r="U288" s="2095"/>
      <c r="V288" s="2095"/>
      <c r="W288" s="2434"/>
      <c r="X288" s="2113"/>
      <c r="Z288" s="184"/>
      <c r="AC288" s="2095"/>
      <c r="AD288" s="1095"/>
      <c r="AE288" s="172">
        <f t="shared" si="157"/>
        <v>0</v>
      </c>
      <c r="AG288" s="2095">
        <f t="shared" si="158"/>
        <v>0</v>
      </c>
    </row>
    <row r="289" spans="1:33" ht="25.5" hidden="1" customHeight="1">
      <c r="A289" s="2683"/>
      <c r="B289" s="2097" t="s">
        <v>1103</v>
      </c>
      <c r="C289" s="1541"/>
      <c r="D289" s="2098"/>
      <c r="E289" s="2098"/>
      <c r="F289" s="2097"/>
      <c r="G289" s="2097"/>
      <c r="H289" s="2099" t="s">
        <v>1104</v>
      </c>
      <c r="I289" s="1365">
        <v>0</v>
      </c>
      <c r="J289" s="2575">
        <v>0</v>
      </c>
      <c r="K289" s="2321">
        <v>0</v>
      </c>
      <c r="L289" s="1365">
        <f t="shared" ref="L289:O291" si="171">+K289</f>
        <v>0</v>
      </c>
      <c r="M289" s="1365">
        <f t="shared" si="171"/>
        <v>0</v>
      </c>
      <c r="N289" s="1365">
        <f t="shared" si="171"/>
        <v>0</v>
      </c>
      <c r="O289" s="1365">
        <f t="shared" si="171"/>
        <v>0</v>
      </c>
      <c r="P289" s="2618">
        <v>0</v>
      </c>
      <c r="Q289" s="2409"/>
      <c r="R289" s="2399">
        <f t="shared" ref="R289:R323" si="172">+L289-K289</f>
        <v>0</v>
      </c>
      <c r="S289" s="1365">
        <f t="shared" ref="S289:S323" si="173">+M289-L289</f>
        <v>0</v>
      </c>
      <c r="T289" s="1701">
        <f t="shared" ref="T289:T323" si="174">+N289-M289</f>
        <v>0</v>
      </c>
      <c r="U289" s="1701">
        <f t="shared" ref="U289:U323" si="175">+O289-N289</f>
        <v>0</v>
      </c>
      <c r="V289" s="1701"/>
      <c r="W289" s="2438"/>
      <c r="X289" s="2113"/>
      <c r="Z289" s="192">
        <v>0</v>
      </c>
      <c r="AC289" s="1365"/>
      <c r="AD289" s="1014">
        <v>0</v>
      </c>
      <c r="AE289" s="172">
        <f t="shared" si="157"/>
        <v>0</v>
      </c>
      <c r="AG289" s="1365">
        <f t="shared" si="158"/>
        <v>0</v>
      </c>
    </row>
    <row r="290" spans="1:33" ht="25.5" hidden="1" customHeight="1">
      <c r="A290" s="2683"/>
      <c r="B290" s="2097" t="s">
        <v>1105</v>
      </c>
      <c r="C290" s="1541"/>
      <c r="D290" s="2098"/>
      <c r="E290" s="2098"/>
      <c r="F290" s="2097"/>
      <c r="G290" s="2097"/>
      <c r="H290" s="2099" t="s">
        <v>1106</v>
      </c>
      <c r="I290" s="1365">
        <v>0</v>
      </c>
      <c r="J290" s="2575">
        <v>0</v>
      </c>
      <c r="K290" s="2321">
        <v>0</v>
      </c>
      <c r="L290" s="1365">
        <f t="shared" si="171"/>
        <v>0</v>
      </c>
      <c r="M290" s="1365">
        <f t="shared" si="171"/>
        <v>0</v>
      </c>
      <c r="N290" s="1365">
        <f t="shared" si="171"/>
        <v>0</v>
      </c>
      <c r="O290" s="1365">
        <f t="shared" si="171"/>
        <v>0</v>
      </c>
      <c r="P290" s="2618">
        <v>0</v>
      </c>
      <c r="Q290" s="2409"/>
      <c r="R290" s="2399">
        <f t="shared" si="172"/>
        <v>0</v>
      </c>
      <c r="S290" s="1365">
        <f t="shared" si="173"/>
        <v>0</v>
      </c>
      <c r="T290" s="1701">
        <f t="shared" si="174"/>
        <v>0</v>
      </c>
      <c r="U290" s="1701">
        <f t="shared" si="175"/>
        <v>0</v>
      </c>
      <c r="V290" s="1701"/>
      <c r="W290" s="2438"/>
      <c r="X290" s="2113"/>
      <c r="Z290" s="192">
        <v>0</v>
      </c>
      <c r="AC290" s="1365"/>
      <c r="AD290" s="1014">
        <v>0</v>
      </c>
      <c r="AE290" s="172">
        <f t="shared" si="157"/>
        <v>0</v>
      </c>
      <c r="AG290" s="1365">
        <f t="shared" si="158"/>
        <v>0</v>
      </c>
    </row>
    <row r="291" spans="1:33" ht="15" hidden="1" customHeight="1">
      <c r="A291" s="2683"/>
      <c r="B291" s="2097" t="s">
        <v>1107</v>
      </c>
      <c r="C291" s="1541"/>
      <c r="D291" s="2098"/>
      <c r="E291" s="2098"/>
      <c r="F291" s="2097"/>
      <c r="G291" s="2097"/>
      <c r="H291" s="2099" t="s">
        <v>1108</v>
      </c>
      <c r="I291" s="1365">
        <v>0</v>
      </c>
      <c r="J291" s="2575">
        <v>0</v>
      </c>
      <c r="K291" s="2321">
        <v>0</v>
      </c>
      <c r="L291" s="1365">
        <f t="shared" si="171"/>
        <v>0</v>
      </c>
      <c r="M291" s="1365">
        <f t="shared" si="171"/>
        <v>0</v>
      </c>
      <c r="N291" s="1365">
        <f t="shared" si="171"/>
        <v>0</v>
      </c>
      <c r="O291" s="1365">
        <f t="shared" si="171"/>
        <v>0</v>
      </c>
      <c r="P291" s="2618">
        <v>0</v>
      </c>
      <c r="Q291" s="2409"/>
      <c r="R291" s="2399">
        <f t="shared" si="172"/>
        <v>0</v>
      </c>
      <c r="S291" s="1365">
        <f t="shared" si="173"/>
        <v>0</v>
      </c>
      <c r="T291" s="1701">
        <f t="shared" si="174"/>
        <v>0</v>
      </c>
      <c r="U291" s="1701">
        <f t="shared" si="175"/>
        <v>0</v>
      </c>
      <c r="V291" s="1701"/>
      <c r="W291" s="2438"/>
      <c r="X291" s="2113"/>
      <c r="Z291" s="192">
        <v>0</v>
      </c>
      <c r="AC291" s="1365"/>
      <c r="AD291" s="1014">
        <v>0</v>
      </c>
      <c r="AE291" s="172">
        <f t="shared" si="157"/>
        <v>0</v>
      </c>
      <c r="AG291" s="1365">
        <f t="shared" si="158"/>
        <v>0</v>
      </c>
    </row>
    <row r="292" spans="1:33" ht="25.5" hidden="1" customHeight="1">
      <c r="A292" s="2683"/>
      <c r="B292" s="2110" t="s">
        <v>1109</v>
      </c>
      <c r="C292" s="1426"/>
      <c r="D292" s="2108"/>
      <c r="E292" s="2108"/>
      <c r="F292" s="2107"/>
      <c r="G292" s="2107"/>
      <c r="H292" s="2095" t="s">
        <v>1110</v>
      </c>
      <c r="I292" s="1701">
        <f>SUM(I289:I291)</f>
        <v>0</v>
      </c>
      <c r="J292" s="2576">
        <v>0</v>
      </c>
      <c r="K292" s="2325">
        <f t="shared" ref="K292:P292" si="176">SUM(K289:K291)</f>
        <v>0</v>
      </c>
      <c r="L292" s="1701">
        <f t="shared" si="176"/>
        <v>0</v>
      </c>
      <c r="M292" s="1701">
        <f t="shared" si="176"/>
        <v>0</v>
      </c>
      <c r="N292" s="1701">
        <f t="shared" si="176"/>
        <v>0</v>
      </c>
      <c r="O292" s="1701">
        <f t="shared" si="176"/>
        <v>0</v>
      </c>
      <c r="P292" s="2617">
        <f t="shared" si="176"/>
        <v>0</v>
      </c>
      <c r="Q292" s="2411"/>
      <c r="R292" s="2401">
        <f t="shared" si="172"/>
        <v>0</v>
      </c>
      <c r="S292" s="1701">
        <f t="shared" si="173"/>
        <v>0</v>
      </c>
      <c r="T292" s="1701">
        <f t="shared" si="174"/>
        <v>0</v>
      </c>
      <c r="U292" s="1701">
        <f t="shared" si="175"/>
        <v>0</v>
      </c>
      <c r="V292" s="1701"/>
      <c r="W292" s="2438"/>
      <c r="X292" s="2113"/>
      <c r="Z292" s="209">
        <f>SUM(Z289:Z291)</f>
        <v>0</v>
      </c>
      <c r="AC292" s="1701"/>
      <c r="AD292" s="1025">
        <v>0</v>
      </c>
      <c r="AE292" s="172">
        <f t="shared" si="157"/>
        <v>0</v>
      </c>
      <c r="AG292" s="1701">
        <f t="shared" si="158"/>
        <v>0</v>
      </c>
    </row>
    <row r="293" spans="1:33" s="203" customFormat="1" ht="13.5" hidden="1" customHeight="1">
      <c r="A293" s="2690"/>
      <c r="B293" s="2125" t="s">
        <v>1111</v>
      </c>
      <c r="C293" s="2103" t="s">
        <v>656</v>
      </c>
      <c r="D293" s="2161" t="s">
        <v>1112</v>
      </c>
      <c r="E293" s="2161">
        <v>3</v>
      </c>
      <c r="F293" s="2103" t="s">
        <v>1113</v>
      </c>
      <c r="G293" s="2098">
        <v>9990001</v>
      </c>
      <c r="H293" s="2127" t="s">
        <v>1114</v>
      </c>
      <c r="I293" s="2106">
        <v>441818</v>
      </c>
      <c r="J293" s="2579">
        <v>273900</v>
      </c>
      <c r="K293" s="2236">
        <f>259218</f>
        <v>259218</v>
      </c>
      <c r="L293" s="2106">
        <f t="shared" ref="L293:O295" si="177">+K293</f>
        <v>259218</v>
      </c>
      <c r="M293" s="2106">
        <f t="shared" si="177"/>
        <v>259218</v>
      </c>
      <c r="N293" s="2106">
        <f>+M293-109818</f>
        <v>149400</v>
      </c>
      <c r="O293" s="2106">
        <f t="shared" si="177"/>
        <v>149400</v>
      </c>
      <c r="P293" s="3172">
        <f>149400</f>
        <v>149400</v>
      </c>
      <c r="Q293" s="2420">
        <f>+P293/N293</f>
        <v>1</v>
      </c>
      <c r="R293" s="2400">
        <f t="shared" si="172"/>
        <v>0</v>
      </c>
      <c r="S293" s="2106">
        <f t="shared" si="173"/>
        <v>0</v>
      </c>
      <c r="T293" s="2106">
        <f t="shared" si="174"/>
        <v>-109818</v>
      </c>
      <c r="U293" s="2106">
        <f t="shared" si="175"/>
        <v>0</v>
      </c>
      <c r="V293" s="2106"/>
      <c r="W293" s="2437"/>
      <c r="X293" s="2141"/>
      <c r="Z293" s="1209">
        <v>240700</v>
      </c>
      <c r="AC293" s="2419"/>
      <c r="AD293" s="2656">
        <v>273900</v>
      </c>
      <c r="AE293" s="172">
        <f t="shared" si="157"/>
        <v>0</v>
      </c>
      <c r="AG293" s="2419">
        <f t="shared" si="158"/>
        <v>0</v>
      </c>
    </row>
    <row r="294" spans="1:33" s="203" customFormat="1" ht="13.5" hidden="1" customHeight="1">
      <c r="A294" s="2690"/>
      <c r="B294" s="2125" t="s">
        <v>3982</v>
      </c>
      <c r="C294" s="2103" t="s">
        <v>569</v>
      </c>
      <c r="D294" s="2161" t="s">
        <v>1115</v>
      </c>
      <c r="E294" s="2161">
        <v>3</v>
      </c>
      <c r="F294" s="2103" t="s">
        <v>1113</v>
      </c>
      <c r="G294" s="2098">
        <v>9990001</v>
      </c>
      <c r="H294" s="2127" t="s">
        <v>1114</v>
      </c>
      <c r="I294" s="2236">
        <f>853713-853713</f>
        <v>0</v>
      </c>
      <c r="J294" s="2579">
        <v>1900317</v>
      </c>
      <c r="K294" s="2236">
        <f>853713-853713</f>
        <v>0</v>
      </c>
      <c r="L294" s="2106">
        <f t="shared" si="177"/>
        <v>0</v>
      </c>
      <c r="M294" s="2106">
        <f t="shared" si="177"/>
        <v>0</v>
      </c>
      <c r="N294" s="2106">
        <f>+M294+1378223</f>
        <v>1378223</v>
      </c>
      <c r="O294" s="2106">
        <f t="shared" si="177"/>
        <v>1378223</v>
      </c>
      <c r="P294" s="3172">
        <f>909030-909030+1378223</f>
        <v>1378223</v>
      </c>
      <c r="Q294" s="2420">
        <f>+P294/N294</f>
        <v>1</v>
      </c>
      <c r="R294" s="2400">
        <f t="shared" si="172"/>
        <v>0</v>
      </c>
      <c r="S294" s="2106">
        <f t="shared" si="173"/>
        <v>0</v>
      </c>
      <c r="T294" s="2106">
        <f t="shared" si="174"/>
        <v>1378223</v>
      </c>
      <c r="U294" s="2106">
        <f t="shared" si="175"/>
        <v>0</v>
      </c>
      <c r="V294" s="2106"/>
      <c r="W294" s="2437"/>
      <c r="X294" s="2141"/>
      <c r="Z294" s="2223"/>
      <c r="AC294" s="2431"/>
      <c r="AD294" s="2656">
        <v>1900317</v>
      </c>
      <c r="AE294" s="172">
        <f t="shared" si="157"/>
        <v>0</v>
      </c>
      <c r="AG294" s="2431">
        <f t="shared" si="158"/>
        <v>0</v>
      </c>
    </row>
    <row r="295" spans="1:33" s="203" customFormat="1" ht="13.5" hidden="1" customHeight="1">
      <c r="A295" s="2690"/>
      <c r="B295" s="2125" t="s">
        <v>1116</v>
      </c>
      <c r="C295" s="2103" t="s">
        <v>512</v>
      </c>
      <c r="D295" s="2161" t="s">
        <v>1117</v>
      </c>
      <c r="E295" s="2161">
        <v>3</v>
      </c>
      <c r="F295" s="2103" t="s">
        <v>1113</v>
      </c>
      <c r="G295" s="2098">
        <v>9990001</v>
      </c>
      <c r="H295" s="2127" t="s">
        <v>1114</v>
      </c>
      <c r="I295" s="2106">
        <v>3936970</v>
      </c>
      <c r="J295" s="2579">
        <v>4471991</v>
      </c>
      <c r="K295" s="2236">
        <v>2553096</v>
      </c>
      <c r="L295" s="2106">
        <f t="shared" si="177"/>
        <v>2553096</v>
      </c>
      <c r="M295" s="2106">
        <f t="shared" si="177"/>
        <v>2553096</v>
      </c>
      <c r="N295" s="2106">
        <f>+M295+95234</f>
        <v>2648330</v>
      </c>
      <c r="O295" s="2106">
        <f t="shared" si="177"/>
        <v>2648330</v>
      </c>
      <c r="P295" s="3172">
        <f>27-27+2648330</f>
        <v>2648330</v>
      </c>
      <c r="Q295" s="2420">
        <f>+P295/N295</f>
        <v>1</v>
      </c>
      <c r="R295" s="2400">
        <f t="shared" si="172"/>
        <v>0</v>
      </c>
      <c r="S295" s="2106">
        <f t="shared" si="173"/>
        <v>0</v>
      </c>
      <c r="T295" s="2106">
        <f t="shared" si="174"/>
        <v>95234</v>
      </c>
      <c r="U295" s="2106">
        <f t="shared" si="175"/>
        <v>0</v>
      </c>
      <c r="V295" s="2106"/>
      <c r="W295" s="2437"/>
      <c r="X295" s="2141"/>
      <c r="Z295" s="1209">
        <f>941+3509095</f>
        <v>3510036</v>
      </c>
      <c r="AC295" s="2419"/>
      <c r="AD295" s="2656">
        <v>4471991</v>
      </c>
      <c r="AE295" s="172">
        <f t="shared" si="157"/>
        <v>0</v>
      </c>
      <c r="AG295" s="2419">
        <f t="shared" si="158"/>
        <v>0</v>
      </c>
    </row>
    <row r="296" spans="1:33">
      <c r="A296" s="2683" t="s">
        <v>1171</v>
      </c>
      <c r="B296" s="2110" t="s">
        <v>1119</v>
      </c>
      <c r="C296" s="1426"/>
      <c r="D296" s="2108"/>
      <c r="E296" s="2108"/>
      <c r="F296" s="2110"/>
      <c r="G296" s="2110"/>
      <c r="H296" s="2095" t="s">
        <v>1114</v>
      </c>
      <c r="I296" s="1701">
        <f>SUM(I293:I295)</f>
        <v>4378788</v>
      </c>
      <c r="J296" s="2576">
        <f t="shared" ref="J296:P296" si="178">SUM(J293:J295)</f>
        <v>6646208</v>
      </c>
      <c r="K296" s="2325">
        <f t="shared" si="178"/>
        <v>2812314</v>
      </c>
      <c r="L296" s="1701">
        <f t="shared" si="178"/>
        <v>2812314</v>
      </c>
      <c r="M296" s="1701">
        <f t="shared" si="178"/>
        <v>2812314</v>
      </c>
      <c r="N296" s="1701">
        <f t="shared" si="178"/>
        <v>4175953</v>
      </c>
      <c r="O296" s="1701">
        <f t="shared" si="178"/>
        <v>4175953</v>
      </c>
      <c r="P296" s="2617">
        <f t="shared" si="178"/>
        <v>4175953</v>
      </c>
      <c r="Q296" s="2411">
        <f>+P296/N296</f>
        <v>1</v>
      </c>
      <c r="R296" s="2401">
        <f t="shared" si="172"/>
        <v>0</v>
      </c>
      <c r="S296" s="1701">
        <f t="shared" si="173"/>
        <v>0</v>
      </c>
      <c r="T296" s="1701">
        <f t="shared" si="174"/>
        <v>1363639</v>
      </c>
      <c r="U296" s="1701">
        <f t="shared" si="175"/>
        <v>0</v>
      </c>
      <c r="V296" s="1701"/>
      <c r="W296" s="2438"/>
      <c r="X296" s="2113"/>
      <c r="Z296" s="209">
        <f>SUM(Z293:Z295)</f>
        <v>3750736</v>
      </c>
      <c r="AC296" s="1701"/>
      <c r="AD296" s="1025">
        <v>6646208</v>
      </c>
      <c r="AE296" s="172">
        <f t="shared" si="157"/>
        <v>0</v>
      </c>
      <c r="AG296" s="1701">
        <f t="shared" si="158"/>
        <v>0</v>
      </c>
    </row>
    <row r="297" spans="1:33" hidden="1">
      <c r="A297" s="2683"/>
      <c r="B297" s="2110" t="s">
        <v>1120</v>
      </c>
      <c r="C297" s="1426"/>
      <c r="D297" s="2108"/>
      <c r="E297" s="2108"/>
      <c r="F297" s="2110"/>
      <c r="G297" s="2110"/>
      <c r="H297" s="2095" t="s">
        <v>1121</v>
      </c>
      <c r="I297" s="1701"/>
      <c r="J297" s="2576"/>
      <c r="K297" s="2325"/>
      <c r="L297" s="1701"/>
      <c r="M297" s="1701"/>
      <c r="N297" s="1701"/>
      <c r="O297" s="1701"/>
      <c r="P297" s="2617"/>
      <c r="Q297" s="2411"/>
      <c r="R297" s="2401">
        <f t="shared" si="172"/>
        <v>0</v>
      </c>
      <c r="S297" s="1701">
        <f t="shared" si="173"/>
        <v>0</v>
      </c>
      <c r="T297" s="1701">
        <f t="shared" si="174"/>
        <v>0</v>
      </c>
      <c r="U297" s="1701">
        <f t="shared" si="175"/>
        <v>0</v>
      </c>
      <c r="V297" s="1701"/>
      <c r="W297" s="2438"/>
      <c r="X297" s="2113"/>
      <c r="Z297" s="209"/>
      <c r="AC297" s="1701"/>
      <c r="AD297" s="1025"/>
      <c r="AE297" s="172">
        <f t="shared" si="157"/>
        <v>0</v>
      </c>
      <c r="AG297" s="1701">
        <f t="shared" si="158"/>
        <v>0</v>
      </c>
    </row>
    <row r="298" spans="1:33" hidden="1">
      <c r="A298" s="2683"/>
      <c r="B298" s="2110" t="s">
        <v>1122</v>
      </c>
      <c r="C298" s="1426"/>
      <c r="D298" s="2108"/>
      <c r="E298" s="2108"/>
      <c r="F298" s="2110"/>
      <c r="G298" s="2110"/>
      <c r="H298" s="2095" t="s">
        <v>1123</v>
      </c>
      <c r="I298" s="1701"/>
      <c r="J298" s="2576"/>
      <c r="K298" s="2325"/>
      <c r="L298" s="1701"/>
      <c r="M298" s="1701"/>
      <c r="N298" s="1701"/>
      <c r="O298" s="1701"/>
      <c r="P298" s="2617"/>
      <c r="Q298" s="2411"/>
      <c r="R298" s="2401">
        <f t="shared" si="172"/>
        <v>0</v>
      </c>
      <c r="S298" s="1701">
        <f t="shared" si="173"/>
        <v>0</v>
      </c>
      <c r="T298" s="1701">
        <f t="shared" si="174"/>
        <v>0</v>
      </c>
      <c r="U298" s="1701">
        <f t="shared" si="175"/>
        <v>0</v>
      </c>
      <c r="V298" s="1701"/>
      <c r="W298" s="2438"/>
      <c r="X298" s="2113"/>
      <c r="Z298" s="209"/>
      <c r="AC298" s="1701"/>
      <c r="AD298" s="1025"/>
      <c r="AE298" s="172">
        <f t="shared" si="157"/>
        <v>0</v>
      </c>
      <c r="AG298" s="1701">
        <f t="shared" si="158"/>
        <v>0</v>
      </c>
    </row>
    <row r="299" spans="1:33" ht="25.5">
      <c r="A299" s="2683" t="s">
        <v>1172</v>
      </c>
      <c r="B299" s="2110" t="s">
        <v>3805</v>
      </c>
      <c r="C299" s="1426"/>
      <c r="D299" s="2108"/>
      <c r="E299" s="2108"/>
      <c r="F299" s="2110"/>
      <c r="G299" s="2110"/>
      <c r="H299" s="2099" t="s">
        <v>1125</v>
      </c>
      <c r="I299" s="1701">
        <f>+I292+I296+I297+I298</f>
        <v>4378788</v>
      </c>
      <c r="J299" s="2576">
        <f t="shared" ref="J299:P299" si="179">+J292+J296+J297+J298</f>
        <v>6646208</v>
      </c>
      <c r="K299" s="2325">
        <f t="shared" si="179"/>
        <v>2812314</v>
      </c>
      <c r="L299" s="1701">
        <f t="shared" si="179"/>
        <v>2812314</v>
      </c>
      <c r="M299" s="1701">
        <f t="shared" si="179"/>
        <v>2812314</v>
      </c>
      <c r="N299" s="1701">
        <f t="shared" si="179"/>
        <v>4175953</v>
      </c>
      <c r="O299" s="1701">
        <f t="shared" si="179"/>
        <v>4175953</v>
      </c>
      <c r="P299" s="2617">
        <f t="shared" si="179"/>
        <v>4175953</v>
      </c>
      <c r="Q299" s="2411">
        <f>+P299/N299</f>
        <v>1</v>
      </c>
      <c r="R299" s="2401">
        <f t="shared" si="172"/>
        <v>0</v>
      </c>
      <c r="S299" s="1701">
        <f t="shared" si="173"/>
        <v>0</v>
      </c>
      <c r="T299" s="1701">
        <f t="shared" si="174"/>
        <v>1363639</v>
      </c>
      <c r="U299" s="1701">
        <f t="shared" si="175"/>
        <v>0</v>
      </c>
      <c r="V299" s="1701"/>
      <c r="W299" s="2438"/>
      <c r="X299" s="2113"/>
      <c r="Z299" s="209">
        <f>+Z292+Z296+Z297+Z298</f>
        <v>3750736</v>
      </c>
      <c r="AC299" s="1701">
        <v>4175953</v>
      </c>
      <c r="AD299" s="1025">
        <v>6646208</v>
      </c>
      <c r="AE299" s="172">
        <f t="shared" si="157"/>
        <v>0</v>
      </c>
      <c r="AF299" s="172">
        <f>+P299-AC299</f>
        <v>0</v>
      </c>
      <c r="AG299" s="1701">
        <f t="shared" si="158"/>
        <v>0</v>
      </c>
    </row>
    <row r="300" spans="1:33">
      <c r="A300" s="2683" t="s">
        <v>1176</v>
      </c>
      <c r="B300" s="2110" t="s">
        <v>1126</v>
      </c>
      <c r="C300" s="1426" t="s">
        <v>736</v>
      </c>
      <c r="D300" s="2108" t="s">
        <v>1127</v>
      </c>
      <c r="E300" s="2108">
        <v>3</v>
      </c>
      <c r="F300" s="1541" t="s">
        <v>751</v>
      </c>
      <c r="G300" s="2110">
        <v>9990001</v>
      </c>
      <c r="H300" s="2095" t="s">
        <v>1128</v>
      </c>
      <c r="I300" s="1365">
        <v>0</v>
      </c>
      <c r="J300" s="2575">
        <v>0</v>
      </c>
      <c r="K300" s="2321">
        <v>0</v>
      </c>
      <c r="L300" s="1365">
        <f>+K300</f>
        <v>0</v>
      </c>
      <c r="M300" s="1365">
        <f t="shared" ref="L300:O303" si="180">+L300</f>
        <v>0</v>
      </c>
      <c r="N300" s="1365">
        <f t="shared" si="180"/>
        <v>0</v>
      </c>
      <c r="O300" s="1365">
        <f t="shared" si="180"/>
        <v>0</v>
      </c>
      <c r="P300" s="2618">
        <v>0</v>
      </c>
      <c r="Q300" s="2409"/>
      <c r="R300" s="2399">
        <f t="shared" si="172"/>
        <v>0</v>
      </c>
      <c r="S300" s="1365">
        <f t="shared" si="173"/>
        <v>0</v>
      </c>
      <c r="T300" s="1365">
        <f t="shared" si="174"/>
        <v>0</v>
      </c>
      <c r="U300" s="1365">
        <f t="shared" si="175"/>
        <v>0</v>
      </c>
      <c r="V300" s="1365"/>
      <c r="W300" s="2435"/>
      <c r="X300" s="2113"/>
      <c r="Z300" s="192"/>
      <c r="AC300" s="1365"/>
      <c r="AD300" s="1014">
        <v>0</v>
      </c>
      <c r="AE300" s="172">
        <f t="shared" si="157"/>
        <v>0</v>
      </c>
      <c r="AG300" s="1365">
        <f t="shared" si="158"/>
        <v>0</v>
      </c>
    </row>
    <row r="301" spans="1:33" hidden="1">
      <c r="A301" s="2683"/>
      <c r="B301" s="2097" t="s">
        <v>1129</v>
      </c>
      <c r="C301" s="1541" t="s">
        <v>512</v>
      </c>
      <c r="D301" s="2098" t="s">
        <v>1130</v>
      </c>
      <c r="E301" s="2098">
        <v>3</v>
      </c>
      <c r="F301" s="1541" t="s">
        <v>1131</v>
      </c>
      <c r="G301" s="2098">
        <v>931102</v>
      </c>
      <c r="H301" s="2099" t="s">
        <v>1132</v>
      </c>
      <c r="I301" s="1365">
        <v>0</v>
      </c>
      <c r="J301" s="2575">
        <v>0</v>
      </c>
      <c r="K301" s="2321">
        <v>0</v>
      </c>
      <c r="L301" s="1365">
        <f t="shared" si="180"/>
        <v>0</v>
      </c>
      <c r="M301" s="1365">
        <f t="shared" si="180"/>
        <v>0</v>
      </c>
      <c r="N301" s="1365">
        <f t="shared" si="180"/>
        <v>0</v>
      </c>
      <c r="O301" s="1365">
        <f t="shared" si="180"/>
        <v>0</v>
      </c>
      <c r="P301" s="2618">
        <v>0</v>
      </c>
      <c r="Q301" s="2409"/>
      <c r="R301" s="2399">
        <f t="shared" si="172"/>
        <v>0</v>
      </c>
      <c r="S301" s="1365">
        <f t="shared" si="173"/>
        <v>0</v>
      </c>
      <c r="T301" s="1365">
        <f t="shared" si="174"/>
        <v>0</v>
      </c>
      <c r="U301" s="1365">
        <f t="shared" si="175"/>
        <v>0</v>
      </c>
      <c r="V301" s="1365"/>
      <c r="W301" s="2435"/>
      <c r="X301" s="2113"/>
      <c r="Z301" s="192">
        <v>0</v>
      </c>
      <c r="AC301" s="1365"/>
      <c r="AD301" s="1014">
        <v>0</v>
      </c>
      <c r="AE301" s="172">
        <f t="shared" si="157"/>
        <v>0</v>
      </c>
      <c r="AG301" s="1365">
        <f t="shared" si="158"/>
        <v>0</v>
      </c>
    </row>
    <row r="302" spans="1:33" ht="25.5" hidden="1">
      <c r="A302" s="2683"/>
      <c r="B302" s="2097" t="s">
        <v>3906</v>
      </c>
      <c r="C302" s="1541" t="s">
        <v>574</v>
      </c>
      <c r="D302" s="2098" t="s">
        <v>1133</v>
      </c>
      <c r="E302" s="2098">
        <v>3</v>
      </c>
      <c r="F302" s="1541" t="s">
        <v>1134</v>
      </c>
      <c r="G302" s="2098">
        <v>9990001</v>
      </c>
      <c r="H302" s="2099" t="s">
        <v>1135</v>
      </c>
      <c r="I302" s="1365">
        <v>0</v>
      </c>
      <c r="J302" s="2575">
        <v>0</v>
      </c>
      <c r="K302" s="2321">
        <v>0</v>
      </c>
      <c r="L302" s="1365">
        <f t="shared" si="180"/>
        <v>0</v>
      </c>
      <c r="M302" s="1365">
        <f t="shared" si="180"/>
        <v>0</v>
      </c>
      <c r="N302" s="1365">
        <f>+M302</f>
        <v>0</v>
      </c>
      <c r="O302" s="1365">
        <f t="shared" si="180"/>
        <v>0</v>
      </c>
      <c r="P302" s="2618"/>
      <c r="Q302" s="2409"/>
      <c r="R302" s="2399">
        <f t="shared" si="172"/>
        <v>0</v>
      </c>
      <c r="S302" s="1365">
        <f t="shared" si="173"/>
        <v>0</v>
      </c>
      <c r="T302" s="1365">
        <f t="shared" si="174"/>
        <v>0</v>
      </c>
      <c r="U302" s="1365">
        <f t="shared" si="175"/>
        <v>0</v>
      </c>
      <c r="V302" s="1365"/>
      <c r="W302" s="2435"/>
      <c r="X302" s="2113"/>
      <c r="Z302" s="192"/>
      <c r="AC302" s="1365"/>
      <c r="AD302" s="1014"/>
      <c r="AE302" s="172">
        <f t="shared" si="157"/>
        <v>0</v>
      </c>
      <c r="AG302" s="1365">
        <f t="shared" si="158"/>
        <v>0</v>
      </c>
    </row>
    <row r="303" spans="1:33" hidden="1">
      <c r="A303" s="2683"/>
      <c r="B303" s="2097" t="s">
        <v>3495</v>
      </c>
      <c r="C303" s="1541"/>
      <c r="D303" s="2098" t="s">
        <v>1136</v>
      </c>
      <c r="E303" s="2098"/>
      <c r="F303" s="2097"/>
      <c r="G303" s="2097"/>
      <c r="H303" s="2099" t="s">
        <v>1137</v>
      </c>
      <c r="I303" s="1365">
        <v>0</v>
      </c>
      <c r="J303" s="2575">
        <v>0</v>
      </c>
      <c r="K303" s="2321">
        <v>0</v>
      </c>
      <c r="L303" s="1365">
        <f>+K303</f>
        <v>0</v>
      </c>
      <c r="M303" s="1365">
        <f>+L303</f>
        <v>0</v>
      </c>
      <c r="N303" s="1365">
        <f t="shared" si="180"/>
        <v>0</v>
      </c>
      <c r="O303" s="1365">
        <f t="shared" si="180"/>
        <v>0</v>
      </c>
      <c r="P303" s="2618"/>
      <c r="Q303" s="2409"/>
      <c r="R303" s="2399">
        <f t="shared" si="172"/>
        <v>0</v>
      </c>
      <c r="S303" s="1365">
        <f t="shared" si="173"/>
        <v>0</v>
      </c>
      <c r="T303" s="1365">
        <f t="shared" si="174"/>
        <v>0</v>
      </c>
      <c r="U303" s="1365">
        <f t="shared" si="175"/>
        <v>0</v>
      </c>
      <c r="V303" s="1365"/>
      <c r="W303" s="2435"/>
      <c r="X303" s="2113"/>
      <c r="Z303" s="192"/>
      <c r="AC303" s="1365"/>
      <c r="AD303" s="1014"/>
      <c r="AE303" s="172">
        <f t="shared" si="157"/>
        <v>0</v>
      </c>
      <c r="AG303" s="1365">
        <f t="shared" si="158"/>
        <v>0</v>
      </c>
    </row>
    <row r="304" spans="1:33">
      <c r="A304" s="2683" t="s">
        <v>1179</v>
      </c>
      <c r="B304" s="2110" t="s">
        <v>1138</v>
      </c>
      <c r="C304" s="1426" t="s">
        <v>512</v>
      </c>
      <c r="D304" s="2108" t="s">
        <v>1136</v>
      </c>
      <c r="E304" s="2108">
        <v>3</v>
      </c>
      <c r="F304" s="1541" t="s">
        <v>751</v>
      </c>
      <c r="G304" s="2110">
        <v>9990001</v>
      </c>
      <c r="H304" s="2095" t="s">
        <v>1139</v>
      </c>
      <c r="I304" s="1701">
        <f>SUM(I301:I303)</f>
        <v>0</v>
      </c>
      <c r="J304" s="2576">
        <f t="shared" ref="J304:P304" si="181">SUM(J301:J303)</f>
        <v>0</v>
      </c>
      <c r="K304" s="2325">
        <f t="shared" si="181"/>
        <v>0</v>
      </c>
      <c r="L304" s="1701">
        <f t="shared" si="181"/>
        <v>0</v>
      </c>
      <c r="M304" s="1701">
        <f t="shared" si="181"/>
        <v>0</v>
      </c>
      <c r="N304" s="1701">
        <f t="shared" si="181"/>
        <v>0</v>
      </c>
      <c r="O304" s="1701">
        <f t="shared" si="181"/>
        <v>0</v>
      </c>
      <c r="P304" s="2617">
        <f t="shared" si="181"/>
        <v>0</v>
      </c>
      <c r="Q304" s="2411"/>
      <c r="R304" s="2401">
        <f t="shared" si="172"/>
        <v>0</v>
      </c>
      <c r="S304" s="1701">
        <f t="shared" si="173"/>
        <v>0</v>
      </c>
      <c r="T304" s="1701">
        <f t="shared" si="174"/>
        <v>0</v>
      </c>
      <c r="U304" s="1701">
        <f t="shared" si="175"/>
        <v>0</v>
      </c>
      <c r="V304" s="1701"/>
      <c r="W304" s="2438"/>
      <c r="X304" s="2113"/>
      <c r="Z304" s="209">
        <f>SUM(Z301:Z303)</f>
        <v>0</v>
      </c>
      <c r="AC304" s="1701"/>
      <c r="AD304" s="1025">
        <v>0</v>
      </c>
      <c r="AE304" s="172">
        <f t="shared" si="157"/>
        <v>0</v>
      </c>
      <c r="AG304" s="1701">
        <f t="shared" si="158"/>
        <v>0</v>
      </c>
    </row>
    <row r="305" spans="1:33" hidden="1">
      <c r="A305" s="2684"/>
      <c r="B305" s="2097" t="s">
        <v>1140</v>
      </c>
      <c r="C305" s="1541" t="s">
        <v>512</v>
      </c>
      <c r="D305" s="2248" t="s">
        <v>1141</v>
      </c>
      <c r="E305" s="2152">
        <v>2</v>
      </c>
      <c r="F305" s="1541" t="s">
        <v>1142</v>
      </c>
      <c r="G305" s="2098">
        <v>9990001</v>
      </c>
      <c r="H305" s="2099" t="s">
        <v>1143</v>
      </c>
      <c r="I305" s="1365">
        <v>800000</v>
      </c>
      <c r="J305" s="2575">
        <v>1081385</v>
      </c>
      <c r="K305" s="2321">
        <f>0+118125</f>
        <v>118125</v>
      </c>
      <c r="L305" s="1365">
        <f t="shared" ref="L305:L310" si="182">+K305</f>
        <v>118125</v>
      </c>
      <c r="M305" s="1365">
        <f t="shared" ref="M305:M310" si="183">+L305</f>
        <v>118125</v>
      </c>
      <c r="N305" s="1365">
        <f>+M305-67500</f>
        <v>50625</v>
      </c>
      <c r="O305" s="1365">
        <f t="shared" ref="O305:O310" si="184">+N305</f>
        <v>50625</v>
      </c>
      <c r="P305" s="3170">
        <v>50625</v>
      </c>
      <c r="Q305" s="2409">
        <f t="shared" ref="Q305:Q311" si="185">+P305/N305</f>
        <v>1</v>
      </c>
      <c r="R305" s="2399">
        <f t="shared" si="172"/>
        <v>0</v>
      </c>
      <c r="S305" s="1365">
        <f t="shared" si="173"/>
        <v>0</v>
      </c>
      <c r="T305" s="1365">
        <f t="shared" si="174"/>
        <v>-67500</v>
      </c>
      <c r="U305" s="1365">
        <f t="shared" si="175"/>
        <v>0</v>
      </c>
      <c r="V305" s="1365"/>
      <c r="W305" s="2435"/>
      <c r="X305" s="2113"/>
      <c r="Z305" s="1207">
        <v>202875</v>
      </c>
      <c r="AC305" s="2408"/>
      <c r="AD305" s="2651">
        <v>1081385</v>
      </c>
      <c r="AE305" s="172">
        <f t="shared" si="157"/>
        <v>0</v>
      </c>
      <c r="AG305" s="2408">
        <f t="shared" si="158"/>
        <v>0</v>
      </c>
    </row>
    <row r="306" spans="1:33" hidden="1">
      <c r="A306" s="2684"/>
      <c r="B306" s="2097" t="s">
        <v>1144</v>
      </c>
      <c r="C306" s="1541" t="s">
        <v>512</v>
      </c>
      <c r="D306" s="2152" t="s">
        <v>1145</v>
      </c>
      <c r="E306" s="2152">
        <v>2</v>
      </c>
      <c r="F306" s="1541" t="s">
        <v>1146</v>
      </c>
      <c r="G306" s="2098">
        <v>9990001</v>
      </c>
      <c r="H306" s="2099" t="s">
        <v>1143</v>
      </c>
      <c r="I306" s="1365">
        <f>0</f>
        <v>0</v>
      </c>
      <c r="J306" s="2575">
        <v>0</v>
      </c>
      <c r="K306" s="2321">
        <f>0</f>
        <v>0</v>
      </c>
      <c r="L306" s="1365">
        <f t="shared" si="182"/>
        <v>0</v>
      </c>
      <c r="M306" s="1365">
        <f t="shared" si="183"/>
        <v>0</v>
      </c>
      <c r="N306" s="1365">
        <f>+M306</f>
        <v>0</v>
      </c>
      <c r="O306" s="1365">
        <f t="shared" si="184"/>
        <v>0</v>
      </c>
      <c r="P306" s="3187">
        <v>0</v>
      </c>
      <c r="Q306" s="2409"/>
      <c r="R306" s="2399">
        <f t="shared" si="172"/>
        <v>0</v>
      </c>
      <c r="S306" s="1365">
        <f t="shared" si="173"/>
        <v>0</v>
      </c>
      <c r="T306" s="1365">
        <f t="shared" si="174"/>
        <v>0</v>
      </c>
      <c r="U306" s="1365">
        <f t="shared" si="175"/>
        <v>0</v>
      </c>
      <c r="V306" s="1365"/>
      <c r="W306" s="2435"/>
      <c r="X306" s="2113"/>
      <c r="Z306" s="1358">
        <v>0</v>
      </c>
      <c r="AC306" s="2432"/>
      <c r="AD306" s="2669">
        <v>0</v>
      </c>
      <c r="AE306" s="172">
        <f t="shared" si="157"/>
        <v>0</v>
      </c>
      <c r="AG306" s="2432">
        <f t="shared" si="158"/>
        <v>0</v>
      </c>
    </row>
    <row r="307" spans="1:33" hidden="1">
      <c r="A307" s="2684"/>
      <c r="B307" s="2097" t="s">
        <v>1147</v>
      </c>
      <c r="C307" s="1541" t="s">
        <v>512</v>
      </c>
      <c r="D307" s="2152" t="s">
        <v>1148</v>
      </c>
      <c r="E307" s="2152">
        <v>2</v>
      </c>
      <c r="F307" s="1541" t="s">
        <v>1146</v>
      </c>
      <c r="G307" s="2098">
        <v>9990001</v>
      </c>
      <c r="H307" s="2099" t="s">
        <v>1143</v>
      </c>
      <c r="I307" s="1365">
        <v>560000</v>
      </c>
      <c r="J307" s="2575">
        <v>382760</v>
      </c>
      <c r="K307" s="2321">
        <f>288000</f>
        <v>288000</v>
      </c>
      <c r="L307" s="1365">
        <f t="shared" si="182"/>
        <v>288000</v>
      </c>
      <c r="M307" s="1365">
        <f t="shared" si="183"/>
        <v>288000</v>
      </c>
      <c r="N307" s="1365">
        <f>+M307+739040</f>
        <v>1027040</v>
      </c>
      <c r="O307" s="1365">
        <f t="shared" si="184"/>
        <v>1027040</v>
      </c>
      <c r="P307" s="3170">
        <v>1027040</v>
      </c>
      <c r="Q307" s="2409">
        <f t="shared" si="185"/>
        <v>1</v>
      </c>
      <c r="R307" s="2399">
        <f t="shared" si="172"/>
        <v>0</v>
      </c>
      <c r="S307" s="1365">
        <f t="shared" si="173"/>
        <v>0</v>
      </c>
      <c r="T307" s="1365">
        <f t="shared" si="174"/>
        <v>739040</v>
      </c>
      <c r="U307" s="1365">
        <f t="shared" si="175"/>
        <v>0</v>
      </c>
      <c r="V307" s="1365"/>
      <c r="W307" s="2435"/>
      <c r="X307" s="2113"/>
      <c r="Z307" s="1207">
        <v>144000</v>
      </c>
      <c r="AC307" s="2408"/>
      <c r="AD307" s="2651">
        <v>382760</v>
      </c>
      <c r="AE307" s="172">
        <f t="shared" si="157"/>
        <v>0</v>
      </c>
      <c r="AG307" s="2408">
        <f t="shared" si="158"/>
        <v>0</v>
      </c>
    </row>
    <row r="308" spans="1:33" hidden="1">
      <c r="A308" s="2684"/>
      <c r="B308" s="2097" t="s">
        <v>3482</v>
      </c>
      <c r="C308" s="1541" t="s">
        <v>512</v>
      </c>
      <c r="D308" s="2152" t="s">
        <v>1149</v>
      </c>
      <c r="E308" s="2152">
        <v>3</v>
      </c>
      <c r="F308" s="1541" t="s">
        <v>534</v>
      </c>
      <c r="G308" s="2098">
        <v>9990001</v>
      </c>
      <c r="H308" s="2099" t="s">
        <v>1143</v>
      </c>
      <c r="I308" s="1365">
        <v>0</v>
      </c>
      <c r="J308" s="2575"/>
      <c r="K308" s="2321">
        <v>0</v>
      </c>
      <c r="L308" s="1365">
        <f t="shared" si="182"/>
        <v>0</v>
      </c>
      <c r="M308" s="1365">
        <f>+L308</f>
        <v>0</v>
      </c>
      <c r="N308" s="1365">
        <f>+M308</f>
        <v>0</v>
      </c>
      <c r="O308" s="1365">
        <f t="shared" si="184"/>
        <v>0</v>
      </c>
      <c r="P308" s="2618"/>
      <c r="Q308" s="2409"/>
      <c r="R308" s="2399">
        <f t="shared" si="172"/>
        <v>0</v>
      </c>
      <c r="S308" s="1365">
        <f t="shared" si="173"/>
        <v>0</v>
      </c>
      <c r="T308" s="1365">
        <f t="shared" si="174"/>
        <v>0</v>
      </c>
      <c r="U308" s="1365">
        <f t="shared" si="175"/>
        <v>0</v>
      </c>
      <c r="V308" s="1365"/>
      <c r="W308" s="2435"/>
      <c r="X308" s="2113"/>
      <c r="Z308" s="192"/>
      <c r="AC308" s="1365"/>
      <c r="AD308" s="1014"/>
      <c r="AE308" s="172">
        <f t="shared" si="157"/>
        <v>0</v>
      </c>
      <c r="AG308" s="1365">
        <f t="shared" si="158"/>
        <v>0</v>
      </c>
    </row>
    <row r="309" spans="1:33" hidden="1">
      <c r="A309" s="2694" t="s">
        <v>1150</v>
      </c>
      <c r="B309" s="2162" t="s">
        <v>1151</v>
      </c>
      <c r="C309" s="2163" t="s">
        <v>512</v>
      </c>
      <c r="D309" s="2164" t="s">
        <v>1152</v>
      </c>
      <c r="E309" s="2164">
        <v>3</v>
      </c>
      <c r="F309" s="2163" t="s">
        <v>1153</v>
      </c>
      <c r="G309" s="2165">
        <v>9990001</v>
      </c>
      <c r="H309" s="2166" t="s">
        <v>1143</v>
      </c>
      <c r="I309" s="2167">
        <v>0</v>
      </c>
      <c r="J309" s="2583">
        <v>0</v>
      </c>
      <c r="K309" s="2331">
        <v>0</v>
      </c>
      <c r="L309" s="2167">
        <f t="shared" si="182"/>
        <v>0</v>
      </c>
      <c r="M309" s="2167">
        <f t="shared" si="183"/>
        <v>0</v>
      </c>
      <c r="N309" s="1365">
        <f>+M309</f>
        <v>0</v>
      </c>
      <c r="O309" s="1365">
        <f t="shared" si="184"/>
        <v>0</v>
      </c>
      <c r="P309" s="3187"/>
      <c r="Q309" s="2409"/>
      <c r="R309" s="2399">
        <f t="shared" si="172"/>
        <v>0</v>
      </c>
      <c r="S309" s="1365">
        <f t="shared" si="173"/>
        <v>0</v>
      </c>
      <c r="T309" s="1365">
        <f t="shared" si="174"/>
        <v>0</v>
      </c>
      <c r="U309" s="1365">
        <f t="shared" si="175"/>
        <v>0</v>
      </c>
      <c r="V309" s="1365"/>
      <c r="W309" s="2435"/>
      <c r="X309" s="2113"/>
      <c r="Z309" s="1358"/>
      <c r="AC309" s="2432"/>
      <c r="AD309" s="2669"/>
      <c r="AE309" s="172">
        <f t="shared" si="157"/>
        <v>0</v>
      </c>
      <c r="AG309" s="2432">
        <f t="shared" si="158"/>
        <v>0</v>
      </c>
    </row>
    <row r="310" spans="1:33" hidden="1">
      <c r="A310" s="2684"/>
      <c r="B310" s="2097" t="s">
        <v>3483</v>
      </c>
      <c r="C310" s="1541" t="s">
        <v>736</v>
      </c>
      <c r="D310" s="2152" t="s">
        <v>1154</v>
      </c>
      <c r="E310" s="2152">
        <v>3</v>
      </c>
      <c r="F310" s="1541" t="s">
        <v>751</v>
      </c>
      <c r="G310" s="2098">
        <v>9990001</v>
      </c>
      <c r="H310" s="2099" t="s">
        <v>1143</v>
      </c>
      <c r="I310" s="1365">
        <v>0</v>
      </c>
      <c r="J310" s="2575">
        <v>0</v>
      </c>
      <c r="K310" s="2321">
        <v>0</v>
      </c>
      <c r="L310" s="1365">
        <f t="shared" si="182"/>
        <v>0</v>
      </c>
      <c r="M310" s="1365">
        <f t="shared" si="183"/>
        <v>0</v>
      </c>
      <c r="N310" s="1365">
        <f>+M310</f>
        <v>0</v>
      </c>
      <c r="O310" s="1365">
        <f t="shared" si="184"/>
        <v>0</v>
      </c>
      <c r="P310" s="3170"/>
      <c r="Q310" s="2409"/>
      <c r="R310" s="2399">
        <f t="shared" si="172"/>
        <v>0</v>
      </c>
      <c r="S310" s="1365">
        <f t="shared" si="173"/>
        <v>0</v>
      </c>
      <c r="T310" s="1365">
        <f t="shared" si="174"/>
        <v>0</v>
      </c>
      <c r="U310" s="1365">
        <f t="shared" si="175"/>
        <v>0</v>
      </c>
      <c r="V310" s="1365"/>
      <c r="W310" s="2435"/>
      <c r="X310" s="2113"/>
      <c r="Z310" s="1207"/>
      <c r="AC310" s="2408"/>
      <c r="AD310" s="2651"/>
      <c r="AE310" s="172">
        <f t="shared" si="157"/>
        <v>0</v>
      </c>
      <c r="AG310" s="2408">
        <f t="shared" si="158"/>
        <v>0</v>
      </c>
    </row>
    <row r="311" spans="1:33">
      <c r="A311" s="2683" t="s">
        <v>3806</v>
      </c>
      <c r="B311" s="2110" t="s">
        <v>1155</v>
      </c>
      <c r="C311" s="1426"/>
      <c r="D311" s="2108"/>
      <c r="E311" s="2108"/>
      <c r="F311" s="2107"/>
      <c r="G311" s="2107"/>
      <c r="H311" s="2095" t="s">
        <v>1156</v>
      </c>
      <c r="I311" s="1701">
        <f>SUM(I305:I310)</f>
        <v>1360000</v>
      </c>
      <c r="J311" s="2576">
        <f t="shared" ref="J311:P311" si="186">SUM(J305:J310)</f>
        <v>1464145</v>
      </c>
      <c r="K311" s="2325">
        <f t="shared" si="186"/>
        <v>406125</v>
      </c>
      <c r="L311" s="1701">
        <f t="shared" si="186"/>
        <v>406125</v>
      </c>
      <c r="M311" s="1701">
        <f t="shared" si="186"/>
        <v>406125</v>
      </c>
      <c r="N311" s="1701">
        <f t="shared" si="186"/>
        <v>1077665</v>
      </c>
      <c r="O311" s="1701">
        <f t="shared" si="186"/>
        <v>1077665</v>
      </c>
      <c r="P311" s="2617">
        <f t="shared" si="186"/>
        <v>1077665</v>
      </c>
      <c r="Q311" s="2411">
        <f t="shared" si="185"/>
        <v>1</v>
      </c>
      <c r="R311" s="2401">
        <f t="shared" si="172"/>
        <v>0</v>
      </c>
      <c r="S311" s="1701">
        <f t="shared" si="173"/>
        <v>0</v>
      </c>
      <c r="T311" s="1701">
        <f t="shared" si="174"/>
        <v>671540</v>
      </c>
      <c r="U311" s="1701">
        <f t="shared" si="175"/>
        <v>0</v>
      </c>
      <c r="V311" s="1701"/>
      <c r="W311" s="2438"/>
      <c r="X311" s="2113"/>
      <c r="Z311" s="209">
        <f>SUM(Z305:Z310)</f>
        <v>346875</v>
      </c>
      <c r="AC311" s="1701">
        <v>1077665</v>
      </c>
      <c r="AD311" s="1025">
        <v>1464145</v>
      </c>
      <c r="AE311" s="172">
        <f t="shared" si="157"/>
        <v>0</v>
      </c>
      <c r="AF311" s="172">
        <f>+P311-AC311</f>
        <v>0</v>
      </c>
      <c r="AG311" s="1701">
        <f t="shared" si="158"/>
        <v>0</v>
      </c>
    </row>
    <row r="312" spans="1:33">
      <c r="A312" s="3485" t="s">
        <v>3395</v>
      </c>
      <c r="B312" s="2110" t="s">
        <v>1157</v>
      </c>
      <c r="C312" s="1426" t="s">
        <v>1032</v>
      </c>
      <c r="D312" s="2108" t="s">
        <v>1158</v>
      </c>
      <c r="E312" s="2108">
        <v>3</v>
      </c>
      <c r="F312" s="1541" t="s">
        <v>751</v>
      </c>
      <c r="G312" s="2098">
        <v>9990001</v>
      </c>
      <c r="H312" s="2095" t="s">
        <v>1159</v>
      </c>
      <c r="I312" s="1701">
        <v>0</v>
      </c>
      <c r="J312" s="2576">
        <v>55880000</v>
      </c>
      <c r="K312" s="2325">
        <v>0</v>
      </c>
      <c r="L312" s="1701">
        <f>+K312</f>
        <v>0</v>
      </c>
      <c r="M312" s="1701">
        <f>+L312</f>
        <v>0</v>
      </c>
      <c r="N312" s="1701">
        <f>+M312</f>
        <v>0</v>
      </c>
      <c r="O312" s="1701">
        <f t="shared" ref="L312:O316" si="187">+N312</f>
        <v>0</v>
      </c>
      <c r="P312" s="3175">
        <v>0</v>
      </c>
      <c r="Q312" s="2411"/>
      <c r="R312" s="2401">
        <f t="shared" si="172"/>
        <v>0</v>
      </c>
      <c r="S312" s="1701">
        <f t="shared" si="173"/>
        <v>0</v>
      </c>
      <c r="T312" s="1701">
        <f t="shared" si="174"/>
        <v>0</v>
      </c>
      <c r="U312" s="1701">
        <f t="shared" si="175"/>
        <v>0</v>
      </c>
      <c r="V312" s="1701"/>
      <c r="W312" s="2438"/>
      <c r="X312" s="2451"/>
      <c r="Z312" s="209">
        <v>55880000</v>
      </c>
      <c r="AC312" s="2410"/>
      <c r="AD312" s="2652">
        <v>55880000</v>
      </c>
      <c r="AE312" s="172">
        <f t="shared" si="157"/>
        <v>0</v>
      </c>
      <c r="AG312" s="2410">
        <f t="shared" si="158"/>
        <v>0</v>
      </c>
    </row>
    <row r="313" spans="1:33">
      <c r="A313" s="3485" t="s">
        <v>3396</v>
      </c>
      <c r="B313" s="2110" t="s">
        <v>1160</v>
      </c>
      <c r="C313" s="1426"/>
      <c r="D313" s="2108"/>
      <c r="E313" s="2108"/>
      <c r="F313" s="2107"/>
      <c r="G313" s="2107"/>
      <c r="H313" s="2095" t="s">
        <v>1161</v>
      </c>
      <c r="I313" s="1701">
        <v>0</v>
      </c>
      <c r="J313" s="2576">
        <v>0</v>
      </c>
      <c r="K313" s="2325">
        <v>0</v>
      </c>
      <c r="L313" s="1701">
        <f>+K313</f>
        <v>0</v>
      </c>
      <c r="M313" s="1701">
        <f t="shared" si="187"/>
        <v>0</v>
      </c>
      <c r="N313" s="1701">
        <f t="shared" si="187"/>
        <v>0</v>
      </c>
      <c r="O313" s="1701">
        <f t="shared" si="187"/>
        <v>0</v>
      </c>
      <c r="P313" s="2617">
        <v>0</v>
      </c>
      <c r="Q313" s="2411"/>
      <c r="R313" s="2401">
        <f t="shared" si="172"/>
        <v>0</v>
      </c>
      <c r="S313" s="1701">
        <f t="shared" si="173"/>
        <v>0</v>
      </c>
      <c r="T313" s="1701">
        <f t="shared" si="174"/>
        <v>0</v>
      </c>
      <c r="U313" s="1701">
        <f t="shared" si="175"/>
        <v>0</v>
      </c>
      <c r="V313" s="1701"/>
      <c r="W313" s="2438"/>
      <c r="X313" s="2113"/>
      <c r="Z313" s="209">
        <v>0</v>
      </c>
      <c r="AC313" s="1701"/>
      <c r="AD313" s="1025">
        <v>0</v>
      </c>
      <c r="AE313" s="172">
        <f t="shared" si="157"/>
        <v>0</v>
      </c>
      <c r="AG313" s="1701">
        <f t="shared" si="158"/>
        <v>0</v>
      </c>
    </row>
    <row r="314" spans="1:33" s="1717" customFormat="1" ht="25.5">
      <c r="A314" s="3485" t="s">
        <v>3397</v>
      </c>
      <c r="B314" s="2110" t="s">
        <v>3600</v>
      </c>
      <c r="C314" s="1426"/>
      <c r="D314" s="2108"/>
      <c r="E314" s="2108"/>
      <c r="F314" s="2107"/>
      <c r="G314" s="2107"/>
      <c r="H314" s="2095" t="s">
        <v>1162</v>
      </c>
      <c r="I314" s="1701">
        <v>98690400</v>
      </c>
      <c r="J314" s="2576">
        <v>0</v>
      </c>
      <c r="K314" s="2325">
        <f>+'34-35.mell.Ber.,Felúj.'!K46</f>
        <v>0</v>
      </c>
      <c r="L314" s="1701">
        <f t="shared" si="187"/>
        <v>0</v>
      </c>
      <c r="M314" s="1701">
        <f t="shared" si="187"/>
        <v>0</v>
      </c>
      <c r="N314" s="1701">
        <f>+M314</f>
        <v>0</v>
      </c>
      <c r="O314" s="1701">
        <f t="shared" si="187"/>
        <v>0</v>
      </c>
      <c r="P314" s="2617">
        <v>0</v>
      </c>
      <c r="Q314" s="2411"/>
      <c r="R314" s="2401">
        <f t="shared" si="172"/>
        <v>0</v>
      </c>
      <c r="S314" s="1701">
        <f t="shared" si="173"/>
        <v>0</v>
      </c>
      <c r="T314" s="1701">
        <f t="shared" si="174"/>
        <v>0</v>
      </c>
      <c r="U314" s="2169">
        <f t="shared" si="175"/>
        <v>0</v>
      </c>
      <c r="V314" s="2169"/>
      <c r="W314" s="2449"/>
      <c r="X314" s="2455"/>
      <c r="Z314" s="209">
        <v>0</v>
      </c>
      <c r="AC314" s="1701"/>
      <c r="AD314" s="1025">
        <v>0</v>
      </c>
      <c r="AE314" s="172">
        <f t="shared" si="157"/>
        <v>0</v>
      </c>
      <c r="AG314" s="1701">
        <f t="shared" si="158"/>
        <v>0</v>
      </c>
    </row>
    <row r="315" spans="1:33" hidden="1">
      <c r="A315" s="2683"/>
      <c r="B315" s="2110" t="s">
        <v>1163</v>
      </c>
      <c r="C315" s="1426"/>
      <c r="D315" s="2108"/>
      <c r="E315" s="2108"/>
      <c r="F315" s="2107"/>
      <c r="G315" s="2107"/>
      <c r="H315" s="2095" t="s">
        <v>1164</v>
      </c>
      <c r="I315" s="1365">
        <v>0</v>
      </c>
      <c r="J315" s="2575">
        <v>0</v>
      </c>
      <c r="K315" s="2321">
        <v>0</v>
      </c>
      <c r="L315" s="1365">
        <f t="shared" si="187"/>
        <v>0</v>
      </c>
      <c r="M315" s="1365">
        <f t="shared" si="187"/>
        <v>0</v>
      </c>
      <c r="N315" s="1365">
        <f t="shared" si="187"/>
        <v>0</v>
      </c>
      <c r="O315" s="1365">
        <f t="shared" si="187"/>
        <v>0</v>
      </c>
      <c r="P315" s="2618">
        <v>0</v>
      </c>
      <c r="Q315" s="2409"/>
      <c r="R315" s="2399">
        <f t="shared" si="172"/>
        <v>0</v>
      </c>
      <c r="S315" s="1365">
        <f t="shared" si="173"/>
        <v>0</v>
      </c>
      <c r="T315" s="1365">
        <f t="shared" si="174"/>
        <v>0</v>
      </c>
      <c r="U315" s="1365">
        <f t="shared" si="175"/>
        <v>0</v>
      </c>
      <c r="V315" s="1365"/>
      <c r="W315" s="2435"/>
      <c r="X315" s="2113"/>
      <c r="Z315" s="192">
        <v>0</v>
      </c>
      <c r="AC315" s="1365"/>
      <c r="AD315" s="1014">
        <v>0</v>
      </c>
      <c r="AE315" s="172">
        <f t="shared" si="157"/>
        <v>0</v>
      </c>
      <c r="AG315" s="1365">
        <f t="shared" si="158"/>
        <v>0</v>
      </c>
    </row>
    <row r="316" spans="1:33" hidden="1">
      <c r="A316" s="2683"/>
      <c r="B316" s="2110" t="s">
        <v>1165</v>
      </c>
      <c r="C316" s="1426"/>
      <c r="D316" s="2108"/>
      <c r="E316" s="2108"/>
      <c r="F316" s="2110"/>
      <c r="G316" s="2110"/>
      <c r="H316" s="2095" t="s">
        <v>1166</v>
      </c>
      <c r="I316" s="1365">
        <v>0</v>
      </c>
      <c r="J316" s="2575">
        <v>0</v>
      </c>
      <c r="K316" s="2321">
        <v>0</v>
      </c>
      <c r="L316" s="1365">
        <f t="shared" si="187"/>
        <v>0</v>
      </c>
      <c r="M316" s="1365">
        <f t="shared" si="187"/>
        <v>0</v>
      </c>
      <c r="N316" s="1365">
        <f t="shared" si="187"/>
        <v>0</v>
      </c>
      <c r="O316" s="1365">
        <f t="shared" si="187"/>
        <v>0</v>
      </c>
      <c r="P316" s="2618">
        <v>0</v>
      </c>
      <c r="Q316" s="2409"/>
      <c r="R316" s="2399">
        <f t="shared" si="172"/>
        <v>0</v>
      </c>
      <c r="S316" s="1365">
        <f t="shared" si="173"/>
        <v>0</v>
      </c>
      <c r="T316" s="1365">
        <f t="shared" si="174"/>
        <v>0</v>
      </c>
      <c r="U316" s="1365">
        <f t="shared" si="175"/>
        <v>0</v>
      </c>
      <c r="V316" s="1365"/>
      <c r="W316" s="2435"/>
      <c r="X316" s="2113"/>
      <c r="Z316" s="192">
        <v>0</v>
      </c>
      <c r="AC316" s="1365"/>
      <c r="AD316" s="1014">
        <v>0</v>
      </c>
      <c r="AE316" s="172">
        <f t="shared" si="157"/>
        <v>0</v>
      </c>
      <c r="AG316" s="1365">
        <f t="shared" si="158"/>
        <v>0</v>
      </c>
    </row>
    <row r="317" spans="1:33">
      <c r="A317" s="2683" t="s">
        <v>3398</v>
      </c>
      <c r="B317" s="2107" t="s">
        <v>3807</v>
      </c>
      <c r="C317" s="1426"/>
      <c r="D317" s="2108"/>
      <c r="E317" s="2108"/>
      <c r="F317" s="2107"/>
      <c r="G317" s="2107"/>
      <c r="H317" s="2095" t="s">
        <v>1168</v>
      </c>
      <c r="I317" s="1701">
        <f>+I300+I304+I311+I312+I313+I314+I315+I316</f>
        <v>100050400</v>
      </c>
      <c r="J317" s="2576">
        <f t="shared" ref="J317:P317" si="188">+J300+J304+J311+J312+J313+J314+J315+J316</f>
        <v>57344145</v>
      </c>
      <c r="K317" s="2325">
        <f t="shared" si="188"/>
        <v>406125</v>
      </c>
      <c r="L317" s="1701">
        <f t="shared" si="188"/>
        <v>406125</v>
      </c>
      <c r="M317" s="1701">
        <f t="shared" si="188"/>
        <v>406125</v>
      </c>
      <c r="N317" s="1701">
        <f t="shared" si="188"/>
        <v>1077665</v>
      </c>
      <c r="O317" s="1701">
        <f t="shared" si="188"/>
        <v>1077665</v>
      </c>
      <c r="P317" s="2617">
        <f t="shared" si="188"/>
        <v>1077665</v>
      </c>
      <c r="Q317" s="2411">
        <f t="shared" ref="Q317:Q322" si="189">+P317/N317</f>
        <v>1</v>
      </c>
      <c r="R317" s="2401">
        <f t="shared" si="172"/>
        <v>0</v>
      </c>
      <c r="S317" s="1701">
        <f t="shared" si="173"/>
        <v>0</v>
      </c>
      <c r="T317" s="1701">
        <f t="shared" si="174"/>
        <v>671540</v>
      </c>
      <c r="U317" s="1701">
        <f t="shared" si="175"/>
        <v>0</v>
      </c>
      <c r="V317" s="1701"/>
      <c r="W317" s="2438"/>
      <c r="X317" s="2113"/>
      <c r="Z317" s="209">
        <f>+Z300+Z304+Z311+Z312+Z313+Z314+Z315+Z316</f>
        <v>56226875</v>
      </c>
      <c r="AC317" s="1701"/>
      <c r="AD317" s="1025">
        <v>57344145</v>
      </c>
      <c r="AE317" s="172">
        <f t="shared" si="157"/>
        <v>0</v>
      </c>
      <c r="AG317" s="1701">
        <f t="shared" si="158"/>
        <v>0</v>
      </c>
    </row>
    <row r="318" spans="1:33" ht="18.75">
      <c r="A318" s="2683" t="s">
        <v>3399</v>
      </c>
      <c r="B318" s="2120" t="s">
        <v>3808</v>
      </c>
      <c r="C318" s="2121"/>
      <c r="D318" s="2122"/>
      <c r="E318" s="2122"/>
      <c r="F318" s="2120"/>
      <c r="G318" s="2120"/>
      <c r="H318" s="2122" t="s">
        <v>1170</v>
      </c>
      <c r="I318" s="2123">
        <f>+I299+I317</f>
        <v>104429188</v>
      </c>
      <c r="J318" s="2577">
        <f t="shared" ref="J318:P318" si="190">+J299+J317</f>
        <v>63990353</v>
      </c>
      <c r="K318" s="2326">
        <f t="shared" si="190"/>
        <v>3218439</v>
      </c>
      <c r="L318" s="2123">
        <f t="shared" si="190"/>
        <v>3218439</v>
      </c>
      <c r="M318" s="2123">
        <f t="shared" si="190"/>
        <v>3218439</v>
      </c>
      <c r="N318" s="2123">
        <f t="shared" si="190"/>
        <v>5253618</v>
      </c>
      <c r="O318" s="2123">
        <f t="shared" si="190"/>
        <v>5253618</v>
      </c>
      <c r="P318" s="3177">
        <f t="shared" si="190"/>
        <v>5253618</v>
      </c>
      <c r="Q318" s="2415">
        <f t="shared" si="189"/>
        <v>1</v>
      </c>
      <c r="R318" s="2402">
        <f t="shared" si="172"/>
        <v>0</v>
      </c>
      <c r="S318" s="2123">
        <f t="shared" si="173"/>
        <v>0</v>
      </c>
      <c r="T318" s="2123">
        <f t="shared" si="174"/>
        <v>2035179</v>
      </c>
      <c r="U318" s="2123">
        <f t="shared" si="175"/>
        <v>0</v>
      </c>
      <c r="V318" s="2123"/>
      <c r="W318" s="2440"/>
      <c r="X318" s="2454"/>
      <c r="Z318" s="222">
        <f>+Z299+Z317</f>
        <v>59977611</v>
      </c>
      <c r="AC318" s="2414">
        <v>5253618</v>
      </c>
      <c r="AD318" s="1096">
        <v>63990353</v>
      </c>
      <c r="AE318" s="172">
        <f t="shared" si="157"/>
        <v>0</v>
      </c>
      <c r="AF318" s="2414">
        <f t="shared" ref="AF318:AF323" si="191">+P318-AC318</f>
        <v>0</v>
      </c>
      <c r="AG318" s="2414">
        <f t="shared" si="158"/>
        <v>0</v>
      </c>
    </row>
    <row r="319" spans="1:33" ht="37.5">
      <c r="A319" s="2683" t="s">
        <v>3400</v>
      </c>
      <c r="B319" s="2157" t="s">
        <v>3809</v>
      </c>
      <c r="C319" s="2158"/>
      <c r="D319" s="2159"/>
      <c r="E319" s="2159"/>
      <c r="F319" s="2120"/>
      <c r="G319" s="2120"/>
      <c r="H319" s="2122"/>
      <c r="I319" s="2123">
        <f t="shared" ref="I319:P319" si="192">+I59+I101+I218+I243+I272+I287+I318</f>
        <v>22427307393.189999</v>
      </c>
      <c r="J319" s="2577">
        <f t="shared" si="192"/>
        <v>19758113193</v>
      </c>
      <c r="K319" s="2326">
        <f t="shared" si="192"/>
        <v>22410547620</v>
      </c>
      <c r="L319" s="2123">
        <f t="shared" si="192"/>
        <v>22838094985</v>
      </c>
      <c r="M319" s="2123">
        <f t="shared" si="192"/>
        <v>22917320432</v>
      </c>
      <c r="N319" s="2123">
        <f t="shared" si="192"/>
        <v>22082859036</v>
      </c>
      <c r="O319" s="2123">
        <f t="shared" si="192"/>
        <v>22082859036</v>
      </c>
      <c r="P319" s="3177">
        <f t="shared" si="192"/>
        <v>22082859036</v>
      </c>
      <c r="Q319" s="2415">
        <f t="shared" si="189"/>
        <v>1</v>
      </c>
      <c r="R319" s="2402">
        <f t="shared" si="172"/>
        <v>427547365</v>
      </c>
      <c r="S319" s="2123">
        <f t="shared" si="173"/>
        <v>79225447</v>
      </c>
      <c r="T319" s="2123">
        <f t="shared" si="174"/>
        <v>-834461396</v>
      </c>
      <c r="U319" s="2123">
        <f t="shared" si="175"/>
        <v>0</v>
      </c>
      <c r="V319" s="2123"/>
      <c r="W319" s="2440"/>
      <c r="X319" s="2113"/>
      <c r="Z319" s="221">
        <f>+Z59+Z101+Z218+Z243+Z272+Z287+Z318</f>
        <v>17713562735</v>
      </c>
      <c r="AC319" s="2123">
        <v>22082859036</v>
      </c>
      <c r="AD319" s="1096">
        <v>19758113193</v>
      </c>
      <c r="AE319" s="172">
        <f t="shared" si="157"/>
        <v>0</v>
      </c>
      <c r="AF319" s="171">
        <f t="shared" si="191"/>
        <v>0</v>
      </c>
      <c r="AG319" s="2123">
        <f t="shared" si="158"/>
        <v>0</v>
      </c>
    </row>
    <row r="320" spans="1:33" ht="37.5">
      <c r="A320" s="2683" t="s">
        <v>3401</v>
      </c>
      <c r="B320" s="2157" t="s">
        <v>1173</v>
      </c>
      <c r="C320" s="1541" t="s">
        <v>574</v>
      </c>
      <c r="D320" s="2152" t="s">
        <v>1174</v>
      </c>
      <c r="E320" s="2098">
        <v>3</v>
      </c>
      <c r="F320" s="2098">
        <v>900060</v>
      </c>
      <c r="G320" s="2098">
        <v>9990001</v>
      </c>
      <c r="H320" s="1541" t="s">
        <v>1175</v>
      </c>
      <c r="I320" s="2123">
        <f>+'Fin.bev-nem része a rend-nek'!I44</f>
        <v>8000000000</v>
      </c>
      <c r="J320" s="2577">
        <f>+'Fin.bev-nem része a rend-nek'!J44</f>
        <v>5500000000</v>
      </c>
      <c r="K320" s="2326">
        <f>+'Fin.bev-nem része a rend-nek'!K44</f>
        <v>5500000000</v>
      </c>
      <c r="L320" s="2123">
        <f>+'Fin.bev-nem része a rend-nek'!L44</f>
        <v>5500000000</v>
      </c>
      <c r="M320" s="2123">
        <f>+'Fin.bev-nem része a rend-nek'!M44</f>
        <v>5500000000</v>
      </c>
      <c r="N320" s="2123">
        <f>+'Fin.bev-nem része a rend-nek'!N44</f>
        <v>6700000000</v>
      </c>
      <c r="O320" s="2123">
        <f>+'Fin.bev-nem része a rend-nek'!O44</f>
        <v>6700000000</v>
      </c>
      <c r="P320" s="3177">
        <f>+'Fin.bev-nem része a rend-nek'!P44</f>
        <v>6700000000</v>
      </c>
      <c r="Q320" s="2415">
        <f t="shared" si="189"/>
        <v>1</v>
      </c>
      <c r="R320" s="2402">
        <f t="shared" si="172"/>
        <v>0</v>
      </c>
      <c r="S320" s="2123">
        <f t="shared" si="173"/>
        <v>0</v>
      </c>
      <c r="T320" s="2123">
        <f t="shared" si="174"/>
        <v>1200000000</v>
      </c>
      <c r="U320" s="2123">
        <f t="shared" si="175"/>
        <v>0</v>
      </c>
      <c r="V320" s="2123"/>
      <c r="W320" s="2440"/>
      <c r="X320" s="2113"/>
      <c r="Z320" s="221">
        <f>+'Fin.bev-nem része a rend-nek'!Y44</f>
        <v>5500000000</v>
      </c>
      <c r="AC320" s="2123">
        <v>6700000000</v>
      </c>
      <c r="AD320" s="1096">
        <v>5500000000</v>
      </c>
      <c r="AE320" s="172">
        <f t="shared" si="157"/>
        <v>0</v>
      </c>
      <c r="AF320" s="171">
        <f t="shared" si="191"/>
        <v>0</v>
      </c>
      <c r="AG320" s="2123">
        <f t="shared" si="158"/>
        <v>0</v>
      </c>
    </row>
    <row r="321" spans="1:33" ht="18.75">
      <c r="A321" s="2683" t="s">
        <v>3810</v>
      </c>
      <c r="B321" s="2157" t="s">
        <v>281</v>
      </c>
      <c r="C321" s="1541" t="s">
        <v>574</v>
      </c>
      <c r="D321" s="2098" t="s">
        <v>1177</v>
      </c>
      <c r="E321" s="2098">
        <v>3</v>
      </c>
      <c r="F321" s="2098">
        <v>900060</v>
      </c>
      <c r="G321" s="2098">
        <v>9990001</v>
      </c>
      <c r="H321" s="2098" t="s">
        <v>1178</v>
      </c>
      <c r="I321" s="2123">
        <f>+'Fin.bev-nem része a rend-nek'!I23</f>
        <v>0</v>
      </c>
      <c r="J321" s="2577">
        <f>+'Fin.bev-nem része a rend-nek'!J23</f>
        <v>0</v>
      </c>
      <c r="K321" s="2326">
        <f>+'Fin.bev-nem része a rend-nek'!K23</f>
        <v>0</v>
      </c>
      <c r="L321" s="2123">
        <f>+'Fin.bev-nem része a rend-nek'!L23</f>
        <v>0</v>
      </c>
      <c r="M321" s="2123">
        <f>+'Fin.bev-nem része a rend-nek'!M23</f>
        <v>0</v>
      </c>
      <c r="N321" s="2123">
        <f>+'Fin.bev-nem része a rend-nek'!N23</f>
        <v>4999090000</v>
      </c>
      <c r="O321" s="2123">
        <f>+'Fin.bev-nem része a rend-nek'!O23</f>
        <v>4999090000</v>
      </c>
      <c r="P321" s="3177">
        <f>+'Fin.bev-nem része a rend-nek'!P23</f>
        <v>2790470000</v>
      </c>
      <c r="Q321" s="2415">
        <f t="shared" si="189"/>
        <v>0.55819559159767074</v>
      </c>
      <c r="R321" s="2402">
        <f t="shared" si="172"/>
        <v>0</v>
      </c>
      <c r="S321" s="2123">
        <f t="shared" si="173"/>
        <v>0</v>
      </c>
      <c r="T321" s="2123">
        <f t="shared" si="174"/>
        <v>4999090000</v>
      </c>
      <c r="U321" s="2123">
        <f t="shared" si="175"/>
        <v>0</v>
      </c>
      <c r="V321" s="2123"/>
      <c r="W321" s="2440"/>
      <c r="X321" s="2113"/>
      <c r="Z321" s="221">
        <f>+'Fin.bev-nem része a rend-nek'!Z23</f>
        <v>0</v>
      </c>
      <c r="AC321" s="2123">
        <v>2790470000</v>
      </c>
      <c r="AD321" s="1096">
        <v>0</v>
      </c>
      <c r="AE321" s="172">
        <f t="shared" si="157"/>
        <v>0</v>
      </c>
      <c r="AF321" s="171">
        <f t="shared" si="191"/>
        <v>0</v>
      </c>
      <c r="AG321" s="2123">
        <f t="shared" si="158"/>
        <v>-2208620000</v>
      </c>
    </row>
    <row r="322" spans="1:33" ht="18.75">
      <c r="A322" s="2683" t="s">
        <v>3811</v>
      </c>
      <c r="B322" s="2157" t="s">
        <v>295</v>
      </c>
      <c r="C322" s="1541"/>
      <c r="D322" s="2098"/>
      <c r="E322" s="2098"/>
      <c r="F322" s="2098"/>
      <c r="G322" s="2098"/>
      <c r="H322" s="2098"/>
      <c r="I322" s="2123">
        <f>+'Fin.bev-nem része a rend-nek'!I38</f>
        <v>0</v>
      </c>
      <c r="J322" s="2577">
        <f>+'Fin.bev-nem része a rend-nek'!J38</f>
        <v>965865747</v>
      </c>
      <c r="K322" s="2326">
        <f>+'Fin.bev-nem része a rend-nek'!K38</f>
        <v>0</v>
      </c>
      <c r="L322" s="2123">
        <f>+'Fin.bev-nem része a rend-nek'!L38</f>
        <v>0</v>
      </c>
      <c r="M322" s="2123">
        <f>+'Fin.bev-nem része a rend-nek'!M38</f>
        <v>1373664816</v>
      </c>
      <c r="N322" s="2123">
        <f>+'Fin.bev-nem része a rend-nek'!N38</f>
        <v>1790545302</v>
      </c>
      <c r="O322" s="2123">
        <f>+'Fin.bev-nem része a rend-nek'!O38</f>
        <v>1790545302</v>
      </c>
      <c r="P322" s="3177">
        <f>+'Fin.bev-nem része a rend-nek'!P38</f>
        <v>1790545302</v>
      </c>
      <c r="Q322" s="2415">
        <f t="shared" si="189"/>
        <v>1</v>
      </c>
      <c r="R322" s="2402"/>
      <c r="S322" s="2123">
        <f t="shared" si="173"/>
        <v>1373664816</v>
      </c>
      <c r="T322" s="2123">
        <f t="shared" si="174"/>
        <v>416880486</v>
      </c>
      <c r="U322" s="2123"/>
      <c r="V322" s="2123"/>
      <c r="W322" s="2440"/>
      <c r="X322" s="2113"/>
      <c r="Z322" s="221">
        <f>+'Fin.bev-nem része a rend-nek'!Y38</f>
        <v>489302282</v>
      </c>
      <c r="AC322" s="2123">
        <v>1790545302</v>
      </c>
      <c r="AD322" s="1096">
        <v>965865747</v>
      </c>
      <c r="AE322" s="172">
        <f t="shared" si="157"/>
        <v>0</v>
      </c>
      <c r="AF322" s="171">
        <f t="shared" si="191"/>
        <v>0</v>
      </c>
      <c r="AG322" s="2123">
        <f t="shared" si="158"/>
        <v>0</v>
      </c>
    </row>
    <row r="323" spans="1:33" ht="37.5">
      <c r="A323" s="2683" t="s">
        <v>3812</v>
      </c>
      <c r="B323" s="2157" t="s">
        <v>1180</v>
      </c>
      <c r="C323" s="2158" t="s">
        <v>512</v>
      </c>
      <c r="D323" s="2108" t="s">
        <v>1181</v>
      </c>
      <c r="E323" s="2108">
        <v>2</v>
      </c>
      <c r="F323" s="1426">
        <v>18030</v>
      </c>
      <c r="G323" s="2108">
        <v>9990001</v>
      </c>
      <c r="H323" s="1426" t="s">
        <v>1182</v>
      </c>
      <c r="I323" s="2123">
        <f>+'Fin.bev-nem része a rend-nek'!I37</f>
        <v>7200000000</v>
      </c>
      <c r="J323" s="2577">
        <f>+'Fin.bev-nem része a rend-nek'!J37</f>
        <v>7255403822</v>
      </c>
      <c r="K323" s="2326">
        <f>+'Fin.bev-nem része a rend-nek'!K37</f>
        <v>2690000000</v>
      </c>
      <c r="L323" s="2123">
        <f>+'Fin.bev-nem része a rend-nek'!L37</f>
        <v>2693591343</v>
      </c>
      <c r="M323" s="2123">
        <f>+'Fin.bev-nem része a rend-nek'!M37</f>
        <v>2693591343</v>
      </c>
      <c r="N323" s="2123">
        <f>+'Fin.bev-nem része a rend-nek'!N37</f>
        <v>2693591343</v>
      </c>
      <c r="O323" s="2123">
        <f>+'Fin.bev-nem része a rend-nek'!O37</f>
        <v>2693591343</v>
      </c>
      <c r="P323" s="3177">
        <f>+'Fin.bev-nem része a rend-nek'!P37</f>
        <v>2693591343</v>
      </c>
      <c r="Q323" s="2415">
        <f>+P323/N323</f>
        <v>1</v>
      </c>
      <c r="R323" s="2402">
        <f t="shared" si="172"/>
        <v>3591343</v>
      </c>
      <c r="S323" s="2123">
        <f t="shared" si="173"/>
        <v>0</v>
      </c>
      <c r="T323" s="2123">
        <f t="shared" si="174"/>
        <v>0</v>
      </c>
      <c r="U323" s="2123">
        <f t="shared" si="175"/>
        <v>0</v>
      </c>
      <c r="V323" s="2123"/>
      <c r="W323" s="2440"/>
      <c r="X323" s="2113"/>
      <c r="Z323" s="221">
        <f>+'Fin.bev-nem része a rend-nek'!Y37</f>
        <v>7255403822</v>
      </c>
      <c r="AC323" s="2123">
        <v>2693591343</v>
      </c>
      <c r="AD323" s="1096">
        <v>7255403822</v>
      </c>
      <c r="AE323" s="172">
        <f t="shared" si="157"/>
        <v>0</v>
      </c>
      <c r="AF323" s="171">
        <f t="shared" si="191"/>
        <v>0</v>
      </c>
      <c r="AG323" s="2123">
        <f t="shared" si="158"/>
        <v>0</v>
      </c>
    </row>
    <row r="324" spans="1:33" hidden="1">
      <c r="B324" s="170" t="s">
        <v>1183</v>
      </c>
      <c r="I324" s="169">
        <f t="shared" ref="I324:P324" si="193">+I59+I101+I218+I243+I272+I287+I318</f>
        <v>22427307393.189999</v>
      </c>
      <c r="J324" s="169">
        <f t="shared" si="193"/>
        <v>19758113193</v>
      </c>
      <c r="K324" s="2332">
        <f t="shared" si="193"/>
        <v>22410547620</v>
      </c>
      <c r="L324" s="169">
        <f t="shared" si="193"/>
        <v>22838094985</v>
      </c>
      <c r="M324" s="169">
        <f t="shared" si="193"/>
        <v>22917320432</v>
      </c>
      <c r="N324" s="169">
        <f t="shared" si="193"/>
        <v>22082859036</v>
      </c>
      <c r="O324" s="169">
        <f t="shared" si="193"/>
        <v>22082859036</v>
      </c>
      <c r="P324" s="169">
        <f t="shared" si="193"/>
        <v>22082859036</v>
      </c>
      <c r="Z324" s="169">
        <f>+Z59+Z101+Z218+Z243+Z272+Z287+Z318</f>
        <v>17713562735</v>
      </c>
      <c r="AC324" s="169"/>
      <c r="AG324" s="169"/>
    </row>
    <row r="325" spans="1:33" hidden="1">
      <c r="I325" s="169">
        <f>+I319+I323</f>
        <v>29627307393.189999</v>
      </c>
      <c r="J325" s="169">
        <f>+J319+J320+J323</f>
        <v>32513517015</v>
      </c>
      <c r="K325" s="2332">
        <f t="shared" ref="K325:P325" si="194">+K319+K323+K320+K321+K322</f>
        <v>30600547620</v>
      </c>
      <c r="L325" s="2332">
        <f t="shared" si="194"/>
        <v>31031686328</v>
      </c>
      <c r="M325" s="2332">
        <f t="shared" si="194"/>
        <v>32484576591</v>
      </c>
      <c r="N325" s="2332">
        <f t="shared" si="194"/>
        <v>38266085681</v>
      </c>
      <c r="O325" s="2332">
        <f t="shared" si="194"/>
        <v>38266085681</v>
      </c>
      <c r="P325" s="2332">
        <f t="shared" si="194"/>
        <v>36057465681</v>
      </c>
      <c r="R325" s="169">
        <f t="shared" ref="R325:W325" si="195">+R319+R323</f>
        <v>431138708</v>
      </c>
      <c r="S325" s="169">
        <f t="shared" si="195"/>
        <v>79225447</v>
      </c>
      <c r="T325" s="169">
        <f t="shared" si="195"/>
        <v>-834461396</v>
      </c>
      <c r="U325" s="169">
        <f t="shared" si="195"/>
        <v>0</v>
      </c>
      <c r="V325" s="169">
        <f t="shared" si="195"/>
        <v>0</v>
      </c>
      <c r="W325" s="169">
        <f t="shared" si="195"/>
        <v>0</v>
      </c>
      <c r="Z325" s="169">
        <f>+Z319+Z320+Z323</f>
        <v>30468966557</v>
      </c>
      <c r="AC325" s="2332"/>
      <c r="AG325" s="2332"/>
    </row>
    <row r="326" spans="1:33" hidden="1">
      <c r="I326" s="169">
        <f>+'6. mell (Bontás)'!C88</f>
        <v>37627307393.190002</v>
      </c>
      <c r="J326" s="169">
        <f>+'6. mell (Bontás)'!F88</f>
        <v>32484576591</v>
      </c>
      <c r="K326" s="2332">
        <f>+'6. mell (Bontás)'!D88</f>
        <v>30600547620</v>
      </c>
      <c r="L326" s="169">
        <f>+'6. mell (Bontás)'!E88</f>
        <v>31031686328</v>
      </c>
      <c r="M326" s="169">
        <f>+'6. mell (Bontás)'!F88</f>
        <v>32484576591</v>
      </c>
      <c r="N326" s="169">
        <f>+'6. mell (Bontás)'!G88</f>
        <v>38266085681</v>
      </c>
      <c r="O326" s="169">
        <f>+'6. mell (Bontás)'!H88</f>
        <v>38266085681</v>
      </c>
      <c r="P326" s="169">
        <f>+'6. mell (Bontás)'!I88</f>
        <v>36057465681</v>
      </c>
      <c r="R326" s="169">
        <f>SUM(R319:R323)</f>
        <v>431138708</v>
      </c>
      <c r="S326" s="169">
        <f>SUM(S319:S323)</f>
        <v>1452890263</v>
      </c>
      <c r="T326" s="169">
        <f>SUM(T319:T323)</f>
        <v>5781509090</v>
      </c>
      <c r="U326" s="169">
        <f>SUM(U319:U323)</f>
        <v>0</v>
      </c>
      <c r="Z326" s="169"/>
      <c r="AC326" s="169"/>
      <c r="AG326" s="169"/>
    </row>
    <row r="327" spans="1:33" hidden="1">
      <c r="I327" s="169">
        <f>+I319+I320+I321+I22+I323</f>
        <v>37627307393.190002</v>
      </c>
      <c r="J327" s="169">
        <f>+J319+J320+J321+J323</f>
        <v>32513517015</v>
      </c>
      <c r="K327" s="2332">
        <f t="shared" ref="K327:P327" si="196">+K319+K320+K321+K322+K323</f>
        <v>30600547620</v>
      </c>
      <c r="L327" s="169">
        <f t="shared" si="196"/>
        <v>31031686328</v>
      </c>
      <c r="M327" s="169">
        <f t="shared" si="196"/>
        <v>32484576591</v>
      </c>
      <c r="N327" s="169">
        <f t="shared" si="196"/>
        <v>38266085681</v>
      </c>
      <c r="O327" s="169">
        <f t="shared" si="196"/>
        <v>38266085681</v>
      </c>
      <c r="P327" s="169">
        <f t="shared" si="196"/>
        <v>36057465681</v>
      </c>
      <c r="X327" s="1599"/>
      <c r="Z327" s="169">
        <f>+Z319+Z320+Z321+Z322+Z323</f>
        <v>30958268839</v>
      </c>
      <c r="AC327" s="169"/>
      <c r="AG327" s="169"/>
    </row>
    <row r="328" spans="1:33" hidden="1">
      <c r="B328" s="170" t="s">
        <v>1184</v>
      </c>
      <c r="I328" s="212">
        <f>+I272+I287+I318</f>
        <v>2189150618.1900001</v>
      </c>
      <c r="J328" s="212">
        <v>5328827740</v>
      </c>
      <c r="K328" s="2333">
        <f t="shared" ref="K328:P328" si="197">+K272+K287+K318</f>
        <v>2726439016</v>
      </c>
      <c r="L328" s="212">
        <f t="shared" si="197"/>
        <v>2726439016</v>
      </c>
      <c r="M328" s="212">
        <f t="shared" si="197"/>
        <v>2786439016</v>
      </c>
      <c r="N328" s="212">
        <f t="shared" si="197"/>
        <v>1373237074</v>
      </c>
      <c r="O328" s="212">
        <f t="shared" si="197"/>
        <v>1373237074</v>
      </c>
      <c r="P328" s="212">
        <f t="shared" si="197"/>
        <v>1373237074</v>
      </c>
      <c r="Q328" s="212"/>
      <c r="R328" s="212"/>
      <c r="S328" s="212"/>
      <c r="T328" s="212"/>
      <c r="U328" s="212"/>
      <c r="V328" s="212"/>
      <c r="W328" s="212"/>
      <c r="Z328" s="212">
        <f>+Z272+Z287+Z318</f>
        <v>214039911</v>
      </c>
    </row>
    <row r="329" spans="1:33" hidden="1">
      <c r="I329" s="202">
        <f>+'6. mell (Bontás)'!C21+'6. mell (Bontás)'!C47+'6. mell (Bontás)'!C58</f>
        <v>2189150618.1900001</v>
      </c>
      <c r="J329" s="202">
        <v>5328827740</v>
      </c>
      <c r="K329" s="2334">
        <f>+'6. mell (Bontás)'!D21+'6. mell (Bontás)'!D47+'6. mell (Bontás)'!D58</f>
        <v>2726439016</v>
      </c>
      <c r="L329" s="202">
        <f>+'6. mell (Bontás)'!E21+'6. mell (Bontás)'!E47+'6. mell (Bontás)'!E58</f>
        <v>2726439016</v>
      </c>
      <c r="M329" s="202">
        <f>+'6. mell (Bontás)'!F21+'6. mell (Bontás)'!F47+'6. mell (Bontás)'!F58</f>
        <v>2786439016</v>
      </c>
      <c r="N329" s="202">
        <f>+'6. mell (Bontás)'!G21+'6. mell (Bontás)'!G47+'6. mell (Bontás)'!G58</f>
        <v>1373237074</v>
      </c>
      <c r="O329" s="202">
        <f>+'6. mell (Bontás)'!H21+'6. mell (Bontás)'!H47+'6. mell (Bontás)'!H58</f>
        <v>1373237074</v>
      </c>
      <c r="P329" s="202">
        <f>+'6. mell (Bontás)'!I21+'6. mell (Bontás)'!I47+'6. mell (Bontás)'!I58</f>
        <v>1373237074</v>
      </c>
      <c r="Q329" s="202"/>
      <c r="R329" s="202"/>
      <c r="S329" s="202"/>
      <c r="Z329" s="202">
        <v>214039911</v>
      </c>
      <c r="AC329" s="202"/>
      <c r="AG329" s="202"/>
    </row>
    <row r="333" spans="1:33" ht="15.75" customHeight="1"/>
    <row r="338" spans="29:33">
      <c r="AC338" s="1413"/>
      <c r="AG338" s="1413"/>
    </row>
  </sheetData>
  <sheetProtection algorithmName="SHA-512" hashValue="/SKOHOWzwe0cz8GS5UYiXpjBPRKC0PjJEIjwU0o8Kw5thVcYJJg0ywYey+1JPPVB8FTbc2ISMyIE1m2F0bBVWA==" saltValue="0yxg5sdaQ4kFS5sWqlJuPA==" spinCount="100000" sheet="1" selectLockedCells="1" selectUnlockedCells="1"/>
  <mergeCells count="2">
    <mergeCell ref="A2:Q2"/>
    <mergeCell ref="A1:T1"/>
  </mergeCells>
  <printOptions horizontalCentered="1"/>
  <pageMargins left="0" right="0" top="0.55118110236220474" bottom="0.94488188976377963" header="0.51181102362204722" footer="0.31496062992125984"/>
  <pageSetup paperSize="9" scale="50" firstPageNumber="0" fitToHeight="3" orientation="portrait" r:id="rId1"/>
  <headerFooter alignWithMargins="0">
    <oddFooter>&amp;C&amp;"Arial CE,Félkövér"&amp;14&amp;P/&amp;N</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2A8D-CE1F-42B1-85E0-8E54BB986CED}">
  <sheetPr>
    <tabColor theme="5" tint="0.39997558519241921"/>
    <pageSetUpPr fitToPage="1"/>
  </sheetPr>
  <dimension ref="A1:AE51"/>
  <sheetViews>
    <sheetView view="pageBreakPreview" zoomScale="80" zoomScaleSheetLayoutView="80" workbookViewId="0">
      <pane xSplit="11" ySplit="4" topLeftCell="M21" activePane="bottomRight" state="frozen"/>
      <selection sqref="A1:Q1"/>
      <selection pane="topRight" sqref="A1:Q1"/>
      <selection pane="bottomLeft" sqref="A1:Q1"/>
      <selection pane="bottomRight" activeCell="N39" sqref="N39"/>
    </sheetView>
  </sheetViews>
  <sheetFormatPr defaultRowHeight="12.75"/>
  <cols>
    <col min="1" max="1" width="7.42578125" style="247" customWidth="1"/>
    <col min="2" max="2" width="47.140625" style="248" customWidth="1"/>
    <col min="3" max="3" width="5.140625" style="248" hidden="1" customWidth="1"/>
    <col min="4" max="4" width="7.85546875" style="248" hidden="1" customWidth="1"/>
    <col min="5" max="5" width="4.85546875" style="248" hidden="1" customWidth="1"/>
    <col min="6" max="6" width="11" style="248" hidden="1" customWidth="1"/>
    <col min="7" max="7" width="9.7109375" style="248" hidden="1" customWidth="1"/>
    <col min="8" max="8" width="8.85546875" style="249" hidden="1" customWidth="1"/>
    <col min="9" max="14" width="19.42578125" style="250" customWidth="1"/>
    <col min="15" max="15" width="19.42578125" style="250" hidden="1" customWidth="1"/>
    <col min="16" max="16" width="19.42578125" style="250" customWidth="1"/>
    <col min="17" max="17" width="15.5703125" style="250" customWidth="1"/>
    <col min="18" max="18" width="15.5703125" style="250" hidden="1" customWidth="1"/>
    <col min="19" max="19" width="18" style="250" hidden="1" customWidth="1"/>
    <col min="20" max="20" width="19.42578125" style="250" bestFit="1" customWidth="1"/>
    <col min="21" max="21" width="15.5703125" style="250" hidden="1" customWidth="1"/>
    <col min="22" max="22" width="13.140625" style="247" hidden="1" customWidth="1"/>
    <col min="23" max="23" width="12.7109375" style="247" hidden="1" customWidth="1"/>
    <col min="24" max="24" width="13" style="247" hidden="1" customWidth="1"/>
    <col min="25" max="25" width="19.42578125" style="247" hidden="1" customWidth="1"/>
    <col min="26" max="26" width="9.140625" style="247" customWidth="1"/>
    <col min="27" max="27" width="12" style="247" bestFit="1" customWidth="1"/>
    <col min="28" max="28" width="19.42578125" style="171" customWidth="1"/>
    <col min="29" max="16384" width="9.140625" style="247"/>
  </cols>
  <sheetData>
    <row r="1" spans="1:28" ht="15.75" customHeight="1">
      <c r="A1" s="3603" t="s">
        <v>1185</v>
      </c>
      <c r="B1" s="3603"/>
      <c r="C1" s="3603"/>
      <c r="D1" s="3603"/>
      <c r="E1" s="3603"/>
      <c r="F1" s="3603"/>
      <c r="G1" s="3603"/>
      <c r="H1" s="3603"/>
      <c r="I1" s="3603"/>
      <c r="J1" s="3603"/>
      <c r="K1" s="3603"/>
      <c r="L1" s="3603"/>
      <c r="V1" s="251"/>
      <c r="W1" s="251"/>
    </row>
    <row r="2" spans="1:28" ht="12.75" customHeight="1">
      <c r="B2" s="3604"/>
      <c r="C2" s="3604"/>
      <c r="D2" s="3604"/>
      <c r="E2" s="3604"/>
      <c r="F2" s="3604"/>
      <c r="G2" s="3604"/>
      <c r="H2" s="3604"/>
      <c r="I2" s="3604"/>
      <c r="J2" s="3604"/>
      <c r="K2" s="3604"/>
      <c r="L2" s="251"/>
      <c r="M2" s="251"/>
      <c r="N2" s="251"/>
      <c r="O2" s="251"/>
      <c r="P2" s="251"/>
      <c r="Q2" s="251"/>
      <c r="R2" s="251"/>
      <c r="S2" s="251"/>
      <c r="T2" s="251"/>
      <c r="U2" s="251"/>
      <c r="V2" s="251"/>
      <c r="W2" s="251"/>
    </row>
    <row r="3" spans="1:28" s="252" customFormat="1" ht="12" customHeight="1">
      <c r="B3" s="253"/>
      <c r="C3" s="253"/>
      <c r="D3" s="253"/>
      <c r="E3" s="253"/>
      <c r="F3" s="253"/>
      <c r="G3" s="253"/>
      <c r="H3" s="254"/>
      <c r="I3" s="3605"/>
      <c r="J3" s="3605"/>
      <c r="K3" s="3605"/>
      <c r="L3" s="255"/>
      <c r="M3" s="255"/>
      <c r="N3" s="255"/>
      <c r="O3" s="255"/>
      <c r="P3" s="255"/>
      <c r="Q3" s="255"/>
      <c r="R3" s="255"/>
      <c r="S3" s="255"/>
      <c r="T3" s="255"/>
      <c r="U3" s="255"/>
      <c r="V3" s="251"/>
      <c r="AB3" s="174"/>
    </row>
    <row r="4" spans="1:28" ht="63.75" customHeight="1">
      <c r="A4" s="256" t="s">
        <v>1</v>
      </c>
      <c r="B4" s="257" t="s">
        <v>1186</v>
      </c>
      <c r="C4" s="258" t="s">
        <v>504</v>
      </c>
      <c r="D4" s="258" t="s">
        <v>505</v>
      </c>
      <c r="E4" s="258" t="s">
        <v>506</v>
      </c>
      <c r="F4" s="258" t="s">
        <v>1187</v>
      </c>
      <c r="G4" s="258" t="s">
        <v>508</v>
      </c>
      <c r="H4" s="258" t="s">
        <v>509</v>
      </c>
      <c r="I4" s="182" t="str">
        <f>+'1. mell.ÖSSZEVONT_MÉRLEG'!C5</f>
        <v>2024. évi eredeti előirányzat
forintban</v>
      </c>
      <c r="J4" s="182" t="str">
        <f>+'1. mell.ÖSSZEVONT_MÉRLEG'!D5</f>
        <v>2024. évi teljesítés forintban</v>
      </c>
      <c r="K4" s="182" t="str">
        <f>+'1. mell.ÖSSZEVONT_MÉRLEG'!E5</f>
        <v>2025. évi eredeti előirányzat forintban</v>
      </c>
      <c r="L4" s="182" t="str">
        <f>+'1. mell.ÖSSZEVONT_MÉRLEG'!F5</f>
        <v>2025. évi I. számú módosított előirányzat
forintban</v>
      </c>
      <c r="M4" s="182" t="str">
        <f>+'1. mell.ÖSSZEVONT_MÉRLEG'!G5</f>
        <v>2025. évi II. számú módosított előirányzat forintban</v>
      </c>
      <c r="N4" s="182" t="str">
        <f>+'1. mell.ÖSSZEVONT_MÉRLEG'!H5</f>
        <v>2025. évi III. számú módosított előirányzat forintban</v>
      </c>
      <c r="O4" s="182" t="str">
        <f>+'1. mell.ÖSSZEVONT_MÉRLEG'!I5</f>
        <v>2025. évi IV. számú módosított előirányzat forintban</v>
      </c>
      <c r="P4" s="1076" t="str">
        <f>+'1. mell.ÖSSZEVONT_MÉRLEG'!J5</f>
        <v>2025. évi
teljesítés forintban</v>
      </c>
      <c r="Q4" s="182" t="str">
        <f>+'1. mell.ÖSSZEVONT_MÉRLEG'!K5</f>
        <v xml:space="preserve"> 2025. évi teljesítés / 2025. évi III. számú módosított előirányzat</v>
      </c>
      <c r="R4" s="256" t="s">
        <v>172</v>
      </c>
      <c r="S4" s="256" t="s">
        <v>173</v>
      </c>
      <c r="T4" s="256" t="s">
        <v>174</v>
      </c>
      <c r="U4" s="256" t="s">
        <v>175</v>
      </c>
      <c r="V4" s="251"/>
      <c r="Y4" s="1076" t="s">
        <v>3690</v>
      </c>
      <c r="AB4" s="1341" t="s">
        <v>3995</v>
      </c>
    </row>
    <row r="5" spans="1:28">
      <c r="A5" s="259">
        <v>1</v>
      </c>
      <c r="B5" s="259">
        <v>2</v>
      </c>
      <c r="C5" s="260"/>
      <c r="D5" s="259"/>
      <c r="E5" s="259"/>
      <c r="F5" s="259"/>
      <c r="G5" s="259"/>
      <c r="H5" s="259"/>
      <c r="I5" s="186">
        <f>+'1. mell.ÖSSZEVONT_MÉRLEG'!C6</f>
        <v>3</v>
      </c>
      <c r="J5" s="186"/>
      <c r="K5" s="186">
        <v>3</v>
      </c>
      <c r="L5" s="186">
        <f>+'1. mell.ÖSSZEVONT_MÉRLEG'!F6</f>
        <v>4</v>
      </c>
      <c r="M5" s="186">
        <f>+'1. mell.ÖSSZEVONT_MÉRLEG'!G6</f>
        <v>5</v>
      </c>
      <c r="N5" s="186">
        <f>+'1. mell.ÖSSZEVONT_MÉRLEG'!H6</f>
        <v>6</v>
      </c>
      <c r="O5" s="186">
        <f>+'1. mell.ÖSSZEVONT_MÉRLEG'!I6</f>
        <v>7</v>
      </c>
      <c r="P5" s="186">
        <f>+'1. mell.ÖSSZEVONT_MÉRLEG'!J6</f>
        <v>0</v>
      </c>
      <c r="Q5" s="186">
        <f>+'1. mell.ÖSSZEVONT_MÉRLEG'!K6</f>
        <v>5</v>
      </c>
      <c r="R5" s="259"/>
      <c r="S5" s="259"/>
      <c r="T5" s="259"/>
      <c r="U5" s="259"/>
      <c r="V5" s="251"/>
      <c r="Y5" s="186">
        <v>0</v>
      </c>
      <c r="AB5" s="186">
        <v>0</v>
      </c>
    </row>
    <row r="6" spans="1:28">
      <c r="A6" s="259"/>
      <c r="B6" s="259" t="s">
        <v>165</v>
      </c>
      <c r="C6" s="259"/>
      <c r="D6" s="259"/>
      <c r="E6" s="259"/>
      <c r="F6" s="259"/>
      <c r="G6" s="259"/>
      <c r="H6" s="260"/>
      <c r="I6" s="260"/>
      <c r="J6" s="261"/>
      <c r="K6" s="261"/>
      <c r="L6" s="261"/>
      <c r="M6" s="261"/>
      <c r="N6" s="261"/>
      <c r="O6" s="261"/>
      <c r="P6" s="261"/>
      <c r="Q6" s="261"/>
      <c r="R6" s="261"/>
      <c r="S6" s="261"/>
      <c r="T6" s="261"/>
      <c r="U6" s="261"/>
      <c r="V6" s="251"/>
      <c r="Y6" s="261"/>
      <c r="AB6" s="617"/>
    </row>
    <row r="7" spans="1:28" ht="30" customHeight="1">
      <c r="A7" s="262"/>
      <c r="B7" s="263" t="s">
        <v>1188</v>
      </c>
      <c r="C7" s="263"/>
      <c r="D7" s="263"/>
      <c r="E7" s="263"/>
      <c r="F7" s="263"/>
      <c r="G7" s="263"/>
      <c r="H7" s="264" t="s">
        <v>1189</v>
      </c>
      <c r="I7" s="261" t="s">
        <v>524</v>
      </c>
      <c r="J7" s="265" t="s">
        <v>524</v>
      </c>
      <c r="K7" s="265" t="s">
        <v>524</v>
      </c>
      <c r="L7" s="265" t="str">
        <f t="shared" ref="L7:O8" si="0">+K7</f>
        <v>0</v>
      </c>
      <c r="M7" s="265" t="str">
        <f t="shared" si="0"/>
        <v>0</v>
      </c>
      <c r="N7" s="265" t="str">
        <f t="shared" si="0"/>
        <v>0</v>
      </c>
      <c r="O7" s="265" t="str">
        <f t="shared" si="0"/>
        <v>0</v>
      </c>
      <c r="P7" s="265"/>
      <c r="Q7" s="266"/>
      <c r="R7" s="265">
        <f t="shared" ref="R7:R47" si="1">+L7-K7</f>
        <v>0</v>
      </c>
      <c r="S7" s="265">
        <f t="shared" ref="S7:S47" si="2">+M7-L7</f>
        <v>0</v>
      </c>
      <c r="T7" s="265">
        <f t="shared" ref="T7:T47" si="3">+N7-M7</f>
        <v>0</v>
      </c>
      <c r="U7" s="265">
        <f t="shared" ref="U7:U47" si="4">+O7-N7</f>
        <v>0</v>
      </c>
      <c r="V7" s="251"/>
      <c r="W7" s="251"/>
      <c r="Y7" s="265"/>
      <c r="AB7" s="209"/>
    </row>
    <row r="8" spans="1:28" ht="25.5">
      <c r="A8" s="262"/>
      <c r="B8" s="263" t="s">
        <v>1190</v>
      </c>
      <c r="C8" s="263"/>
      <c r="D8" s="263"/>
      <c r="E8" s="263"/>
      <c r="F8" s="263"/>
      <c r="G8" s="263"/>
      <c r="H8" s="264" t="s">
        <v>1191</v>
      </c>
      <c r="I8" s="261" t="s">
        <v>524</v>
      </c>
      <c r="J8" s="265" t="s">
        <v>524</v>
      </c>
      <c r="K8" s="265" t="s">
        <v>524</v>
      </c>
      <c r="L8" s="265" t="str">
        <f t="shared" si="0"/>
        <v>0</v>
      </c>
      <c r="M8" s="265" t="str">
        <f t="shared" si="0"/>
        <v>0</v>
      </c>
      <c r="N8" s="265" t="str">
        <f t="shared" si="0"/>
        <v>0</v>
      </c>
      <c r="O8" s="265" t="str">
        <f t="shared" si="0"/>
        <v>0</v>
      </c>
      <c r="P8" s="265"/>
      <c r="Q8" s="267"/>
      <c r="R8" s="265">
        <f t="shared" si="1"/>
        <v>0</v>
      </c>
      <c r="S8" s="265">
        <f t="shared" si="2"/>
        <v>0</v>
      </c>
      <c r="T8" s="265">
        <f t="shared" si="3"/>
        <v>0</v>
      </c>
      <c r="U8" s="265">
        <f t="shared" si="4"/>
        <v>0</v>
      </c>
      <c r="V8" s="251"/>
      <c r="W8" s="251"/>
      <c r="Y8" s="265"/>
      <c r="AB8" s="209"/>
    </row>
    <row r="9" spans="1:28">
      <c r="A9" s="262"/>
      <c r="B9" s="268" t="s">
        <v>444</v>
      </c>
      <c r="C9" s="268"/>
      <c r="D9" s="268"/>
      <c r="E9" s="268"/>
      <c r="F9" s="268"/>
      <c r="G9" s="268"/>
      <c r="H9" s="269" t="s">
        <v>1192</v>
      </c>
      <c r="I9" s="270">
        <f>SUM(I7:I8)</f>
        <v>0</v>
      </c>
      <c r="J9" s="270">
        <v>0</v>
      </c>
      <c r="K9" s="271">
        <f>SUM(K7:K8)</f>
        <v>0</v>
      </c>
      <c r="L9" s="271">
        <f>SUM(L7:L8)</f>
        <v>0</v>
      </c>
      <c r="M9" s="271">
        <f>SUM(M7:M8)</f>
        <v>0</v>
      </c>
      <c r="N9" s="271">
        <f>SUM(N7:N8)</f>
        <v>0</v>
      </c>
      <c r="O9" s="271">
        <f>SUM(O7:O8)</f>
        <v>0</v>
      </c>
      <c r="P9" s="271"/>
      <c r="Q9" s="272"/>
      <c r="R9" s="271">
        <f t="shared" si="1"/>
        <v>0</v>
      </c>
      <c r="S9" s="271">
        <f t="shared" si="2"/>
        <v>0</v>
      </c>
      <c r="T9" s="271">
        <f t="shared" si="3"/>
        <v>0</v>
      </c>
      <c r="U9" s="271">
        <f t="shared" si="4"/>
        <v>0</v>
      </c>
      <c r="V9" s="251"/>
      <c r="W9" s="251"/>
      <c r="Y9" s="271"/>
      <c r="AB9" s="2338"/>
    </row>
    <row r="10" spans="1:28" ht="25.5">
      <c r="A10" s="262"/>
      <c r="B10" s="263" t="s">
        <v>1193</v>
      </c>
      <c r="C10" s="263"/>
      <c r="D10" s="263"/>
      <c r="E10" s="263"/>
      <c r="F10" s="263"/>
      <c r="G10" s="263"/>
      <c r="H10" s="273" t="s">
        <v>1194</v>
      </c>
      <c r="I10" s="274" t="s">
        <v>524</v>
      </c>
      <c r="J10" s="275" t="s">
        <v>524</v>
      </c>
      <c r="K10" s="276" t="s">
        <v>524</v>
      </c>
      <c r="L10" s="275" t="str">
        <f t="shared" ref="L10:O11" si="5">+K10</f>
        <v>0</v>
      </c>
      <c r="M10" s="275" t="str">
        <f t="shared" si="5"/>
        <v>0</v>
      </c>
      <c r="N10" s="275" t="str">
        <f t="shared" si="5"/>
        <v>0</v>
      </c>
      <c r="O10" s="275" t="str">
        <f t="shared" si="5"/>
        <v>0</v>
      </c>
      <c r="P10" s="275"/>
      <c r="Q10" s="277"/>
      <c r="R10" s="276">
        <f t="shared" si="1"/>
        <v>0</v>
      </c>
      <c r="S10" s="276">
        <f t="shared" si="2"/>
        <v>0</v>
      </c>
      <c r="T10" s="276">
        <f t="shared" si="3"/>
        <v>0</v>
      </c>
      <c r="U10" s="276">
        <f t="shared" si="4"/>
        <v>0</v>
      </c>
      <c r="V10" s="251"/>
      <c r="W10" s="251"/>
      <c r="Y10" s="275"/>
      <c r="AB10" s="192"/>
    </row>
    <row r="11" spans="1:28" ht="25.5">
      <c r="A11" s="262"/>
      <c r="B11" s="263" t="s">
        <v>1195</v>
      </c>
      <c r="C11" s="263"/>
      <c r="D11" s="263"/>
      <c r="E11" s="263"/>
      <c r="F11" s="263"/>
      <c r="G11" s="263"/>
      <c r="H11" s="273" t="s">
        <v>1196</v>
      </c>
      <c r="I11" s="274" t="s">
        <v>524</v>
      </c>
      <c r="J11" s="275" t="s">
        <v>524</v>
      </c>
      <c r="K11" s="276" t="s">
        <v>524</v>
      </c>
      <c r="L11" s="275" t="str">
        <f t="shared" si="5"/>
        <v>0</v>
      </c>
      <c r="M11" s="275" t="str">
        <f t="shared" si="5"/>
        <v>0</v>
      </c>
      <c r="N11" s="275" t="str">
        <f t="shared" si="5"/>
        <v>0</v>
      </c>
      <c r="O11" s="275" t="str">
        <f t="shared" si="5"/>
        <v>0</v>
      </c>
      <c r="P11" s="275"/>
      <c r="Q11" s="277"/>
      <c r="R11" s="276">
        <f t="shared" si="1"/>
        <v>0</v>
      </c>
      <c r="S11" s="276">
        <f t="shared" si="2"/>
        <v>0</v>
      </c>
      <c r="T11" s="276">
        <f t="shared" si="3"/>
        <v>0</v>
      </c>
      <c r="U11" s="276">
        <f t="shared" si="4"/>
        <v>0</v>
      </c>
      <c r="V11" s="251"/>
      <c r="W11" s="251"/>
      <c r="Y11" s="275"/>
      <c r="AB11" s="192"/>
    </row>
    <row r="12" spans="1:28" ht="25.5" customHeight="1">
      <c r="A12" s="262"/>
      <c r="B12" s="268" t="s">
        <v>1197</v>
      </c>
      <c r="C12" s="268"/>
      <c r="D12" s="268"/>
      <c r="E12" s="268"/>
      <c r="F12" s="268"/>
      <c r="G12" s="268"/>
      <c r="H12" s="269" t="s">
        <v>1198</v>
      </c>
      <c r="I12" s="270">
        <f>SUM(I10:I11)</f>
        <v>0</v>
      </c>
      <c r="J12" s="270">
        <v>0</v>
      </c>
      <c r="K12" s="271">
        <f>SUM(K10:K11)</f>
        <v>0</v>
      </c>
      <c r="L12" s="271">
        <f>SUM(L10:L11)</f>
        <v>0</v>
      </c>
      <c r="M12" s="271">
        <f>SUM(M10:M11)</f>
        <v>0</v>
      </c>
      <c r="N12" s="271">
        <f>SUM(N10:N11)</f>
        <v>0</v>
      </c>
      <c r="O12" s="271">
        <f>SUM(O10:O11)</f>
        <v>0</v>
      </c>
      <c r="P12" s="271"/>
      <c r="Q12" s="272"/>
      <c r="R12" s="271">
        <f t="shared" si="1"/>
        <v>0</v>
      </c>
      <c r="S12" s="271">
        <f t="shared" si="2"/>
        <v>0</v>
      </c>
      <c r="T12" s="271">
        <f t="shared" si="3"/>
        <v>0</v>
      </c>
      <c r="U12" s="271">
        <f t="shared" si="4"/>
        <v>0</v>
      </c>
      <c r="V12" s="251"/>
      <c r="W12" s="251"/>
      <c r="Y12" s="271"/>
      <c r="AB12" s="2338"/>
    </row>
    <row r="13" spans="1:28" ht="27.75" customHeight="1">
      <c r="A13" s="262"/>
      <c r="B13" s="263" t="s">
        <v>1199</v>
      </c>
      <c r="C13" s="263"/>
      <c r="D13" s="263"/>
      <c r="E13" s="263"/>
      <c r="F13" s="263"/>
      <c r="G13" s="263"/>
      <c r="H13" s="263" t="s">
        <v>1200</v>
      </c>
      <c r="I13" s="278">
        <v>0</v>
      </c>
      <c r="J13" s="275">
        <v>0</v>
      </c>
      <c r="K13" s="276">
        <v>0</v>
      </c>
      <c r="L13" s="275">
        <f t="shared" ref="L13:O14" si="6">+K13</f>
        <v>0</v>
      </c>
      <c r="M13" s="275">
        <f t="shared" si="6"/>
        <v>0</v>
      </c>
      <c r="N13" s="275">
        <f t="shared" si="6"/>
        <v>0</v>
      </c>
      <c r="O13" s="275">
        <f t="shared" si="6"/>
        <v>0</v>
      </c>
      <c r="P13" s="275"/>
      <c r="Q13" s="277"/>
      <c r="R13" s="276">
        <f t="shared" si="1"/>
        <v>0</v>
      </c>
      <c r="S13" s="276">
        <f t="shared" si="2"/>
        <v>0</v>
      </c>
      <c r="T13" s="276">
        <f t="shared" si="3"/>
        <v>0</v>
      </c>
      <c r="U13" s="276">
        <f t="shared" si="4"/>
        <v>0</v>
      </c>
      <c r="V13" s="251"/>
      <c r="W13" s="251"/>
      <c r="Y13" s="275"/>
      <c r="AB13" s="192"/>
    </row>
    <row r="14" spans="1:28" ht="25.5">
      <c r="A14" s="262"/>
      <c r="B14" s="263" t="s">
        <v>1201</v>
      </c>
      <c r="C14" s="263"/>
      <c r="D14" s="263"/>
      <c r="E14" s="263"/>
      <c r="F14" s="263"/>
      <c r="G14" s="263"/>
      <c r="H14" s="263" t="s">
        <v>1202</v>
      </c>
      <c r="I14" s="278">
        <v>0</v>
      </c>
      <c r="J14" s="275">
        <v>0</v>
      </c>
      <c r="K14" s="276">
        <v>0</v>
      </c>
      <c r="L14" s="275">
        <f t="shared" si="6"/>
        <v>0</v>
      </c>
      <c r="M14" s="275">
        <f t="shared" si="6"/>
        <v>0</v>
      </c>
      <c r="N14" s="275">
        <f t="shared" si="6"/>
        <v>0</v>
      </c>
      <c r="O14" s="275">
        <f t="shared" si="6"/>
        <v>0</v>
      </c>
      <c r="P14" s="275"/>
      <c r="Q14" s="277"/>
      <c r="R14" s="276">
        <f t="shared" si="1"/>
        <v>0</v>
      </c>
      <c r="S14" s="276">
        <f t="shared" si="2"/>
        <v>0</v>
      </c>
      <c r="T14" s="276">
        <f t="shared" si="3"/>
        <v>0</v>
      </c>
      <c r="U14" s="276">
        <f t="shared" si="4"/>
        <v>0</v>
      </c>
      <c r="V14" s="251"/>
      <c r="W14" s="251"/>
      <c r="Y14" s="275"/>
      <c r="AB14" s="192"/>
    </row>
    <row r="15" spans="1:28">
      <c r="A15" s="262"/>
      <c r="B15" s="268" t="s">
        <v>447</v>
      </c>
      <c r="C15" s="268"/>
      <c r="D15" s="268"/>
      <c r="E15" s="268"/>
      <c r="F15" s="268"/>
      <c r="G15" s="268"/>
      <c r="H15" s="269" t="s">
        <v>1203</v>
      </c>
      <c r="I15" s="279">
        <f>SUM(I13:I14)</f>
        <v>0</v>
      </c>
      <c r="J15" s="279">
        <v>0</v>
      </c>
      <c r="K15" s="271">
        <f>SUM(K13:K14)</f>
        <v>0</v>
      </c>
      <c r="L15" s="271">
        <f>SUM(L13:L14)</f>
        <v>0</v>
      </c>
      <c r="M15" s="271">
        <f>SUM(M13:M14)</f>
        <v>0</v>
      </c>
      <c r="N15" s="271">
        <f>SUM(N13:N14)</f>
        <v>0</v>
      </c>
      <c r="O15" s="271">
        <f>SUM(O13:O14)</f>
        <v>0</v>
      </c>
      <c r="P15" s="271"/>
      <c r="Q15" s="272"/>
      <c r="R15" s="271">
        <f t="shared" si="1"/>
        <v>0</v>
      </c>
      <c r="S15" s="271">
        <f t="shared" si="2"/>
        <v>0</v>
      </c>
      <c r="T15" s="271">
        <f t="shared" si="3"/>
        <v>0</v>
      </c>
      <c r="U15" s="271">
        <f t="shared" si="4"/>
        <v>0</v>
      </c>
      <c r="V15" s="251"/>
      <c r="W15" s="251"/>
      <c r="Y15" s="271"/>
      <c r="AB15" s="2338"/>
    </row>
    <row r="16" spans="1:28" ht="12.75" customHeight="1">
      <c r="A16" s="262"/>
      <c r="B16" s="268" t="s">
        <v>1204</v>
      </c>
      <c r="C16" s="268"/>
      <c r="D16" s="268"/>
      <c r="E16" s="268"/>
      <c r="F16" s="268"/>
      <c r="G16" s="268"/>
      <c r="H16" s="269" t="s">
        <v>1205</v>
      </c>
      <c r="I16" s="270">
        <f>+I9+I12+I15</f>
        <v>0</v>
      </c>
      <c r="J16" s="270">
        <v>0</v>
      </c>
      <c r="K16" s="271">
        <f>+K9+K12+K15</f>
        <v>0</v>
      </c>
      <c r="L16" s="271">
        <f>+L9+L12+L15</f>
        <v>0</v>
      </c>
      <c r="M16" s="271">
        <f>+M9+M12+M15</f>
        <v>0</v>
      </c>
      <c r="N16" s="271">
        <f>+N9+N12+N15</f>
        <v>0</v>
      </c>
      <c r="O16" s="271">
        <f>+O9+O12+O15</f>
        <v>0</v>
      </c>
      <c r="P16" s="271"/>
      <c r="Q16" s="272"/>
      <c r="R16" s="271">
        <f t="shared" si="1"/>
        <v>0</v>
      </c>
      <c r="S16" s="271">
        <f t="shared" si="2"/>
        <v>0</v>
      </c>
      <c r="T16" s="271">
        <f t="shared" si="3"/>
        <v>0</v>
      </c>
      <c r="U16" s="271">
        <f t="shared" si="4"/>
        <v>0</v>
      </c>
      <c r="V16" s="251"/>
      <c r="W16" s="251"/>
      <c r="Y16" s="271"/>
      <c r="AB16" s="2338"/>
    </row>
    <row r="17" spans="1:31" ht="25.5">
      <c r="A17" s="262"/>
      <c r="B17" s="263" t="s">
        <v>1206</v>
      </c>
      <c r="C17" s="263"/>
      <c r="D17" s="263"/>
      <c r="E17" s="263"/>
      <c r="F17" s="263"/>
      <c r="G17" s="263"/>
      <c r="H17" s="273" t="s">
        <v>1207</v>
      </c>
      <c r="I17" s="270" t="s">
        <v>524</v>
      </c>
      <c r="J17" s="275" t="s">
        <v>524</v>
      </c>
      <c r="K17" s="271" t="s">
        <v>524</v>
      </c>
      <c r="L17" s="275" t="str">
        <f t="shared" ref="L17:L22" si="7">+K17</f>
        <v>0</v>
      </c>
      <c r="M17" s="275" t="str">
        <f t="shared" ref="M17:M22" si="8">+L17</f>
        <v>0</v>
      </c>
      <c r="N17" s="275" t="str">
        <f t="shared" ref="N17:N22" si="9">+M17</f>
        <v>0</v>
      </c>
      <c r="O17" s="275" t="str">
        <f t="shared" ref="O17:O22" si="10">+N17</f>
        <v>0</v>
      </c>
      <c r="P17" s="275"/>
      <c r="Q17" s="272"/>
      <c r="R17" s="271">
        <f t="shared" si="1"/>
        <v>0</v>
      </c>
      <c r="S17" s="271">
        <f t="shared" si="2"/>
        <v>0</v>
      </c>
      <c r="T17" s="271">
        <f t="shared" si="3"/>
        <v>0</v>
      </c>
      <c r="U17" s="271">
        <f t="shared" si="4"/>
        <v>0</v>
      </c>
      <c r="V17" s="251"/>
      <c r="W17" s="251"/>
      <c r="Y17" s="275"/>
      <c r="AB17" s="192"/>
    </row>
    <row r="18" spans="1:31" ht="25.5">
      <c r="A18" s="262"/>
      <c r="B18" s="263" t="s">
        <v>1208</v>
      </c>
      <c r="C18" s="263"/>
      <c r="D18" s="263"/>
      <c r="E18" s="263"/>
      <c r="F18" s="263"/>
      <c r="G18" s="263"/>
      <c r="H18" s="273" t="s">
        <v>1209</v>
      </c>
      <c r="I18" s="270" t="s">
        <v>524</v>
      </c>
      <c r="J18" s="275" t="s">
        <v>524</v>
      </c>
      <c r="K18" s="271" t="s">
        <v>524</v>
      </c>
      <c r="L18" s="275" t="str">
        <f t="shared" si="7"/>
        <v>0</v>
      </c>
      <c r="M18" s="275" t="str">
        <f t="shared" si="8"/>
        <v>0</v>
      </c>
      <c r="N18" s="275" t="str">
        <f t="shared" si="9"/>
        <v>0</v>
      </c>
      <c r="O18" s="275" t="str">
        <f t="shared" si="10"/>
        <v>0</v>
      </c>
      <c r="P18" s="275"/>
      <c r="Q18" s="272"/>
      <c r="R18" s="271">
        <f t="shared" si="1"/>
        <v>0</v>
      </c>
      <c r="S18" s="271">
        <f t="shared" si="2"/>
        <v>0</v>
      </c>
      <c r="T18" s="271">
        <f t="shared" si="3"/>
        <v>0</v>
      </c>
      <c r="U18" s="271">
        <f t="shared" si="4"/>
        <v>0</v>
      </c>
      <c r="V18" s="251"/>
      <c r="W18" s="251"/>
      <c r="Y18" s="275"/>
      <c r="AB18" s="192"/>
    </row>
    <row r="19" spans="1:31" ht="25.5">
      <c r="A19" s="262"/>
      <c r="B19" s="263" t="s">
        <v>1210</v>
      </c>
      <c r="C19" s="263"/>
      <c r="D19" s="263"/>
      <c r="E19" s="263"/>
      <c r="F19" s="263"/>
      <c r="G19" s="263"/>
      <c r="H19" s="273" t="s">
        <v>1211</v>
      </c>
      <c r="I19" s="270" t="s">
        <v>524</v>
      </c>
      <c r="J19" s="275" t="s">
        <v>524</v>
      </c>
      <c r="K19" s="271" t="s">
        <v>524</v>
      </c>
      <c r="L19" s="275" t="str">
        <f t="shared" si="7"/>
        <v>0</v>
      </c>
      <c r="M19" s="275" t="str">
        <f t="shared" si="8"/>
        <v>0</v>
      </c>
      <c r="N19" s="275" t="str">
        <f t="shared" si="9"/>
        <v>0</v>
      </c>
      <c r="O19" s="275" t="str">
        <f t="shared" si="10"/>
        <v>0</v>
      </c>
      <c r="P19" s="275"/>
      <c r="Q19" s="272"/>
      <c r="R19" s="271">
        <f t="shared" si="1"/>
        <v>0</v>
      </c>
      <c r="S19" s="271">
        <f t="shared" si="2"/>
        <v>0</v>
      </c>
      <c r="T19" s="271">
        <f t="shared" si="3"/>
        <v>0</v>
      </c>
      <c r="U19" s="271">
        <f t="shared" si="4"/>
        <v>0</v>
      </c>
      <c r="V19" s="251"/>
      <c r="W19" s="251"/>
      <c r="Y19" s="275"/>
      <c r="AB19" s="192"/>
    </row>
    <row r="20" spans="1:31" ht="25.5">
      <c r="A20" s="262"/>
      <c r="B20" s="263" t="s">
        <v>1212</v>
      </c>
      <c r="C20" s="258" t="s">
        <v>574</v>
      </c>
      <c r="D20" s="273" t="s">
        <v>1177</v>
      </c>
      <c r="E20" s="273">
        <v>3</v>
      </c>
      <c r="F20" s="273">
        <v>900060</v>
      </c>
      <c r="G20" s="273">
        <v>9990001</v>
      </c>
      <c r="H20" s="273" t="s">
        <v>1178</v>
      </c>
      <c r="I20" s="276">
        <v>0</v>
      </c>
      <c r="J20" s="275">
        <v>0</v>
      </c>
      <c r="K20" s="276">
        <v>0</v>
      </c>
      <c r="L20" s="275">
        <f t="shared" si="7"/>
        <v>0</v>
      </c>
      <c r="M20" s="275">
        <f t="shared" si="8"/>
        <v>0</v>
      </c>
      <c r="N20" s="275">
        <f>+M20+4999090000</f>
        <v>4999090000</v>
      </c>
      <c r="O20" s="275">
        <f t="shared" si="10"/>
        <v>4999090000</v>
      </c>
      <c r="P20" s="1073">
        <v>2790470000</v>
      </c>
      <c r="Q20" s="280">
        <f>+P20/N20</f>
        <v>0.55819559159767074</v>
      </c>
      <c r="R20" s="271">
        <f t="shared" si="1"/>
        <v>0</v>
      </c>
      <c r="S20" s="271">
        <f t="shared" si="2"/>
        <v>0</v>
      </c>
      <c r="T20" s="271">
        <f t="shared" si="3"/>
        <v>4999090000</v>
      </c>
      <c r="U20" s="271">
        <f t="shared" si="4"/>
        <v>0</v>
      </c>
      <c r="V20" s="251"/>
      <c r="W20" s="251"/>
      <c r="Y20" s="1073"/>
      <c r="AB20" s="2670">
        <f>+P20-N20</f>
        <v>-2208620000</v>
      </c>
    </row>
    <row r="21" spans="1:31" ht="25.5">
      <c r="A21" s="262"/>
      <c r="B21" s="263" t="s">
        <v>1213</v>
      </c>
      <c r="C21" s="263"/>
      <c r="D21" s="263"/>
      <c r="E21" s="263"/>
      <c r="F21" s="263"/>
      <c r="G21" s="263"/>
      <c r="H21" s="273" t="s">
        <v>1214</v>
      </c>
      <c r="I21" s="270" t="s">
        <v>524</v>
      </c>
      <c r="J21" s="275" t="s">
        <v>524</v>
      </c>
      <c r="K21" s="271" t="s">
        <v>524</v>
      </c>
      <c r="L21" s="275" t="str">
        <f t="shared" si="7"/>
        <v>0</v>
      </c>
      <c r="M21" s="275" t="str">
        <f t="shared" si="8"/>
        <v>0</v>
      </c>
      <c r="N21" s="275" t="str">
        <f t="shared" si="9"/>
        <v>0</v>
      </c>
      <c r="O21" s="275" t="str">
        <f t="shared" si="10"/>
        <v>0</v>
      </c>
      <c r="P21" s="275"/>
      <c r="Q21" s="272"/>
      <c r="R21" s="271">
        <f t="shared" si="1"/>
        <v>0</v>
      </c>
      <c r="S21" s="271">
        <f t="shared" si="2"/>
        <v>0</v>
      </c>
      <c r="T21" s="271">
        <f t="shared" si="3"/>
        <v>0</v>
      </c>
      <c r="U21" s="271">
        <f t="shared" si="4"/>
        <v>0</v>
      </c>
      <c r="V21" s="251"/>
      <c r="W21" s="251"/>
      <c r="Y21" s="275"/>
      <c r="AB21" s="192">
        <f t="shared" ref="AB21:AB47" si="11">+P21-N21</f>
        <v>0</v>
      </c>
    </row>
    <row r="22" spans="1:31" ht="25.5">
      <c r="A22" s="262"/>
      <c r="B22" s="263" t="s">
        <v>1215</v>
      </c>
      <c r="C22" s="263"/>
      <c r="D22" s="263"/>
      <c r="E22" s="263"/>
      <c r="F22" s="263"/>
      <c r="G22" s="263"/>
      <c r="H22" s="273" t="s">
        <v>1216</v>
      </c>
      <c r="I22" s="270" t="s">
        <v>524</v>
      </c>
      <c r="J22" s="275" t="s">
        <v>524</v>
      </c>
      <c r="K22" s="271" t="s">
        <v>524</v>
      </c>
      <c r="L22" s="275" t="str">
        <f t="shared" si="7"/>
        <v>0</v>
      </c>
      <c r="M22" s="275" t="str">
        <f t="shared" si="8"/>
        <v>0</v>
      </c>
      <c r="N22" s="275" t="str">
        <f t="shared" si="9"/>
        <v>0</v>
      </c>
      <c r="O22" s="275" t="str">
        <f t="shared" si="10"/>
        <v>0</v>
      </c>
      <c r="P22" s="275"/>
      <c r="Q22" s="272"/>
      <c r="R22" s="271">
        <f t="shared" si="1"/>
        <v>0</v>
      </c>
      <c r="S22" s="271">
        <f t="shared" si="2"/>
        <v>0</v>
      </c>
      <c r="T22" s="271">
        <f t="shared" si="3"/>
        <v>0</v>
      </c>
      <c r="U22" s="271">
        <f t="shared" si="4"/>
        <v>0</v>
      </c>
      <c r="V22" s="251"/>
      <c r="W22" s="251"/>
      <c r="Y22" s="275"/>
      <c r="AB22" s="192">
        <f t="shared" si="11"/>
        <v>0</v>
      </c>
    </row>
    <row r="23" spans="1:31" ht="25.5">
      <c r="A23" s="262"/>
      <c r="B23" s="268" t="s">
        <v>1217</v>
      </c>
      <c r="C23" s="268"/>
      <c r="D23" s="268"/>
      <c r="E23" s="268"/>
      <c r="F23" s="268"/>
      <c r="G23" s="268"/>
      <c r="H23" s="269" t="s">
        <v>1218</v>
      </c>
      <c r="I23" s="271">
        <f t="shared" ref="I23:P23" si="12">SUM(I17:I22)</f>
        <v>0</v>
      </c>
      <c r="J23" s="271">
        <f t="shared" si="12"/>
        <v>0</v>
      </c>
      <c r="K23" s="271">
        <f t="shared" si="12"/>
        <v>0</v>
      </c>
      <c r="L23" s="271">
        <f t="shared" si="12"/>
        <v>0</v>
      </c>
      <c r="M23" s="271">
        <f t="shared" si="12"/>
        <v>0</v>
      </c>
      <c r="N23" s="271">
        <f t="shared" si="12"/>
        <v>4999090000</v>
      </c>
      <c r="O23" s="271">
        <f t="shared" si="12"/>
        <v>4999090000</v>
      </c>
      <c r="P23" s="271">
        <f t="shared" si="12"/>
        <v>2790470000</v>
      </c>
      <c r="Q23" s="267">
        <f>+P23/N23</f>
        <v>0.55819559159767074</v>
      </c>
      <c r="R23" s="271">
        <f t="shared" si="1"/>
        <v>0</v>
      </c>
      <c r="S23" s="271">
        <f t="shared" si="2"/>
        <v>0</v>
      </c>
      <c r="T23" s="271">
        <f t="shared" si="3"/>
        <v>4999090000</v>
      </c>
      <c r="U23" s="271">
        <f t="shared" si="4"/>
        <v>0</v>
      </c>
      <c r="V23" s="251"/>
      <c r="W23" s="251"/>
      <c r="Y23" s="271">
        <f>SUM(Y17:Y22)</f>
        <v>0</v>
      </c>
      <c r="AB23" s="2338">
        <f t="shared" si="11"/>
        <v>-2208620000</v>
      </c>
    </row>
    <row r="24" spans="1:31" ht="25.5">
      <c r="A24" s="262"/>
      <c r="B24" s="263" t="s">
        <v>1219</v>
      </c>
      <c r="C24" s="263"/>
      <c r="D24" s="263"/>
      <c r="E24" s="263"/>
      <c r="F24" s="263"/>
      <c r="G24" s="263"/>
      <c r="H24" s="273" t="s">
        <v>1220</v>
      </c>
      <c r="I24" s="278">
        <v>0</v>
      </c>
      <c r="J24" s="275">
        <v>0</v>
      </c>
      <c r="K24" s="276">
        <v>0</v>
      </c>
      <c r="L24" s="275">
        <f t="shared" ref="L24:O25" si="13">+K24</f>
        <v>0</v>
      </c>
      <c r="M24" s="275">
        <f t="shared" si="13"/>
        <v>0</v>
      </c>
      <c r="N24" s="275">
        <f t="shared" si="13"/>
        <v>0</v>
      </c>
      <c r="O24" s="275">
        <f t="shared" si="13"/>
        <v>0</v>
      </c>
      <c r="P24" s="275"/>
      <c r="Q24" s="277"/>
      <c r="R24" s="276">
        <f t="shared" si="1"/>
        <v>0</v>
      </c>
      <c r="S24" s="276">
        <f t="shared" si="2"/>
        <v>0</v>
      </c>
      <c r="T24" s="276">
        <f t="shared" si="3"/>
        <v>0</v>
      </c>
      <c r="U24" s="276">
        <f t="shared" si="4"/>
        <v>0</v>
      </c>
      <c r="V24" s="251"/>
      <c r="W24" s="251"/>
      <c r="Y24" s="275"/>
      <c r="AB24" s="192">
        <f t="shared" si="11"/>
        <v>0</v>
      </c>
    </row>
    <row r="25" spans="1:31" ht="25.5">
      <c r="A25" s="262"/>
      <c r="B25" s="263" t="s">
        <v>1221</v>
      </c>
      <c r="C25" s="263"/>
      <c r="D25" s="263"/>
      <c r="E25" s="263"/>
      <c r="F25" s="263"/>
      <c r="G25" s="263"/>
      <c r="H25" s="273" t="s">
        <v>1222</v>
      </c>
      <c r="I25" s="278">
        <v>0</v>
      </c>
      <c r="J25" s="275">
        <v>0</v>
      </c>
      <c r="K25" s="276">
        <v>0</v>
      </c>
      <c r="L25" s="275">
        <f t="shared" si="13"/>
        <v>0</v>
      </c>
      <c r="M25" s="275">
        <f t="shared" si="13"/>
        <v>0</v>
      </c>
      <c r="N25" s="275">
        <f t="shared" si="13"/>
        <v>0</v>
      </c>
      <c r="O25" s="275">
        <f t="shared" si="13"/>
        <v>0</v>
      </c>
      <c r="P25" s="275"/>
      <c r="Q25" s="277"/>
      <c r="R25" s="276">
        <f t="shared" si="1"/>
        <v>0</v>
      </c>
      <c r="S25" s="276">
        <f t="shared" si="2"/>
        <v>0</v>
      </c>
      <c r="T25" s="276">
        <f t="shared" si="3"/>
        <v>0</v>
      </c>
      <c r="U25" s="276">
        <f t="shared" si="4"/>
        <v>0</v>
      </c>
      <c r="V25" s="251"/>
      <c r="W25" s="251"/>
      <c r="Y25" s="275"/>
      <c r="AB25" s="192">
        <f t="shared" si="11"/>
        <v>0</v>
      </c>
    </row>
    <row r="26" spans="1:31">
      <c r="A26" s="262"/>
      <c r="B26" s="281" t="s">
        <v>283</v>
      </c>
      <c r="C26" s="281"/>
      <c r="D26" s="281"/>
      <c r="E26" s="281"/>
      <c r="F26" s="281"/>
      <c r="G26" s="281"/>
      <c r="H26" s="260" t="s">
        <v>1223</v>
      </c>
      <c r="I26" s="265">
        <f>SUM(I24:I25)</f>
        <v>0</v>
      </c>
      <c r="J26" s="265">
        <v>0</v>
      </c>
      <c r="K26" s="265">
        <f t="shared" ref="K26:P26" si="14">SUM(K24:K25)</f>
        <v>0</v>
      </c>
      <c r="L26" s="265">
        <f t="shared" si="14"/>
        <v>0</v>
      </c>
      <c r="M26" s="265">
        <f t="shared" si="14"/>
        <v>0</v>
      </c>
      <c r="N26" s="265">
        <f t="shared" si="14"/>
        <v>0</v>
      </c>
      <c r="O26" s="265">
        <f t="shared" si="14"/>
        <v>0</v>
      </c>
      <c r="P26" s="265">
        <f t="shared" si="14"/>
        <v>0</v>
      </c>
      <c r="Q26" s="267"/>
      <c r="R26" s="265">
        <f t="shared" si="1"/>
        <v>0</v>
      </c>
      <c r="S26" s="265">
        <f t="shared" si="2"/>
        <v>0</v>
      </c>
      <c r="T26" s="265">
        <f t="shared" si="3"/>
        <v>0</v>
      </c>
      <c r="U26" s="265">
        <f t="shared" si="4"/>
        <v>0</v>
      </c>
      <c r="V26" s="251"/>
      <c r="W26" s="251"/>
      <c r="Y26" s="265">
        <f>SUM(Y24:Y25)</f>
        <v>0</v>
      </c>
      <c r="AB26" s="209">
        <f t="shared" si="11"/>
        <v>0</v>
      </c>
    </row>
    <row r="27" spans="1:31" ht="25.5">
      <c r="A27" s="262"/>
      <c r="B27" s="263" t="s">
        <v>1224</v>
      </c>
      <c r="C27" s="263"/>
      <c r="D27" s="263"/>
      <c r="E27" s="263"/>
      <c r="F27" s="263"/>
      <c r="G27" s="263"/>
      <c r="H27" s="264" t="s">
        <v>1225</v>
      </c>
      <c r="I27" s="282">
        <v>0</v>
      </c>
      <c r="J27" s="275">
        <v>0</v>
      </c>
      <c r="K27" s="282">
        <v>0</v>
      </c>
      <c r="L27" s="275">
        <f>+K27</f>
        <v>0</v>
      </c>
      <c r="M27" s="275">
        <f>+L27</f>
        <v>0</v>
      </c>
      <c r="N27" s="275">
        <f>+M27</f>
        <v>0</v>
      </c>
      <c r="O27" s="275">
        <f>+N27</f>
        <v>0</v>
      </c>
      <c r="P27" s="275"/>
      <c r="Q27" s="283"/>
      <c r="R27" s="282">
        <f t="shared" si="1"/>
        <v>0</v>
      </c>
      <c r="S27" s="282">
        <f t="shared" si="2"/>
        <v>0</v>
      </c>
      <c r="T27" s="282">
        <f t="shared" si="3"/>
        <v>0</v>
      </c>
      <c r="U27" s="282">
        <f t="shared" si="4"/>
        <v>0</v>
      </c>
      <c r="V27" s="251"/>
      <c r="W27" s="251"/>
      <c r="Y27" s="275"/>
      <c r="AB27" s="192">
        <f t="shared" si="11"/>
        <v>0</v>
      </c>
    </row>
    <row r="28" spans="1:31" ht="25.5">
      <c r="A28" s="262"/>
      <c r="B28" s="263" t="s">
        <v>1226</v>
      </c>
      <c r="C28" s="263"/>
      <c r="D28" s="263"/>
      <c r="E28" s="263"/>
      <c r="F28" s="263"/>
      <c r="G28" s="263"/>
      <c r="H28" s="264" t="s">
        <v>1227</v>
      </c>
      <c r="I28" s="282">
        <v>0</v>
      </c>
      <c r="J28" s="275">
        <v>0</v>
      </c>
      <c r="K28" s="282">
        <v>0</v>
      </c>
      <c r="L28" s="275">
        <f>+K28+3585116-3585116</f>
        <v>0</v>
      </c>
      <c r="M28" s="275">
        <f>+L28</f>
        <v>0</v>
      </c>
      <c r="N28" s="275">
        <f>+M28</f>
        <v>0</v>
      </c>
      <c r="O28" s="275">
        <f>+N28</f>
        <v>0</v>
      </c>
      <c r="P28" s="275"/>
      <c r="Q28" s="283"/>
      <c r="R28" s="282">
        <f t="shared" si="1"/>
        <v>0</v>
      </c>
      <c r="S28" s="282">
        <f t="shared" si="2"/>
        <v>0</v>
      </c>
      <c r="T28" s="282">
        <f t="shared" si="3"/>
        <v>0</v>
      </c>
      <c r="U28" s="282">
        <f t="shared" si="4"/>
        <v>0</v>
      </c>
      <c r="V28" s="251"/>
      <c r="W28" s="251"/>
      <c r="Y28" s="275"/>
      <c r="AB28" s="192">
        <f t="shared" si="11"/>
        <v>0</v>
      </c>
    </row>
    <row r="29" spans="1:31" ht="25.5">
      <c r="A29" s="262"/>
      <c r="B29" s="281" t="s">
        <v>1228</v>
      </c>
      <c r="C29" s="281"/>
      <c r="D29" s="281"/>
      <c r="E29" s="281"/>
      <c r="F29" s="281"/>
      <c r="G29" s="281"/>
      <c r="H29" s="269" t="s">
        <v>1229</v>
      </c>
      <c r="I29" s="279">
        <f>SUM(I27:I28)</f>
        <v>0</v>
      </c>
      <c r="J29" s="279">
        <v>0</v>
      </c>
      <c r="K29" s="271">
        <f t="shared" ref="K29:P29" si="15">SUM(K27:K28)</f>
        <v>0</v>
      </c>
      <c r="L29" s="271">
        <f t="shared" si="15"/>
        <v>0</v>
      </c>
      <c r="M29" s="271">
        <f t="shared" si="15"/>
        <v>0</v>
      </c>
      <c r="N29" s="271">
        <f t="shared" si="15"/>
        <v>0</v>
      </c>
      <c r="O29" s="271">
        <f t="shared" si="15"/>
        <v>0</v>
      </c>
      <c r="P29" s="271">
        <f t="shared" si="15"/>
        <v>0</v>
      </c>
      <c r="Q29" s="272"/>
      <c r="R29" s="271">
        <f t="shared" si="1"/>
        <v>0</v>
      </c>
      <c r="S29" s="271">
        <f t="shared" si="2"/>
        <v>0</v>
      </c>
      <c r="T29" s="271">
        <f t="shared" si="3"/>
        <v>0</v>
      </c>
      <c r="U29" s="271">
        <f t="shared" si="4"/>
        <v>0</v>
      </c>
      <c r="V29" s="251"/>
      <c r="W29" s="251"/>
      <c r="Y29" s="271">
        <f>SUM(Y27:Y28)</f>
        <v>0</v>
      </c>
      <c r="AB29" s="2338">
        <f t="shared" si="11"/>
        <v>0</v>
      </c>
    </row>
    <row r="30" spans="1:31" ht="25.5">
      <c r="A30" s="262"/>
      <c r="B30" s="263" t="s">
        <v>1230</v>
      </c>
      <c r="C30" s="263"/>
      <c r="D30" s="263"/>
      <c r="E30" s="263"/>
      <c r="F30" s="263"/>
      <c r="G30" s="263"/>
      <c r="H30" s="258" t="s">
        <v>1231</v>
      </c>
      <c r="I30" s="265">
        <v>0</v>
      </c>
      <c r="J30" s="275">
        <v>0</v>
      </c>
      <c r="K30" s="265">
        <v>0</v>
      </c>
      <c r="L30" s="275">
        <f t="shared" ref="L30:O31" si="16">+K30</f>
        <v>0</v>
      </c>
      <c r="M30" s="275">
        <f t="shared" si="16"/>
        <v>0</v>
      </c>
      <c r="N30" s="275">
        <f t="shared" si="16"/>
        <v>0</v>
      </c>
      <c r="O30" s="275">
        <f t="shared" si="16"/>
        <v>0</v>
      </c>
      <c r="P30" s="275"/>
      <c r="Q30" s="267"/>
      <c r="R30" s="265">
        <f t="shared" si="1"/>
        <v>0</v>
      </c>
      <c r="S30" s="265">
        <f t="shared" si="2"/>
        <v>0</v>
      </c>
      <c r="T30" s="265">
        <f t="shared" si="3"/>
        <v>0</v>
      </c>
      <c r="U30" s="265">
        <f t="shared" si="4"/>
        <v>0</v>
      </c>
      <c r="V30" s="251"/>
      <c r="W30" s="251"/>
      <c r="Y30" s="275"/>
      <c r="AB30" s="192">
        <f t="shared" si="11"/>
        <v>0</v>
      </c>
    </row>
    <row r="31" spans="1:31" ht="25.5">
      <c r="A31" s="262"/>
      <c r="B31" s="263" t="s">
        <v>1232</v>
      </c>
      <c r="C31" s="263"/>
      <c r="D31" s="263"/>
      <c r="E31" s="263"/>
      <c r="F31" s="263"/>
      <c r="G31" s="263"/>
      <c r="H31" s="258" t="s">
        <v>1233</v>
      </c>
      <c r="I31" s="265">
        <v>0</v>
      </c>
      <c r="J31" s="275">
        <v>0</v>
      </c>
      <c r="K31" s="265">
        <v>0</v>
      </c>
      <c r="L31" s="275">
        <f t="shared" si="16"/>
        <v>0</v>
      </c>
      <c r="M31" s="275">
        <f t="shared" si="16"/>
        <v>0</v>
      </c>
      <c r="N31" s="275">
        <f t="shared" si="16"/>
        <v>0</v>
      </c>
      <c r="O31" s="275">
        <f t="shared" si="16"/>
        <v>0</v>
      </c>
      <c r="P31" s="275"/>
      <c r="Q31" s="267"/>
      <c r="R31" s="265">
        <f t="shared" si="1"/>
        <v>0</v>
      </c>
      <c r="S31" s="265">
        <f t="shared" si="2"/>
        <v>0</v>
      </c>
      <c r="T31" s="265">
        <f t="shared" si="3"/>
        <v>0</v>
      </c>
      <c r="U31" s="265">
        <f t="shared" si="4"/>
        <v>0</v>
      </c>
      <c r="V31" s="251"/>
      <c r="W31" s="251"/>
      <c r="Y31" s="275"/>
      <c r="AB31" s="192">
        <f t="shared" si="11"/>
        <v>0</v>
      </c>
      <c r="AE31" s="251"/>
    </row>
    <row r="32" spans="1:31">
      <c r="A32" s="262"/>
      <c r="B32" s="281" t="s">
        <v>287</v>
      </c>
      <c r="C32" s="281"/>
      <c r="D32" s="281"/>
      <c r="E32" s="281"/>
      <c r="F32" s="281"/>
      <c r="G32" s="281"/>
      <c r="H32" s="284" t="s">
        <v>1234</v>
      </c>
      <c r="I32" s="265">
        <f>SUM(I30:I31)</f>
        <v>0</v>
      </c>
      <c r="J32" s="265">
        <v>0</v>
      </c>
      <c r="K32" s="265">
        <f t="shared" ref="K32:P32" si="17">SUM(K30:K31)</f>
        <v>0</v>
      </c>
      <c r="L32" s="265">
        <f t="shared" si="17"/>
        <v>0</v>
      </c>
      <c r="M32" s="265">
        <f t="shared" si="17"/>
        <v>0</v>
      </c>
      <c r="N32" s="265">
        <f t="shared" si="17"/>
        <v>0</v>
      </c>
      <c r="O32" s="265">
        <f t="shared" si="17"/>
        <v>0</v>
      </c>
      <c r="P32" s="265">
        <f t="shared" si="17"/>
        <v>0</v>
      </c>
      <c r="Q32" s="267"/>
      <c r="R32" s="265">
        <f t="shared" si="1"/>
        <v>0</v>
      </c>
      <c r="S32" s="265">
        <f t="shared" si="2"/>
        <v>0</v>
      </c>
      <c r="T32" s="265">
        <f t="shared" si="3"/>
        <v>0</v>
      </c>
      <c r="U32" s="265">
        <f t="shared" si="4"/>
        <v>0</v>
      </c>
      <c r="V32" s="251"/>
      <c r="W32" s="251"/>
      <c r="Y32" s="265">
        <f>SUM(Y30:Y31)</f>
        <v>0</v>
      </c>
      <c r="AB32" s="209">
        <f t="shared" si="11"/>
        <v>0</v>
      </c>
    </row>
    <row r="33" spans="1:28" ht="32.25" customHeight="1">
      <c r="A33" s="262"/>
      <c r="B33" s="281" t="s">
        <v>1235</v>
      </c>
      <c r="C33" s="281"/>
      <c r="D33" s="281"/>
      <c r="E33" s="281"/>
      <c r="F33" s="281"/>
      <c r="G33" s="281"/>
      <c r="H33" s="284" t="s">
        <v>1236</v>
      </c>
      <c r="I33" s="265">
        <f t="shared" ref="I33:O33" si="18">+I23+I26+I29+I32</f>
        <v>0</v>
      </c>
      <c r="J33" s="265">
        <f t="shared" si="18"/>
        <v>0</v>
      </c>
      <c r="K33" s="265">
        <f t="shared" si="18"/>
        <v>0</v>
      </c>
      <c r="L33" s="265">
        <f t="shared" si="18"/>
        <v>0</v>
      </c>
      <c r="M33" s="265">
        <f t="shared" si="18"/>
        <v>0</v>
      </c>
      <c r="N33" s="265">
        <f t="shared" si="18"/>
        <v>4999090000</v>
      </c>
      <c r="O33" s="265">
        <f t="shared" si="18"/>
        <v>4999090000</v>
      </c>
      <c r="P33" s="265">
        <v>0</v>
      </c>
      <c r="Q33" s="267"/>
      <c r="R33" s="265">
        <f t="shared" si="1"/>
        <v>0</v>
      </c>
      <c r="S33" s="265">
        <f t="shared" si="2"/>
        <v>0</v>
      </c>
      <c r="T33" s="265">
        <f t="shared" si="3"/>
        <v>4999090000</v>
      </c>
      <c r="U33" s="265">
        <f t="shared" si="4"/>
        <v>0</v>
      </c>
      <c r="V33" s="3606"/>
      <c r="W33" s="3568"/>
      <c r="X33" s="3568"/>
      <c r="Y33" s="265">
        <v>0</v>
      </c>
      <c r="AB33" s="209">
        <f t="shared" si="11"/>
        <v>-4999090000</v>
      </c>
    </row>
    <row r="34" spans="1:28" ht="25.5">
      <c r="A34" s="262"/>
      <c r="B34" s="268" t="s">
        <v>1237</v>
      </c>
      <c r="C34" s="284" t="s">
        <v>512</v>
      </c>
      <c r="D34" s="273" t="s">
        <v>1238</v>
      </c>
      <c r="E34" s="269">
        <v>2</v>
      </c>
      <c r="F34" s="284" t="s">
        <v>1239</v>
      </c>
      <c r="G34" s="269">
        <v>9990001</v>
      </c>
      <c r="H34" s="284" t="s">
        <v>1182</v>
      </c>
      <c r="I34" s="265">
        <v>0</v>
      </c>
      <c r="J34" s="265">
        <v>210321435</v>
      </c>
      <c r="K34" s="265">
        <v>750000000</v>
      </c>
      <c r="L34" s="265">
        <f>+K34-550998822</f>
        <v>199001178</v>
      </c>
      <c r="M34" s="265">
        <f t="shared" ref="L34:O36" si="19">+L34</f>
        <v>199001178</v>
      </c>
      <c r="N34" s="265">
        <f t="shared" si="19"/>
        <v>199001178</v>
      </c>
      <c r="O34" s="265">
        <f t="shared" si="19"/>
        <v>199001178</v>
      </c>
      <c r="P34" s="1074">
        <v>199001178</v>
      </c>
      <c r="Q34" s="267">
        <f>+P34/N34</f>
        <v>1</v>
      </c>
      <c r="R34" s="265">
        <f t="shared" si="1"/>
        <v>-550998822</v>
      </c>
      <c r="S34" s="265">
        <f t="shared" si="2"/>
        <v>0</v>
      </c>
      <c r="T34" s="265">
        <f t="shared" si="3"/>
        <v>0</v>
      </c>
      <c r="U34" s="265">
        <f t="shared" si="4"/>
        <v>0</v>
      </c>
      <c r="V34" s="251"/>
      <c r="W34" s="251"/>
      <c r="X34" s="265">
        <v>199001178</v>
      </c>
      <c r="Y34" s="1074">
        <v>210321435</v>
      </c>
      <c r="AA34" s="251">
        <f>+'2. mell.  '!F33</f>
        <v>399126968.73031998</v>
      </c>
      <c r="AB34" s="2671">
        <f t="shared" si="11"/>
        <v>0</v>
      </c>
    </row>
    <row r="35" spans="1:28" s="252" customFormat="1" ht="28.5" customHeight="1">
      <c r="A35" s="2235"/>
      <c r="B35" s="268" t="s">
        <v>1240</v>
      </c>
      <c r="C35" s="284" t="s">
        <v>512</v>
      </c>
      <c r="D35" s="269" t="s">
        <v>1181</v>
      </c>
      <c r="E35" s="269">
        <v>2</v>
      </c>
      <c r="F35" s="284" t="s">
        <v>1239</v>
      </c>
      <c r="G35" s="269">
        <v>9990001</v>
      </c>
      <c r="H35" s="284" t="s">
        <v>1182</v>
      </c>
      <c r="I35" s="265">
        <f>7200000000</f>
        <v>7200000000</v>
      </c>
      <c r="J35" s="265">
        <v>7045082387</v>
      </c>
      <c r="K35" s="265">
        <f>2050000000-110000000</f>
        <v>1940000000</v>
      </c>
      <c r="L35" s="265">
        <f>+K35+550998822+3591343</f>
        <v>2494590165</v>
      </c>
      <c r="M35" s="265">
        <f t="shared" si="19"/>
        <v>2494590165</v>
      </c>
      <c r="N35" s="265">
        <f t="shared" si="19"/>
        <v>2494590165</v>
      </c>
      <c r="O35" s="265">
        <f t="shared" si="19"/>
        <v>2494590165</v>
      </c>
      <c r="P35" s="1074">
        <v>2494590165</v>
      </c>
      <c r="Q35" s="267">
        <f>+P35/N35</f>
        <v>1</v>
      </c>
      <c r="R35" s="265">
        <f t="shared" si="1"/>
        <v>554590165</v>
      </c>
      <c r="S35" s="265">
        <f t="shared" si="2"/>
        <v>0</v>
      </c>
      <c r="T35" s="265">
        <f t="shared" si="3"/>
        <v>0</v>
      </c>
      <c r="U35" s="265">
        <f t="shared" si="4"/>
        <v>0</v>
      </c>
      <c r="V35" s="255"/>
      <c r="W35" s="255"/>
      <c r="X35" s="255">
        <f>+L34-X34</f>
        <v>0</v>
      </c>
      <c r="Y35" s="1074">
        <v>7045082387</v>
      </c>
      <c r="AB35" s="2670">
        <f t="shared" si="11"/>
        <v>0</v>
      </c>
    </row>
    <row r="36" spans="1:28">
      <c r="A36" s="262"/>
      <c r="B36" s="281" t="s">
        <v>292</v>
      </c>
      <c r="C36" s="281"/>
      <c r="D36" s="281"/>
      <c r="E36" s="281"/>
      <c r="F36" s="281"/>
      <c r="G36" s="281"/>
      <c r="H36" s="284"/>
      <c r="I36" s="265">
        <v>0</v>
      </c>
      <c r="J36" s="275">
        <v>0</v>
      </c>
      <c r="K36" s="265">
        <v>0</v>
      </c>
      <c r="L36" s="275">
        <f t="shared" si="19"/>
        <v>0</v>
      </c>
      <c r="M36" s="275">
        <f t="shared" si="19"/>
        <v>0</v>
      </c>
      <c r="N36" s="275">
        <f t="shared" si="19"/>
        <v>0</v>
      </c>
      <c r="O36" s="275">
        <f t="shared" si="19"/>
        <v>0</v>
      </c>
      <c r="P36" s="192"/>
      <c r="Q36" s="267"/>
      <c r="R36" s="265">
        <f t="shared" si="1"/>
        <v>0</v>
      </c>
      <c r="S36" s="265">
        <f t="shared" si="2"/>
        <v>0</v>
      </c>
      <c r="T36" s="265">
        <f t="shared" si="3"/>
        <v>0</v>
      </c>
      <c r="U36" s="265">
        <f t="shared" si="4"/>
        <v>0</v>
      </c>
      <c r="V36" s="251">
        <f>+R34+R35</f>
        <v>3591343</v>
      </c>
      <c r="W36" s="251"/>
      <c r="Y36" s="192"/>
      <c r="AB36" s="192">
        <f t="shared" si="11"/>
        <v>0</v>
      </c>
    </row>
    <row r="37" spans="1:28">
      <c r="A37" s="262"/>
      <c r="B37" s="281" t="s">
        <v>1241</v>
      </c>
      <c r="C37" s="281"/>
      <c r="D37" s="281"/>
      <c r="E37" s="281"/>
      <c r="F37" s="281"/>
      <c r="G37" s="281"/>
      <c r="H37" s="284" t="s">
        <v>1242</v>
      </c>
      <c r="I37" s="265">
        <f t="shared" ref="I37:P37" si="20">SUM(I34:I36)</f>
        <v>7200000000</v>
      </c>
      <c r="J37" s="265">
        <f t="shared" si="20"/>
        <v>7255403822</v>
      </c>
      <c r="K37" s="265">
        <f t="shared" si="20"/>
        <v>2690000000</v>
      </c>
      <c r="L37" s="265">
        <f t="shared" si="20"/>
        <v>2693591343</v>
      </c>
      <c r="M37" s="265">
        <f t="shared" si="20"/>
        <v>2693591343</v>
      </c>
      <c r="N37" s="265">
        <f t="shared" si="20"/>
        <v>2693591343</v>
      </c>
      <c r="O37" s="265">
        <f t="shared" si="20"/>
        <v>2693591343</v>
      </c>
      <c r="P37" s="265">
        <f t="shared" si="20"/>
        <v>2693591343</v>
      </c>
      <c r="Q37" s="267">
        <f>+P37/N37</f>
        <v>1</v>
      </c>
      <c r="R37" s="265">
        <f t="shared" si="1"/>
        <v>3591343</v>
      </c>
      <c r="S37" s="265">
        <f t="shared" si="2"/>
        <v>0</v>
      </c>
      <c r="T37" s="265">
        <f t="shared" si="3"/>
        <v>0</v>
      </c>
      <c r="U37" s="265">
        <f t="shared" si="4"/>
        <v>0</v>
      </c>
      <c r="V37" s="251">
        <f>+K37-I37</f>
        <v>-4510000000</v>
      </c>
      <c r="W37" s="251"/>
      <c r="Y37" s="265">
        <f>SUM(Y34:Y36)</f>
        <v>7255403822</v>
      </c>
      <c r="AB37" s="209">
        <f t="shared" si="11"/>
        <v>0</v>
      </c>
    </row>
    <row r="38" spans="1:28">
      <c r="A38" s="262"/>
      <c r="B38" s="281" t="s">
        <v>1243</v>
      </c>
      <c r="C38" s="281"/>
      <c r="D38" s="281"/>
      <c r="E38" s="281"/>
      <c r="F38" s="281"/>
      <c r="G38" s="281"/>
      <c r="H38" s="284" t="s">
        <v>1244</v>
      </c>
      <c r="I38" s="275">
        <v>0</v>
      </c>
      <c r="J38" s="275">
        <v>965865747</v>
      </c>
      <c r="K38" s="275">
        <v>0</v>
      </c>
      <c r="L38" s="275">
        <f t="shared" ref="L38:O42" si="21">+K38</f>
        <v>0</v>
      </c>
      <c r="M38" s="275">
        <f>+L38+1373664816</f>
        <v>1373664816</v>
      </c>
      <c r="N38" s="275">
        <f>+M38+321282672+95597814</f>
        <v>1790545302</v>
      </c>
      <c r="O38" s="275">
        <f t="shared" si="21"/>
        <v>1790545302</v>
      </c>
      <c r="P38" s="275">
        <v>1790545302</v>
      </c>
      <c r="Q38" s="280"/>
      <c r="R38" s="265">
        <f t="shared" si="1"/>
        <v>0</v>
      </c>
      <c r="S38" s="265">
        <f t="shared" si="2"/>
        <v>1373664816</v>
      </c>
      <c r="T38" s="265">
        <f t="shared" si="3"/>
        <v>416880486</v>
      </c>
      <c r="U38" s="265">
        <f t="shared" si="4"/>
        <v>0</v>
      </c>
      <c r="V38" s="255"/>
      <c r="W38" s="251"/>
      <c r="Y38" s="275">
        <v>489302282</v>
      </c>
      <c r="AB38" s="192">
        <f t="shared" si="11"/>
        <v>0</v>
      </c>
    </row>
    <row r="39" spans="1:28">
      <c r="A39" s="262"/>
      <c r="B39" s="281" t="s">
        <v>297</v>
      </c>
      <c r="C39" s="281"/>
      <c r="D39" s="281"/>
      <c r="E39" s="281"/>
      <c r="F39" s="281"/>
      <c r="G39" s="281"/>
      <c r="H39" s="284" t="s">
        <v>1245</v>
      </c>
      <c r="I39" s="275">
        <v>0</v>
      </c>
      <c r="J39" s="275">
        <v>0</v>
      </c>
      <c r="K39" s="275">
        <v>0</v>
      </c>
      <c r="L39" s="275">
        <f t="shared" si="21"/>
        <v>0</v>
      </c>
      <c r="M39" s="275">
        <f t="shared" si="21"/>
        <v>0</v>
      </c>
      <c r="N39" s="275">
        <f t="shared" si="21"/>
        <v>0</v>
      </c>
      <c r="O39" s="275">
        <f t="shared" si="21"/>
        <v>0</v>
      </c>
      <c r="P39" s="275"/>
      <c r="Q39" s="267"/>
      <c r="R39" s="265">
        <f t="shared" si="1"/>
        <v>0</v>
      </c>
      <c r="S39" s="265">
        <f t="shared" si="2"/>
        <v>0</v>
      </c>
      <c r="T39" s="265">
        <f t="shared" si="3"/>
        <v>0</v>
      </c>
      <c r="U39" s="265">
        <f t="shared" si="4"/>
        <v>0</v>
      </c>
      <c r="V39" s="251"/>
      <c r="W39" s="251"/>
      <c r="Y39" s="275"/>
      <c r="AB39" s="192">
        <f t="shared" si="11"/>
        <v>0</v>
      </c>
    </row>
    <row r="40" spans="1:28">
      <c r="A40" s="262"/>
      <c r="B40" s="285" t="s">
        <v>1246</v>
      </c>
      <c r="C40" s="285"/>
      <c r="D40" s="285"/>
      <c r="E40" s="285"/>
      <c r="F40" s="285"/>
      <c r="G40" s="285"/>
      <c r="H40" s="258" t="s">
        <v>1247</v>
      </c>
      <c r="I40" s="275">
        <v>0</v>
      </c>
      <c r="J40" s="275">
        <v>0</v>
      </c>
      <c r="K40" s="275">
        <v>0</v>
      </c>
      <c r="L40" s="275">
        <f t="shared" si="21"/>
        <v>0</v>
      </c>
      <c r="M40" s="275">
        <f t="shared" si="21"/>
        <v>0</v>
      </c>
      <c r="N40" s="275">
        <f t="shared" si="21"/>
        <v>0</v>
      </c>
      <c r="O40" s="275">
        <f t="shared" si="21"/>
        <v>0</v>
      </c>
      <c r="P40" s="275"/>
      <c r="Q40" s="267"/>
      <c r="R40" s="265">
        <f t="shared" si="1"/>
        <v>0</v>
      </c>
      <c r="S40" s="265">
        <f t="shared" si="2"/>
        <v>0</v>
      </c>
      <c r="T40" s="265">
        <f t="shared" si="3"/>
        <v>0</v>
      </c>
      <c r="U40" s="265">
        <f t="shared" si="4"/>
        <v>0</v>
      </c>
      <c r="V40" s="251"/>
      <c r="W40" s="251"/>
      <c r="Y40" s="275"/>
      <c r="AB40" s="192">
        <f t="shared" si="11"/>
        <v>0</v>
      </c>
    </row>
    <row r="41" spans="1:28">
      <c r="A41" s="262"/>
      <c r="B41" s="285" t="s">
        <v>1248</v>
      </c>
      <c r="C41" s="285"/>
      <c r="D41" s="285"/>
      <c r="E41" s="285"/>
      <c r="F41" s="285"/>
      <c r="G41" s="285"/>
      <c r="H41" s="258" t="s">
        <v>1249</v>
      </c>
      <c r="I41" s="275">
        <v>0</v>
      </c>
      <c r="J41" s="275">
        <v>0</v>
      </c>
      <c r="K41" s="275">
        <v>0</v>
      </c>
      <c r="L41" s="275">
        <f t="shared" si="21"/>
        <v>0</v>
      </c>
      <c r="M41" s="275">
        <f t="shared" si="21"/>
        <v>0</v>
      </c>
      <c r="N41" s="275">
        <f t="shared" si="21"/>
        <v>0</v>
      </c>
      <c r="O41" s="275">
        <f t="shared" si="21"/>
        <v>0</v>
      </c>
      <c r="P41" s="275"/>
      <c r="Q41" s="267"/>
      <c r="R41" s="265">
        <f t="shared" si="1"/>
        <v>0</v>
      </c>
      <c r="S41" s="265">
        <f t="shared" si="2"/>
        <v>0</v>
      </c>
      <c r="T41" s="265">
        <f t="shared" si="3"/>
        <v>0</v>
      </c>
      <c r="U41" s="265">
        <f t="shared" si="4"/>
        <v>0</v>
      </c>
      <c r="V41" s="251"/>
      <c r="W41" s="251"/>
      <c r="Y41" s="275"/>
      <c r="AB41" s="192">
        <f t="shared" si="11"/>
        <v>0</v>
      </c>
    </row>
    <row r="42" spans="1:28">
      <c r="A42" s="262"/>
      <c r="B42" s="285" t="s">
        <v>1250</v>
      </c>
      <c r="C42" s="285"/>
      <c r="D42" s="285"/>
      <c r="E42" s="285"/>
      <c r="F42" s="285"/>
      <c r="G42" s="285"/>
      <c r="H42" s="258" t="s">
        <v>1251</v>
      </c>
      <c r="I42" s="275">
        <v>0</v>
      </c>
      <c r="J42" s="275">
        <v>0</v>
      </c>
      <c r="K42" s="275">
        <v>0</v>
      </c>
      <c r="L42" s="275">
        <f t="shared" si="21"/>
        <v>0</v>
      </c>
      <c r="M42" s="275">
        <f t="shared" si="21"/>
        <v>0</v>
      </c>
      <c r="N42" s="275">
        <f t="shared" si="21"/>
        <v>0</v>
      </c>
      <c r="O42" s="275">
        <f t="shared" si="21"/>
        <v>0</v>
      </c>
      <c r="P42" s="275"/>
      <c r="Q42" s="267"/>
      <c r="R42" s="265">
        <f t="shared" si="1"/>
        <v>0</v>
      </c>
      <c r="S42" s="265">
        <f t="shared" si="2"/>
        <v>0</v>
      </c>
      <c r="T42" s="265">
        <f t="shared" si="3"/>
        <v>0</v>
      </c>
      <c r="U42" s="265">
        <f t="shared" si="4"/>
        <v>0</v>
      </c>
      <c r="V42" s="251"/>
      <c r="W42" s="251"/>
      <c r="Y42" s="275"/>
      <c r="AB42" s="192">
        <f t="shared" si="11"/>
        <v>0</v>
      </c>
    </row>
    <row r="43" spans="1:28">
      <c r="A43" s="262"/>
      <c r="B43" s="281" t="s">
        <v>1252</v>
      </c>
      <c r="C43" s="281"/>
      <c r="D43" s="281"/>
      <c r="E43" s="281"/>
      <c r="F43" s="281"/>
      <c r="G43" s="281"/>
      <c r="H43" s="284" t="s">
        <v>1253</v>
      </c>
      <c r="I43" s="275">
        <f>SUM(I40:I42)</f>
        <v>0</v>
      </c>
      <c r="J43" s="265">
        <v>0</v>
      </c>
      <c r="K43" s="275">
        <f t="shared" ref="K43:P43" si="22">SUM(K40:K42)</f>
        <v>0</v>
      </c>
      <c r="L43" s="265">
        <f t="shared" si="22"/>
        <v>0</v>
      </c>
      <c r="M43" s="265">
        <f t="shared" si="22"/>
        <v>0</v>
      </c>
      <c r="N43" s="265">
        <f t="shared" si="22"/>
        <v>0</v>
      </c>
      <c r="O43" s="265">
        <f t="shared" si="22"/>
        <v>0</v>
      </c>
      <c r="P43" s="265">
        <f t="shared" si="22"/>
        <v>0</v>
      </c>
      <c r="Q43" s="267"/>
      <c r="R43" s="265">
        <f t="shared" si="1"/>
        <v>0</v>
      </c>
      <c r="S43" s="265">
        <f t="shared" si="2"/>
        <v>0</v>
      </c>
      <c r="T43" s="265">
        <f t="shared" si="3"/>
        <v>0</v>
      </c>
      <c r="U43" s="265">
        <f t="shared" si="4"/>
        <v>0</v>
      </c>
      <c r="V43" s="251"/>
      <c r="W43" s="251"/>
      <c r="Y43" s="265">
        <f>SUM(Y40:Y42)</f>
        <v>0</v>
      </c>
      <c r="AB43" s="209">
        <f t="shared" si="11"/>
        <v>0</v>
      </c>
    </row>
    <row r="44" spans="1:28">
      <c r="A44" s="262"/>
      <c r="B44" s="281" t="s">
        <v>299</v>
      </c>
      <c r="C44" s="281"/>
      <c r="D44" s="281"/>
      <c r="E44" s="281"/>
      <c r="F44" s="281"/>
      <c r="G44" s="281"/>
      <c r="H44" s="284" t="s">
        <v>1175</v>
      </c>
      <c r="I44" s="275">
        <f>8000000000</f>
        <v>8000000000</v>
      </c>
      <c r="J44" s="275">
        <v>5500000000</v>
      </c>
      <c r="K44" s="275">
        <f>5500000000</f>
        <v>5500000000</v>
      </c>
      <c r="L44" s="275">
        <f>+K44</f>
        <v>5500000000</v>
      </c>
      <c r="M44" s="275">
        <f>+L44</f>
        <v>5500000000</v>
      </c>
      <c r="N44" s="275">
        <f>+M44+1200000000</f>
        <v>6700000000</v>
      </c>
      <c r="O44" s="275">
        <f>+N44</f>
        <v>6700000000</v>
      </c>
      <c r="P44" s="1072">
        <v>6700000000</v>
      </c>
      <c r="Q44" s="280">
        <f>+P44/N44</f>
        <v>1</v>
      </c>
      <c r="R44" s="265">
        <f t="shared" si="1"/>
        <v>0</v>
      </c>
      <c r="S44" s="265">
        <f t="shared" si="2"/>
        <v>0</v>
      </c>
      <c r="T44" s="265">
        <f t="shared" si="3"/>
        <v>1200000000</v>
      </c>
      <c r="U44" s="265">
        <f t="shared" si="4"/>
        <v>0</v>
      </c>
      <c r="V44" s="251"/>
      <c r="W44" s="251"/>
      <c r="Y44" s="1072">
        <v>5500000000</v>
      </c>
      <c r="AB44" s="2670">
        <f t="shared" si="11"/>
        <v>0</v>
      </c>
    </row>
    <row r="45" spans="1:28">
      <c r="A45" s="262"/>
      <c r="B45" s="268" t="s">
        <v>1254</v>
      </c>
      <c r="C45" s="268"/>
      <c r="D45" s="268"/>
      <c r="E45" s="268"/>
      <c r="F45" s="268"/>
      <c r="G45" s="268"/>
      <c r="H45" s="260" t="s">
        <v>1255</v>
      </c>
      <c r="I45" s="265">
        <f t="shared" ref="I45:P45" si="23">+I16+I23+I33+I37+I38+I43+I44</f>
        <v>15200000000</v>
      </c>
      <c r="J45" s="265">
        <f t="shared" si="23"/>
        <v>13721269569</v>
      </c>
      <c r="K45" s="265">
        <f t="shared" si="23"/>
        <v>8190000000</v>
      </c>
      <c r="L45" s="265">
        <f t="shared" si="23"/>
        <v>8193591343</v>
      </c>
      <c r="M45" s="265">
        <f t="shared" si="23"/>
        <v>9567256159</v>
      </c>
      <c r="N45" s="265">
        <f t="shared" si="23"/>
        <v>21182316645</v>
      </c>
      <c r="O45" s="265">
        <f t="shared" si="23"/>
        <v>21182316645</v>
      </c>
      <c r="P45" s="265">
        <f t="shared" si="23"/>
        <v>13974606645</v>
      </c>
      <c r="Q45" s="267">
        <f>+P45/N45</f>
        <v>0.65972985293365682</v>
      </c>
      <c r="R45" s="265">
        <f t="shared" si="1"/>
        <v>3591343</v>
      </c>
      <c r="S45" s="265">
        <f t="shared" si="2"/>
        <v>1373664816</v>
      </c>
      <c r="T45" s="265">
        <f t="shared" si="3"/>
        <v>11615060486</v>
      </c>
      <c r="U45" s="265">
        <f t="shared" si="4"/>
        <v>0</v>
      </c>
      <c r="V45" s="251"/>
      <c r="W45" s="251"/>
      <c r="Y45" s="265">
        <f>+Y16+Y33+Y37+Y38+Y43+Y44</f>
        <v>13244706104</v>
      </c>
      <c r="AB45" s="209">
        <f t="shared" si="11"/>
        <v>-7207710000</v>
      </c>
    </row>
    <row r="46" spans="1:28">
      <c r="A46" s="262"/>
      <c r="B46" s="268" t="s">
        <v>496</v>
      </c>
      <c r="C46" s="268"/>
      <c r="D46" s="268"/>
      <c r="E46" s="268"/>
      <c r="F46" s="268"/>
      <c r="G46" s="268"/>
      <c r="H46" s="260" t="s">
        <v>1256</v>
      </c>
      <c r="I46" s="275">
        <v>0</v>
      </c>
      <c r="J46" s="275">
        <v>0</v>
      </c>
      <c r="K46" s="275">
        <v>0</v>
      </c>
      <c r="L46" s="275">
        <f>+K46</f>
        <v>0</v>
      </c>
      <c r="M46" s="275">
        <f>+L46</f>
        <v>0</v>
      </c>
      <c r="N46" s="275">
        <f>+M46</f>
        <v>0</v>
      </c>
      <c r="O46" s="275">
        <f>+N46</f>
        <v>0</v>
      </c>
      <c r="P46" s="275">
        <v>0</v>
      </c>
      <c r="Q46" s="280"/>
      <c r="R46" s="275">
        <f t="shared" si="1"/>
        <v>0</v>
      </c>
      <c r="S46" s="275">
        <f t="shared" si="2"/>
        <v>0</v>
      </c>
      <c r="T46" s="275">
        <f t="shared" si="3"/>
        <v>0</v>
      </c>
      <c r="U46" s="275">
        <f t="shared" si="4"/>
        <v>0</v>
      </c>
      <c r="V46" s="251"/>
      <c r="W46" s="251"/>
      <c r="Y46" s="275">
        <v>0</v>
      </c>
      <c r="Z46" s="251"/>
      <c r="AB46" s="192">
        <f t="shared" si="11"/>
        <v>0</v>
      </c>
    </row>
    <row r="47" spans="1:28" ht="18.75">
      <c r="A47" s="262"/>
      <c r="B47" s="286" t="s">
        <v>1257</v>
      </c>
      <c r="C47" s="286"/>
      <c r="D47" s="286"/>
      <c r="E47" s="286"/>
      <c r="F47" s="286"/>
      <c r="G47" s="286"/>
      <c r="H47" s="287" t="s">
        <v>1258</v>
      </c>
      <c r="I47" s="288">
        <f t="shared" ref="I47:P47" si="24">+I45+I46</f>
        <v>15200000000</v>
      </c>
      <c r="J47" s="288">
        <f t="shared" si="24"/>
        <v>13721269569</v>
      </c>
      <c r="K47" s="288">
        <f t="shared" si="24"/>
        <v>8190000000</v>
      </c>
      <c r="L47" s="288">
        <f t="shared" si="24"/>
        <v>8193591343</v>
      </c>
      <c r="M47" s="288">
        <f t="shared" si="24"/>
        <v>9567256159</v>
      </c>
      <c r="N47" s="288">
        <f t="shared" si="24"/>
        <v>21182316645</v>
      </c>
      <c r="O47" s="288">
        <f t="shared" si="24"/>
        <v>21182316645</v>
      </c>
      <c r="P47" s="288">
        <f t="shared" si="24"/>
        <v>13974606645</v>
      </c>
      <c r="Q47" s="267">
        <f>+P47/N47</f>
        <v>0.65972985293365682</v>
      </c>
      <c r="R47" s="288">
        <f t="shared" si="1"/>
        <v>3591343</v>
      </c>
      <c r="S47" s="288">
        <f t="shared" si="2"/>
        <v>1373664816</v>
      </c>
      <c r="T47" s="288">
        <f t="shared" si="3"/>
        <v>11615060486</v>
      </c>
      <c r="U47" s="288">
        <f t="shared" si="4"/>
        <v>0</v>
      </c>
      <c r="V47" s="251"/>
      <c r="W47" s="251"/>
      <c r="Y47" s="288">
        <f>+Y45+Y46</f>
        <v>13244706104</v>
      </c>
      <c r="Z47" s="251"/>
      <c r="AB47" s="221">
        <f t="shared" si="11"/>
        <v>-7207710000</v>
      </c>
    </row>
    <row r="48" spans="1:28">
      <c r="V48" s="251"/>
      <c r="W48" s="251"/>
      <c r="Y48" s="250"/>
      <c r="Z48" s="251"/>
    </row>
    <row r="49" spans="9:25">
      <c r="Y49" s="250"/>
    </row>
    <row r="50" spans="9:25">
      <c r="Y50" s="250"/>
    </row>
    <row r="51" spans="9:25">
      <c r="I51" s="289">
        <f>+I47</f>
        <v>15200000000</v>
      </c>
      <c r="J51" s="289">
        <f t="shared" ref="J51:P51" si="25">+J47</f>
        <v>13721269569</v>
      </c>
      <c r="K51" s="289">
        <f t="shared" si="25"/>
        <v>8190000000</v>
      </c>
      <c r="L51" s="289">
        <f t="shared" si="25"/>
        <v>8193591343</v>
      </c>
      <c r="M51" s="289">
        <f t="shared" si="25"/>
        <v>9567256159</v>
      </c>
      <c r="N51" s="289">
        <f t="shared" si="25"/>
        <v>21182316645</v>
      </c>
      <c r="O51" s="289">
        <f t="shared" si="25"/>
        <v>21182316645</v>
      </c>
      <c r="P51" s="289">
        <f t="shared" si="25"/>
        <v>13974606645</v>
      </c>
      <c r="Q51" s="289"/>
      <c r="R51" s="289">
        <f>+R47</f>
        <v>3591343</v>
      </c>
      <c r="S51" s="289">
        <f>+S47</f>
        <v>1373664816</v>
      </c>
      <c r="T51" s="289">
        <f>+T47</f>
        <v>11615060486</v>
      </c>
      <c r="U51" s="289">
        <f>+U47</f>
        <v>0</v>
      </c>
      <c r="Y51" s="289">
        <v>13244706104</v>
      </c>
    </row>
  </sheetData>
  <sheetProtection selectLockedCells="1" selectUnlockedCells="1"/>
  <mergeCells count="4">
    <mergeCell ref="A1:L1"/>
    <mergeCell ref="B2:K2"/>
    <mergeCell ref="I3:K3"/>
    <mergeCell ref="V33:X33"/>
  </mergeCells>
  <printOptions horizontalCentered="1"/>
  <pageMargins left="0.15972222222222221" right="0.19652777777777777" top="0.3" bottom="0.22013888888888888" header="0.51180555555555551" footer="0.51180555555555551"/>
  <pageSetup paperSize="9" scale="40" firstPageNumber="0" orientation="portrait" cellComments="atEnd"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AB243-7AF6-40FA-B491-14D6A16C8B81}">
  <sheetPr>
    <pageSetUpPr fitToPage="1"/>
  </sheetPr>
  <dimension ref="A1:Q29"/>
  <sheetViews>
    <sheetView view="pageBreakPreview" zoomScale="70" zoomScaleNormal="75" zoomScaleSheetLayoutView="70" workbookViewId="0">
      <selection activeCell="O1" sqref="O1"/>
    </sheetView>
  </sheetViews>
  <sheetFormatPr defaultRowHeight="18.75"/>
  <cols>
    <col min="1" max="1" width="9.140625" style="1786" customWidth="1"/>
    <col min="2" max="2" width="77" style="1786" customWidth="1"/>
    <col min="3" max="3" width="21.85546875" style="1786" hidden="1" customWidth="1"/>
    <col min="4" max="5" width="20.42578125" style="1786" hidden="1" customWidth="1"/>
    <col min="6" max="6" width="21.7109375" style="1786" customWidth="1"/>
    <col min="7" max="7" width="20.42578125" style="1786" customWidth="1"/>
    <col min="8" max="8" width="20.7109375" style="1786" hidden="1" customWidth="1"/>
    <col min="9" max="9" width="21.42578125" style="1786" hidden="1" customWidth="1"/>
    <col min="10" max="10" width="19.42578125" style="1786" hidden="1" customWidth="1"/>
    <col min="11" max="11" width="20.85546875" style="1786" hidden="1" customWidth="1"/>
    <col min="12" max="12" width="20.85546875" style="1786" customWidth="1"/>
    <col min="13" max="13" width="21.7109375" style="1786" hidden="1" customWidth="1"/>
    <col min="14" max="14" width="21.28515625" style="1786" customWidth="1"/>
    <col min="15" max="15" width="20.7109375" style="1786" customWidth="1"/>
    <col min="16" max="16" width="15.42578125" style="1787" customWidth="1"/>
    <col min="17" max="16384" width="9.140625" style="1786"/>
  </cols>
  <sheetData>
    <row r="1" spans="1:17" ht="35.25" customHeight="1">
      <c r="A1" s="2526"/>
      <c r="B1" s="2527"/>
      <c r="C1" s="2527"/>
      <c r="D1" s="2527"/>
      <c r="E1" s="2527"/>
      <c r="F1" s="2527"/>
      <c r="G1" s="2527"/>
      <c r="H1" s="2527"/>
      <c r="I1" s="2527"/>
      <c r="J1" s="2527"/>
      <c r="K1" s="2527"/>
      <c r="L1" s="2527"/>
      <c r="M1" s="2527"/>
      <c r="N1" s="2527"/>
      <c r="O1" s="2528" t="s">
        <v>3354</v>
      </c>
    </row>
    <row r="2" spans="1:17" s="1787" customFormat="1" ht="93.75">
      <c r="A2" s="2515" t="s">
        <v>502</v>
      </c>
      <c r="B2" s="2516" t="s">
        <v>1259</v>
      </c>
      <c r="C2" s="2195" t="s">
        <v>3880</v>
      </c>
      <c r="D2" s="2195" t="s">
        <v>3585</v>
      </c>
      <c r="E2" s="2195" t="s">
        <v>3872</v>
      </c>
      <c r="F2" s="2195" t="s">
        <v>149</v>
      </c>
      <c r="G2" s="2195" t="s">
        <v>1261</v>
      </c>
      <c r="H2" s="2195" t="s">
        <v>3909</v>
      </c>
      <c r="I2" s="2195" t="s">
        <v>150</v>
      </c>
      <c r="J2" s="2195" t="s">
        <v>153</v>
      </c>
      <c r="K2" s="2517" t="s">
        <v>1262</v>
      </c>
      <c r="L2" s="2195" t="s">
        <v>393</v>
      </c>
      <c r="M2" s="2195" t="s">
        <v>3910</v>
      </c>
      <c r="N2" s="2518" t="s">
        <v>1263</v>
      </c>
      <c r="O2" s="2518" t="s">
        <v>1264</v>
      </c>
    </row>
    <row r="3" spans="1:17">
      <c r="A3" s="2519" t="s">
        <v>6</v>
      </c>
      <c r="B3" s="2227" t="s">
        <v>7</v>
      </c>
      <c r="C3" s="2228"/>
      <c r="D3" s="2228"/>
      <c r="E3" s="2228"/>
      <c r="F3" s="2228">
        <v>-690614</v>
      </c>
      <c r="G3" s="2228"/>
      <c r="H3" s="2228"/>
      <c r="I3" s="2228"/>
      <c r="J3" s="2228"/>
      <c r="K3" s="2228"/>
      <c r="L3" s="2228">
        <v>-139949</v>
      </c>
      <c r="M3" s="2228"/>
      <c r="N3" s="2520">
        <f t="shared" ref="N3:N20" si="0">SUM(C3:M3)</f>
        <v>-830563</v>
      </c>
      <c r="O3" s="2520">
        <f>+N3+'intnemváltoztató-előterj2.mell '!W3</f>
        <v>12589437</v>
      </c>
      <c r="P3" s="3019">
        <f>+O3-'9. mell. PMH'!AG37</f>
        <v>0</v>
      </c>
    </row>
    <row r="4" spans="1:17">
      <c r="A4" s="2519" t="s">
        <v>12</v>
      </c>
      <c r="B4" s="2228" t="s">
        <v>13</v>
      </c>
      <c r="C4" s="2228"/>
      <c r="D4" s="2228"/>
      <c r="E4" s="2228"/>
      <c r="F4" s="2228">
        <v>-12080423</v>
      </c>
      <c r="G4" s="2228">
        <v>85932117</v>
      </c>
      <c r="H4" s="2228"/>
      <c r="I4" s="2228"/>
      <c r="J4" s="2228"/>
      <c r="K4" s="2228"/>
      <c r="L4" s="2228"/>
      <c r="M4" s="2228"/>
      <c r="N4" s="2520">
        <f t="shared" si="0"/>
        <v>73851694</v>
      </c>
      <c r="O4" s="2520">
        <f>+N4+'intnemváltoztató-előterj2.mell '!W4</f>
        <v>5212974</v>
      </c>
      <c r="P4" s="3019">
        <f>+O4-'12. mell. Szakrendelő'!AG37</f>
        <v>0</v>
      </c>
      <c r="Q4" s="1788"/>
    </row>
    <row r="5" spans="1:17" ht="37.5">
      <c r="A5" s="2519" t="s">
        <v>14</v>
      </c>
      <c r="B5" s="2521" t="s">
        <v>1265</v>
      </c>
      <c r="C5" s="2228"/>
      <c r="D5" s="2228"/>
      <c r="E5" s="2228"/>
      <c r="F5" s="2228">
        <v>14354</v>
      </c>
      <c r="G5" s="2228"/>
      <c r="H5" s="2228"/>
      <c r="I5" s="2228"/>
      <c r="J5" s="2228"/>
      <c r="K5" s="2228"/>
      <c r="L5" s="2228"/>
      <c r="M5" s="2228"/>
      <c r="N5" s="2520">
        <f t="shared" si="0"/>
        <v>14354</v>
      </c>
      <c r="O5" s="2520">
        <f>+N5+'intnemváltoztató-előterj2.mell '!W5</f>
        <v>1136452</v>
      </c>
      <c r="P5" s="3019">
        <f>+O5-'13. mell. GAMESZ'!AG37</f>
        <v>0</v>
      </c>
    </row>
    <row r="6" spans="1:17">
      <c r="A6" s="2519" t="s">
        <v>15</v>
      </c>
      <c r="B6" s="2228" t="s">
        <v>16</v>
      </c>
      <c r="C6" s="2228"/>
      <c r="D6" s="2228"/>
      <c r="E6" s="2228"/>
      <c r="F6" s="2228">
        <v>2264284</v>
      </c>
      <c r="G6" s="2228"/>
      <c r="H6" s="2228"/>
      <c r="I6" s="2228"/>
      <c r="J6" s="2228"/>
      <c r="K6" s="2228"/>
      <c r="L6" s="2228"/>
      <c r="M6" s="2228"/>
      <c r="N6" s="2520">
        <f t="shared" si="0"/>
        <v>2264284</v>
      </c>
      <c r="O6" s="2520">
        <f>+N6+'intnemváltoztató-előterj2.mell '!W6</f>
        <v>9594824</v>
      </c>
      <c r="P6" s="3019">
        <f>+O6-'14. mell. Gyerekkuckó'!AG37</f>
        <v>0</v>
      </c>
    </row>
    <row r="7" spans="1:17">
      <c r="A7" s="2519" t="s">
        <v>17</v>
      </c>
      <c r="B7" s="2228" t="s">
        <v>18</v>
      </c>
      <c r="C7" s="2228"/>
      <c r="D7" s="2228"/>
      <c r="E7" s="2228"/>
      <c r="F7" s="2228">
        <v>8488256</v>
      </c>
      <c r="G7" s="2228"/>
      <c r="H7" s="2228"/>
      <c r="I7" s="2228"/>
      <c r="J7" s="2228"/>
      <c r="K7" s="2228"/>
      <c r="L7" s="2228"/>
      <c r="M7" s="2228"/>
      <c r="N7" s="2520">
        <f t="shared" si="0"/>
        <v>8488256</v>
      </c>
      <c r="O7" s="2520">
        <f>+N7+'intnemváltoztató-előterj2.mell '!W7</f>
        <v>24199327</v>
      </c>
      <c r="P7" s="3019">
        <f>+O7-'15. mell. Cinkotai H.'!AG37</f>
        <v>0</v>
      </c>
    </row>
    <row r="8" spans="1:17">
      <c r="A8" s="2519" t="s">
        <v>19</v>
      </c>
      <c r="B8" s="2521" t="s">
        <v>20</v>
      </c>
      <c r="C8" s="2228"/>
      <c r="D8" s="2228"/>
      <c r="E8" s="2228"/>
      <c r="F8" s="2228">
        <v>-3126375</v>
      </c>
      <c r="G8" s="2228"/>
      <c r="H8" s="2228"/>
      <c r="I8" s="2228"/>
      <c r="J8" s="2228"/>
      <c r="K8" s="2228"/>
      <c r="L8" s="2228"/>
      <c r="M8" s="2228"/>
      <c r="N8" s="2520">
        <f t="shared" si="0"/>
        <v>-3126375</v>
      </c>
      <c r="O8" s="2520">
        <f>+N8+'intnemváltoztató-előterj2.mell '!W8</f>
        <v>-2613845</v>
      </c>
      <c r="P8" s="3019">
        <f>+O8-'16. mell. Napsugár'!AG37</f>
        <v>0</v>
      </c>
    </row>
    <row r="9" spans="1:17">
      <c r="A9" s="2519" t="s">
        <v>21</v>
      </c>
      <c r="B9" s="2228" t="s">
        <v>22</v>
      </c>
      <c r="C9" s="2228"/>
      <c r="D9" s="2228"/>
      <c r="E9" s="2228"/>
      <c r="F9" s="2228">
        <v>2879568</v>
      </c>
      <c r="G9" s="2228"/>
      <c r="H9" s="2228"/>
      <c r="I9" s="2228"/>
      <c r="J9" s="2228"/>
      <c r="K9" s="2228"/>
      <c r="L9" s="2228"/>
      <c r="M9" s="2228"/>
      <c r="N9" s="2520">
        <f t="shared" si="0"/>
        <v>2879568</v>
      </c>
      <c r="O9" s="2520">
        <f>+N9+'intnemváltoztató-előterj2.mell '!W9</f>
        <v>11683894</v>
      </c>
      <c r="P9" s="3019">
        <f>+O9-'17. mell. Sashalmi M.'!AG37</f>
        <v>0</v>
      </c>
    </row>
    <row r="10" spans="1:17">
      <c r="A10" s="2519" t="s">
        <v>23</v>
      </c>
      <c r="B10" s="2228" t="s">
        <v>24</v>
      </c>
      <c r="C10" s="2228"/>
      <c r="D10" s="2228"/>
      <c r="E10" s="2228"/>
      <c r="F10" s="2228">
        <v>417113</v>
      </c>
      <c r="G10" s="2228"/>
      <c r="H10" s="2228"/>
      <c r="I10" s="2228"/>
      <c r="J10" s="2228"/>
      <c r="K10" s="2228"/>
      <c r="L10" s="2228"/>
      <c r="M10" s="2228"/>
      <c r="N10" s="2520">
        <f t="shared" si="0"/>
        <v>417113</v>
      </c>
      <c r="O10" s="2520">
        <f>+N10+'intnemváltoztató-előterj2.mell '!W10</f>
        <v>4800233</v>
      </c>
      <c r="P10" s="3019">
        <f>+O10-'18. mell. Margaréta'!AG37</f>
        <v>0</v>
      </c>
    </row>
    <row r="11" spans="1:17">
      <c r="A11" s="2519" t="s">
        <v>25</v>
      </c>
      <c r="B11" s="2228" t="s">
        <v>26</v>
      </c>
      <c r="C11" s="2228"/>
      <c r="D11" s="2228"/>
      <c r="E11" s="2228"/>
      <c r="F11" s="2228">
        <v>3361351</v>
      </c>
      <c r="G11" s="2228"/>
      <c r="H11" s="2228"/>
      <c r="I11" s="2228"/>
      <c r="J11" s="2228"/>
      <c r="K11" s="2228"/>
      <c r="L11" s="2228"/>
      <c r="M11" s="2228"/>
      <c r="N11" s="2520">
        <f t="shared" si="0"/>
        <v>3361351</v>
      </c>
      <c r="O11" s="2520">
        <f>+N11+'intnemváltoztató-előterj2.mell '!W11</f>
        <v>18204813</v>
      </c>
      <c r="P11" s="3019">
        <f>+O11-'19.mell.Szentmihályi Játszókert'!AG37</f>
        <v>0</v>
      </c>
    </row>
    <row r="12" spans="1:17">
      <c r="A12" s="2519" t="s">
        <v>27</v>
      </c>
      <c r="B12" s="2228" t="s">
        <v>28</v>
      </c>
      <c r="C12" s="2228"/>
      <c r="D12" s="2228"/>
      <c r="E12" s="2228"/>
      <c r="F12" s="2228">
        <v>4437868</v>
      </c>
      <c r="G12" s="2228"/>
      <c r="H12" s="2228"/>
      <c r="I12" s="2228"/>
      <c r="J12" s="2228"/>
      <c r="K12" s="2228"/>
      <c r="L12" s="2228"/>
      <c r="M12" s="2228"/>
      <c r="N12" s="2520">
        <f t="shared" si="0"/>
        <v>4437868</v>
      </c>
      <c r="O12" s="2520">
        <f>+N12+'intnemváltoztató-előterj2.mell '!W12</f>
        <v>5383723</v>
      </c>
      <c r="P12" s="3019">
        <f>+O12-'20. mell. M. Fecskefészek'!AG37</f>
        <v>0</v>
      </c>
    </row>
    <row r="13" spans="1:17">
      <c r="A13" s="2519" t="s">
        <v>29</v>
      </c>
      <c r="B13" s="2228" t="s">
        <v>30</v>
      </c>
      <c r="C13" s="2228"/>
      <c r="D13" s="2228"/>
      <c r="E13" s="2228"/>
      <c r="F13" s="2228">
        <v>29300983</v>
      </c>
      <c r="G13" s="2228">
        <v>450000</v>
      </c>
      <c r="H13" s="2228"/>
      <c r="I13" s="2228"/>
      <c r="J13" s="2228"/>
      <c r="K13" s="2228"/>
      <c r="L13" s="2228"/>
      <c r="M13" s="2522"/>
      <c r="N13" s="2520">
        <f t="shared" si="0"/>
        <v>29750983</v>
      </c>
      <c r="O13" s="2520">
        <f>+N13+'intnemváltoztató-előterj2.mell '!W13</f>
        <v>29988283</v>
      </c>
      <c r="P13" s="3019">
        <f>+O13-'21. mell. CMH'!AG37</f>
        <v>0</v>
      </c>
    </row>
    <row r="14" spans="1:17">
      <c r="A14" s="2519" t="s">
        <v>31</v>
      </c>
      <c r="B14" s="2228" t="s">
        <v>32</v>
      </c>
      <c r="C14" s="2228"/>
      <c r="D14" s="2228"/>
      <c r="E14" s="2228"/>
      <c r="F14" s="2228">
        <v>-8278894</v>
      </c>
      <c r="G14" s="2228"/>
      <c r="H14" s="2228"/>
      <c r="I14" s="2228"/>
      <c r="J14" s="2228"/>
      <c r="K14" s="2228"/>
      <c r="L14" s="2228"/>
      <c r="M14" s="2228"/>
      <c r="N14" s="2520">
        <f t="shared" si="0"/>
        <v>-8278894</v>
      </c>
      <c r="O14" s="2520">
        <f>+N14+'intnemváltoztató-előterj2.mell '!W14</f>
        <v>-8007694</v>
      </c>
      <c r="P14" s="3019">
        <f>+O14-'22. mell. Bölcsőde'!AG37</f>
        <v>0</v>
      </c>
    </row>
    <row r="15" spans="1:17">
      <c r="A15" s="2519" t="s">
        <v>33</v>
      </c>
      <c r="B15" s="2228" t="s">
        <v>34</v>
      </c>
      <c r="C15" s="2228"/>
      <c r="D15" s="2228"/>
      <c r="E15" s="2228"/>
      <c r="F15" s="2228">
        <v>105677230</v>
      </c>
      <c r="G15" s="2228">
        <v>2500000</v>
      </c>
      <c r="H15" s="2228"/>
      <c r="I15" s="2228"/>
      <c r="J15" s="2228"/>
      <c r="K15" s="2228"/>
      <c r="L15" s="2228"/>
      <c r="M15" s="2228"/>
      <c r="N15" s="2520">
        <f t="shared" si="0"/>
        <v>108177230</v>
      </c>
      <c r="O15" s="2520">
        <f>+N15+'intnemváltoztató-előterj2.mell '!W15</f>
        <v>111618241</v>
      </c>
      <c r="P15" s="3019">
        <f>+O15-'23. mell. Terszoc.'!AG37</f>
        <v>0</v>
      </c>
    </row>
    <row r="16" spans="1:17">
      <c r="A16" s="2519" t="s">
        <v>35</v>
      </c>
      <c r="B16" s="2228" t="s">
        <v>36</v>
      </c>
      <c r="C16" s="2228"/>
      <c r="D16" s="2228"/>
      <c r="E16" s="2228"/>
      <c r="F16" s="2228">
        <v>-1899158</v>
      </c>
      <c r="G16" s="2228"/>
      <c r="H16" s="2228"/>
      <c r="I16" s="2228"/>
      <c r="J16" s="2228"/>
      <c r="K16" s="2228"/>
      <c r="L16" s="2228"/>
      <c r="M16" s="2228"/>
      <c r="N16" s="2520">
        <f t="shared" si="0"/>
        <v>-1899158</v>
      </c>
      <c r="O16" s="2520">
        <f>+N16+'intnemváltoztató-előterj2.mell '!W16</f>
        <v>-1729658</v>
      </c>
      <c r="P16" s="3019">
        <f>+O16-'24. mell. Napraforgó'!AG37</f>
        <v>0</v>
      </c>
    </row>
    <row r="17" spans="1:16">
      <c r="A17" s="2519" t="s">
        <v>37</v>
      </c>
      <c r="B17" s="2521" t="s">
        <v>38</v>
      </c>
      <c r="C17" s="2228"/>
      <c r="D17" s="2228"/>
      <c r="E17" s="2228"/>
      <c r="F17" s="2228">
        <v>158527381</v>
      </c>
      <c r="G17" s="2228">
        <v>-644628</v>
      </c>
      <c r="H17" s="2228"/>
      <c r="I17" s="2228"/>
      <c r="J17" s="2228"/>
      <c r="K17" s="2228"/>
      <c r="L17" s="2228"/>
      <c r="M17" s="2228"/>
      <c r="N17" s="2520">
        <f t="shared" si="0"/>
        <v>157882753</v>
      </c>
      <c r="O17" s="2520">
        <f>+N17+'intnemváltoztató-előterj2.mell '!W17</f>
        <v>202451398</v>
      </c>
      <c r="P17" s="3019">
        <f>+O17-'25. mell. Kerületgazda'!AG37</f>
        <v>0</v>
      </c>
    </row>
    <row r="18" spans="1:16">
      <c r="A18" s="2519" t="s">
        <v>39</v>
      </c>
      <c r="B18" s="2228" t="s">
        <v>40</v>
      </c>
      <c r="C18" s="2228"/>
      <c r="D18" s="2228"/>
      <c r="E18" s="2228"/>
      <c r="F18" s="2228">
        <v>312710</v>
      </c>
      <c r="G18" s="2228">
        <v>206219</v>
      </c>
      <c r="H18" s="2228"/>
      <c r="I18" s="2228"/>
      <c r="J18" s="2228"/>
      <c r="K18" s="2228"/>
      <c r="L18" s="2228"/>
      <c r="M18" s="2228"/>
      <c r="N18" s="2520">
        <f t="shared" si="0"/>
        <v>518929</v>
      </c>
      <c r="O18" s="2520">
        <f>+N18+'intnemváltoztató-előterj2.mell '!W18</f>
        <v>14630408</v>
      </c>
      <c r="P18" s="3019">
        <f>+O18-'26. mell. Őrszolgálat'!AG37</f>
        <v>0</v>
      </c>
    </row>
    <row r="19" spans="1:16">
      <c r="A19" s="2519" t="s">
        <v>41</v>
      </c>
      <c r="B19" s="2228" t="s">
        <v>42</v>
      </c>
      <c r="C19" s="2228"/>
      <c r="D19" s="2228"/>
      <c r="E19" s="2228"/>
      <c r="F19" s="2228">
        <v>-2417556</v>
      </c>
      <c r="G19" s="2228"/>
      <c r="H19" s="2228"/>
      <c r="I19" s="2228"/>
      <c r="J19" s="2228"/>
      <c r="K19" s="2228"/>
      <c r="L19" s="2228"/>
      <c r="M19" s="2228"/>
      <c r="N19" s="2520">
        <f t="shared" si="0"/>
        <v>-2417556</v>
      </c>
      <c r="O19" s="2520">
        <f>+N19+'intnemváltoztató-előterj2.mell '!W19</f>
        <v>-832037</v>
      </c>
      <c r="P19" s="3019">
        <f>+O19-'27. mell. KHEK'!AG37</f>
        <v>0</v>
      </c>
    </row>
    <row r="20" spans="1:16">
      <c r="A20" s="2519" t="s">
        <v>314</v>
      </c>
      <c r="B20" s="2228" t="s">
        <v>3665</v>
      </c>
      <c r="C20" s="2228"/>
      <c r="D20" s="2228"/>
      <c r="E20" s="2228"/>
      <c r="F20" s="2228">
        <v>-188723496</v>
      </c>
      <c r="G20" s="2228"/>
      <c r="H20" s="2228"/>
      <c r="I20" s="2228"/>
      <c r="J20" s="2228"/>
      <c r="K20" s="2228"/>
      <c r="L20" s="2228"/>
      <c r="M20" s="2228"/>
      <c r="N20" s="2520">
        <f t="shared" si="0"/>
        <v>-188723496</v>
      </c>
      <c r="O20" s="2520">
        <f>+N20+'intnemváltoztató-előterj2.mell '!W20</f>
        <v>-156320491</v>
      </c>
      <c r="P20" s="3019">
        <f>+O20-'28. mell. KIO'!AG37</f>
        <v>0</v>
      </c>
    </row>
    <row r="21" spans="1:16" s="18" customFormat="1">
      <c r="A21" s="2519" t="s">
        <v>402</v>
      </c>
      <c r="B21" s="1231" t="s">
        <v>1266</v>
      </c>
      <c r="C21" s="2523">
        <f>SUM(C3:C20)</f>
        <v>0</v>
      </c>
      <c r="D21" s="2523">
        <f t="shared" ref="D21:N21" si="1">SUM(D3:D20)</f>
        <v>0</v>
      </c>
      <c r="E21" s="2523">
        <f t="shared" si="1"/>
        <v>0</v>
      </c>
      <c r="F21" s="2523">
        <f t="shared" si="1"/>
        <v>98464582</v>
      </c>
      <c r="G21" s="2523">
        <f t="shared" si="1"/>
        <v>88443708</v>
      </c>
      <c r="H21" s="2523">
        <f t="shared" si="1"/>
        <v>0</v>
      </c>
      <c r="I21" s="2523">
        <f t="shared" si="1"/>
        <v>0</v>
      </c>
      <c r="J21" s="2523">
        <f t="shared" si="1"/>
        <v>0</v>
      </c>
      <c r="K21" s="2523">
        <f t="shared" si="1"/>
        <v>0</v>
      </c>
      <c r="L21" s="2523">
        <f t="shared" si="1"/>
        <v>-139949</v>
      </c>
      <c r="M21" s="2523">
        <f t="shared" si="1"/>
        <v>0</v>
      </c>
      <c r="N21" s="2523">
        <f t="shared" si="1"/>
        <v>186768341</v>
      </c>
      <c r="O21" s="2523">
        <f>SUM(O3:O20)</f>
        <v>281990282</v>
      </c>
      <c r="P21" s="1017">
        <f>+O21-'8. mell. Intézmények összesen'!AG37</f>
        <v>0</v>
      </c>
    </row>
    <row r="22" spans="1:16" s="18" customFormat="1" ht="19.5" hidden="1" thickBot="1">
      <c r="A22" s="2511"/>
      <c r="B22" s="2512"/>
      <c r="C22" s="2513"/>
      <c r="D22" s="2513"/>
      <c r="E22" s="2513"/>
      <c r="F22" s="2513"/>
      <c r="G22" s="2513"/>
      <c r="H22" s="2513"/>
      <c r="I22" s="2513"/>
      <c r="J22" s="2513"/>
      <c r="K22" s="2513"/>
      <c r="L22" s="2513"/>
      <c r="M22" s="2513"/>
      <c r="N22" s="2513"/>
      <c r="O22" s="2514"/>
      <c r="P22" s="1017"/>
    </row>
    <row r="23" spans="1:16" ht="24" customHeight="1">
      <c r="B23" s="294"/>
      <c r="E23" s="295"/>
      <c r="F23" s="295"/>
      <c r="M23" s="293"/>
      <c r="N23" s="294" t="s">
        <v>1183</v>
      </c>
      <c r="O23" s="295">
        <f>+'8. mell. Intézmények összesen'!AG37</f>
        <v>281990282</v>
      </c>
    </row>
    <row r="24" spans="1:16">
      <c r="N24" s="294" t="s">
        <v>3674</v>
      </c>
      <c r="O24" s="295">
        <f>+O21-N21</f>
        <v>95221941</v>
      </c>
    </row>
    <row r="29" spans="1:16" ht="76.5" customHeight="1">
      <c r="B29" s="1789" t="s">
        <v>3173</v>
      </c>
    </row>
  </sheetData>
  <sheetProtection selectLockedCells="1" selectUnlockedCells="1"/>
  <printOptions horizontalCentered="1"/>
  <pageMargins left="0.15748031496062992" right="0.11811023622047245" top="0.98425196850393704" bottom="0.98425196850393704" header="0.31496062992125984" footer="0.51181102362204722"/>
  <pageSetup paperSize="9" scale="77" firstPageNumber="0" orientation="landscape" horizontalDpi="300" verticalDpi="300" r:id="rId1"/>
  <headerFooter alignWithMargins="0">
    <oddHeader>&amp;C&amp;"Arial CE,Félkövér"&amp;14 Intézmények 
Önkormányzat költségvetésének bevételi és kiadási főösszegét érintő változások&amp;R&amp;"Arial CE,Félkövér"&amp;20Előterjesztés 1. melléklete</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399AC-98F3-4880-B6C5-B2A5889CC795}">
  <sheetPr>
    <pageSetUpPr fitToPage="1"/>
  </sheetPr>
  <dimension ref="A1:DD34"/>
  <sheetViews>
    <sheetView view="pageBreakPreview" zoomScale="80" zoomScaleNormal="75" zoomScaleSheetLayoutView="80" workbookViewId="0">
      <pane xSplit="2" ySplit="2" topLeftCell="M3" activePane="bottomRight" state="frozen"/>
      <selection sqref="A1:Q1"/>
      <selection pane="topRight" sqref="A1:Q1"/>
      <selection pane="bottomLeft" sqref="A1:Q1"/>
      <selection pane="bottomRight" activeCell="T9" sqref="T9"/>
    </sheetView>
  </sheetViews>
  <sheetFormatPr defaultRowHeight="12.75"/>
  <cols>
    <col min="1" max="1" width="9.140625" style="2073" customWidth="1"/>
    <col min="2" max="2" width="63.28515625" style="2073" customWidth="1"/>
    <col min="3" max="3" width="18" style="2073" customWidth="1"/>
    <col min="4" max="4" width="19" style="2073" customWidth="1"/>
    <col min="5" max="5" width="22.140625" style="2073" customWidth="1"/>
    <col min="6" max="6" width="20.28515625" style="2073" hidden="1" customWidth="1"/>
    <col min="7" max="7" width="20.28515625" style="2073" customWidth="1"/>
    <col min="8" max="9" width="20.28515625" style="2073" hidden="1" customWidth="1"/>
    <col min="10" max="10" width="18.5703125" style="2073" hidden="1" customWidth="1"/>
    <col min="11" max="11" width="20.42578125" style="2073" hidden="1" customWidth="1"/>
    <col min="12" max="12" width="18.5703125" style="2073" customWidth="1"/>
    <col min="13" max="13" width="21.28515625" style="2073" customWidth="1"/>
    <col min="14" max="14" width="18.85546875" style="2073" hidden="1" customWidth="1"/>
    <col min="15" max="15" width="21.7109375" style="2073" hidden="1" customWidth="1"/>
    <col min="16" max="16" width="23.85546875" style="2073" hidden="1" customWidth="1"/>
    <col min="17" max="17" width="22" style="2073" hidden="1" customWidth="1"/>
    <col min="18" max="18" width="16.85546875" style="2073" customWidth="1"/>
    <col min="19" max="19" width="16.85546875" style="2073" hidden="1" customWidth="1"/>
    <col min="20" max="20" width="22.85546875" style="2073" customWidth="1"/>
    <col min="21" max="21" width="21.42578125" style="2073" customWidth="1"/>
    <col min="22" max="22" width="24.42578125" style="2073" hidden="1" customWidth="1"/>
    <col min="23" max="23" width="21.28515625" style="2073" customWidth="1"/>
    <col min="24" max="24" width="12.140625" style="2073" customWidth="1"/>
    <col min="25" max="25" width="9.140625" style="2073"/>
    <col min="26" max="26" width="52" style="2073" customWidth="1"/>
    <col min="27" max="16384" width="9.140625" style="2073"/>
  </cols>
  <sheetData>
    <row r="1" spans="1:108" ht="42.75" customHeight="1">
      <c r="A1" s="2071"/>
      <c r="B1" s="2072"/>
      <c r="C1" s="2072"/>
      <c r="D1" s="2072"/>
      <c r="E1" s="2072"/>
      <c r="F1" s="2072"/>
      <c r="G1" s="2072"/>
      <c r="H1" s="2072"/>
      <c r="I1" s="2072"/>
      <c r="J1" s="2072"/>
      <c r="K1" s="2072"/>
      <c r="L1" s="2072"/>
      <c r="M1" s="2072"/>
      <c r="N1" s="2072"/>
      <c r="O1" s="2072"/>
      <c r="P1" s="2072"/>
      <c r="Q1" s="2072"/>
      <c r="R1" s="2072"/>
      <c r="S1" s="2072"/>
      <c r="T1" s="2072"/>
      <c r="U1" s="2072"/>
      <c r="V1" s="2072"/>
      <c r="W1" s="1591" t="s">
        <v>3354</v>
      </c>
    </row>
    <row r="2" spans="1:108" ht="193.5" customHeight="1">
      <c r="A2" s="2074" t="s">
        <v>502</v>
      </c>
      <c r="B2" s="2075" t="s">
        <v>1259</v>
      </c>
      <c r="C2" s="1598" t="s">
        <v>3868</v>
      </c>
      <c r="D2" s="1598" t="s">
        <v>3857</v>
      </c>
      <c r="E2" s="1598" t="s">
        <v>3856</v>
      </c>
      <c r="F2" s="1598" t="s">
        <v>3901</v>
      </c>
      <c r="G2" s="1598" t="s">
        <v>3978</v>
      </c>
      <c r="H2" s="1598"/>
      <c r="I2" s="1598"/>
      <c r="J2" s="1598" t="s">
        <v>3879</v>
      </c>
      <c r="K2" s="1598" t="s">
        <v>3858</v>
      </c>
      <c r="L2" s="1598" t="s">
        <v>3949</v>
      </c>
      <c r="M2" s="1598" t="s">
        <v>3859</v>
      </c>
      <c r="N2" s="1598" t="s">
        <v>3860</v>
      </c>
      <c r="O2" s="1598" t="s">
        <v>3861</v>
      </c>
      <c r="P2" s="1598" t="s">
        <v>3862</v>
      </c>
      <c r="Q2" s="1598" t="s">
        <v>3869</v>
      </c>
      <c r="R2" s="1598" t="s">
        <v>3863</v>
      </c>
      <c r="S2" s="26" t="s">
        <v>3659</v>
      </c>
      <c r="T2" s="1598" t="s">
        <v>3888</v>
      </c>
      <c r="U2" s="1598" t="s">
        <v>3860</v>
      </c>
      <c r="V2" s="1598" t="s">
        <v>3889</v>
      </c>
      <c r="W2" s="2076" t="s">
        <v>1267</v>
      </c>
      <c r="X2" s="2077"/>
      <c r="Y2" s="2077"/>
      <c r="Z2" s="2077"/>
      <c r="AA2" s="2077"/>
      <c r="AB2" s="2077"/>
      <c r="AC2" s="2077"/>
      <c r="AD2" s="2077"/>
      <c r="AE2" s="2077"/>
      <c r="AF2" s="2077"/>
      <c r="AG2" s="2077"/>
      <c r="AH2" s="2077"/>
      <c r="AI2" s="2077"/>
      <c r="AJ2" s="2077"/>
      <c r="AK2" s="2077"/>
      <c r="AL2" s="2077"/>
      <c r="AM2" s="2077"/>
      <c r="AN2" s="2077"/>
      <c r="AO2" s="2077"/>
      <c r="AP2" s="2077"/>
      <c r="AQ2" s="2077"/>
      <c r="AR2" s="2077"/>
      <c r="AS2" s="2077"/>
      <c r="AT2" s="2077"/>
      <c r="AU2" s="2077"/>
      <c r="AV2" s="2077"/>
      <c r="AW2" s="2077"/>
      <c r="AX2" s="2077"/>
      <c r="AY2" s="2077"/>
      <c r="AZ2" s="2077"/>
      <c r="BA2" s="2077"/>
      <c r="BB2" s="2077"/>
      <c r="BC2" s="2077"/>
      <c r="BD2" s="2077"/>
      <c r="BE2" s="2077"/>
      <c r="BF2" s="2077"/>
      <c r="BG2" s="2077"/>
      <c r="BH2" s="2077"/>
      <c r="BI2" s="2077"/>
      <c r="BJ2" s="2077"/>
      <c r="BK2" s="2077"/>
      <c r="BL2" s="2077"/>
      <c r="BM2" s="2077"/>
      <c r="BN2" s="2077"/>
      <c r="BO2" s="2077"/>
      <c r="BP2" s="2077"/>
      <c r="BQ2" s="2077"/>
      <c r="BR2" s="2077"/>
      <c r="BS2" s="2077"/>
      <c r="BT2" s="2077"/>
      <c r="BU2" s="2077"/>
      <c r="BV2" s="2077"/>
      <c r="BW2" s="2077"/>
      <c r="BX2" s="2077"/>
      <c r="BY2" s="2077"/>
      <c r="BZ2" s="2077"/>
      <c r="CA2" s="2077"/>
      <c r="CB2" s="2077"/>
      <c r="CC2" s="2077"/>
      <c r="CD2" s="2077"/>
      <c r="CE2" s="2077"/>
      <c r="CF2" s="2077"/>
      <c r="CG2" s="2077"/>
      <c r="CH2" s="2077"/>
      <c r="CI2" s="2077"/>
      <c r="CJ2" s="2077"/>
      <c r="CK2" s="2077"/>
      <c r="CL2" s="2077"/>
      <c r="CM2" s="2077"/>
      <c r="CN2" s="2077"/>
      <c r="CO2" s="2077"/>
      <c r="CP2" s="2077"/>
      <c r="CQ2" s="2077"/>
      <c r="CR2" s="2077"/>
      <c r="CS2" s="2077"/>
      <c r="CT2" s="2077"/>
      <c r="CU2" s="2077"/>
      <c r="CV2" s="2077"/>
      <c r="CW2" s="2077"/>
      <c r="CX2" s="2077"/>
      <c r="CY2" s="2077"/>
      <c r="CZ2" s="2077"/>
      <c r="DA2" s="2077"/>
      <c r="DB2" s="2077"/>
      <c r="DC2" s="2077"/>
      <c r="DD2" s="2077"/>
    </row>
    <row r="3" spans="1:108" ht="18.75">
      <c r="A3" s="2078" t="s">
        <v>6</v>
      </c>
      <c r="B3" s="2079" t="s">
        <v>7</v>
      </c>
      <c r="C3" s="1587"/>
      <c r="D3" s="1587"/>
      <c r="E3" s="1587"/>
      <c r="F3" s="1587"/>
      <c r="G3" s="1587"/>
      <c r="H3" s="1587"/>
      <c r="I3" s="1587"/>
      <c r="J3" s="1587"/>
      <c r="K3" s="1587"/>
      <c r="L3" s="1587">
        <f>1000000</f>
        <v>1000000</v>
      </c>
      <c r="M3" s="2080">
        <f>2000000+3500000+2600000+4320000</f>
        <v>12420000</v>
      </c>
      <c r="N3" s="1587"/>
      <c r="O3" s="1587"/>
      <c r="P3" s="1587"/>
      <c r="Q3" s="1587"/>
      <c r="R3" s="1587"/>
      <c r="S3" s="1587"/>
      <c r="T3" s="1587"/>
      <c r="U3" s="1587"/>
      <c r="V3" s="1587"/>
      <c r="W3" s="2081">
        <f t="shared" ref="W3:W20" si="0">SUM(C3:V3)</f>
        <v>13420000</v>
      </c>
      <c r="X3" s="2082"/>
    </row>
    <row r="4" spans="1:108" ht="18.75">
      <c r="A4" s="2078" t="s">
        <v>12</v>
      </c>
      <c r="B4" s="2079" t="s">
        <v>13</v>
      </c>
      <c r="C4" s="1587"/>
      <c r="D4" s="1587"/>
      <c r="E4" s="1587">
        <v>282500</v>
      </c>
      <c r="F4" s="1587"/>
      <c r="G4" s="1587"/>
      <c r="H4" s="1587"/>
      <c r="I4" s="1587"/>
      <c r="J4" s="1587"/>
      <c r="K4" s="1587"/>
      <c r="L4" s="1587"/>
      <c r="M4" s="2080"/>
      <c r="N4" s="1587"/>
      <c r="O4" s="1587"/>
      <c r="P4" s="1587"/>
      <c r="Q4" s="1587"/>
      <c r="R4" s="1587">
        <f>300000*3+1152715+312080</f>
        <v>2364795</v>
      </c>
      <c r="S4" s="1587"/>
      <c r="T4" s="1587">
        <f>300000*1-71586015</f>
        <v>-71286015</v>
      </c>
      <c r="U4" s="1587"/>
      <c r="V4" s="1587"/>
      <c r="W4" s="2081">
        <f t="shared" si="0"/>
        <v>-68638720</v>
      </c>
      <c r="X4" s="2082"/>
    </row>
    <row r="5" spans="1:108" ht="37.5">
      <c r="A5" s="2078" t="s">
        <v>14</v>
      </c>
      <c r="B5" s="2079" t="s">
        <v>1265</v>
      </c>
      <c r="C5" s="1587"/>
      <c r="D5" s="1587"/>
      <c r="E5" s="1587">
        <v>169500</v>
      </c>
      <c r="F5" s="1587"/>
      <c r="G5" s="1587"/>
      <c r="H5" s="1587"/>
      <c r="I5" s="1587"/>
      <c r="J5" s="1587"/>
      <c r="K5" s="1587"/>
      <c r="L5" s="1587"/>
      <c r="M5" s="2080">
        <v>952598</v>
      </c>
      <c r="N5" s="1587"/>
      <c r="O5" s="1587"/>
      <c r="P5" s="1587"/>
      <c r="Q5" s="1587"/>
      <c r="R5" s="3001"/>
      <c r="S5" s="1587"/>
      <c r="T5" s="1587"/>
      <c r="U5" s="1587"/>
      <c r="V5" s="1587"/>
      <c r="W5" s="2081">
        <f t="shared" si="0"/>
        <v>1122098</v>
      </c>
      <c r="X5" s="2082"/>
    </row>
    <row r="6" spans="1:108" ht="18.75">
      <c r="A6" s="2078" t="s">
        <v>15</v>
      </c>
      <c r="B6" s="2079" t="s">
        <v>16</v>
      </c>
      <c r="C6" s="1587"/>
      <c r="D6" s="1587"/>
      <c r="E6" s="1587">
        <v>210000</v>
      </c>
      <c r="F6" s="1587"/>
      <c r="G6" s="1587"/>
      <c r="H6" s="1587"/>
      <c r="I6" s="1587"/>
      <c r="J6" s="1587"/>
      <c r="K6" s="1587"/>
      <c r="L6" s="1587"/>
      <c r="M6" s="2080">
        <v>7120540</v>
      </c>
      <c r="N6" s="1587"/>
      <c r="O6" s="1587"/>
      <c r="P6" s="1587"/>
      <c r="Q6" s="1587"/>
      <c r="R6" s="1587"/>
      <c r="S6" s="1587"/>
      <c r="T6" s="1587"/>
      <c r="U6" s="1587"/>
      <c r="V6" s="1587"/>
      <c r="W6" s="2081">
        <f t="shared" si="0"/>
        <v>7330540</v>
      </c>
      <c r="X6" s="2082"/>
    </row>
    <row r="7" spans="1:108" ht="18.75">
      <c r="A7" s="2078" t="s">
        <v>17</v>
      </c>
      <c r="B7" s="2079" t="s">
        <v>18</v>
      </c>
      <c r="C7" s="1587"/>
      <c r="D7" s="1587">
        <f>165100+2441550</f>
        <v>2606650</v>
      </c>
      <c r="E7" s="1587">
        <v>237300</v>
      </c>
      <c r="F7" s="1587"/>
      <c r="G7" s="1587"/>
      <c r="H7" s="1587"/>
      <c r="I7" s="1587"/>
      <c r="J7" s="1587"/>
      <c r="K7" s="1587"/>
      <c r="L7" s="1587"/>
      <c r="M7" s="2080">
        <v>12867121</v>
      </c>
      <c r="N7" s="1587"/>
      <c r="O7" s="1587"/>
      <c r="P7" s="1587"/>
      <c r="Q7" s="1587"/>
      <c r="R7" s="1587"/>
      <c r="S7" s="1587"/>
      <c r="T7" s="1587"/>
      <c r="U7" s="1587"/>
      <c r="V7" s="2080"/>
      <c r="W7" s="2081">
        <f t="shared" si="0"/>
        <v>15711071</v>
      </c>
      <c r="X7" s="2082"/>
    </row>
    <row r="8" spans="1:108" ht="18.75">
      <c r="A8" s="2078" t="s">
        <v>19</v>
      </c>
      <c r="B8" s="2079" t="s">
        <v>20</v>
      </c>
      <c r="C8" s="1587"/>
      <c r="D8" s="1587">
        <f>275230</f>
        <v>275230</v>
      </c>
      <c r="E8" s="1587">
        <v>237300</v>
      </c>
      <c r="F8" s="1587"/>
      <c r="G8" s="1587"/>
      <c r="H8" s="1587"/>
      <c r="I8" s="1587"/>
      <c r="J8" s="1587"/>
      <c r="K8" s="1587"/>
      <c r="L8" s="1587"/>
      <c r="M8" s="2080"/>
      <c r="N8" s="1587"/>
      <c r="O8" s="1587"/>
      <c r="P8" s="1587"/>
      <c r="Q8" s="1587"/>
      <c r="R8" s="1587"/>
      <c r="S8" s="1587"/>
      <c r="T8" s="1587"/>
      <c r="U8" s="1587"/>
      <c r="V8" s="1587"/>
      <c r="W8" s="2081">
        <f t="shared" si="0"/>
        <v>512530</v>
      </c>
      <c r="X8" s="2082"/>
    </row>
    <row r="9" spans="1:108" ht="18.75">
      <c r="A9" s="2078" t="s">
        <v>21</v>
      </c>
      <c r="B9" s="2079" t="s">
        <v>22</v>
      </c>
      <c r="C9" s="1587"/>
      <c r="D9" s="1587">
        <f>75057+98108+154254</f>
        <v>327419</v>
      </c>
      <c r="E9" s="1587">
        <v>237300</v>
      </c>
      <c r="F9" s="1587"/>
      <c r="G9" s="1587"/>
      <c r="H9" s="1587"/>
      <c r="I9" s="1587"/>
      <c r="J9" s="1587"/>
      <c r="K9" s="1587"/>
      <c r="L9" s="1587"/>
      <c r="M9" s="2080">
        <v>5596085</v>
      </c>
      <c r="N9" s="1587"/>
      <c r="O9" s="1587"/>
      <c r="P9" s="1587"/>
      <c r="Q9" s="1587"/>
      <c r="R9" s="1587"/>
      <c r="S9" s="1587"/>
      <c r="T9" s="1587">
        <f>2643522</f>
        <v>2643522</v>
      </c>
      <c r="U9" s="1587"/>
      <c r="V9" s="1587"/>
      <c r="W9" s="2081">
        <f t="shared" si="0"/>
        <v>8804326</v>
      </c>
      <c r="X9" s="2082"/>
    </row>
    <row r="10" spans="1:108" ht="18.75">
      <c r="A10" s="2078" t="s">
        <v>23</v>
      </c>
      <c r="B10" s="2079" t="s">
        <v>24</v>
      </c>
      <c r="C10" s="1587"/>
      <c r="D10" s="1587">
        <f>1241171</f>
        <v>1241171</v>
      </c>
      <c r="E10" s="1587">
        <v>237300</v>
      </c>
      <c r="F10" s="1587"/>
      <c r="G10" s="1587"/>
      <c r="H10" s="1587"/>
      <c r="I10" s="1587"/>
      <c r="J10" s="1587"/>
      <c r="K10" s="1587"/>
      <c r="L10" s="1587"/>
      <c r="M10" s="2080">
        <v>2904649</v>
      </c>
      <c r="N10" s="1587"/>
      <c r="O10" s="1587"/>
      <c r="P10" s="1587"/>
      <c r="Q10" s="1587"/>
      <c r="R10" s="1587"/>
      <c r="S10" s="1587"/>
      <c r="T10" s="1587"/>
      <c r="U10" s="1587"/>
      <c r="V10" s="1587"/>
      <c r="W10" s="2081">
        <f t="shared" si="0"/>
        <v>4383120</v>
      </c>
      <c r="X10" s="2082"/>
    </row>
    <row r="11" spans="1:108" ht="18.75">
      <c r="A11" s="2078" t="s">
        <v>25</v>
      </c>
      <c r="B11" s="2079" t="s">
        <v>26</v>
      </c>
      <c r="C11" s="1587"/>
      <c r="D11" s="1587"/>
      <c r="E11" s="1587">
        <v>210000</v>
      </c>
      <c r="F11" s="1587"/>
      <c r="G11" s="1587"/>
      <c r="H11" s="1587"/>
      <c r="I11" s="1587"/>
      <c r="J11" s="1587"/>
      <c r="K11" s="1587"/>
      <c r="L11" s="1587"/>
      <c r="M11" s="2080">
        <v>14633462</v>
      </c>
      <c r="N11" s="1587"/>
      <c r="O11" s="1587"/>
      <c r="P11" s="1587"/>
      <c r="Q11" s="1587"/>
      <c r="R11" s="1587"/>
      <c r="S11" s="1587"/>
      <c r="T11" s="1587"/>
      <c r="U11" s="1587"/>
      <c r="V11" s="1587"/>
      <c r="W11" s="2081">
        <f t="shared" si="0"/>
        <v>14843462</v>
      </c>
      <c r="X11" s="2082"/>
    </row>
    <row r="12" spans="1:108" ht="18.75">
      <c r="A12" s="2078" t="s">
        <v>27</v>
      </c>
      <c r="B12" s="2079" t="s">
        <v>28</v>
      </c>
      <c r="C12" s="1587"/>
      <c r="D12" s="1587"/>
      <c r="E12" s="1587">
        <v>237300</v>
      </c>
      <c r="F12" s="1587"/>
      <c r="G12" s="1587"/>
      <c r="H12" s="1587"/>
      <c r="I12" s="1587"/>
      <c r="J12" s="1587"/>
      <c r="K12" s="1587"/>
      <c r="L12" s="1587"/>
      <c r="M12" s="2080"/>
      <c r="N12" s="1587"/>
      <c r="O12" s="1587"/>
      <c r="P12" s="1587"/>
      <c r="Q12" s="1587"/>
      <c r="R12" s="1587"/>
      <c r="S12" s="1587"/>
      <c r="T12" s="1587"/>
      <c r="U12" s="1587">
        <f>708555</f>
        <v>708555</v>
      </c>
      <c r="V12" s="1587"/>
      <c r="W12" s="2081">
        <f t="shared" si="0"/>
        <v>945855</v>
      </c>
      <c r="X12" s="2082"/>
    </row>
    <row r="13" spans="1:108" ht="18.75">
      <c r="A13" s="2078" t="s">
        <v>29</v>
      </c>
      <c r="B13" s="2079" t="s">
        <v>30</v>
      </c>
      <c r="C13" s="1587"/>
      <c r="D13" s="1587"/>
      <c r="E13" s="1587">
        <v>237300</v>
      </c>
      <c r="F13" s="1587"/>
      <c r="G13" s="1587"/>
      <c r="H13" s="1587"/>
      <c r="I13" s="1587"/>
      <c r="J13" s="1587"/>
      <c r="K13" s="1587"/>
      <c r="L13" s="1587"/>
      <c r="M13" s="2080"/>
      <c r="N13" s="1587"/>
      <c r="O13" s="1587"/>
      <c r="P13" s="1587"/>
      <c r="Q13" s="1587"/>
      <c r="R13" s="1587"/>
      <c r="S13" s="1587"/>
      <c r="T13" s="1587"/>
      <c r="U13" s="1587"/>
      <c r="V13" s="1587"/>
      <c r="W13" s="2081">
        <f t="shared" si="0"/>
        <v>237300</v>
      </c>
      <c r="X13" s="2082"/>
    </row>
    <row r="14" spans="1:108" ht="18.75">
      <c r="A14" s="2078" t="s">
        <v>31</v>
      </c>
      <c r="B14" s="2079" t="s">
        <v>32</v>
      </c>
      <c r="C14" s="1587"/>
      <c r="D14" s="1587"/>
      <c r="E14" s="1587">
        <v>271200</v>
      </c>
      <c r="F14" s="1587"/>
      <c r="G14" s="1587"/>
      <c r="H14" s="1587"/>
      <c r="I14" s="1587"/>
      <c r="J14" s="1587"/>
      <c r="K14" s="1587"/>
      <c r="L14" s="1587"/>
      <c r="M14" s="2080"/>
      <c r="N14" s="1587"/>
      <c r="O14" s="1587"/>
      <c r="P14" s="1587"/>
      <c r="Q14" s="1587"/>
      <c r="R14" s="1587"/>
      <c r="S14" s="1587"/>
      <c r="T14" s="1587"/>
      <c r="U14" s="1587"/>
      <c r="V14" s="1587"/>
      <c r="W14" s="2081">
        <f t="shared" si="0"/>
        <v>271200</v>
      </c>
      <c r="X14" s="2082"/>
    </row>
    <row r="15" spans="1:108" ht="18.75">
      <c r="A15" s="2078" t="s">
        <v>33</v>
      </c>
      <c r="B15" s="2079" t="s">
        <v>34</v>
      </c>
      <c r="C15" s="1587">
        <v>293800</v>
      </c>
      <c r="D15" s="1587"/>
      <c r="E15" s="1587">
        <v>237300</v>
      </c>
      <c r="F15" s="1587"/>
      <c r="G15" s="1587">
        <f>2096650</f>
        <v>2096650</v>
      </c>
      <c r="H15" s="1587"/>
      <c r="I15" s="1587"/>
      <c r="J15" s="1587"/>
      <c r="K15" s="1587"/>
      <c r="L15" s="1587"/>
      <c r="M15" s="2080"/>
      <c r="N15" s="1587"/>
      <c r="O15" s="1587"/>
      <c r="P15" s="1587"/>
      <c r="Q15" s="1587"/>
      <c r="R15" s="1587"/>
      <c r="S15" s="1587"/>
      <c r="T15" s="1587">
        <f>813261</f>
        <v>813261</v>
      </c>
      <c r="U15" s="1587"/>
      <c r="V15" s="1587"/>
      <c r="W15" s="2081">
        <f t="shared" si="0"/>
        <v>3441011</v>
      </c>
      <c r="X15" s="2082"/>
    </row>
    <row r="16" spans="1:108" ht="18.75">
      <c r="A16" s="2078" t="s">
        <v>35</v>
      </c>
      <c r="B16" s="2079" t="s">
        <v>36</v>
      </c>
      <c r="C16" s="1587"/>
      <c r="D16" s="1587"/>
      <c r="E16" s="1587">
        <v>169500</v>
      </c>
      <c r="F16" s="1587"/>
      <c r="G16" s="1587"/>
      <c r="H16" s="1587"/>
      <c r="I16" s="1587"/>
      <c r="J16" s="1587"/>
      <c r="K16" s="1587"/>
      <c r="L16" s="1587"/>
      <c r="M16" s="2080"/>
      <c r="N16" s="1587"/>
      <c r="O16" s="1587"/>
      <c r="P16" s="1587"/>
      <c r="Q16" s="1587"/>
      <c r="R16" s="1587"/>
      <c r="S16" s="1587"/>
      <c r="T16" s="1587"/>
      <c r="U16" s="1587"/>
      <c r="V16" s="1587"/>
      <c r="W16" s="2081">
        <f t="shared" si="0"/>
        <v>169500</v>
      </c>
      <c r="X16" s="2082"/>
    </row>
    <row r="17" spans="1:26" ht="18.75">
      <c r="A17" s="2078" t="s">
        <v>37</v>
      </c>
      <c r="B17" s="2079" t="s">
        <v>38</v>
      </c>
      <c r="C17" s="1587"/>
      <c r="D17" s="1587"/>
      <c r="E17" s="1587">
        <v>384200</v>
      </c>
      <c r="F17" s="1587"/>
      <c r="G17" s="1587"/>
      <c r="H17" s="1587"/>
      <c r="I17" s="1587"/>
      <c r="J17" s="1587"/>
      <c r="K17" s="1587"/>
      <c r="L17" s="1587"/>
      <c r="M17" s="2080">
        <v>44184445</v>
      </c>
      <c r="N17" s="1587"/>
      <c r="O17" s="1587"/>
      <c r="P17" s="1587"/>
      <c r="Q17" s="1587"/>
      <c r="R17" s="1587"/>
      <c r="S17" s="1587"/>
      <c r="T17" s="1587"/>
      <c r="U17" s="1587"/>
      <c r="V17" s="1587"/>
      <c r="W17" s="2081">
        <f t="shared" si="0"/>
        <v>44568645</v>
      </c>
      <c r="X17" s="2082"/>
    </row>
    <row r="18" spans="1:26" ht="18.75">
      <c r="A18" s="2078" t="s">
        <v>39</v>
      </c>
      <c r="B18" s="2079" t="s">
        <v>40</v>
      </c>
      <c r="C18" s="1587"/>
      <c r="D18" s="1587"/>
      <c r="E18" s="1587">
        <v>237300</v>
      </c>
      <c r="F18" s="1587"/>
      <c r="G18" s="1587"/>
      <c r="H18" s="1587"/>
      <c r="I18" s="1587"/>
      <c r="J18" s="1587"/>
      <c r="K18" s="1587"/>
      <c r="L18" s="1587"/>
      <c r="M18" s="2080">
        <v>13874179</v>
      </c>
      <c r="N18" s="1587"/>
      <c r="O18" s="1587"/>
      <c r="P18" s="1587"/>
      <c r="Q18" s="1587"/>
      <c r="R18" s="1587"/>
      <c r="S18" s="1587"/>
      <c r="T18" s="1587"/>
      <c r="U18" s="1587"/>
      <c r="V18" s="1587"/>
      <c r="W18" s="2081">
        <f t="shared" si="0"/>
        <v>14111479</v>
      </c>
      <c r="X18" s="2082"/>
    </row>
    <row r="19" spans="1:26" ht="18.75">
      <c r="A19" s="2078" t="s">
        <v>41</v>
      </c>
      <c r="B19" s="2079" t="s">
        <v>42</v>
      </c>
      <c r="C19" s="1587"/>
      <c r="D19" s="1587"/>
      <c r="E19" s="1587">
        <v>237300</v>
      </c>
      <c r="F19" s="1587"/>
      <c r="G19" s="1587"/>
      <c r="H19" s="1587"/>
      <c r="I19" s="1587"/>
      <c r="J19" s="1587"/>
      <c r="K19" s="1587"/>
      <c r="L19" s="1587"/>
      <c r="M19" s="2080"/>
      <c r="N19" s="1587"/>
      <c r="O19" s="1587"/>
      <c r="P19" s="1587"/>
      <c r="Q19" s="1587"/>
      <c r="R19" s="1587"/>
      <c r="S19" s="1587"/>
      <c r="T19" s="2202">
        <f>1348219</f>
        <v>1348219</v>
      </c>
      <c r="U19" s="1587"/>
      <c r="V19" s="1587"/>
      <c r="W19" s="2081">
        <f t="shared" si="0"/>
        <v>1585519</v>
      </c>
      <c r="X19" s="2082"/>
    </row>
    <row r="20" spans="1:26" ht="18.75">
      <c r="A20" s="2078" t="s">
        <v>314</v>
      </c>
      <c r="B20" s="2201" t="s">
        <v>3666</v>
      </c>
      <c r="C20" s="2202"/>
      <c r="D20" s="2202"/>
      <c r="E20" s="1587">
        <v>237300</v>
      </c>
      <c r="F20" s="2202"/>
      <c r="G20" s="2202"/>
      <c r="H20" s="2202"/>
      <c r="I20" s="2202"/>
      <c r="J20" s="2202"/>
      <c r="K20" s="2202"/>
      <c r="L20" s="2202"/>
      <c r="M20" s="2203">
        <v>19466701</v>
      </c>
      <c r="N20" s="2202"/>
      <c r="O20" s="2202"/>
      <c r="P20" s="2202"/>
      <c r="Q20" s="2202"/>
      <c r="R20" s="2202"/>
      <c r="S20" s="2202"/>
      <c r="T20" s="1587">
        <f>1653540+1045464+10000000</f>
        <v>12699004</v>
      </c>
      <c r="U20" s="2202"/>
      <c r="V20" s="2202"/>
      <c r="W20" s="2081">
        <f t="shared" si="0"/>
        <v>32403005</v>
      </c>
      <c r="X20" s="2082"/>
    </row>
    <row r="21" spans="1:26" s="2087" customFormat="1" ht="19.5" thickBot="1">
      <c r="A21" s="2078" t="s">
        <v>402</v>
      </c>
      <c r="B21" s="2083" t="s">
        <v>1266</v>
      </c>
      <c r="C21" s="2084">
        <f>SUM(C3:C20)</f>
        <v>293800</v>
      </c>
      <c r="D21" s="2084">
        <f t="shared" ref="D21:O21" si="1">SUM(D3:D20)</f>
        <v>4450470</v>
      </c>
      <c r="E21" s="2084">
        <f t="shared" si="1"/>
        <v>4069900</v>
      </c>
      <c r="F21" s="2084">
        <f t="shared" si="1"/>
        <v>0</v>
      </c>
      <c r="G21" s="2084">
        <f t="shared" si="1"/>
        <v>2096650</v>
      </c>
      <c r="H21" s="2084"/>
      <c r="I21" s="2084"/>
      <c r="J21" s="2084">
        <f t="shared" si="1"/>
        <v>0</v>
      </c>
      <c r="K21" s="2084">
        <f t="shared" si="1"/>
        <v>0</v>
      </c>
      <c r="L21" s="2084">
        <f t="shared" si="1"/>
        <v>1000000</v>
      </c>
      <c r="M21" s="2084">
        <f t="shared" si="1"/>
        <v>134019780</v>
      </c>
      <c r="N21" s="2084">
        <f t="shared" si="1"/>
        <v>0</v>
      </c>
      <c r="O21" s="2084">
        <f t="shared" si="1"/>
        <v>0</v>
      </c>
      <c r="P21" s="2084">
        <f t="shared" ref="P21:W21" si="2">SUM(P3:P20)</f>
        <v>0</v>
      </c>
      <c r="Q21" s="2084">
        <f t="shared" si="2"/>
        <v>0</v>
      </c>
      <c r="R21" s="2084">
        <f t="shared" si="2"/>
        <v>2364795</v>
      </c>
      <c r="S21" s="2084">
        <f t="shared" si="2"/>
        <v>0</v>
      </c>
      <c r="T21" s="2084">
        <f t="shared" si="2"/>
        <v>-53782009</v>
      </c>
      <c r="U21" s="2084">
        <f t="shared" si="2"/>
        <v>708555</v>
      </c>
      <c r="V21" s="2084">
        <f t="shared" si="2"/>
        <v>0</v>
      </c>
      <c r="W21" s="2085">
        <f t="shared" si="2"/>
        <v>95221941</v>
      </c>
      <c r="X21" s="2086"/>
      <c r="Z21" s="2073"/>
    </row>
    <row r="22" spans="1:26">
      <c r="F22" s="2088"/>
      <c r="G22" s="2088"/>
      <c r="H22" s="2088"/>
      <c r="I22" s="2088"/>
      <c r="M22" s="2088"/>
      <c r="U22" s="2088"/>
      <c r="W22" s="2088"/>
    </row>
    <row r="23" spans="1:26">
      <c r="M23" s="2088"/>
      <c r="R23" s="2088"/>
      <c r="S23" s="2088"/>
      <c r="U23" s="2088"/>
      <c r="W23" s="2088"/>
    </row>
    <row r="24" spans="1:26">
      <c r="M24" s="2088"/>
      <c r="P24" s="2073" t="s">
        <v>3673</v>
      </c>
      <c r="R24" s="2088"/>
      <c r="S24" s="2088"/>
      <c r="T24" s="2073" t="s">
        <v>3911</v>
      </c>
      <c r="U24" s="2088">
        <f>+U21+L17</f>
        <v>708555</v>
      </c>
      <c r="W24" s="2088"/>
    </row>
    <row r="25" spans="1:26" ht="26.25">
      <c r="B25" s="1191" t="s">
        <v>3173</v>
      </c>
      <c r="M25" s="2088"/>
      <c r="R25" s="2088"/>
      <c r="S25" s="2088"/>
    </row>
    <row r="34" ht="11.25" customHeight="1"/>
  </sheetData>
  <sheetProtection selectLockedCells="1" selectUnlockedCells="1"/>
  <printOptions horizontalCentered="1"/>
  <pageMargins left="0.11811023622047245" right="0.11811023622047245" top="0.70866141732283472" bottom="0.98425196850393704" header="0.31496062992125984" footer="0.51181102362204722"/>
  <pageSetup paperSize="9" scale="53" firstPageNumber="0" orientation="landscape" cellComments="asDisplayed" r:id="rId1"/>
  <headerFooter alignWithMargins="0">
    <oddHeader>&amp;C&amp;"Arial CE,Félkövér"&amp;14 Intézmények
Önkormányzat költségvetésének kiadási főösszegét nem érintő változások&amp;R&amp;"Arial CE,Félkövér"&amp;20Előterjesztés 2. melléklete</oddHeader>
  </headerFooter>
  <rowBreaks count="1" manualBreakCount="1">
    <brk id="16" max="16383" man="1"/>
  </rowBreaks>
  <colBreaks count="1" manualBreakCount="1">
    <brk id="14" max="1048575"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52440-83F6-47A1-9D4E-78348C903A64}">
  <sheetPr>
    <tabColor indexed="10"/>
    <pageSetUpPr fitToPage="1"/>
  </sheetPr>
  <dimension ref="A1:O43"/>
  <sheetViews>
    <sheetView zoomScale="75" zoomScaleNormal="75" zoomScaleSheetLayoutView="75" workbookViewId="0">
      <pane xSplit="1" ySplit="2" topLeftCell="B3" activePane="bottomRight" state="frozen"/>
      <selection sqref="A1:Q1"/>
      <selection pane="topRight" sqref="A1:Q1"/>
      <selection pane="bottomLeft" sqref="A1:Q1"/>
      <selection pane="bottomRight" activeCell="F15" sqref="F15"/>
    </sheetView>
  </sheetViews>
  <sheetFormatPr defaultRowHeight="18.75"/>
  <cols>
    <col min="1" max="1" width="9.140625" style="1" customWidth="1"/>
    <col min="2" max="2" width="56.42578125" style="2" customWidth="1"/>
    <col min="3" max="3" width="37.140625" style="1" customWidth="1"/>
    <col min="4" max="4" width="40.85546875" style="3" customWidth="1"/>
    <col min="5" max="5" width="24" style="3" customWidth="1"/>
    <col min="6" max="6" width="43.140625" style="4" customWidth="1"/>
    <col min="7" max="7" width="10.140625" style="3" customWidth="1"/>
    <col min="8" max="8" width="11.28515625" style="3" customWidth="1"/>
    <col min="9" max="16384" width="9.140625" style="3"/>
  </cols>
  <sheetData>
    <row r="1" spans="1:15" s="2" customFormat="1" ht="32.25" customHeight="1">
      <c r="A1" s="3626" t="s">
        <v>0</v>
      </c>
      <c r="B1" s="3626"/>
      <c r="C1" s="3626"/>
      <c r="D1" s="3626"/>
      <c r="E1" s="3626"/>
      <c r="F1" s="3626"/>
      <c r="G1" s="2206"/>
      <c r="H1" s="2207"/>
      <c r="I1" s="2207"/>
      <c r="J1" s="2207"/>
      <c r="K1" s="2207"/>
      <c r="L1" s="2207"/>
      <c r="M1" s="2207"/>
      <c r="N1" s="2207"/>
      <c r="O1" s="2207"/>
    </row>
    <row r="2" spans="1:15" ht="36">
      <c r="A2" s="2062" t="s">
        <v>1</v>
      </c>
      <c r="B2" s="2062" t="s">
        <v>2</v>
      </c>
      <c r="C2" s="2062" t="s">
        <v>3</v>
      </c>
      <c r="D2" s="2062" t="s">
        <v>4</v>
      </c>
      <c r="E2" s="2062" t="s">
        <v>3500</v>
      </c>
      <c r="F2" s="2062" t="s">
        <v>5</v>
      </c>
      <c r="G2" s="1054"/>
    </row>
    <row r="3" spans="1:15" ht="30.75" customHeight="1">
      <c r="A3" s="3612" t="s">
        <v>6</v>
      </c>
      <c r="B3" s="3613" t="s">
        <v>7</v>
      </c>
      <c r="C3" s="2064" t="s">
        <v>10</v>
      </c>
      <c r="D3" s="2064" t="s">
        <v>9</v>
      </c>
      <c r="E3" s="2524">
        <f>800000</f>
        <v>800000</v>
      </c>
      <c r="F3" s="2065" t="s">
        <v>3965</v>
      </c>
      <c r="G3" s="1054"/>
    </row>
    <row r="4" spans="1:15" hidden="1">
      <c r="A4" s="3612"/>
      <c r="B4" s="3613"/>
      <c r="C4" s="2064"/>
      <c r="D4" s="2064"/>
      <c r="E4" s="2524"/>
      <c r="F4" s="2066"/>
      <c r="G4" s="1054"/>
    </row>
    <row r="5" spans="1:15" s="2" customFormat="1">
      <c r="A5" s="1233" t="s">
        <v>12</v>
      </c>
      <c r="B5" s="1353" t="s">
        <v>13</v>
      </c>
      <c r="C5" s="2067" t="s">
        <v>415</v>
      </c>
      <c r="D5" s="2067" t="s">
        <v>415</v>
      </c>
      <c r="E5" s="2541"/>
      <c r="F5" s="2067"/>
      <c r="G5" s="2206"/>
      <c r="H5" s="2207"/>
      <c r="I5" s="2207"/>
      <c r="J5" s="2207"/>
      <c r="K5" s="2207"/>
      <c r="L5" s="2207"/>
      <c r="M5" s="2207"/>
      <c r="N5" s="2207"/>
      <c r="O5" s="2207"/>
    </row>
    <row r="6" spans="1:15" s="2" customFormat="1" ht="18" hidden="1" customHeight="1">
      <c r="A6" s="2540"/>
      <c r="B6" s="2539"/>
      <c r="C6" s="2067"/>
      <c r="D6" s="2067"/>
      <c r="E6" s="2524"/>
      <c r="F6" s="2066"/>
      <c r="G6" s="2206"/>
      <c r="H6" s="2207"/>
      <c r="I6" s="2207"/>
      <c r="J6" s="2207"/>
      <c r="K6" s="2207"/>
      <c r="L6" s="2207"/>
      <c r="M6" s="2207"/>
      <c r="N6" s="2207"/>
      <c r="O6" s="2207"/>
    </row>
    <row r="7" spans="1:15" s="2" customFormat="1" ht="18" hidden="1" customHeight="1">
      <c r="A7" s="1233"/>
      <c r="B7" s="1353"/>
      <c r="C7" s="2067"/>
      <c r="D7" s="2067"/>
      <c r="E7" s="2524"/>
      <c r="F7" s="2066"/>
      <c r="G7" s="2206"/>
      <c r="H7" s="2207"/>
      <c r="I7" s="2207"/>
      <c r="J7" s="2207"/>
      <c r="K7" s="2207"/>
      <c r="L7" s="2207"/>
      <c r="M7" s="2207"/>
      <c r="N7" s="2207"/>
      <c r="O7" s="2207"/>
    </row>
    <row r="8" spans="1:15" s="2" customFormat="1" ht="36" hidden="1" customHeight="1">
      <c r="A8" s="1233"/>
      <c r="B8" s="1353"/>
      <c r="C8" s="2067"/>
      <c r="D8" s="2067"/>
      <c r="E8" s="2524"/>
      <c r="F8" s="2066"/>
      <c r="G8" s="2206"/>
      <c r="H8" s="2207"/>
      <c r="I8" s="2207"/>
      <c r="J8" s="2207"/>
      <c r="K8" s="2207"/>
      <c r="L8" s="2207"/>
      <c r="M8" s="2207"/>
      <c r="N8" s="2207"/>
      <c r="O8" s="2207"/>
    </row>
    <row r="9" spans="1:15" s="2" customFormat="1" ht="18" hidden="1" customHeight="1">
      <c r="A9" s="1233"/>
      <c r="B9" s="1353"/>
      <c r="C9" s="2067"/>
      <c r="D9" s="2067"/>
      <c r="E9" s="2524"/>
      <c r="F9" s="2066"/>
      <c r="G9" s="2206"/>
      <c r="H9" s="2207"/>
      <c r="I9" s="2207"/>
      <c r="J9" s="2207"/>
      <c r="K9" s="2207"/>
      <c r="L9" s="2207"/>
      <c r="M9" s="2207"/>
      <c r="N9" s="2207"/>
      <c r="O9" s="2207"/>
    </row>
    <row r="10" spans="1:15" s="2" customFormat="1" ht="18" hidden="1" customHeight="1">
      <c r="A10" s="1233"/>
      <c r="B10" s="1353"/>
      <c r="C10" s="2067"/>
      <c r="D10" s="2067"/>
      <c r="E10" s="2524"/>
      <c r="F10" s="2066"/>
      <c r="G10" s="2206"/>
      <c r="H10" s="2207"/>
      <c r="I10" s="2207"/>
      <c r="J10" s="2207"/>
      <c r="K10" s="2207"/>
      <c r="L10" s="2207"/>
      <c r="M10" s="2207"/>
      <c r="N10" s="2207"/>
      <c r="O10" s="2207"/>
    </row>
    <row r="11" spans="1:15" s="2" customFormat="1" ht="36" hidden="1" customHeight="1">
      <c r="A11" s="1233"/>
      <c r="B11" s="1353"/>
      <c r="C11" s="2067"/>
      <c r="D11" s="2067"/>
      <c r="E11" s="2524"/>
      <c r="F11" s="2066"/>
      <c r="G11" s="2206"/>
      <c r="H11" s="2207"/>
      <c r="I11" s="2207"/>
      <c r="J11" s="2207"/>
      <c r="K11" s="2207"/>
      <c r="L11" s="2207"/>
      <c r="M11" s="2207"/>
      <c r="N11" s="2207"/>
      <c r="O11" s="2207"/>
    </row>
    <row r="12" spans="1:15" s="2" customFormat="1" ht="18" hidden="1" customHeight="1">
      <c r="A12" s="1233"/>
      <c r="B12" s="1353"/>
      <c r="C12" s="2067"/>
      <c r="D12" s="2067"/>
      <c r="E12" s="2524"/>
      <c r="F12" s="2066"/>
      <c r="G12" s="2206"/>
      <c r="H12" s="2207"/>
      <c r="I12" s="2207"/>
      <c r="J12" s="2207"/>
      <c r="K12" s="2207"/>
      <c r="L12" s="2207"/>
      <c r="M12" s="2207"/>
      <c r="N12" s="2207"/>
      <c r="O12" s="2207"/>
    </row>
    <row r="13" spans="1:15" s="2" customFormat="1" ht="56.25">
      <c r="A13" s="1233" t="s">
        <v>14</v>
      </c>
      <c r="B13" s="1353" t="str">
        <f>+'int.vált.-előterj1.mell'!B5</f>
        <v>Budapest Főváros XVI. kerületi Önkormányzat Gazdasági, Működtető - Ellátó Szervezet (GAMESZ)</v>
      </c>
      <c r="C13" s="2064" t="s">
        <v>10</v>
      </c>
      <c r="D13" s="2064" t="s">
        <v>11</v>
      </c>
      <c r="E13" s="2524"/>
      <c r="F13" s="2066"/>
      <c r="G13" s="2206"/>
      <c r="H13" s="2207"/>
      <c r="I13" s="2207"/>
      <c r="J13" s="2207"/>
      <c r="K13" s="2207"/>
      <c r="L13" s="2207"/>
      <c r="M13" s="2207"/>
      <c r="N13" s="2207"/>
      <c r="O13" s="2207"/>
    </row>
    <row r="14" spans="1:15" s="2" customFormat="1">
      <c r="A14" s="1233" t="s">
        <v>15</v>
      </c>
      <c r="B14" s="2063" t="s">
        <v>16</v>
      </c>
      <c r="C14" s="2067" t="s">
        <v>415</v>
      </c>
      <c r="D14" s="2067" t="s">
        <v>415</v>
      </c>
      <c r="E14" s="2541"/>
      <c r="F14" s="2067"/>
      <c r="G14" s="2206"/>
      <c r="H14" s="2207"/>
      <c r="I14" s="2207"/>
      <c r="J14" s="2207"/>
      <c r="K14" s="2207"/>
      <c r="L14" s="2207"/>
      <c r="M14" s="2207"/>
      <c r="N14" s="2207"/>
      <c r="O14" s="2207"/>
    </row>
    <row r="15" spans="1:15" s="2" customFormat="1">
      <c r="A15" s="3612" t="s">
        <v>17</v>
      </c>
      <c r="B15" s="3618" t="s">
        <v>18</v>
      </c>
      <c r="C15" s="2067" t="s">
        <v>10</v>
      </c>
      <c r="D15" s="2067" t="s">
        <v>9</v>
      </c>
      <c r="E15" s="2524"/>
      <c r="F15" s="2066"/>
      <c r="G15" s="2206"/>
      <c r="H15" s="2207"/>
      <c r="I15" s="2207"/>
      <c r="J15" s="2207"/>
      <c r="K15" s="2207"/>
      <c r="L15" s="2207"/>
      <c r="M15" s="2207"/>
      <c r="N15" s="2207"/>
      <c r="O15" s="2207"/>
    </row>
    <row r="16" spans="1:15" s="2" customFormat="1" hidden="1">
      <c r="A16" s="3617"/>
      <c r="B16" s="3619"/>
      <c r="C16" s="2067"/>
      <c r="D16" s="2067"/>
      <c r="E16" s="2524"/>
      <c r="F16" s="2066"/>
      <c r="G16" s="2206"/>
      <c r="H16" s="2207"/>
      <c r="I16" s="2207"/>
      <c r="J16" s="2207"/>
      <c r="K16" s="2207"/>
      <c r="L16" s="2207"/>
      <c r="M16" s="2207"/>
      <c r="N16" s="2207"/>
      <c r="O16" s="2207"/>
    </row>
    <row r="17" spans="1:15" s="2" customFormat="1" hidden="1">
      <c r="A17" s="3617"/>
      <c r="B17" s="3619"/>
      <c r="C17" s="2064"/>
      <c r="D17" s="2064"/>
      <c r="E17" s="2524"/>
      <c r="F17" s="2066"/>
      <c r="G17" s="2206"/>
      <c r="H17" s="2207"/>
      <c r="I17" s="2207"/>
      <c r="J17" s="2207"/>
      <c r="K17" s="2207"/>
      <c r="L17" s="2207"/>
      <c r="M17" s="2207"/>
      <c r="N17" s="2207"/>
      <c r="O17" s="2207"/>
    </row>
    <row r="18" spans="1:15" s="2" customFormat="1" hidden="1">
      <c r="A18" s="3617"/>
      <c r="B18" s="3619"/>
      <c r="C18" s="2064"/>
      <c r="D18" s="2064"/>
      <c r="E18" s="2524"/>
      <c r="F18" s="2066"/>
      <c r="G18" s="2206"/>
      <c r="H18" s="2207"/>
      <c r="I18" s="2207"/>
      <c r="J18" s="2207"/>
      <c r="K18" s="2207"/>
      <c r="L18" s="2207"/>
      <c r="M18" s="2207"/>
      <c r="N18" s="2207"/>
      <c r="O18" s="2207"/>
    </row>
    <row r="19" spans="1:15">
      <c r="A19" s="1233" t="s">
        <v>19</v>
      </c>
      <c r="B19" s="2068" t="s">
        <v>20</v>
      </c>
      <c r="C19" s="2064" t="s">
        <v>3900</v>
      </c>
      <c r="D19" s="2064" t="s">
        <v>11</v>
      </c>
      <c r="E19" s="2524"/>
      <c r="F19" s="2066"/>
      <c r="G19" s="2206"/>
    </row>
    <row r="20" spans="1:15">
      <c r="A20" s="3612" t="s">
        <v>21</v>
      </c>
      <c r="B20" s="3618" t="s">
        <v>22</v>
      </c>
      <c r="C20" s="2067" t="s">
        <v>415</v>
      </c>
      <c r="D20" s="2067" t="s">
        <v>415</v>
      </c>
      <c r="E20" s="2541"/>
      <c r="F20" s="2067"/>
      <c r="G20" s="3627"/>
      <c r="H20" s="3628"/>
      <c r="I20" s="3628"/>
      <c r="J20" s="3628"/>
      <c r="K20" s="3628"/>
      <c r="L20" s="3628"/>
      <c r="M20" s="3629"/>
    </row>
    <row r="21" spans="1:15" hidden="1">
      <c r="A21" s="3617"/>
      <c r="B21" s="3619"/>
      <c r="C21" s="1235"/>
      <c r="D21" s="2064"/>
      <c r="E21" s="2524"/>
      <c r="F21" s="2066"/>
      <c r="G21" s="3630"/>
      <c r="H21" s="3631"/>
      <c r="I21" s="3631"/>
      <c r="J21" s="3631"/>
      <c r="K21" s="3631"/>
      <c r="L21" s="3631"/>
      <c r="M21" s="3632"/>
    </row>
    <row r="22" spans="1:15" hidden="1">
      <c r="A22" s="3617"/>
      <c r="B22" s="3619"/>
      <c r="C22" s="2064"/>
      <c r="D22" s="2064"/>
      <c r="E22" s="2524"/>
      <c r="F22" s="2066"/>
      <c r="G22" s="3633"/>
      <c r="H22" s="3634"/>
      <c r="I22" s="3634"/>
      <c r="J22" s="3634"/>
      <c r="K22" s="3634"/>
      <c r="L22" s="3634"/>
      <c r="M22" s="3635"/>
    </row>
    <row r="23" spans="1:15">
      <c r="A23" s="1233" t="s">
        <v>23</v>
      </c>
      <c r="B23" s="2068" t="s">
        <v>24</v>
      </c>
      <c r="C23" s="2067" t="s">
        <v>415</v>
      </c>
      <c r="D23" s="2067" t="s">
        <v>415</v>
      </c>
      <c r="E23" s="2541"/>
      <c r="F23" s="2067"/>
      <c r="G23" s="1054"/>
    </row>
    <row r="24" spans="1:15">
      <c r="A24" s="1233" t="s">
        <v>25</v>
      </c>
      <c r="B24" s="2068" t="s">
        <v>26</v>
      </c>
      <c r="C24" s="2067" t="s">
        <v>415</v>
      </c>
      <c r="D24" s="2067" t="s">
        <v>415</v>
      </c>
      <c r="E24" s="2541"/>
      <c r="F24" s="2067"/>
      <c r="G24" s="2206"/>
    </row>
    <row r="25" spans="1:15">
      <c r="A25" s="1233" t="s">
        <v>27</v>
      </c>
      <c r="B25" s="2068" t="s">
        <v>28</v>
      </c>
      <c r="C25" s="2064" t="s">
        <v>10</v>
      </c>
      <c r="D25" s="2064" t="s">
        <v>11</v>
      </c>
      <c r="E25" s="2524"/>
      <c r="F25" s="2066"/>
      <c r="G25" s="2206"/>
    </row>
    <row r="26" spans="1:15">
      <c r="A26" s="3620" t="s">
        <v>29</v>
      </c>
      <c r="B26" s="3623" t="s">
        <v>30</v>
      </c>
      <c r="C26" s="1235" t="s">
        <v>9</v>
      </c>
      <c r="D26" s="2064" t="s">
        <v>10</v>
      </c>
      <c r="E26" s="2524"/>
      <c r="F26" s="2066"/>
      <c r="G26" s="2206"/>
    </row>
    <row r="27" spans="1:15" ht="37.5">
      <c r="A27" s="3621"/>
      <c r="B27" s="3624"/>
      <c r="C27" s="2064" t="s">
        <v>8</v>
      </c>
      <c r="D27" s="2064" t="s">
        <v>10</v>
      </c>
      <c r="E27" s="2524"/>
      <c r="F27" s="2066"/>
      <c r="G27" s="2206"/>
    </row>
    <row r="28" spans="1:15">
      <c r="A28" s="3622"/>
      <c r="B28" s="3625"/>
      <c r="C28" s="1235" t="s">
        <v>10</v>
      </c>
      <c r="D28" s="2064" t="s">
        <v>11</v>
      </c>
      <c r="E28" s="2524"/>
      <c r="F28" s="2066"/>
      <c r="G28" s="2206"/>
    </row>
    <row r="29" spans="1:15">
      <c r="A29" s="1233" t="s">
        <v>31</v>
      </c>
      <c r="B29" s="2068" t="s">
        <v>32</v>
      </c>
      <c r="C29" s="2067" t="s">
        <v>415</v>
      </c>
      <c r="D29" s="2067" t="s">
        <v>415</v>
      </c>
      <c r="E29" s="2541"/>
      <c r="F29" s="2067"/>
      <c r="G29" s="2206"/>
    </row>
    <row r="30" spans="1:15">
      <c r="A30" s="3612" t="s">
        <v>33</v>
      </c>
      <c r="B30" s="3618" t="s">
        <v>34</v>
      </c>
      <c r="C30" s="2067" t="s">
        <v>415</v>
      </c>
      <c r="D30" s="2067" t="s">
        <v>415</v>
      </c>
      <c r="E30" s="2541"/>
      <c r="F30" s="2067"/>
      <c r="G30" s="2206"/>
    </row>
    <row r="31" spans="1:15" hidden="1">
      <c r="A31" s="3617"/>
      <c r="B31" s="3619"/>
      <c r="C31" s="1235"/>
      <c r="D31" s="2064"/>
      <c r="E31" s="2524"/>
      <c r="F31" s="2066"/>
      <c r="G31" s="2206"/>
    </row>
    <row r="32" spans="1:15">
      <c r="A32" s="1233" t="s">
        <v>35</v>
      </c>
      <c r="B32" s="2063" t="s">
        <v>36</v>
      </c>
      <c r="C32" s="2067" t="s">
        <v>415</v>
      </c>
      <c r="D32" s="2067" t="s">
        <v>415</v>
      </c>
      <c r="E32" s="2541"/>
      <c r="F32" s="2067"/>
      <c r="G32" s="2206"/>
    </row>
    <row r="33" spans="1:13" ht="37.5">
      <c r="A33" s="3612" t="s">
        <v>37</v>
      </c>
      <c r="B33" s="3614" t="s">
        <v>38</v>
      </c>
      <c r="C33" s="1235" t="s">
        <v>9</v>
      </c>
      <c r="D33" s="2064" t="s">
        <v>8</v>
      </c>
      <c r="E33" s="2524"/>
      <c r="F33" s="2066"/>
      <c r="G33" s="3607"/>
      <c r="H33" s="3568"/>
      <c r="I33" s="3568"/>
      <c r="J33" s="3568"/>
      <c r="K33" s="3568"/>
      <c r="L33" s="3568"/>
      <c r="M33" s="3608"/>
    </row>
    <row r="34" spans="1:13" ht="37.5">
      <c r="A34" s="3612"/>
      <c r="B34" s="3615"/>
      <c r="C34" s="1235" t="s">
        <v>10</v>
      </c>
      <c r="D34" s="2064" t="s">
        <v>8</v>
      </c>
      <c r="E34" s="2524"/>
      <c r="F34" s="2066"/>
      <c r="G34" s="3609"/>
      <c r="H34" s="3610"/>
      <c r="I34" s="3610"/>
      <c r="J34" s="3610"/>
      <c r="K34" s="3610"/>
      <c r="L34" s="3610"/>
      <c r="M34" s="3611"/>
    </row>
    <row r="35" spans="1:13">
      <c r="A35" s="3612"/>
      <c r="B35" s="3616"/>
      <c r="C35" s="1235" t="s">
        <v>10</v>
      </c>
      <c r="D35" s="2064" t="s">
        <v>11</v>
      </c>
      <c r="E35" s="2524"/>
      <c r="F35" s="2066"/>
      <c r="G35" s="2206"/>
    </row>
    <row r="36" spans="1:13">
      <c r="A36" s="3612" t="s">
        <v>39</v>
      </c>
      <c r="B36" s="3613" t="s">
        <v>40</v>
      </c>
      <c r="C36" s="2067" t="s">
        <v>415</v>
      </c>
      <c r="D36" s="2067" t="s">
        <v>415</v>
      </c>
      <c r="E36" s="2541"/>
      <c r="F36" s="2067"/>
      <c r="G36" s="2206"/>
    </row>
    <row r="37" spans="1:13" hidden="1">
      <c r="A37" s="3612"/>
      <c r="B37" s="3613"/>
      <c r="C37" s="2064"/>
      <c r="D37" s="1235"/>
      <c r="E37" s="2524"/>
      <c r="F37" s="2066"/>
      <c r="G37" s="2206"/>
    </row>
    <row r="38" spans="1:13">
      <c r="A38" s="3612" t="s">
        <v>41</v>
      </c>
      <c r="B38" s="3613" t="s">
        <v>42</v>
      </c>
      <c r="C38" s="2067" t="s">
        <v>10</v>
      </c>
      <c r="D38" s="2067" t="s">
        <v>9</v>
      </c>
      <c r="E38" s="2524"/>
      <c r="F38" s="2066"/>
      <c r="G38" s="2206"/>
    </row>
    <row r="39" spans="1:13" hidden="1">
      <c r="A39" s="3612"/>
      <c r="B39" s="3613"/>
      <c r="C39" s="2064"/>
      <c r="D39" s="1235"/>
      <c r="E39" s="2524"/>
      <c r="F39" s="2066"/>
      <c r="G39" s="2206"/>
    </row>
    <row r="40" spans="1:13" hidden="1">
      <c r="A40" s="3612"/>
      <c r="B40" s="3613"/>
      <c r="C40" s="2064"/>
      <c r="D40" s="1235"/>
      <c r="E40" s="2524"/>
      <c r="F40" s="2066"/>
      <c r="G40" s="1054"/>
    </row>
    <row r="41" spans="1:13">
      <c r="A41" s="1233" t="s">
        <v>314</v>
      </c>
      <c r="B41" s="2063" t="s">
        <v>3665</v>
      </c>
      <c r="C41" s="2067" t="s">
        <v>415</v>
      </c>
      <c r="D41" s="2067" t="s">
        <v>415</v>
      </c>
      <c r="E41" s="2541"/>
      <c r="F41" s="2067"/>
      <c r="G41" s="1054"/>
    </row>
    <row r="42" spans="1:13">
      <c r="A42" s="1233"/>
      <c r="B42" s="2069"/>
      <c r="C42" s="1233"/>
      <c r="D42" s="2070" t="s">
        <v>43</v>
      </c>
      <c r="E42" s="2525">
        <f>SUM(E3:E40)</f>
        <v>800000</v>
      </c>
      <c r="F42" s="2070"/>
      <c r="G42" s="1054"/>
    </row>
    <row r="43" spans="1:13">
      <c r="A43" s="1055"/>
      <c r="B43" s="1056"/>
      <c r="C43" s="1055"/>
      <c r="D43" s="21"/>
      <c r="E43" s="21"/>
      <c r="F43" s="1057"/>
    </row>
  </sheetData>
  <sheetProtection selectLockedCells="1" selectUnlockedCells="1"/>
  <mergeCells count="19">
    <mergeCell ref="A1:F1"/>
    <mergeCell ref="A3:A4"/>
    <mergeCell ref="B3:B4"/>
    <mergeCell ref="G20:M22"/>
    <mergeCell ref="B20:B22"/>
    <mergeCell ref="A20:A22"/>
    <mergeCell ref="A30:A31"/>
    <mergeCell ref="B30:B31"/>
    <mergeCell ref="A15:A18"/>
    <mergeCell ref="B15:B18"/>
    <mergeCell ref="A26:A28"/>
    <mergeCell ref="B26:B28"/>
    <mergeCell ref="G33:M34"/>
    <mergeCell ref="A38:A40"/>
    <mergeCell ref="B38:B40"/>
    <mergeCell ref="A33:A35"/>
    <mergeCell ref="A36:A37"/>
    <mergeCell ref="B36:B37"/>
    <mergeCell ref="B33:B35"/>
  </mergeCells>
  <phoneticPr fontId="143" type="noConversion"/>
  <printOptions horizontalCentered="1"/>
  <pageMargins left="0.31496062992125984" right="0.35433070866141736" top="0.35433070866141736" bottom="0.27559055118110237" header="0.11811023622047245" footer="0.51181102362204722"/>
  <pageSetup paperSize="9" scale="68" firstPageNumber="0" orientation="landscape" cellComments="atEnd" r:id="rId1"/>
  <headerFooter alignWithMargins="0">
    <oddHeader>&amp;R&amp;"Arial CE,Félkövér"&amp;14Előterjesztés 4. melléklete</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3853C-1F19-48BA-BB82-2A0B5692F1A3}">
  <sheetPr>
    <tabColor theme="9" tint="-0.499984740745262"/>
    <pageSetUpPr fitToPage="1"/>
  </sheetPr>
  <dimension ref="A1:AX100"/>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0.28515625" style="297" hidden="1" customWidth="1"/>
    <col min="2" max="2" width="7" style="1442" customWidth="1"/>
    <col min="3" max="3" width="57" style="298" customWidth="1"/>
    <col min="4" max="5" width="14.85546875" style="298" hidden="1" customWidth="1"/>
    <col min="6" max="6" width="13.5703125" style="298" bestFit="1" customWidth="1"/>
    <col min="7" max="8" width="11.7109375" style="298" hidden="1" customWidth="1"/>
    <col min="9" max="9" width="11.7109375" style="298" customWidth="1"/>
    <col min="10" max="10" width="11.7109375" style="298" hidden="1" customWidth="1"/>
    <col min="11" max="11" width="12.5703125" style="298" bestFit="1" customWidth="1"/>
    <col min="12" max="12" width="12" style="298" hidden="1" customWidth="1"/>
    <col min="13" max="14" width="11.42578125" style="298" hidden="1" customWidth="1"/>
    <col min="15" max="15" width="11.42578125" style="298" customWidth="1"/>
    <col min="16" max="16" width="13.28515625" style="298" hidden="1" customWidth="1"/>
    <col min="17" max="17" width="11.85546875" style="298" customWidth="1"/>
    <col min="18" max="20" width="11.42578125" style="298" hidden="1" customWidth="1"/>
    <col min="21" max="21" width="11.42578125" style="298" customWidth="1"/>
    <col min="22" max="22" width="11.42578125" style="298" hidden="1" customWidth="1"/>
    <col min="23" max="23" width="11.42578125" style="298" customWidth="1"/>
    <col min="24" max="26" width="12.140625" style="298" hidden="1" customWidth="1"/>
    <col min="27" max="27" width="12.140625" style="298" customWidth="1"/>
    <col min="28" max="28" width="12.140625" style="298" hidden="1" customWidth="1"/>
    <col min="29" max="29" width="9.28515625" style="298" customWidth="1"/>
    <col min="30" max="30" width="8" style="298" hidden="1" customWidth="1"/>
    <col min="31" max="31" width="9.7109375" style="298" hidden="1" customWidth="1"/>
    <col min="32" max="32" width="13.85546875" style="298" hidden="1" customWidth="1"/>
    <col min="33" max="33" width="14" style="298" hidden="1" customWidth="1"/>
    <col min="34" max="34" width="8" style="298" hidden="1" customWidth="1"/>
    <col min="35" max="35" width="11.5703125" style="298" customWidth="1"/>
    <col min="36" max="36" width="12.85546875" style="298" hidden="1" customWidth="1"/>
    <col min="37" max="37" width="18" style="299" hidden="1" customWidth="1"/>
    <col min="38" max="38" width="0.140625" style="299" hidden="1" customWidth="1"/>
    <col min="39" max="40" width="18" style="298" hidden="1" customWidth="1"/>
    <col min="41" max="41" width="18" style="299" hidden="1" customWidth="1"/>
    <col min="42" max="45" width="18" style="298" hidden="1" customWidth="1"/>
    <col min="46" max="46" width="12" style="298" hidden="1" customWidth="1"/>
    <col min="47" max="47" width="11.28515625" style="298" hidden="1" customWidth="1"/>
    <col min="48" max="49" width="10.85546875" style="298" bestFit="1" customWidth="1"/>
    <col min="50" max="16384" width="8" style="298"/>
  </cols>
  <sheetData>
    <row r="1" spans="1:47" s="303" customFormat="1" ht="21" customHeight="1">
      <c r="A1" s="3643" t="s">
        <v>4262</v>
      </c>
      <c r="B1" s="3643"/>
      <c r="C1" s="3643"/>
      <c r="D1" s="3643"/>
      <c r="E1" s="3643"/>
      <c r="F1" s="3643"/>
      <c r="G1" s="3643"/>
      <c r="H1" s="3643"/>
      <c r="I1" s="3643"/>
      <c r="J1" s="3643"/>
      <c r="K1" s="3643"/>
      <c r="L1" s="3643"/>
      <c r="M1" s="3643"/>
      <c r="N1" s="3643"/>
      <c r="O1" s="3643"/>
      <c r="P1" s="3643"/>
      <c r="Q1" s="3643"/>
      <c r="R1" s="3643"/>
      <c r="S1" s="3643"/>
      <c r="T1" s="3643"/>
      <c r="U1" s="3643"/>
      <c r="V1" s="3643"/>
      <c r="W1" s="3643"/>
      <c r="X1" s="3643"/>
      <c r="Y1" s="3643"/>
      <c r="Z1" s="3643"/>
      <c r="AA1" s="3643"/>
      <c r="AB1" s="3643"/>
      <c r="AC1" s="3643"/>
      <c r="AD1" s="3643"/>
      <c r="AE1" s="3643"/>
      <c r="AF1" s="3643"/>
      <c r="AG1" s="3643"/>
      <c r="AH1" s="3643"/>
      <c r="AI1" s="3643"/>
      <c r="AJ1" s="300"/>
      <c r="AK1" s="301"/>
      <c r="AL1" s="302"/>
      <c r="AO1" s="302"/>
    </row>
    <row r="2" spans="1:47" s="306" customFormat="1" ht="39" customHeight="1" thickBot="1">
      <c r="A2" s="3641" t="s">
        <v>3174</v>
      </c>
      <c r="B2" s="3642"/>
      <c r="C2" s="3642"/>
      <c r="D2" s="3642"/>
      <c r="E2" s="3642"/>
      <c r="F2" s="3642"/>
      <c r="G2" s="3642"/>
      <c r="H2" s="3642"/>
      <c r="I2" s="3642"/>
      <c r="J2" s="3642"/>
      <c r="K2" s="3642"/>
      <c r="L2" s="3642"/>
      <c r="M2" s="3642"/>
      <c r="N2" s="3642"/>
      <c r="O2" s="3642"/>
      <c r="P2" s="3642"/>
      <c r="Q2" s="3642"/>
      <c r="R2" s="3642"/>
      <c r="S2" s="3642"/>
      <c r="T2" s="3642"/>
      <c r="U2" s="3642"/>
      <c r="V2" s="3642"/>
      <c r="W2" s="3642"/>
      <c r="X2" s="3642"/>
      <c r="Y2" s="3642"/>
      <c r="Z2" s="3642"/>
      <c r="AA2" s="3642"/>
      <c r="AB2" s="3642"/>
      <c r="AC2" s="3642"/>
      <c r="AD2" s="3642"/>
      <c r="AE2" s="3642"/>
      <c r="AF2" s="3642"/>
      <c r="AG2" s="3642"/>
      <c r="AH2" s="3642"/>
      <c r="AI2" s="3642"/>
      <c r="AJ2" s="95"/>
      <c r="AK2" s="304"/>
      <c r="AL2" s="305"/>
      <c r="AO2" s="305"/>
    </row>
    <row r="3" spans="1:47" s="306" customFormat="1" ht="16.5" hidden="1" thickBot="1">
      <c r="A3" s="2456"/>
      <c r="B3" s="2457"/>
      <c r="C3" s="2457"/>
      <c r="D3" s="2457"/>
      <c r="E3" s="2457"/>
      <c r="F3" s="2458"/>
      <c r="G3" s="2458"/>
      <c r="H3" s="2458"/>
      <c r="I3" s="2458"/>
      <c r="J3" s="2458"/>
      <c r="K3" s="2458"/>
      <c r="L3" s="2458"/>
      <c r="M3" s="2458"/>
      <c r="N3" s="2458"/>
      <c r="O3" s="2458"/>
      <c r="P3" s="2458"/>
      <c r="Q3" s="2458"/>
      <c r="R3" s="2458"/>
      <c r="S3" s="2458"/>
      <c r="T3" s="2458"/>
      <c r="U3" s="2458"/>
      <c r="V3" s="2458"/>
      <c r="W3" s="2458"/>
      <c r="X3" s="2458"/>
      <c r="Y3" s="2458"/>
      <c r="Z3" s="2458"/>
      <c r="AA3" s="2458"/>
      <c r="AB3" s="2458"/>
      <c r="AC3" s="2458"/>
      <c r="AD3" s="2458"/>
      <c r="AE3" s="2459"/>
      <c r="AF3" s="2459"/>
      <c r="AG3" s="2459"/>
      <c r="AH3" s="2459"/>
      <c r="AI3" s="2458"/>
      <c r="AJ3" s="307"/>
      <c r="AK3" s="308"/>
      <c r="AL3" s="305"/>
      <c r="AO3" s="305"/>
    </row>
    <row r="4" spans="1:47" s="310" customFormat="1" ht="15.95" customHeight="1" thickBot="1">
      <c r="A4" s="1605"/>
      <c r="B4" s="1606"/>
      <c r="C4" s="1606" t="s">
        <v>2728</v>
      </c>
      <c r="D4" s="1607" t="s">
        <v>2729</v>
      </c>
      <c r="E4" s="1607" t="s">
        <v>2729</v>
      </c>
      <c r="F4" s="1606" t="s">
        <v>2729</v>
      </c>
      <c r="G4" s="3188" t="s">
        <v>2730</v>
      </c>
      <c r="H4" s="3188" t="s">
        <v>2731</v>
      </c>
      <c r="I4" s="3188" t="s">
        <v>2730</v>
      </c>
      <c r="J4" s="3188"/>
      <c r="K4" s="3188" t="s">
        <v>2731</v>
      </c>
      <c r="L4" s="3188" t="s">
        <v>2731</v>
      </c>
      <c r="M4" s="3188" t="s">
        <v>2731</v>
      </c>
      <c r="N4" s="3188" t="s">
        <v>2732</v>
      </c>
      <c r="O4" s="3188" t="s">
        <v>2732</v>
      </c>
      <c r="P4" s="3188"/>
      <c r="Q4" s="3188" t="s">
        <v>2733</v>
      </c>
      <c r="R4" s="3188" t="s">
        <v>2732</v>
      </c>
      <c r="S4" s="3188" t="s">
        <v>2732</v>
      </c>
      <c r="T4" s="3188" t="s">
        <v>2733</v>
      </c>
      <c r="U4" s="3188" t="s">
        <v>3463</v>
      </c>
      <c r="V4" s="3188"/>
      <c r="W4" s="3188" t="s">
        <v>3464</v>
      </c>
      <c r="X4" s="3188" t="s">
        <v>2733</v>
      </c>
      <c r="Y4" s="3188" t="s">
        <v>2733</v>
      </c>
      <c r="Z4" s="3188" t="s">
        <v>3463</v>
      </c>
      <c r="AA4" s="3188" t="s">
        <v>3913</v>
      </c>
      <c r="AB4" s="309"/>
      <c r="AC4" s="3188" t="s">
        <v>3543</v>
      </c>
      <c r="AD4" s="3189"/>
      <c r="AE4" s="3189"/>
      <c r="AF4" s="3189"/>
      <c r="AG4" s="3189"/>
      <c r="AH4" s="3189"/>
      <c r="AI4" s="3190" t="s">
        <v>1707</v>
      </c>
      <c r="AJ4" s="309"/>
      <c r="AK4" s="3637" t="s">
        <v>3744</v>
      </c>
      <c r="AL4" s="3637" t="s">
        <v>3744</v>
      </c>
      <c r="AM4" s="3637" t="s">
        <v>3744</v>
      </c>
      <c r="AN4" s="3637" t="s">
        <v>3744</v>
      </c>
      <c r="AO4" s="3637" t="s">
        <v>3744</v>
      </c>
      <c r="AP4" s="3637" t="s">
        <v>3744</v>
      </c>
    </row>
    <row r="5" spans="1:47" ht="72" customHeight="1" thickBot="1">
      <c r="A5" s="2177" t="s">
        <v>6</v>
      </c>
      <c r="B5" s="2178" t="s">
        <v>6</v>
      </c>
      <c r="C5" s="1611" t="s">
        <v>475</v>
      </c>
      <c r="D5" s="1434" t="str">
        <f>+'1. mell.ÖSSZEVONT_MÉRLEG'!C5</f>
        <v>2024. évi eredeti előirányzat
forintban</v>
      </c>
      <c r="E5" s="2584" t="str">
        <f>+'1. mell.ÖSSZEVONT_MÉRLEG'!D5</f>
        <v>2024. évi teljesítés forintban</v>
      </c>
      <c r="F5" s="1434" t="str">
        <f>+'1. mell.ÖSSZEVONT_MÉRLEG'!E5</f>
        <v>2025. évi eredeti előirányzat forintban</v>
      </c>
      <c r="G5" s="1434" t="str">
        <f>+'1. mell.ÖSSZEVONT_MÉRLEG'!F5</f>
        <v>2025. évi I. számú módosított előirányzat
forintban</v>
      </c>
      <c r="H5" s="1434" t="str">
        <f>+'1. mell.ÖSSZEVONT_MÉRLEG'!G5</f>
        <v>2025. évi II. számú módosított előirányzat forintban</v>
      </c>
      <c r="I5" s="3082" t="str">
        <f>+'1. mell.ÖSSZEVONT_MÉRLEG'!H5</f>
        <v>2025. évi III. számú módosított előirányzat forintban</v>
      </c>
      <c r="J5" s="3082" t="str">
        <f>+'1. mell.ÖSSZEVONT_MÉRLEG'!I5</f>
        <v>2025. évi IV. számú módosított előirányzat forintban</v>
      </c>
      <c r="K5" s="3083" t="str">
        <f>+'1. mell.ÖSSZEVONT_MÉRLEG'!J5</f>
        <v>2025. évi
teljesítés forintban</v>
      </c>
      <c r="L5" s="3084" t="s">
        <v>3377</v>
      </c>
      <c r="M5" s="3085" t="s">
        <v>3473</v>
      </c>
      <c r="N5" s="3086" t="s">
        <v>3504</v>
      </c>
      <c r="O5" s="3087" t="s">
        <v>3507</v>
      </c>
      <c r="P5" s="3088" t="s">
        <v>3508</v>
      </c>
      <c r="Q5" s="3088" t="s">
        <v>3509</v>
      </c>
      <c r="R5" s="3084" t="s">
        <v>3376</v>
      </c>
      <c r="S5" s="3085" t="s">
        <v>3653</v>
      </c>
      <c r="T5" s="3086" t="s">
        <v>3505</v>
      </c>
      <c r="U5" s="3087" t="s">
        <v>3510</v>
      </c>
      <c r="V5" s="3088" t="s">
        <v>3511</v>
      </c>
      <c r="W5" s="3088" t="s">
        <v>3512</v>
      </c>
      <c r="X5" s="3084" t="s">
        <v>3412</v>
      </c>
      <c r="Y5" s="3085" t="s">
        <v>3655</v>
      </c>
      <c r="Z5" s="3089" t="s">
        <v>3506</v>
      </c>
      <c r="AA5" s="3090" t="s">
        <v>3513</v>
      </c>
      <c r="AB5" s="3091" t="s">
        <v>3514</v>
      </c>
      <c r="AC5" s="3091" t="s">
        <v>3515</v>
      </c>
      <c r="AD5" s="3092" t="s">
        <v>1268</v>
      </c>
      <c r="AE5" s="3093" t="s">
        <v>1269</v>
      </c>
      <c r="AF5" s="3094" t="str">
        <f>+'1. mell.ÖSSZEVONT_MÉRLEG'!M5</f>
        <v>Előirányzat-módosítások, előirányzat-átcsoportosítások összegszerű változásai</v>
      </c>
      <c r="AG5" s="3094" t="str">
        <f>+'1. mell.ÖSSZEVONT_MÉRLEG'!N5</f>
        <v>Előirányzat-módosítások, előirányzat-átcsoportosítások összegszerű változásai a III. módosításnál</v>
      </c>
      <c r="AH5" s="312" t="s">
        <v>1270</v>
      </c>
      <c r="AI5" s="93" t="str">
        <f>+'1. mell.ÖSSZEVONT_MÉRLEG'!K5</f>
        <v xml:space="preserve"> 2025. évi teljesítés / 2025. évi III. számú módosított előirányzat</v>
      </c>
      <c r="AJ5" s="141" t="s">
        <v>3320</v>
      </c>
      <c r="AK5" s="3637"/>
      <c r="AL5" s="3637"/>
      <c r="AM5" s="3637"/>
      <c r="AN5" s="3637"/>
      <c r="AO5" s="3637"/>
      <c r="AP5" s="3637"/>
      <c r="AQ5" s="3636" t="s">
        <v>3745</v>
      </c>
      <c r="AR5" s="3636" t="s">
        <v>3745</v>
      </c>
      <c r="AS5" s="3636" t="s">
        <v>3745</v>
      </c>
      <c r="AT5" s="2646" t="s">
        <v>3915</v>
      </c>
    </row>
    <row r="6" spans="1:47" s="315" customFormat="1" ht="12.95" hidden="1" customHeight="1" thickBot="1">
      <c r="A6" s="1608">
        <v>1</v>
      </c>
      <c r="B6" s="1608">
        <v>2</v>
      </c>
      <c r="C6" s="1608">
        <v>3</v>
      </c>
      <c r="D6" s="1608">
        <v>4</v>
      </c>
      <c r="E6" s="2585"/>
      <c r="F6" s="1608">
        <v>5</v>
      </c>
      <c r="G6" s="1608">
        <v>5</v>
      </c>
      <c r="H6" s="1608">
        <v>6</v>
      </c>
      <c r="I6" s="1608">
        <v>7</v>
      </c>
      <c r="J6" s="1608">
        <v>7</v>
      </c>
      <c r="K6" s="1609"/>
      <c r="L6" s="1608">
        <v>6</v>
      </c>
      <c r="M6" s="1608">
        <v>6</v>
      </c>
      <c r="N6" s="1608">
        <v>7</v>
      </c>
      <c r="O6" s="1608">
        <v>8</v>
      </c>
      <c r="P6" s="1608"/>
      <c r="Q6" s="1608">
        <v>7</v>
      </c>
      <c r="R6" s="1608">
        <v>7</v>
      </c>
      <c r="S6" s="1608">
        <v>7</v>
      </c>
      <c r="T6" s="1608">
        <v>8</v>
      </c>
      <c r="U6" s="1608">
        <v>9</v>
      </c>
      <c r="V6" s="1608"/>
      <c r="W6" s="1608">
        <v>8</v>
      </c>
      <c r="X6" s="1608">
        <v>8</v>
      </c>
      <c r="Y6" s="1608">
        <v>8</v>
      </c>
      <c r="Z6" s="1608">
        <v>9</v>
      </c>
      <c r="AA6" s="313">
        <v>10</v>
      </c>
      <c r="AB6" s="313">
        <v>8</v>
      </c>
      <c r="AC6" s="313">
        <v>9</v>
      </c>
      <c r="AD6" s="313"/>
      <c r="AE6" s="313"/>
      <c r="AF6" s="313"/>
      <c r="AG6" s="313"/>
      <c r="AH6" s="313">
        <v>8</v>
      </c>
      <c r="AI6" s="313">
        <v>9</v>
      </c>
      <c r="AJ6" s="313"/>
      <c r="AK6" s="314" t="s">
        <v>1271</v>
      </c>
      <c r="AL6" s="314" t="s">
        <v>1272</v>
      </c>
      <c r="AM6" s="315" t="s">
        <v>1273</v>
      </c>
      <c r="AN6" s="315" t="s">
        <v>1274</v>
      </c>
      <c r="AO6" s="314" t="s">
        <v>1275</v>
      </c>
      <c r="AP6" s="314" t="s">
        <v>495</v>
      </c>
      <c r="AQ6" s="3636"/>
      <c r="AR6" s="3636"/>
      <c r="AS6" s="3636"/>
      <c r="AT6" s="1609"/>
    </row>
    <row r="7" spans="1:47" s="315" customFormat="1" ht="15.95" hidden="1" customHeight="1" thickBot="1">
      <c r="A7" s="311"/>
      <c r="B7" s="311"/>
      <c r="C7" s="311"/>
      <c r="D7" s="311"/>
      <c r="E7" s="2586"/>
      <c r="F7" s="316"/>
      <c r="G7" s="316"/>
      <c r="H7" s="316"/>
      <c r="I7" s="316"/>
      <c r="J7" s="316"/>
      <c r="K7" s="317"/>
      <c r="L7" s="316"/>
      <c r="M7" s="316"/>
      <c r="N7" s="316"/>
      <c r="O7" s="316"/>
      <c r="P7" s="316"/>
      <c r="Q7" s="316"/>
      <c r="R7" s="316"/>
      <c r="S7" s="316"/>
      <c r="T7" s="316"/>
      <c r="U7" s="316"/>
      <c r="V7" s="316"/>
      <c r="W7" s="316"/>
      <c r="X7" s="316"/>
      <c r="Y7" s="316"/>
      <c r="Z7" s="316"/>
      <c r="AA7" s="316"/>
      <c r="AB7" s="316"/>
      <c r="AC7" s="316"/>
      <c r="AD7" s="316"/>
      <c r="AE7" s="316"/>
      <c r="AF7" s="316"/>
      <c r="AG7" s="316"/>
      <c r="AH7" s="316"/>
      <c r="AI7" s="318"/>
      <c r="AJ7" s="316"/>
      <c r="AK7" s="314"/>
      <c r="AL7" s="314"/>
      <c r="AO7" s="314"/>
      <c r="AP7" s="314"/>
      <c r="AQ7" s="1194"/>
      <c r="AT7" s="317"/>
    </row>
    <row r="8" spans="1:47" s="326" customFormat="1" ht="12" customHeight="1" thickBot="1">
      <c r="A8" s="313" t="s">
        <v>6</v>
      </c>
      <c r="B8" s="319" t="s">
        <v>3353</v>
      </c>
      <c r="C8" s="320" t="s">
        <v>1276</v>
      </c>
      <c r="D8" s="321">
        <f>+'9. mell. PMH'!D8+'12. mell. Szakrendelő'!D8+'13. mell. GAMESZ'!D8+'14. mell. Gyerekkuckó'!D8+'15. mell. Cinkotai H.'!D8+'16. mell. Napsugár'!D8+'17. mell. Sashalmi M.'!D8+'18. mell. Margaréta'!D8+'19.mell.Szentmihályi Játszókert'!D8+'20. mell. M. Fecskefészek'!D8+'21. mell. CMH'!D8+'22. mell. Bölcsőde'!D8+'23. mell. Terszoc.'!D8+'24. mell. Napraforgó'!D8+'25. mell. Kerületgazda'!D8+'26. mell. Őrszolgálat'!D8+'27. mell. KHEK'!D8+'28. mell. KIO'!D8</f>
        <v>1329260872</v>
      </c>
      <c r="E8" s="2587">
        <f>+'9. mell. PMH'!E8+'12. mell. Szakrendelő'!E8+'13. mell. GAMESZ'!E8+'14. mell. Gyerekkuckó'!E8+'15. mell. Cinkotai H.'!E8+'16. mell. Napsugár'!E8+'17. mell. Sashalmi M.'!E8+'18. mell. Margaréta'!E8+'19.mell.Szentmihályi Játszókert'!E8+'20. mell. M. Fecskefészek'!E8+'21. mell. CMH'!E8+'22. mell. Bölcsőde'!E8+'23. mell. Terszoc.'!E8+'24. mell. Napraforgó'!E8+'25. mell. Kerületgazda'!E8+'26. mell. Őrszolgálat'!E8+'27. mell. KHEK'!E8+'28. mell. KIO'!E8</f>
        <v>1904834855</v>
      </c>
      <c r="F8" s="321">
        <f>+'9. mell. PMH'!F8+'12. mell. Szakrendelő'!F8+'13. mell. GAMESZ'!F8+'14. mell. Gyerekkuckó'!F8+'15. mell. Cinkotai H.'!F8+'16. mell. Napsugár'!F8+'17. mell. Sashalmi M.'!F8+'18. mell. Margaréta'!F8+'19.mell.Szentmihályi Játszókert'!F8+'20. mell. M. Fecskefészek'!F8+'21. mell. CMH'!F8+'22. mell. Bölcsőde'!F8+'23. mell. Terszoc.'!F8+'24. mell. Napraforgó'!F8+'25. mell. Kerületgazda'!F8+'26. mell. Őrszolgálat'!F8+'27. mell. KHEK'!F8+'28. mell. KIO'!F8</f>
        <v>1930066358.26968</v>
      </c>
      <c r="G8" s="321">
        <f>+'9. mell. PMH'!G8+'12. mell. Szakrendelő'!G8+'13. mell. GAMESZ'!G8+'14. mell. Gyerekkuckó'!G8+'15. mell. Cinkotai H.'!G8+'16. mell. Napsugár'!G8+'17. mell. Sashalmi M.'!G8+'18. mell. Margaréta'!G8+'19.mell.Szentmihályi Játszókert'!G8+'20. mell. M. Fecskefészek'!G8+'21. mell. CMH'!G8+'22. mell. Bölcsőde'!G8+'23. mell. Terszoc.'!G8+'24. mell. Napraforgó'!G8+'25. mell. Kerületgazda'!G8+'26. mell. Őrszolgálat'!G8+'27. mell. KHEK'!G8+'28. mell. KIO'!G8</f>
        <v>1972680790.26968</v>
      </c>
      <c r="H8" s="321">
        <f>+'9. mell. PMH'!H8+'12. mell. Szakrendelő'!H8+'13. mell. GAMESZ'!H8+'14. mell. Gyerekkuckó'!H8+'15. mell. Cinkotai H.'!H8+'16. mell. Napsugár'!H8+'17. mell. Sashalmi M.'!H8+'18. mell. Margaréta'!H8+'19.mell.Szentmihályi Játszókert'!H8+'20. mell. M. Fecskefészek'!H8+'21. mell. CMH'!H8+'22. mell. Bölcsőde'!H8+'23. mell. Terszoc.'!H8+'24. mell. Napraforgó'!H8+'25. mell. Kerületgazda'!H8+'26. mell. Őrszolgálat'!H8+'27. mell. KHEK'!H8+'28. mell. KIO'!H8</f>
        <v>2015292594.26968</v>
      </c>
      <c r="I8" s="321">
        <f>+'9. mell. PMH'!I8+'12. mell. Szakrendelő'!I8+'13. mell. GAMESZ'!I8+'14. mell. Gyerekkuckó'!I8+'15. mell. Cinkotai H.'!I8+'16. mell. Napsugár'!I8+'17. mell. Sashalmi M.'!I8+'18. mell. Margaréta'!I8+'19.mell.Szentmihályi Játszókert'!I8+'20. mell. M. Fecskefészek'!I8+'21. mell. CMH'!I8+'22. mell. Bölcsőde'!I8+'23. mell. Terszoc.'!I8+'24. mell. Napraforgó'!I8+'25. mell. Kerületgazda'!I8+'26. mell. Őrszolgálat'!I8+'27. mell. KHEK'!I8+'28. mell. KIO'!I8</f>
        <v>2113757176.26968</v>
      </c>
      <c r="J8" s="321">
        <f>+'9. mell. PMH'!J8+'12. mell. Szakrendelő'!J8+'13. mell. GAMESZ'!J8+'14. mell. Gyerekkuckó'!J8+'15. mell. Cinkotai H.'!J8+'16. mell. Napsugár'!J8+'17. mell. Sashalmi M.'!J8+'18. mell. Margaréta'!J8+'19.mell.Szentmihályi Játszókert'!J8+'20. mell. M. Fecskefészek'!J8+'21. mell. CMH'!J8+'22. mell. Bölcsőde'!J8+'23. mell. Terszoc.'!J8+'24. mell. Napraforgó'!J8+'25. mell. Kerületgazda'!J8+'26. mell. Őrszolgálat'!J8+'27. mell. KHEK'!J8+'28. mell. KIO'!J8</f>
        <v>2113757176.26968</v>
      </c>
      <c r="K8" s="2197">
        <f>+'9. mell. PMH'!K8+'12. mell. Szakrendelő'!K8+'13. mell. GAMESZ'!K8+'14. mell. Gyerekkuckó'!K8+'15. mell. Cinkotai H.'!K8+'16. mell. Napsugár'!K8+'17. mell. Sashalmi M.'!K8+'18. mell. Margaréta'!K8+'19.mell.Szentmihályi Játszókert'!K8+'20. mell. M. Fecskefészek'!K8+'21. mell. CMH'!K8+'22. mell. Bölcsőde'!K8+'23. mell. Terszoc.'!K8+'24. mell. Napraforgó'!K8+'25. mell. Kerületgazda'!K8+'26. mell. Őrszolgálat'!K8+'27. mell. KHEK'!K8+'28. mell. KIO'!K8</f>
        <v>2113757176</v>
      </c>
      <c r="L8" s="321">
        <f>+'9. mell. PMH'!L8+'12. mell. Szakrendelő'!L8+'13. mell. GAMESZ'!L8+'14. mell. Gyerekkuckó'!L8+'15. mell. Cinkotai H.'!L8+'16. mell. Napsugár'!L8+'17. mell. Sashalmi M.'!L8+'18. mell. Margaréta'!L8+'19.mell.Szentmihályi Játszókert'!L8+'20. mell. M. Fecskefészek'!L8+'21. mell. CMH'!L8+'22. mell. Bölcsőde'!L8+'23. mell. Terszoc.'!L8+'24. mell. Napraforgó'!L8+'25. mell. Kerületgazda'!L8+'26. mell. Őrszolgálat'!L8+'27. mell. KHEK'!L8+'28. mell. KIO'!L8</f>
        <v>438527660</v>
      </c>
      <c r="M8" s="321">
        <f>+'9. mell. PMH'!M8+'12. mell. Szakrendelő'!M8+'13. mell. GAMESZ'!M8+'14. mell. Gyerekkuckó'!M8+'15. mell. Cinkotai H.'!M8+'16. mell. Napsugár'!M8+'17. mell. Sashalmi M.'!M8+'18. mell. Margaréta'!M8+'19.mell.Szentmihályi Játszókert'!M8+'20. mell. M. Fecskefészek'!M8+'21. mell. CMH'!M8+'22. mell. Bölcsőde'!M8+'23. mell. Terszoc.'!M8+'24. mell. Napraforgó'!M8+'25. mell. Kerületgazda'!M8+'26. mell. Őrszolgálat'!M8+'27. mell. KHEK'!M8+'28. mell. KIO'!M8</f>
        <v>414855268</v>
      </c>
      <c r="N8" s="321">
        <f>+'9. mell. PMH'!N8+'12. mell. Szakrendelő'!N8+'13. mell. GAMESZ'!N8+'14. mell. Gyerekkuckó'!N8+'15. mell. Cinkotai H.'!N8+'16. mell. Napsugár'!N8+'17. mell. Sashalmi M.'!N8+'18. mell. Margaréta'!N8+'19.mell.Szentmihályi Játszókert'!N8+'20. mell. M. Fecskefészek'!N8+'21. mell. CMH'!N8+'22. mell. Bölcsőde'!N8+'23. mell. Terszoc.'!N8+'24. mell. Napraforgó'!N8+'25. mell. Kerületgazda'!N8+'26. mell. Őrszolgálat'!N8+'27. mell. KHEK'!N8+'28. mell. KIO'!N8</f>
        <v>345689465</v>
      </c>
      <c r="O8" s="321">
        <f>+'9. mell. PMH'!O8+'12. mell. Szakrendelő'!O8+'13. mell. GAMESZ'!O8+'14. mell. Gyerekkuckó'!O8+'15. mell. Cinkotai H.'!O8+'16. mell. Napsugár'!O8+'17. mell. Sashalmi M.'!O8+'18. mell. Margaréta'!O8+'19.mell.Szentmihályi Játszókert'!O8+'20. mell. M. Fecskefészek'!O8+'21. mell. CMH'!O8+'22. mell. Bölcsőde'!O8+'23. mell. Terszoc.'!O8+'24. mell. Napraforgó'!O8+'25. mell. Kerületgazda'!O8+'26. mell. Őrszolgálat'!O8+'27. mell. KHEK'!O8+'28. mell. KIO'!O8</f>
        <v>162763045</v>
      </c>
      <c r="P8" s="321">
        <f>+'9. mell. PMH'!P8+'12. mell. Szakrendelő'!P8+'13. mell. GAMESZ'!P8+'14. mell. Gyerekkuckó'!P8+'15. mell. Cinkotai H.'!P8+'16. mell. Napsugár'!P8+'17. mell. Sashalmi M.'!P8+'18. mell. Margaréta'!P8+'19.mell.Szentmihályi Játszókert'!P8+'20. mell. M. Fecskefészek'!P8+'21. mell. CMH'!P8+'22. mell. Bölcsőde'!P8+'23. mell. Terszoc.'!P8+'24. mell. Napraforgó'!P8+'25. mell. Kerületgazda'!P8+'26. mell. Őrszolgálat'!P8+'27. mell. KHEK'!P8+'28. mell. KIO'!P8</f>
        <v>162763045</v>
      </c>
      <c r="Q8" s="321">
        <f>+'9. mell. PMH'!Q8+'12. mell. Szakrendelő'!Q8+'13. mell. GAMESZ'!Q8+'14. mell. Gyerekkuckó'!Q8+'15. mell. Cinkotai H.'!Q8+'16. mell. Napsugár'!Q8+'17. mell. Sashalmi M.'!Q8+'18. mell. Margaréta'!Q8+'19.mell.Szentmihályi Játszókert'!Q8+'20. mell. M. Fecskefészek'!Q8+'21. mell. CMH'!Q8+'22. mell. Bölcsőde'!Q8+'23. mell. Terszoc.'!Q8+'24. mell. Napraforgó'!Q8+'25. mell. Kerületgazda'!Q8+'26. mell. Őrszolgálat'!Q8+'27. mell. KHEK'!Q8+'28. mell. KIO'!Q8</f>
        <v>162763045</v>
      </c>
      <c r="R8" s="321">
        <f>+'9. mell. PMH'!R8+'12. mell. Szakrendelő'!R8+'13. mell. GAMESZ'!R8+'14. mell. Gyerekkuckó'!R8+'15. mell. Cinkotai H.'!R8+'16. mell. Napsugár'!R8+'17. mell. Sashalmi M.'!R8+'18. mell. Margaréta'!R8+'19.mell.Szentmihályi Játszókert'!R8+'20. mell. M. Fecskefészek'!R8+'21. mell. CMH'!R8+'22. mell. Bölcsőde'!R8+'23. mell. Terszoc.'!R8+'24. mell. Napraforgó'!R8+'25. mell. Kerületgazda'!R8+'26. mell. Őrszolgálat'!R8+'27. mell. KHEK'!R8+'28. mell. KIO'!R8</f>
        <v>1491538698.26968</v>
      </c>
      <c r="S8" s="321">
        <f>+'9. mell. PMH'!S8+'12. mell. Szakrendelő'!S8+'13. mell. GAMESZ'!S8+'14. mell. Gyerekkuckó'!S8+'15. mell. Cinkotai H.'!S8+'16. mell. Napsugár'!S8+'17. mell. Sashalmi M.'!S8+'18. mell. Margaréta'!S8+'19.mell.Szentmihályi Játszókert'!S8+'20. mell. M. Fecskefészek'!S8+'21. mell. CMH'!S8+'22. mell. Bölcsőde'!S8+'23. mell. Terszoc.'!S8+'24. mell. Napraforgó'!S8+'25. mell. Kerületgazda'!S8+'26. mell. Őrszolgálat'!S8+'27. mell. KHEK'!S8+'28. mell. KIO'!S8</f>
        <v>1557825522.26968</v>
      </c>
      <c r="T8" s="321">
        <f>+'9. mell. PMH'!T8+'12. mell. Szakrendelő'!T8+'13. mell. GAMESZ'!T8+'14. mell. Gyerekkuckó'!T8+'15. mell. Cinkotai H.'!T8+'16. mell. Napsugár'!T8+'17. mell. Sashalmi M.'!T8+'18. mell. Margaréta'!T8+'19.mell.Szentmihályi Játszókert'!T8+'20. mell. M. Fecskefészek'!T8+'21. mell. CMH'!T8+'22. mell. Bölcsőde'!T8+'23. mell. Terszoc.'!T8+'24. mell. Napraforgó'!T8+'25. mell. Kerületgazda'!T8+'26. mell. Őrszolgálat'!T8+'27. mell. KHEK'!T8+'28. mell. KIO'!T8</f>
        <v>1669603129.26968</v>
      </c>
      <c r="U8" s="321">
        <f>+'9. mell. PMH'!U8+'12. mell. Szakrendelő'!U8+'13. mell. GAMESZ'!U8+'14. mell. Gyerekkuckó'!U8+'15. mell. Cinkotai H.'!U8+'16. mell. Napsugár'!U8+'17. mell. Sashalmi M.'!U8+'18. mell. Margaréta'!U8+'19.mell.Szentmihályi Játszókert'!U8+'20. mell. M. Fecskefészek'!U8+'21. mell. CMH'!U8+'22. mell. Bölcsőde'!U8+'23. mell. Terszoc.'!U8+'24. mell. Napraforgó'!U8+'25. mell. Kerületgazda'!U8+'26. mell. Őrszolgálat'!U8+'27. mell. KHEK'!U8+'28. mell. KIO'!U8</f>
        <v>1950994131.26968</v>
      </c>
      <c r="V8" s="321">
        <f>+'9. mell. PMH'!V8+'12. mell. Szakrendelő'!V8+'13. mell. GAMESZ'!V8+'14. mell. Gyerekkuckó'!V8+'15. mell. Cinkotai H.'!V8+'16. mell. Napsugár'!V8+'17. mell. Sashalmi M.'!V8+'18. mell. Margaréta'!V8+'19.mell.Szentmihályi Játszókert'!V8+'20. mell. M. Fecskefészek'!V8+'21. mell. CMH'!V8+'22. mell. Bölcsőde'!V8+'23. mell. Terszoc.'!V8+'24. mell. Napraforgó'!V8+'25. mell. Kerületgazda'!V8+'26. mell. Őrszolgálat'!V8+'27. mell. KHEK'!V8+'28. mell. KIO'!V8</f>
        <v>1950994131.26968</v>
      </c>
      <c r="W8" s="321">
        <f>+'9. mell. PMH'!W8+'12. mell. Szakrendelő'!W8+'13. mell. GAMESZ'!W8+'14. mell. Gyerekkuckó'!W8+'15. mell. Cinkotai H.'!W8+'16. mell. Napsugár'!W8+'17. mell. Sashalmi M.'!W8+'18. mell. Margaréta'!W8+'19.mell.Szentmihályi Játszókert'!W8+'20. mell. M. Fecskefészek'!W8+'21. mell. CMH'!W8+'22. mell. Bölcsőde'!W8+'23. mell. Terszoc.'!W8+'24. mell. Napraforgó'!W8+'25. mell. Kerületgazda'!W8+'26. mell. Őrszolgálat'!W8+'27. mell. KHEK'!W8+'28. mell. KIO'!W8</f>
        <v>1950994131</v>
      </c>
      <c r="X8" s="321">
        <f>+'9. mell. PMH'!X8+'12. mell. Szakrendelő'!X8+'13. mell. GAMESZ'!X8+'14. mell. Gyerekkuckó'!X8+'15. mell. Cinkotai H.'!X8+'16. mell. Napsugár'!X8+'17. mell. Sashalmi M.'!X8+'18. mell. Margaréta'!X8+'19.mell.Szentmihályi Játszókert'!X8+'20. mell. M. Fecskefészek'!X8+'21. mell. CMH'!X8+'22. mell. Bölcsőde'!X8+'23. mell. Terszoc.'!X8+'24. mell. Napraforgó'!X8+'25. mell. Kerületgazda'!X8+'26. mell. Őrszolgálat'!X8+'27. mell. KHEK'!X8+'28. mell. KIO'!X8</f>
        <v>0</v>
      </c>
      <c r="Y8" s="321">
        <f>+'9. mell. PMH'!Y8+'12. mell. Szakrendelő'!Y8+'13. mell. GAMESZ'!Y8+'14. mell. Gyerekkuckó'!Y8+'15. mell. Cinkotai H.'!Y8+'16. mell. Napsugár'!Y8+'17. mell. Sashalmi M.'!Y8+'18. mell. Margaréta'!Y8+'19.mell.Szentmihályi Játszókert'!Y8+'20. mell. M. Fecskefészek'!Y8+'21. mell. CMH'!Y8+'22. mell. Bölcsőde'!Y8+'23. mell. Terszoc.'!Y8+'24. mell. Napraforgó'!Y8+'25. mell. Kerületgazda'!Y8+'26. mell. Őrszolgálat'!Y8+'27. mell. KHEK'!Y8+'28. mell. KIO'!Y8</f>
        <v>0</v>
      </c>
      <c r="Z8" s="321">
        <f>+'9. mell. PMH'!Z8+'12. mell. Szakrendelő'!Z8+'13. mell. GAMESZ'!Z8+'14. mell. Gyerekkuckó'!Z8+'15. mell. Cinkotai H.'!Z8+'16. mell. Napsugár'!Z8+'17. mell. Sashalmi M.'!Z8+'18. mell. Margaréta'!Z8+'19.mell.Szentmihályi Játszókert'!Z8+'20. mell. M. Fecskefészek'!Z8+'21. mell. CMH'!Z8+'22. mell. Bölcsőde'!Z8+'23. mell. Terszoc.'!Z8+'24. mell. Napraforgó'!Z8+'25. mell. Kerületgazda'!Z8+'26. mell. Őrszolgálat'!Z8+'27. mell. KHEK'!Z8+'28. mell. KIO'!Z8</f>
        <v>0</v>
      </c>
      <c r="AA8" s="321">
        <f>+'9. mell. PMH'!AA8+'12. mell. Szakrendelő'!AA8+'13. mell. GAMESZ'!AA8+'14. mell. Gyerekkuckó'!AA8+'15. mell. Cinkotai H.'!AA8+'16. mell. Napsugár'!AA8+'17. mell. Sashalmi M.'!AA8+'18. mell. Margaréta'!AA8+'19.mell.Szentmihályi Játszókert'!AA8+'20. mell. M. Fecskefészek'!AA8+'21. mell. CMH'!AA8+'22. mell. Bölcsőde'!AA8+'23. mell. Terszoc.'!AA8+'24. mell. Napraforgó'!AA8+'25. mell. Kerületgazda'!AA8+'26. mell. Őrszolgálat'!AA8+'27. mell. KHEK'!AA8+'28. mell. KIO'!AA8</f>
        <v>0</v>
      </c>
      <c r="AB8" s="321">
        <f>+'9. mell. PMH'!AB8+'12. mell. Szakrendelő'!AB8+'13. mell. GAMESZ'!AB8+'14. mell. Gyerekkuckó'!AB8+'15. mell. Cinkotai H.'!AB8+'16. mell. Napsugár'!AB8+'17. mell. Sashalmi M.'!AB8+'18. mell. Margaréta'!AB8+'19.mell.Szentmihályi Játszókert'!AB8+'20. mell. M. Fecskefészek'!AB8+'21. mell. CMH'!AB8+'22. mell. Bölcsőde'!AB8+'23. mell. Terszoc.'!AB8+'24. mell. Napraforgó'!AB8+'25. mell. Kerületgazda'!AB8+'26. mell. Őrszolgálat'!AB8+'27. mell. KHEK'!AB8+'28. mell. KIO'!AB8</f>
        <v>0</v>
      </c>
      <c r="AC8" s="321">
        <f>+'9. mell. PMH'!AC8+'12. mell. Szakrendelő'!AC8+'13. mell. GAMESZ'!AC8+'14. mell. Gyerekkuckó'!AC8+'15. mell. Cinkotai H.'!AC8+'16. mell. Napsugár'!AC8+'17. mell. Sashalmi M.'!AC8+'18. mell. Margaréta'!AC8+'19.mell.Szentmihályi Játszókert'!AC8+'20. mell. M. Fecskefészek'!AC8+'21. mell. CMH'!AC8+'22. mell. Bölcsőde'!AC8+'23. mell. Terszoc.'!AC8+'24. mell. Napraforgó'!AC8+'25. mell. Kerületgazda'!AC8+'26. mell. Őrszolgálat'!AC8+'27. mell. KHEK'!AC8+'28. mell. KIO'!AC8</f>
        <v>0</v>
      </c>
      <c r="AD8" s="323"/>
      <c r="AE8" s="321">
        <f t="shared" ref="AE8:AE37" si="0">+G8-F8</f>
        <v>42614432</v>
      </c>
      <c r="AF8" s="321">
        <f t="shared" ref="AF8:AF37" si="1">+H8-G8</f>
        <v>42611804</v>
      </c>
      <c r="AG8" s="321">
        <f t="shared" ref="AG8:AG37" si="2">+I8-H8</f>
        <v>98464582</v>
      </c>
      <c r="AH8" s="321">
        <f t="shared" ref="AH8:AH37" si="3">+J8-I8</f>
        <v>0</v>
      </c>
      <c r="AI8" s="324">
        <f>+K8/I8</f>
        <v>0.99999999987241672</v>
      </c>
      <c r="AJ8" s="321">
        <f>+F8-D8</f>
        <v>600805486.26968002</v>
      </c>
      <c r="AK8" s="325">
        <f>+F8-'9. mell. PMH'!F8-'12. mell. Szakrendelő'!F8-'25. mell. Kerületgazda'!F8-'28. mell. KIO'!F8</f>
        <v>600138723.26968002</v>
      </c>
      <c r="AL8" s="325">
        <f>+G8-'9. mell. PMH'!G8-'12. mell. Szakrendelő'!G8-'25. mell. Kerületgazda'!G8-'28. mell. KIO'!G8</f>
        <v>623655262.26968002</v>
      </c>
      <c r="AM8" s="325">
        <f>+H8-'9. mell. PMH'!H8-'12. mell. Szakrendelő'!H8-'25. mell. Kerületgazda'!H8-'28. mell. KIO'!H8</f>
        <v>664719133.26968002</v>
      </c>
      <c r="AN8" s="325">
        <f>+I8-'9. mell. PMH'!I8-'12. mell. Szakrendelő'!I8-'25. mell. Kerületgazda'!I8-'28. mell. KIO'!I8</f>
        <v>806150867.26968002</v>
      </c>
      <c r="AO8" s="325">
        <f>+J8-'9. mell. PMH'!J8-'12. mell. Szakrendelő'!J8-'25. mell. Kerületgazda'!J8-'28. mell. KIO'!J8</f>
        <v>806150867.26968002</v>
      </c>
      <c r="AP8" s="325">
        <f>+K8-'9. mell. PMH'!K8-'12. mell. Szakrendelő'!K8-'25. mell. Kerületgazda'!K8-'28. mell. KIO'!K8</f>
        <v>806150867</v>
      </c>
      <c r="AQ8" s="1195">
        <f>+AL8-AK8</f>
        <v>23516539</v>
      </c>
      <c r="AR8" s="1195">
        <f>+AM8-AL8</f>
        <v>41063871</v>
      </c>
      <c r="AS8" s="1195">
        <f>+AN8-AM8</f>
        <v>141431734</v>
      </c>
      <c r="AT8" s="2647">
        <v>1904834855</v>
      </c>
      <c r="AU8" s="1593">
        <f>+E8-AT8</f>
        <v>0</v>
      </c>
    </row>
    <row r="9" spans="1:47" s="326" customFormat="1" ht="12" customHeight="1" thickBot="1">
      <c r="A9" s="313"/>
      <c r="B9" s="327" t="s">
        <v>176</v>
      </c>
      <c r="C9" s="328" t="s">
        <v>226</v>
      </c>
      <c r="D9" s="321">
        <f>+'9. mell. PMH'!D9+'12. mell. Szakrendelő'!D9+'13. mell. GAMESZ'!D9+'14. mell. Gyerekkuckó'!D9+'15. mell. Cinkotai H.'!D9+'16. mell. Napsugár'!D9+'17. mell. Sashalmi M.'!D9+'18. mell. Margaréta'!D9+'19.mell.Szentmihályi Játszókert'!D9+'20. mell. M. Fecskefészek'!D9+'21. mell. CMH'!D9+'22. mell. Bölcsőde'!D9+'23. mell. Terszoc.'!D9+'24. mell. Napraforgó'!D9+'25. mell. Kerületgazda'!D9+'26. mell. Őrszolgálat'!D9+'27. mell. KHEK'!D9+'28. mell. KIO'!D9</f>
        <v>970330</v>
      </c>
      <c r="E9" s="2587">
        <f>+'9. mell. PMH'!E9+'12. mell. Szakrendelő'!E9+'13. mell. GAMESZ'!E9+'14. mell. Gyerekkuckó'!E9+'15. mell. Cinkotai H.'!E9+'16. mell. Napsugár'!E9+'17. mell. Sashalmi M.'!E9+'18. mell. Margaréta'!E9+'19.mell.Szentmihályi Játszókert'!E9+'20. mell. M. Fecskefészek'!E9+'21. mell. CMH'!E9+'22. mell. Bölcsőde'!E9+'23. mell. Terszoc.'!E9+'24. mell. Napraforgó'!E9+'25. mell. Kerületgazda'!E9+'26. mell. Őrszolgálat'!E9+'27. mell. KHEK'!E9+'28. mell. KIO'!E9</f>
        <v>1187118</v>
      </c>
      <c r="F9" s="321">
        <f>+'9. mell. PMH'!F9+'12. mell. Szakrendelő'!F9+'13. mell. GAMESZ'!F9+'14. mell. Gyerekkuckó'!F9+'15. mell. Cinkotai H.'!F9+'16. mell. Napsugár'!F9+'17. mell. Sashalmi M.'!F9+'18. mell. Margaréta'!F9+'19.mell.Szentmihályi Játszókert'!F9+'20. mell. M. Fecskefészek'!F9+'21. mell. CMH'!F9+'22. mell. Bölcsőde'!F9+'23. mell. Terszoc.'!F9+'24. mell. Napraforgó'!F9+'25. mell. Kerületgazda'!F9+'26. mell. Őrszolgálat'!F9+'27. mell. KHEK'!F9+'28. mell. KIO'!F9</f>
        <v>1250000</v>
      </c>
      <c r="G9" s="321">
        <f>+'9. mell. PMH'!G9+'12. mell. Szakrendelő'!G9+'13. mell. GAMESZ'!G9+'14. mell. Gyerekkuckó'!G9+'15. mell. Cinkotai H.'!G9+'16. mell. Napsugár'!G9+'17. mell. Sashalmi M.'!G9+'18. mell. Margaréta'!G9+'19.mell.Szentmihályi Játszókert'!G9+'20. mell. M. Fecskefészek'!G9+'21. mell. CMH'!G9+'22. mell. Bölcsőde'!G9+'23. mell. Terszoc.'!G9+'24. mell. Napraforgó'!G9+'25. mell. Kerületgazda'!G9+'26. mell. Őrszolgálat'!G9+'27. mell. KHEK'!G9+'28. mell. KIO'!G9</f>
        <v>1250000</v>
      </c>
      <c r="H9" s="321">
        <f>+'9. mell. PMH'!H9+'12. mell. Szakrendelő'!H9+'13. mell. GAMESZ'!H9+'14. mell. Gyerekkuckó'!H9+'15. mell. Cinkotai H.'!H9+'16. mell. Napsugár'!H9+'17. mell. Sashalmi M.'!H9+'18. mell. Margaréta'!H9+'19.mell.Szentmihályi Játszókert'!H9+'20. mell. M. Fecskefészek'!H9+'21. mell. CMH'!H9+'22. mell. Bölcsőde'!H9+'23. mell. Terszoc.'!H9+'24. mell. Napraforgó'!H9+'25. mell. Kerületgazda'!H9+'26. mell. Őrszolgálat'!H9+'27. mell. KHEK'!H9+'28. mell. KIO'!H9</f>
        <v>1999700</v>
      </c>
      <c r="I9" s="321">
        <f>+'9. mell. PMH'!I9+'12. mell. Szakrendelő'!I9+'13. mell. GAMESZ'!I9+'14. mell. Gyerekkuckó'!I9+'15. mell. Cinkotai H.'!I9+'16. mell. Napsugár'!I9+'17. mell. Sashalmi M.'!I9+'18. mell. Margaréta'!I9+'19.mell.Szentmihályi Játszókert'!I9+'20. mell. M. Fecskefészek'!I9+'21. mell. CMH'!I9+'22. mell. Bölcsőde'!I9+'23. mell. Terszoc.'!I9+'24. mell. Napraforgó'!I9+'25. mell. Kerületgazda'!I9+'26. mell. Őrszolgálat'!I9+'27. mell. KHEK'!I9+'28. mell. KIO'!I9</f>
        <v>2013101</v>
      </c>
      <c r="J9" s="321">
        <f>+'9. mell. PMH'!J9+'12. mell. Szakrendelő'!J9+'13. mell. GAMESZ'!J9+'14. mell. Gyerekkuckó'!J9+'15. mell. Cinkotai H.'!J9+'16. mell. Napsugár'!J9+'17. mell. Sashalmi M.'!J9+'18. mell. Margaréta'!J9+'19.mell.Szentmihályi Játszókert'!J9+'20. mell. M. Fecskefészek'!J9+'21. mell. CMH'!J9+'22. mell. Bölcsőde'!J9+'23. mell. Terszoc.'!J9+'24. mell. Napraforgó'!J9+'25. mell. Kerületgazda'!J9+'26. mell. Őrszolgálat'!J9+'27. mell. KHEK'!J9+'28. mell. KIO'!J9</f>
        <v>2013101</v>
      </c>
      <c r="K9" s="2197">
        <f>+'9. mell. PMH'!K9+'12. mell. Szakrendelő'!K9+'13. mell. GAMESZ'!K9+'14. mell. Gyerekkuckó'!K9+'15. mell. Cinkotai H.'!K9+'16. mell. Napsugár'!K9+'17. mell. Sashalmi M.'!K9+'18. mell. Margaréta'!K9+'19.mell.Szentmihályi Játszókert'!K9+'20. mell. M. Fecskefészek'!K9+'21. mell. CMH'!K9+'22. mell. Bölcsőde'!K9+'23. mell. Terszoc.'!K9+'24. mell. Napraforgó'!K9+'25. mell. Kerületgazda'!K9+'26. mell. Őrszolgálat'!K9+'27. mell. KHEK'!K9+'28. mell. KIO'!K9</f>
        <v>2013101</v>
      </c>
      <c r="L9" s="321">
        <f>+'9. mell. PMH'!L9+'12. mell. Szakrendelő'!L9+'13. mell. GAMESZ'!L9+'14. mell. Gyerekkuckó'!L9+'15. mell. Cinkotai H.'!L9+'16. mell. Napsugár'!L9+'17. mell. Sashalmi M.'!L9+'18. mell. Margaréta'!L9+'19.mell.Szentmihályi Játszókert'!L9+'20. mell. M. Fecskefészek'!L9+'21. mell. CMH'!L9+'22. mell. Bölcsőde'!L9+'23. mell. Terszoc.'!L9+'24. mell. Napraforgó'!L9+'25. mell. Kerületgazda'!L9+'26. mell. Őrszolgálat'!L9+'27. mell. KHEK'!L9+'28. mell. KIO'!L9</f>
        <v>1250000</v>
      </c>
      <c r="M9" s="321">
        <f>+'9. mell. PMH'!M9+'12. mell. Szakrendelő'!M9+'13. mell. GAMESZ'!M9+'14. mell. Gyerekkuckó'!M9+'15. mell. Cinkotai H.'!M9+'16. mell. Napsugár'!M9+'17. mell. Sashalmi M.'!M9+'18. mell. Margaréta'!M9+'19.mell.Szentmihályi Játszókert'!M9+'20. mell. M. Fecskefészek'!M9+'21. mell. CMH'!M9+'22. mell. Bölcsőde'!M9+'23. mell. Terszoc.'!M9+'24. mell. Napraforgó'!M9+'25. mell. Kerületgazda'!M9+'26. mell. Őrszolgálat'!M9+'27. mell. KHEK'!M9+'28. mell. KIO'!M9</f>
        <v>1250000</v>
      </c>
      <c r="N9" s="321">
        <f>+'9. mell. PMH'!N9+'12. mell. Szakrendelő'!N9+'13. mell. GAMESZ'!N9+'14. mell. Gyerekkuckó'!N9+'15. mell. Cinkotai H.'!N9+'16. mell. Napsugár'!N9+'17. mell. Sashalmi M.'!N9+'18. mell. Margaréta'!N9+'19.mell.Szentmihályi Játszókert'!N9+'20. mell. M. Fecskefészek'!N9+'21. mell. CMH'!N9+'22. mell. Bölcsőde'!N9+'23. mell. Terszoc.'!N9+'24. mell. Napraforgó'!N9+'25. mell. Kerületgazda'!N9+'26. mell. Őrszolgálat'!N9+'27. mell. KHEK'!N9+'28. mell. KIO'!N9</f>
        <v>1999700</v>
      </c>
      <c r="O9" s="321">
        <f>+'9. mell. PMH'!O9+'12. mell. Szakrendelő'!O9+'13. mell. GAMESZ'!O9+'14. mell. Gyerekkuckó'!O9+'15. mell. Cinkotai H.'!O9+'16. mell. Napsugár'!O9+'17. mell. Sashalmi M.'!O9+'18. mell. Margaréta'!O9+'19.mell.Szentmihályi Játszókert'!O9+'20. mell. M. Fecskefészek'!O9+'21. mell. CMH'!O9+'22. mell. Bölcsőde'!O9+'23. mell. Terszoc.'!O9+'24. mell. Napraforgó'!O9+'25. mell. Kerületgazda'!O9+'26. mell. Őrszolgálat'!O9+'27. mell. KHEK'!O9+'28. mell. KIO'!O9</f>
        <v>2004813</v>
      </c>
      <c r="P9" s="321">
        <f>+'9. mell. PMH'!P9+'12. mell. Szakrendelő'!P9+'13. mell. GAMESZ'!P9+'14. mell. Gyerekkuckó'!P9+'15. mell. Cinkotai H.'!P9+'16. mell. Napsugár'!P9+'17. mell. Sashalmi M.'!P9+'18. mell. Margaréta'!P9+'19.mell.Szentmihályi Játszókert'!P9+'20. mell. M. Fecskefészek'!P9+'21. mell. CMH'!P9+'22. mell. Bölcsőde'!P9+'23. mell. Terszoc.'!P9+'24. mell. Napraforgó'!P9+'25. mell. Kerületgazda'!P9+'26. mell. Őrszolgálat'!P9+'27. mell. KHEK'!P9+'28. mell. KIO'!P9</f>
        <v>2004813</v>
      </c>
      <c r="Q9" s="321">
        <f>+'9. mell. PMH'!Q9+'12. mell. Szakrendelő'!Q9+'13. mell. GAMESZ'!Q9+'14. mell. Gyerekkuckó'!Q9+'15. mell. Cinkotai H.'!Q9+'16. mell. Napsugár'!Q9+'17. mell. Sashalmi M.'!Q9+'18. mell. Margaréta'!Q9+'19.mell.Szentmihályi Játszókert'!Q9+'20. mell. M. Fecskefészek'!Q9+'21. mell. CMH'!Q9+'22. mell. Bölcsőde'!Q9+'23. mell. Terszoc.'!Q9+'24. mell. Napraforgó'!Q9+'25. mell. Kerületgazda'!Q9+'26. mell. Őrszolgálat'!Q9+'27. mell. KHEK'!Q9+'28. mell. KIO'!Q9</f>
        <v>2004813</v>
      </c>
      <c r="R9" s="321">
        <f>+'9. mell. PMH'!R9+'12. mell. Szakrendelő'!R9+'13. mell. GAMESZ'!R9+'14. mell. Gyerekkuckó'!R9+'15. mell. Cinkotai H.'!R9+'16. mell. Napsugár'!R9+'17. mell. Sashalmi M.'!R9+'18. mell. Margaréta'!R9+'19.mell.Szentmihályi Játszókert'!R9+'20. mell. M. Fecskefészek'!R9+'21. mell. CMH'!R9+'22. mell. Bölcsőde'!R9+'23. mell. Terszoc.'!R9+'24. mell. Napraforgó'!R9+'25. mell. Kerületgazda'!R9+'26. mell. Őrszolgálat'!R9+'27. mell. KHEK'!R9+'28. mell. KIO'!R9</f>
        <v>0</v>
      </c>
      <c r="S9" s="321">
        <f>+'9. mell. PMH'!S9+'12. mell. Szakrendelő'!S9+'13. mell. GAMESZ'!S9+'14. mell. Gyerekkuckó'!S9+'15. mell. Cinkotai H.'!S9+'16. mell. Napsugár'!S9+'17. mell. Sashalmi M.'!S9+'18. mell. Margaréta'!S9+'19.mell.Szentmihályi Játszókert'!S9+'20. mell. M. Fecskefészek'!S9+'21. mell. CMH'!S9+'22. mell. Bölcsőde'!S9+'23. mell. Terszoc.'!S9+'24. mell. Napraforgó'!S9+'25. mell. Kerületgazda'!S9+'26. mell. Őrszolgálat'!S9+'27. mell. KHEK'!S9+'28. mell. KIO'!S9</f>
        <v>0</v>
      </c>
      <c r="T9" s="321">
        <f>+'9. mell. PMH'!T9+'12. mell. Szakrendelő'!T9+'13. mell. GAMESZ'!T9+'14. mell. Gyerekkuckó'!T9+'15. mell. Cinkotai H.'!T9+'16. mell. Napsugár'!T9+'17. mell. Sashalmi M.'!T9+'18. mell. Margaréta'!T9+'19.mell.Szentmihályi Játszókert'!T9+'20. mell. M. Fecskefészek'!T9+'21. mell. CMH'!T9+'22. mell. Bölcsőde'!T9+'23. mell. Terszoc.'!T9+'24. mell. Napraforgó'!T9+'25. mell. Kerületgazda'!T9+'26. mell. Őrszolgálat'!T9+'27. mell. KHEK'!T9+'28. mell. KIO'!T9</f>
        <v>0</v>
      </c>
      <c r="U9" s="321">
        <f>+'9. mell. PMH'!U9+'12. mell. Szakrendelő'!U9+'13. mell. GAMESZ'!U9+'14. mell. Gyerekkuckó'!U9+'15. mell. Cinkotai H.'!U9+'16. mell. Napsugár'!U9+'17. mell. Sashalmi M.'!U9+'18. mell. Margaréta'!U9+'19.mell.Szentmihályi Játszókert'!U9+'20. mell. M. Fecskefészek'!U9+'21. mell. CMH'!U9+'22. mell. Bölcsőde'!U9+'23. mell. Terszoc.'!U9+'24. mell. Napraforgó'!U9+'25. mell. Kerületgazda'!U9+'26. mell. Őrszolgálat'!U9+'27. mell. KHEK'!U9+'28. mell. KIO'!U9</f>
        <v>8288</v>
      </c>
      <c r="V9" s="321">
        <f>+'9. mell. PMH'!V9+'12. mell. Szakrendelő'!V9+'13. mell. GAMESZ'!V9+'14. mell. Gyerekkuckó'!V9+'15. mell. Cinkotai H.'!V9+'16. mell. Napsugár'!V9+'17. mell. Sashalmi M.'!V9+'18. mell. Margaréta'!V9+'19.mell.Szentmihályi Játszókert'!V9+'20. mell. M. Fecskefészek'!V9+'21. mell. CMH'!V9+'22. mell. Bölcsőde'!V9+'23. mell. Terszoc.'!V9+'24. mell. Napraforgó'!V9+'25. mell. Kerületgazda'!V9+'26. mell. Őrszolgálat'!V9+'27. mell. KHEK'!V9+'28. mell. KIO'!V9</f>
        <v>8288</v>
      </c>
      <c r="W9" s="321">
        <f>+'9. mell. PMH'!W9+'12. mell. Szakrendelő'!W9+'13. mell. GAMESZ'!W9+'14. mell. Gyerekkuckó'!W9+'15. mell. Cinkotai H.'!W9+'16. mell. Napsugár'!W9+'17. mell. Sashalmi M.'!W9+'18. mell. Margaréta'!W9+'19.mell.Szentmihályi Játszókert'!W9+'20. mell. M. Fecskefészek'!W9+'21. mell. CMH'!W9+'22. mell. Bölcsőde'!W9+'23. mell. Terszoc.'!W9+'24. mell. Napraforgó'!W9+'25. mell. Kerületgazda'!W9+'26. mell. Őrszolgálat'!W9+'27. mell. KHEK'!W9+'28. mell. KIO'!W9</f>
        <v>8288</v>
      </c>
      <c r="X9" s="321">
        <f>+'9. mell. PMH'!X9+'12. mell. Szakrendelő'!X9+'13. mell. GAMESZ'!X9+'14. mell. Gyerekkuckó'!X9+'15. mell. Cinkotai H.'!X9+'16. mell. Napsugár'!X9+'17. mell. Sashalmi M.'!X9+'18. mell. Margaréta'!X9+'19.mell.Szentmihályi Játszókert'!X9+'20. mell. M. Fecskefészek'!X9+'21. mell. CMH'!X9+'22. mell. Bölcsőde'!X9+'23. mell. Terszoc.'!X9+'24. mell. Napraforgó'!X9+'25. mell. Kerületgazda'!X9+'26. mell. Őrszolgálat'!X9+'27. mell. KHEK'!X9+'28. mell. KIO'!X9</f>
        <v>0</v>
      </c>
      <c r="Y9" s="321">
        <f>+'9. mell. PMH'!Y9+'12. mell. Szakrendelő'!Y9+'13. mell. GAMESZ'!Y9+'14. mell. Gyerekkuckó'!Y9+'15. mell. Cinkotai H.'!Y9+'16. mell. Napsugár'!Y9+'17. mell. Sashalmi M.'!Y9+'18. mell. Margaréta'!Y9+'19.mell.Szentmihályi Játszókert'!Y9+'20. mell. M. Fecskefészek'!Y9+'21. mell. CMH'!Y9+'22. mell. Bölcsőde'!Y9+'23. mell. Terszoc.'!Y9+'24. mell. Napraforgó'!Y9+'25. mell. Kerületgazda'!Y9+'26. mell. Őrszolgálat'!Y9+'27. mell. KHEK'!Y9+'28. mell. KIO'!Y9</f>
        <v>0</v>
      </c>
      <c r="Z9" s="321">
        <f>+'9. mell. PMH'!Z9+'12. mell. Szakrendelő'!Z9+'13. mell. GAMESZ'!Z9+'14. mell. Gyerekkuckó'!Z9+'15. mell. Cinkotai H.'!Z9+'16. mell. Napsugár'!Z9+'17. mell. Sashalmi M.'!Z9+'18. mell. Margaréta'!Z9+'19.mell.Szentmihályi Játszókert'!Z9+'20. mell. M. Fecskefészek'!Z9+'21. mell. CMH'!Z9+'22. mell. Bölcsőde'!Z9+'23. mell. Terszoc.'!Z9+'24. mell. Napraforgó'!Z9+'25. mell. Kerületgazda'!Z9+'26. mell. Őrszolgálat'!Z9+'27. mell. KHEK'!Z9+'28. mell. KIO'!Z9</f>
        <v>0</v>
      </c>
      <c r="AA9" s="321">
        <f>+'9. mell. PMH'!AA9+'12. mell. Szakrendelő'!AA9+'13. mell. GAMESZ'!AA9+'14. mell. Gyerekkuckó'!AA9+'15. mell. Cinkotai H.'!AA9+'16. mell. Napsugár'!AA9+'17. mell. Sashalmi M.'!AA9+'18. mell. Margaréta'!AA9+'19.mell.Szentmihályi Játszókert'!AA9+'20. mell. M. Fecskefészek'!AA9+'21. mell. CMH'!AA9+'22. mell. Bölcsőde'!AA9+'23. mell. Terszoc.'!AA9+'24. mell. Napraforgó'!AA9+'25. mell. Kerületgazda'!AA9+'26. mell. Őrszolgálat'!AA9+'27. mell. KHEK'!AA9+'28. mell. KIO'!AA9</f>
        <v>0</v>
      </c>
      <c r="AB9" s="321">
        <f>+'9. mell. PMH'!AB9+'12. mell. Szakrendelő'!AB9+'13. mell. GAMESZ'!AB9+'14. mell. Gyerekkuckó'!AB9+'15. mell. Cinkotai H.'!AB9+'16. mell. Napsugár'!AB9+'17. mell. Sashalmi M.'!AB9+'18. mell. Margaréta'!AB9+'19.mell.Szentmihályi Játszókert'!AB9+'20. mell. M. Fecskefészek'!AB9+'21. mell. CMH'!AB9+'22. mell. Bölcsőde'!AB9+'23. mell. Terszoc.'!AB9+'24. mell. Napraforgó'!AB9+'25. mell. Kerületgazda'!AB9+'26. mell. Őrszolgálat'!AB9+'27. mell. KHEK'!AB9+'28. mell. KIO'!AB9</f>
        <v>0</v>
      </c>
      <c r="AC9" s="321">
        <f>+'9. mell. PMH'!AC9+'12. mell. Szakrendelő'!AC9+'13. mell. GAMESZ'!AC9+'14. mell. Gyerekkuckó'!AC9+'15. mell. Cinkotai H.'!AC9+'16. mell. Napsugár'!AC9+'17. mell. Sashalmi M.'!AC9+'18. mell. Margaréta'!AC9+'19.mell.Szentmihályi Játszókert'!AC9+'20. mell. M. Fecskefészek'!AC9+'21. mell. CMH'!AC9+'22. mell. Bölcsőde'!AC9+'23. mell. Terszoc.'!AC9+'24. mell. Napraforgó'!AC9+'25. mell. Kerületgazda'!AC9+'26. mell. Őrszolgálat'!AC9+'27. mell. KHEK'!AC9+'28. mell. KIO'!AC9</f>
        <v>0</v>
      </c>
      <c r="AD9" s="323"/>
      <c r="AE9" s="321">
        <f t="shared" si="0"/>
        <v>0</v>
      </c>
      <c r="AF9" s="321">
        <f t="shared" si="1"/>
        <v>749700</v>
      </c>
      <c r="AG9" s="321">
        <f t="shared" si="2"/>
        <v>13401</v>
      </c>
      <c r="AH9" s="321">
        <f t="shared" si="3"/>
        <v>0</v>
      </c>
      <c r="AI9" s="324">
        <f>+K9/I9</f>
        <v>1</v>
      </c>
      <c r="AJ9" s="321">
        <f t="shared" ref="AJ9:AJ37" si="4">+F9-D9</f>
        <v>279670</v>
      </c>
      <c r="AK9" s="325">
        <f>+F9-'9. mell. PMH'!F9-'12. mell. Szakrendelő'!F9-'25. mell. Kerületgazda'!F9-'28. mell. KIO'!F9</f>
        <v>1250000</v>
      </c>
      <c r="AL9" s="325">
        <f>+G9-'9. mell. PMH'!G9-'12. mell. Szakrendelő'!G9-'25. mell. Kerületgazda'!G9-'28. mell. KIO'!G9</f>
        <v>1250000</v>
      </c>
      <c r="AM9" s="325">
        <f>+H9-'9. mell. PMH'!H9-'12. mell. Szakrendelő'!H9-'25. mell. Kerületgazda'!H9-'28. mell. KIO'!H9</f>
        <v>1999700</v>
      </c>
      <c r="AN9" s="325">
        <f>+I9-'9. mell. PMH'!I9-'12. mell. Szakrendelő'!I9-'25. mell. Kerületgazda'!I9-'28. mell. KIO'!I9</f>
        <v>1980608</v>
      </c>
      <c r="AO9" s="325">
        <f>+J9-'9. mell. PMH'!J9-'12. mell. Szakrendelő'!J9-'25. mell. Kerületgazda'!J9-'28. mell. KIO'!J9</f>
        <v>1980608</v>
      </c>
      <c r="AP9" s="325">
        <f>+K9-'9. mell. PMH'!K9-'12. mell. Szakrendelő'!K9-'25. mell. Kerületgazda'!K9-'28. mell. KIO'!K9</f>
        <v>1980608</v>
      </c>
      <c r="AQ9" s="1195">
        <f t="shared" ref="AQ9:AQ52" si="5">+AL9-AK9</f>
        <v>0</v>
      </c>
      <c r="AR9" s="1593">
        <f t="shared" ref="AR9:AR52" si="6">+AM9-AL9</f>
        <v>749700</v>
      </c>
      <c r="AS9" s="1195">
        <f t="shared" ref="AS9:AS54" si="7">+AN9-AM9</f>
        <v>-19092</v>
      </c>
      <c r="AT9" s="2647">
        <v>1187118</v>
      </c>
      <c r="AU9" s="1593">
        <f t="shared" ref="AU9:AU60" si="8">+E9-AT9</f>
        <v>0</v>
      </c>
    </row>
    <row r="10" spans="1:47" s="326" customFormat="1" ht="12" customHeight="1" thickBot="1">
      <c r="A10" s="313"/>
      <c r="B10" s="327" t="s">
        <v>178</v>
      </c>
      <c r="C10" s="328" t="s">
        <v>228</v>
      </c>
      <c r="D10" s="321">
        <f>+'9. mell. PMH'!D10+'12. mell. Szakrendelő'!D10+'13. mell. GAMESZ'!D10+'14. mell. Gyerekkuckó'!D10+'15. mell. Cinkotai H.'!D10+'16. mell. Napsugár'!D10+'17. mell. Sashalmi M.'!D10+'18. mell. Margaréta'!D10+'19.mell.Szentmihályi Játszókert'!D10+'20. mell. M. Fecskefészek'!D10+'21. mell. CMH'!D10+'22. mell. Bölcsőde'!D10+'23. mell. Terszoc.'!D10+'24. mell. Napraforgó'!D10+'25. mell. Kerületgazda'!D10+'26. mell. Őrszolgálat'!D10+'27. mell. KHEK'!D10+'28. mell. KIO'!D10</f>
        <v>359821341</v>
      </c>
      <c r="E10" s="2587">
        <f>+'9. mell. PMH'!E10+'12. mell. Szakrendelő'!E10+'13. mell. GAMESZ'!E10+'14. mell. Gyerekkuckó'!E10+'15. mell. Cinkotai H.'!E10+'16. mell. Napsugár'!E10+'17. mell. Sashalmi M.'!E10+'18. mell. Margaréta'!E10+'19.mell.Szentmihályi Játszókert'!E10+'20. mell. M. Fecskefészek'!E10+'21. mell. CMH'!E10+'22. mell. Bölcsőde'!E10+'23. mell. Terszoc.'!E10+'24. mell. Napraforgó'!E10+'25. mell. Kerületgazda'!E10+'26. mell. Őrszolgálat'!E10+'27. mell. KHEK'!E10+'28. mell. KIO'!E10</f>
        <v>406959022</v>
      </c>
      <c r="F10" s="321">
        <f>+'9. mell. PMH'!F10+'12. mell. Szakrendelő'!F10+'13. mell. GAMESZ'!F10+'14. mell. Gyerekkuckó'!F10+'15. mell. Cinkotai H.'!F10+'16. mell. Napsugár'!F10+'17. mell. Sashalmi M.'!F10+'18. mell. Margaréta'!F10+'19.mell.Szentmihályi Játszókert'!F10+'20. mell. M. Fecskefészek'!F10+'21. mell. CMH'!F10+'22. mell. Bölcsőde'!F10+'23. mell. Terszoc.'!F10+'24. mell. Napraforgó'!F10+'25. mell. Kerületgazda'!F10+'26. mell. Őrszolgálat'!F10+'27. mell. KHEK'!F10+'28. mell. KIO'!F10</f>
        <v>490107331</v>
      </c>
      <c r="G10" s="321">
        <f>+'9. mell. PMH'!G10+'12. mell. Szakrendelő'!G10+'13. mell. GAMESZ'!G10+'14. mell. Gyerekkuckó'!G10+'15. mell. Cinkotai H.'!G10+'16. mell. Napsugár'!G10+'17. mell. Sashalmi M.'!G10+'18. mell. Margaréta'!G10+'19.mell.Szentmihályi Játszókert'!G10+'20. mell. M. Fecskefészek'!G10+'21. mell. CMH'!G10+'22. mell. Bölcsőde'!G10+'23. mell. Terszoc.'!G10+'24. mell. Napraforgó'!G10+'25. mell. Kerületgazda'!G10+'26. mell. Őrszolgálat'!G10+'27. mell. KHEK'!G10+'28. mell. KIO'!G10</f>
        <v>466107331</v>
      </c>
      <c r="H10" s="321">
        <f>+'9. mell. PMH'!H10+'12. mell. Szakrendelő'!H10+'13. mell. GAMESZ'!H10+'14. mell. Gyerekkuckó'!H10+'15. mell. Cinkotai H.'!H10+'16. mell. Napsugár'!H10+'17. mell. Sashalmi M.'!H10+'18. mell. Margaréta'!H10+'19.mell.Szentmihályi Játszókert'!H10+'20. mell. M. Fecskefészek'!H10+'21. mell. CMH'!H10+'22. mell. Bölcsőde'!H10+'23. mell. Terszoc.'!H10+'24. mell. Napraforgó'!H10+'25. mell. Kerületgazda'!H10+'26. mell. Őrszolgálat'!H10+'27. mell. KHEK'!H10+'28. mell. KIO'!H10</f>
        <v>466107331</v>
      </c>
      <c r="I10" s="321">
        <f>+'9. mell. PMH'!I10+'12. mell. Szakrendelő'!I10+'13. mell. GAMESZ'!I10+'14. mell. Gyerekkuckó'!I10+'15. mell. Cinkotai H.'!I10+'16. mell. Napsugár'!I10+'17. mell. Sashalmi M.'!I10+'18. mell. Margaréta'!I10+'19.mell.Szentmihályi Játszókert'!I10+'20. mell. M. Fecskefészek'!I10+'21. mell. CMH'!I10+'22. mell. Bölcsőde'!I10+'23. mell. Terszoc.'!I10+'24. mell. Napraforgó'!I10+'25. mell. Kerületgazda'!I10+'26. mell. Őrszolgálat'!I10+'27. mell. KHEK'!I10+'28. mell. KIO'!I10</f>
        <v>440831960</v>
      </c>
      <c r="J10" s="321">
        <f>+'9. mell. PMH'!J10+'12. mell. Szakrendelő'!J10+'13. mell. GAMESZ'!J10+'14. mell. Gyerekkuckó'!J10+'15. mell. Cinkotai H.'!J10+'16. mell. Napsugár'!J10+'17. mell. Sashalmi M.'!J10+'18. mell. Margaréta'!J10+'19.mell.Szentmihályi Játszókert'!J10+'20. mell. M. Fecskefészek'!J10+'21. mell. CMH'!J10+'22. mell. Bölcsőde'!J10+'23. mell. Terszoc.'!J10+'24. mell. Napraforgó'!J10+'25. mell. Kerületgazda'!J10+'26. mell. Őrszolgálat'!J10+'27. mell. KHEK'!J10+'28. mell. KIO'!J10</f>
        <v>440831960</v>
      </c>
      <c r="K10" s="2197">
        <f>+'9. mell. PMH'!K10+'12. mell. Szakrendelő'!K10+'13. mell. GAMESZ'!K10+'14. mell. Gyerekkuckó'!K10+'15. mell. Cinkotai H.'!K10+'16. mell. Napsugár'!K10+'17. mell. Sashalmi M.'!K10+'18. mell. Margaréta'!K10+'19.mell.Szentmihályi Játszókert'!K10+'20. mell. M. Fecskefészek'!K10+'21. mell. CMH'!K10+'22. mell. Bölcsőde'!K10+'23. mell. Terszoc.'!K10+'24. mell. Napraforgó'!K10+'25. mell. Kerületgazda'!K10+'26. mell. Őrszolgálat'!K10+'27. mell. KHEK'!K10+'28. mell. KIO'!K10</f>
        <v>440831960</v>
      </c>
      <c r="L10" s="321">
        <f>+'9. mell. PMH'!L10+'12. mell. Szakrendelő'!L10+'13. mell. GAMESZ'!L10+'14. mell. Gyerekkuckó'!L10+'15. mell. Cinkotai H.'!L10+'16. mell. Napsugár'!L10+'17. mell. Sashalmi M.'!L10+'18. mell. Margaréta'!L10+'19.mell.Szentmihályi Játszókert'!L10+'20. mell. M. Fecskefészek'!L10+'21. mell. CMH'!L10+'22. mell. Bölcsőde'!L10+'23. mell. Terszoc.'!L10+'24. mell. Napraforgó'!L10+'25. mell. Kerületgazda'!L10+'26. mell. Őrszolgálat'!L10+'27. mell. KHEK'!L10+'28. mell. KIO'!L10</f>
        <v>77629293</v>
      </c>
      <c r="M10" s="321">
        <f>+'9. mell. PMH'!M10+'12. mell. Szakrendelő'!M10+'13. mell. GAMESZ'!M10+'14. mell. Gyerekkuckó'!M10+'15. mell. Cinkotai H.'!M10+'16. mell. Napsugár'!M10+'17. mell. Sashalmi M.'!M10+'18. mell. Margaréta'!M10+'19.mell.Szentmihályi Játszókert'!M10+'20. mell. M. Fecskefészek'!M10+'21. mell. CMH'!M10+'22. mell. Bölcsőde'!M10+'23. mell. Terszoc.'!M10+'24. mell. Napraforgó'!M10+'25. mell. Kerületgazda'!M10+'26. mell. Őrszolgálat'!M10+'27. mell. KHEK'!M10+'28. mell. KIO'!M10</f>
        <v>53629293</v>
      </c>
      <c r="N10" s="321">
        <f>+'9. mell. PMH'!N10+'12. mell. Szakrendelő'!N10+'13. mell. GAMESZ'!N10+'14. mell. Gyerekkuckó'!N10+'15. mell. Cinkotai H.'!N10+'16. mell. Napsugár'!N10+'17. mell. Sashalmi M.'!N10+'18. mell. Margaréta'!N10+'19.mell.Szentmihályi Játszókert'!N10+'20. mell. M. Fecskefészek'!N10+'21. mell. CMH'!N10+'22. mell. Bölcsőde'!N10+'23. mell. Terszoc.'!N10+'24. mell. Napraforgó'!N10+'25. mell. Kerületgazda'!N10+'26. mell. Őrszolgálat'!N10+'27. mell. KHEK'!N10+'28. mell. KIO'!N10</f>
        <v>53629293</v>
      </c>
      <c r="O10" s="321">
        <f>+'9. mell. PMH'!O10+'12. mell. Szakrendelő'!O10+'13. mell. GAMESZ'!O10+'14. mell. Gyerekkuckó'!O10+'15. mell. Cinkotai H.'!O10+'16. mell. Napsugár'!O10+'17. mell. Sashalmi M.'!O10+'18. mell. Margaréta'!O10+'19.mell.Szentmihályi Játszókert'!O10+'20. mell. M. Fecskefészek'!O10+'21. mell. CMH'!O10+'22. mell. Bölcsőde'!O10+'23. mell. Terszoc.'!O10+'24. mell. Napraforgó'!O10+'25. mell. Kerületgazda'!O10+'26. mell. Őrszolgálat'!O10+'27. mell. KHEK'!O10+'28. mell. KIO'!O10</f>
        <v>15853669</v>
      </c>
      <c r="P10" s="321">
        <f>+'9. mell. PMH'!P10+'12. mell. Szakrendelő'!P10+'13. mell. GAMESZ'!P10+'14. mell. Gyerekkuckó'!P10+'15. mell. Cinkotai H.'!P10+'16. mell. Napsugár'!P10+'17. mell. Sashalmi M.'!P10+'18. mell. Margaréta'!P10+'19.mell.Szentmihályi Játszókert'!P10+'20. mell. M. Fecskefészek'!P10+'21. mell. CMH'!P10+'22. mell. Bölcsőde'!P10+'23. mell. Terszoc.'!P10+'24. mell. Napraforgó'!P10+'25. mell. Kerületgazda'!P10+'26. mell. Őrszolgálat'!P10+'27. mell. KHEK'!P10+'28. mell. KIO'!P10</f>
        <v>15853669</v>
      </c>
      <c r="Q10" s="321">
        <f>+'9. mell. PMH'!Q10+'12. mell. Szakrendelő'!Q10+'13. mell. GAMESZ'!Q10+'14. mell. Gyerekkuckó'!Q10+'15. mell. Cinkotai H.'!Q10+'16. mell. Napsugár'!Q10+'17. mell. Sashalmi M.'!Q10+'18. mell. Margaréta'!Q10+'19.mell.Szentmihályi Játszókert'!Q10+'20. mell. M. Fecskefészek'!Q10+'21. mell. CMH'!Q10+'22. mell. Bölcsőde'!Q10+'23. mell. Terszoc.'!Q10+'24. mell. Napraforgó'!Q10+'25. mell. Kerületgazda'!Q10+'26. mell. Őrszolgálat'!Q10+'27. mell. KHEK'!Q10+'28. mell. KIO'!Q10</f>
        <v>15853669</v>
      </c>
      <c r="R10" s="321">
        <f>+'9. mell. PMH'!R10+'12. mell. Szakrendelő'!R10+'13. mell. GAMESZ'!R10+'14. mell. Gyerekkuckó'!R10+'15. mell. Cinkotai H.'!R10+'16. mell. Napsugár'!R10+'17. mell. Sashalmi M.'!R10+'18. mell. Margaréta'!R10+'19.mell.Szentmihályi Játszókert'!R10+'20. mell. M. Fecskefészek'!R10+'21. mell. CMH'!R10+'22. mell. Bölcsőde'!R10+'23. mell. Terszoc.'!R10+'24. mell. Napraforgó'!R10+'25. mell. Kerületgazda'!R10+'26. mell. Őrszolgálat'!R10+'27. mell. KHEK'!R10+'28. mell. KIO'!R10</f>
        <v>412478038</v>
      </c>
      <c r="S10" s="321">
        <f>+'9. mell. PMH'!S10+'12. mell. Szakrendelő'!S10+'13. mell. GAMESZ'!S10+'14. mell. Gyerekkuckó'!S10+'15. mell. Cinkotai H.'!S10+'16. mell. Napsugár'!S10+'17. mell. Sashalmi M.'!S10+'18. mell. Margaréta'!S10+'19.mell.Szentmihályi Játszókert'!S10+'20. mell. M. Fecskefészek'!S10+'21. mell. CMH'!S10+'22. mell. Bölcsőde'!S10+'23. mell. Terszoc.'!S10+'24. mell. Napraforgó'!S10+'25. mell. Kerületgazda'!S10+'26. mell. Őrszolgálat'!S10+'27. mell. KHEK'!S10+'28. mell. KIO'!S10</f>
        <v>412478038</v>
      </c>
      <c r="T10" s="321">
        <f>+'9. mell. PMH'!T10+'12. mell. Szakrendelő'!T10+'13. mell. GAMESZ'!T10+'14. mell. Gyerekkuckó'!T10+'15. mell. Cinkotai H.'!T10+'16. mell. Napsugár'!T10+'17. mell. Sashalmi M.'!T10+'18. mell. Margaréta'!T10+'19.mell.Szentmihályi Játszókert'!T10+'20. mell. M. Fecskefészek'!T10+'21. mell. CMH'!T10+'22. mell. Bölcsőde'!T10+'23. mell. Terszoc.'!T10+'24. mell. Napraforgó'!T10+'25. mell. Kerületgazda'!T10+'26. mell. Őrszolgálat'!T10+'27. mell. KHEK'!T10+'28. mell. KIO'!T10</f>
        <v>412478038</v>
      </c>
      <c r="U10" s="321">
        <f>+'9. mell. PMH'!U10+'12. mell. Szakrendelő'!U10+'13. mell. GAMESZ'!U10+'14. mell. Gyerekkuckó'!U10+'15. mell. Cinkotai H.'!U10+'16. mell. Napsugár'!U10+'17. mell. Sashalmi M.'!U10+'18. mell. Margaréta'!U10+'19.mell.Szentmihályi Játszókert'!U10+'20. mell. M. Fecskefészek'!U10+'21. mell. CMH'!U10+'22. mell. Bölcsőde'!U10+'23. mell. Terszoc.'!U10+'24. mell. Napraforgó'!U10+'25. mell. Kerületgazda'!U10+'26. mell. Őrszolgálat'!U10+'27. mell. KHEK'!U10+'28. mell. KIO'!U10</f>
        <v>424978291</v>
      </c>
      <c r="V10" s="321">
        <f>+'9. mell. PMH'!V10+'12. mell. Szakrendelő'!V10+'13. mell. GAMESZ'!V10+'14. mell. Gyerekkuckó'!V10+'15. mell. Cinkotai H.'!V10+'16. mell. Napsugár'!V10+'17. mell. Sashalmi M.'!V10+'18. mell. Margaréta'!V10+'19.mell.Szentmihályi Játszókert'!V10+'20. mell. M. Fecskefészek'!V10+'21. mell. CMH'!V10+'22. mell. Bölcsőde'!V10+'23. mell. Terszoc.'!V10+'24. mell. Napraforgó'!V10+'25. mell. Kerületgazda'!V10+'26. mell. Őrszolgálat'!V10+'27. mell. KHEK'!V10+'28. mell. KIO'!V10</f>
        <v>424978291</v>
      </c>
      <c r="W10" s="321">
        <f>+'9. mell. PMH'!W10+'12. mell. Szakrendelő'!W10+'13. mell. GAMESZ'!W10+'14. mell. Gyerekkuckó'!W10+'15. mell. Cinkotai H.'!W10+'16. mell. Napsugár'!W10+'17. mell. Sashalmi M.'!W10+'18. mell. Margaréta'!W10+'19.mell.Szentmihályi Játszókert'!W10+'20. mell. M. Fecskefészek'!W10+'21. mell. CMH'!W10+'22. mell. Bölcsőde'!W10+'23. mell. Terszoc.'!W10+'24. mell. Napraforgó'!W10+'25. mell. Kerületgazda'!W10+'26. mell. Őrszolgálat'!W10+'27. mell. KHEK'!W10+'28. mell. KIO'!W10</f>
        <v>424978291</v>
      </c>
      <c r="X10" s="321">
        <f>+'9. mell. PMH'!X10+'12. mell. Szakrendelő'!X10+'13. mell. GAMESZ'!X10+'14. mell. Gyerekkuckó'!X10+'15. mell. Cinkotai H.'!X10+'16. mell. Napsugár'!X10+'17. mell. Sashalmi M.'!X10+'18. mell. Margaréta'!X10+'19.mell.Szentmihályi Játszókert'!X10+'20. mell. M. Fecskefészek'!X10+'21. mell. CMH'!X10+'22. mell. Bölcsőde'!X10+'23. mell. Terszoc.'!X10+'24. mell. Napraforgó'!X10+'25. mell. Kerületgazda'!X10+'26. mell. Őrszolgálat'!X10+'27. mell. KHEK'!X10+'28. mell. KIO'!X10</f>
        <v>0</v>
      </c>
      <c r="Y10" s="321">
        <f>+'9. mell. PMH'!Y10+'12. mell. Szakrendelő'!Y10+'13. mell. GAMESZ'!Y10+'14. mell. Gyerekkuckó'!Y10+'15. mell. Cinkotai H.'!Y10+'16. mell. Napsugár'!Y10+'17. mell. Sashalmi M.'!Y10+'18. mell. Margaréta'!Y10+'19.mell.Szentmihályi Játszókert'!Y10+'20. mell. M. Fecskefészek'!Y10+'21. mell. CMH'!Y10+'22. mell. Bölcsőde'!Y10+'23. mell. Terszoc.'!Y10+'24. mell. Napraforgó'!Y10+'25. mell. Kerületgazda'!Y10+'26. mell. Őrszolgálat'!Y10+'27. mell. KHEK'!Y10+'28. mell. KIO'!Y10</f>
        <v>0</v>
      </c>
      <c r="Z10" s="321">
        <f>+'9. mell. PMH'!Z10+'12. mell. Szakrendelő'!Z10+'13. mell. GAMESZ'!Z10+'14. mell. Gyerekkuckó'!Z10+'15. mell. Cinkotai H.'!Z10+'16. mell. Napsugár'!Z10+'17. mell. Sashalmi M.'!Z10+'18. mell. Margaréta'!Z10+'19.mell.Szentmihályi Játszókert'!Z10+'20. mell. M. Fecskefészek'!Z10+'21. mell. CMH'!Z10+'22. mell. Bölcsőde'!Z10+'23. mell. Terszoc.'!Z10+'24. mell. Napraforgó'!Z10+'25. mell. Kerületgazda'!Z10+'26. mell. Őrszolgálat'!Z10+'27. mell. KHEK'!Z10+'28. mell. KIO'!Z10</f>
        <v>0</v>
      </c>
      <c r="AA10" s="321">
        <f>+'9. mell. PMH'!AA10+'12. mell. Szakrendelő'!AA10+'13. mell. GAMESZ'!AA10+'14. mell. Gyerekkuckó'!AA10+'15. mell. Cinkotai H.'!AA10+'16. mell. Napsugár'!AA10+'17. mell. Sashalmi M.'!AA10+'18. mell. Margaréta'!AA10+'19.mell.Szentmihályi Játszókert'!AA10+'20. mell. M. Fecskefészek'!AA10+'21. mell. CMH'!AA10+'22. mell. Bölcsőde'!AA10+'23. mell. Terszoc.'!AA10+'24. mell. Napraforgó'!AA10+'25. mell. Kerületgazda'!AA10+'26. mell. Őrszolgálat'!AA10+'27. mell. KHEK'!AA10+'28. mell. KIO'!AA10</f>
        <v>0</v>
      </c>
      <c r="AB10" s="321">
        <f>+'9. mell. PMH'!AB10+'12. mell. Szakrendelő'!AB10+'13. mell. GAMESZ'!AB10+'14. mell. Gyerekkuckó'!AB10+'15. mell. Cinkotai H.'!AB10+'16. mell. Napsugár'!AB10+'17. mell. Sashalmi M.'!AB10+'18. mell. Margaréta'!AB10+'19.mell.Szentmihályi Játszókert'!AB10+'20. mell. M. Fecskefészek'!AB10+'21. mell. CMH'!AB10+'22. mell. Bölcsőde'!AB10+'23. mell. Terszoc.'!AB10+'24. mell. Napraforgó'!AB10+'25. mell. Kerületgazda'!AB10+'26. mell. Őrszolgálat'!AB10+'27. mell. KHEK'!AB10+'28. mell. KIO'!AB10</f>
        <v>0</v>
      </c>
      <c r="AC10" s="321">
        <f>+'9. mell. PMH'!AC10+'12. mell. Szakrendelő'!AC10+'13. mell. GAMESZ'!AC10+'14. mell. Gyerekkuckó'!AC10+'15. mell. Cinkotai H.'!AC10+'16. mell. Napsugár'!AC10+'17. mell. Sashalmi M.'!AC10+'18. mell. Margaréta'!AC10+'19.mell.Szentmihályi Játszókert'!AC10+'20. mell. M. Fecskefészek'!AC10+'21. mell. CMH'!AC10+'22. mell. Bölcsőde'!AC10+'23. mell. Terszoc.'!AC10+'24. mell. Napraforgó'!AC10+'25. mell. Kerületgazda'!AC10+'26. mell. Őrszolgálat'!AC10+'27. mell. KHEK'!AC10+'28. mell. KIO'!AC10</f>
        <v>0</v>
      </c>
      <c r="AD10" s="323"/>
      <c r="AE10" s="321">
        <f t="shared" si="0"/>
        <v>-24000000</v>
      </c>
      <c r="AF10" s="321">
        <f t="shared" si="1"/>
        <v>0</v>
      </c>
      <c r="AG10" s="321">
        <f t="shared" si="2"/>
        <v>-25275371</v>
      </c>
      <c r="AH10" s="321">
        <f t="shared" si="3"/>
        <v>0</v>
      </c>
      <c r="AI10" s="324">
        <f>+K10/I10</f>
        <v>1</v>
      </c>
      <c r="AJ10" s="321">
        <f t="shared" si="4"/>
        <v>130285990</v>
      </c>
      <c r="AK10" s="325">
        <f>+F10-'9. mell. PMH'!F10-'12. mell. Szakrendelő'!F10-'25. mell. Kerületgazda'!F10-'28. mell. KIO'!F10</f>
        <v>302023155</v>
      </c>
      <c r="AL10" s="325">
        <f>+G10-'9. mell. PMH'!G10-'12. mell. Szakrendelő'!G10-'25. mell. Kerületgazda'!G10-'28. mell. KIO'!G10</f>
        <v>302023155</v>
      </c>
      <c r="AM10" s="325">
        <f>+H10-'9. mell. PMH'!H10-'12. mell. Szakrendelő'!H10-'25. mell. Kerületgazda'!H10-'28. mell. KIO'!H10</f>
        <v>302023155</v>
      </c>
      <c r="AN10" s="325">
        <f>+I10-'9. mell. PMH'!I10-'12. mell. Szakrendelő'!I10-'25. mell. Kerületgazda'!I10-'28. mell. KIO'!I10</f>
        <v>315603717</v>
      </c>
      <c r="AO10" s="325">
        <f>+J10-'9. mell. PMH'!J10-'12. mell. Szakrendelő'!J10-'25. mell. Kerületgazda'!J10-'28. mell. KIO'!J10</f>
        <v>315603717</v>
      </c>
      <c r="AP10" s="325">
        <f>+K10-'9. mell. PMH'!K10-'12. mell. Szakrendelő'!K10-'25. mell. Kerületgazda'!K10-'28. mell. KIO'!K10</f>
        <v>315603717</v>
      </c>
      <c r="AQ10" s="1195">
        <f t="shared" si="5"/>
        <v>0</v>
      </c>
      <c r="AR10" s="1593">
        <f t="shared" si="6"/>
        <v>0</v>
      </c>
      <c r="AS10" s="1195">
        <f t="shared" si="7"/>
        <v>13580562</v>
      </c>
      <c r="AT10" s="2647">
        <v>406959022</v>
      </c>
      <c r="AU10" s="1593">
        <f t="shared" si="8"/>
        <v>0</v>
      </c>
    </row>
    <row r="11" spans="1:47" s="326" customFormat="1" ht="12" customHeight="1" thickBot="1">
      <c r="A11" s="313"/>
      <c r="B11" s="330" t="s">
        <v>179</v>
      </c>
      <c r="C11" s="328" t="s">
        <v>460</v>
      </c>
      <c r="D11" s="321">
        <f>+'9. mell. PMH'!D11+'12. mell. Szakrendelő'!D11+'13. mell. GAMESZ'!D11+'14. mell. Gyerekkuckó'!D11+'15. mell. Cinkotai H.'!D11+'16. mell. Napsugár'!D11+'17. mell. Sashalmi M.'!D11+'18. mell. Margaréta'!D11+'19.mell.Szentmihályi Játszókert'!D11+'20. mell. M. Fecskefészek'!D11+'21. mell. CMH'!D11+'22. mell. Bölcsőde'!D11+'23. mell. Terszoc.'!D11+'24. mell. Napraforgó'!D11+'25. mell. Kerületgazda'!D11+'26. mell. Őrszolgálat'!D11+'27. mell. KHEK'!D11+'28. mell. KIO'!D11</f>
        <v>85241385</v>
      </c>
      <c r="E11" s="2587">
        <f>+'9. mell. PMH'!E11+'12. mell. Szakrendelő'!E11+'13. mell. GAMESZ'!E11+'14. mell. Gyerekkuckó'!E11+'15. mell. Cinkotai H.'!E11+'16. mell. Napsugár'!E11+'17. mell. Sashalmi M.'!E11+'18. mell. Margaréta'!E11+'19.mell.Szentmihályi Játszókert'!E11+'20. mell. M. Fecskefészek'!E11+'21. mell. CMH'!E11+'22. mell. Bölcsőde'!E11+'23. mell. Terszoc.'!E11+'24. mell. Napraforgó'!E11+'25. mell. Kerületgazda'!E11+'26. mell. Őrszolgálat'!E11+'27. mell. KHEK'!E11+'28. mell. KIO'!E11</f>
        <v>93910914</v>
      </c>
      <c r="F11" s="321">
        <f>+'9. mell. PMH'!F11+'12. mell. Szakrendelő'!F11+'13. mell. GAMESZ'!F11+'14. mell. Gyerekkuckó'!F11+'15. mell. Cinkotai H.'!F11+'16. mell. Napsugár'!F11+'17. mell. Sashalmi M.'!F11+'18. mell. Margaréta'!F11+'19.mell.Szentmihályi Játszókert'!F11+'20. mell. M. Fecskefészek'!F11+'21. mell. CMH'!F11+'22. mell. Bölcsőde'!F11+'23. mell. Terszoc.'!F11+'24. mell. Napraforgó'!F11+'25. mell. Kerületgazda'!F11+'26. mell. Őrszolgálat'!F11+'27. mell. KHEK'!F11+'28. mell. KIO'!F11</f>
        <v>97959821</v>
      </c>
      <c r="G11" s="321">
        <f>+'9. mell. PMH'!G11+'12. mell. Szakrendelő'!G11+'13. mell. GAMESZ'!G11+'14. mell. Gyerekkuckó'!G11+'15. mell. Cinkotai H.'!G11+'16. mell. Napsugár'!G11+'17. mell. Sashalmi M.'!G11+'18. mell. Margaréta'!G11+'19.mell.Szentmihályi Játszókert'!G11+'20. mell. M. Fecskefészek'!G11+'21. mell. CMH'!G11+'22. mell. Bölcsőde'!G11+'23. mell. Terszoc.'!G11+'24. mell. Napraforgó'!G11+'25. mell. Kerületgazda'!G11+'26. mell. Őrszolgálat'!G11+'27. mell. KHEK'!G11+'28. mell. KIO'!G11</f>
        <v>97959821</v>
      </c>
      <c r="H11" s="321">
        <f>+'9. mell. PMH'!H11+'12. mell. Szakrendelő'!H11+'13. mell. GAMESZ'!H11+'14. mell. Gyerekkuckó'!H11+'15. mell. Cinkotai H.'!H11+'16. mell. Napsugár'!H11+'17. mell. Sashalmi M.'!H11+'18. mell. Margaréta'!H11+'19.mell.Szentmihályi Játszókert'!H11+'20. mell. M. Fecskefészek'!H11+'21. mell. CMH'!H11+'22. mell. Bölcsőde'!H11+'23. mell. Terszoc.'!H11+'24. mell. Napraforgó'!H11+'25. mell. Kerületgazda'!H11+'26. mell. Őrszolgálat'!H11+'27. mell. KHEK'!H11+'28. mell. KIO'!H11</f>
        <v>97959821</v>
      </c>
      <c r="I11" s="321">
        <f>+'9. mell. PMH'!I11+'12. mell. Szakrendelő'!I11+'13. mell. GAMESZ'!I11+'14. mell. Gyerekkuckó'!I11+'15. mell. Cinkotai H.'!I11+'16. mell. Napsugár'!I11+'17. mell. Sashalmi M.'!I11+'18. mell. Margaréta'!I11+'19.mell.Szentmihályi Játszókert'!I11+'20. mell. M. Fecskefészek'!I11+'21. mell. CMH'!I11+'22. mell. Bölcsőde'!I11+'23. mell. Terszoc.'!I11+'24. mell. Napraforgó'!I11+'25. mell. Kerületgazda'!I11+'26. mell. Őrszolgálat'!I11+'27. mell. KHEK'!I11+'28. mell. KIO'!I11</f>
        <v>72590899</v>
      </c>
      <c r="J11" s="321">
        <f>+'9. mell. PMH'!J11+'12. mell. Szakrendelő'!J11+'13. mell. GAMESZ'!J11+'14. mell. Gyerekkuckó'!J11+'15. mell. Cinkotai H.'!J11+'16. mell. Napsugár'!J11+'17. mell. Sashalmi M.'!J11+'18. mell. Margaréta'!J11+'19.mell.Szentmihályi Játszókert'!J11+'20. mell. M. Fecskefészek'!J11+'21. mell. CMH'!J11+'22. mell. Bölcsőde'!J11+'23. mell. Terszoc.'!J11+'24. mell. Napraforgó'!J11+'25. mell. Kerületgazda'!J11+'26. mell. Őrszolgálat'!J11+'27. mell. KHEK'!J11+'28. mell. KIO'!J11</f>
        <v>72590899</v>
      </c>
      <c r="K11" s="2197">
        <f>+'9. mell. PMH'!K11+'12. mell. Szakrendelő'!K11+'13. mell. GAMESZ'!K11+'14. mell. Gyerekkuckó'!K11+'15. mell. Cinkotai H.'!K11+'16. mell. Napsugár'!K11+'17. mell. Sashalmi M.'!K11+'18. mell. Margaréta'!K11+'19.mell.Szentmihályi Játszókert'!K11+'20. mell. M. Fecskefészek'!K11+'21. mell. CMH'!K11+'22. mell. Bölcsőde'!K11+'23. mell. Terszoc.'!K11+'24. mell. Napraforgó'!K11+'25. mell. Kerületgazda'!K11+'26. mell. Őrszolgálat'!K11+'27. mell. KHEK'!K11+'28. mell. KIO'!K11</f>
        <v>72590899</v>
      </c>
      <c r="L11" s="321">
        <f>+'9. mell. PMH'!L11+'12. mell. Szakrendelő'!L11+'13. mell. GAMESZ'!L11+'14. mell. Gyerekkuckó'!L11+'15. mell. Cinkotai H.'!L11+'16. mell. Napsugár'!L11+'17. mell. Sashalmi M.'!L11+'18. mell. Margaréta'!L11+'19.mell.Szentmihályi Játszókert'!L11+'20. mell. M. Fecskefészek'!L11+'21. mell. CMH'!L11+'22. mell. Bölcsőde'!L11+'23. mell. Terszoc.'!L11+'24. mell. Napraforgó'!L11+'25. mell. Kerületgazda'!L11+'26. mell. Őrszolgálat'!L11+'27. mell. KHEK'!L11+'28. mell. KIO'!L11</f>
        <v>0</v>
      </c>
      <c r="M11" s="321">
        <f>+'9. mell. PMH'!M11+'12. mell. Szakrendelő'!M11+'13. mell. GAMESZ'!M11+'14. mell. Gyerekkuckó'!M11+'15. mell. Cinkotai H.'!M11+'16. mell. Napsugár'!M11+'17. mell. Sashalmi M.'!M11+'18. mell. Margaréta'!M11+'19.mell.Szentmihályi Játszókert'!M11+'20. mell. M. Fecskefészek'!M11+'21. mell. CMH'!M11+'22. mell. Bölcsőde'!M11+'23. mell. Terszoc.'!M11+'24. mell. Napraforgó'!M11+'25. mell. Kerületgazda'!M11+'26. mell. Őrszolgálat'!M11+'27. mell. KHEK'!M11+'28. mell. KIO'!M11</f>
        <v>0</v>
      </c>
      <c r="N11" s="321">
        <f>+'9. mell. PMH'!N11+'12. mell. Szakrendelő'!N11+'13. mell. GAMESZ'!N11+'14. mell. Gyerekkuckó'!N11+'15. mell. Cinkotai H.'!N11+'16. mell. Napsugár'!N11+'17. mell. Sashalmi M.'!N11+'18. mell. Margaréta'!N11+'19.mell.Szentmihályi Játszókert'!N11+'20. mell. M. Fecskefészek'!N11+'21. mell. CMH'!N11+'22. mell. Bölcsőde'!N11+'23. mell. Terszoc.'!N11+'24. mell. Napraforgó'!N11+'25. mell. Kerületgazda'!N11+'26. mell. Őrszolgálat'!N11+'27. mell. KHEK'!N11+'28. mell. KIO'!N11</f>
        <v>0</v>
      </c>
      <c r="O11" s="321">
        <f>+'9. mell. PMH'!O11+'12. mell. Szakrendelő'!O11+'13. mell. GAMESZ'!O11+'14. mell. Gyerekkuckó'!O11+'15. mell. Cinkotai H.'!O11+'16. mell. Napsugár'!O11+'17. mell. Sashalmi M.'!O11+'18. mell. Margaréta'!O11+'19.mell.Szentmihályi Játszókert'!O11+'20. mell. M. Fecskefészek'!O11+'21. mell. CMH'!O11+'22. mell. Bölcsőde'!O11+'23. mell. Terszoc.'!O11+'24. mell. Napraforgó'!O11+'25. mell. Kerületgazda'!O11+'26. mell. Őrszolgálat'!O11+'27. mell. KHEK'!O11+'28. mell. KIO'!O11</f>
        <v>1044049</v>
      </c>
      <c r="P11" s="321">
        <f>+'9. mell. PMH'!P11+'12. mell. Szakrendelő'!P11+'13. mell. GAMESZ'!P11+'14. mell. Gyerekkuckó'!P11+'15. mell. Cinkotai H.'!P11+'16. mell. Napsugár'!P11+'17. mell. Sashalmi M.'!P11+'18. mell. Margaréta'!P11+'19.mell.Szentmihályi Játszókert'!P11+'20. mell. M. Fecskefészek'!P11+'21. mell. CMH'!P11+'22. mell. Bölcsőde'!P11+'23. mell. Terszoc.'!P11+'24. mell. Napraforgó'!P11+'25. mell. Kerületgazda'!P11+'26. mell. Őrszolgálat'!P11+'27. mell. KHEK'!P11+'28. mell. KIO'!P11</f>
        <v>1044049</v>
      </c>
      <c r="Q11" s="321">
        <f>+'9. mell. PMH'!Q11+'12. mell. Szakrendelő'!Q11+'13. mell. GAMESZ'!Q11+'14. mell. Gyerekkuckó'!Q11+'15. mell. Cinkotai H.'!Q11+'16. mell. Napsugár'!Q11+'17. mell. Sashalmi M.'!Q11+'18. mell. Margaréta'!Q11+'19.mell.Szentmihályi Játszókert'!Q11+'20. mell. M. Fecskefészek'!Q11+'21. mell. CMH'!Q11+'22. mell. Bölcsőde'!Q11+'23. mell. Terszoc.'!Q11+'24. mell. Napraforgó'!Q11+'25. mell. Kerületgazda'!Q11+'26. mell. Őrszolgálat'!Q11+'27. mell. KHEK'!Q11+'28. mell. KIO'!Q11</f>
        <v>1044049</v>
      </c>
      <c r="R11" s="321">
        <f>+'9. mell. PMH'!R11+'12. mell. Szakrendelő'!R11+'13. mell. GAMESZ'!R11+'14. mell. Gyerekkuckó'!R11+'15. mell. Cinkotai H.'!R11+'16. mell. Napsugár'!R11+'17. mell. Sashalmi M.'!R11+'18. mell. Margaréta'!R11+'19.mell.Szentmihályi Játszókert'!R11+'20. mell. M. Fecskefészek'!R11+'21. mell. CMH'!R11+'22. mell. Bölcsőde'!R11+'23. mell. Terszoc.'!R11+'24. mell. Napraforgó'!R11+'25. mell. Kerületgazda'!R11+'26. mell. Őrszolgálat'!R11+'27. mell. KHEK'!R11+'28. mell. KIO'!R11</f>
        <v>97959821</v>
      </c>
      <c r="S11" s="321">
        <f>+'9. mell. PMH'!S11+'12. mell. Szakrendelő'!S11+'13. mell. GAMESZ'!S11+'14. mell. Gyerekkuckó'!S11+'15. mell. Cinkotai H.'!S11+'16. mell. Napsugár'!S11+'17. mell. Sashalmi M.'!S11+'18. mell. Margaréta'!S11+'19.mell.Szentmihályi Játszókert'!S11+'20. mell. M. Fecskefészek'!S11+'21. mell. CMH'!S11+'22. mell. Bölcsőde'!S11+'23. mell. Terszoc.'!S11+'24. mell. Napraforgó'!S11+'25. mell. Kerületgazda'!S11+'26. mell. Őrszolgálat'!S11+'27. mell. KHEK'!S11+'28. mell. KIO'!S11</f>
        <v>97959821</v>
      </c>
      <c r="T11" s="321">
        <f>+'9. mell. PMH'!T11+'12. mell. Szakrendelő'!T11+'13. mell. GAMESZ'!T11+'14. mell. Gyerekkuckó'!T11+'15. mell. Cinkotai H.'!T11+'16. mell. Napsugár'!T11+'17. mell. Sashalmi M.'!T11+'18. mell. Margaréta'!T11+'19.mell.Szentmihályi Játszókert'!T11+'20. mell. M. Fecskefészek'!T11+'21. mell. CMH'!T11+'22. mell. Bölcsőde'!T11+'23. mell. Terszoc.'!T11+'24. mell. Napraforgó'!T11+'25. mell. Kerületgazda'!T11+'26. mell. Őrszolgálat'!T11+'27. mell. KHEK'!T11+'28. mell. KIO'!T11</f>
        <v>97959821</v>
      </c>
      <c r="U11" s="321">
        <f>+'9. mell. PMH'!U11+'12. mell. Szakrendelő'!U11+'13. mell. GAMESZ'!U11+'14. mell. Gyerekkuckó'!U11+'15. mell. Cinkotai H.'!U11+'16. mell. Napsugár'!U11+'17. mell. Sashalmi M.'!U11+'18. mell. Margaréta'!U11+'19.mell.Szentmihályi Játszókert'!U11+'20. mell. M. Fecskefészek'!U11+'21. mell. CMH'!U11+'22. mell. Bölcsőde'!U11+'23. mell. Terszoc.'!U11+'24. mell. Napraforgó'!U11+'25. mell. Kerületgazda'!U11+'26. mell. Őrszolgálat'!U11+'27. mell. KHEK'!U11+'28. mell. KIO'!U11</f>
        <v>71546850</v>
      </c>
      <c r="V11" s="321">
        <f>+'9. mell. PMH'!V11+'12. mell. Szakrendelő'!V11+'13. mell. GAMESZ'!V11+'14. mell. Gyerekkuckó'!V11+'15. mell. Cinkotai H.'!V11+'16. mell. Napsugár'!V11+'17. mell. Sashalmi M.'!V11+'18. mell. Margaréta'!V11+'19.mell.Szentmihályi Játszókert'!V11+'20. mell. M. Fecskefészek'!V11+'21. mell. CMH'!V11+'22. mell. Bölcsőde'!V11+'23. mell. Terszoc.'!V11+'24. mell. Napraforgó'!V11+'25. mell. Kerületgazda'!V11+'26. mell. Őrszolgálat'!V11+'27. mell. KHEK'!V11+'28. mell. KIO'!V11</f>
        <v>71546850</v>
      </c>
      <c r="W11" s="321">
        <f>+'9. mell. PMH'!W11+'12. mell. Szakrendelő'!W11+'13. mell. GAMESZ'!W11+'14. mell. Gyerekkuckó'!W11+'15. mell. Cinkotai H.'!W11+'16. mell. Napsugár'!W11+'17. mell. Sashalmi M.'!W11+'18. mell. Margaréta'!W11+'19.mell.Szentmihályi Játszókert'!W11+'20. mell. M. Fecskefészek'!W11+'21. mell. CMH'!W11+'22. mell. Bölcsőde'!W11+'23. mell. Terszoc.'!W11+'24. mell. Napraforgó'!W11+'25. mell. Kerületgazda'!W11+'26. mell. Őrszolgálat'!W11+'27. mell. KHEK'!W11+'28. mell. KIO'!W11</f>
        <v>71546850</v>
      </c>
      <c r="X11" s="321">
        <f>+'9. mell. PMH'!X11+'12. mell. Szakrendelő'!X11+'13. mell. GAMESZ'!X11+'14. mell. Gyerekkuckó'!X11+'15. mell. Cinkotai H.'!X11+'16. mell. Napsugár'!X11+'17. mell. Sashalmi M.'!X11+'18. mell. Margaréta'!X11+'19.mell.Szentmihályi Játszókert'!X11+'20. mell. M. Fecskefészek'!X11+'21. mell. CMH'!X11+'22. mell. Bölcsőde'!X11+'23. mell. Terszoc.'!X11+'24. mell. Napraforgó'!X11+'25. mell. Kerületgazda'!X11+'26. mell. Őrszolgálat'!X11+'27. mell. KHEK'!X11+'28. mell. KIO'!X11</f>
        <v>0</v>
      </c>
      <c r="Y11" s="321">
        <f>+'9. mell. PMH'!Y11+'12. mell. Szakrendelő'!Y11+'13. mell. GAMESZ'!Y11+'14. mell. Gyerekkuckó'!Y11+'15. mell. Cinkotai H.'!Y11+'16. mell. Napsugár'!Y11+'17. mell. Sashalmi M.'!Y11+'18. mell. Margaréta'!Y11+'19.mell.Szentmihályi Játszókert'!Y11+'20. mell. M. Fecskefészek'!Y11+'21. mell. CMH'!Y11+'22. mell. Bölcsőde'!Y11+'23. mell. Terszoc.'!Y11+'24. mell. Napraforgó'!Y11+'25. mell. Kerületgazda'!Y11+'26. mell. Őrszolgálat'!Y11+'27. mell. KHEK'!Y11+'28. mell. KIO'!Y11</f>
        <v>0</v>
      </c>
      <c r="Z11" s="321">
        <f>+'9. mell. PMH'!Z11+'12. mell. Szakrendelő'!Z11+'13. mell. GAMESZ'!Z11+'14. mell. Gyerekkuckó'!Z11+'15. mell. Cinkotai H.'!Z11+'16. mell. Napsugár'!Z11+'17. mell. Sashalmi M.'!Z11+'18. mell. Margaréta'!Z11+'19.mell.Szentmihályi Játszókert'!Z11+'20. mell. M. Fecskefészek'!Z11+'21. mell. CMH'!Z11+'22. mell. Bölcsőde'!Z11+'23. mell. Terszoc.'!Z11+'24. mell. Napraforgó'!Z11+'25. mell. Kerületgazda'!Z11+'26. mell. Őrszolgálat'!Z11+'27. mell. KHEK'!Z11+'28. mell. KIO'!Z11</f>
        <v>0</v>
      </c>
      <c r="AA11" s="321">
        <f>+'9. mell. PMH'!AA11+'12. mell. Szakrendelő'!AA11+'13. mell. GAMESZ'!AA11+'14. mell. Gyerekkuckó'!AA11+'15. mell. Cinkotai H.'!AA11+'16. mell. Napsugár'!AA11+'17. mell. Sashalmi M.'!AA11+'18. mell. Margaréta'!AA11+'19.mell.Szentmihályi Játszókert'!AA11+'20. mell. M. Fecskefészek'!AA11+'21. mell. CMH'!AA11+'22. mell. Bölcsőde'!AA11+'23. mell. Terszoc.'!AA11+'24. mell. Napraforgó'!AA11+'25. mell. Kerületgazda'!AA11+'26. mell. Őrszolgálat'!AA11+'27. mell. KHEK'!AA11+'28. mell. KIO'!AA11</f>
        <v>0</v>
      </c>
      <c r="AB11" s="321">
        <f>+'9. mell. PMH'!AB11+'12. mell. Szakrendelő'!AB11+'13. mell. GAMESZ'!AB11+'14. mell. Gyerekkuckó'!AB11+'15. mell. Cinkotai H.'!AB11+'16. mell. Napsugár'!AB11+'17. mell. Sashalmi M.'!AB11+'18. mell. Margaréta'!AB11+'19.mell.Szentmihályi Játszókert'!AB11+'20. mell. M. Fecskefészek'!AB11+'21. mell. CMH'!AB11+'22. mell. Bölcsőde'!AB11+'23. mell. Terszoc.'!AB11+'24. mell. Napraforgó'!AB11+'25. mell. Kerületgazda'!AB11+'26. mell. Őrszolgálat'!AB11+'27. mell. KHEK'!AB11+'28. mell. KIO'!AB11</f>
        <v>0</v>
      </c>
      <c r="AC11" s="321">
        <f>+'9. mell. PMH'!AC11+'12. mell. Szakrendelő'!AC11+'13. mell. GAMESZ'!AC11+'14. mell. Gyerekkuckó'!AC11+'15. mell. Cinkotai H.'!AC11+'16. mell. Napsugár'!AC11+'17. mell. Sashalmi M.'!AC11+'18. mell. Margaréta'!AC11+'19.mell.Szentmihályi Játszókert'!AC11+'20. mell. M. Fecskefészek'!AC11+'21. mell. CMH'!AC11+'22. mell. Bölcsőde'!AC11+'23. mell. Terszoc.'!AC11+'24. mell. Napraforgó'!AC11+'25. mell. Kerületgazda'!AC11+'26. mell. Őrszolgálat'!AC11+'27. mell. KHEK'!AC11+'28. mell. KIO'!AC11</f>
        <v>0</v>
      </c>
      <c r="AD11" s="323"/>
      <c r="AE11" s="321">
        <f t="shared" si="0"/>
        <v>0</v>
      </c>
      <c r="AF11" s="321">
        <f t="shared" si="1"/>
        <v>0</v>
      </c>
      <c r="AG11" s="321">
        <f t="shared" si="2"/>
        <v>-25368922</v>
      </c>
      <c r="AH11" s="321">
        <f t="shared" si="3"/>
        <v>0</v>
      </c>
      <c r="AI11" s="324">
        <f>+K11/I11</f>
        <v>1</v>
      </c>
      <c r="AJ11" s="321">
        <f t="shared" si="4"/>
        <v>12718436</v>
      </c>
      <c r="AK11" s="325">
        <f>+F11-'9. mell. PMH'!F11-'12. mell. Szakrendelő'!F11-'25. mell. Kerületgazda'!F11-'28. mell. KIO'!F11</f>
        <v>30667049</v>
      </c>
      <c r="AL11" s="325">
        <f>+G11-'9. mell. PMH'!G11-'12. mell. Szakrendelő'!G11-'25. mell. Kerületgazda'!G11-'28. mell. KIO'!G11</f>
        <v>30667049</v>
      </c>
      <c r="AM11" s="325">
        <f>+H11-'9. mell. PMH'!H11-'12. mell. Szakrendelő'!H11-'25. mell. Kerületgazda'!H11-'28. mell. KIO'!H11</f>
        <v>30667049</v>
      </c>
      <c r="AN11" s="325">
        <f>+I11-'9. mell. PMH'!I11-'12. mell. Szakrendelő'!I11-'25. mell. Kerületgazda'!I11-'28. mell. KIO'!I11</f>
        <v>19349286</v>
      </c>
      <c r="AO11" s="325">
        <f>+J11-'9. mell. PMH'!J11-'12. mell. Szakrendelő'!J11-'25. mell. Kerületgazda'!J11-'28. mell. KIO'!J11</f>
        <v>19349286</v>
      </c>
      <c r="AP11" s="325">
        <f>+K11-'9. mell. PMH'!K11-'12. mell. Szakrendelő'!K11-'25. mell. Kerületgazda'!K11-'28. mell. KIO'!K11</f>
        <v>19349286</v>
      </c>
      <c r="AQ11" s="1195">
        <f t="shared" si="5"/>
        <v>0</v>
      </c>
      <c r="AR11" s="1593">
        <f t="shared" si="6"/>
        <v>0</v>
      </c>
      <c r="AS11" s="1195">
        <f t="shared" si="7"/>
        <v>-11317763</v>
      </c>
      <c r="AT11" s="2647">
        <v>93910914</v>
      </c>
      <c r="AU11" s="1593">
        <f t="shared" si="8"/>
        <v>0</v>
      </c>
    </row>
    <row r="12" spans="1:47" s="326" customFormat="1" ht="12" customHeight="1" thickBot="1">
      <c r="A12" s="313"/>
      <c r="B12" s="330" t="s">
        <v>180</v>
      </c>
      <c r="C12" s="328" t="s">
        <v>232</v>
      </c>
      <c r="D12" s="321">
        <f>+'9. mell. PMH'!D12+'12. mell. Szakrendelő'!D12+'13. mell. GAMESZ'!D12+'14. mell. Gyerekkuckó'!D12+'15. mell. Cinkotai H.'!D12+'16. mell. Napsugár'!D12+'17. mell. Sashalmi M.'!D12+'18. mell. Margaréta'!D12+'19.mell.Szentmihályi Játszókert'!D12+'20. mell. M. Fecskefészek'!D12+'21. mell. CMH'!D12+'22. mell. Bölcsőde'!D12+'23. mell. Terszoc.'!D12+'24. mell. Napraforgó'!D12+'25. mell. Kerületgazda'!D12+'26. mell. Őrszolgálat'!D12+'27. mell. KHEK'!D12+'28. mell. KIO'!D12</f>
        <v>0</v>
      </c>
      <c r="E12" s="2587">
        <f>+'9. mell. PMH'!E12+'12. mell. Szakrendelő'!E12+'13. mell. GAMESZ'!E12+'14. mell. Gyerekkuckó'!E12+'15. mell. Cinkotai H.'!E12+'16. mell. Napsugár'!E12+'17. mell. Sashalmi M.'!E12+'18. mell. Margaréta'!E12+'19.mell.Szentmihályi Játszókert'!E12+'20. mell. M. Fecskefészek'!E12+'21. mell. CMH'!E12+'22. mell. Bölcsőde'!E12+'23. mell. Terszoc.'!E12+'24. mell. Napraforgó'!E12+'25. mell. Kerületgazda'!E12+'26. mell. Őrszolgálat'!E12+'27. mell. KHEK'!E12+'28. mell. KIO'!E12</f>
        <v>0</v>
      </c>
      <c r="F12" s="321">
        <f>+'9. mell. PMH'!F12+'12. mell. Szakrendelő'!F12+'13. mell. GAMESZ'!F12+'14. mell. Gyerekkuckó'!F12+'15. mell. Cinkotai H.'!F12+'16. mell. Napsugár'!F12+'17. mell. Sashalmi M.'!F12+'18. mell. Margaréta'!F12+'19.mell.Szentmihályi Játszókert'!F12+'20. mell. M. Fecskefészek'!F12+'21. mell. CMH'!F12+'22. mell. Bölcsőde'!F12+'23. mell. Terszoc.'!F12+'24. mell. Napraforgó'!F12+'25. mell. Kerületgazda'!F12+'26. mell. Őrszolgálat'!F12+'27. mell. KHEK'!F12+'28. mell. KIO'!F12</f>
        <v>0</v>
      </c>
      <c r="G12" s="321">
        <f>+'9. mell. PMH'!G12+'12. mell. Szakrendelő'!G12+'13. mell. GAMESZ'!G12+'14. mell. Gyerekkuckó'!G12+'15. mell. Cinkotai H.'!G12+'16. mell. Napsugár'!G12+'17. mell. Sashalmi M.'!G12+'18. mell. Margaréta'!G12+'19.mell.Szentmihályi Játszókert'!G12+'20. mell. M. Fecskefészek'!G12+'21. mell. CMH'!G12+'22. mell. Bölcsőde'!G12+'23. mell. Terszoc.'!G12+'24. mell. Napraforgó'!G12+'25. mell. Kerületgazda'!G12+'26. mell. Őrszolgálat'!G12+'27. mell. KHEK'!G12+'28. mell. KIO'!G12</f>
        <v>0</v>
      </c>
      <c r="H12" s="321">
        <f>+'9. mell. PMH'!H12+'12. mell. Szakrendelő'!H12+'13. mell. GAMESZ'!H12+'14. mell. Gyerekkuckó'!H12+'15. mell. Cinkotai H.'!H12+'16. mell. Napsugár'!H12+'17. mell. Sashalmi M.'!H12+'18. mell. Margaréta'!H12+'19.mell.Szentmihályi Játszókert'!H12+'20. mell. M. Fecskefészek'!H12+'21. mell. CMH'!H12+'22. mell. Bölcsőde'!H12+'23. mell. Terszoc.'!H12+'24. mell. Napraforgó'!H12+'25. mell. Kerületgazda'!H12+'26. mell. Őrszolgálat'!H12+'27. mell. KHEK'!H12+'28. mell. KIO'!H12</f>
        <v>0</v>
      </c>
      <c r="I12" s="321">
        <f>+'9. mell. PMH'!I12+'12. mell. Szakrendelő'!I12+'13. mell. GAMESZ'!I12+'14. mell. Gyerekkuckó'!I12+'15. mell. Cinkotai H.'!I12+'16. mell. Napsugár'!I12+'17. mell. Sashalmi M.'!I12+'18. mell. Margaréta'!I12+'19.mell.Szentmihályi Játszókert'!I12+'20. mell. M. Fecskefészek'!I12+'21. mell. CMH'!I12+'22. mell. Bölcsőde'!I12+'23. mell. Terszoc.'!I12+'24. mell. Napraforgó'!I12+'25. mell. Kerületgazda'!I12+'26. mell. Őrszolgálat'!I12+'27. mell. KHEK'!I12+'28. mell. KIO'!I12</f>
        <v>0</v>
      </c>
      <c r="J12" s="321">
        <f>+'9. mell. PMH'!J12+'12. mell. Szakrendelő'!J12+'13. mell. GAMESZ'!J12+'14. mell. Gyerekkuckó'!J12+'15. mell. Cinkotai H.'!J12+'16. mell. Napsugár'!J12+'17. mell. Sashalmi M.'!J12+'18. mell. Margaréta'!J12+'19.mell.Szentmihályi Játszókert'!J12+'20. mell. M. Fecskefészek'!J12+'21. mell. CMH'!J12+'22. mell. Bölcsőde'!J12+'23. mell. Terszoc.'!J12+'24. mell. Napraforgó'!J12+'25. mell. Kerületgazda'!J12+'26. mell. Őrszolgálat'!J12+'27. mell. KHEK'!J12+'28. mell. KIO'!J12</f>
        <v>0</v>
      </c>
      <c r="K12" s="2197">
        <f>+'9. mell. PMH'!K12+'12. mell. Szakrendelő'!K12+'13. mell. GAMESZ'!K12+'14. mell. Gyerekkuckó'!K12+'15. mell. Cinkotai H.'!K12+'16. mell. Napsugár'!K12+'17. mell. Sashalmi M.'!K12+'18. mell. Margaréta'!K12+'19.mell.Szentmihályi Játszókert'!K12+'20. mell. M. Fecskefészek'!K12+'21. mell. CMH'!K12+'22. mell. Bölcsőde'!K12+'23. mell. Terszoc.'!K12+'24. mell. Napraforgó'!K12+'25. mell. Kerületgazda'!K12+'26. mell. Őrszolgálat'!K12+'27. mell. KHEK'!K12+'28. mell. KIO'!K12</f>
        <v>0</v>
      </c>
      <c r="L12" s="321">
        <f>+'9. mell. PMH'!L12+'12. mell. Szakrendelő'!L12+'13. mell. GAMESZ'!L12+'14. mell. Gyerekkuckó'!L12+'15. mell. Cinkotai H.'!L12+'16. mell. Napsugár'!L12+'17. mell. Sashalmi M.'!L12+'18. mell. Margaréta'!L12+'19.mell.Szentmihályi Játszókert'!L12+'20. mell. M. Fecskefészek'!L12+'21. mell. CMH'!L12+'22. mell. Bölcsőde'!L12+'23. mell. Terszoc.'!L12+'24. mell. Napraforgó'!L12+'25. mell. Kerületgazda'!L12+'26. mell. Őrszolgálat'!L12+'27. mell. KHEK'!L12+'28. mell. KIO'!L12</f>
        <v>0</v>
      </c>
      <c r="M12" s="321">
        <f>+'9. mell. PMH'!M12+'12. mell. Szakrendelő'!M12+'13. mell. GAMESZ'!M12+'14. mell. Gyerekkuckó'!M12+'15. mell. Cinkotai H.'!M12+'16. mell. Napsugár'!M12+'17. mell. Sashalmi M.'!M12+'18. mell. Margaréta'!M12+'19.mell.Szentmihályi Játszókert'!M12+'20. mell. M. Fecskefészek'!M12+'21. mell. CMH'!M12+'22. mell. Bölcsőde'!M12+'23. mell. Terszoc.'!M12+'24. mell. Napraforgó'!M12+'25. mell. Kerületgazda'!M12+'26. mell. Őrszolgálat'!M12+'27. mell. KHEK'!M12+'28. mell. KIO'!M12</f>
        <v>0</v>
      </c>
      <c r="N12" s="321">
        <f>+'9. mell. PMH'!N12+'12. mell. Szakrendelő'!N12+'13. mell. GAMESZ'!N12+'14. mell. Gyerekkuckó'!N12+'15. mell. Cinkotai H.'!N12+'16. mell. Napsugár'!N12+'17. mell. Sashalmi M.'!N12+'18. mell. Margaréta'!N12+'19.mell.Szentmihályi Játszókert'!N12+'20. mell. M. Fecskefészek'!N12+'21. mell. CMH'!N12+'22. mell. Bölcsőde'!N12+'23. mell. Terszoc.'!N12+'24. mell. Napraforgó'!N12+'25. mell. Kerületgazda'!N12+'26. mell. Őrszolgálat'!N12+'27. mell. KHEK'!N12+'28. mell. KIO'!N12</f>
        <v>0</v>
      </c>
      <c r="O12" s="321">
        <f>+'9. mell. PMH'!O12+'12. mell. Szakrendelő'!O12+'13. mell. GAMESZ'!O12+'14. mell. Gyerekkuckó'!O12+'15. mell. Cinkotai H.'!O12+'16. mell. Napsugár'!O12+'17. mell. Sashalmi M.'!O12+'18. mell. Margaréta'!O12+'19.mell.Szentmihályi Játszókert'!O12+'20. mell. M. Fecskefészek'!O12+'21. mell. CMH'!O12+'22. mell. Bölcsőde'!O12+'23. mell. Terszoc.'!O12+'24. mell. Napraforgó'!O12+'25. mell. Kerületgazda'!O12+'26. mell. Őrszolgálat'!O12+'27. mell. KHEK'!O12+'28. mell. KIO'!O12</f>
        <v>0</v>
      </c>
      <c r="P12" s="321">
        <f>+'9. mell. PMH'!P12+'12. mell. Szakrendelő'!P12+'13. mell. GAMESZ'!P12+'14. mell. Gyerekkuckó'!P12+'15. mell. Cinkotai H.'!P12+'16. mell. Napsugár'!P12+'17. mell. Sashalmi M.'!P12+'18. mell. Margaréta'!P12+'19.mell.Szentmihályi Játszókert'!P12+'20. mell. M. Fecskefészek'!P12+'21. mell. CMH'!P12+'22. mell. Bölcsőde'!P12+'23. mell. Terszoc.'!P12+'24. mell. Napraforgó'!P12+'25. mell. Kerületgazda'!P12+'26. mell. Őrszolgálat'!P12+'27. mell. KHEK'!P12+'28. mell. KIO'!P12</f>
        <v>0</v>
      </c>
      <c r="Q12" s="321">
        <f>+'9. mell. PMH'!Q12+'12. mell. Szakrendelő'!Q12+'13. mell. GAMESZ'!Q12+'14. mell. Gyerekkuckó'!Q12+'15. mell. Cinkotai H.'!Q12+'16. mell. Napsugár'!Q12+'17. mell. Sashalmi M.'!Q12+'18. mell. Margaréta'!Q12+'19.mell.Szentmihályi Játszókert'!Q12+'20. mell. M. Fecskefészek'!Q12+'21. mell. CMH'!Q12+'22. mell. Bölcsőde'!Q12+'23. mell. Terszoc.'!Q12+'24. mell. Napraforgó'!Q12+'25. mell. Kerületgazda'!Q12+'26. mell. Őrszolgálat'!Q12+'27. mell. KHEK'!Q12+'28. mell. KIO'!Q12</f>
        <v>0</v>
      </c>
      <c r="R12" s="321">
        <f>+'9. mell. PMH'!R12+'12. mell. Szakrendelő'!R12+'13. mell. GAMESZ'!R12+'14. mell. Gyerekkuckó'!R12+'15. mell. Cinkotai H.'!R12+'16. mell. Napsugár'!R12+'17. mell. Sashalmi M.'!R12+'18. mell. Margaréta'!R12+'19.mell.Szentmihályi Játszókert'!R12+'20. mell. M. Fecskefészek'!R12+'21. mell. CMH'!R12+'22. mell. Bölcsőde'!R12+'23. mell. Terszoc.'!R12+'24. mell. Napraforgó'!R12+'25. mell. Kerületgazda'!R12+'26. mell. Őrszolgálat'!R12+'27. mell. KHEK'!R12+'28. mell. KIO'!R12</f>
        <v>0</v>
      </c>
      <c r="S12" s="321">
        <f>+'9. mell. PMH'!S12+'12. mell. Szakrendelő'!S12+'13. mell. GAMESZ'!S12+'14. mell. Gyerekkuckó'!S12+'15. mell. Cinkotai H.'!S12+'16. mell. Napsugár'!S12+'17. mell. Sashalmi M.'!S12+'18. mell. Margaréta'!S12+'19.mell.Szentmihályi Játszókert'!S12+'20. mell. M. Fecskefészek'!S12+'21. mell. CMH'!S12+'22. mell. Bölcsőde'!S12+'23. mell. Terszoc.'!S12+'24. mell. Napraforgó'!S12+'25. mell. Kerületgazda'!S12+'26. mell. Őrszolgálat'!S12+'27. mell. KHEK'!S12+'28. mell. KIO'!S12</f>
        <v>0</v>
      </c>
      <c r="T12" s="321">
        <f>+'9. mell. PMH'!T12+'12. mell. Szakrendelő'!T12+'13. mell. GAMESZ'!T12+'14. mell. Gyerekkuckó'!T12+'15. mell. Cinkotai H.'!T12+'16. mell. Napsugár'!T12+'17. mell. Sashalmi M.'!T12+'18. mell. Margaréta'!T12+'19.mell.Szentmihályi Játszókert'!T12+'20. mell. M. Fecskefészek'!T12+'21. mell. CMH'!T12+'22. mell. Bölcsőde'!T12+'23. mell. Terszoc.'!T12+'24. mell. Napraforgó'!T12+'25. mell. Kerületgazda'!T12+'26. mell. Őrszolgálat'!T12+'27. mell. KHEK'!T12+'28. mell. KIO'!T12</f>
        <v>0</v>
      </c>
      <c r="U12" s="321">
        <f>+'9. mell. PMH'!U12+'12. mell. Szakrendelő'!U12+'13. mell. GAMESZ'!U12+'14. mell. Gyerekkuckó'!U12+'15. mell. Cinkotai H.'!U12+'16. mell. Napsugár'!U12+'17. mell. Sashalmi M.'!U12+'18. mell. Margaréta'!U12+'19.mell.Szentmihályi Játszókert'!U12+'20. mell. M. Fecskefészek'!U12+'21. mell. CMH'!U12+'22. mell. Bölcsőde'!U12+'23. mell. Terszoc.'!U12+'24. mell. Napraforgó'!U12+'25. mell. Kerületgazda'!U12+'26. mell. Őrszolgálat'!U12+'27. mell. KHEK'!U12+'28. mell. KIO'!U12</f>
        <v>0</v>
      </c>
      <c r="V12" s="321">
        <f>+'9. mell. PMH'!V12+'12. mell. Szakrendelő'!V12+'13. mell. GAMESZ'!V12+'14. mell. Gyerekkuckó'!V12+'15. mell. Cinkotai H.'!V12+'16. mell. Napsugár'!V12+'17. mell. Sashalmi M.'!V12+'18. mell. Margaréta'!V12+'19.mell.Szentmihályi Játszókert'!V12+'20. mell. M. Fecskefészek'!V12+'21. mell. CMH'!V12+'22. mell. Bölcsőde'!V12+'23. mell. Terszoc.'!V12+'24. mell. Napraforgó'!V12+'25. mell. Kerületgazda'!V12+'26. mell. Őrszolgálat'!V12+'27. mell. KHEK'!V12+'28. mell. KIO'!V12</f>
        <v>0</v>
      </c>
      <c r="W12" s="321">
        <f>+'9. mell. PMH'!W12+'12. mell. Szakrendelő'!W12+'13. mell. GAMESZ'!W12+'14. mell. Gyerekkuckó'!W12+'15. mell. Cinkotai H.'!W12+'16. mell. Napsugár'!W12+'17. mell. Sashalmi M.'!W12+'18. mell. Margaréta'!W12+'19.mell.Szentmihályi Játszókert'!W12+'20. mell. M. Fecskefészek'!W12+'21. mell. CMH'!W12+'22. mell. Bölcsőde'!W12+'23. mell. Terszoc.'!W12+'24. mell. Napraforgó'!W12+'25. mell. Kerületgazda'!W12+'26. mell. Őrszolgálat'!W12+'27. mell. KHEK'!W12+'28. mell. KIO'!W12</f>
        <v>0</v>
      </c>
      <c r="X12" s="321">
        <f>+'9. mell. PMH'!X12+'12. mell. Szakrendelő'!X12+'13. mell. GAMESZ'!X12+'14. mell. Gyerekkuckó'!X12+'15. mell. Cinkotai H.'!X12+'16. mell. Napsugár'!X12+'17. mell. Sashalmi M.'!X12+'18. mell. Margaréta'!X12+'19.mell.Szentmihályi Játszókert'!X12+'20. mell. M. Fecskefészek'!X12+'21. mell. CMH'!X12+'22. mell. Bölcsőde'!X12+'23. mell. Terszoc.'!X12+'24. mell. Napraforgó'!X12+'25. mell. Kerületgazda'!X12+'26. mell. Őrszolgálat'!X12+'27. mell. KHEK'!X12+'28. mell. KIO'!X12</f>
        <v>0</v>
      </c>
      <c r="Y12" s="321">
        <f>+'9. mell. PMH'!Y12+'12. mell. Szakrendelő'!Y12+'13. mell. GAMESZ'!Y12+'14. mell. Gyerekkuckó'!Y12+'15. mell. Cinkotai H.'!Y12+'16. mell. Napsugár'!Y12+'17. mell. Sashalmi M.'!Y12+'18. mell. Margaréta'!Y12+'19.mell.Szentmihályi Játszókert'!Y12+'20. mell. M. Fecskefészek'!Y12+'21. mell. CMH'!Y12+'22. mell. Bölcsőde'!Y12+'23. mell. Terszoc.'!Y12+'24. mell. Napraforgó'!Y12+'25. mell. Kerületgazda'!Y12+'26. mell. Őrszolgálat'!Y12+'27. mell. KHEK'!Y12+'28. mell. KIO'!Y12</f>
        <v>0</v>
      </c>
      <c r="Z12" s="321">
        <f>+'9. mell. PMH'!Z12+'12. mell. Szakrendelő'!Z12+'13. mell. GAMESZ'!Z12+'14. mell. Gyerekkuckó'!Z12+'15. mell. Cinkotai H.'!Z12+'16. mell. Napsugár'!Z12+'17. mell. Sashalmi M.'!Z12+'18. mell. Margaréta'!Z12+'19.mell.Szentmihályi Játszókert'!Z12+'20. mell. M. Fecskefészek'!Z12+'21. mell. CMH'!Z12+'22. mell. Bölcsőde'!Z12+'23. mell. Terszoc.'!Z12+'24. mell. Napraforgó'!Z12+'25. mell. Kerületgazda'!Z12+'26. mell. Őrszolgálat'!Z12+'27. mell. KHEK'!Z12+'28. mell. KIO'!Z12</f>
        <v>0</v>
      </c>
      <c r="AA12" s="321">
        <f>+'9. mell. PMH'!AA12+'12. mell. Szakrendelő'!AA12+'13. mell. GAMESZ'!AA12+'14. mell. Gyerekkuckó'!AA12+'15. mell. Cinkotai H.'!AA12+'16. mell. Napsugár'!AA12+'17. mell. Sashalmi M.'!AA12+'18. mell. Margaréta'!AA12+'19.mell.Szentmihályi Játszókert'!AA12+'20. mell. M. Fecskefészek'!AA12+'21. mell. CMH'!AA12+'22. mell. Bölcsőde'!AA12+'23. mell. Terszoc.'!AA12+'24. mell. Napraforgó'!AA12+'25. mell. Kerületgazda'!AA12+'26. mell. Őrszolgálat'!AA12+'27. mell. KHEK'!AA12+'28. mell. KIO'!AA12</f>
        <v>0</v>
      </c>
      <c r="AB12" s="321">
        <f>+'9. mell. PMH'!AB12+'12. mell. Szakrendelő'!AB12+'13. mell. GAMESZ'!AB12+'14. mell. Gyerekkuckó'!AB12+'15. mell. Cinkotai H.'!AB12+'16. mell. Napsugár'!AB12+'17. mell. Sashalmi M.'!AB12+'18. mell. Margaréta'!AB12+'19.mell.Szentmihályi Játszókert'!AB12+'20. mell. M. Fecskefészek'!AB12+'21. mell. CMH'!AB12+'22. mell. Bölcsőde'!AB12+'23. mell. Terszoc.'!AB12+'24. mell. Napraforgó'!AB12+'25. mell. Kerületgazda'!AB12+'26. mell. Őrszolgálat'!AB12+'27. mell. KHEK'!AB12+'28. mell. KIO'!AB12</f>
        <v>0</v>
      </c>
      <c r="AC12" s="321">
        <f>+'9. mell. PMH'!AC12+'12. mell. Szakrendelő'!AC12+'13. mell. GAMESZ'!AC12+'14. mell. Gyerekkuckó'!AC12+'15. mell. Cinkotai H.'!AC12+'16. mell. Napsugár'!AC12+'17. mell. Sashalmi M.'!AC12+'18. mell. Margaréta'!AC12+'19.mell.Szentmihályi Játszókert'!AC12+'20. mell. M. Fecskefészek'!AC12+'21. mell. CMH'!AC12+'22. mell. Bölcsőde'!AC12+'23. mell. Terszoc.'!AC12+'24. mell. Napraforgó'!AC12+'25. mell. Kerületgazda'!AC12+'26. mell. Őrszolgálat'!AC12+'27. mell. KHEK'!AC12+'28. mell. KIO'!AC12</f>
        <v>0</v>
      </c>
      <c r="AD12" s="323"/>
      <c r="AE12" s="321">
        <f t="shared" si="0"/>
        <v>0</v>
      </c>
      <c r="AF12" s="321">
        <f t="shared" si="1"/>
        <v>0</v>
      </c>
      <c r="AG12" s="321">
        <f t="shared" si="2"/>
        <v>0</v>
      </c>
      <c r="AH12" s="321">
        <f t="shared" si="3"/>
        <v>0</v>
      </c>
      <c r="AI12" s="324"/>
      <c r="AJ12" s="321">
        <f t="shared" si="4"/>
        <v>0</v>
      </c>
      <c r="AK12" s="325">
        <f>+F12-'9. mell. PMH'!F12-'12. mell. Szakrendelő'!F12-'25. mell. Kerületgazda'!F12-'28. mell. KIO'!F12</f>
        <v>0</v>
      </c>
      <c r="AL12" s="325">
        <f>+G12-'9. mell. PMH'!G12-'12. mell. Szakrendelő'!G12-'25. mell. Kerületgazda'!G12-'28. mell. KIO'!G12</f>
        <v>0</v>
      </c>
      <c r="AM12" s="325">
        <f>+H12-'9. mell. PMH'!H12-'12. mell. Szakrendelő'!H12-'25. mell. Kerületgazda'!H12-'28. mell. KIO'!H12</f>
        <v>0</v>
      </c>
      <c r="AN12" s="325">
        <f>+I12-'9. mell. PMH'!I12-'12. mell. Szakrendelő'!I12-'25. mell. Kerületgazda'!I12-'28. mell. KIO'!I12</f>
        <v>0</v>
      </c>
      <c r="AO12" s="325">
        <f>+J12-'9. mell. PMH'!J12-'12. mell. Szakrendelő'!J12-'25. mell. Kerületgazda'!J12-'28. mell. KIO'!J12</f>
        <v>0</v>
      </c>
      <c r="AP12" s="325">
        <f>+K12-'9. mell. PMH'!K12-'12. mell. Szakrendelő'!K12-'25. mell. Kerületgazda'!K12-'28. mell. KIO'!K12</f>
        <v>0</v>
      </c>
      <c r="AQ12" s="1195">
        <f t="shared" si="5"/>
        <v>0</v>
      </c>
      <c r="AR12" s="1593">
        <f t="shared" si="6"/>
        <v>0</v>
      </c>
      <c r="AS12" s="1195">
        <f t="shared" si="7"/>
        <v>0</v>
      </c>
      <c r="AT12" s="2647">
        <v>0</v>
      </c>
      <c r="AU12" s="1593">
        <f t="shared" si="8"/>
        <v>0</v>
      </c>
    </row>
    <row r="13" spans="1:47" s="326" customFormat="1" ht="12" customHeight="1" thickBot="1">
      <c r="A13" s="313"/>
      <c r="B13" s="330" t="s">
        <v>181</v>
      </c>
      <c r="C13" s="328" t="s">
        <v>234</v>
      </c>
      <c r="D13" s="321">
        <f>+'9. mell. PMH'!D13+'12. mell. Szakrendelő'!D13+'13. mell. GAMESZ'!D13+'14. mell. Gyerekkuckó'!D13+'15. mell. Cinkotai H.'!D13+'16. mell. Napsugár'!D13+'17. mell. Sashalmi M.'!D13+'18. mell. Margaréta'!D13+'19.mell.Szentmihályi Játszókert'!D13+'20. mell. M. Fecskefészek'!D13+'21. mell. CMH'!D13+'22. mell. Bölcsőde'!D13+'23. mell. Terszoc.'!D13+'24. mell. Napraforgó'!D13+'25. mell. Kerületgazda'!D13+'26. mell. Őrszolgálat'!D13+'27. mell. KHEK'!D13+'28. mell. KIO'!D13</f>
        <v>591995348</v>
      </c>
      <c r="E13" s="2587">
        <f>+'9. mell. PMH'!E13+'12. mell. Szakrendelő'!E13+'13. mell. GAMESZ'!E13+'14. mell. Gyerekkuckó'!E13+'15. mell. Cinkotai H.'!E13+'16. mell. Napsugár'!E13+'17. mell. Sashalmi M.'!E13+'18. mell. Margaréta'!E13+'19.mell.Szentmihályi Játszókert'!E13+'20. mell. M. Fecskefészek'!E13+'21. mell. CMH'!E13+'22. mell. Bölcsőde'!E13+'23. mell. Terszoc.'!E13+'24. mell. Napraforgó'!E13+'25. mell. Kerületgazda'!E13+'26. mell. Őrszolgálat'!E13+'27. mell. KHEK'!E13+'28. mell. KIO'!E13</f>
        <v>624915030</v>
      </c>
      <c r="F13" s="321">
        <f>+'9. mell. PMH'!F13+'12. mell. Szakrendelő'!F13+'13. mell. GAMESZ'!F13+'14. mell. Gyerekkuckó'!F13+'15. mell. Cinkotai H.'!F13+'16. mell. Napsugár'!F13+'17. mell. Sashalmi M.'!F13+'18. mell. Margaréta'!F13+'19.mell.Szentmihályi Játszókert'!F13+'20. mell. M. Fecskefészek'!F13+'21. mell. CMH'!F13+'22. mell. Bölcsőde'!F13+'23. mell. Terszoc.'!F13+'24. mell. Napraforgó'!F13+'25. mell. Kerületgazda'!F13+'26. mell. Őrszolgálat'!F13+'27. mell. KHEK'!F13+'28. mell. KIO'!F13</f>
        <v>1019155664</v>
      </c>
      <c r="G13" s="321">
        <f>+'9. mell. PMH'!G13+'12. mell. Szakrendelő'!G13+'13. mell. GAMESZ'!G13+'14. mell. Gyerekkuckó'!G13+'15. mell. Cinkotai H.'!G13+'16. mell. Napsugár'!G13+'17. mell. Sashalmi M.'!G13+'18. mell. Margaréta'!G13+'19.mell.Szentmihályi Játszókert'!G13+'20. mell. M. Fecskefészek'!G13+'21. mell. CMH'!G13+'22. mell. Bölcsőde'!G13+'23. mell. Terszoc.'!G13+'24. mell. Napraforgó'!G13+'25. mell. Kerületgazda'!G13+'26. mell. Őrszolgálat'!G13+'27. mell. KHEK'!G13+'28. mell. KIO'!G13</f>
        <v>1019155664</v>
      </c>
      <c r="H13" s="321">
        <f>+'9. mell. PMH'!H13+'12. mell. Szakrendelő'!H13+'13. mell. GAMESZ'!H13+'14. mell. Gyerekkuckó'!H13+'15. mell. Cinkotai H.'!H13+'16. mell. Napsugár'!H13+'17. mell. Sashalmi M.'!H13+'18. mell. Margaréta'!H13+'19.mell.Szentmihályi Játszókert'!H13+'20. mell. M. Fecskefészek'!H13+'21. mell. CMH'!H13+'22. mell. Bölcsőde'!H13+'23. mell. Terszoc.'!H13+'24. mell. Napraforgó'!H13+'25. mell. Kerületgazda'!H13+'26. mell. Őrszolgálat'!H13+'27. mell. KHEK'!H13+'28. mell. KIO'!H13</f>
        <v>949155664</v>
      </c>
      <c r="I13" s="321">
        <f>+'9. mell. PMH'!I13+'12. mell. Szakrendelő'!I13+'13. mell. GAMESZ'!I13+'14. mell. Gyerekkuckó'!I13+'15. mell. Cinkotai H.'!I13+'16. mell. Napsugár'!I13+'17. mell. Sashalmi M.'!I13+'18. mell. Margaréta'!I13+'19.mell.Szentmihályi Játszókert'!I13+'20. mell. M. Fecskefészek'!I13+'21. mell. CMH'!I13+'22. mell. Bölcsőde'!I13+'23. mell. Terszoc.'!I13+'24. mell. Napraforgó'!I13+'25. mell. Kerületgazda'!I13+'26. mell. Őrszolgálat'!I13+'27. mell. KHEK'!I13+'28. mell. KIO'!I13</f>
        <v>842125343</v>
      </c>
      <c r="J13" s="321">
        <f>+'9. mell. PMH'!J13+'12. mell. Szakrendelő'!J13+'13. mell. GAMESZ'!J13+'14. mell. Gyerekkuckó'!J13+'15. mell. Cinkotai H.'!J13+'16. mell. Napsugár'!J13+'17. mell. Sashalmi M.'!J13+'18. mell. Margaréta'!J13+'19.mell.Szentmihályi Játszókert'!J13+'20. mell. M. Fecskefészek'!J13+'21. mell. CMH'!J13+'22. mell. Bölcsőde'!J13+'23. mell. Terszoc.'!J13+'24. mell. Napraforgó'!J13+'25. mell. Kerületgazda'!J13+'26. mell. Őrszolgálat'!J13+'27. mell. KHEK'!J13+'28. mell. KIO'!J13</f>
        <v>842125343</v>
      </c>
      <c r="K13" s="2197">
        <f>+'9. mell. PMH'!K13+'12. mell. Szakrendelő'!K13+'13. mell. GAMESZ'!K13+'14. mell. Gyerekkuckó'!K13+'15. mell. Cinkotai H.'!K13+'16. mell. Napsugár'!K13+'17. mell. Sashalmi M.'!K13+'18. mell. Margaréta'!K13+'19.mell.Szentmihályi Játszókert'!K13+'20. mell. M. Fecskefészek'!K13+'21. mell. CMH'!K13+'22. mell. Bölcsőde'!K13+'23. mell. Terszoc.'!K13+'24. mell. Napraforgó'!K13+'25. mell. Kerületgazda'!K13+'26. mell. Őrszolgálat'!K13+'27. mell. KHEK'!K13+'28. mell. KIO'!K13</f>
        <v>842125344</v>
      </c>
      <c r="L13" s="321">
        <f>+'9. mell. PMH'!L13+'12. mell. Szakrendelő'!L13+'13. mell. GAMESZ'!L13+'14. mell. Gyerekkuckó'!L13+'15. mell. Cinkotai H.'!L13+'16. mell. Napsugár'!L13+'17. mell. Sashalmi M.'!L13+'18. mell. Margaréta'!L13+'19.mell.Szentmihályi Játszókert'!L13+'20. mell. M. Fecskefészek'!L13+'21. mell. CMH'!L13+'22. mell. Bölcsőde'!L13+'23. mell. Terszoc.'!L13+'24. mell. Napraforgó'!L13+'25. mell. Kerületgazda'!L13+'26. mell. Őrszolgálat'!L13+'27. mell. KHEK'!L13+'28. mell. KIO'!L13</f>
        <v>344467496</v>
      </c>
      <c r="M13" s="321">
        <f>+'9. mell. PMH'!M13+'12. mell. Szakrendelő'!M13+'13. mell. GAMESZ'!M13+'14. mell. Gyerekkuckó'!M13+'15. mell. Cinkotai H.'!M13+'16. mell. Napsugár'!M13+'17. mell. Sashalmi M.'!M13+'18. mell. Margaréta'!M13+'19.mell.Szentmihályi Játszókert'!M13+'20. mell. M. Fecskefészek'!M13+'21. mell. CMH'!M13+'22. mell. Bölcsőde'!M13+'23. mell. Terszoc.'!M13+'24. mell. Napraforgó'!M13+'25. mell. Kerületgazda'!M13+'26. mell. Őrszolgálat'!M13+'27. mell. KHEK'!M13+'28. mell. KIO'!M13</f>
        <v>344467496</v>
      </c>
      <c r="N13" s="321">
        <f>+'9. mell. PMH'!N13+'12. mell. Szakrendelő'!N13+'13. mell. GAMESZ'!N13+'14. mell. Gyerekkuckó'!N13+'15. mell. Cinkotai H.'!N13+'16. mell. Napsugár'!N13+'17. mell. Sashalmi M.'!N13+'18. mell. Margaréta'!N13+'19.mell.Szentmihályi Játszókert'!N13+'20. mell. M. Fecskefészek'!N13+'21. mell. CMH'!N13+'22. mell. Bölcsőde'!N13+'23. mell. Terszoc.'!N13+'24. mell. Napraforgó'!N13+'25. mell. Kerületgazda'!N13+'26. mell. Őrszolgálat'!N13+'27. mell. KHEK'!N13+'28. mell. KIO'!N13</f>
        <v>274467496</v>
      </c>
      <c r="O13" s="321">
        <f>+'9. mell. PMH'!O13+'12. mell. Szakrendelő'!O13+'13. mell. GAMESZ'!O13+'14. mell. Gyerekkuckó'!O13+'15. mell. Cinkotai H.'!O13+'16. mell. Napsugár'!O13+'17. mell. Sashalmi M.'!O13+'18. mell. Margaréta'!O13+'19.mell.Szentmihályi Játszókert'!O13+'20. mell. M. Fecskefészek'!O13+'21. mell. CMH'!O13+'22. mell. Bölcsőde'!O13+'23. mell. Terszoc.'!O13+'24. mell. Napraforgó'!O13+'25. mell. Kerületgazda'!O13+'26. mell. Őrszolgálat'!O13+'27. mell. KHEK'!O13+'28. mell. KIO'!O13</f>
        <v>140921300</v>
      </c>
      <c r="P13" s="321">
        <f>+'9. mell. PMH'!P13+'12. mell. Szakrendelő'!P13+'13. mell. GAMESZ'!P13+'14. mell. Gyerekkuckó'!P13+'15. mell. Cinkotai H.'!P13+'16. mell. Napsugár'!P13+'17. mell. Sashalmi M.'!P13+'18. mell. Margaréta'!P13+'19.mell.Szentmihályi Játszókert'!P13+'20. mell. M. Fecskefészek'!P13+'21. mell. CMH'!P13+'22. mell. Bölcsőde'!P13+'23. mell. Terszoc.'!P13+'24. mell. Napraforgó'!P13+'25. mell. Kerületgazda'!P13+'26. mell. Őrszolgálat'!P13+'27. mell. KHEK'!P13+'28. mell. KIO'!P13</f>
        <v>140921300</v>
      </c>
      <c r="Q13" s="321">
        <f>+'9. mell. PMH'!Q13+'12. mell. Szakrendelő'!Q13+'13. mell. GAMESZ'!Q13+'14. mell. Gyerekkuckó'!Q13+'15. mell. Cinkotai H.'!Q13+'16. mell. Napsugár'!Q13+'17. mell. Sashalmi M.'!Q13+'18. mell. Margaréta'!Q13+'19.mell.Szentmihályi Játszókert'!Q13+'20. mell. M. Fecskefészek'!Q13+'21. mell. CMH'!Q13+'22. mell. Bölcsőde'!Q13+'23. mell. Terszoc.'!Q13+'24. mell. Napraforgó'!Q13+'25. mell. Kerületgazda'!Q13+'26. mell. Őrszolgálat'!Q13+'27. mell. KHEK'!Q13+'28. mell. KIO'!Q13</f>
        <v>140921300</v>
      </c>
      <c r="R13" s="321">
        <f>+'9. mell. PMH'!R13+'12. mell. Szakrendelő'!R13+'13. mell. GAMESZ'!R13+'14. mell. Gyerekkuckó'!R13+'15. mell. Cinkotai H.'!R13+'16. mell. Napsugár'!R13+'17. mell. Sashalmi M.'!R13+'18. mell. Margaréta'!R13+'19.mell.Szentmihályi Játszókert'!R13+'20. mell. M. Fecskefészek'!R13+'21. mell. CMH'!R13+'22. mell. Bölcsőde'!R13+'23. mell. Terszoc.'!R13+'24. mell. Napraforgó'!R13+'25. mell. Kerületgazda'!R13+'26. mell. Őrszolgálat'!R13+'27. mell. KHEK'!R13+'28. mell. KIO'!R13</f>
        <v>674688168</v>
      </c>
      <c r="S13" s="321">
        <f>+'9. mell. PMH'!S13+'12. mell. Szakrendelő'!S13+'13. mell. GAMESZ'!S13+'14. mell. Gyerekkuckó'!S13+'15. mell. Cinkotai H.'!S13+'16. mell. Napsugár'!S13+'17. mell. Sashalmi M.'!S13+'18. mell. Margaréta'!S13+'19.mell.Szentmihályi Játszókert'!S13+'20. mell. M. Fecskefészek'!S13+'21. mell. CMH'!S13+'22. mell. Bölcsőde'!S13+'23. mell. Terszoc.'!S13+'24. mell. Napraforgó'!S13+'25. mell. Kerületgazda'!S13+'26. mell. Őrszolgálat'!S13+'27. mell. KHEK'!S13+'28. mell. KIO'!S13</f>
        <v>674688168</v>
      </c>
      <c r="T13" s="321">
        <f>+'9. mell. PMH'!T13+'12. mell. Szakrendelő'!T13+'13. mell. GAMESZ'!T13+'14. mell. Gyerekkuckó'!T13+'15. mell. Cinkotai H.'!T13+'16. mell. Napsugár'!T13+'17. mell. Sashalmi M.'!T13+'18. mell. Margaréta'!T13+'19.mell.Szentmihályi Játszókert'!T13+'20. mell. M. Fecskefészek'!T13+'21. mell. CMH'!T13+'22. mell. Bölcsőde'!T13+'23. mell. Terszoc.'!T13+'24. mell. Napraforgó'!T13+'25. mell. Kerületgazda'!T13+'26. mell. Őrszolgálat'!T13+'27. mell. KHEK'!T13+'28. mell. KIO'!T13</f>
        <v>674688168</v>
      </c>
      <c r="U13" s="321">
        <f>+'9. mell. PMH'!U13+'12. mell. Szakrendelő'!U13+'13. mell. GAMESZ'!U13+'14. mell. Gyerekkuckó'!U13+'15. mell. Cinkotai H.'!U13+'16. mell. Napsugár'!U13+'17. mell. Sashalmi M.'!U13+'18. mell. Margaréta'!U13+'19.mell.Szentmihályi Játszókert'!U13+'20. mell. M. Fecskefészek'!U13+'21. mell. CMH'!U13+'22. mell. Bölcsőde'!U13+'23. mell. Terszoc.'!U13+'24. mell. Napraforgó'!U13+'25. mell. Kerületgazda'!U13+'26. mell. Őrszolgálat'!U13+'27. mell. KHEK'!U13+'28. mell. KIO'!U13</f>
        <v>701204043</v>
      </c>
      <c r="V13" s="321">
        <f>+'9. mell. PMH'!V13+'12. mell. Szakrendelő'!V13+'13. mell. GAMESZ'!V13+'14. mell. Gyerekkuckó'!V13+'15. mell. Cinkotai H.'!V13+'16. mell. Napsugár'!V13+'17. mell. Sashalmi M.'!V13+'18. mell. Margaréta'!V13+'19.mell.Szentmihályi Játszókert'!V13+'20. mell. M. Fecskefészek'!V13+'21. mell. CMH'!V13+'22. mell. Bölcsőde'!V13+'23. mell. Terszoc.'!V13+'24. mell. Napraforgó'!V13+'25. mell. Kerületgazda'!V13+'26. mell. Őrszolgálat'!V13+'27. mell. KHEK'!V13+'28. mell. KIO'!V13</f>
        <v>701204043</v>
      </c>
      <c r="W13" s="321">
        <f>+'9. mell. PMH'!W13+'12. mell. Szakrendelő'!W13+'13. mell. GAMESZ'!W13+'14. mell. Gyerekkuckó'!W13+'15. mell. Cinkotai H.'!W13+'16. mell. Napsugár'!W13+'17. mell. Sashalmi M.'!W13+'18. mell. Margaréta'!W13+'19.mell.Szentmihályi Játszókert'!W13+'20. mell. M. Fecskefészek'!W13+'21. mell. CMH'!W13+'22. mell. Bölcsőde'!W13+'23. mell. Terszoc.'!W13+'24. mell. Napraforgó'!W13+'25. mell. Kerületgazda'!W13+'26. mell. Őrszolgálat'!W13+'27. mell. KHEK'!W13+'28. mell. KIO'!W13</f>
        <v>701204044</v>
      </c>
      <c r="X13" s="321">
        <f>+'9. mell. PMH'!X13+'12. mell. Szakrendelő'!X13+'13. mell. GAMESZ'!X13+'14. mell. Gyerekkuckó'!X13+'15. mell. Cinkotai H.'!X13+'16. mell. Napsugár'!X13+'17. mell. Sashalmi M.'!X13+'18. mell. Margaréta'!X13+'19.mell.Szentmihályi Játszókert'!X13+'20. mell. M. Fecskefészek'!X13+'21. mell. CMH'!X13+'22. mell. Bölcsőde'!X13+'23. mell. Terszoc.'!X13+'24. mell. Napraforgó'!X13+'25. mell. Kerületgazda'!X13+'26. mell. Őrszolgálat'!X13+'27. mell. KHEK'!X13+'28. mell. KIO'!X13</f>
        <v>0</v>
      </c>
      <c r="Y13" s="321">
        <f>+'9. mell. PMH'!Y13+'12. mell. Szakrendelő'!Y13+'13. mell. GAMESZ'!Y13+'14. mell. Gyerekkuckó'!Y13+'15. mell. Cinkotai H.'!Y13+'16. mell. Napsugár'!Y13+'17. mell. Sashalmi M.'!Y13+'18. mell. Margaréta'!Y13+'19.mell.Szentmihályi Játszókert'!Y13+'20. mell. M. Fecskefészek'!Y13+'21. mell. CMH'!Y13+'22. mell. Bölcsőde'!Y13+'23. mell. Terszoc.'!Y13+'24. mell. Napraforgó'!Y13+'25. mell. Kerületgazda'!Y13+'26. mell. Őrszolgálat'!Y13+'27. mell. KHEK'!Y13+'28. mell. KIO'!Y13</f>
        <v>0</v>
      </c>
      <c r="Z13" s="321">
        <f>+'9. mell. PMH'!Z13+'12. mell. Szakrendelő'!Z13+'13. mell. GAMESZ'!Z13+'14. mell. Gyerekkuckó'!Z13+'15. mell. Cinkotai H.'!Z13+'16. mell. Napsugár'!Z13+'17. mell. Sashalmi M.'!Z13+'18. mell. Margaréta'!Z13+'19.mell.Szentmihályi Játszókert'!Z13+'20. mell. M. Fecskefészek'!Z13+'21. mell. CMH'!Z13+'22. mell. Bölcsőde'!Z13+'23. mell. Terszoc.'!Z13+'24. mell. Napraforgó'!Z13+'25. mell. Kerületgazda'!Z13+'26. mell. Őrszolgálat'!Z13+'27. mell. KHEK'!Z13+'28. mell. KIO'!Z13</f>
        <v>0</v>
      </c>
      <c r="AA13" s="321">
        <f>+'9. mell. PMH'!AA13+'12. mell. Szakrendelő'!AA13+'13. mell. GAMESZ'!AA13+'14. mell. Gyerekkuckó'!AA13+'15. mell. Cinkotai H.'!AA13+'16. mell. Napsugár'!AA13+'17. mell. Sashalmi M.'!AA13+'18. mell. Margaréta'!AA13+'19.mell.Szentmihályi Játszókert'!AA13+'20. mell. M. Fecskefészek'!AA13+'21. mell. CMH'!AA13+'22. mell. Bölcsőde'!AA13+'23. mell. Terszoc.'!AA13+'24. mell. Napraforgó'!AA13+'25. mell. Kerületgazda'!AA13+'26. mell. Őrszolgálat'!AA13+'27. mell. KHEK'!AA13+'28. mell. KIO'!AA13</f>
        <v>0</v>
      </c>
      <c r="AB13" s="321">
        <f>+'9. mell. PMH'!AB13+'12. mell. Szakrendelő'!AB13+'13. mell. GAMESZ'!AB13+'14. mell. Gyerekkuckó'!AB13+'15. mell. Cinkotai H.'!AB13+'16. mell. Napsugár'!AB13+'17. mell. Sashalmi M.'!AB13+'18. mell. Margaréta'!AB13+'19.mell.Szentmihályi Játszókert'!AB13+'20. mell. M. Fecskefészek'!AB13+'21. mell. CMH'!AB13+'22. mell. Bölcsőde'!AB13+'23. mell. Terszoc.'!AB13+'24. mell. Napraforgó'!AB13+'25. mell. Kerületgazda'!AB13+'26. mell. Őrszolgálat'!AB13+'27. mell. KHEK'!AB13+'28. mell. KIO'!AB13</f>
        <v>0</v>
      </c>
      <c r="AC13" s="321">
        <f>+'9. mell. PMH'!AC13+'12. mell. Szakrendelő'!AC13+'13. mell. GAMESZ'!AC13+'14. mell. Gyerekkuckó'!AC13+'15. mell. Cinkotai H.'!AC13+'16. mell. Napsugár'!AC13+'17. mell. Sashalmi M.'!AC13+'18. mell. Margaréta'!AC13+'19.mell.Szentmihályi Játszókert'!AC13+'20. mell. M. Fecskefészek'!AC13+'21. mell. CMH'!AC13+'22. mell. Bölcsőde'!AC13+'23. mell. Terszoc.'!AC13+'24. mell. Napraforgó'!AC13+'25. mell. Kerületgazda'!AC13+'26. mell. Őrszolgálat'!AC13+'27. mell. KHEK'!AC13+'28. mell. KIO'!AC13</f>
        <v>0</v>
      </c>
      <c r="AD13" s="323"/>
      <c r="AE13" s="321">
        <f t="shared" si="0"/>
        <v>0</v>
      </c>
      <c r="AF13" s="321">
        <f t="shared" si="1"/>
        <v>-70000000</v>
      </c>
      <c r="AG13" s="321">
        <f t="shared" si="2"/>
        <v>-107030321</v>
      </c>
      <c r="AH13" s="321">
        <f t="shared" si="3"/>
        <v>0</v>
      </c>
      <c r="AI13" s="324">
        <f>+K13/I13</f>
        <v>1.0000000011874717</v>
      </c>
      <c r="AJ13" s="321">
        <f t="shared" si="4"/>
        <v>427160316</v>
      </c>
      <c r="AK13" s="325">
        <f>+F13-'9. mell. PMH'!F13-'12. mell. Szakrendelő'!F13-'25. mell. Kerületgazda'!F13-'28. mell. KIO'!F13</f>
        <v>151957857</v>
      </c>
      <c r="AL13" s="325">
        <f>+G13-'9. mell. PMH'!G13-'12. mell. Szakrendelő'!G13-'25. mell. Kerületgazda'!G13-'28. mell. KIO'!G13</f>
        <v>151957857</v>
      </c>
      <c r="AM13" s="325">
        <f>+H13-'9. mell. PMH'!H13-'12. mell. Szakrendelő'!H13-'25. mell. Kerületgazda'!H13-'28. mell. KIO'!H13</f>
        <v>151957857</v>
      </c>
      <c r="AN13" s="325">
        <f>+I13-'9. mell. PMH'!I13-'12. mell. Szakrendelő'!I13-'25. mell. Kerületgazda'!I13-'28. mell. KIO'!I13</f>
        <v>151317437</v>
      </c>
      <c r="AO13" s="325">
        <f>+J13-'9. mell. PMH'!J13-'12. mell. Szakrendelő'!J13-'25. mell. Kerületgazda'!J13-'28. mell. KIO'!J13</f>
        <v>151317437</v>
      </c>
      <c r="AP13" s="325">
        <f>+K13-'9. mell. PMH'!K13-'12. mell. Szakrendelő'!K13-'25. mell. Kerületgazda'!K13-'28. mell. KIO'!K13</f>
        <v>151317438</v>
      </c>
      <c r="AQ13" s="1195">
        <f t="shared" si="5"/>
        <v>0</v>
      </c>
      <c r="AR13" s="1593">
        <f t="shared" si="6"/>
        <v>0</v>
      </c>
      <c r="AS13" s="1195">
        <f t="shared" si="7"/>
        <v>-640420</v>
      </c>
      <c r="AT13" s="2647">
        <v>624915030</v>
      </c>
      <c r="AU13" s="1593">
        <f t="shared" si="8"/>
        <v>0</v>
      </c>
    </row>
    <row r="14" spans="1:47" s="326" customFormat="1" ht="12" customHeight="1" thickBot="1">
      <c r="A14" s="313"/>
      <c r="B14" s="330" t="s">
        <v>183</v>
      </c>
      <c r="C14" s="328" t="s">
        <v>887</v>
      </c>
      <c r="D14" s="321">
        <f>+'9. mell. PMH'!D14+'12. mell. Szakrendelő'!D14+'13. mell. GAMESZ'!D14+'14. mell. Gyerekkuckó'!D14+'15. mell. Cinkotai H.'!D14+'16. mell. Napsugár'!D14+'17. mell. Sashalmi M.'!D14+'18. mell. Margaréta'!D14+'19.mell.Szentmihályi Játszókert'!D14+'20. mell. M. Fecskefészek'!D14+'21. mell. CMH'!D14+'22. mell. Bölcsőde'!D14+'23. mell. Terszoc.'!D14+'24. mell. Napraforgó'!D14+'25. mell. Kerületgazda'!D14+'26. mell. Őrszolgálat'!D14+'27. mell. KHEK'!D14+'28. mell. KIO'!D14</f>
        <v>239009887</v>
      </c>
      <c r="E14" s="2587">
        <f>+'9. mell. PMH'!E14+'12. mell. Szakrendelő'!E14+'13. mell. GAMESZ'!E14+'14. mell. Gyerekkuckó'!E14+'15. mell. Cinkotai H.'!E14+'16. mell. Napsugár'!E14+'17. mell. Sashalmi M.'!E14+'18. mell. Margaréta'!E14+'19.mell.Szentmihályi Játszókert'!E14+'20. mell. M. Fecskefészek'!E14+'21. mell. CMH'!E14+'22. mell. Bölcsőde'!E14+'23. mell. Terszoc.'!E14+'24. mell. Napraforgó'!E14+'25. mell. Kerületgazda'!E14+'26. mell. Őrszolgálat'!E14+'27. mell. KHEK'!E14+'28. mell. KIO'!E14</f>
        <v>250923880</v>
      </c>
      <c r="F14" s="321">
        <f>+'9. mell. PMH'!F14+'12. mell. Szakrendelő'!F14+'13. mell. GAMESZ'!F14+'14. mell. Gyerekkuckó'!F14+'15. mell. Cinkotai H.'!F14+'16. mell. Napsugár'!F14+'17. mell. Sashalmi M.'!F14+'18. mell. Margaréta'!F14+'19.mell.Szentmihályi Játszókert'!F14+'20. mell. M. Fecskefészek'!F14+'21. mell. CMH'!F14+'22. mell. Bölcsőde'!F14+'23. mell. Terszoc.'!F14+'24. mell. Napraforgó'!F14+'25. mell. Kerületgazda'!F14+'26. mell. Őrszolgálat'!F14+'27. mell. KHEK'!F14+'28. mell. KIO'!F14</f>
        <v>285265556.26968002</v>
      </c>
      <c r="G14" s="321">
        <f>+'9. mell. PMH'!G14+'12. mell. Szakrendelő'!G14+'13. mell. GAMESZ'!G14+'14. mell. Gyerekkuckó'!G14+'15. mell. Cinkotai H.'!G14+'16. mell. Napsugár'!G14+'17. mell. Sashalmi M.'!G14+'18. mell. Margaréta'!G14+'19.mell.Szentmihályi Játszókert'!G14+'20. mell. M. Fecskefészek'!G14+'21. mell. CMH'!G14+'22. mell. Bölcsőde'!G14+'23. mell. Terszoc.'!G14+'24. mell. Napraforgó'!G14+'25. mell. Kerületgazda'!G14+'26. mell. Őrszolgálat'!G14+'27. mell. KHEK'!G14+'28. mell. KIO'!G14</f>
        <v>285265556.26968002</v>
      </c>
      <c r="H14" s="321">
        <f>+'9. mell. PMH'!H14+'12. mell. Szakrendelő'!H14+'13. mell. GAMESZ'!H14+'14. mell. Gyerekkuckó'!H14+'15. mell. Cinkotai H.'!H14+'16. mell. Napsugár'!H14+'17. mell. Sashalmi M.'!H14+'18. mell. Margaréta'!H14+'19.mell.Szentmihályi Játszókert'!H14+'20. mell. M. Fecskefészek'!H14+'21. mell. CMH'!H14+'22. mell. Bölcsőde'!H14+'23. mell. Terszoc.'!H14+'24. mell. Napraforgó'!H14+'25. mell. Kerületgazda'!H14+'26. mell. Őrszolgálat'!H14+'27. mell. KHEK'!H14+'28. mell. KIO'!H14</f>
        <v>285265556.26968002</v>
      </c>
      <c r="I14" s="321">
        <f>+'9. mell. PMH'!I14+'12. mell. Szakrendelő'!I14+'13. mell. GAMESZ'!I14+'14. mell. Gyerekkuckó'!I14+'15. mell. Cinkotai H.'!I14+'16. mell. Napsugár'!I14+'17. mell. Sashalmi M.'!I14+'18. mell. Margaréta'!I14+'19.mell.Szentmihályi Játszókert'!I14+'20. mell. M. Fecskefészek'!I14+'21. mell. CMH'!I14+'22. mell. Bölcsőde'!I14+'23. mell. Terszoc.'!I14+'24. mell. Napraforgó'!I14+'25. mell. Kerületgazda'!I14+'26. mell. Őrszolgálat'!I14+'27. mell. KHEK'!I14+'28. mell. KIO'!I14</f>
        <v>261165881.26967999</v>
      </c>
      <c r="J14" s="321">
        <f>+'9. mell. PMH'!J14+'12. mell. Szakrendelő'!J14+'13. mell. GAMESZ'!J14+'14. mell. Gyerekkuckó'!J14+'15. mell. Cinkotai H.'!J14+'16. mell. Napsugár'!J14+'17. mell. Sashalmi M.'!J14+'18. mell. Margaréta'!J14+'19.mell.Szentmihályi Játszókert'!J14+'20. mell. M. Fecskefészek'!J14+'21. mell. CMH'!J14+'22. mell. Bölcsőde'!J14+'23. mell. Terszoc.'!J14+'24. mell. Napraforgó'!J14+'25. mell. Kerületgazda'!J14+'26. mell. Őrszolgálat'!J14+'27. mell. KHEK'!J14+'28. mell. KIO'!J14</f>
        <v>261165881.26967999</v>
      </c>
      <c r="K14" s="2197">
        <f>+'9. mell. PMH'!K14+'12. mell. Szakrendelő'!K14+'13. mell. GAMESZ'!K14+'14. mell. Gyerekkuckó'!K14+'15. mell. Cinkotai H.'!K14+'16. mell. Napsugár'!K14+'17. mell. Sashalmi M.'!K14+'18. mell. Margaréta'!K14+'19.mell.Szentmihályi Játszókert'!K14+'20. mell. M. Fecskefészek'!K14+'21. mell. CMH'!K14+'22. mell. Bölcsőde'!K14+'23. mell. Terszoc.'!K14+'24. mell. Napraforgó'!K14+'25. mell. Kerületgazda'!K14+'26. mell. Őrszolgálat'!K14+'27. mell. KHEK'!K14+'28. mell. KIO'!K14</f>
        <v>261165881</v>
      </c>
      <c r="L14" s="321">
        <f>+'9. mell. PMH'!L14+'12. mell. Szakrendelő'!L14+'13. mell. GAMESZ'!L14+'14. mell. Gyerekkuckó'!L14+'15. mell. Cinkotai H.'!L14+'16. mell. Napsugár'!L14+'17. mell. Sashalmi M.'!L14+'18. mell. Margaréta'!L14+'19.mell.Szentmihályi Játszókert'!L14+'20. mell. M. Fecskefészek'!L14+'21. mell. CMH'!L14+'22. mell. Bölcsőde'!L14+'23. mell. Terszoc.'!L14+'24. mell. Napraforgó'!L14+'25. mell. Kerületgazda'!L14+'26. mell. Őrszolgálat'!L14+'27. mell. KHEK'!L14+'28. mell. KIO'!L14</f>
        <v>14297987</v>
      </c>
      <c r="M14" s="321">
        <f>+'9. mell. PMH'!M14+'12. mell. Szakrendelő'!M14+'13. mell. GAMESZ'!M14+'14. mell. Gyerekkuckó'!M14+'15. mell. Cinkotai H.'!M14+'16. mell. Napsugár'!M14+'17. mell. Sashalmi M.'!M14+'18. mell. Margaréta'!M14+'19.mell.Szentmihályi Játszókert'!M14+'20. mell. M. Fecskefészek'!M14+'21. mell. CMH'!M14+'22. mell. Bölcsőde'!M14+'23. mell. Terszoc.'!M14+'24. mell. Napraforgó'!M14+'25. mell. Kerületgazda'!M14+'26. mell. Őrszolgálat'!M14+'27. mell. KHEK'!M14+'28. mell. KIO'!M14</f>
        <v>14297987</v>
      </c>
      <c r="N14" s="321">
        <f>+'9. mell. PMH'!N14+'12. mell. Szakrendelő'!N14+'13. mell. GAMESZ'!N14+'14. mell. Gyerekkuckó'!N14+'15. mell. Cinkotai H.'!N14+'16. mell. Napsugár'!N14+'17. mell. Sashalmi M.'!N14+'18. mell. Margaréta'!N14+'19.mell.Szentmihályi Játszókert'!N14+'20. mell. M. Fecskefészek'!N14+'21. mell. CMH'!N14+'22. mell. Bölcsőde'!N14+'23. mell. Terszoc.'!N14+'24. mell. Napraforgó'!N14+'25. mell. Kerületgazda'!N14+'26. mell. Őrszolgálat'!N14+'27. mell. KHEK'!N14+'28. mell. KIO'!N14</f>
        <v>14297987</v>
      </c>
      <c r="O14" s="321">
        <f>+'9. mell. PMH'!O14+'12. mell. Szakrendelő'!O14+'13. mell. GAMESZ'!O14+'14. mell. Gyerekkuckó'!O14+'15. mell. Cinkotai H.'!O14+'16. mell. Napsugár'!O14+'17. mell. Sashalmi M.'!O14+'18. mell. Margaréta'!O14+'19.mell.Szentmihályi Játszókert'!O14+'20. mell. M. Fecskefészek'!O14+'21. mell. CMH'!O14+'22. mell. Bölcsőde'!O14+'23. mell. Terszoc.'!O14+'24. mell. Napraforgó'!O14+'25. mell. Kerületgazda'!O14+'26. mell. Őrszolgálat'!O14+'27. mell. KHEK'!O14+'28. mell. KIO'!O14</f>
        <v>492661</v>
      </c>
      <c r="P14" s="321">
        <f>+'9. mell. PMH'!P14+'12. mell. Szakrendelő'!P14+'13. mell. GAMESZ'!P14+'14. mell. Gyerekkuckó'!P14+'15. mell. Cinkotai H.'!P14+'16. mell. Napsugár'!P14+'17. mell. Sashalmi M.'!P14+'18. mell. Margaréta'!P14+'19.mell.Szentmihályi Játszókert'!P14+'20. mell. M. Fecskefészek'!P14+'21. mell. CMH'!P14+'22. mell. Bölcsőde'!P14+'23. mell. Terszoc.'!P14+'24. mell. Napraforgó'!P14+'25. mell. Kerületgazda'!P14+'26. mell. Őrszolgálat'!P14+'27. mell. KHEK'!P14+'28. mell. KIO'!P14</f>
        <v>492661</v>
      </c>
      <c r="Q14" s="321">
        <f>+'9. mell. PMH'!Q14+'12. mell. Szakrendelő'!Q14+'13. mell. GAMESZ'!Q14+'14. mell. Gyerekkuckó'!Q14+'15. mell. Cinkotai H.'!Q14+'16. mell. Napsugár'!Q14+'17. mell. Sashalmi M.'!Q14+'18. mell. Margaréta'!Q14+'19.mell.Szentmihályi Játszókert'!Q14+'20. mell. M. Fecskefészek'!Q14+'21. mell. CMH'!Q14+'22. mell. Bölcsőde'!Q14+'23. mell. Terszoc.'!Q14+'24. mell. Napraforgó'!Q14+'25. mell. Kerületgazda'!Q14+'26. mell. Őrszolgálat'!Q14+'27. mell. KHEK'!Q14+'28. mell. KIO'!Q14</f>
        <v>492661</v>
      </c>
      <c r="R14" s="321">
        <f>+'9. mell. PMH'!R14+'12. mell. Szakrendelő'!R14+'13. mell. GAMESZ'!R14+'14. mell. Gyerekkuckó'!R14+'15. mell. Cinkotai H.'!R14+'16. mell. Napsugár'!R14+'17. mell. Sashalmi M.'!R14+'18. mell. Margaréta'!R14+'19.mell.Szentmihályi Játszókert'!R14+'20. mell. M. Fecskefészek'!R14+'21. mell. CMH'!R14+'22. mell. Bölcsőde'!R14+'23. mell. Terszoc.'!R14+'24. mell. Napraforgó'!R14+'25. mell. Kerületgazda'!R14+'26. mell. Őrszolgálat'!R14+'27. mell. KHEK'!R14+'28. mell. KIO'!R14</f>
        <v>270967569.26968002</v>
      </c>
      <c r="S14" s="321">
        <f>+'9. mell. PMH'!S14+'12. mell. Szakrendelő'!S14+'13. mell. GAMESZ'!S14+'14. mell. Gyerekkuckó'!S14+'15. mell. Cinkotai H.'!S14+'16. mell. Napsugár'!S14+'17. mell. Sashalmi M.'!S14+'18. mell. Margaréta'!S14+'19.mell.Szentmihályi Játszókert'!S14+'20. mell. M. Fecskefészek'!S14+'21. mell. CMH'!S14+'22. mell. Bölcsőde'!S14+'23. mell. Terszoc.'!S14+'24. mell. Napraforgó'!S14+'25. mell. Kerületgazda'!S14+'26. mell. Őrszolgálat'!S14+'27. mell. KHEK'!S14+'28. mell. KIO'!S14</f>
        <v>270967569.26968002</v>
      </c>
      <c r="T14" s="321">
        <f>+'9. mell. PMH'!T14+'12. mell. Szakrendelő'!T14+'13. mell. GAMESZ'!T14+'14. mell. Gyerekkuckó'!T14+'15. mell. Cinkotai H.'!T14+'16. mell. Napsugár'!T14+'17. mell. Sashalmi M.'!T14+'18. mell. Margaréta'!T14+'19.mell.Szentmihályi Játszókert'!T14+'20. mell. M. Fecskefészek'!T14+'21. mell. CMH'!T14+'22. mell. Bölcsőde'!T14+'23. mell. Terszoc.'!T14+'24. mell. Napraforgó'!T14+'25. mell. Kerületgazda'!T14+'26. mell. Őrszolgálat'!T14+'27. mell. KHEK'!T14+'28. mell. KIO'!T14</f>
        <v>270967569.26968002</v>
      </c>
      <c r="U14" s="321">
        <f>+'9. mell. PMH'!U14+'12. mell. Szakrendelő'!U14+'13. mell. GAMESZ'!U14+'14. mell. Gyerekkuckó'!U14+'15. mell. Cinkotai H.'!U14+'16. mell. Napsugár'!U14+'17. mell. Sashalmi M.'!U14+'18. mell. Margaréta'!U14+'19.mell.Szentmihályi Játszókert'!U14+'20. mell. M. Fecskefészek'!U14+'21. mell. CMH'!U14+'22. mell. Bölcsőde'!U14+'23. mell. Terszoc.'!U14+'24. mell. Napraforgó'!U14+'25. mell. Kerületgazda'!U14+'26. mell. Őrszolgálat'!U14+'27. mell. KHEK'!U14+'28. mell. KIO'!U14</f>
        <v>260673220.26967999</v>
      </c>
      <c r="V14" s="321">
        <f>+'9. mell. PMH'!V14+'12. mell. Szakrendelő'!V14+'13. mell. GAMESZ'!V14+'14. mell. Gyerekkuckó'!V14+'15. mell. Cinkotai H.'!V14+'16. mell. Napsugár'!V14+'17. mell. Sashalmi M.'!V14+'18. mell. Margaréta'!V14+'19.mell.Szentmihályi Játszókert'!V14+'20. mell. M. Fecskefészek'!V14+'21. mell. CMH'!V14+'22. mell. Bölcsőde'!V14+'23. mell. Terszoc.'!V14+'24. mell. Napraforgó'!V14+'25. mell. Kerületgazda'!V14+'26. mell. Őrszolgálat'!V14+'27. mell. KHEK'!V14+'28. mell. KIO'!V14</f>
        <v>260673220.26967999</v>
      </c>
      <c r="W14" s="321">
        <f>+'9. mell. PMH'!W14+'12. mell. Szakrendelő'!W14+'13. mell. GAMESZ'!W14+'14. mell. Gyerekkuckó'!W14+'15. mell. Cinkotai H.'!W14+'16. mell. Napsugár'!W14+'17. mell. Sashalmi M.'!W14+'18. mell. Margaréta'!W14+'19.mell.Szentmihályi Játszókert'!W14+'20. mell. M. Fecskefészek'!W14+'21. mell. CMH'!W14+'22. mell. Bölcsőde'!W14+'23. mell. Terszoc.'!W14+'24. mell. Napraforgó'!W14+'25. mell. Kerületgazda'!W14+'26. mell. Őrszolgálat'!W14+'27. mell. KHEK'!W14+'28. mell. KIO'!W14</f>
        <v>260673220</v>
      </c>
      <c r="X14" s="321">
        <f>+'9. mell. PMH'!X14+'12. mell. Szakrendelő'!X14+'13. mell. GAMESZ'!X14+'14. mell. Gyerekkuckó'!X14+'15. mell. Cinkotai H.'!X14+'16. mell. Napsugár'!X14+'17. mell. Sashalmi M.'!X14+'18. mell. Margaréta'!X14+'19.mell.Szentmihályi Játszókert'!X14+'20. mell. M. Fecskefészek'!X14+'21. mell. CMH'!X14+'22. mell. Bölcsőde'!X14+'23. mell. Terszoc.'!X14+'24. mell. Napraforgó'!X14+'25. mell. Kerületgazda'!X14+'26. mell. Őrszolgálat'!X14+'27. mell. KHEK'!X14+'28. mell. KIO'!X14</f>
        <v>0</v>
      </c>
      <c r="Y14" s="321">
        <f>+'9. mell. PMH'!Y14+'12. mell. Szakrendelő'!Y14+'13. mell. GAMESZ'!Y14+'14. mell. Gyerekkuckó'!Y14+'15. mell. Cinkotai H.'!Y14+'16. mell. Napsugár'!Y14+'17. mell. Sashalmi M.'!Y14+'18. mell. Margaréta'!Y14+'19.mell.Szentmihályi Játszókert'!Y14+'20. mell. M. Fecskefészek'!Y14+'21. mell. CMH'!Y14+'22. mell. Bölcsőde'!Y14+'23. mell. Terszoc.'!Y14+'24. mell. Napraforgó'!Y14+'25. mell. Kerületgazda'!Y14+'26. mell. Őrszolgálat'!Y14+'27. mell. KHEK'!Y14+'28. mell. KIO'!Y14</f>
        <v>0</v>
      </c>
      <c r="Z14" s="321">
        <f>+'9. mell. PMH'!Z14+'12. mell. Szakrendelő'!Z14+'13. mell. GAMESZ'!Z14+'14. mell. Gyerekkuckó'!Z14+'15. mell. Cinkotai H.'!Z14+'16. mell. Napsugár'!Z14+'17. mell. Sashalmi M.'!Z14+'18. mell. Margaréta'!Z14+'19.mell.Szentmihályi Játszókert'!Z14+'20. mell. M. Fecskefészek'!Z14+'21. mell. CMH'!Z14+'22. mell. Bölcsőde'!Z14+'23. mell. Terszoc.'!Z14+'24. mell. Napraforgó'!Z14+'25. mell. Kerületgazda'!Z14+'26. mell. Őrszolgálat'!Z14+'27. mell. KHEK'!Z14+'28. mell. KIO'!Z14</f>
        <v>0</v>
      </c>
      <c r="AA14" s="321">
        <f>+'9. mell. PMH'!AA14+'12. mell. Szakrendelő'!AA14+'13. mell. GAMESZ'!AA14+'14. mell. Gyerekkuckó'!AA14+'15. mell. Cinkotai H.'!AA14+'16. mell. Napsugár'!AA14+'17. mell. Sashalmi M.'!AA14+'18. mell. Margaréta'!AA14+'19.mell.Szentmihályi Játszókert'!AA14+'20. mell. M. Fecskefészek'!AA14+'21. mell. CMH'!AA14+'22. mell. Bölcsőde'!AA14+'23. mell. Terszoc.'!AA14+'24. mell. Napraforgó'!AA14+'25. mell. Kerületgazda'!AA14+'26. mell. Őrszolgálat'!AA14+'27. mell. KHEK'!AA14+'28. mell. KIO'!AA14</f>
        <v>0</v>
      </c>
      <c r="AB14" s="321">
        <f>+'9. mell. PMH'!AB14+'12. mell. Szakrendelő'!AB14+'13. mell. GAMESZ'!AB14+'14. mell. Gyerekkuckó'!AB14+'15. mell. Cinkotai H.'!AB14+'16. mell. Napsugár'!AB14+'17. mell. Sashalmi M.'!AB14+'18. mell. Margaréta'!AB14+'19.mell.Szentmihályi Játszókert'!AB14+'20. mell. M. Fecskefészek'!AB14+'21. mell. CMH'!AB14+'22. mell. Bölcsőde'!AB14+'23. mell. Terszoc.'!AB14+'24. mell. Napraforgó'!AB14+'25. mell. Kerületgazda'!AB14+'26. mell. Őrszolgálat'!AB14+'27. mell. KHEK'!AB14+'28. mell. KIO'!AB14</f>
        <v>0</v>
      </c>
      <c r="AC14" s="321">
        <f>+'9. mell. PMH'!AC14+'12. mell. Szakrendelő'!AC14+'13. mell. GAMESZ'!AC14+'14. mell. Gyerekkuckó'!AC14+'15. mell. Cinkotai H.'!AC14+'16. mell. Napsugár'!AC14+'17. mell. Sashalmi M.'!AC14+'18. mell. Margaréta'!AC14+'19.mell.Szentmihályi Játszókert'!AC14+'20. mell. M. Fecskefészek'!AC14+'21. mell. CMH'!AC14+'22. mell. Bölcsőde'!AC14+'23. mell. Terszoc.'!AC14+'24. mell. Napraforgó'!AC14+'25. mell. Kerületgazda'!AC14+'26. mell. Őrszolgálat'!AC14+'27. mell. KHEK'!AC14+'28. mell. KIO'!AC14</f>
        <v>0</v>
      </c>
      <c r="AD14" s="323"/>
      <c r="AE14" s="321">
        <f t="shared" si="0"/>
        <v>0</v>
      </c>
      <c r="AF14" s="321">
        <f t="shared" si="1"/>
        <v>0</v>
      </c>
      <c r="AG14" s="321">
        <f t="shared" si="2"/>
        <v>-24099675.00000003</v>
      </c>
      <c r="AH14" s="321">
        <f t="shared" si="3"/>
        <v>0</v>
      </c>
      <c r="AI14" s="324">
        <f>+K14/I14</f>
        <v>0.99999999896739955</v>
      </c>
      <c r="AJ14" s="321">
        <f t="shared" si="4"/>
        <v>46255669.269680023</v>
      </c>
      <c r="AK14" s="325">
        <f>+F14-'9. mell. PMH'!F14-'12. mell. Szakrendelő'!F14-'25. mell. Kerületgazda'!F14-'28. mell. KIO'!F14</f>
        <v>94925322.269680023</v>
      </c>
      <c r="AL14" s="325">
        <f>+G14-'9. mell. PMH'!G14-'12. mell. Szakrendelő'!G14-'25. mell. Kerületgazda'!G14-'28. mell. KIO'!G14</f>
        <v>94925322.269680023</v>
      </c>
      <c r="AM14" s="325">
        <f>+H14-'9. mell. PMH'!H14-'12. mell. Szakrendelő'!H14-'25. mell. Kerületgazda'!H14-'28. mell. KIO'!H14</f>
        <v>94925322.269680023</v>
      </c>
      <c r="AN14" s="325">
        <f>+I14-'9. mell. PMH'!I14-'12. mell. Szakrendelő'!I14-'25. mell. Kerületgazda'!I14-'28. mell. KIO'!I14</f>
        <v>90082274.269679993</v>
      </c>
      <c r="AO14" s="325">
        <f>+J14-'9. mell. PMH'!J14-'12. mell. Szakrendelő'!J14-'25. mell. Kerületgazda'!J14-'28. mell. KIO'!J14</f>
        <v>90082274.269679993</v>
      </c>
      <c r="AP14" s="325">
        <f>+K14-'9. mell. PMH'!K14-'12. mell. Szakrendelő'!K14-'25. mell. Kerületgazda'!K14-'28. mell. KIO'!K14</f>
        <v>90082274</v>
      </c>
      <c r="AQ14" s="1195">
        <f t="shared" si="5"/>
        <v>0</v>
      </c>
      <c r="AR14" s="1593">
        <f t="shared" si="6"/>
        <v>0</v>
      </c>
      <c r="AS14" s="1195">
        <f t="shared" si="7"/>
        <v>-4843048.0000000298</v>
      </c>
      <c r="AT14" s="2647">
        <v>250923880</v>
      </c>
      <c r="AU14" s="1593">
        <f t="shared" si="8"/>
        <v>0</v>
      </c>
    </row>
    <row r="15" spans="1:47" s="326" customFormat="1" ht="12" customHeight="1" thickBot="1">
      <c r="A15" s="313"/>
      <c r="B15" s="330" t="s">
        <v>321</v>
      </c>
      <c r="C15" s="331" t="s">
        <v>238</v>
      </c>
      <c r="D15" s="321">
        <f>+'9. mell. PMH'!D15+'12. mell. Szakrendelő'!D15+'13. mell. GAMESZ'!D15+'14. mell. Gyerekkuckó'!D15+'15. mell. Cinkotai H.'!D15+'16. mell. Napsugár'!D15+'17. mell. Sashalmi M.'!D15+'18. mell. Margaréta'!D15+'19.mell.Szentmihályi Játszókert'!D15+'20. mell. M. Fecskefészek'!D15+'21. mell. CMH'!D15+'22. mell. Bölcsőde'!D15+'23. mell. Terszoc.'!D15+'24. mell. Napraforgó'!D15+'25. mell. Kerületgazda'!D15+'26. mell. Őrszolgálat'!D15+'27. mell. KHEK'!D15+'28. mell. KIO'!D15</f>
        <v>2720000</v>
      </c>
      <c r="E15" s="2587">
        <f>+'9. mell. PMH'!E15+'12. mell. Szakrendelő'!E15+'13. mell. GAMESZ'!E15+'14. mell. Gyerekkuckó'!E15+'15. mell. Cinkotai H.'!E15+'16. mell. Napsugár'!E15+'17. mell. Sashalmi M.'!E15+'18. mell. Margaréta'!E15+'19.mell.Szentmihályi Játszókert'!E15+'20. mell. M. Fecskefészek'!E15+'21. mell. CMH'!E15+'22. mell. Bölcsőde'!E15+'23. mell. Terszoc.'!E15+'24. mell. Napraforgó'!E15+'25. mell. Kerületgazda'!E15+'26. mell. Őrszolgálat'!E15+'27. mell. KHEK'!E15+'28. mell. KIO'!E15</f>
        <v>439186028</v>
      </c>
      <c r="F15" s="321">
        <f>+'9. mell. PMH'!F15+'12. mell. Szakrendelő'!F15+'13. mell. GAMESZ'!F15+'14. mell. Gyerekkuckó'!F15+'15. mell. Cinkotai H.'!F15+'16. mell. Napsugár'!F15+'17. mell. Sashalmi M.'!F15+'18. mell. Margaréta'!F15+'19.mell.Szentmihályi Játszókert'!F15+'20. mell. M. Fecskefészek'!F15+'21. mell. CMH'!F15+'22. mell. Bölcsőde'!F15+'23. mell. Terszoc.'!F15+'24. mell. Napraforgó'!F15+'25. mell. Kerületgazda'!F15+'26. mell. Őrszolgálat'!F15+'27. mell. KHEK'!F15+'28. mell. KIO'!F15</f>
        <v>336000</v>
      </c>
      <c r="G15" s="321">
        <f>+'9. mell. PMH'!G15+'12. mell. Szakrendelő'!G15+'13. mell. GAMESZ'!G15+'14. mell. Gyerekkuckó'!G15+'15. mell. Cinkotai H.'!G15+'16. mell. Napsugár'!G15+'17. mell. Sashalmi M.'!G15+'18. mell. Margaréta'!G15+'19.mell.Szentmihályi Játszókert'!G15+'20. mell. M. Fecskefészek'!G15+'21. mell. CMH'!G15+'22. mell. Bölcsőde'!G15+'23. mell. Terszoc.'!G15+'24. mell. Napraforgó'!G15+'25. mell. Kerületgazda'!G15+'26. mell. Őrszolgálat'!G15+'27. mell. KHEK'!G15+'28. mell. KIO'!G15</f>
        <v>66763102</v>
      </c>
      <c r="H15" s="321">
        <f>+'9. mell. PMH'!H15+'12. mell. Szakrendelő'!H15+'13. mell. GAMESZ'!H15+'14. mell. Gyerekkuckó'!H15+'15. mell. Cinkotai H.'!H15+'16. mell. Napsugár'!H15+'17. mell. Sashalmi M.'!H15+'18. mell. Margaréta'!H15+'19.mell.Szentmihályi Játszókert'!H15+'20. mell. M. Fecskefészek'!H15+'21. mell. CMH'!H15+'22. mell. Bölcsőde'!H15+'23. mell. Terszoc.'!H15+'24. mell. Napraforgó'!H15+'25. mell. Kerületgazda'!H15+'26. mell. Őrszolgálat'!H15+'27. mell. KHEK'!H15+'28. mell. KIO'!H15</f>
        <v>178625206</v>
      </c>
      <c r="I15" s="321">
        <f>+'9. mell. PMH'!I15+'12. mell. Szakrendelő'!I15+'13. mell. GAMESZ'!I15+'14. mell. Gyerekkuckó'!I15+'15. mell. Cinkotai H.'!I15+'16. mell. Napsugár'!I15+'17. mell. Sashalmi M.'!I15+'18. mell. Margaréta'!I15+'19.mell.Szentmihályi Játszókert'!I15+'20. mell. M. Fecskefészek'!I15+'21. mell. CMH'!I15+'22. mell. Bölcsőde'!I15+'23. mell. Terszoc.'!I15+'24. mell. Napraforgó'!I15+'25. mell. Kerületgazda'!I15+'26. mell. Őrszolgálat'!I15+'27. mell. KHEK'!I15+'28. mell. KIO'!I15</f>
        <v>451944767</v>
      </c>
      <c r="J15" s="321">
        <f>+'9. mell. PMH'!J15+'12. mell. Szakrendelő'!J15+'13. mell. GAMESZ'!J15+'14. mell. Gyerekkuckó'!J15+'15. mell. Cinkotai H.'!J15+'16. mell. Napsugár'!J15+'17. mell. Sashalmi M.'!J15+'18. mell. Margaréta'!J15+'19.mell.Szentmihályi Játszókert'!J15+'20. mell. M. Fecskefészek'!J15+'21. mell. CMH'!J15+'22. mell. Bölcsőde'!J15+'23. mell. Terszoc.'!J15+'24. mell. Napraforgó'!J15+'25. mell. Kerületgazda'!J15+'26. mell. Őrszolgálat'!J15+'27. mell. KHEK'!J15+'28. mell. KIO'!J15</f>
        <v>451944767</v>
      </c>
      <c r="K15" s="2197">
        <f>+'9. mell. PMH'!K15+'12. mell. Szakrendelő'!K15+'13. mell. GAMESZ'!K15+'14. mell. Gyerekkuckó'!K15+'15. mell. Cinkotai H.'!K15+'16. mell. Napsugár'!K15+'17. mell. Sashalmi M.'!K15+'18. mell. Margaréta'!K15+'19.mell.Szentmihályi Játszókert'!K15+'20. mell. M. Fecskefészek'!K15+'21. mell. CMH'!K15+'22. mell. Bölcsőde'!K15+'23. mell. Terszoc.'!K15+'24. mell. Napraforgó'!K15+'25. mell. Kerületgazda'!K15+'26. mell. Őrszolgálat'!K15+'27. mell. KHEK'!K15+'28. mell. KIO'!K15</f>
        <v>451944767</v>
      </c>
      <c r="L15" s="321">
        <f>+'9. mell. PMH'!L15+'12. mell. Szakrendelő'!L15+'13. mell. GAMESZ'!L15+'14. mell. Gyerekkuckó'!L15+'15. mell. Cinkotai H.'!L15+'16. mell. Napsugár'!L15+'17. mell. Sashalmi M.'!L15+'18. mell. Margaréta'!L15+'19.mell.Szentmihályi Játszókert'!L15+'20. mell. M. Fecskefészek'!L15+'21. mell. CMH'!L15+'22. mell. Bölcsőde'!L15+'23. mell. Terszoc.'!L15+'24. mell. Napraforgó'!L15+'25. mell. Kerületgazda'!L15+'26. mell. Őrszolgálat'!L15+'27. mell. KHEK'!L15+'28. mell. KIO'!L15</f>
        <v>0</v>
      </c>
      <c r="M15" s="321">
        <f>+'9. mell. PMH'!M15+'12. mell. Szakrendelő'!M15+'13. mell. GAMESZ'!M15+'14. mell. Gyerekkuckó'!M15+'15. mell. Cinkotai H.'!M15+'16. mell. Napsugár'!M15+'17. mell. Sashalmi M.'!M15+'18. mell. Margaréta'!M15+'19.mell.Szentmihályi Játszókert'!M15+'20. mell. M. Fecskefészek'!M15+'21. mell. CMH'!M15+'22. mell. Bölcsőde'!M15+'23. mell. Terszoc.'!M15+'24. mell. Napraforgó'!M15+'25. mell. Kerületgazda'!M15+'26. mell. Őrszolgálat'!M15+'27. mell. KHEK'!M15+'28. mell. KIO'!M15</f>
        <v>327608</v>
      </c>
      <c r="N15" s="321">
        <f>+'9. mell. PMH'!N15+'12. mell. Szakrendelő'!N15+'13. mell. GAMESZ'!N15+'14. mell. Gyerekkuckó'!N15+'15. mell. Cinkotai H.'!N15+'16. mell. Napsugár'!N15+'17. mell. Sashalmi M.'!N15+'18. mell. Margaréta'!N15+'19.mell.Szentmihályi Játszókert'!N15+'20. mell. M. Fecskefészek'!N15+'21. mell. CMH'!N15+'22. mell. Bölcsőde'!N15+'23. mell. Terszoc.'!N15+'24. mell. Napraforgó'!N15+'25. mell. Kerületgazda'!N15+'26. mell. Őrszolgálat'!N15+'27. mell. KHEK'!N15+'28. mell. KIO'!N15</f>
        <v>412105</v>
      </c>
      <c r="O15" s="321">
        <f>+'9. mell. PMH'!O15+'12. mell. Szakrendelő'!O15+'13. mell. GAMESZ'!O15+'14. mell. Gyerekkuckó'!O15+'15. mell. Cinkotai H.'!O15+'16. mell. Napsugár'!O15+'17. mell. Sashalmi M.'!O15+'18. mell. Margaréta'!O15+'19.mell.Szentmihályi Játszókert'!O15+'20. mell. M. Fecskefészek'!O15+'21. mell. CMH'!O15+'22. mell. Bölcsőde'!O15+'23. mell. Terszoc.'!O15+'24. mell. Napraforgó'!O15+'25. mell. Kerületgazda'!O15+'26. mell. Őrszolgálat'!O15+'27. mell. KHEK'!O15+'28. mell. KIO'!O15</f>
        <v>280994</v>
      </c>
      <c r="P15" s="321">
        <f>+'9. mell. PMH'!P15+'12. mell. Szakrendelő'!P15+'13. mell. GAMESZ'!P15+'14. mell. Gyerekkuckó'!P15+'15. mell. Cinkotai H.'!P15+'16. mell. Napsugár'!P15+'17. mell. Sashalmi M.'!P15+'18. mell. Margaréta'!P15+'19.mell.Szentmihályi Játszókert'!P15+'20. mell. M. Fecskefészek'!P15+'21. mell. CMH'!P15+'22. mell. Bölcsőde'!P15+'23. mell. Terszoc.'!P15+'24. mell. Napraforgó'!P15+'25. mell. Kerületgazda'!P15+'26. mell. Őrszolgálat'!P15+'27. mell. KHEK'!P15+'28. mell. KIO'!P15</f>
        <v>280994</v>
      </c>
      <c r="Q15" s="321">
        <f>+'9. mell. PMH'!Q15+'12. mell. Szakrendelő'!Q15+'13. mell. GAMESZ'!Q15+'14. mell. Gyerekkuckó'!Q15+'15. mell. Cinkotai H.'!Q15+'16. mell. Napsugár'!Q15+'17. mell. Sashalmi M.'!Q15+'18. mell. Margaréta'!Q15+'19.mell.Szentmihályi Játszókert'!Q15+'20. mell. M. Fecskefészek'!Q15+'21. mell. CMH'!Q15+'22. mell. Bölcsőde'!Q15+'23. mell. Terszoc.'!Q15+'24. mell. Napraforgó'!Q15+'25. mell. Kerületgazda'!Q15+'26. mell. Őrszolgálat'!Q15+'27. mell. KHEK'!Q15+'28. mell. KIO'!Q15</f>
        <v>280994</v>
      </c>
      <c r="R15" s="321">
        <f>+'9. mell. PMH'!R15+'12. mell. Szakrendelő'!R15+'13. mell. GAMESZ'!R15+'14. mell. Gyerekkuckó'!R15+'15. mell. Cinkotai H.'!R15+'16. mell. Napsugár'!R15+'17. mell. Sashalmi M.'!R15+'18. mell. Margaréta'!R15+'19.mell.Szentmihályi Játszókert'!R15+'20. mell. M. Fecskefészek'!R15+'21. mell. CMH'!R15+'22. mell. Bölcsőde'!R15+'23. mell. Terszoc.'!R15+'24. mell. Napraforgó'!R15+'25. mell. Kerületgazda'!R15+'26. mell. Őrszolgálat'!R15+'27. mell. KHEK'!R15+'28. mell. KIO'!R15</f>
        <v>336000</v>
      </c>
      <c r="S15" s="321">
        <f>+'9. mell. PMH'!S15+'12. mell. Szakrendelő'!S15+'13. mell. GAMESZ'!S15+'14. mell. Gyerekkuckó'!S15+'15. mell. Cinkotai H.'!S15+'16. mell. Napsugár'!S15+'17. mell. Sashalmi M.'!S15+'18. mell. Margaréta'!S15+'19.mell.Szentmihályi Játszókert'!S15+'20. mell. M. Fecskefészek'!S15+'21. mell. CMH'!S15+'22. mell. Bölcsőde'!S15+'23. mell. Terszoc.'!S15+'24. mell. Napraforgó'!S15+'25. mell. Kerületgazda'!S15+'26. mell. Őrszolgálat'!S15+'27. mell. KHEK'!S15+'28. mell. KIO'!S15</f>
        <v>66435494</v>
      </c>
      <c r="T15" s="321">
        <f>+'9. mell. PMH'!T15+'12. mell. Szakrendelő'!T15+'13. mell. GAMESZ'!T15+'14. mell. Gyerekkuckó'!T15+'15. mell. Cinkotai H.'!T15+'16. mell. Napsugár'!T15+'17. mell. Sashalmi M.'!T15+'18. mell. Margaréta'!T15+'19.mell.Szentmihályi Játszókert'!T15+'20. mell. M. Fecskefészek'!T15+'21. mell. CMH'!T15+'22. mell. Bölcsőde'!T15+'23. mell. Terszoc.'!T15+'24. mell. Napraforgó'!T15+'25. mell. Kerületgazda'!T15+'26. mell. Őrszolgálat'!T15+'27. mell. KHEK'!T15+'28. mell. KIO'!T15</f>
        <v>178213101</v>
      </c>
      <c r="U15" s="321">
        <f>+'9. mell. PMH'!U15+'12. mell. Szakrendelő'!U15+'13. mell. GAMESZ'!U15+'14. mell. Gyerekkuckó'!U15+'15. mell. Cinkotai H.'!U15+'16. mell. Napsugár'!U15+'17. mell. Sashalmi M.'!U15+'18. mell. Margaréta'!U15+'19.mell.Szentmihályi Játszókert'!U15+'20. mell. M. Fecskefészek'!U15+'21. mell. CMH'!U15+'22. mell. Bölcsőde'!U15+'23. mell. Terszoc.'!U15+'24. mell. Napraforgó'!U15+'25. mell. Kerületgazda'!U15+'26. mell. Őrszolgálat'!U15+'27. mell. KHEK'!U15+'28. mell. KIO'!U15</f>
        <v>451663773</v>
      </c>
      <c r="V15" s="321">
        <f>+'9. mell. PMH'!V15+'12. mell. Szakrendelő'!V15+'13. mell. GAMESZ'!V15+'14. mell. Gyerekkuckó'!V15+'15. mell. Cinkotai H.'!V15+'16. mell. Napsugár'!V15+'17. mell. Sashalmi M.'!V15+'18. mell. Margaréta'!V15+'19.mell.Szentmihályi Játszókert'!V15+'20. mell. M. Fecskefészek'!V15+'21. mell. CMH'!V15+'22. mell. Bölcsőde'!V15+'23. mell. Terszoc.'!V15+'24. mell. Napraforgó'!V15+'25. mell. Kerületgazda'!V15+'26. mell. Őrszolgálat'!V15+'27. mell. KHEK'!V15+'28. mell. KIO'!V15</f>
        <v>451663773</v>
      </c>
      <c r="W15" s="321">
        <f>+'9. mell. PMH'!W15+'12. mell. Szakrendelő'!W15+'13. mell. GAMESZ'!W15+'14. mell. Gyerekkuckó'!W15+'15. mell. Cinkotai H.'!W15+'16. mell. Napsugár'!W15+'17. mell. Sashalmi M.'!W15+'18. mell. Margaréta'!W15+'19.mell.Szentmihályi Játszókert'!W15+'20. mell. M. Fecskefészek'!W15+'21. mell. CMH'!W15+'22. mell. Bölcsőde'!W15+'23. mell. Terszoc.'!W15+'24. mell. Napraforgó'!W15+'25. mell. Kerületgazda'!W15+'26. mell. Őrszolgálat'!W15+'27. mell. KHEK'!W15+'28. mell. KIO'!W15</f>
        <v>451663773</v>
      </c>
      <c r="X15" s="321">
        <f>+'9. mell. PMH'!X15+'12. mell. Szakrendelő'!X15+'13. mell. GAMESZ'!X15+'14. mell. Gyerekkuckó'!X15+'15. mell. Cinkotai H.'!X15+'16. mell. Napsugár'!X15+'17. mell. Sashalmi M.'!X15+'18. mell. Margaréta'!X15+'19.mell.Szentmihályi Játszókert'!X15+'20. mell. M. Fecskefészek'!X15+'21. mell. CMH'!X15+'22. mell. Bölcsőde'!X15+'23. mell. Terszoc.'!X15+'24. mell. Napraforgó'!X15+'25. mell. Kerületgazda'!X15+'26. mell. Őrszolgálat'!X15+'27. mell. KHEK'!X15+'28. mell. KIO'!X15</f>
        <v>0</v>
      </c>
      <c r="Y15" s="321">
        <f>+'9. mell. PMH'!Y15+'12. mell. Szakrendelő'!Y15+'13. mell. GAMESZ'!Y15+'14. mell. Gyerekkuckó'!Y15+'15. mell. Cinkotai H.'!Y15+'16. mell. Napsugár'!Y15+'17. mell. Sashalmi M.'!Y15+'18. mell. Margaréta'!Y15+'19.mell.Szentmihályi Játszókert'!Y15+'20. mell. M. Fecskefészek'!Y15+'21. mell. CMH'!Y15+'22. mell. Bölcsőde'!Y15+'23. mell. Terszoc.'!Y15+'24. mell. Napraforgó'!Y15+'25. mell. Kerületgazda'!Y15+'26. mell. Őrszolgálat'!Y15+'27. mell. KHEK'!Y15+'28. mell. KIO'!Y15</f>
        <v>0</v>
      </c>
      <c r="Z15" s="321">
        <f>+'9. mell. PMH'!Z15+'12. mell. Szakrendelő'!Z15+'13. mell. GAMESZ'!Z15+'14. mell. Gyerekkuckó'!Z15+'15. mell. Cinkotai H.'!Z15+'16. mell. Napsugár'!Z15+'17. mell. Sashalmi M.'!Z15+'18. mell. Margaréta'!Z15+'19.mell.Szentmihályi Játszókert'!Z15+'20. mell. M. Fecskefészek'!Z15+'21. mell. CMH'!Z15+'22. mell. Bölcsőde'!Z15+'23. mell. Terszoc.'!Z15+'24. mell. Napraforgó'!Z15+'25. mell. Kerületgazda'!Z15+'26. mell. Őrszolgálat'!Z15+'27. mell. KHEK'!Z15+'28. mell. KIO'!Z15</f>
        <v>0</v>
      </c>
      <c r="AA15" s="321">
        <f>+'9. mell. PMH'!AA15+'12. mell. Szakrendelő'!AA15+'13. mell. GAMESZ'!AA15+'14. mell. Gyerekkuckó'!AA15+'15. mell. Cinkotai H.'!AA15+'16. mell. Napsugár'!AA15+'17. mell. Sashalmi M.'!AA15+'18. mell. Margaréta'!AA15+'19.mell.Szentmihályi Játszókert'!AA15+'20. mell. M. Fecskefészek'!AA15+'21. mell. CMH'!AA15+'22. mell. Bölcsőde'!AA15+'23. mell. Terszoc.'!AA15+'24. mell. Napraforgó'!AA15+'25. mell. Kerületgazda'!AA15+'26. mell. Őrszolgálat'!AA15+'27. mell. KHEK'!AA15+'28. mell. KIO'!AA15</f>
        <v>0</v>
      </c>
      <c r="AB15" s="321">
        <f>+'9. mell. PMH'!AB15+'12. mell. Szakrendelő'!AB15+'13. mell. GAMESZ'!AB15+'14. mell. Gyerekkuckó'!AB15+'15. mell. Cinkotai H.'!AB15+'16. mell. Napsugár'!AB15+'17. mell. Sashalmi M.'!AB15+'18. mell. Margaréta'!AB15+'19.mell.Szentmihályi Játszókert'!AB15+'20. mell. M. Fecskefészek'!AB15+'21. mell. CMH'!AB15+'22. mell. Bölcsőde'!AB15+'23. mell. Terszoc.'!AB15+'24. mell. Napraforgó'!AB15+'25. mell. Kerületgazda'!AB15+'26. mell. Őrszolgálat'!AB15+'27. mell. KHEK'!AB15+'28. mell. KIO'!AB15</f>
        <v>0</v>
      </c>
      <c r="AC15" s="321">
        <f>+'9. mell. PMH'!AC15+'12. mell. Szakrendelő'!AC15+'13. mell. GAMESZ'!AC15+'14. mell. Gyerekkuckó'!AC15+'15. mell. Cinkotai H.'!AC15+'16. mell. Napsugár'!AC15+'17. mell. Sashalmi M.'!AC15+'18. mell. Margaréta'!AC15+'19.mell.Szentmihályi Játszókert'!AC15+'20. mell. M. Fecskefészek'!AC15+'21. mell. CMH'!AC15+'22. mell. Bölcsőde'!AC15+'23. mell. Terszoc.'!AC15+'24. mell. Napraforgó'!AC15+'25. mell. Kerületgazda'!AC15+'26. mell. Őrszolgálat'!AC15+'27. mell. KHEK'!AC15+'28. mell. KIO'!AC15</f>
        <v>0</v>
      </c>
      <c r="AD15" s="323"/>
      <c r="AE15" s="321">
        <f t="shared" si="0"/>
        <v>66427102</v>
      </c>
      <c r="AF15" s="321">
        <f t="shared" si="1"/>
        <v>111862104</v>
      </c>
      <c r="AG15" s="321">
        <f t="shared" si="2"/>
        <v>273319561</v>
      </c>
      <c r="AH15" s="321">
        <f t="shared" si="3"/>
        <v>0</v>
      </c>
      <c r="AI15" s="324">
        <f>+K15/I15</f>
        <v>1</v>
      </c>
      <c r="AJ15" s="321">
        <f t="shared" si="4"/>
        <v>-2384000</v>
      </c>
      <c r="AK15" s="325">
        <f>+F15-'9. mell. PMH'!F15-'12. mell. Szakrendelő'!F15-'25. mell. Kerületgazda'!F15-'28. mell. KIO'!F15</f>
        <v>0</v>
      </c>
      <c r="AL15" s="325">
        <f>+G15-'9. mell. PMH'!G15-'12. mell. Szakrendelő'!G15-'25. mell. Kerületgazda'!G15-'28. mell. KIO'!G15</f>
        <v>23329209</v>
      </c>
      <c r="AM15" s="325">
        <f>+H15-'9. mell. PMH'!H15-'12. mell. Szakrendelő'!H15-'25. mell. Kerületgazda'!H15-'28. mell. KIO'!H15</f>
        <v>63643380</v>
      </c>
      <c r="AN15" s="325">
        <f>+I15-'9. mell. PMH'!I15-'12. mell. Szakrendelő'!I15-'25. mell. Kerületgazda'!I15-'28. mell. KIO'!I15</f>
        <v>201630941</v>
      </c>
      <c r="AO15" s="325">
        <f>+J15-'9. mell. PMH'!J15-'12. mell. Szakrendelő'!J15-'25. mell. Kerületgazda'!J15-'28. mell. KIO'!J15</f>
        <v>201630941</v>
      </c>
      <c r="AP15" s="325">
        <f>+K15-'9. mell. PMH'!K15-'12. mell. Szakrendelő'!K15-'25. mell. Kerületgazda'!K15-'28. mell. KIO'!K15</f>
        <v>201630941</v>
      </c>
      <c r="AQ15" s="1195">
        <f t="shared" si="5"/>
        <v>23329209</v>
      </c>
      <c r="AR15" s="1593">
        <f t="shared" si="6"/>
        <v>40314171</v>
      </c>
      <c r="AS15" s="1195">
        <f t="shared" si="7"/>
        <v>137987561</v>
      </c>
      <c r="AT15" s="2647">
        <v>439186028</v>
      </c>
      <c r="AU15" s="1593">
        <f t="shared" si="8"/>
        <v>0</v>
      </c>
    </row>
    <row r="16" spans="1:47" s="326" customFormat="1" ht="12.75" customHeight="1" thickBot="1">
      <c r="A16" s="313"/>
      <c r="B16" s="330" t="s">
        <v>323</v>
      </c>
      <c r="C16" s="328" t="s">
        <v>1277</v>
      </c>
      <c r="D16" s="321">
        <f>+'9. mell. PMH'!D16+'12. mell. Szakrendelő'!D16+'13. mell. GAMESZ'!D16+'14. mell. Gyerekkuckó'!D16+'15. mell. Cinkotai H.'!D16+'16. mell. Napsugár'!D16+'17. mell. Sashalmi M.'!D16+'18. mell. Margaréta'!D16+'19.mell.Szentmihályi Játszókert'!D16+'20. mell. M. Fecskefészek'!D16+'21. mell. CMH'!D16+'22. mell. Bölcsőde'!D16+'23. mell. Terszoc.'!D16+'24. mell. Napraforgó'!D16+'25. mell. Kerületgazda'!D16+'26. mell. Őrszolgálat'!D16+'27. mell. KHEK'!D16+'28. mell. KIO'!D16</f>
        <v>49502581</v>
      </c>
      <c r="E16" s="2587">
        <f>+'9. mell. PMH'!E16+'12. mell. Szakrendelő'!E16+'13. mell. GAMESZ'!E16+'14. mell. Gyerekkuckó'!E16+'15. mell. Cinkotai H.'!E16+'16. mell. Napsugár'!E16+'17. mell. Sashalmi M.'!E16+'18. mell. Margaréta'!E16+'19.mell.Szentmihályi Játszókert'!E16+'20. mell. M. Fecskefészek'!E16+'21. mell. CMH'!E16+'22. mell. Bölcsőde'!E16+'23. mell. Terszoc.'!E16+'24. mell. Napraforgó'!E16+'25. mell. Kerületgazda'!E16+'26. mell. Őrszolgálat'!E16+'27. mell. KHEK'!E16+'28. mell. KIO'!E16</f>
        <v>59751356</v>
      </c>
      <c r="F16" s="321">
        <f>+'9. mell. PMH'!F16+'12. mell. Szakrendelő'!F16+'13. mell. GAMESZ'!F16+'14. mell. Gyerekkuckó'!F16+'15. mell. Cinkotai H.'!F16+'16. mell. Napsugár'!F16+'17. mell. Sashalmi M.'!F16+'18. mell. Margaréta'!F16+'19.mell.Szentmihályi Játszókert'!F16+'20. mell. M. Fecskefészek'!F16+'21. mell. CMH'!F16+'22. mell. Bölcsőde'!F16+'23. mell. Terszoc.'!F16+'24. mell. Napraforgó'!F16+'25. mell. Kerületgazda'!F16+'26. mell. Őrszolgálat'!F16+'27. mell. KHEK'!F16+'28. mell. KIO'!F16</f>
        <v>35023986</v>
      </c>
      <c r="G16" s="321">
        <f>+'9. mell. PMH'!G16+'12. mell. Szakrendelő'!G16+'13. mell. GAMESZ'!G16+'14. mell. Gyerekkuckó'!G16+'15. mell. Cinkotai H.'!G16+'16. mell. Napsugár'!G16+'17. mell. Sashalmi M.'!G16+'18. mell. Margaréta'!G16+'19.mell.Szentmihályi Játszókert'!G16+'20. mell. M. Fecskefészek'!G16+'21. mell. CMH'!G16+'22. mell. Bölcsőde'!G16+'23. mell. Terszoc.'!G16+'24. mell. Napraforgó'!G16+'25. mell. Kerületgazda'!G16+'26. mell. Őrszolgálat'!G16+'27. mell. KHEK'!G16+'28. mell. KIO'!G16</f>
        <v>35023986</v>
      </c>
      <c r="H16" s="321">
        <f>+'9. mell. PMH'!H16+'12. mell. Szakrendelő'!H16+'13. mell. GAMESZ'!H16+'14. mell. Gyerekkuckó'!H16+'15. mell. Cinkotai H.'!H16+'16. mell. Napsugár'!H16+'17. mell. Sashalmi M.'!H16+'18. mell. Margaréta'!H16+'19.mell.Szentmihályi Játszókert'!H16+'20. mell. M. Fecskefészek'!H16+'21. mell. CMH'!H16+'22. mell. Bölcsőde'!H16+'23. mell. Terszoc.'!H16+'24. mell. Napraforgó'!H16+'25. mell. Kerületgazda'!H16+'26. mell. Őrszolgálat'!H16+'27. mell. KHEK'!H16+'28. mell. KIO'!H16</f>
        <v>35023986</v>
      </c>
      <c r="I16" s="321">
        <f>+'9. mell. PMH'!I16+'12. mell. Szakrendelő'!I16+'13. mell. GAMESZ'!I16+'14. mell. Gyerekkuckó'!I16+'15. mell. Cinkotai H.'!I16+'16. mell. Napsugár'!I16+'17. mell. Sashalmi M.'!I16+'18. mell. Margaréta'!I16+'19.mell.Szentmihályi Játszókert'!I16+'20. mell. M. Fecskefészek'!I16+'21. mell. CMH'!I16+'22. mell. Bölcsőde'!I16+'23. mell. Terszoc.'!I16+'24. mell. Napraforgó'!I16+'25. mell. Kerületgazda'!I16+'26. mell. Őrszolgálat'!I16+'27. mell. KHEK'!I16+'28. mell. KIO'!I16</f>
        <v>28014035</v>
      </c>
      <c r="J16" s="321">
        <f>+'9. mell. PMH'!J16+'12. mell. Szakrendelő'!J16+'13. mell. GAMESZ'!J16+'14. mell. Gyerekkuckó'!J16+'15. mell. Cinkotai H.'!J16+'16. mell. Napsugár'!J16+'17. mell. Sashalmi M.'!J16+'18. mell. Margaréta'!J16+'19.mell.Szentmihályi Játszókert'!J16+'20. mell. M. Fecskefészek'!J16+'21. mell. CMH'!J16+'22. mell. Bölcsőde'!J16+'23. mell. Terszoc.'!J16+'24. mell. Napraforgó'!J16+'25. mell. Kerületgazda'!J16+'26. mell. Őrszolgálat'!J16+'27. mell. KHEK'!J16+'28. mell. KIO'!J16</f>
        <v>28014035</v>
      </c>
      <c r="K16" s="2197">
        <f>+'9. mell. PMH'!K16+'12. mell. Szakrendelő'!K16+'13. mell. GAMESZ'!K16+'14. mell. Gyerekkuckó'!K16+'15. mell. Cinkotai H.'!K16+'16. mell. Napsugár'!K16+'17. mell. Sashalmi M.'!K16+'18. mell. Margaréta'!K16+'19.mell.Szentmihályi Játszókert'!K16+'20. mell. M. Fecskefészek'!K16+'21. mell. CMH'!K16+'22. mell. Bölcsőde'!K16+'23. mell. Terszoc.'!K16+'24. mell. Napraforgó'!K16+'25. mell. Kerületgazda'!K16+'26. mell. Őrszolgálat'!K16+'27. mell. KHEK'!K16+'28. mell. KIO'!K16</f>
        <v>28014034</v>
      </c>
      <c r="L16" s="321">
        <f>+'9. mell. PMH'!L16+'12. mell. Szakrendelő'!L16+'13. mell. GAMESZ'!L16+'14. mell. Gyerekkuckó'!L16+'15. mell. Cinkotai H.'!L16+'16. mell. Napsugár'!L16+'17. mell. Sashalmi M.'!L16+'18. mell. Margaréta'!L16+'19.mell.Szentmihályi Játszókert'!L16+'20. mell. M. Fecskefészek'!L16+'21. mell. CMH'!L16+'22. mell. Bölcsőde'!L16+'23. mell. Terszoc.'!L16+'24. mell. Napraforgó'!L16+'25. mell. Kerületgazda'!L16+'26. mell. Őrszolgálat'!L16+'27. mell. KHEK'!L16+'28. mell. KIO'!L16</f>
        <v>882884</v>
      </c>
      <c r="M16" s="321">
        <f>+'9. mell. PMH'!M16+'12. mell. Szakrendelő'!M16+'13. mell. GAMESZ'!M16+'14. mell. Gyerekkuckó'!M16+'15. mell. Cinkotai H.'!M16+'16. mell. Napsugár'!M16+'17. mell. Sashalmi M.'!M16+'18. mell. Margaréta'!M16+'19.mell.Szentmihályi Játszókert'!M16+'20. mell. M. Fecskefészek'!M16+'21. mell. CMH'!M16+'22. mell. Bölcsőde'!M16+'23. mell. Terszoc.'!M16+'24. mell. Napraforgó'!M16+'25. mell. Kerületgazda'!M16+'26. mell. Őrszolgálat'!M16+'27. mell. KHEK'!M16+'28. mell. KIO'!M16</f>
        <v>882884</v>
      </c>
      <c r="N16" s="321">
        <f>+'9. mell. PMH'!N16+'12. mell. Szakrendelő'!N16+'13. mell. GAMESZ'!N16+'14. mell. Gyerekkuckó'!N16+'15. mell. Cinkotai H.'!N16+'16. mell. Napsugár'!N16+'17. mell. Sashalmi M.'!N16+'18. mell. Margaréta'!N16+'19.mell.Szentmihályi Játszókert'!N16+'20. mell. M. Fecskefészek'!N16+'21. mell. CMH'!N16+'22. mell. Bölcsőde'!N16+'23. mell. Terszoc.'!N16+'24. mell. Napraforgó'!N16+'25. mell. Kerületgazda'!N16+'26. mell. Őrszolgálat'!N16+'27. mell. KHEK'!N16+'28. mell. KIO'!N16</f>
        <v>882884</v>
      </c>
      <c r="O16" s="321">
        <f>+'9. mell. PMH'!O16+'12. mell. Szakrendelő'!O16+'13. mell. GAMESZ'!O16+'14. mell. Gyerekkuckó'!O16+'15. mell. Cinkotai H.'!O16+'16. mell. Napsugár'!O16+'17. mell. Sashalmi M.'!O16+'18. mell. Margaréta'!O16+'19.mell.Szentmihályi Játszókert'!O16+'20. mell. M. Fecskefészek'!O16+'21. mell. CMH'!O16+'22. mell. Bölcsőde'!O16+'23. mell. Terszoc.'!O16+'24. mell. Napraforgó'!O16+'25. mell. Kerületgazda'!O16+'26. mell. Őrszolgálat'!O16+'27. mell. KHEK'!O16+'28. mell. KIO'!O16</f>
        <v>2017536</v>
      </c>
      <c r="P16" s="321">
        <f>+'9. mell. PMH'!P16+'12. mell. Szakrendelő'!P16+'13. mell. GAMESZ'!P16+'14. mell. Gyerekkuckó'!P16+'15. mell. Cinkotai H.'!P16+'16. mell. Napsugár'!P16+'17. mell. Sashalmi M.'!P16+'18. mell. Margaréta'!P16+'19.mell.Szentmihályi Játszókert'!P16+'20. mell. M. Fecskefészek'!P16+'21. mell. CMH'!P16+'22. mell. Bölcsőde'!P16+'23. mell. Terszoc.'!P16+'24. mell. Napraforgó'!P16+'25. mell. Kerületgazda'!P16+'26. mell. Őrszolgálat'!P16+'27. mell. KHEK'!P16+'28. mell. KIO'!P16</f>
        <v>2017536</v>
      </c>
      <c r="Q16" s="321">
        <f>+'9. mell. PMH'!Q16+'12. mell. Szakrendelő'!Q16+'13. mell. GAMESZ'!Q16+'14. mell. Gyerekkuckó'!Q16+'15. mell. Cinkotai H.'!Q16+'16. mell. Napsugár'!Q16+'17. mell. Sashalmi M.'!Q16+'18. mell. Margaréta'!Q16+'19.mell.Szentmihályi Játszókert'!Q16+'20. mell. M. Fecskefészek'!Q16+'21. mell. CMH'!Q16+'22. mell. Bölcsőde'!Q16+'23. mell. Terszoc.'!Q16+'24. mell. Napraforgó'!Q16+'25. mell. Kerületgazda'!Q16+'26. mell. Őrszolgálat'!Q16+'27. mell. KHEK'!Q16+'28. mell. KIO'!Q16</f>
        <v>2017536</v>
      </c>
      <c r="R16" s="321">
        <f>+'9. mell. PMH'!R16+'12. mell. Szakrendelő'!R16+'13. mell. GAMESZ'!R16+'14. mell. Gyerekkuckó'!R16+'15. mell. Cinkotai H.'!R16+'16. mell. Napsugár'!R16+'17. mell. Sashalmi M.'!R16+'18. mell. Margaréta'!R16+'19.mell.Szentmihályi Játszókert'!R16+'20. mell. M. Fecskefészek'!R16+'21. mell. CMH'!R16+'22. mell. Bölcsőde'!R16+'23. mell. Terszoc.'!R16+'24. mell. Napraforgó'!R16+'25. mell. Kerületgazda'!R16+'26. mell. Őrszolgálat'!R16+'27. mell. KHEK'!R16+'28. mell. KIO'!R16</f>
        <v>34141102</v>
      </c>
      <c r="S16" s="321">
        <f>+'9. mell. PMH'!S16+'12. mell. Szakrendelő'!S16+'13. mell. GAMESZ'!S16+'14. mell. Gyerekkuckó'!S16+'15. mell. Cinkotai H.'!S16+'16. mell. Napsugár'!S16+'17. mell. Sashalmi M.'!S16+'18. mell. Margaréta'!S16+'19.mell.Szentmihályi Játszókert'!S16+'20. mell. M. Fecskefészek'!S16+'21. mell. CMH'!S16+'22. mell. Bölcsőde'!S16+'23. mell. Terszoc.'!S16+'24. mell. Napraforgó'!S16+'25. mell. Kerületgazda'!S16+'26. mell. Őrszolgálat'!S16+'27. mell. KHEK'!S16+'28. mell. KIO'!S16</f>
        <v>34141102</v>
      </c>
      <c r="T16" s="321">
        <f>+'9. mell. PMH'!T16+'12. mell. Szakrendelő'!T16+'13. mell. GAMESZ'!T16+'14. mell. Gyerekkuckó'!T16+'15. mell. Cinkotai H.'!T16+'16. mell. Napsugár'!T16+'17. mell. Sashalmi M.'!T16+'18. mell. Margaréta'!T16+'19.mell.Szentmihályi Játszókert'!T16+'20. mell. M. Fecskefészek'!T16+'21. mell. CMH'!T16+'22. mell. Bölcsőde'!T16+'23. mell. Terszoc.'!T16+'24. mell. Napraforgó'!T16+'25. mell. Kerületgazda'!T16+'26. mell. Őrszolgálat'!T16+'27. mell. KHEK'!T16+'28. mell. KIO'!T16</f>
        <v>34141102</v>
      </c>
      <c r="U16" s="321">
        <f>+'9. mell. PMH'!U16+'12. mell. Szakrendelő'!U16+'13. mell. GAMESZ'!U16+'14. mell. Gyerekkuckó'!U16+'15. mell. Cinkotai H.'!U16+'16. mell. Napsugár'!U16+'17. mell. Sashalmi M.'!U16+'18. mell. Margaréta'!U16+'19.mell.Szentmihályi Játszókert'!U16+'20. mell. M. Fecskefészek'!U16+'21. mell. CMH'!U16+'22. mell. Bölcsőde'!U16+'23. mell. Terszoc.'!U16+'24. mell. Napraforgó'!U16+'25. mell. Kerületgazda'!U16+'26. mell. Őrszolgálat'!U16+'27. mell. KHEK'!U16+'28. mell. KIO'!U16</f>
        <v>25996499</v>
      </c>
      <c r="V16" s="321">
        <f>+'9. mell. PMH'!V16+'12. mell. Szakrendelő'!V16+'13. mell. GAMESZ'!V16+'14. mell. Gyerekkuckó'!V16+'15. mell. Cinkotai H.'!V16+'16. mell. Napsugár'!V16+'17. mell. Sashalmi M.'!V16+'18. mell. Margaréta'!V16+'19.mell.Szentmihályi Játszókert'!V16+'20. mell. M. Fecskefészek'!V16+'21. mell. CMH'!V16+'22. mell. Bölcsőde'!V16+'23. mell. Terszoc.'!V16+'24. mell. Napraforgó'!V16+'25. mell. Kerületgazda'!V16+'26. mell. Őrszolgálat'!V16+'27. mell. KHEK'!V16+'28. mell. KIO'!V16</f>
        <v>25996499</v>
      </c>
      <c r="W16" s="321">
        <f>+'9. mell. PMH'!W16+'12. mell. Szakrendelő'!W16+'13. mell. GAMESZ'!W16+'14. mell. Gyerekkuckó'!W16+'15. mell. Cinkotai H.'!W16+'16. mell. Napsugár'!W16+'17. mell. Sashalmi M.'!W16+'18. mell. Margaréta'!W16+'19.mell.Szentmihályi Játszókert'!W16+'20. mell. M. Fecskefészek'!W16+'21. mell. CMH'!W16+'22. mell. Bölcsőde'!W16+'23. mell. Terszoc.'!W16+'24. mell. Napraforgó'!W16+'25. mell. Kerületgazda'!W16+'26. mell. Őrszolgálat'!W16+'27. mell. KHEK'!W16+'28. mell. KIO'!W16</f>
        <v>25996498</v>
      </c>
      <c r="X16" s="321">
        <f>+'9. mell. PMH'!X16+'12. mell. Szakrendelő'!X16+'13. mell. GAMESZ'!X16+'14. mell. Gyerekkuckó'!X16+'15. mell. Cinkotai H.'!X16+'16. mell. Napsugár'!X16+'17. mell. Sashalmi M.'!X16+'18. mell. Margaréta'!X16+'19.mell.Szentmihályi Játszókert'!X16+'20. mell. M. Fecskefészek'!X16+'21. mell. CMH'!X16+'22. mell. Bölcsőde'!X16+'23. mell. Terszoc.'!X16+'24. mell. Napraforgó'!X16+'25. mell. Kerületgazda'!X16+'26. mell. Őrszolgálat'!X16+'27. mell. KHEK'!X16+'28. mell. KIO'!X16</f>
        <v>0</v>
      </c>
      <c r="Y16" s="321">
        <f>+'9. mell. PMH'!Y16+'12. mell. Szakrendelő'!Y16+'13. mell. GAMESZ'!Y16+'14. mell. Gyerekkuckó'!Y16+'15. mell. Cinkotai H.'!Y16+'16. mell. Napsugár'!Y16+'17. mell. Sashalmi M.'!Y16+'18. mell. Margaréta'!Y16+'19.mell.Szentmihályi Játszókert'!Y16+'20. mell. M. Fecskefészek'!Y16+'21. mell. CMH'!Y16+'22. mell. Bölcsőde'!Y16+'23. mell. Terszoc.'!Y16+'24. mell. Napraforgó'!Y16+'25. mell. Kerületgazda'!Y16+'26. mell. Őrszolgálat'!Y16+'27. mell. KHEK'!Y16+'28. mell. KIO'!Y16</f>
        <v>0</v>
      </c>
      <c r="Z16" s="321">
        <f>+'9. mell. PMH'!Z16+'12. mell. Szakrendelő'!Z16+'13. mell. GAMESZ'!Z16+'14. mell. Gyerekkuckó'!Z16+'15. mell. Cinkotai H.'!Z16+'16. mell. Napsugár'!Z16+'17. mell. Sashalmi M.'!Z16+'18. mell. Margaréta'!Z16+'19.mell.Szentmihályi Játszókert'!Z16+'20. mell. M. Fecskefészek'!Z16+'21. mell. CMH'!Z16+'22. mell. Bölcsőde'!Z16+'23. mell. Terszoc.'!Z16+'24. mell. Napraforgó'!Z16+'25. mell. Kerületgazda'!Z16+'26. mell. Őrszolgálat'!Z16+'27. mell. KHEK'!Z16+'28. mell. KIO'!Z16</f>
        <v>0</v>
      </c>
      <c r="AA16" s="321">
        <f>+'9. mell. PMH'!AA16+'12. mell. Szakrendelő'!AA16+'13. mell. GAMESZ'!AA16+'14. mell. Gyerekkuckó'!AA16+'15. mell. Cinkotai H.'!AA16+'16. mell. Napsugár'!AA16+'17. mell. Sashalmi M.'!AA16+'18. mell. Margaréta'!AA16+'19.mell.Szentmihályi Játszókert'!AA16+'20. mell. M. Fecskefészek'!AA16+'21. mell. CMH'!AA16+'22. mell. Bölcsőde'!AA16+'23. mell. Terszoc.'!AA16+'24. mell. Napraforgó'!AA16+'25. mell. Kerületgazda'!AA16+'26. mell. Őrszolgálat'!AA16+'27. mell. KHEK'!AA16+'28. mell. KIO'!AA16</f>
        <v>0</v>
      </c>
      <c r="AB16" s="321">
        <f>+'9. mell. PMH'!AB16+'12. mell. Szakrendelő'!AB16+'13. mell. GAMESZ'!AB16+'14. mell. Gyerekkuckó'!AB16+'15. mell. Cinkotai H.'!AB16+'16. mell. Napsugár'!AB16+'17. mell. Sashalmi M.'!AB16+'18. mell. Margaréta'!AB16+'19.mell.Szentmihályi Játszókert'!AB16+'20. mell. M. Fecskefészek'!AB16+'21. mell. CMH'!AB16+'22. mell. Bölcsőde'!AB16+'23. mell. Terszoc.'!AB16+'24. mell. Napraforgó'!AB16+'25. mell. Kerületgazda'!AB16+'26. mell. Őrszolgálat'!AB16+'27. mell. KHEK'!AB16+'28. mell. KIO'!AB16</f>
        <v>0</v>
      </c>
      <c r="AC16" s="321">
        <f>+'9. mell. PMH'!AC16+'12. mell. Szakrendelő'!AC16+'13. mell. GAMESZ'!AC16+'14. mell. Gyerekkuckó'!AC16+'15. mell. Cinkotai H.'!AC16+'16. mell. Napsugár'!AC16+'17. mell. Sashalmi M.'!AC16+'18. mell. Margaréta'!AC16+'19.mell.Szentmihályi Játszókert'!AC16+'20. mell. M. Fecskefészek'!AC16+'21. mell. CMH'!AC16+'22. mell. Bölcsőde'!AC16+'23. mell. Terszoc.'!AC16+'24. mell. Napraforgó'!AC16+'25. mell. Kerületgazda'!AC16+'26. mell. Őrszolgálat'!AC16+'27. mell. KHEK'!AC16+'28. mell. KIO'!AC16</f>
        <v>0</v>
      </c>
      <c r="AD16" s="323"/>
      <c r="AE16" s="321">
        <f t="shared" si="0"/>
        <v>0</v>
      </c>
      <c r="AF16" s="321">
        <f t="shared" si="1"/>
        <v>0</v>
      </c>
      <c r="AG16" s="321">
        <f t="shared" si="2"/>
        <v>-7009951</v>
      </c>
      <c r="AH16" s="321">
        <f t="shared" si="3"/>
        <v>0</v>
      </c>
      <c r="AI16" s="324">
        <f>+K16/I16</f>
        <v>0.99999996430360705</v>
      </c>
      <c r="AJ16" s="321">
        <f t="shared" si="4"/>
        <v>-14478595</v>
      </c>
      <c r="AK16" s="325">
        <f>+F16-'9. mell. PMH'!F16-'12. mell. Szakrendelő'!F16-'25. mell. Kerületgazda'!F16-'28. mell. KIO'!F16</f>
        <v>19315340</v>
      </c>
      <c r="AL16" s="325">
        <f>+G16-'9. mell. PMH'!G16-'12. mell. Szakrendelő'!G16-'25. mell. Kerületgazda'!G16-'28. mell. KIO'!G16</f>
        <v>19315340</v>
      </c>
      <c r="AM16" s="325">
        <f>+H16-'9. mell. PMH'!H16-'12. mell. Szakrendelő'!H16-'25. mell. Kerületgazda'!H16-'28. mell. KIO'!H16</f>
        <v>19315340</v>
      </c>
      <c r="AN16" s="325">
        <f>+I16-'9. mell. PMH'!I16-'12. mell. Szakrendelő'!I16-'25. mell. Kerületgazda'!I16-'28. mell. KIO'!I16</f>
        <v>11859282</v>
      </c>
      <c r="AO16" s="325">
        <f>+J16-'9. mell. PMH'!J16-'12. mell. Szakrendelő'!J16-'25. mell. Kerületgazda'!J16-'28. mell. KIO'!J16</f>
        <v>11859282</v>
      </c>
      <c r="AP16" s="325">
        <f>+K16-'9. mell. PMH'!K16-'12. mell. Szakrendelő'!K16-'25. mell. Kerületgazda'!K16-'28. mell. KIO'!K16</f>
        <v>11859281</v>
      </c>
      <c r="AQ16" s="1195">
        <f t="shared" si="5"/>
        <v>0</v>
      </c>
      <c r="AR16" s="1593">
        <f t="shared" si="6"/>
        <v>0</v>
      </c>
      <c r="AS16" s="1195">
        <f t="shared" si="7"/>
        <v>-7456058</v>
      </c>
      <c r="AT16" s="2647">
        <v>59751356</v>
      </c>
      <c r="AU16" s="1593">
        <f t="shared" si="8"/>
        <v>0</v>
      </c>
    </row>
    <row r="17" spans="1:47" s="326" customFormat="1" ht="12" customHeight="1" thickBot="1">
      <c r="A17" s="313"/>
      <c r="B17" s="330" t="s">
        <v>325</v>
      </c>
      <c r="C17" s="328" t="s">
        <v>242</v>
      </c>
      <c r="D17" s="321">
        <f>+'9. mell. PMH'!D17+'12. mell. Szakrendelő'!D17+'13. mell. GAMESZ'!D17+'14. mell. Gyerekkuckó'!D17+'15. mell. Cinkotai H.'!D17+'16. mell. Napsugár'!D17+'17. mell. Sashalmi M.'!D17+'18. mell. Margaréta'!D17+'19.mell.Szentmihályi Játszókert'!D17+'20. mell. M. Fecskefészek'!D17+'21. mell. CMH'!D17+'22. mell. Bölcsőde'!D17+'23. mell. Terszoc.'!D17+'24. mell. Napraforgó'!D17+'25. mell. Kerületgazda'!D17+'26. mell. Őrszolgálat'!D17+'27. mell. KHEK'!D17+'28. mell. KIO'!D17</f>
        <v>0</v>
      </c>
      <c r="E17" s="2587">
        <f>+'9. mell. PMH'!E17+'12. mell. Szakrendelő'!E17+'13. mell. GAMESZ'!E17+'14. mell. Gyerekkuckó'!E17+'15. mell. Cinkotai H.'!E17+'16. mell. Napsugár'!E17+'17. mell. Sashalmi M.'!E17+'18. mell. Margaréta'!E17+'19.mell.Szentmihályi Játszókert'!E17+'20. mell. M. Fecskefészek'!E17+'21. mell. CMH'!E17+'22. mell. Bölcsőde'!E17+'23. mell. Terszoc.'!E17+'24. mell. Napraforgó'!E17+'25. mell. Kerületgazda'!E17+'26. mell. Őrszolgálat'!E17+'27. mell. KHEK'!E17+'28. mell. KIO'!E17</f>
        <v>10</v>
      </c>
      <c r="F17" s="321">
        <f>+'9. mell. PMH'!F17+'12. mell. Szakrendelő'!F17+'13. mell. GAMESZ'!F17+'14. mell. Gyerekkuckó'!F17+'15. mell. Cinkotai H.'!F17+'16. mell. Napsugár'!F17+'17. mell. Sashalmi M.'!F17+'18. mell. Margaréta'!F17+'19.mell.Szentmihályi Játszókert'!F17+'20. mell. M. Fecskefészek'!F17+'21. mell. CMH'!F17+'22. mell. Bölcsőde'!F17+'23. mell. Terszoc.'!F17+'24. mell. Napraforgó'!F17+'25. mell. Kerületgazda'!F17+'26. mell. Őrszolgálat'!F17+'27. mell. KHEK'!F17+'28. mell. KIO'!F17</f>
        <v>0</v>
      </c>
      <c r="G17" s="321">
        <f>+'9. mell. PMH'!G17+'12. mell. Szakrendelő'!G17+'13. mell. GAMESZ'!G17+'14. mell. Gyerekkuckó'!G17+'15. mell. Cinkotai H.'!G17+'16. mell. Napsugár'!G17+'17. mell. Sashalmi M.'!G17+'18. mell. Margaréta'!G17+'19.mell.Szentmihályi Játszókert'!G17+'20. mell. M. Fecskefészek'!G17+'21. mell. CMH'!G17+'22. mell. Bölcsőde'!G17+'23. mell. Terszoc.'!G17+'24. mell. Napraforgó'!G17+'25. mell. Kerületgazda'!G17+'26. mell. Őrszolgálat'!G17+'27. mell. KHEK'!G17+'28. mell. KIO'!G17</f>
        <v>0</v>
      </c>
      <c r="H17" s="321">
        <f>+'9. mell. PMH'!H17+'12. mell. Szakrendelő'!H17+'13. mell. GAMESZ'!H17+'14. mell. Gyerekkuckó'!H17+'15. mell. Cinkotai H.'!H17+'16. mell. Napsugár'!H17+'17. mell. Sashalmi M.'!H17+'18. mell. Margaréta'!H17+'19.mell.Szentmihályi Játszókert'!H17+'20. mell. M. Fecskefészek'!H17+'21. mell. CMH'!H17+'22. mell. Bölcsőde'!H17+'23. mell. Terszoc.'!H17+'24. mell. Napraforgó'!H17+'25. mell. Kerületgazda'!H17+'26. mell. Őrszolgálat'!H17+'27. mell. KHEK'!H17+'28. mell. KIO'!H17</f>
        <v>0</v>
      </c>
      <c r="I17" s="321">
        <f>+'9. mell. PMH'!I17+'12. mell. Szakrendelő'!I17+'13. mell. GAMESZ'!I17+'14. mell. Gyerekkuckó'!I17+'15. mell. Cinkotai H.'!I17+'16. mell. Napsugár'!I17+'17. mell. Sashalmi M.'!I17+'18. mell. Margaréta'!I17+'19.mell.Szentmihályi Játszókert'!I17+'20. mell. M. Fecskefészek'!I17+'21. mell. CMH'!I17+'22. mell. Bölcsőde'!I17+'23. mell. Terszoc.'!I17+'24. mell. Napraforgó'!I17+'25. mell. Kerületgazda'!I17+'26. mell. Őrszolgálat'!I17+'27. mell. KHEK'!I17+'28. mell. KIO'!I17</f>
        <v>0</v>
      </c>
      <c r="J17" s="321">
        <f>+'9. mell. PMH'!J17+'12. mell. Szakrendelő'!J17+'13. mell. GAMESZ'!J17+'14. mell. Gyerekkuckó'!J17+'15. mell. Cinkotai H.'!J17+'16. mell. Napsugár'!J17+'17. mell. Sashalmi M.'!J17+'18. mell. Margaréta'!J17+'19.mell.Szentmihályi Játszókert'!J17+'20. mell. M. Fecskefészek'!J17+'21. mell. CMH'!J17+'22. mell. Bölcsőde'!J17+'23. mell. Terszoc.'!J17+'24. mell. Napraforgó'!J17+'25. mell. Kerületgazda'!J17+'26. mell. Őrszolgálat'!J17+'27. mell. KHEK'!J17+'28. mell. KIO'!J17</f>
        <v>0</v>
      </c>
      <c r="K17" s="2197">
        <f>+'9. mell. PMH'!K17+'12. mell. Szakrendelő'!K17+'13. mell. GAMESZ'!K17+'14. mell. Gyerekkuckó'!K17+'15. mell. Cinkotai H.'!K17+'16. mell. Napsugár'!K17+'17. mell. Sashalmi M.'!K17+'18. mell. Margaréta'!K17+'19.mell.Szentmihályi Játszókert'!K17+'20. mell. M. Fecskefészek'!K17+'21. mell. CMH'!K17+'22. mell. Bölcsőde'!K17+'23. mell. Terszoc.'!K17+'24. mell. Napraforgó'!K17+'25. mell. Kerületgazda'!K17+'26. mell. Őrszolgálat'!K17+'27. mell. KHEK'!K17+'28. mell. KIO'!K17</f>
        <v>0</v>
      </c>
      <c r="L17" s="321">
        <f>+'9. mell. PMH'!L17+'12. mell. Szakrendelő'!L17+'13. mell. GAMESZ'!L17+'14. mell. Gyerekkuckó'!L17+'15. mell. Cinkotai H.'!L17+'16. mell. Napsugár'!L17+'17. mell. Sashalmi M.'!L17+'18. mell. Margaréta'!L17+'19.mell.Szentmihályi Játszókert'!L17+'20. mell. M. Fecskefészek'!L17+'21. mell. CMH'!L17+'22. mell. Bölcsőde'!L17+'23. mell. Terszoc.'!L17+'24. mell. Napraforgó'!L17+'25. mell. Kerületgazda'!L17+'26. mell. Őrszolgálat'!L17+'27. mell. KHEK'!L17+'28. mell. KIO'!L17</f>
        <v>0</v>
      </c>
      <c r="M17" s="321">
        <f>+'9. mell. PMH'!M17+'12. mell. Szakrendelő'!M17+'13. mell. GAMESZ'!M17+'14. mell. Gyerekkuckó'!M17+'15. mell. Cinkotai H.'!M17+'16. mell. Napsugár'!M17+'17. mell. Sashalmi M.'!M17+'18. mell. Margaréta'!M17+'19.mell.Szentmihályi Játszókert'!M17+'20. mell. M. Fecskefészek'!M17+'21. mell. CMH'!M17+'22. mell. Bölcsőde'!M17+'23. mell. Terszoc.'!M17+'24. mell. Napraforgó'!M17+'25. mell. Kerületgazda'!M17+'26. mell. Őrszolgálat'!M17+'27. mell. KHEK'!M17+'28. mell. KIO'!M17</f>
        <v>0</v>
      </c>
      <c r="N17" s="321">
        <f>+'9. mell. PMH'!N17+'12. mell. Szakrendelő'!N17+'13. mell. GAMESZ'!N17+'14. mell. Gyerekkuckó'!N17+'15. mell. Cinkotai H.'!N17+'16. mell. Napsugár'!N17+'17. mell. Sashalmi M.'!N17+'18. mell. Margaréta'!N17+'19.mell.Szentmihályi Játszókert'!N17+'20. mell. M. Fecskefészek'!N17+'21. mell. CMH'!N17+'22. mell. Bölcsőde'!N17+'23. mell. Terszoc.'!N17+'24. mell. Napraforgó'!N17+'25. mell. Kerületgazda'!N17+'26. mell. Őrszolgálat'!N17+'27. mell. KHEK'!N17+'28. mell. KIO'!N17</f>
        <v>0</v>
      </c>
      <c r="O17" s="321">
        <f>+'9. mell. PMH'!O17+'12. mell. Szakrendelő'!O17+'13. mell. GAMESZ'!O17+'14. mell. Gyerekkuckó'!O17+'15. mell. Cinkotai H.'!O17+'16. mell. Napsugár'!O17+'17. mell. Sashalmi M.'!O17+'18. mell. Margaréta'!O17+'19.mell.Szentmihályi Játszókert'!O17+'20. mell. M. Fecskefészek'!O17+'21. mell. CMH'!O17+'22. mell. Bölcsőde'!O17+'23. mell. Terszoc.'!O17+'24. mell. Napraforgó'!O17+'25. mell. Kerületgazda'!O17+'26. mell. Őrszolgálat'!O17+'27. mell. KHEK'!O17+'28. mell. KIO'!O17</f>
        <v>0</v>
      </c>
      <c r="P17" s="321">
        <f>+'9. mell. PMH'!P17+'12. mell. Szakrendelő'!P17+'13. mell. GAMESZ'!P17+'14. mell. Gyerekkuckó'!P17+'15. mell. Cinkotai H.'!P17+'16. mell. Napsugár'!P17+'17. mell. Sashalmi M.'!P17+'18. mell. Margaréta'!P17+'19.mell.Szentmihályi Játszókert'!P17+'20. mell. M. Fecskefészek'!P17+'21. mell. CMH'!P17+'22. mell. Bölcsőde'!P17+'23. mell. Terszoc.'!P17+'24. mell. Napraforgó'!P17+'25. mell. Kerületgazda'!P17+'26. mell. Őrszolgálat'!P17+'27. mell. KHEK'!P17+'28. mell. KIO'!P17</f>
        <v>0</v>
      </c>
      <c r="Q17" s="321">
        <f>+'9. mell. PMH'!Q17+'12. mell. Szakrendelő'!Q17+'13. mell. GAMESZ'!Q17+'14. mell. Gyerekkuckó'!Q17+'15. mell. Cinkotai H.'!Q17+'16. mell. Napsugár'!Q17+'17. mell. Sashalmi M.'!Q17+'18. mell. Margaréta'!Q17+'19.mell.Szentmihályi Játszókert'!Q17+'20. mell. M. Fecskefészek'!Q17+'21. mell. CMH'!Q17+'22. mell. Bölcsőde'!Q17+'23. mell. Terszoc.'!Q17+'24. mell. Napraforgó'!Q17+'25. mell. Kerületgazda'!Q17+'26. mell. Őrszolgálat'!Q17+'27. mell. KHEK'!Q17+'28. mell. KIO'!Q17</f>
        <v>0</v>
      </c>
      <c r="R17" s="321">
        <f>+'9. mell. PMH'!R17+'12. mell. Szakrendelő'!R17+'13. mell. GAMESZ'!R17+'14. mell. Gyerekkuckó'!R17+'15. mell. Cinkotai H.'!R17+'16. mell. Napsugár'!R17+'17. mell. Sashalmi M.'!R17+'18. mell. Margaréta'!R17+'19.mell.Szentmihályi Játszókert'!R17+'20. mell. M. Fecskefészek'!R17+'21. mell. CMH'!R17+'22. mell. Bölcsőde'!R17+'23. mell. Terszoc.'!R17+'24. mell. Napraforgó'!R17+'25. mell. Kerületgazda'!R17+'26. mell. Őrszolgálat'!R17+'27. mell. KHEK'!R17+'28. mell. KIO'!R17</f>
        <v>0</v>
      </c>
      <c r="S17" s="321">
        <f>+'9. mell. PMH'!S17+'12. mell. Szakrendelő'!S17+'13. mell. GAMESZ'!S17+'14. mell. Gyerekkuckó'!S17+'15. mell. Cinkotai H.'!S17+'16. mell. Napsugár'!S17+'17. mell. Sashalmi M.'!S17+'18. mell. Margaréta'!S17+'19.mell.Szentmihályi Játszókert'!S17+'20. mell. M. Fecskefészek'!S17+'21. mell. CMH'!S17+'22. mell. Bölcsőde'!S17+'23. mell. Terszoc.'!S17+'24. mell. Napraforgó'!S17+'25. mell. Kerületgazda'!S17+'26. mell. Őrszolgálat'!S17+'27. mell. KHEK'!S17+'28. mell. KIO'!S17</f>
        <v>0</v>
      </c>
      <c r="T17" s="321">
        <f>+'9. mell. PMH'!T17+'12. mell. Szakrendelő'!T17+'13. mell. GAMESZ'!T17+'14. mell. Gyerekkuckó'!T17+'15. mell. Cinkotai H.'!T17+'16. mell. Napsugár'!T17+'17. mell. Sashalmi M.'!T17+'18. mell. Margaréta'!T17+'19.mell.Szentmihályi Játszókert'!T17+'20. mell. M. Fecskefészek'!T17+'21. mell. CMH'!T17+'22. mell. Bölcsőde'!T17+'23. mell. Terszoc.'!T17+'24. mell. Napraforgó'!T17+'25. mell. Kerületgazda'!T17+'26. mell. Őrszolgálat'!T17+'27. mell. KHEK'!T17+'28. mell. KIO'!T17</f>
        <v>0</v>
      </c>
      <c r="U17" s="321">
        <f>+'9. mell. PMH'!U17+'12. mell. Szakrendelő'!U17+'13. mell. GAMESZ'!U17+'14. mell. Gyerekkuckó'!U17+'15. mell. Cinkotai H.'!U17+'16. mell. Napsugár'!U17+'17. mell. Sashalmi M.'!U17+'18. mell. Margaréta'!U17+'19.mell.Szentmihályi Játszókert'!U17+'20. mell. M. Fecskefészek'!U17+'21. mell. CMH'!U17+'22. mell. Bölcsőde'!U17+'23. mell. Terszoc.'!U17+'24. mell. Napraforgó'!U17+'25. mell. Kerületgazda'!U17+'26. mell. Őrszolgálat'!U17+'27. mell. KHEK'!U17+'28. mell. KIO'!U17</f>
        <v>0</v>
      </c>
      <c r="V17" s="321">
        <f>+'9. mell. PMH'!V17+'12. mell. Szakrendelő'!V17+'13. mell. GAMESZ'!V17+'14. mell. Gyerekkuckó'!V17+'15. mell. Cinkotai H.'!V17+'16. mell. Napsugár'!V17+'17. mell. Sashalmi M.'!V17+'18. mell. Margaréta'!V17+'19.mell.Szentmihályi Játszókert'!V17+'20. mell. M. Fecskefészek'!V17+'21. mell. CMH'!V17+'22. mell. Bölcsőde'!V17+'23. mell. Terszoc.'!V17+'24. mell. Napraforgó'!V17+'25. mell. Kerületgazda'!V17+'26. mell. Őrszolgálat'!V17+'27. mell. KHEK'!V17+'28. mell. KIO'!V17</f>
        <v>0</v>
      </c>
      <c r="W17" s="321">
        <f>+'9. mell. PMH'!W17+'12. mell. Szakrendelő'!W17+'13. mell. GAMESZ'!W17+'14. mell. Gyerekkuckó'!W17+'15. mell. Cinkotai H.'!W17+'16. mell. Napsugár'!W17+'17. mell. Sashalmi M.'!W17+'18. mell. Margaréta'!W17+'19.mell.Szentmihályi Játszókert'!W17+'20. mell. M. Fecskefészek'!W17+'21. mell. CMH'!W17+'22. mell. Bölcsőde'!W17+'23. mell. Terszoc.'!W17+'24. mell. Napraforgó'!W17+'25. mell. Kerületgazda'!W17+'26. mell. Őrszolgálat'!W17+'27. mell. KHEK'!W17+'28. mell. KIO'!W17</f>
        <v>0</v>
      </c>
      <c r="X17" s="321">
        <f>+'9. mell. PMH'!X17+'12. mell. Szakrendelő'!X17+'13. mell. GAMESZ'!X17+'14. mell. Gyerekkuckó'!X17+'15. mell. Cinkotai H.'!X17+'16. mell. Napsugár'!X17+'17. mell. Sashalmi M.'!X17+'18. mell. Margaréta'!X17+'19.mell.Szentmihályi Játszókert'!X17+'20. mell. M. Fecskefészek'!X17+'21. mell. CMH'!X17+'22. mell. Bölcsőde'!X17+'23. mell. Terszoc.'!X17+'24. mell. Napraforgó'!X17+'25. mell. Kerületgazda'!X17+'26. mell. Őrszolgálat'!X17+'27. mell. KHEK'!X17+'28. mell. KIO'!X17</f>
        <v>0</v>
      </c>
      <c r="Y17" s="321">
        <f>+'9. mell. PMH'!Y17+'12. mell. Szakrendelő'!Y17+'13. mell. GAMESZ'!Y17+'14. mell. Gyerekkuckó'!Y17+'15. mell. Cinkotai H.'!Y17+'16. mell. Napsugár'!Y17+'17. mell. Sashalmi M.'!Y17+'18. mell. Margaréta'!Y17+'19.mell.Szentmihályi Játszókert'!Y17+'20. mell. M. Fecskefészek'!Y17+'21. mell. CMH'!Y17+'22. mell. Bölcsőde'!Y17+'23. mell. Terszoc.'!Y17+'24. mell. Napraforgó'!Y17+'25. mell. Kerületgazda'!Y17+'26. mell. Őrszolgálat'!Y17+'27. mell. KHEK'!Y17+'28. mell. KIO'!Y17</f>
        <v>0</v>
      </c>
      <c r="Z17" s="321">
        <f>+'9. mell. PMH'!Z17+'12. mell. Szakrendelő'!Z17+'13. mell. GAMESZ'!Z17+'14. mell. Gyerekkuckó'!Z17+'15. mell. Cinkotai H.'!Z17+'16. mell. Napsugár'!Z17+'17. mell. Sashalmi M.'!Z17+'18. mell. Margaréta'!Z17+'19.mell.Szentmihályi Játszókert'!Z17+'20. mell. M. Fecskefészek'!Z17+'21. mell. CMH'!Z17+'22. mell. Bölcsőde'!Z17+'23. mell. Terszoc.'!Z17+'24. mell. Napraforgó'!Z17+'25. mell. Kerületgazda'!Z17+'26. mell. Őrszolgálat'!Z17+'27. mell. KHEK'!Z17+'28. mell. KIO'!Z17</f>
        <v>0</v>
      </c>
      <c r="AA17" s="321">
        <f>+'9. mell. PMH'!AA17+'12. mell. Szakrendelő'!AA17+'13. mell. GAMESZ'!AA17+'14. mell. Gyerekkuckó'!AA17+'15. mell. Cinkotai H.'!AA17+'16. mell. Napsugár'!AA17+'17. mell. Sashalmi M.'!AA17+'18. mell. Margaréta'!AA17+'19.mell.Szentmihályi Játszókert'!AA17+'20. mell. M. Fecskefészek'!AA17+'21. mell. CMH'!AA17+'22. mell. Bölcsőde'!AA17+'23. mell. Terszoc.'!AA17+'24. mell. Napraforgó'!AA17+'25. mell. Kerületgazda'!AA17+'26. mell. Őrszolgálat'!AA17+'27. mell. KHEK'!AA17+'28. mell. KIO'!AA17</f>
        <v>0</v>
      </c>
      <c r="AB17" s="321">
        <f>+'9. mell. PMH'!AB17+'12. mell. Szakrendelő'!AB17+'13. mell. GAMESZ'!AB17+'14. mell. Gyerekkuckó'!AB17+'15. mell. Cinkotai H.'!AB17+'16. mell. Napsugár'!AB17+'17. mell. Sashalmi M.'!AB17+'18. mell. Margaréta'!AB17+'19.mell.Szentmihályi Játszókert'!AB17+'20. mell. M. Fecskefészek'!AB17+'21. mell. CMH'!AB17+'22. mell. Bölcsőde'!AB17+'23. mell. Terszoc.'!AB17+'24. mell. Napraforgó'!AB17+'25. mell. Kerületgazda'!AB17+'26. mell. Őrszolgálat'!AB17+'27. mell. KHEK'!AB17+'28. mell. KIO'!AB17</f>
        <v>0</v>
      </c>
      <c r="AC17" s="321">
        <f>+'9. mell. PMH'!AC17+'12. mell. Szakrendelő'!AC17+'13. mell. GAMESZ'!AC17+'14. mell. Gyerekkuckó'!AC17+'15. mell. Cinkotai H.'!AC17+'16. mell. Napsugár'!AC17+'17. mell. Sashalmi M.'!AC17+'18. mell. Margaréta'!AC17+'19.mell.Szentmihályi Játszókert'!AC17+'20. mell. M. Fecskefészek'!AC17+'21. mell. CMH'!AC17+'22. mell. Bölcsőde'!AC17+'23. mell. Terszoc.'!AC17+'24. mell. Napraforgó'!AC17+'25. mell. Kerületgazda'!AC17+'26. mell. Őrszolgálat'!AC17+'27. mell. KHEK'!AC17+'28. mell. KIO'!AC17</f>
        <v>0</v>
      </c>
      <c r="AD17" s="323"/>
      <c r="AE17" s="321">
        <f t="shared" si="0"/>
        <v>0</v>
      </c>
      <c r="AF17" s="321">
        <f t="shared" si="1"/>
        <v>0</v>
      </c>
      <c r="AG17" s="321">
        <f t="shared" si="2"/>
        <v>0</v>
      </c>
      <c r="AH17" s="321">
        <f t="shared" si="3"/>
        <v>0</v>
      </c>
      <c r="AI17" s="324"/>
      <c r="AJ17" s="321">
        <f t="shared" si="4"/>
        <v>0</v>
      </c>
      <c r="AK17" s="325">
        <f>+F17-'9. mell. PMH'!F17-'12. mell. Szakrendelő'!F17-'25. mell. Kerületgazda'!F17-'28. mell. KIO'!F17</f>
        <v>0</v>
      </c>
      <c r="AL17" s="325">
        <f>+G17-'9. mell. PMH'!G17-'12. mell. Szakrendelő'!G17-'25. mell. Kerületgazda'!G17-'28. mell. KIO'!G17</f>
        <v>0</v>
      </c>
      <c r="AM17" s="325">
        <f>+H17-'9. mell. PMH'!H17-'12. mell. Szakrendelő'!H17-'25. mell. Kerületgazda'!H17-'28. mell. KIO'!H17</f>
        <v>0</v>
      </c>
      <c r="AN17" s="325">
        <f>+I17-'9. mell. PMH'!I17-'12. mell. Szakrendelő'!I17-'25. mell. Kerületgazda'!I17-'28. mell. KIO'!I17</f>
        <v>0</v>
      </c>
      <c r="AO17" s="325">
        <f>+J17-'9. mell. PMH'!J17-'12. mell. Szakrendelő'!J17-'25. mell. Kerületgazda'!J17-'28. mell. KIO'!J17</f>
        <v>0</v>
      </c>
      <c r="AP17" s="325">
        <f>+K17-'9. mell. PMH'!K17-'12. mell. Szakrendelő'!K17-'25. mell. Kerületgazda'!K17-'28. mell. KIO'!K17</f>
        <v>0</v>
      </c>
      <c r="AQ17" s="1195">
        <f t="shared" si="5"/>
        <v>0</v>
      </c>
      <c r="AR17" s="1593">
        <f t="shared" si="6"/>
        <v>0</v>
      </c>
      <c r="AS17" s="1195">
        <f t="shared" si="7"/>
        <v>0</v>
      </c>
      <c r="AT17" s="2647">
        <v>10</v>
      </c>
      <c r="AU17" s="1593">
        <f t="shared" si="8"/>
        <v>0</v>
      </c>
    </row>
    <row r="18" spans="1:47" s="326" customFormat="1" ht="12" customHeight="1" thickBot="1">
      <c r="A18" s="313"/>
      <c r="B18" s="330" t="s">
        <v>327</v>
      </c>
      <c r="C18" s="328" t="s">
        <v>163</v>
      </c>
      <c r="D18" s="321">
        <f>+'9. mell. PMH'!D18+'12. mell. Szakrendelő'!D18+'13. mell. GAMESZ'!D18+'14. mell. Gyerekkuckó'!D18+'15. mell. Cinkotai H.'!D18+'16. mell. Napsugár'!D18+'17. mell. Sashalmi M.'!D18+'18. mell. Margaréta'!D18+'19.mell.Szentmihályi Játszókert'!D18+'20. mell. M. Fecskefészek'!D18+'21. mell. CMH'!D18+'22. mell. Bölcsőde'!D18+'23. mell. Terszoc.'!D18+'24. mell. Napraforgó'!D18+'25. mell. Kerületgazda'!D18+'26. mell. Őrszolgálat'!D18+'27. mell. KHEK'!D18+'28. mell. KIO'!D18</f>
        <v>0</v>
      </c>
      <c r="E18" s="2587">
        <f>+'9. mell. PMH'!E18+'12. mell. Szakrendelő'!E18+'13. mell. GAMESZ'!E18+'14. mell. Gyerekkuckó'!E18+'15. mell. Cinkotai H.'!E18+'16. mell. Napsugár'!E18+'17. mell. Sashalmi M.'!E18+'18. mell. Margaréta'!E18+'19.mell.Szentmihályi Játszókert'!E18+'20. mell. M. Fecskefészek'!E18+'21. mell. CMH'!E18+'22. mell. Bölcsőde'!E18+'23. mell. Terszoc.'!E18+'24. mell. Napraforgó'!E18+'25. mell. Kerületgazda'!E18+'26. mell. Őrszolgálat'!E18+'27. mell. KHEK'!E18+'28. mell. KIO'!E18</f>
        <v>3135881</v>
      </c>
      <c r="F18" s="321">
        <f>+'9. mell. PMH'!F18+'12. mell. Szakrendelő'!F18+'13. mell. GAMESZ'!F18+'14. mell. Gyerekkuckó'!F18+'15. mell. Cinkotai H.'!F18+'16. mell. Napsugár'!F18+'17. mell. Sashalmi M.'!F18+'18. mell. Margaréta'!F18+'19.mell.Szentmihályi Játszókert'!F18+'20. mell. M. Fecskefészek'!F18+'21. mell. CMH'!F18+'22. mell. Bölcsőde'!F18+'23. mell. Terszoc.'!F18+'24. mell. Napraforgó'!F18+'25. mell. Kerületgazda'!F18+'26. mell. Őrszolgálat'!F18+'27. mell. KHEK'!F18+'28. mell. KIO'!F18</f>
        <v>0</v>
      </c>
      <c r="G18" s="321">
        <f>+'9. mell. PMH'!G18+'12. mell. Szakrendelő'!G18+'13. mell. GAMESZ'!G18+'14. mell. Gyerekkuckó'!G18+'15. mell. Cinkotai H.'!G18+'16. mell. Napsugár'!G18+'17. mell. Sashalmi M.'!G18+'18. mell. Margaréta'!G18+'19.mell.Szentmihályi Játszókert'!G18+'20. mell. M. Fecskefészek'!G18+'21. mell. CMH'!G18+'22. mell. Bölcsőde'!G18+'23. mell. Terszoc.'!G18+'24. mell. Napraforgó'!G18+'25. mell. Kerületgazda'!G18+'26. mell. Őrszolgálat'!G18+'27. mell. KHEK'!G18+'28. mell. KIO'!G18</f>
        <v>187330</v>
      </c>
      <c r="H18" s="321">
        <f>+'9. mell. PMH'!H18+'12. mell. Szakrendelő'!H18+'13. mell. GAMESZ'!H18+'14. mell. Gyerekkuckó'!H18+'15. mell. Cinkotai H.'!H18+'16. mell. Napsugár'!H18+'17. mell. Sashalmi M.'!H18+'18. mell. Margaréta'!H18+'19.mell.Szentmihályi Játszókert'!H18+'20. mell. M. Fecskefészek'!H18+'21. mell. CMH'!H18+'22. mell. Bölcsőde'!H18+'23. mell. Terszoc.'!H18+'24. mell. Napraforgó'!H18+'25. mell. Kerületgazda'!H18+'26. mell. Őrszolgálat'!H18+'27. mell. KHEK'!H18+'28. mell. KIO'!H18</f>
        <v>187330</v>
      </c>
      <c r="I18" s="321">
        <f>+'9. mell. PMH'!I18+'12. mell. Szakrendelő'!I18+'13. mell. GAMESZ'!I18+'14. mell. Gyerekkuckó'!I18+'15. mell. Cinkotai H.'!I18+'16. mell. Napsugár'!I18+'17. mell. Sashalmi M.'!I18+'18. mell. Margaréta'!I18+'19.mell.Szentmihályi Játszókert'!I18+'20. mell. M. Fecskefészek'!I18+'21. mell. CMH'!I18+'22. mell. Bölcsőde'!I18+'23. mell. Terszoc.'!I18+'24. mell. Napraforgó'!I18+'25. mell. Kerületgazda'!I18+'26. mell. Őrszolgálat'!I18+'27. mell. KHEK'!I18+'28. mell. KIO'!I18</f>
        <v>1015052</v>
      </c>
      <c r="J18" s="321">
        <f>+'9. mell. PMH'!J18+'12. mell. Szakrendelő'!J18+'13. mell. GAMESZ'!J18+'14. mell. Gyerekkuckó'!J18+'15. mell. Cinkotai H.'!J18+'16. mell. Napsugár'!J18+'17. mell. Sashalmi M.'!J18+'18. mell. Margaréta'!J18+'19.mell.Szentmihályi Játszókert'!J18+'20. mell. M. Fecskefészek'!J18+'21. mell. CMH'!J18+'22. mell. Bölcsőde'!J18+'23. mell. Terszoc.'!J18+'24. mell. Napraforgó'!J18+'25. mell. Kerületgazda'!J18+'26. mell. Őrszolgálat'!J18+'27. mell. KHEK'!J18+'28. mell. KIO'!J18</f>
        <v>1015052</v>
      </c>
      <c r="K18" s="2197">
        <f>+'9. mell. PMH'!K18+'12. mell. Szakrendelő'!K18+'13. mell. GAMESZ'!K18+'14. mell. Gyerekkuckó'!K18+'15. mell. Cinkotai H.'!K18+'16. mell. Napsugár'!K18+'17. mell. Sashalmi M.'!K18+'18. mell. Margaréta'!K18+'19.mell.Szentmihályi Játszókert'!K18+'20. mell. M. Fecskefészek'!K18+'21. mell. CMH'!K18+'22. mell. Bölcsőde'!K18+'23. mell. Terszoc.'!K18+'24. mell. Napraforgó'!K18+'25. mell. Kerületgazda'!K18+'26. mell. Őrszolgálat'!K18+'27. mell. KHEK'!K18+'28. mell. KIO'!K18</f>
        <v>1015052</v>
      </c>
      <c r="L18" s="321">
        <f>+'9. mell. PMH'!L18+'12. mell. Szakrendelő'!L18+'13. mell. GAMESZ'!L18+'14. mell. Gyerekkuckó'!L18+'15. mell. Cinkotai H.'!L18+'16. mell. Napsugár'!L18+'17. mell. Sashalmi M.'!L18+'18. mell. Margaréta'!L18+'19.mell.Szentmihályi Játszókert'!L18+'20. mell. M. Fecskefészek'!L18+'21. mell. CMH'!L18+'22. mell. Bölcsőde'!L18+'23. mell. Terszoc.'!L18+'24. mell. Napraforgó'!L18+'25. mell. Kerületgazda'!L18+'26. mell. Őrszolgálat'!L18+'27. mell. KHEK'!L18+'28. mell. KIO'!L18</f>
        <v>0</v>
      </c>
      <c r="M18" s="321">
        <f>+'9. mell. PMH'!M18+'12. mell. Szakrendelő'!M18+'13. mell. GAMESZ'!M18+'14. mell. Gyerekkuckó'!M18+'15. mell. Cinkotai H.'!M18+'16. mell. Napsugár'!M18+'17. mell. Sashalmi M.'!M18+'18. mell. Margaréta'!M18+'19.mell.Szentmihályi Játszókert'!M18+'20. mell. M. Fecskefészek'!M18+'21. mell. CMH'!M18+'22. mell. Bölcsőde'!M18+'23. mell. Terszoc.'!M18+'24. mell. Napraforgó'!M18+'25. mell. Kerületgazda'!M18+'26. mell. Őrszolgálat'!M18+'27. mell. KHEK'!M18+'28. mell. KIO'!M18</f>
        <v>0</v>
      </c>
      <c r="N18" s="321">
        <f>+'9. mell. PMH'!N18+'12. mell. Szakrendelő'!N18+'13. mell. GAMESZ'!N18+'14. mell. Gyerekkuckó'!N18+'15. mell. Cinkotai H.'!N18+'16. mell. Napsugár'!N18+'17. mell. Sashalmi M.'!N18+'18. mell. Margaréta'!N18+'19.mell.Szentmihályi Játszókert'!N18+'20. mell. M. Fecskefészek'!N18+'21. mell. CMH'!N18+'22. mell. Bölcsőde'!N18+'23. mell. Terszoc.'!N18+'24. mell. Napraforgó'!N18+'25. mell. Kerületgazda'!N18+'26. mell. Őrszolgálat'!N18+'27. mell. KHEK'!N18+'28. mell. KIO'!N18</f>
        <v>0</v>
      </c>
      <c r="O18" s="321">
        <f>+'9. mell. PMH'!O18+'12. mell. Szakrendelő'!O18+'13. mell. GAMESZ'!O18+'14. mell. Gyerekkuckó'!O18+'15. mell. Cinkotai H.'!O18+'16. mell. Napsugár'!O18+'17. mell. Sashalmi M.'!O18+'18. mell. Margaréta'!O18+'19.mell.Szentmihályi Játszókert'!O18+'20. mell. M. Fecskefészek'!O18+'21. mell. CMH'!O18+'22. mell. Bölcsőde'!O18+'23. mell. Terszoc.'!O18+'24. mell. Napraforgó'!O18+'25. mell. Kerületgazda'!O18+'26. mell. Őrszolgálat'!O18+'27. mell. KHEK'!O18+'28. mell. KIO'!O18</f>
        <v>0</v>
      </c>
      <c r="P18" s="321">
        <f>+'9. mell. PMH'!P18+'12. mell. Szakrendelő'!P18+'13. mell. GAMESZ'!P18+'14. mell. Gyerekkuckó'!P18+'15. mell. Cinkotai H.'!P18+'16. mell. Napsugár'!P18+'17. mell. Sashalmi M.'!P18+'18. mell. Margaréta'!P18+'19.mell.Szentmihályi Játszókert'!P18+'20. mell. M. Fecskefészek'!P18+'21. mell. CMH'!P18+'22. mell. Bölcsőde'!P18+'23. mell. Terszoc.'!P18+'24. mell. Napraforgó'!P18+'25. mell. Kerületgazda'!P18+'26. mell. Őrszolgálat'!P18+'27. mell. KHEK'!P18+'28. mell. KIO'!P18</f>
        <v>0</v>
      </c>
      <c r="Q18" s="321">
        <f>+'9. mell. PMH'!Q18+'12. mell. Szakrendelő'!Q18+'13. mell. GAMESZ'!Q18+'14. mell. Gyerekkuckó'!Q18+'15. mell. Cinkotai H.'!Q18+'16. mell. Napsugár'!Q18+'17. mell. Sashalmi M.'!Q18+'18. mell. Margaréta'!Q18+'19.mell.Szentmihályi Játszókert'!Q18+'20. mell. M. Fecskefészek'!Q18+'21. mell. CMH'!Q18+'22. mell. Bölcsőde'!Q18+'23. mell. Terszoc.'!Q18+'24. mell. Napraforgó'!Q18+'25. mell. Kerületgazda'!Q18+'26. mell. Őrszolgálat'!Q18+'27. mell. KHEK'!Q18+'28. mell. KIO'!Q18</f>
        <v>0</v>
      </c>
      <c r="R18" s="321">
        <f>+'9. mell. PMH'!R18+'12. mell. Szakrendelő'!R18+'13. mell. GAMESZ'!R18+'14. mell. Gyerekkuckó'!R18+'15. mell. Cinkotai H.'!R18+'16. mell. Napsugár'!R18+'17. mell. Sashalmi M.'!R18+'18. mell. Margaréta'!R18+'19.mell.Szentmihályi Játszókert'!R18+'20. mell. M. Fecskefészek'!R18+'21. mell. CMH'!R18+'22. mell. Bölcsőde'!R18+'23. mell. Terszoc.'!R18+'24. mell. Napraforgó'!R18+'25. mell. Kerületgazda'!R18+'26. mell. Őrszolgálat'!R18+'27. mell. KHEK'!R18+'28. mell. KIO'!R18</f>
        <v>0</v>
      </c>
      <c r="S18" s="321">
        <f>+'9. mell. PMH'!S18+'12. mell. Szakrendelő'!S18+'13. mell. GAMESZ'!S18+'14. mell. Gyerekkuckó'!S18+'15. mell. Cinkotai H.'!S18+'16. mell. Napsugár'!S18+'17. mell. Sashalmi M.'!S18+'18. mell. Margaréta'!S18+'19.mell.Szentmihályi Játszókert'!S18+'20. mell. M. Fecskefészek'!S18+'21. mell. CMH'!S18+'22. mell. Bölcsőde'!S18+'23. mell. Terszoc.'!S18+'24. mell. Napraforgó'!S18+'25. mell. Kerületgazda'!S18+'26. mell. Őrszolgálat'!S18+'27. mell. KHEK'!S18+'28. mell. KIO'!S18</f>
        <v>187330</v>
      </c>
      <c r="T18" s="321">
        <f>+'9. mell. PMH'!T18+'12. mell. Szakrendelő'!T18+'13. mell. GAMESZ'!T18+'14. mell. Gyerekkuckó'!T18+'15. mell. Cinkotai H.'!T18+'16. mell. Napsugár'!T18+'17. mell. Sashalmi M.'!T18+'18. mell. Margaréta'!T18+'19.mell.Szentmihályi Játszókert'!T18+'20. mell. M. Fecskefészek'!T18+'21. mell. CMH'!T18+'22. mell. Bölcsőde'!T18+'23. mell. Terszoc.'!T18+'24. mell. Napraforgó'!T18+'25. mell. Kerületgazda'!T18+'26. mell. Őrszolgálat'!T18+'27. mell. KHEK'!T18+'28. mell. KIO'!T18</f>
        <v>187330</v>
      </c>
      <c r="U18" s="321">
        <f>+'9. mell. PMH'!U18+'12. mell. Szakrendelő'!U18+'13. mell. GAMESZ'!U18+'14. mell. Gyerekkuckó'!U18+'15. mell. Cinkotai H.'!U18+'16. mell. Napsugár'!U18+'17. mell. Sashalmi M.'!U18+'18. mell. Margaréta'!U18+'19.mell.Szentmihályi Játszókert'!U18+'20. mell. M. Fecskefészek'!U18+'21. mell. CMH'!U18+'22. mell. Bölcsőde'!U18+'23. mell. Terszoc.'!U18+'24. mell. Napraforgó'!U18+'25. mell. Kerületgazda'!U18+'26. mell. Őrszolgálat'!U18+'27. mell. KHEK'!U18+'28. mell. KIO'!U18</f>
        <v>1015052</v>
      </c>
      <c r="V18" s="321">
        <f>+'9. mell. PMH'!V18+'12. mell. Szakrendelő'!V18+'13. mell. GAMESZ'!V18+'14. mell. Gyerekkuckó'!V18+'15. mell. Cinkotai H.'!V18+'16. mell. Napsugár'!V18+'17. mell. Sashalmi M.'!V18+'18. mell. Margaréta'!V18+'19.mell.Szentmihályi Játszókert'!V18+'20. mell. M. Fecskefészek'!V18+'21. mell. CMH'!V18+'22. mell. Bölcsőde'!V18+'23. mell. Terszoc.'!V18+'24. mell. Napraforgó'!V18+'25. mell. Kerületgazda'!V18+'26. mell. Őrszolgálat'!V18+'27. mell. KHEK'!V18+'28. mell. KIO'!V18</f>
        <v>1015052</v>
      </c>
      <c r="W18" s="321">
        <f>+'9. mell. PMH'!W18+'12. mell. Szakrendelő'!W18+'13. mell. GAMESZ'!W18+'14. mell. Gyerekkuckó'!W18+'15. mell. Cinkotai H.'!W18+'16. mell. Napsugár'!W18+'17. mell. Sashalmi M.'!W18+'18. mell. Margaréta'!W18+'19.mell.Szentmihályi Játszókert'!W18+'20. mell. M. Fecskefészek'!W18+'21. mell. CMH'!W18+'22. mell. Bölcsőde'!W18+'23. mell. Terszoc.'!W18+'24. mell. Napraforgó'!W18+'25. mell. Kerületgazda'!W18+'26. mell. Őrszolgálat'!W18+'27. mell. KHEK'!W18+'28. mell. KIO'!W18</f>
        <v>1015052</v>
      </c>
      <c r="X18" s="321">
        <f>+'9. mell. PMH'!X18+'12. mell. Szakrendelő'!X18+'13. mell. GAMESZ'!X18+'14. mell. Gyerekkuckó'!X18+'15. mell. Cinkotai H.'!X18+'16. mell. Napsugár'!X18+'17. mell. Sashalmi M.'!X18+'18. mell. Margaréta'!X18+'19.mell.Szentmihályi Játszókert'!X18+'20. mell. M. Fecskefészek'!X18+'21. mell. CMH'!X18+'22. mell. Bölcsőde'!X18+'23. mell. Terszoc.'!X18+'24. mell. Napraforgó'!X18+'25. mell. Kerületgazda'!X18+'26. mell. Őrszolgálat'!X18+'27. mell. KHEK'!X18+'28. mell. KIO'!X18</f>
        <v>0</v>
      </c>
      <c r="Y18" s="321">
        <f>+'9. mell. PMH'!Y18+'12. mell. Szakrendelő'!Y18+'13. mell. GAMESZ'!Y18+'14. mell. Gyerekkuckó'!Y18+'15. mell. Cinkotai H.'!Y18+'16. mell. Napsugár'!Y18+'17. mell. Sashalmi M.'!Y18+'18. mell. Margaréta'!Y18+'19.mell.Szentmihályi Játszókert'!Y18+'20. mell. M. Fecskefészek'!Y18+'21. mell. CMH'!Y18+'22. mell. Bölcsőde'!Y18+'23. mell. Terszoc.'!Y18+'24. mell. Napraforgó'!Y18+'25. mell. Kerületgazda'!Y18+'26. mell. Őrszolgálat'!Y18+'27. mell. KHEK'!Y18+'28. mell. KIO'!Y18</f>
        <v>0</v>
      </c>
      <c r="Z18" s="321">
        <f>+'9. mell. PMH'!Z18+'12. mell. Szakrendelő'!Z18+'13. mell. GAMESZ'!Z18+'14. mell. Gyerekkuckó'!Z18+'15. mell. Cinkotai H.'!Z18+'16. mell. Napsugár'!Z18+'17. mell. Sashalmi M.'!Z18+'18. mell. Margaréta'!Z18+'19.mell.Szentmihályi Játszókert'!Z18+'20. mell. M. Fecskefészek'!Z18+'21. mell. CMH'!Z18+'22. mell. Bölcsőde'!Z18+'23. mell. Terszoc.'!Z18+'24. mell. Napraforgó'!Z18+'25. mell. Kerületgazda'!Z18+'26. mell. Őrszolgálat'!Z18+'27. mell. KHEK'!Z18+'28. mell. KIO'!Z18</f>
        <v>0</v>
      </c>
      <c r="AA18" s="321">
        <f>+'9. mell. PMH'!AA18+'12. mell. Szakrendelő'!AA18+'13. mell. GAMESZ'!AA18+'14. mell. Gyerekkuckó'!AA18+'15. mell. Cinkotai H.'!AA18+'16. mell. Napsugár'!AA18+'17. mell. Sashalmi M.'!AA18+'18. mell. Margaréta'!AA18+'19.mell.Szentmihályi Játszókert'!AA18+'20. mell. M. Fecskefészek'!AA18+'21. mell. CMH'!AA18+'22. mell. Bölcsőde'!AA18+'23. mell. Terszoc.'!AA18+'24. mell. Napraforgó'!AA18+'25. mell. Kerületgazda'!AA18+'26. mell. Őrszolgálat'!AA18+'27. mell. KHEK'!AA18+'28. mell. KIO'!AA18</f>
        <v>0</v>
      </c>
      <c r="AB18" s="321">
        <f>+'9. mell. PMH'!AB18+'12. mell. Szakrendelő'!AB18+'13. mell. GAMESZ'!AB18+'14. mell. Gyerekkuckó'!AB18+'15. mell. Cinkotai H.'!AB18+'16. mell. Napsugár'!AB18+'17. mell. Sashalmi M.'!AB18+'18. mell. Margaréta'!AB18+'19.mell.Szentmihályi Játszókert'!AB18+'20. mell. M. Fecskefészek'!AB18+'21. mell. CMH'!AB18+'22. mell. Bölcsőde'!AB18+'23. mell. Terszoc.'!AB18+'24. mell. Napraforgó'!AB18+'25. mell. Kerületgazda'!AB18+'26. mell. Őrszolgálat'!AB18+'27. mell. KHEK'!AB18+'28. mell. KIO'!AB18</f>
        <v>0</v>
      </c>
      <c r="AC18" s="321">
        <f>+'9. mell. PMH'!AC18+'12. mell. Szakrendelő'!AC18+'13. mell. GAMESZ'!AC18+'14. mell. Gyerekkuckó'!AC18+'15. mell. Cinkotai H.'!AC18+'16. mell. Napsugár'!AC18+'17. mell. Sashalmi M.'!AC18+'18. mell. Margaréta'!AC18+'19.mell.Szentmihályi Játszókert'!AC18+'20. mell. M. Fecskefészek'!AC18+'21. mell. CMH'!AC18+'22. mell. Bölcsőde'!AC18+'23. mell. Terszoc.'!AC18+'24. mell. Napraforgó'!AC18+'25. mell. Kerületgazda'!AC18+'26. mell. Őrszolgálat'!AC18+'27. mell. KHEK'!AC18+'28. mell. KIO'!AC18</f>
        <v>0</v>
      </c>
      <c r="AD18" s="323"/>
      <c r="AE18" s="321">
        <f t="shared" si="0"/>
        <v>187330</v>
      </c>
      <c r="AF18" s="321">
        <f t="shared" si="1"/>
        <v>0</v>
      </c>
      <c r="AG18" s="321">
        <f t="shared" si="2"/>
        <v>827722</v>
      </c>
      <c r="AH18" s="321">
        <f t="shared" si="3"/>
        <v>0</v>
      </c>
      <c r="AI18" s="324">
        <f>+K18/I18</f>
        <v>1</v>
      </c>
      <c r="AJ18" s="321">
        <f t="shared" si="4"/>
        <v>0</v>
      </c>
      <c r="AK18" s="325">
        <f>+F18-'9. mell. PMH'!F18-'12. mell. Szakrendelő'!F18-'25. mell. Kerületgazda'!F18-'28. mell. KIO'!F18</f>
        <v>0</v>
      </c>
      <c r="AL18" s="325">
        <f>+G18-'9. mell. PMH'!G18-'12. mell. Szakrendelő'!G18-'25. mell. Kerületgazda'!G18-'28. mell. KIO'!G18</f>
        <v>187330</v>
      </c>
      <c r="AM18" s="325">
        <f>+H18-'9. mell. PMH'!H18-'12. mell. Szakrendelő'!H18-'25. mell. Kerületgazda'!H18-'28. mell. KIO'!H18</f>
        <v>187330</v>
      </c>
      <c r="AN18" s="325">
        <f>+I18-'9. mell. PMH'!I18-'12. mell. Szakrendelő'!I18-'25. mell. Kerületgazda'!I18-'28. mell. KIO'!I18</f>
        <v>807940</v>
      </c>
      <c r="AO18" s="325">
        <f>+J18-'9. mell. PMH'!J18-'12. mell. Szakrendelő'!J18-'25. mell. Kerületgazda'!J18-'28. mell. KIO'!J18</f>
        <v>807940</v>
      </c>
      <c r="AP18" s="325">
        <f>+K18-'9. mell. PMH'!K18-'12. mell. Szakrendelő'!K18-'25. mell. Kerületgazda'!K18-'28. mell. KIO'!K18</f>
        <v>807940</v>
      </c>
      <c r="AQ18" s="1195">
        <f t="shared" si="5"/>
        <v>187330</v>
      </c>
      <c r="AR18" s="1593">
        <f t="shared" si="6"/>
        <v>0</v>
      </c>
      <c r="AS18" s="1195">
        <f t="shared" si="7"/>
        <v>620610</v>
      </c>
      <c r="AT18" s="2647">
        <v>3135881</v>
      </c>
      <c r="AU18" s="1593">
        <f t="shared" si="8"/>
        <v>0</v>
      </c>
    </row>
    <row r="19" spans="1:47" s="332" customFormat="1" ht="12" customHeight="1" thickBot="1">
      <c r="A19" s="313"/>
      <c r="B19" s="330" t="s">
        <v>329</v>
      </c>
      <c r="C19" s="328" t="s">
        <v>162</v>
      </c>
      <c r="D19" s="321">
        <f>+'9. mell. PMH'!D19+'12. mell. Szakrendelő'!D19+'13. mell. GAMESZ'!D19+'14. mell. Gyerekkuckó'!D19+'15. mell. Cinkotai H.'!D19+'16. mell. Napsugár'!D19+'17. mell. Sashalmi M.'!D19+'18. mell. Margaréta'!D19+'19.mell.Szentmihályi Játszókert'!D19+'20. mell. M. Fecskefészek'!D19+'21. mell. CMH'!D19+'22. mell. Bölcsőde'!D19+'23. mell. Terszoc.'!D19+'24. mell. Napraforgó'!D19+'25. mell. Kerületgazda'!D19+'26. mell. Őrszolgálat'!D19+'27. mell. KHEK'!D19+'28. mell. KIO'!D19</f>
        <v>0</v>
      </c>
      <c r="E19" s="2587">
        <f>+'9. mell. PMH'!E19+'12. mell. Szakrendelő'!E19+'13. mell. GAMESZ'!E19+'14. mell. Gyerekkuckó'!E19+'15. mell. Cinkotai H.'!E19+'16. mell. Napsugár'!E19+'17. mell. Sashalmi M.'!E19+'18. mell. Margaréta'!E19+'19.mell.Szentmihályi Játszókert'!E19+'20. mell. M. Fecskefészek'!E19+'21. mell. CMH'!E19+'22. mell. Bölcsőde'!E19+'23. mell. Terszoc.'!E19+'24. mell. Napraforgó'!E19+'25. mell. Kerületgazda'!E19+'26. mell. Őrszolgálat'!E19+'27. mell. KHEK'!E19+'28. mell. KIO'!E19</f>
        <v>24865616</v>
      </c>
      <c r="F19" s="321">
        <f>+'9. mell. PMH'!F19+'12. mell. Szakrendelő'!F19+'13. mell. GAMESZ'!F19+'14. mell. Gyerekkuckó'!F19+'15. mell. Cinkotai H.'!F19+'16. mell. Napsugár'!F19+'17. mell. Sashalmi M.'!F19+'18. mell. Margaréta'!F19+'19.mell.Szentmihályi Játszókert'!F19+'20. mell. M. Fecskefészek'!F19+'21. mell. CMH'!F19+'22. mell. Bölcsőde'!F19+'23. mell. Terszoc.'!F19+'24. mell. Napraforgó'!F19+'25. mell. Kerületgazda'!F19+'26. mell. Őrszolgálat'!F19+'27. mell. KHEK'!F19+'28. mell. KIO'!F19</f>
        <v>968000</v>
      </c>
      <c r="G19" s="321">
        <f>+'9. mell. PMH'!G19+'12. mell. Szakrendelő'!G19+'13. mell. GAMESZ'!G19+'14. mell. Gyerekkuckó'!G19+'15. mell. Cinkotai H.'!G19+'16. mell. Napsugár'!G19+'17. mell. Sashalmi M.'!G19+'18. mell. Margaréta'!G19+'19.mell.Szentmihályi Játszókert'!G19+'20. mell. M. Fecskefészek'!G19+'21. mell. CMH'!G19+'22. mell. Bölcsőde'!G19+'23. mell. Terszoc.'!G19+'24. mell. Napraforgó'!G19+'25. mell. Kerületgazda'!G19+'26. mell. Őrszolgálat'!G19+'27. mell. KHEK'!G19+'28. mell. KIO'!G19</f>
        <v>968000</v>
      </c>
      <c r="H19" s="321">
        <f>+'9. mell. PMH'!H19+'12. mell. Szakrendelő'!H19+'13. mell. GAMESZ'!H19+'14. mell. Gyerekkuckó'!H19+'15. mell. Cinkotai H.'!H19+'16. mell. Napsugár'!H19+'17. mell. Sashalmi M.'!H19+'18. mell. Margaréta'!H19+'19.mell.Szentmihályi Játszókert'!H19+'20. mell. M. Fecskefészek'!H19+'21. mell. CMH'!H19+'22. mell. Bölcsőde'!H19+'23. mell. Terszoc.'!H19+'24. mell. Napraforgó'!H19+'25. mell. Kerületgazda'!H19+'26. mell. Őrszolgálat'!H19+'27. mell. KHEK'!H19+'28. mell. KIO'!H19</f>
        <v>968000</v>
      </c>
      <c r="I19" s="321">
        <f>+'9. mell. PMH'!I19+'12. mell. Szakrendelő'!I19+'13. mell. GAMESZ'!I19+'14. mell. Gyerekkuckó'!I19+'15. mell. Cinkotai H.'!I19+'16. mell. Napsugár'!I19+'17. mell. Sashalmi M.'!I19+'18. mell. Margaréta'!I19+'19.mell.Szentmihályi Játszókert'!I19+'20. mell. M. Fecskefészek'!I19+'21. mell. CMH'!I19+'22. mell. Bölcsőde'!I19+'23. mell. Terszoc.'!I19+'24. mell. Napraforgó'!I19+'25. mell. Kerületgazda'!I19+'26. mell. Őrszolgálat'!I19+'27. mell. KHEK'!I19+'28. mell. KIO'!I19</f>
        <v>14056138</v>
      </c>
      <c r="J19" s="321">
        <f>+'9. mell. PMH'!J19+'12. mell. Szakrendelő'!J19+'13. mell. GAMESZ'!J19+'14. mell. Gyerekkuckó'!J19+'15. mell. Cinkotai H.'!J19+'16. mell. Napsugár'!J19+'17. mell. Sashalmi M.'!J19+'18. mell. Margaréta'!J19+'19.mell.Szentmihályi Játszókert'!J19+'20. mell. M. Fecskefészek'!J19+'21. mell. CMH'!J19+'22. mell. Bölcsőde'!J19+'23. mell. Terszoc.'!J19+'24. mell. Napraforgó'!J19+'25. mell. Kerületgazda'!J19+'26. mell. Őrszolgálat'!J19+'27. mell. KHEK'!J19+'28. mell. KIO'!J19</f>
        <v>14056138</v>
      </c>
      <c r="K19" s="2197">
        <f>+'9. mell. PMH'!K19+'12. mell. Szakrendelő'!K19+'13. mell. GAMESZ'!K19+'14. mell. Gyerekkuckó'!K19+'15. mell. Cinkotai H.'!K19+'16. mell. Napsugár'!K19+'17. mell. Sashalmi M.'!K19+'18. mell. Margaréta'!K19+'19.mell.Szentmihályi Játszókert'!K19+'20. mell. M. Fecskefészek'!K19+'21. mell. CMH'!K19+'22. mell. Bölcsőde'!K19+'23. mell. Terszoc.'!K19+'24. mell. Napraforgó'!K19+'25. mell. Kerületgazda'!K19+'26. mell. Őrszolgálat'!K19+'27. mell. KHEK'!K19+'28. mell. KIO'!K19</f>
        <v>14056138</v>
      </c>
      <c r="L19" s="321">
        <f>+'9. mell. PMH'!L19+'12. mell. Szakrendelő'!L19+'13. mell. GAMESZ'!L19+'14. mell. Gyerekkuckó'!L19+'15. mell. Cinkotai H.'!L19+'16. mell. Napsugár'!L19+'17. mell. Sashalmi M.'!L19+'18. mell. Margaréta'!L19+'19.mell.Szentmihályi Játszókert'!L19+'20. mell. M. Fecskefészek'!L19+'21. mell. CMH'!L19+'22. mell. Bölcsőde'!L19+'23. mell. Terszoc.'!L19+'24. mell. Napraforgó'!L19+'25. mell. Kerületgazda'!L19+'26. mell. Őrszolgálat'!L19+'27. mell. KHEK'!L19+'28. mell. KIO'!L19</f>
        <v>0</v>
      </c>
      <c r="M19" s="321">
        <f>+'9. mell. PMH'!M19+'12. mell. Szakrendelő'!M19+'13. mell. GAMESZ'!M19+'14. mell. Gyerekkuckó'!M19+'15. mell. Cinkotai H.'!M19+'16. mell. Napsugár'!M19+'17. mell. Sashalmi M.'!M19+'18. mell. Margaréta'!M19+'19.mell.Szentmihályi Játszókert'!M19+'20. mell. M. Fecskefészek'!M19+'21. mell. CMH'!M19+'22. mell. Bölcsőde'!M19+'23. mell. Terszoc.'!M19+'24. mell. Napraforgó'!M19+'25. mell. Kerületgazda'!M19+'26. mell. Őrszolgálat'!M19+'27. mell. KHEK'!M19+'28. mell. KIO'!M19</f>
        <v>0</v>
      </c>
      <c r="N19" s="321">
        <f>+'9. mell. PMH'!N19+'12. mell. Szakrendelő'!N19+'13. mell. GAMESZ'!N19+'14. mell. Gyerekkuckó'!N19+'15. mell. Cinkotai H.'!N19+'16. mell. Napsugár'!N19+'17. mell. Sashalmi M.'!N19+'18. mell. Margaréta'!N19+'19.mell.Szentmihályi Játszókert'!N19+'20. mell. M. Fecskefészek'!N19+'21. mell. CMH'!N19+'22. mell. Bölcsőde'!N19+'23. mell. Terszoc.'!N19+'24. mell. Napraforgó'!N19+'25. mell. Kerületgazda'!N19+'26. mell. Őrszolgálat'!N19+'27. mell. KHEK'!N19+'28. mell. KIO'!N19</f>
        <v>0</v>
      </c>
      <c r="O19" s="321">
        <f>+'9. mell. PMH'!O19+'12. mell. Szakrendelő'!O19+'13. mell. GAMESZ'!O19+'14. mell. Gyerekkuckó'!O19+'15. mell. Cinkotai H.'!O19+'16. mell. Napsugár'!O19+'17. mell. Sashalmi M.'!O19+'18. mell. Margaréta'!O19+'19.mell.Szentmihályi Játszókert'!O19+'20. mell. M. Fecskefészek'!O19+'21. mell. CMH'!O19+'22. mell. Bölcsőde'!O19+'23. mell. Terszoc.'!O19+'24. mell. Napraforgó'!O19+'25. mell. Kerületgazda'!O19+'26. mell. Őrszolgálat'!O19+'27. mell. KHEK'!O19+'28. mell. KIO'!O19</f>
        <v>148023</v>
      </c>
      <c r="P19" s="321">
        <f>+'9. mell. PMH'!P19+'12. mell. Szakrendelő'!P19+'13. mell. GAMESZ'!P19+'14. mell. Gyerekkuckó'!P19+'15. mell. Cinkotai H.'!P19+'16. mell. Napsugár'!P19+'17. mell. Sashalmi M.'!P19+'18. mell. Margaréta'!P19+'19.mell.Szentmihályi Játszókert'!P19+'20. mell. M. Fecskefészek'!P19+'21. mell. CMH'!P19+'22. mell. Bölcsőde'!P19+'23. mell. Terszoc.'!P19+'24. mell. Napraforgó'!P19+'25. mell. Kerületgazda'!P19+'26. mell. Őrszolgálat'!P19+'27. mell. KHEK'!P19+'28. mell. KIO'!P19</f>
        <v>148023</v>
      </c>
      <c r="Q19" s="321">
        <f>+'9. mell. PMH'!Q19+'12. mell. Szakrendelő'!Q19+'13. mell. GAMESZ'!Q19+'14. mell. Gyerekkuckó'!Q19+'15. mell. Cinkotai H.'!Q19+'16. mell. Napsugár'!Q19+'17. mell. Sashalmi M.'!Q19+'18. mell. Margaréta'!Q19+'19.mell.Szentmihályi Játszókert'!Q19+'20. mell. M. Fecskefészek'!Q19+'21. mell. CMH'!Q19+'22. mell. Bölcsőde'!Q19+'23. mell. Terszoc.'!Q19+'24. mell. Napraforgó'!Q19+'25. mell. Kerületgazda'!Q19+'26. mell. Őrszolgálat'!Q19+'27. mell. KHEK'!Q19+'28. mell. KIO'!Q19</f>
        <v>148023</v>
      </c>
      <c r="R19" s="321">
        <f>+'9. mell. PMH'!R19+'12. mell. Szakrendelő'!R19+'13. mell. GAMESZ'!R19+'14. mell. Gyerekkuckó'!R19+'15. mell. Cinkotai H.'!R19+'16. mell. Napsugár'!R19+'17. mell. Sashalmi M.'!R19+'18. mell. Margaréta'!R19+'19.mell.Szentmihályi Játszókert'!R19+'20. mell. M. Fecskefészek'!R19+'21. mell. CMH'!R19+'22. mell. Bölcsőde'!R19+'23. mell. Terszoc.'!R19+'24. mell. Napraforgó'!R19+'25. mell. Kerületgazda'!R19+'26. mell. Őrszolgálat'!R19+'27. mell. KHEK'!R19+'28. mell. KIO'!R19</f>
        <v>968000</v>
      </c>
      <c r="S19" s="321">
        <f>+'9. mell. PMH'!S19+'12. mell. Szakrendelő'!S19+'13. mell. GAMESZ'!S19+'14. mell. Gyerekkuckó'!S19+'15. mell. Cinkotai H.'!S19+'16. mell. Napsugár'!S19+'17. mell. Sashalmi M.'!S19+'18. mell. Margaréta'!S19+'19.mell.Szentmihályi Játszókert'!S19+'20. mell. M. Fecskefészek'!S19+'21. mell. CMH'!S19+'22. mell. Bölcsőde'!S19+'23. mell. Terszoc.'!S19+'24. mell. Napraforgó'!S19+'25. mell. Kerületgazda'!S19+'26. mell. Őrszolgálat'!S19+'27. mell. KHEK'!S19+'28. mell. KIO'!S19</f>
        <v>968000</v>
      </c>
      <c r="T19" s="321">
        <f>+'9. mell. PMH'!T19+'12. mell. Szakrendelő'!T19+'13. mell. GAMESZ'!T19+'14. mell. Gyerekkuckó'!T19+'15. mell. Cinkotai H.'!T19+'16. mell. Napsugár'!T19+'17. mell. Sashalmi M.'!T19+'18. mell. Margaréta'!T19+'19.mell.Szentmihályi Játszókert'!T19+'20. mell. M. Fecskefészek'!T19+'21. mell. CMH'!T19+'22. mell. Bölcsőde'!T19+'23. mell. Terszoc.'!T19+'24. mell. Napraforgó'!T19+'25. mell. Kerületgazda'!T19+'26. mell. Őrszolgálat'!T19+'27. mell. KHEK'!T19+'28. mell. KIO'!T19</f>
        <v>968000</v>
      </c>
      <c r="U19" s="321">
        <f>+'9. mell. PMH'!U19+'12. mell. Szakrendelő'!U19+'13. mell. GAMESZ'!U19+'14. mell. Gyerekkuckó'!U19+'15. mell. Cinkotai H.'!U19+'16. mell. Napsugár'!U19+'17. mell. Sashalmi M.'!U19+'18. mell. Margaréta'!U19+'19.mell.Szentmihályi Játszókert'!U19+'20. mell. M. Fecskefészek'!U19+'21. mell. CMH'!U19+'22. mell. Bölcsőde'!U19+'23. mell. Terszoc.'!U19+'24. mell. Napraforgó'!U19+'25. mell. Kerületgazda'!U19+'26. mell. Őrszolgálat'!U19+'27. mell. KHEK'!U19+'28. mell. KIO'!U19</f>
        <v>13908115</v>
      </c>
      <c r="V19" s="321">
        <f>+'9. mell. PMH'!V19+'12. mell. Szakrendelő'!V19+'13. mell. GAMESZ'!V19+'14. mell. Gyerekkuckó'!V19+'15. mell. Cinkotai H.'!V19+'16. mell. Napsugár'!V19+'17. mell. Sashalmi M.'!V19+'18. mell. Margaréta'!V19+'19.mell.Szentmihályi Játszókert'!V19+'20. mell. M. Fecskefészek'!V19+'21. mell. CMH'!V19+'22. mell. Bölcsőde'!V19+'23. mell. Terszoc.'!V19+'24. mell. Napraforgó'!V19+'25. mell. Kerületgazda'!V19+'26. mell. Őrszolgálat'!V19+'27. mell. KHEK'!V19+'28. mell. KIO'!V19</f>
        <v>13908115</v>
      </c>
      <c r="W19" s="321">
        <f>+'9. mell. PMH'!W19+'12. mell. Szakrendelő'!W19+'13. mell. GAMESZ'!W19+'14. mell. Gyerekkuckó'!W19+'15. mell. Cinkotai H.'!W19+'16. mell. Napsugár'!W19+'17. mell. Sashalmi M.'!W19+'18. mell. Margaréta'!W19+'19.mell.Szentmihályi Játszókert'!W19+'20. mell. M. Fecskefészek'!W19+'21. mell. CMH'!W19+'22. mell. Bölcsőde'!W19+'23. mell. Terszoc.'!W19+'24. mell. Napraforgó'!W19+'25. mell. Kerületgazda'!W19+'26. mell. Őrszolgálat'!W19+'27. mell. KHEK'!W19+'28. mell. KIO'!W19</f>
        <v>13908115</v>
      </c>
      <c r="X19" s="321">
        <f>+'9. mell. PMH'!X19+'12. mell. Szakrendelő'!X19+'13. mell. GAMESZ'!X19+'14. mell. Gyerekkuckó'!X19+'15. mell. Cinkotai H.'!X19+'16. mell. Napsugár'!X19+'17. mell. Sashalmi M.'!X19+'18. mell. Margaréta'!X19+'19.mell.Szentmihályi Játszókert'!X19+'20. mell. M. Fecskefészek'!X19+'21. mell. CMH'!X19+'22. mell. Bölcsőde'!X19+'23. mell. Terszoc.'!X19+'24. mell. Napraforgó'!X19+'25. mell. Kerületgazda'!X19+'26. mell. Őrszolgálat'!X19+'27. mell. KHEK'!X19+'28. mell. KIO'!X19</f>
        <v>0</v>
      </c>
      <c r="Y19" s="321">
        <f>+'9. mell. PMH'!Y19+'12. mell. Szakrendelő'!Y19+'13. mell. GAMESZ'!Y19+'14. mell. Gyerekkuckó'!Y19+'15. mell. Cinkotai H.'!Y19+'16. mell. Napsugár'!Y19+'17. mell. Sashalmi M.'!Y19+'18. mell. Margaréta'!Y19+'19.mell.Szentmihályi Játszókert'!Y19+'20. mell. M. Fecskefészek'!Y19+'21. mell. CMH'!Y19+'22. mell. Bölcsőde'!Y19+'23. mell. Terszoc.'!Y19+'24. mell. Napraforgó'!Y19+'25. mell. Kerületgazda'!Y19+'26. mell. Őrszolgálat'!Y19+'27. mell. KHEK'!Y19+'28. mell. KIO'!Y19</f>
        <v>0</v>
      </c>
      <c r="Z19" s="321">
        <f>+'9. mell. PMH'!Z19+'12. mell. Szakrendelő'!Z19+'13. mell. GAMESZ'!Z19+'14. mell. Gyerekkuckó'!Z19+'15. mell. Cinkotai H.'!Z19+'16. mell. Napsugár'!Z19+'17. mell. Sashalmi M.'!Z19+'18. mell. Margaréta'!Z19+'19.mell.Szentmihályi Játszókert'!Z19+'20. mell. M. Fecskefészek'!Z19+'21. mell. CMH'!Z19+'22. mell. Bölcsőde'!Z19+'23. mell. Terszoc.'!Z19+'24. mell. Napraforgó'!Z19+'25. mell. Kerületgazda'!Z19+'26. mell. Őrszolgálat'!Z19+'27. mell. KHEK'!Z19+'28. mell. KIO'!Z19</f>
        <v>0</v>
      </c>
      <c r="AA19" s="321">
        <f>+'9. mell. PMH'!AA19+'12. mell. Szakrendelő'!AA19+'13. mell. GAMESZ'!AA19+'14. mell. Gyerekkuckó'!AA19+'15. mell. Cinkotai H.'!AA19+'16. mell. Napsugár'!AA19+'17. mell. Sashalmi M.'!AA19+'18. mell. Margaréta'!AA19+'19.mell.Szentmihályi Játszókert'!AA19+'20. mell. M. Fecskefészek'!AA19+'21. mell. CMH'!AA19+'22. mell. Bölcsőde'!AA19+'23. mell. Terszoc.'!AA19+'24. mell. Napraforgó'!AA19+'25. mell. Kerületgazda'!AA19+'26. mell. Őrszolgálat'!AA19+'27. mell. KHEK'!AA19+'28. mell. KIO'!AA19</f>
        <v>0</v>
      </c>
      <c r="AB19" s="321">
        <f>+'9. mell. PMH'!AB19+'12. mell. Szakrendelő'!AB19+'13. mell. GAMESZ'!AB19+'14. mell. Gyerekkuckó'!AB19+'15. mell. Cinkotai H.'!AB19+'16. mell. Napsugár'!AB19+'17. mell. Sashalmi M.'!AB19+'18. mell. Margaréta'!AB19+'19.mell.Szentmihályi Játszókert'!AB19+'20. mell. M. Fecskefészek'!AB19+'21. mell. CMH'!AB19+'22. mell. Bölcsőde'!AB19+'23. mell. Terszoc.'!AB19+'24. mell. Napraforgó'!AB19+'25. mell. Kerületgazda'!AB19+'26. mell. Őrszolgálat'!AB19+'27. mell. KHEK'!AB19+'28. mell. KIO'!AB19</f>
        <v>0</v>
      </c>
      <c r="AC19" s="321">
        <f>+'9. mell. PMH'!AC19+'12. mell. Szakrendelő'!AC19+'13. mell. GAMESZ'!AC19+'14. mell. Gyerekkuckó'!AC19+'15. mell. Cinkotai H.'!AC19+'16. mell. Napsugár'!AC19+'17. mell. Sashalmi M.'!AC19+'18. mell. Margaréta'!AC19+'19.mell.Szentmihályi Játszókert'!AC19+'20. mell. M. Fecskefészek'!AC19+'21. mell. CMH'!AC19+'22. mell. Bölcsőde'!AC19+'23. mell. Terszoc.'!AC19+'24. mell. Napraforgó'!AC19+'25. mell. Kerületgazda'!AC19+'26. mell. Őrszolgálat'!AC19+'27. mell. KHEK'!AC19+'28. mell. KIO'!AC19</f>
        <v>0</v>
      </c>
      <c r="AD19" s="323"/>
      <c r="AE19" s="321">
        <f t="shared" si="0"/>
        <v>0</v>
      </c>
      <c r="AF19" s="321">
        <f t="shared" si="1"/>
        <v>0</v>
      </c>
      <c r="AG19" s="321">
        <f t="shared" si="2"/>
        <v>13088138</v>
      </c>
      <c r="AH19" s="321">
        <f t="shared" si="3"/>
        <v>0</v>
      </c>
      <c r="AI19" s="324">
        <f>+K19/I19</f>
        <v>1</v>
      </c>
      <c r="AJ19" s="321">
        <f t="shared" si="4"/>
        <v>968000</v>
      </c>
      <c r="AK19" s="325">
        <f>+F19-'9. mell. PMH'!F19-'12. mell. Szakrendelő'!F19-'25. mell. Kerületgazda'!F19-'28. mell. KIO'!F19</f>
        <v>0</v>
      </c>
      <c r="AL19" s="325">
        <f>+G19-'9. mell. PMH'!G19-'12. mell. Szakrendelő'!G19-'25. mell. Kerületgazda'!G19-'28. mell. KIO'!G19</f>
        <v>0</v>
      </c>
      <c r="AM19" s="325">
        <f>+H19-'9. mell. PMH'!H19-'12. mell. Szakrendelő'!H19-'25. mell. Kerületgazda'!H19-'28. mell. KIO'!H19</f>
        <v>0</v>
      </c>
      <c r="AN19" s="325">
        <f>+I19-'9. mell. PMH'!I19-'12. mell. Szakrendelő'!I19-'25. mell. Kerületgazda'!I19-'28. mell. KIO'!I19</f>
        <v>13519382</v>
      </c>
      <c r="AO19" s="325">
        <f>+J19-'9. mell. PMH'!J19-'12. mell. Szakrendelő'!J19-'25. mell. Kerületgazda'!J19-'28. mell. KIO'!J19</f>
        <v>13519382</v>
      </c>
      <c r="AP19" s="325">
        <f>+K19-'9. mell. PMH'!K19-'12. mell. Szakrendelő'!K19-'25. mell. Kerületgazda'!K19-'28. mell. KIO'!K19</f>
        <v>13519382</v>
      </c>
      <c r="AQ19" s="1195">
        <f t="shared" si="5"/>
        <v>0</v>
      </c>
      <c r="AR19" s="1593">
        <f t="shared" si="6"/>
        <v>0</v>
      </c>
      <c r="AS19" s="1195">
        <f t="shared" si="7"/>
        <v>13519382</v>
      </c>
      <c r="AT19" s="2647">
        <v>24865616</v>
      </c>
      <c r="AU19" s="1593">
        <f t="shared" si="8"/>
        <v>0</v>
      </c>
    </row>
    <row r="20" spans="1:47" s="332" customFormat="1" ht="12" customHeight="1" thickBot="1">
      <c r="A20" s="319" t="s">
        <v>12</v>
      </c>
      <c r="B20" s="319" t="s">
        <v>12</v>
      </c>
      <c r="C20" s="320" t="s">
        <v>1278</v>
      </c>
      <c r="D20" s="321">
        <f>+'9. mell. PMH'!D20+'12. mell. Szakrendelő'!D20+'13. mell. GAMESZ'!D20+'14. mell. Gyerekkuckó'!D20+'15. mell. Cinkotai H.'!D20+'16. mell. Napsugár'!D20+'17. mell. Sashalmi M.'!D20+'18. mell. Margaréta'!D20+'19.mell.Szentmihályi Játszókert'!D20+'20. mell. M. Fecskefészek'!D20+'21. mell. CMH'!D20+'22. mell. Bölcsőde'!D20+'23. mell. Terszoc.'!D20+'24. mell. Napraforgó'!D20+'25. mell. Kerületgazda'!D20+'26. mell. Őrszolgálat'!D20+'27. mell. KHEK'!D20+'28. mell. KIO'!D20</f>
        <v>0</v>
      </c>
      <c r="E20" s="2587">
        <f>+'9. mell. PMH'!E20+'12. mell. Szakrendelő'!E20+'13. mell. GAMESZ'!E20+'14. mell. Gyerekkuckó'!E20+'15. mell. Cinkotai H.'!E20+'16. mell. Napsugár'!E20+'17. mell. Sashalmi M.'!E20+'18. mell. Margaréta'!E20+'19.mell.Szentmihályi Játszókert'!E20+'20. mell. M. Fecskefészek'!E20+'21. mell. CMH'!E20+'22. mell. Bölcsőde'!E20+'23. mell. Terszoc.'!E20+'24. mell. Napraforgó'!E20+'25. mell. Kerületgazda'!E20+'26. mell. Őrszolgálat'!E20+'27. mell. KHEK'!E20+'28. mell. KIO'!E20</f>
        <v>94488</v>
      </c>
      <c r="F20" s="321">
        <f>+'9. mell. PMH'!F20+'12. mell. Szakrendelő'!F20+'13. mell. GAMESZ'!F20+'14. mell. Gyerekkuckó'!F20+'15. mell. Cinkotai H.'!F20+'16. mell. Napsugár'!F20+'17. mell. Sashalmi M.'!F20+'18. mell. Margaréta'!F20+'19.mell.Szentmihályi Játszókert'!F20+'20. mell. M. Fecskefészek'!F20+'21. mell. CMH'!F20+'22. mell. Bölcsőde'!F20+'23. mell. Terszoc.'!F20+'24. mell. Napraforgó'!F20+'25. mell. Kerületgazda'!F20+'26. mell. Őrszolgálat'!F20+'27. mell. KHEK'!F20+'28. mell. KIO'!F20</f>
        <v>0</v>
      </c>
      <c r="G20" s="321">
        <f>+'9. mell. PMH'!G20+'12. mell. Szakrendelő'!G20+'13. mell. GAMESZ'!G20+'14. mell. Gyerekkuckó'!G20+'15. mell. Cinkotai H.'!G20+'16. mell. Napsugár'!G20+'17. mell. Sashalmi M.'!G20+'18. mell. Margaréta'!G20+'19.mell.Szentmihályi Játszókert'!G20+'20. mell. M. Fecskefészek'!G20+'21. mell. CMH'!G20+'22. mell. Bölcsőde'!G20+'23. mell. Terszoc.'!G20+'24. mell. Napraforgó'!G20+'25. mell. Kerületgazda'!G20+'26. mell. Őrszolgálat'!G20+'27. mell. KHEK'!G20+'28. mell. KIO'!G20</f>
        <v>0</v>
      </c>
      <c r="H20" s="321">
        <f>+'9. mell. PMH'!H20+'12. mell. Szakrendelő'!H20+'13. mell. GAMESZ'!H20+'14. mell. Gyerekkuckó'!H20+'15. mell. Cinkotai H.'!H20+'16. mell. Napsugár'!H20+'17. mell. Sashalmi M.'!H20+'18. mell. Margaréta'!H20+'19.mell.Szentmihályi Játszókert'!H20+'20. mell. M. Fecskefészek'!H20+'21. mell. CMH'!H20+'22. mell. Bölcsőde'!H20+'23. mell. Terszoc.'!H20+'24. mell. Napraforgó'!H20+'25. mell. Kerületgazda'!H20+'26. mell. Őrszolgálat'!H20+'27. mell. KHEK'!H20+'28. mell. KIO'!H20</f>
        <v>0</v>
      </c>
      <c r="I20" s="321">
        <f>+'9. mell. PMH'!I20+'12. mell. Szakrendelő'!I20+'13. mell. GAMESZ'!I20+'14. mell. Gyerekkuckó'!I20+'15. mell. Cinkotai H.'!I20+'16. mell. Napsugár'!I20+'17. mell. Sashalmi M.'!I20+'18. mell. Margaréta'!I20+'19.mell.Szentmihályi Játszókert'!I20+'20. mell. M. Fecskefészek'!I20+'21. mell. CMH'!I20+'22. mell. Bölcsőde'!I20+'23. mell. Terszoc.'!I20+'24. mell. Napraforgó'!I20+'25. mell. Kerületgazda'!I20+'26. mell. Őrszolgálat'!I20+'27. mell. KHEK'!I20+'28. mell. KIO'!I20</f>
        <v>0</v>
      </c>
      <c r="J20" s="321">
        <f>+'9. mell. PMH'!J20+'12. mell. Szakrendelő'!J20+'13. mell. GAMESZ'!J20+'14. mell. Gyerekkuckó'!J20+'15. mell. Cinkotai H.'!J20+'16. mell. Napsugár'!J20+'17. mell. Sashalmi M.'!J20+'18. mell. Margaréta'!J20+'19.mell.Szentmihályi Játszókert'!J20+'20. mell. M. Fecskefészek'!J20+'21. mell. CMH'!J20+'22. mell. Bölcsőde'!J20+'23. mell. Terszoc.'!J20+'24. mell. Napraforgó'!J20+'25. mell. Kerületgazda'!J20+'26. mell. Őrszolgálat'!J20+'27. mell. KHEK'!J20+'28. mell. KIO'!J20</f>
        <v>0</v>
      </c>
      <c r="K20" s="2197">
        <f>+'9. mell. PMH'!K20+'12. mell. Szakrendelő'!K20+'13. mell. GAMESZ'!K20+'14. mell. Gyerekkuckó'!K20+'15. mell. Cinkotai H.'!K20+'16. mell. Napsugár'!K20+'17. mell. Sashalmi M.'!K20+'18. mell. Margaréta'!K20+'19.mell.Szentmihályi Játszókert'!K20+'20. mell. M. Fecskefészek'!K20+'21. mell. CMH'!K20+'22. mell. Bölcsőde'!K20+'23. mell. Terszoc.'!K20+'24. mell. Napraforgó'!K20+'25. mell. Kerületgazda'!K20+'26. mell. Őrszolgálat'!K20+'27. mell. KHEK'!K20+'28. mell. KIO'!K20</f>
        <v>0</v>
      </c>
      <c r="L20" s="321">
        <f>+'9. mell. PMH'!L20+'12. mell. Szakrendelő'!L20+'13. mell. GAMESZ'!L20+'14. mell. Gyerekkuckó'!L20+'15. mell. Cinkotai H.'!L20+'16. mell. Napsugár'!L20+'17. mell. Sashalmi M.'!L20+'18. mell. Margaréta'!L20+'19.mell.Szentmihályi Játszókert'!L20+'20. mell. M. Fecskefészek'!L20+'21. mell. CMH'!L20+'22. mell. Bölcsőde'!L20+'23. mell. Terszoc.'!L20+'24. mell. Napraforgó'!L20+'25. mell. Kerületgazda'!L20+'26. mell. Őrszolgálat'!L20+'27. mell. KHEK'!L20+'28. mell. KIO'!L20</f>
        <v>0</v>
      </c>
      <c r="M20" s="321">
        <f>+'9. mell. PMH'!M20+'12. mell. Szakrendelő'!M20+'13. mell. GAMESZ'!M20+'14. mell. Gyerekkuckó'!M20+'15. mell. Cinkotai H.'!M20+'16. mell. Napsugár'!M20+'17. mell. Sashalmi M.'!M20+'18. mell. Margaréta'!M20+'19.mell.Szentmihályi Játszókert'!M20+'20. mell. M. Fecskefészek'!M20+'21. mell. CMH'!M20+'22. mell. Bölcsőde'!M20+'23. mell. Terszoc.'!M20+'24. mell. Napraforgó'!M20+'25. mell. Kerületgazda'!M20+'26. mell. Őrszolgálat'!M20+'27. mell. KHEK'!M20+'28. mell. KIO'!M20</f>
        <v>0</v>
      </c>
      <c r="N20" s="321">
        <f>+'9. mell. PMH'!N20+'12. mell. Szakrendelő'!N20+'13. mell. GAMESZ'!N20+'14. mell. Gyerekkuckó'!N20+'15. mell. Cinkotai H.'!N20+'16. mell. Napsugár'!N20+'17. mell. Sashalmi M.'!N20+'18. mell. Margaréta'!N20+'19.mell.Szentmihályi Játszókert'!N20+'20. mell. M. Fecskefészek'!N20+'21. mell. CMH'!N20+'22. mell. Bölcsőde'!N20+'23. mell. Terszoc.'!N20+'24. mell. Napraforgó'!N20+'25. mell. Kerületgazda'!N20+'26. mell. Őrszolgálat'!N20+'27. mell. KHEK'!N20+'28. mell. KIO'!N20</f>
        <v>0</v>
      </c>
      <c r="O20" s="321">
        <f>+'9. mell. PMH'!O20+'12. mell. Szakrendelő'!O20+'13. mell. GAMESZ'!O20+'14. mell. Gyerekkuckó'!O20+'15. mell. Cinkotai H.'!O20+'16. mell. Napsugár'!O20+'17. mell. Sashalmi M.'!O20+'18. mell. Margaréta'!O20+'19.mell.Szentmihályi Játszókert'!O20+'20. mell. M. Fecskefészek'!O20+'21. mell. CMH'!O20+'22. mell. Bölcsőde'!O20+'23. mell. Terszoc.'!O20+'24. mell. Napraforgó'!O20+'25. mell. Kerületgazda'!O20+'26. mell. Őrszolgálat'!O20+'27. mell. KHEK'!O20+'28. mell. KIO'!O20</f>
        <v>0</v>
      </c>
      <c r="P20" s="321">
        <f>+'9. mell. PMH'!P20+'12. mell. Szakrendelő'!P20+'13. mell. GAMESZ'!P20+'14. mell. Gyerekkuckó'!P20+'15. mell. Cinkotai H.'!P20+'16. mell. Napsugár'!P20+'17. mell. Sashalmi M.'!P20+'18. mell. Margaréta'!P20+'19.mell.Szentmihályi Játszókert'!P20+'20. mell. M. Fecskefészek'!P20+'21. mell. CMH'!P20+'22. mell. Bölcsőde'!P20+'23. mell. Terszoc.'!P20+'24. mell. Napraforgó'!P20+'25. mell. Kerületgazda'!P20+'26. mell. Őrszolgálat'!P20+'27. mell. KHEK'!P20+'28. mell. KIO'!P20</f>
        <v>0</v>
      </c>
      <c r="Q20" s="321">
        <f>+'9. mell. PMH'!Q20+'12. mell. Szakrendelő'!Q20+'13. mell. GAMESZ'!Q20+'14. mell. Gyerekkuckó'!Q20+'15. mell. Cinkotai H.'!Q20+'16. mell. Napsugár'!Q20+'17. mell. Sashalmi M.'!Q20+'18. mell. Margaréta'!Q20+'19.mell.Szentmihályi Játszókert'!Q20+'20. mell. M. Fecskefészek'!Q20+'21. mell. CMH'!Q20+'22. mell. Bölcsőde'!Q20+'23. mell. Terszoc.'!Q20+'24. mell. Napraforgó'!Q20+'25. mell. Kerületgazda'!Q20+'26. mell. Őrszolgálat'!Q20+'27. mell. KHEK'!Q20+'28. mell. KIO'!Q20</f>
        <v>0</v>
      </c>
      <c r="R20" s="321">
        <f>+'9. mell. PMH'!R20+'12. mell. Szakrendelő'!R20+'13. mell. GAMESZ'!R20+'14. mell. Gyerekkuckó'!R20+'15. mell. Cinkotai H.'!R20+'16. mell. Napsugár'!R20+'17. mell. Sashalmi M.'!R20+'18. mell. Margaréta'!R20+'19.mell.Szentmihályi Játszókert'!R20+'20. mell. M. Fecskefészek'!R20+'21. mell. CMH'!R20+'22. mell. Bölcsőde'!R20+'23. mell. Terszoc.'!R20+'24. mell. Napraforgó'!R20+'25. mell. Kerületgazda'!R20+'26. mell. Őrszolgálat'!R20+'27. mell. KHEK'!R20+'28. mell. KIO'!R20</f>
        <v>0</v>
      </c>
      <c r="S20" s="321">
        <f>+'9. mell. PMH'!S20+'12. mell. Szakrendelő'!S20+'13. mell. GAMESZ'!S20+'14. mell. Gyerekkuckó'!S20+'15. mell. Cinkotai H.'!S20+'16. mell. Napsugár'!S20+'17. mell. Sashalmi M.'!S20+'18. mell. Margaréta'!S20+'19.mell.Szentmihályi Játszókert'!S20+'20. mell. M. Fecskefészek'!S20+'21. mell. CMH'!S20+'22. mell. Bölcsőde'!S20+'23. mell. Terszoc.'!S20+'24. mell. Napraforgó'!S20+'25. mell. Kerületgazda'!S20+'26. mell. Őrszolgálat'!S20+'27. mell. KHEK'!S20+'28. mell. KIO'!S20</f>
        <v>0</v>
      </c>
      <c r="T20" s="321">
        <f>+'9. mell. PMH'!T20+'12. mell. Szakrendelő'!T20+'13. mell. GAMESZ'!T20+'14. mell. Gyerekkuckó'!T20+'15. mell. Cinkotai H.'!T20+'16. mell. Napsugár'!T20+'17. mell. Sashalmi M.'!T20+'18. mell. Margaréta'!T20+'19.mell.Szentmihályi Játszókert'!T20+'20. mell. M. Fecskefészek'!T20+'21. mell. CMH'!T20+'22. mell. Bölcsőde'!T20+'23. mell. Terszoc.'!T20+'24. mell. Napraforgó'!T20+'25. mell. Kerületgazda'!T20+'26. mell. Őrszolgálat'!T20+'27. mell. KHEK'!T20+'28. mell. KIO'!T20</f>
        <v>0</v>
      </c>
      <c r="U20" s="321">
        <f>+'9. mell. PMH'!U20+'12. mell. Szakrendelő'!U20+'13. mell. GAMESZ'!U20+'14. mell. Gyerekkuckó'!U20+'15. mell. Cinkotai H.'!U20+'16. mell. Napsugár'!U20+'17. mell. Sashalmi M.'!U20+'18. mell. Margaréta'!U20+'19.mell.Szentmihályi Játszókert'!U20+'20. mell. M. Fecskefészek'!U20+'21. mell. CMH'!U20+'22. mell. Bölcsőde'!U20+'23. mell. Terszoc.'!U20+'24. mell. Napraforgó'!U20+'25. mell. Kerületgazda'!U20+'26. mell. Őrszolgálat'!U20+'27. mell. KHEK'!U20+'28. mell. KIO'!U20</f>
        <v>0</v>
      </c>
      <c r="V20" s="321">
        <f>+'9. mell. PMH'!V20+'12. mell. Szakrendelő'!V20+'13. mell. GAMESZ'!V20+'14. mell. Gyerekkuckó'!V20+'15. mell. Cinkotai H.'!V20+'16. mell. Napsugár'!V20+'17. mell. Sashalmi M.'!V20+'18. mell. Margaréta'!V20+'19.mell.Szentmihályi Játszókert'!V20+'20. mell. M. Fecskefészek'!V20+'21. mell. CMH'!V20+'22. mell. Bölcsőde'!V20+'23. mell. Terszoc.'!V20+'24. mell. Napraforgó'!V20+'25. mell. Kerületgazda'!V20+'26. mell. Őrszolgálat'!V20+'27. mell. KHEK'!V20+'28. mell. KIO'!V20</f>
        <v>0</v>
      </c>
      <c r="W20" s="321">
        <f>+'9. mell. PMH'!W20+'12. mell. Szakrendelő'!W20+'13. mell. GAMESZ'!W20+'14. mell. Gyerekkuckó'!W20+'15. mell. Cinkotai H.'!W20+'16. mell. Napsugár'!W20+'17. mell. Sashalmi M.'!W20+'18. mell. Margaréta'!W20+'19.mell.Szentmihályi Játszókert'!W20+'20. mell. M. Fecskefészek'!W20+'21. mell. CMH'!W20+'22. mell. Bölcsőde'!W20+'23. mell. Terszoc.'!W20+'24. mell. Napraforgó'!W20+'25. mell. Kerületgazda'!W20+'26. mell. Őrszolgálat'!W20+'27. mell. KHEK'!W20+'28. mell. KIO'!W20</f>
        <v>0</v>
      </c>
      <c r="X20" s="321">
        <f>+'9. mell. PMH'!X20+'12. mell. Szakrendelő'!X20+'13. mell. GAMESZ'!X20+'14. mell. Gyerekkuckó'!X20+'15. mell. Cinkotai H.'!X20+'16. mell. Napsugár'!X20+'17. mell. Sashalmi M.'!X20+'18. mell. Margaréta'!X20+'19.mell.Szentmihályi Játszókert'!X20+'20. mell. M. Fecskefészek'!X20+'21. mell. CMH'!X20+'22. mell. Bölcsőde'!X20+'23. mell. Terszoc.'!X20+'24. mell. Napraforgó'!X20+'25. mell. Kerületgazda'!X20+'26. mell. Őrszolgálat'!X20+'27. mell. KHEK'!X20+'28. mell. KIO'!X20</f>
        <v>0</v>
      </c>
      <c r="Y20" s="321">
        <f>+'9. mell. PMH'!Y20+'12. mell. Szakrendelő'!Y20+'13. mell. GAMESZ'!Y20+'14. mell. Gyerekkuckó'!Y20+'15. mell. Cinkotai H.'!Y20+'16. mell. Napsugár'!Y20+'17. mell. Sashalmi M.'!Y20+'18. mell. Margaréta'!Y20+'19.mell.Szentmihályi Játszókert'!Y20+'20. mell. M. Fecskefészek'!Y20+'21. mell. CMH'!Y20+'22. mell. Bölcsőde'!Y20+'23. mell. Terszoc.'!Y20+'24. mell. Napraforgó'!Y20+'25. mell. Kerületgazda'!Y20+'26. mell. Őrszolgálat'!Y20+'27. mell. KHEK'!Y20+'28. mell. KIO'!Y20</f>
        <v>0</v>
      </c>
      <c r="Z20" s="321">
        <f>+'9. mell. PMH'!Z20+'12. mell. Szakrendelő'!Z20+'13. mell. GAMESZ'!Z20+'14. mell. Gyerekkuckó'!Z20+'15. mell. Cinkotai H.'!Z20+'16. mell. Napsugár'!Z20+'17. mell. Sashalmi M.'!Z20+'18. mell. Margaréta'!Z20+'19.mell.Szentmihályi Játszókert'!Z20+'20. mell. M. Fecskefészek'!Z20+'21. mell. CMH'!Z20+'22. mell. Bölcsőde'!Z20+'23. mell. Terszoc.'!Z20+'24. mell. Napraforgó'!Z20+'25. mell. Kerületgazda'!Z20+'26. mell. Őrszolgálat'!Z20+'27. mell. KHEK'!Z20+'28. mell. KIO'!Z20</f>
        <v>0</v>
      </c>
      <c r="AA20" s="321">
        <f>+'9. mell. PMH'!AA20+'12. mell. Szakrendelő'!AA20+'13. mell. GAMESZ'!AA20+'14. mell. Gyerekkuckó'!AA20+'15. mell. Cinkotai H.'!AA20+'16. mell. Napsugár'!AA20+'17. mell. Sashalmi M.'!AA20+'18. mell. Margaréta'!AA20+'19.mell.Szentmihályi Játszókert'!AA20+'20. mell. M. Fecskefészek'!AA20+'21. mell. CMH'!AA20+'22. mell. Bölcsőde'!AA20+'23. mell. Terszoc.'!AA20+'24. mell. Napraforgó'!AA20+'25. mell. Kerületgazda'!AA20+'26. mell. Őrszolgálat'!AA20+'27. mell. KHEK'!AA20+'28. mell. KIO'!AA20</f>
        <v>0</v>
      </c>
      <c r="AB20" s="321">
        <f>+'9. mell. PMH'!AB20+'12. mell. Szakrendelő'!AB20+'13. mell. GAMESZ'!AB20+'14. mell. Gyerekkuckó'!AB20+'15. mell. Cinkotai H.'!AB20+'16. mell. Napsugár'!AB20+'17. mell. Sashalmi M.'!AB20+'18. mell. Margaréta'!AB20+'19.mell.Szentmihályi Játszókert'!AB20+'20. mell. M. Fecskefészek'!AB20+'21. mell. CMH'!AB20+'22. mell. Bölcsőde'!AB20+'23. mell. Terszoc.'!AB20+'24. mell. Napraforgó'!AB20+'25. mell. Kerületgazda'!AB20+'26. mell. Őrszolgálat'!AB20+'27. mell. KHEK'!AB20+'28. mell. KIO'!AB20</f>
        <v>0</v>
      </c>
      <c r="AC20" s="321">
        <f>+'9. mell. PMH'!AC20+'12. mell. Szakrendelő'!AC20+'13. mell. GAMESZ'!AC20+'14. mell. Gyerekkuckó'!AC20+'15. mell. Cinkotai H.'!AC20+'16. mell. Napsugár'!AC20+'17. mell. Sashalmi M.'!AC20+'18. mell. Margaréta'!AC20+'19.mell.Szentmihályi Játszókert'!AC20+'20. mell. M. Fecskefészek'!AC20+'21. mell. CMH'!AC20+'22. mell. Bölcsőde'!AC20+'23. mell. Terszoc.'!AC20+'24. mell. Napraforgó'!AC20+'25. mell. Kerületgazda'!AC20+'26. mell. Őrszolgálat'!AC20+'27. mell. KHEK'!AC20+'28. mell. KIO'!AC20</f>
        <v>0</v>
      </c>
      <c r="AD20" s="323"/>
      <c r="AE20" s="321">
        <f t="shared" si="0"/>
        <v>0</v>
      </c>
      <c r="AF20" s="321">
        <f t="shared" si="1"/>
        <v>0</v>
      </c>
      <c r="AG20" s="321">
        <f t="shared" si="2"/>
        <v>0</v>
      </c>
      <c r="AH20" s="321">
        <f t="shared" si="3"/>
        <v>0</v>
      </c>
      <c r="AI20" s="324"/>
      <c r="AJ20" s="321">
        <f t="shared" si="4"/>
        <v>0</v>
      </c>
      <c r="AK20" s="325">
        <f>+F20-'9. mell. PMH'!F20-'12. mell. Szakrendelő'!F20-'25. mell. Kerületgazda'!F20-'28. mell. KIO'!F20</f>
        <v>0</v>
      </c>
      <c r="AL20" s="325">
        <f>+G20-'9. mell. PMH'!G20-'12. mell. Szakrendelő'!G20-'25. mell. Kerületgazda'!G20-'28. mell. KIO'!G20</f>
        <v>0</v>
      </c>
      <c r="AM20" s="325">
        <f>+H20-'9. mell. PMH'!H20-'12. mell. Szakrendelő'!H20-'25. mell. Kerületgazda'!H20-'28. mell. KIO'!H20</f>
        <v>0</v>
      </c>
      <c r="AN20" s="325">
        <f>+I20-'9. mell. PMH'!I20-'12. mell. Szakrendelő'!I20-'25. mell. Kerületgazda'!I20-'28. mell. KIO'!I20</f>
        <v>0</v>
      </c>
      <c r="AO20" s="325">
        <f>+J20-'9. mell. PMH'!J20-'12. mell. Szakrendelő'!J20-'25. mell. Kerületgazda'!J20-'28. mell. KIO'!J20</f>
        <v>0</v>
      </c>
      <c r="AP20" s="325">
        <f>+K20-'9. mell. PMH'!K20-'12. mell. Szakrendelő'!K20-'25. mell. Kerületgazda'!K20-'28. mell. KIO'!K20</f>
        <v>0</v>
      </c>
      <c r="AQ20" s="1195">
        <f t="shared" si="5"/>
        <v>0</v>
      </c>
      <c r="AR20" s="1593">
        <f t="shared" si="6"/>
        <v>0</v>
      </c>
      <c r="AS20" s="1195">
        <f t="shared" si="7"/>
        <v>0</v>
      </c>
      <c r="AT20" s="2647">
        <v>94488</v>
      </c>
      <c r="AU20" s="1593">
        <f t="shared" si="8"/>
        <v>0</v>
      </c>
    </row>
    <row r="21" spans="1:47" s="332" customFormat="1" ht="12" customHeight="1" thickBot="1">
      <c r="A21" s="313"/>
      <c r="B21" s="330" t="s">
        <v>185</v>
      </c>
      <c r="C21" s="328" t="s">
        <v>247</v>
      </c>
      <c r="D21" s="321">
        <f>+'9. mell. PMH'!D21+'12. mell. Szakrendelő'!D21+'13. mell. GAMESZ'!D21+'14. mell. Gyerekkuckó'!D21+'15. mell. Cinkotai H.'!D21+'16. mell. Napsugár'!D21+'17. mell. Sashalmi M.'!D21+'18. mell. Margaréta'!D21+'19.mell.Szentmihályi Játszókert'!D21+'20. mell. M. Fecskefészek'!D21+'21. mell. CMH'!D21+'22. mell. Bölcsőde'!D21+'23. mell. Terszoc.'!D21+'24. mell. Napraforgó'!D21+'25. mell. Kerületgazda'!D21+'26. mell. Őrszolgálat'!D21+'27. mell. KHEK'!D21+'28. mell. KIO'!D21</f>
        <v>0</v>
      </c>
      <c r="E21" s="2587">
        <f>+'9. mell. PMH'!E21+'12. mell. Szakrendelő'!E21+'13. mell. GAMESZ'!E21+'14. mell. Gyerekkuckó'!E21+'15. mell. Cinkotai H.'!E21+'16. mell. Napsugár'!E21+'17. mell. Sashalmi M.'!E21+'18. mell. Margaréta'!E21+'19.mell.Szentmihályi Játszókert'!E21+'20. mell. M. Fecskefészek'!E21+'21. mell. CMH'!E21+'22. mell. Bölcsőde'!E21+'23. mell. Terszoc.'!E21+'24. mell. Napraforgó'!E21+'25. mell. Kerületgazda'!E21+'26. mell. Őrszolgálat'!E21+'27. mell. KHEK'!E21+'28. mell. KIO'!E21</f>
        <v>0</v>
      </c>
      <c r="F21" s="321">
        <f>+'9. mell. PMH'!F21+'12. mell. Szakrendelő'!F21+'13. mell. GAMESZ'!F21+'14. mell. Gyerekkuckó'!F21+'15. mell. Cinkotai H.'!F21+'16. mell. Napsugár'!F21+'17. mell. Sashalmi M.'!F21+'18. mell. Margaréta'!F21+'19.mell.Szentmihályi Játszókert'!F21+'20. mell. M. Fecskefészek'!F21+'21. mell. CMH'!F21+'22. mell. Bölcsőde'!F21+'23. mell. Terszoc.'!F21+'24. mell. Napraforgó'!F21+'25. mell. Kerületgazda'!F21+'26. mell. Őrszolgálat'!F21+'27. mell. KHEK'!F21+'28. mell. KIO'!F21</f>
        <v>0</v>
      </c>
      <c r="G21" s="321">
        <f>+'9. mell. PMH'!G21+'12. mell. Szakrendelő'!G21+'13. mell. GAMESZ'!G21+'14. mell. Gyerekkuckó'!G21+'15. mell. Cinkotai H.'!G21+'16. mell. Napsugár'!G21+'17. mell. Sashalmi M.'!G21+'18. mell. Margaréta'!G21+'19.mell.Szentmihályi Játszókert'!G21+'20. mell. M. Fecskefészek'!G21+'21. mell. CMH'!G21+'22. mell. Bölcsőde'!G21+'23. mell. Terszoc.'!G21+'24. mell. Napraforgó'!G21+'25. mell. Kerületgazda'!G21+'26. mell. Őrszolgálat'!G21+'27. mell. KHEK'!G21+'28. mell. KIO'!G21</f>
        <v>0</v>
      </c>
      <c r="H21" s="321">
        <f>+'9. mell. PMH'!H21+'12. mell. Szakrendelő'!H21+'13. mell. GAMESZ'!H21+'14. mell. Gyerekkuckó'!H21+'15. mell. Cinkotai H.'!H21+'16. mell. Napsugár'!H21+'17. mell. Sashalmi M.'!H21+'18. mell. Margaréta'!H21+'19.mell.Szentmihályi Játszókert'!H21+'20. mell. M. Fecskefészek'!H21+'21. mell. CMH'!H21+'22. mell. Bölcsőde'!H21+'23. mell. Terszoc.'!H21+'24. mell. Napraforgó'!H21+'25. mell. Kerületgazda'!H21+'26. mell. Őrszolgálat'!H21+'27. mell. KHEK'!H21+'28. mell. KIO'!H21</f>
        <v>0</v>
      </c>
      <c r="I21" s="321">
        <f>+'9. mell. PMH'!I21+'12. mell. Szakrendelő'!I21+'13. mell. GAMESZ'!I21+'14. mell. Gyerekkuckó'!I21+'15. mell. Cinkotai H.'!I21+'16. mell. Napsugár'!I21+'17. mell. Sashalmi M.'!I21+'18. mell. Margaréta'!I21+'19.mell.Szentmihályi Játszókert'!I21+'20. mell. M. Fecskefészek'!I21+'21. mell. CMH'!I21+'22. mell. Bölcsőde'!I21+'23. mell. Terszoc.'!I21+'24. mell. Napraforgó'!I21+'25. mell. Kerületgazda'!I21+'26. mell. Őrszolgálat'!I21+'27. mell. KHEK'!I21+'28. mell. KIO'!I21</f>
        <v>0</v>
      </c>
      <c r="J21" s="321">
        <f>+'9. mell. PMH'!J21+'12. mell. Szakrendelő'!J21+'13. mell. GAMESZ'!J21+'14. mell. Gyerekkuckó'!J21+'15. mell. Cinkotai H.'!J21+'16. mell. Napsugár'!J21+'17. mell. Sashalmi M.'!J21+'18. mell. Margaréta'!J21+'19.mell.Szentmihályi Játszókert'!J21+'20. mell. M. Fecskefészek'!J21+'21. mell. CMH'!J21+'22. mell. Bölcsőde'!J21+'23. mell. Terszoc.'!J21+'24. mell. Napraforgó'!J21+'25. mell. Kerületgazda'!J21+'26. mell. Őrszolgálat'!J21+'27. mell. KHEK'!J21+'28. mell. KIO'!J21</f>
        <v>0</v>
      </c>
      <c r="K21" s="2197">
        <f>+'9. mell. PMH'!K21+'12. mell. Szakrendelő'!K21+'13. mell. GAMESZ'!K21+'14. mell. Gyerekkuckó'!K21+'15. mell. Cinkotai H.'!K21+'16. mell. Napsugár'!K21+'17. mell. Sashalmi M.'!K21+'18. mell. Margaréta'!K21+'19.mell.Szentmihályi Játszókert'!K21+'20. mell. M. Fecskefészek'!K21+'21. mell. CMH'!K21+'22. mell. Bölcsőde'!K21+'23. mell. Terszoc.'!K21+'24. mell. Napraforgó'!K21+'25. mell. Kerületgazda'!K21+'26. mell. Őrszolgálat'!K21+'27. mell. KHEK'!K21+'28. mell. KIO'!K21</f>
        <v>0</v>
      </c>
      <c r="L21" s="321">
        <f>+'9. mell. PMH'!L21+'12. mell. Szakrendelő'!L21+'13. mell. GAMESZ'!L21+'14. mell. Gyerekkuckó'!L21+'15. mell. Cinkotai H.'!L21+'16. mell. Napsugár'!L21+'17. mell. Sashalmi M.'!L21+'18. mell. Margaréta'!L21+'19.mell.Szentmihályi Játszókert'!L21+'20. mell. M. Fecskefészek'!L21+'21. mell. CMH'!L21+'22. mell. Bölcsőde'!L21+'23. mell. Terszoc.'!L21+'24. mell. Napraforgó'!L21+'25. mell. Kerületgazda'!L21+'26. mell. Őrszolgálat'!L21+'27. mell. KHEK'!L21+'28. mell. KIO'!L21</f>
        <v>0</v>
      </c>
      <c r="M21" s="321">
        <f>+'9. mell. PMH'!M21+'12. mell. Szakrendelő'!M21+'13. mell. GAMESZ'!M21+'14. mell. Gyerekkuckó'!M21+'15. mell. Cinkotai H.'!M21+'16. mell. Napsugár'!M21+'17. mell. Sashalmi M.'!M21+'18. mell. Margaréta'!M21+'19.mell.Szentmihályi Játszókert'!M21+'20. mell. M. Fecskefészek'!M21+'21. mell. CMH'!M21+'22. mell. Bölcsőde'!M21+'23. mell. Terszoc.'!M21+'24. mell. Napraforgó'!M21+'25. mell. Kerületgazda'!M21+'26. mell. Őrszolgálat'!M21+'27. mell. KHEK'!M21+'28. mell. KIO'!M21</f>
        <v>0</v>
      </c>
      <c r="N21" s="321">
        <f>+'9. mell. PMH'!N21+'12. mell. Szakrendelő'!N21+'13. mell. GAMESZ'!N21+'14. mell. Gyerekkuckó'!N21+'15. mell. Cinkotai H.'!N21+'16. mell. Napsugár'!N21+'17. mell. Sashalmi M.'!N21+'18. mell. Margaréta'!N21+'19.mell.Szentmihályi Játszókert'!N21+'20. mell. M. Fecskefészek'!N21+'21. mell. CMH'!N21+'22. mell. Bölcsőde'!N21+'23. mell. Terszoc.'!N21+'24. mell. Napraforgó'!N21+'25. mell. Kerületgazda'!N21+'26. mell. Őrszolgálat'!N21+'27. mell. KHEK'!N21+'28. mell. KIO'!N21</f>
        <v>0</v>
      </c>
      <c r="O21" s="321">
        <f>+'9. mell. PMH'!O21+'12. mell. Szakrendelő'!O21+'13. mell. GAMESZ'!O21+'14. mell. Gyerekkuckó'!O21+'15. mell. Cinkotai H.'!O21+'16. mell. Napsugár'!O21+'17. mell. Sashalmi M.'!O21+'18. mell. Margaréta'!O21+'19.mell.Szentmihályi Játszókert'!O21+'20. mell. M. Fecskefészek'!O21+'21. mell. CMH'!O21+'22. mell. Bölcsőde'!O21+'23. mell. Terszoc.'!O21+'24. mell. Napraforgó'!O21+'25. mell. Kerületgazda'!O21+'26. mell. Őrszolgálat'!O21+'27. mell. KHEK'!O21+'28. mell. KIO'!O21</f>
        <v>0</v>
      </c>
      <c r="P21" s="321">
        <f>+'9. mell. PMH'!P21+'12. mell. Szakrendelő'!P21+'13. mell. GAMESZ'!P21+'14. mell. Gyerekkuckó'!P21+'15. mell. Cinkotai H.'!P21+'16. mell. Napsugár'!P21+'17. mell. Sashalmi M.'!P21+'18. mell. Margaréta'!P21+'19.mell.Szentmihályi Játszókert'!P21+'20. mell. M. Fecskefészek'!P21+'21. mell. CMH'!P21+'22. mell. Bölcsőde'!P21+'23. mell. Terszoc.'!P21+'24. mell. Napraforgó'!P21+'25. mell. Kerületgazda'!P21+'26. mell. Őrszolgálat'!P21+'27. mell. KHEK'!P21+'28. mell. KIO'!P21</f>
        <v>0</v>
      </c>
      <c r="Q21" s="321">
        <f>+'9. mell. PMH'!Q21+'12. mell. Szakrendelő'!Q21+'13. mell. GAMESZ'!Q21+'14. mell. Gyerekkuckó'!Q21+'15. mell. Cinkotai H.'!Q21+'16. mell. Napsugár'!Q21+'17. mell. Sashalmi M.'!Q21+'18. mell. Margaréta'!Q21+'19.mell.Szentmihályi Játszókert'!Q21+'20. mell. M. Fecskefészek'!Q21+'21. mell. CMH'!Q21+'22. mell. Bölcsőde'!Q21+'23. mell. Terszoc.'!Q21+'24. mell. Napraforgó'!Q21+'25. mell. Kerületgazda'!Q21+'26. mell. Őrszolgálat'!Q21+'27. mell. KHEK'!Q21+'28. mell. KIO'!Q21</f>
        <v>0</v>
      </c>
      <c r="R21" s="321">
        <f>+'9. mell. PMH'!R21+'12. mell. Szakrendelő'!R21+'13. mell. GAMESZ'!R21+'14. mell. Gyerekkuckó'!R21+'15. mell. Cinkotai H.'!R21+'16. mell. Napsugár'!R21+'17. mell. Sashalmi M.'!R21+'18. mell. Margaréta'!R21+'19.mell.Szentmihályi Játszókert'!R21+'20. mell. M. Fecskefészek'!R21+'21. mell. CMH'!R21+'22. mell. Bölcsőde'!R21+'23. mell. Terszoc.'!R21+'24. mell. Napraforgó'!R21+'25. mell. Kerületgazda'!R21+'26. mell. Őrszolgálat'!R21+'27. mell. KHEK'!R21+'28. mell. KIO'!R21</f>
        <v>0</v>
      </c>
      <c r="S21" s="321">
        <f>+'9. mell. PMH'!S21+'12. mell. Szakrendelő'!S21+'13. mell. GAMESZ'!S21+'14. mell. Gyerekkuckó'!S21+'15. mell. Cinkotai H.'!S21+'16. mell. Napsugár'!S21+'17. mell. Sashalmi M.'!S21+'18. mell. Margaréta'!S21+'19.mell.Szentmihályi Játszókert'!S21+'20. mell. M. Fecskefészek'!S21+'21. mell. CMH'!S21+'22. mell. Bölcsőde'!S21+'23. mell. Terszoc.'!S21+'24. mell. Napraforgó'!S21+'25. mell. Kerületgazda'!S21+'26. mell. Őrszolgálat'!S21+'27. mell. KHEK'!S21+'28. mell. KIO'!S21</f>
        <v>0</v>
      </c>
      <c r="T21" s="321">
        <f>+'9. mell. PMH'!T21+'12. mell. Szakrendelő'!T21+'13. mell. GAMESZ'!T21+'14. mell. Gyerekkuckó'!T21+'15. mell. Cinkotai H.'!T21+'16. mell. Napsugár'!T21+'17. mell. Sashalmi M.'!T21+'18. mell. Margaréta'!T21+'19.mell.Szentmihályi Játszókert'!T21+'20. mell. M. Fecskefészek'!T21+'21. mell. CMH'!T21+'22. mell. Bölcsőde'!T21+'23. mell. Terszoc.'!T21+'24. mell. Napraforgó'!T21+'25. mell. Kerületgazda'!T21+'26. mell. Őrszolgálat'!T21+'27. mell. KHEK'!T21+'28. mell. KIO'!T21</f>
        <v>0</v>
      </c>
      <c r="U21" s="321">
        <f>+'9. mell. PMH'!U21+'12. mell. Szakrendelő'!U21+'13. mell. GAMESZ'!U21+'14. mell. Gyerekkuckó'!U21+'15. mell. Cinkotai H.'!U21+'16. mell. Napsugár'!U21+'17. mell. Sashalmi M.'!U21+'18. mell. Margaréta'!U21+'19.mell.Szentmihályi Játszókert'!U21+'20. mell. M. Fecskefészek'!U21+'21. mell. CMH'!U21+'22. mell. Bölcsőde'!U21+'23. mell. Terszoc.'!U21+'24. mell. Napraforgó'!U21+'25. mell. Kerületgazda'!U21+'26. mell. Őrszolgálat'!U21+'27. mell. KHEK'!U21+'28. mell. KIO'!U21</f>
        <v>0</v>
      </c>
      <c r="V21" s="321">
        <f>+'9. mell. PMH'!V21+'12. mell. Szakrendelő'!V21+'13. mell. GAMESZ'!V21+'14. mell. Gyerekkuckó'!V21+'15. mell. Cinkotai H.'!V21+'16. mell. Napsugár'!V21+'17. mell. Sashalmi M.'!V21+'18. mell. Margaréta'!V21+'19.mell.Szentmihályi Játszókert'!V21+'20. mell. M. Fecskefészek'!V21+'21. mell. CMH'!V21+'22. mell. Bölcsőde'!V21+'23. mell. Terszoc.'!V21+'24. mell. Napraforgó'!V21+'25. mell. Kerületgazda'!V21+'26. mell. Őrszolgálat'!V21+'27. mell. KHEK'!V21+'28. mell. KIO'!V21</f>
        <v>0</v>
      </c>
      <c r="W21" s="321">
        <f>+'9. mell. PMH'!W21+'12. mell. Szakrendelő'!W21+'13. mell. GAMESZ'!W21+'14. mell. Gyerekkuckó'!W21+'15. mell. Cinkotai H.'!W21+'16. mell. Napsugár'!W21+'17. mell. Sashalmi M.'!W21+'18. mell. Margaréta'!W21+'19.mell.Szentmihályi Játszókert'!W21+'20. mell. M. Fecskefészek'!W21+'21. mell. CMH'!W21+'22. mell. Bölcsőde'!W21+'23. mell. Terszoc.'!W21+'24. mell. Napraforgó'!W21+'25. mell. Kerületgazda'!W21+'26. mell. Őrszolgálat'!W21+'27. mell. KHEK'!W21+'28. mell. KIO'!W21</f>
        <v>0</v>
      </c>
      <c r="X21" s="321">
        <f>+'9. mell. PMH'!X21+'12. mell. Szakrendelő'!X21+'13. mell. GAMESZ'!X21+'14. mell. Gyerekkuckó'!X21+'15. mell. Cinkotai H.'!X21+'16. mell. Napsugár'!X21+'17. mell. Sashalmi M.'!X21+'18. mell. Margaréta'!X21+'19.mell.Szentmihályi Játszókert'!X21+'20. mell. M. Fecskefészek'!X21+'21. mell. CMH'!X21+'22. mell. Bölcsőde'!X21+'23. mell. Terszoc.'!X21+'24. mell. Napraforgó'!X21+'25. mell. Kerületgazda'!X21+'26. mell. Őrszolgálat'!X21+'27. mell. KHEK'!X21+'28. mell. KIO'!X21</f>
        <v>0</v>
      </c>
      <c r="Y21" s="321">
        <f>+'9. mell. PMH'!Y21+'12. mell. Szakrendelő'!Y21+'13. mell. GAMESZ'!Y21+'14. mell. Gyerekkuckó'!Y21+'15. mell. Cinkotai H.'!Y21+'16. mell. Napsugár'!Y21+'17. mell. Sashalmi M.'!Y21+'18. mell. Margaréta'!Y21+'19.mell.Szentmihályi Játszókert'!Y21+'20. mell. M. Fecskefészek'!Y21+'21. mell. CMH'!Y21+'22. mell. Bölcsőde'!Y21+'23. mell. Terszoc.'!Y21+'24. mell. Napraforgó'!Y21+'25. mell. Kerületgazda'!Y21+'26. mell. Őrszolgálat'!Y21+'27. mell. KHEK'!Y21+'28. mell. KIO'!Y21</f>
        <v>0</v>
      </c>
      <c r="Z21" s="321">
        <f>+'9. mell. PMH'!Z21+'12. mell. Szakrendelő'!Z21+'13. mell. GAMESZ'!Z21+'14. mell. Gyerekkuckó'!Z21+'15. mell. Cinkotai H.'!Z21+'16. mell. Napsugár'!Z21+'17. mell. Sashalmi M.'!Z21+'18. mell. Margaréta'!Z21+'19.mell.Szentmihályi Játszókert'!Z21+'20. mell. M. Fecskefészek'!Z21+'21. mell. CMH'!Z21+'22. mell. Bölcsőde'!Z21+'23. mell. Terszoc.'!Z21+'24. mell. Napraforgó'!Z21+'25. mell. Kerületgazda'!Z21+'26. mell. Őrszolgálat'!Z21+'27. mell. KHEK'!Z21+'28. mell. KIO'!Z21</f>
        <v>0</v>
      </c>
      <c r="AA21" s="321">
        <f>+'9. mell. PMH'!AA21+'12. mell. Szakrendelő'!AA21+'13. mell. GAMESZ'!AA21+'14. mell. Gyerekkuckó'!AA21+'15. mell. Cinkotai H.'!AA21+'16. mell. Napsugár'!AA21+'17. mell. Sashalmi M.'!AA21+'18. mell. Margaréta'!AA21+'19.mell.Szentmihályi Játszókert'!AA21+'20. mell. M. Fecskefészek'!AA21+'21. mell. CMH'!AA21+'22. mell. Bölcsőde'!AA21+'23. mell. Terszoc.'!AA21+'24. mell. Napraforgó'!AA21+'25. mell. Kerületgazda'!AA21+'26. mell. Őrszolgálat'!AA21+'27. mell. KHEK'!AA21+'28. mell. KIO'!AA21</f>
        <v>0</v>
      </c>
      <c r="AB21" s="321">
        <f>+'9. mell. PMH'!AB21+'12. mell. Szakrendelő'!AB21+'13. mell. GAMESZ'!AB21+'14. mell. Gyerekkuckó'!AB21+'15. mell. Cinkotai H.'!AB21+'16. mell. Napsugár'!AB21+'17. mell. Sashalmi M.'!AB21+'18. mell. Margaréta'!AB21+'19.mell.Szentmihályi Játszókert'!AB21+'20. mell. M. Fecskefészek'!AB21+'21. mell. CMH'!AB21+'22. mell. Bölcsőde'!AB21+'23. mell. Terszoc.'!AB21+'24. mell. Napraforgó'!AB21+'25. mell. Kerületgazda'!AB21+'26. mell. Őrszolgálat'!AB21+'27. mell. KHEK'!AB21+'28. mell. KIO'!AB21</f>
        <v>0</v>
      </c>
      <c r="AC21" s="321">
        <f>+'9. mell. PMH'!AC21+'12. mell. Szakrendelő'!AC21+'13. mell. GAMESZ'!AC21+'14. mell. Gyerekkuckó'!AC21+'15. mell. Cinkotai H.'!AC21+'16. mell. Napsugár'!AC21+'17. mell. Sashalmi M.'!AC21+'18. mell. Margaréta'!AC21+'19.mell.Szentmihályi Játszókert'!AC21+'20. mell. M. Fecskefészek'!AC21+'21. mell. CMH'!AC21+'22. mell. Bölcsőde'!AC21+'23. mell. Terszoc.'!AC21+'24. mell. Napraforgó'!AC21+'25. mell. Kerületgazda'!AC21+'26. mell. Őrszolgálat'!AC21+'27. mell. KHEK'!AC21+'28. mell. KIO'!AC21</f>
        <v>0</v>
      </c>
      <c r="AD21" s="333"/>
      <c r="AE21" s="321">
        <f t="shared" si="0"/>
        <v>0</v>
      </c>
      <c r="AF21" s="321">
        <f t="shared" si="1"/>
        <v>0</v>
      </c>
      <c r="AG21" s="321">
        <f t="shared" si="2"/>
        <v>0</v>
      </c>
      <c r="AH21" s="321">
        <f t="shared" si="3"/>
        <v>0</v>
      </c>
      <c r="AI21" s="324"/>
      <c r="AJ21" s="321">
        <f t="shared" si="4"/>
        <v>0</v>
      </c>
      <c r="AK21" s="325">
        <f>+F21-'9. mell. PMH'!F21-'12. mell. Szakrendelő'!F21-'25. mell. Kerületgazda'!F21-'28. mell. KIO'!F21</f>
        <v>0</v>
      </c>
      <c r="AL21" s="325">
        <f>+G21-'9. mell. PMH'!G21-'12. mell. Szakrendelő'!G21-'25. mell. Kerületgazda'!G21-'28. mell. KIO'!G21</f>
        <v>0</v>
      </c>
      <c r="AM21" s="325">
        <f>+H21-'9. mell. PMH'!H21-'12. mell. Szakrendelő'!H21-'25. mell. Kerületgazda'!H21-'28. mell. KIO'!H21</f>
        <v>0</v>
      </c>
      <c r="AN21" s="325">
        <f>+I21-'9. mell. PMH'!I21-'12. mell. Szakrendelő'!I21-'25. mell. Kerületgazda'!I21-'28. mell. KIO'!I21</f>
        <v>0</v>
      </c>
      <c r="AO21" s="325">
        <f>+J21-'9. mell. PMH'!J21-'12. mell. Szakrendelő'!J21-'25. mell. Kerületgazda'!J21-'28. mell. KIO'!J21</f>
        <v>0</v>
      </c>
      <c r="AP21" s="325">
        <f>+K21-'9. mell. PMH'!K21-'12. mell. Szakrendelő'!K21-'25. mell. Kerületgazda'!K21-'28. mell. KIO'!K21</f>
        <v>0</v>
      </c>
      <c r="AQ21" s="1195">
        <f t="shared" si="5"/>
        <v>0</v>
      </c>
      <c r="AR21" s="1593">
        <f t="shared" si="6"/>
        <v>0</v>
      </c>
      <c r="AS21" s="1195">
        <f t="shared" si="7"/>
        <v>0</v>
      </c>
      <c r="AT21" s="2647">
        <v>0</v>
      </c>
      <c r="AU21" s="1593">
        <f t="shared" si="8"/>
        <v>0</v>
      </c>
    </row>
    <row r="22" spans="1:47" s="332" customFormat="1" ht="12" customHeight="1" thickBot="1">
      <c r="A22" s="313"/>
      <c r="B22" s="330" t="s">
        <v>187</v>
      </c>
      <c r="C22" s="328" t="s">
        <v>155</v>
      </c>
      <c r="D22" s="321">
        <f>+'9. mell. PMH'!D22+'12. mell. Szakrendelő'!D22+'13. mell. GAMESZ'!D22+'14. mell. Gyerekkuckó'!D22+'15. mell. Cinkotai H.'!D22+'16. mell. Napsugár'!D22+'17. mell. Sashalmi M.'!D22+'18. mell. Margaréta'!D22+'19.mell.Szentmihályi Játszókert'!D22+'20. mell. M. Fecskefészek'!D22+'21. mell. CMH'!D22+'22. mell. Bölcsőde'!D22+'23. mell. Terszoc.'!D22+'24. mell. Napraforgó'!D22+'25. mell. Kerületgazda'!D22+'26. mell. Őrszolgálat'!D22+'27. mell. KHEK'!D22+'28. mell. KIO'!D22</f>
        <v>0</v>
      </c>
      <c r="E22" s="2587">
        <f>+'9. mell. PMH'!E22+'12. mell. Szakrendelő'!E22+'13. mell. GAMESZ'!E22+'14. mell. Gyerekkuckó'!E22+'15. mell. Cinkotai H.'!E22+'16. mell. Napsugár'!E22+'17. mell. Sashalmi M.'!E22+'18. mell. Margaréta'!E22+'19.mell.Szentmihályi Játszókert'!E22+'20. mell. M. Fecskefészek'!E22+'21. mell. CMH'!E22+'22. mell. Bölcsőde'!E22+'23. mell. Terszoc.'!E22+'24. mell. Napraforgó'!E22+'25. mell. Kerületgazda'!E22+'26. mell. Őrszolgálat'!E22+'27. mell. KHEK'!E22+'28. mell. KIO'!E22</f>
        <v>94488</v>
      </c>
      <c r="F22" s="321">
        <f>+'9. mell. PMH'!F22+'12. mell. Szakrendelő'!F22+'13. mell. GAMESZ'!F22+'14. mell. Gyerekkuckó'!F22+'15. mell. Cinkotai H.'!F22+'16. mell. Napsugár'!F22+'17. mell. Sashalmi M.'!F22+'18. mell. Margaréta'!F22+'19.mell.Szentmihályi Játszókert'!F22+'20. mell. M. Fecskefészek'!F22+'21. mell. CMH'!F22+'22. mell. Bölcsőde'!F22+'23. mell. Terszoc.'!F22+'24. mell. Napraforgó'!F22+'25. mell. Kerületgazda'!F22+'26. mell. Őrszolgálat'!F22+'27. mell. KHEK'!F22+'28. mell. KIO'!F22</f>
        <v>0</v>
      </c>
      <c r="G22" s="321">
        <f>+'9. mell. PMH'!G22+'12. mell. Szakrendelő'!G22+'13. mell. GAMESZ'!G22+'14. mell. Gyerekkuckó'!G22+'15. mell. Cinkotai H.'!G22+'16. mell. Napsugár'!G22+'17. mell. Sashalmi M.'!G22+'18. mell. Margaréta'!G22+'19.mell.Szentmihályi Játszókert'!G22+'20. mell. M. Fecskefészek'!G22+'21. mell. CMH'!G22+'22. mell. Bölcsőde'!G22+'23. mell. Terszoc.'!G22+'24. mell. Napraforgó'!G22+'25. mell. Kerületgazda'!G22+'26. mell. Őrszolgálat'!G22+'27. mell. KHEK'!G22+'28. mell. KIO'!G22</f>
        <v>0</v>
      </c>
      <c r="H22" s="321">
        <f>+'9. mell. PMH'!H22+'12. mell. Szakrendelő'!H22+'13. mell. GAMESZ'!H22+'14. mell. Gyerekkuckó'!H22+'15. mell. Cinkotai H.'!H22+'16. mell. Napsugár'!H22+'17. mell. Sashalmi M.'!H22+'18. mell. Margaréta'!H22+'19.mell.Szentmihályi Játszókert'!H22+'20. mell. M. Fecskefészek'!H22+'21. mell. CMH'!H22+'22. mell. Bölcsőde'!H22+'23. mell. Terszoc.'!H22+'24. mell. Napraforgó'!H22+'25. mell. Kerületgazda'!H22+'26. mell. Őrszolgálat'!H22+'27. mell. KHEK'!H22+'28. mell. KIO'!H22</f>
        <v>0</v>
      </c>
      <c r="I22" s="321">
        <f>+'9. mell. PMH'!I22+'12. mell. Szakrendelő'!I22+'13. mell. GAMESZ'!I22+'14. mell. Gyerekkuckó'!I22+'15. mell. Cinkotai H.'!I22+'16. mell. Napsugár'!I22+'17. mell. Sashalmi M.'!I22+'18. mell. Margaréta'!I22+'19.mell.Szentmihályi Játszókert'!I22+'20. mell. M. Fecskefészek'!I22+'21. mell. CMH'!I22+'22. mell. Bölcsőde'!I22+'23. mell. Terszoc.'!I22+'24. mell. Napraforgó'!I22+'25. mell. Kerületgazda'!I22+'26. mell. Őrszolgálat'!I22+'27. mell. KHEK'!I22+'28. mell. KIO'!I22</f>
        <v>0</v>
      </c>
      <c r="J22" s="321">
        <f>+'9. mell. PMH'!J22+'12. mell. Szakrendelő'!J22+'13. mell. GAMESZ'!J22+'14. mell. Gyerekkuckó'!J22+'15. mell. Cinkotai H.'!J22+'16. mell. Napsugár'!J22+'17. mell. Sashalmi M.'!J22+'18. mell. Margaréta'!J22+'19.mell.Szentmihályi Játszókert'!J22+'20. mell. M. Fecskefészek'!J22+'21. mell. CMH'!J22+'22. mell. Bölcsőde'!J22+'23. mell. Terszoc.'!J22+'24. mell. Napraforgó'!J22+'25. mell. Kerületgazda'!J22+'26. mell. Őrszolgálat'!J22+'27. mell. KHEK'!J22+'28. mell. KIO'!J22</f>
        <v>0</v>
      </c>
      <c r="K22" s="2197">
        <f>+'9. mell. PMH'!K22+'12. mell. Szakrendelő'!K22+'13. mell. GAMESZ'!K22+'14. mell. Gyerekkuckó'!K22+'15. mell. Cinkotai H.'!K22+'16. mell. Napsugár'!K22+'17. mell. Sashalmi M.'!K22+'18. mell. Margaréta'!K22+'19.mell.Szentmihályi Játszókert'!K22+'20. mell. M. Fecskefészek'!K22+'21. mell. CMH'!K22+'22. mell. Bölcsőde'!K22+'23. mell. Terszoc.'!K22+'24. mell. Napraforgó'!K22+'25. mell. Kerületgazda'!K22+'26. mell. Őrszolgálat'!K22+'27. mell. KHEK'!K22+'28. mell. KIO'!K22</f>
        <v>0</v>
      </c>
      <c r="L22" s="321">
        <f>+'9. mell. PMH'!L22+'12. mell. Szakrendelő'!L22+'13. mell. GAMESZ'!L22+'14. mell. Gyerekkuckó'!L22+'15. mell. Cinkotai H.'!L22+'16. mell. Napsugár'!L22+'17. mell. Sashalmi M.'!L22+'18. mell. Margaréta'!L22+'19.mell.Szentmihályi Játszókert'!L22+'20. mell. M. Fecskefészek'!L22+'21. mell. CMH'!L22+'22. mell. Bölcsőde'!L22+'23. mell. Terszoc.'!L22+'24. mell. Napraforgó'!L22+'25. mell. Kerületgazda'!L22+'26. mell. Őrszolgálat'!L22+'27. mell. KHEK'!L22+'28. mell. KIO'!L22</f>
        <v>0</v>
      </c>
      <c r="M22" s="321">
        <f>+'9. mell. PMH'!M22+'12. mell. Szakrendelő'!M22+'13. mell. GAMESZ'!M22+'14. mell. Gyerekkuckó'!M22+'15. mell. Cinkotai H.'!M22+'16. mell. Napsugár'!M22+'17. mell. Sashalmi M.'!M22+'18. mell. Margaréta'!M22+'19.mell.Szentmihályi Játszókert'!M22+'20. mell. M. Fecskefészek'!M22+'21. mell. CMH'!M22+'22. mell. Bölcsőde'!M22+'23. mell. Terszoc.'!M22+'24. mell. Napraforgó'!M22+'25. mell. Kerületgazda'!M22+'26. mell. Őrszolgálat'!M22+'27. mell. KHEK'!M22+'28. mell. KIO'!M22</f>
        <v>0</v>
      </c>
      <c r="N22" s="321">
        <f>+'9. mell. PMH'!N22+'12. mell. Szakrendelő'!N22+'13. mell. GAMESZ'!N22+'14. mell. Gyerekkuckó'!N22+'15. mell. Cinkotai H.'!N22+'16. mell. Napsugár'!N22+'17. mell. Sashalmi M.'!N22+'18. mell. Margaréta'!N22+'19.mell.Szentmihályi Játszókert'!N22+'20. mell. M. Fecskefészek'!N22+'21. mell. CMH'!N22+'22. mell. Bölcsőde'!N22+'23. mell. Terszoc.'!N22+'24. mell. Napraforgó'!N22+'25. mell. Kerületgazda'!N22+'26. mell. Őrszolgálat'!N22+'27. mell. KHEK'!N22+'28. mell. KIO'!N22</f>
        <v>0</v>
      </c>
      <c r="O22" s="321">
        <f>+'9. mell. PMH'!O22+'12. mell. Szakrendelő'!O22+'13. mell. GAMESZ'!O22+'14. mell. Gyerekkuckó'!O22+'15. mell. Cinkotai H.'!O22+'16. mell. Napsugár'!O22+'17. mell. Sashalmi M.'!O22+'18. mell. Margaréta'!O22+'19.mell.Szentmihályi Játszókert'!O22+'20. mell. M. Fecskefészek'!O22+'21. mell. CMH'!O22+'22. mell. Bölcsőde'!O22+'23. mell. Terszoc.'!O22+'24. mell. Napraforgó'!O22+'25. mell. Kerületgazda'!O22+'26. mell. Őrszolgálat'!O22+'27. mell. KHEK'!O22+'28. mell. KIO'!O22</f>
        <v>0</v>
      </c>
      <c r="P22" s="321">
        <f>+'9. mell. PMH'!P22+'12. mell. Szakrendelő'!P22+'13. mell. GAMESZ'!P22+'14. mell. Gyerekkuckó'!P22+'15. mell. Cinkotai H.'!P22+'16. mell. Napsugár'!P22+'17. mell. Sashalmi M.'!P22+'18. mell. Margaréta'!P22+'19.mell.Szentmihályi Játszókert'!P22+'20. mell. M. Fecskefészek'!P22+'21. mell. CMH'!P22+'22. mell. Bölcsőde'!P22+'23. mell. Terszoc.'!P22+'24. mell. Napraforgó'!P22+'25. mell. Kerületgazda'!P22+'26. mell. Őrszolgálat'!P22+'27. mell. KHEK'!P22+'28. mell. KIO'!P22</f>
        <v>0</v>
      </c>
      <c r="Q22" s="321">
        <f>+'9. mell. PMH'!Q22+'12. mell. Szakrendelő'!Q22+'13. mell. GAMESZ'!Q22+'14. mell. Gyerekkuckó'!Q22+'15. mell. Cinkotai H.'!Q22+'16. mell. Napsugár'!Q22+'17. mell. Sashalmi M.'!Q22+'18. mell. Margaréta'!Q22+'19.mell.Szentmihályi Játszókert'!Q22+'20. mell. M. Fecskefészek'!Q22+'21. mell. CMH'!Q22+'22. mell. Bölcsőde'!Q22+'23. mell. Terszoc.'!Q22+'24. mell. Napraforgó'!Q22+'25. mell. Kerületgazda'!Q22+'26. mell. Őrszolgálat'!Q22+'27. mell. KHEK'!Q22+'28. mell. KIO'!Q22</f>
        <v>0</v>
      </c>
      <c r="R22" s="321">
        <f>+'9. mell. PMH'!R22+'12. mell. Szakrendelő'!R22+'13. mell. GAMESZ'!R22+'14. mell. Gyerekkuckó'!R22+'15. mell. Cinkotai H.'!R22+'16. mell. Napsugár'!R22+'17. mell. Sashalmi M.'!R22+'18. mell. Margaréta'!R22+'19.mell.Szentmihályi Játszókert'!R22+'20. mell. M. Fecskefészek'!R22+'21. mell. CMH'!R22+'22. mell. Bölcsőde'!R22+'23. mell. Terszoc.'!R22+'24. mell. Napraforgó'!R22+'25. mell. Kerületgazda'!R22+'26. mell. Őrszolgálat'!R22+'27. mell. KHEK'!R22+'28. mell. KIO'!R22</f>
        <v>0</v>
      </c>
      <c r="S22" s="321">
        <f>+'9. mell. PMH'!S22+'12. mell. Szakrendelő'!S22+'13. mell. GAMESZ'!S22+'14. mell. Gyerekkuckó'!S22+'15. mell. Cinkotai H.'!S22+'16. mell. Napsugár'!S22+'17. mell. Sashalmi M.'!S22+'18. mell. Margaréta'!S22+'19.mell.Szentmihályi Játszókert'!S22+'20. mell. M. Fecskefészek'!S22+'21. mell. CMH'!S22+'22. mell. Bölcsőde'!S22+'23. mell. Terszoc.'!S22+'24. mell. Napraforgó'!S22+'25. mell. Kerületgazda'!S22+'26. mell. Őrszolgálat'!S22+'27. mell. KHEK'!S22+'28. mell. KIO'!S22</f>
        <v>0</v>
      </c>
      <c r="T22" s="321">
        <f>+'9. mell. PMH'!T22+'12. mell. Szakrendelő'!T22+'13. mell. GAMESZ'!T22+'14. mell. Gyerekkuckó'!T22+'15. mell. Cinkotai H.'!T22+'16. mell. Napsugár'!T22+'17. mell. Sashalmi M.'!T22+'18. mell. Margaréta'!T22+'19.mell.Szentmihályi Játszókert'!T22+'20. mell. M. Fecskefészek'!T22+'21. mell. CMH'!T22+'22. mell. Bölcsőde'!T22+'23. mell. Terszoc.'!T22+'24. mell. Napraforgó'!T22+'25. mell. Kerületgazda'!T22+'26. mell. Őrszolgálat'!T22+'27. mell. KHEK'!T22+'28. mell. KIO'!T22</f>
        <v>0</v>
      </c>
      <c r="U22" s="321">
        <f>+'9. mell. PMH'!U22+'12. mell. Szakrendelő'!U22+'13. mell. GAMESZ'!U22+'14. mell. Gyerekkuckó'!U22+'15. mell. Cinkotai H.'!U22+'16. mell. Napsugár'!U22+'17. mell. Sashalmi M.'!U22+'18. mell. Margaréta'!U22+'19.mell.Szentmihályi Játszókert'!U22+'20. mell. M. Fecskefészek'!U22+'21. mell. CMH'!U22+'22. mell. Bölcsőde'!U22+'23. mell. Terszoc.'!U22+'24. mell. Napraforgó'!U22+'25. mell. Kerületgazda'!U22+'26. mell. Őrszolgálat'!U22+'27. mell. KHEK'!U22+'28. mell. KIO'!U22</f>
        <v>0</v>
      </c>
      <c r="V22" s="321">
        <f>+'9. mell. PMH'!V22+'12. mell. Szakrendelő'!V22+'13. mell. GAMESZ'!V22+'14. mell. Gyerekkuckó'!V22+'15. mell. Cinkotai H.'!V22+'16. mell. Napsugár'!V22+'17. mell. Sashalmi M.'!V22+'18. mell. Margaréta'!V22+'19.mell.Szentmihályi Játszókert'!V22+'20. mell. M. Fecskefészek'!V22+'21. mell. CMH'!V22+'22. mell. Bölcsőde'!V22+'23. mell. Terszoc.'!V22+'24. mell. Napraforgó'!V22+'25. mell. Kerületgazda'!V22+'26. mell. Őrszolgálat'!V22+'27. mell. KHEK'!V22+'28. mell. KIO'!V22</f>
        <v>0</v>
      </c>
      <c r="W22" s="321">
        <f>+'9. mell. PMH'!W22+'12. mell. Szakrendelő'!W22+'13. mell. GAMESZ'!W22+'14. mell. Gyerekkuckó'!W22+'15. mell. Cinkotai H.'!W22+'16. mell. Napsugár'!W22+'17. mell. Sashalmi M.'!W22+'18. mell. Margaréta'!W22+'19.mell.Szentmihályi Játszókert'!W22+'20. mell. M. Fecskefészek'!W22+'21. mell. CMH'!W22+'22. mell. Bölcsőde'!W22+'23. mell. Terszoc.'!W22+'24. mell. Napraforgó'!W22+'25. mell. Kerületgazda'!W22+'26. mell. Őrszolgálat'!W22+'27. mell. KHEK'!W22+'28. mell. KIO'!W22</f>
        <v>0</v>
      </c>
      <c r="X22" s="321">
        <f>+'9. mell. PMH'!X22+'12. mell. Szakrendelő'!X22+'13. mell. GAMESZ'!X22+'14. mell. Gyerekkuckó'!X22+'15. mell. Cinkotai H.'!X22+'16. mell. Napsugár'!X22+'17. mell. Sashalmi M.'!X22+'18. mell. Margaréta'!X22+'19.mell.Szentmihályi Játszókert'!X22+'20. mell. M. Fecskefészek'!X22+'21. mell. CMH'!X22+'22. mell. Bölcsőde'!X22+'23. mell. Terszoc.'!X22+'24. mell. Napraforgó'!X22+'25. mell. Kerületgazda'!X22+'26. mell. Őrszolgálat'!X22+'27. mell. KHEK'!X22+'28. mell. KIO'!X22</f>
        <v>0</v>
      </c>
      <c r="Y22" s="321">
        <f>+'9. mell. PMH'!Y22+'12. mell. Szakrendelő'!Y22+'13. mell. GAMESZ'!Y22+'14. mell. Gyerekkuckó'!Y22+'15. mell. Cinkotai H.'!Y22+'16. mell. Napsugár'!Y22+'17. mell. Sashalmi M.'!Y22+'18. mell. Margaréta'!Y22+'19.mell.Szentmihályi Játszókert'!Y22+'20. mell. M. Fecskefészek'!Y22+'21. mell. CMH'!Y22+'22. mell. Bölcsőde'!Y22+'23. mell. Terszoc.'!Y22+'24. mell. Napraforgó'!Y22+'25. mell. Kerületgazda'!Y22+'26. mell. Őrszolgálat'!Y22+'27. mell. KHEK'!Y22+'28. mell. KIO'!Y22</f>
        <v>0</v>
      </c>
      <c r="Z22" s="321">
        <f>+'9. mell. PMH'!Z22+'12. mell. Szakrendelő'!Z22+'13. mell. GAMESZ'!Z22+'14. mell. Gyerekkuckó'!Z22+'15. mell. Cinkotai H.'!Z22+'16. mell. Napsugár'!Z22+'17. mell. Sashalmi M.'!Z22+'18. mell. Margaréta'!Z22+'19.mell.Szentmihályi Játszókert'!Z22+'20. mell. M. Fecskefészek'!Z22+'21. mell. CMH'!Z22+'22. mell. Bölcsőde'!Z22+'23. mell. Terszoc.'!Z22+'24. mell. Napraforgó'!Z22+'25. mell. Kerületgazda'!Z22+'26. mell. Őrszolgálat'!Z22+'27. mell. KHEK'!Z22+'28. mell. KIO'!Z22</f>
        <v>0</v>
      </c>
      <c r="AA22" s="321">
        <f>+'9. mell. PMH'!AA22+'12. mell. Szakrendelő'!AA22+'13. mell. GAMESZ'!AA22+'14. mell. Gyerekkuckó'!AA22+'15. mell. Cinkotai H.'!AA22+'16. mell. Napsugár'!AA22+'17. mell. Sashalmi M.'!AA22+'18. mell. Margaréta'!AA22+'19.mell.Szentmihályi Játszókert'!AA22+'20. mell. M. Fecskefészek'!AA22+'21. mell. CMH'!AA22+'22. mell. Bölcsőde'!AA22+'23. mell. Terszoc.'!AA22+'24. mell. Napraforgó'!AA22+'25. mell. Kerületgazda'!AA22+'26. mell. Őrszolgálat'!AA22+'27. mell. KHEK'!AA22+'28. mell. KIO'!AA22</f>
        <v>0</v>
      </c>
      <c r="AB22" s="321">
        <f>+'9. mell. PMH'!AB22+'12. mell. Szakrendelő'!AB22+'13. mell. GAMESZ'!AB22+'14. mell. Gyerekkuckó'!AB22+'15. mell. Cinkotai H.'!AB22+'16. mell. Napsugár'!AB22+'17. mell. Sashalmi M.'!AB22+'18. mell. Margaréta'!AB22+'19.mell.Szentmihályi Játszókert'!AB22+'20. mell. M. Fecskefészek'!AB22+'21. mell. CMH'!AB22+'22. mell. Bölcsőde'!AB22+'23. mell. Terszoc.'!AB22+'24. mell. Napraforgó'!AB22+'25. mell. Kerületgazda'!AB22+'26. mell. Őrszolgálat'!AB22+'27. mell. KHEK'!AB22+'28. mell. KIO'!AB22</f>
        <v>0</v>
      </c>
      <c r="AC22" s="321">
        <f>+'9. mell. PMH'!AC22+'12. mell. Szakrendelő'!AC22+'13. mell. GAMESZ'!AC22+'14. mell. Gyerekkuckó'!AC22+'15. mell. Cinkotai H.'!AC22+'16. mell. Napsugár'!AC22+'17. mell. Sashalmi M.'!AC22+'18. mell. Margaréta'!AC22+'19.mell.Szentmihályi Játszókert'!AC22+'20. mell. M. Fecskefészek'!AC22+'21. mell. CMH'!AC22+'22. mell. Bölcsőde'!AC22+'23. mell. Terszoc.'!AC22+'24. mell. Napraforgó'!AC22+'25. mell. Kerületgazda'!AC22+'26. mell. Őrszolgálat'!AC22+'27. mell. KHEK'!AC22+'28. mell. KIO'!AC22</f>
        <v>0</v>
      </c>
      <c r="AD22" s="323"/>
      <c r="AE22" s="321">
        <f t="shared" si="0"/>
        <v>0</v>
      </c>
      <c r="AF22" s="321">
        <f t="shared" si="1"/>
        <v>0</v>
      </c>
      <c r="AG22" s="321">
        <f t="shared" si="2"/>
        <v>0</v>
      </c>
      <c r="AH22" s="321">
        <f t="shared" si="3"/>
        <v>0</v>
      </c>
      <c r="AI22" s="324"/>
      <c r="AJ22" s="321">
        <f t="shared" si="4"/>
        <v>0</v>
      </c>
      <c r="AK22" s="325">
        <f>+F22-'9. mell. PMH'!F22-'12. mell. Szakrendelő'!F22-'25. mell. Kerületgazda'!F22-'28. mell. KIO'!F22</f>
        <v>0</v>
      </c>
      <c r="AL22" s="325">
        <f>+G22-'9. mell. PMH'!G22-'12. mell. Szakrendelő'!G22-'25. mell. Kerületgazda'!G22-'28. mell. KIO'!G22</f>
        <v>0</v>
      </c>
      <c r="AM22" s="325">
        <f>+H22-'9. mell. PMH'!H22-'12. mell. Szakrendelő'!H22-'25. mell. Kerületgazda'!H22-'28. mell. KIO'!H22</f>
        <v>0</v>
      </c>
      <c r="AN22" s="325">
        <f>+I22-'9. mell. PMH'!I22-'12. mell. Szakrendelő'!I22-'25. mell. Kerületgazda'!I22-'28. mell. KIO'!I22</f>
        <v>0</v>
      </c>
      <c r="AO22" s="325">
        <f>+J22-'9. mell. PMH'!J22-'12. mell. Szakrendelő'!J22-'25. mell. Kerületgazda'!J22-'28. mell. KIO'!J22</f>
        <v>0</v>
      </c>
      <c r="AP22" s="325">
        <f>+K22-'9. mell. PMH'!K22-'12. mell. Szakrendelő'!K22-'25. mell. Kerületgazda'!K22-'28. mell. KIO'!K22</f>
        <v>0</v>
      </c>
      <c r="AQ22" s="1195">
        <f t="shared" si="5"/>
        <v>0</v>
      </c>
      <c r="AR22" s="1593">
        <f t="shared" si="6"/>
        <v>0</v>
      </c>
      <c r="AS22" s="1195">
        <f t="shared" si="7"/>
        <v>0</v>
      </c>
      <c r="AT22" s="2647">
        <v>94488</v>
      </c>
      <c r="AU22" s="1593">
        <f t="shared" si="8"/>
        <v>0</v>
      </c>
    </row>
    <row r="23" spans="1:47" s="326" customFormat="1" ht="24" customHeight="1" thickBot="1">
      <c r="A23" s="319" t="s">
        <v>14</v>
      </c>
      <c r="B23" s="319" t="s">
        <v>14</v>
      </c>
      <c r="C23" s="320" t="s">
        <v>1279</v>
      </c>
      <c r="D23" s="321">
        <f>+'9. mell. PMH'!D23+'12. mell. Szakrendelő'!D23+'13. mell. GAMESZ'!D23+'14. mell. Gyerekkuckó'!D23+'15. mell. Cinkotai H.'!D23+'16. mell. Napsugár'!D23+'17. mell. Sashalmi M.'!D23+'18. mell. Margaréta'!D23+'19.mell.Szentmihályi Játszókert'!D23+'20. mell. M. Fecskefészek'!D23+'21. mell. CMH'!D23+'22. mell. Bölcsőde'!D23+'23. mell. Terszoc.'!D23+'24. mell. Napraforgó'!D23+'25. mell. Kerületgazda'!D23+'26. mell. Őrszolgálat'!D23+'27. mell. KHEK'!D23+'28. mell. KIO'!D23</f>
        <v>2903540860</v>
      </c>
      <c r="E23" s="2587">
        <f>+'9. mell. PMH'!E23+'12. mell. Szakrendelő'!E23+'13. mell. GAMESZ'!E23+'14. mell. Gyerekkuckó'!E23+'15. mell. Cinkotai H.'!E23+'16. mell. Napsugár'!E23+'17. mell. Sashalmi M.'!E23+'18. mell. Margaréta'!E23+'19.mell.Szentmihályi Játszókert'!E23+'20. mell. M. Fecskefészek'!E23+'21. mell. CMH'!E23+'22. mell. Bölcsőde'!E23+'23. mell. Terszoc.'!E23+'24. mell. Napraforgó'!E23+'25. mell. Kerületgazda'!E23+'26. mell. Őrszolgálat'!E23+'27. mell. KHEK'!E23+'28. mell. KIO'!E23</f>
        <v>2933323576</v>
      </c>
      <c r="F23" s="321">
        <f>+'9. mell. PMH'!F23+'12. mell. Szakrendelő'!F23+'13. mell. GAMESZ'!F23+'14. mell. Gyerekkuckó'!F23+'15. mell. Cinkotai H.'!F23+'16. mell. Napsugár'!F23+'17. mell. Sashalmi M.'!F23+'18. mell. Margaréta'!F23+'19.mell.Szentmihályi Játszókert'!F23+'20. mell. M. Fecskefészek'!F23+'21. mell. CMH'!F23+'22. mell. Bölcsőde'!F23+'23. mell. Terszoc.'!F23+'24. mell. Napraforgó'!F23+'25. mell. Kerületgazda'!F23+'26. mell. Őrszolgálat'!F23+'27. mell. KHEK'!F23+'28. mell. KIO'!F23</f>
        <v>2915721438</v>
      </c>
      <c r="G23" s="321">
        <f>+'9. mell. PMH'!G23+'12. mell. Szakrendelő'!G23+'13. mell. GAMESZ'!G23+'14. mell. Gyerekkuckó'!G23+'15. mell. Cinkotai H.'!G23+'16. mell. Napsugár'!G23+'17. mell. Sashalmi M.'!G23+'18. mell. Margaréta'!G23+'19.mell.Szentmihályi Játszókert'!G23+'20. mell. M. Fecskefészek'!G23+'21. mell. CMH'!G23+'22. mell. Bölcsőde'!G23+'23. mell. Terszoc.'!G23+'24. mell. Napraforgó'!G23+'25. mell. Kerületgazda'!G23+'26. mell. Őrszolgálat'!G23+'27. mell. KHEK'!G23+'28. mell. KIO'!G23</f>
        <v>2923127022</v>
      </c>
      <c r="H23" s="321">
        <f>+'9. mell. PMH'!H23+'12. mell. Szakrendelő'!H23+'13. mell. GAMESZ'!H23+'14. mell. Gyerekkuckó'!H23+'15. mell. Cinkotai H.'!H23+'16. mell. Napsugár'!H23+'17. mell. Sashalmi M.'!H23+'18. mell. Margaréta'!H23+'19.mell.Szentmihályi Játszókert'!H23+'20. mell. M. Fecskefészek'!H23+'21. mell. CMH'!H23+'22. mell. Bölcsőde'!H23+'23. mell. Terszoc.'!H23+'24. mell. Napraforgó'!H23+'25. mell. Kerületgazda'!H23+'26. mell. Őrszolgálat'!H23+'27. mell. KHEK'!H23+'28. mell. KIO'!H23</f>
        <v>2923127022</v>
      </c>
      <c r="I23" s="321">
        <f>+'9. mell. PMH'!I23+'12. mell. Szakrendelő'!I23+'13. mell. GAMESZ'!I23+'14. mell. Gyerekkuckó'!I23+'15. mell. Cinkotai H.'!I23+'16. mell. Napsugár'!I23+'17. mell. Sashalmi M.'!I23+'18. mell. Margaréta'!I23+'19.mell.Szentmihályi Játszókert'!I23+'20. mell. M. Fecskefészek'!I23+'21. mell. CMH'!I23+'22. mell. Bölcsőde'!I23+'23. mell. Terszoc.'!I23+'24. mell. Napraforgó'!I23+'25. mell. Kerületgazda'!I23+'26. mell. Őrszolgálat'!I23+'27. mell. KHEK'!I23+'28. mell. KIO'!I23</f>
        <v>3011570730</v>
      </c>
      <c r="J23" s="321">
        <f>+'9. mell. PMH'!J23+'12. mell. Szakrendelő'!J23+'13. mell. GAMESZ'!J23+'14. mell. Gyerekkuckó'!J23+'15. mell. Cinkotai H.'!J23+'16. mell. Napsugár'!J23+'17. mell. Sashalmi M.'!J23+'18. mell. Margaréta'!J23+'19.mell.Szentmihályi Játszókert'!J23+'20. mell. M. Fecskefészek'!J23+'21. mell. CMH'!J23+'22. mell. Bölcsőde'!J23+'23. mell. Terszoc.'!J23+'24. mell. Napraforgó'!J23+'25. mell. Kerületgazda'!J23+'26. mell. Őrszolgálat'!J23+'27. mell. KHEK'!J23+'28. mell. KIO'!J23</f>
        <v>3011570730</v>
      </c>
      <c r="K23" s="2197">
        <f>+'9. mell. PMH'!K23+'12. mell. Szakrendelő'!K23+'13. mell. GAMESZ'!K23+'14. mell. Gyerekkuckó'!K23+'15. mell. Cinkotai H.'!K23+'16. mell. Napsugár'!K23+'17. mell. Sashalmi M.'!K23+'18. mell. Margaréta'!K23+'19.mell.Szentmihályi Játszókert'!K23+'20. mell. M. Fecskefészek'!K23+'21. mell. CMH'!K23+'22. mell. Bölcsőde'!K23+'23. mell. Terszoc.'!K23+'24. mell. Napraforgó'!K23+'25. mell. Kerületgazda'!K23+'26. mell. Őrszolgálat'!K23+'27. mell. KHEK'!K23+'28. mell. KIO'!K23</f>
        <v>3011570730</v>
      </c>
      <c r="L23" s="321">
        <f>+'9. mell. PMH'!L23+'12. mell. Szakrendelő'!L23+'13. mell. GAMESZ'!L23+'14. mell. Gyerekkuckó'!L23+'15. mell. Cinkotai H.'!L23+'16. mell. Napsugár'!L23+'17. mell. Sashalmi M.'!L23+'18. mell. Margaréta'!L23+'19.mell.Szentmihályi Játszókert'!L23+'20. mell. M. Fecskefészek'!L23+'21. mell. CMH'!L23+'22. mell. Bölcsőde'!L23+'23. mell. Terszoc.'!L23+'24. mell. Napraforgó'!L23+'25. mell. Kerületgazda'!L23+'26. mell. Őrszolgálat'!L23+'27. mell. KHEK'!L23+'28. mell. KIO'!L23</f>
        <v>110267785</v>
      </c>
      <c r="M23" s="321">
        <f>+'9. mell. PMH'!M23+'12. mell. Szakrendelő'!M23+'13. mell. GAMESZ'!M23+'14. mell. Gyerekkuckó'!M23+'15. mell. Cinkotai H.'!M23+'16. mell. Napsugár'!M23+'17. mell. Sashalmi M.'!M23+'18. mell. Margaréta'!M23+'19.mell.Szentmihályi Játszókert'!M23+'20. mell. M. Fecskefészek'!M23+'21. mell. CMH'!M23+'22. mell. Bölcsőde'!M23+'23. mell. Terszoc.'!M23+'24. mell. Napraforgó'!M23+'25. mell. Kerületgazda'!M23+'26. mell. Őrszolgálat'!M23+'27. mell. KHEK'!M23+'28. mell. KIO'!M23</f>
        <v>110267785</v>
      </c>
      <c r="N23" s="321">
        <f>+'9. mell. PMH'!N23+'12. mell. Szakrendelő'!N23+'13. mell. GAMESZ'!N23+'14. mell. Gyerekkuckó'!N23+'15. mell. Cinkotai H.'!N23+'16. mell. Napsugár'!N23+'17. mell. Sashalmi M.'!N23+'18. mell. Margaréta'!N23+'19.mell.Szentmihályi Játszókert'!N23+'20. mell. M. Fecskefészek'!N23+'21. mell. CMH'!N23+'22. mell. Bölcsőde'!N23+'23. mell. Terszoc.'!N23+'24. mell. Napraforgó'!N23+'25. mell. Kerületgazda'!N23+'26. mell. Őrszolgálat'!N23+'27. mell. KHEK'!N23+'28. mell. KIO'!N23</f>
        <v>110267785</v>
      </c>
      <c r="O23" s="321">
        <f>+'9. mell. PMH'!O23+'12. mell. Szakrendelő'!O23+'13. mell. GAMESZ'!O23+'14. mell. Gyerekkuckó'!O23+'15. mell. Cinkotai H.'!O23+'16. mell. Napsugár'!O23+'17. mell. Sashalmi M.'!O23+'18. mell. Margaréta'!O23+'19.mell.Szentmihályi Játszókert'!O23+'20. mell. M. Fecskefészek'!O23+'21. mell. CMH'!O23+'22. mell. Bölcsőde'!O23+'23. mell. Terszoc.'!O23+'24. mell. Napraforgó'!O23+'25. mell. Kerületgazda'!O23+'26. mell. Őrszolgálat'!O23+'27. mell. KHEK'!O23+'28. mell. KIO'!O23</f>
        <v>110474004</v>
      </c>
      <c r="P23" s="321">
        <f>+'9. mell. PMH'!P23+'12. mell. Szakrendelő'!P23+'13. mell. GAMESZ'!P23+'14. mell. Gyerekkuckó'!P23+'15. mell. Cinkotai H.'!P23+'16. mell. Napsugár'!P23+'17. mell. Sashalmi M.'!P23+'18. mell. Margaréta'!P23+'19.mell.Szentmihályi Játszókert'!P23+'20. mell. M. Fecskefészek'!P23+'21. mell. CMH'!P23+'22. mell. Bölcsőde'!P23+'23. mell. Terszoc.'!P23+'24. mell. Napraforgó'!P23+'25. mell. Kerületgazda'!P23+'26. mell. Őrszolgálat'!P23+'27. mell. KHEK'!P23+'28. mell. KIO'!P23</f>
        <v>110474004</v>
      </c>
      <c r="Q23" s="321">
        <f>+'9. mell. PMH'!Q23+'12. mell. Szakrendelő'!Q23+'13. mell. GAMESZ'!Q23+'14. mell. Gyerekkuckó'!Q23+'15. mell. Cinkotai H.'!Q23+'16. mell. Napsugár'!Q23+'17. mell. Sashalmi M.'!Q23+'18. mell. Margaréta'!Q23+'19.mell.Szentmihályi Játszókert'!Q23+'20. mell. M. Fecskefészek'!Q23+'21. mell. CMH'!Q23+'22. mell. Bölcsőde'!Q23+'23. mell. Terszoc.'!Q23+'24. mell. Napraforgó'!Q23+'25. mell. Kerületgazda'!Q23+'26. mell. Őrszolgálat'!Q23+'27. mell. KHEK'!Q23+'28. mell. KIO'!Q23</f>
        <v>110474004</v>
      </c>
      <c r="R23" s="321">
        <f>+'9. mell. PMH'!R23+'12. mell. Szakrendelő'!R23+'13. mell. GAMESZ'!R23+'14. mell. Gyerekkuckó'!R23+'15. mell. Cinkotai H.'!R23+'16. mell. Napsugár'!R23+'17. mell. Sashalmi M.'!R23+'18. mell. Margaréta'!R23+'19.mell.Szentmihályi Játszókert'!R23+'20. mell. M. Fecskefészek'!R23+'21. mell. CMH'!R23+'22. mell. Bölcsőde'!R23+'23. mell. Terszoc.'!R23+'24. mell. Napraforgó'!R23+'25. mell. Kerületgazda'!R23+'26. mell. Őrszolgálat'!R23+'27. mell. KHEK'!R23+'28. mell. KIO'!R23</f>
        <v>2805453653</v>
      </c>
      <c r="S23" s="321">
        <f>+'9. mell. PMH'!S23+'12. mell. Szakrendelő'!S23+'13. mell. GAMESZ'!S23+'14. mell. Gyerekkuckó'!S23+'15. mell. Cinkotai H.'!S23+'16. mell. Napsugár'!S23+'17. mell. Sashalmi M.'!S23+'18. mell. Margaréta'!S23+'19.mell.Szentmihályi Játszókert'!S23+'20. mell. M. Fecskefészek'!S23+'21. mell. CMH'!S23+'22. mell. Bölcsőde'!S23+'23. mell. Terszoc.'!S23+'24. mell. Napraforgó'!S23+'25. mell. Kerületgazda'!S23+'26. mell. Őrszolgálat'!S23+'27. mell. KHEK'!S23+'28. mell. KIO'!S23</f>
        <v>2812859237</v>
      </c>
      <c r="T23" s="321">
        <f>+'9. mell. PMH'!T23+'12. mell. Szakrendelő'!T23+'13. mell. GAMESZ'!T23+'14. mell. Gyerekkuckó'!T23+'15. mell. Cinkotai H.'!T23+'16. mell. Napsugár'!T23+'17. mell. Sashalmi M.'!T23+'18. mell. Margaréta'!T23+'19.mell.Szentmihályi Játszókert'!T23+'20. mell. M. Fecskefészek'!T23+'21. mell. CMH'!T23+'22. mell. Bölcsőde'!T23+'23. mell. Terszoc.'!T23+'24. mell. Napraforgó'!T23+'25. mell. Kerületgazda'!T23+'26. mell. Őrszolgálat'!T23+'27. mell. KHEK'!T23+'28. mell. KIO'!T23</f>
        <v>2812859237</v>
      </c>
      <c r="U23" s="321">
        <f>+'9. mell. PMH'!U23+'12. mell. Szakrendelő'!U23+'13. mell. GAMESZ'!U23+'14. mell. Gyerekkuckó'!U23+'15. mell. Cinkotai H.'!U23+'16. mell. Napsugár'!U23+'17. mell. Sashalmi M.'!U23+'18. mell. Margaréta'!U23+'19.mell.Szentmihályi Játszókert'!U23+'20. mell. M. Fecskefészek'!U23+'21. mell. CMH'!U23+'22. mell. Bölcsőde'!U23+'23. mell. Terszoc.'!U23+'24. mell. Napraforgó'!U23+'25. mell. Kerületgazda'!U23+'26. mell. Őrszolgálat'!U23+'27. mell. KHEK'!U23+'28. mell. KIO'!U23</f>
        <v>2901096726</v>
      </c>
      <c r="V23" s="321">
        <f>+'9. mell. PMH'!V23+'12. mell. Szakrendelő'!V23+'13. mell. GAMESZ'!V23+'14. mell. Gyerekkuckó'!V23+'15. mell. Cinkotai H.'!V23+'16. mell. Napsugár'!V23+'17. mell. Sashalmi M.'!V23+'18. mell. Margaréta'!V23+'19.mell.Szentmihályi Játszókert'!V23+'20. mell. M. Fecskefészek'!V23+'21. mell. CMH'!V23+'22. mell. Bölcsőde'!V23+'23. mell. Terszoc.'!V23+'24. mell. Napraforgó'!V23+'25. mell. Kerületgazda'!V23+'26. mell. Őrszolgálat'!V23+'27. mell. KHEK'!V23+'28. mell. KIO'!V23</f>
        <v>2901096726</v>
      </c>
      <c r="W23" s="321">
        <f>+'9. mell. PMH'!W23+'12. mell. Szakrendelő'!W23+'13. mell. GAMESZ'!W23+'14. mell. Gyerekkuckó'!W23+'15. mell. Cinkotai H.'!W23+'16. mell. Napsugár'!W23+'17. mell. Sashalmi M.'!W23+'18. mell. Margaréta'!W23+'19.mell.Szentmihályi Játszókert'!W23+'20. mell. M. Fecskefészek'!W23+'21. mell. CMH'!W23+'22. mell. Bölcsőde'!W23+'23. mell. Terszoc.'!W23+'24. mell. Napraforgó'!W23+'25. mell. Kerületgazda'!W23+'26. mell. Őrszolgálat'!W23+'27. mell. KHEK'!W23+'28. mell. KIO'!W23</f>
        <v>2901096726</v>
      </c>
      <c r="X23" s="321">
        <f>+'9. mell. PMH'!X23+'12. mell. Szakrendelő'!X23+'13. mell. GAMESZ'!X23+'14. mell. Gyerekkuckó'!X23+'15. mell. Cinkotai H.'!X23+'16. mell. Napsugár'!X23+'17. mell. Sashalmi M.'!X23+'18. mell. Margaréta'!X23+'19.mell.Szentmihályi Játszókert'!X23+'20. mell. M. Fecskefészek'!X23+'21. mell. CMH'!X23+'22. mell. Bölcsőde'!X23+'23. mell. Terszoc.'!X23+'24. mell. Napraforgó'!X23+'25. mell. Kerületgazda'!X23+'26. mell. Őrszolgálat'!X23+'27. mell. KHEK'!X23+'28. mell. KIO'!X23</f>
        <v>0</v>
      </c>
      <c r="Y23" s="321">
        <f>+'9. mell. PMH'!Y23+'12. mell. Szakrendelő'!Y23+'13. mell. GAMESZ'!Y23+'14. mell. Gyerekkuckó'!Y23+'15. mell. Cinkotai H.'!Y23+'16. mell. Napsugár'!Y23+'17. mell. Sashalmi M.'!Y23+'18. mell. Margaréta'!Y23+'19.mell.Szentmihályi Játszókert'!Y23+'20. mell. M. Fecskefészek'!Y23+'21. mell. CMH'!Y23+'22. mell. Bölcsőde'!Y23+'23. mell. Terszoc.'!Y23+'24. mell. Napraforgó'!Y23+'25. mell. Kerületgazda'!Y23+'26. mell. Őrszolgálat'!Y23+'27. mell. KHEK'!Y23+'28. mell. KIO'!Y23</f>
        <v>0</v>
      </c>
      <c r="Z23" s="321">
        <f>+'9. mell. PMH'!Z23+'12. mell. Szakrendelő'!Z23+'13. mell. GAMESZ'!Z23+'14. mell. Gyerekkuckó'!Z23+'15. mell. Cinkotai H.'!Z23+'16. mell. Napsugár'!Z23+'17. mell. Sashalmi M.'!Z23+'18. mell. Margaréta'!Z23+'19.mell.Szentmihályi Játszókert'!Z23+'20. mell. M. Fecskefészek'!Z23+'21. mell. CMH'!Z23+'22. mell. Bölcsőde'!Z23+'23. mell. Terszoc.'!Z23+'24. mell. Napraforgó'!Z23+'25. mell. Kerületgazda'!Z23+'26. mell. Őrszolgálat'!Z23+'27. mell. KHEK'!Z23+'28. mell. KIO'!Z23</f>
        <v>0</v>
      </c>
      <c r="AA23" s="321">
        <f>+'9. mell. PMH'!AA23+'12. mell. Szakrendelő'!AA23+'13. mell. GAMESZ'!AA23+'14. mell. Gyerekkuckó'!AA23+'15. mell. Cinkotai H.'!AA23+'16. mell. Napsugár'!AA23+'17. mell. Sashalmi M.'!AA23+'18. mell. Margaréta'!AA23+'19.mell.Szentmihályi Játszókert'!AA23+'20. mell. M. Fecskefészek'!AA23+'21. mell. CMH'!AA23+'22. mell. Bölcsőde'!AA23+'23. mell. Terszoc.'!AA23+'24. mell. Napraforgó'!AA23+'25. mell. Kerületgazda'!AA23+'26. mell. Őrszolgálat'!AA23+'27. mell. KHEK'!AA23+'28. mell. KIO'!AA23</f>
        <v>0</v>
      </c>
      <c r="AB23" s="321">
        <f>+'9. mell. PMH'!AB23+'12. mell. Szakrendelő'!AB23+'13. mell. GAMESZ'!AB23+'14. mell. Gyerekkuckó'!AB23+'15. mell. Cinkotai H.'!AB23+'16. mell. Napsugár'!AB23+'17. mell. Sashalmi M.'!AB23+'18. mell. Margaréta'!AB23+'19.mell.Szentmihályi Játszókert'!AB23+'20. mell. M. Fecskefészek'!AB23+'21. mell. CMH'!AB23+'22. mell. Bölcsőde'!AB23+'23. mell. Terszoc.'!AB23+'24. mell. Napraforgó'!AB23+'25. mell. Kerületgazda'!AB23+'26. mell. Őrszolgálat'!AB23+'27. mell. KHEK'!AB23+'28. mell. KIO'!AB23</f>
        <v>0</v>
      </c>
      <c r="AC23" s="321">
        <f>+'9. mell. PMH'!AC23+'12. mell. Szakrendelő'!AC23+'13. mell. GAMESZ'!AC23+'14. mell. Gyerekkuckó'!AC23+'15. mell. Cinkotai H.'!AC23+'16. mell. Napsugár'!AC23+'17. mell. Sashalmi M.'!AC23+'18. mell. Margaréta'!AC23+'19.mell.Szentmihályi Játszókert'!AC23+'20. mell. M. Fecskefészek'!AC23+'21. mell. CMH'!AC23+'22. mell. Bölcsőde'!AC23+'23. mell. Terszoc.'!AC23+'24. mell. Napraforgó'!AC23+'25. mell. Kerületgazda'!AC23+'26. mell. Őrszolgálat'!AC23+'27. mell. KHEK'!AC23+'28. mell. KIO'!AC23</f>
        <v>0</v>
      </c>
      <c r="AD23" s="323"/>
      <c r="AE23" s="321">
        <f t="shared" si="0"/>
        <v>7405584</v>
      </c>
      <c r="AF23" s="321">
        <f t="shared" si="1"/>
        <v>0</v>
      </c>
      <c r="AG23" s="321">
        <f t="shared" si="2"/>
        <v>88443708</v>
      </c>
      <c r="AH23" s="321">
        <f t="shared" si="3"/>
        <v>0</v>
      </c>
      <c r="AI23" s="324">
        <f>+K23/I23</f>
        <v>1</v>
      </c>
      <c r="AJ23" s="321">
        <f t="shared" si="4"/>
        <v>12180578</v>
      </c>
      <c r="AK23" s="325">
        <f>+F23-'9. mell. PMH'!F23-'12. mell. Szakrendelő'!F23-'25. mell. Kerületgazda'!F23-'28. mell. KIO'!F23</f>
        <v>110267785</v>
      </c>
      <c r="AL23" s="325">
        <f>+G23-'9. mell. PMH'!G23-'12. mell. Szakrendelő'!G23-'25. mell. Kerületgazda'!G23-'28. mell. KIO'!G23</f>
        <v>113462785</v>
      </c>
      <c r="AM23" s="325">
        <f>+H23-'9. mell. PMH'!H23-'12. mell. Szakrendelő'!H23-'25. mell. Kerületgazda'!H23-'28. mell. KIO'!H23</f>
        <v>113462785</v>
      </c>
      <c r="AN23" s="325">
        <f>+I23-'9. mell. PMH'!I23-'12. mell. Szakrendelő'!I23-'25. mell. Kerületgazda'!I23-'28. mell. KIO'!I23</f>
        <v>116619004</v>
      </c>
      <c r="AO23" s="325">
        <f>+J23-'9. mell. PMH'!J23-'12. mell. Szakrendelő'!J23-'25. mell. Kerületgazda'!J23-'28. mell. KIO'!J23</f>
        <v>116619004</v>
      </c>
      <c r="AP23" s="325">
        <f>+K23-'9. mell. PMH'!K23-'12. mell. Szakrendelő'!K23-'25. mell. Kerületgazda'!K23-'28. mell. KIO'!K23</f>
        <v>116619004</v>
      </c>
      <c r="AQ23" s="1195">
        <f t="shared" si="5"/>
        <v>3195000</v>
      </c>
      <c r="AR23" s="1593">
        <f t="shared" si="6"/>
        <v>0</v>
      </c>
      <c r="AS23" s="1195">
        <f t="shared" si="7"/>
        <v>3156219</v>
      </c>
      <c r="AT23" s="2647">
        <v>2933323576</v>
      </c>
      <c r="AU23" s="1593">
        <f t="shared" si="8"/>
        <v>0</v>
      </c>
    </row>
    <row r="24" spans="1:47" s="326" customFormat="1" ht="15" customHeight="1" thickBot="1">
      <c r="A24" s="319"/>
      <c r="B24" s="330" t="s">
        <v>198</v>
      </c>
      <c r="C24" s="334" t="s">
        <v>186</v>
      </c>
      <c r="D24" s="321">
        <f>+'9. mell. PMH'!D24+'12. mell. Szakrendelő'!D24+'13. mell. GAMESZ'!D24+'14. mell. Gyerekkuckó'!D24+'15. mell. Cinkotai H.'!D24+'16. mell. Napsugár'!D24+'17. mell. Sashalmi M.'!D24+'18. mell. Margaréta'!D24+'19.mell.Szentmihályi Játszókert'!D24+'20. mell. M. Fecskefészek'!D24+'21. mell. CMH'!D24+'22. mell. Bölcsőde'!D24+'23. mell. Terszoc.'!D24+'24. mell. Napraforgó'!D24+'25. mell. Kerületgazda'!D24+'26. mell. Őrszolgálat'!D24+'27. mell. KHEK'!D24+'28. mell. KIO'!D24</f>
        <v>0</v>
      </c>
      <c r="E24" s="2587">
        <f>+'9. mell. PMH'!E24+'12. mell. Szakrendelő'!E24+'13. mell. GAMESZ'!E24+'14. mell. Gyerekkuckó'!E24+'15. mell. Cinkotai H.'!E24+'16. mell. Napsugár'!E24+'17. mell. Sashalmi M.'!E24+'18. mell. Margaréta'!E24+'19.mell.Szentmihályi Játszókert'!E24+'20. mell. M. Fecskefészek'!E24+'21. mell. CMH'!E24+'22. mell. Bölcsőde'!E24+'23. mell. Terszoc.'!E24+'24. mell. Napraforgó'!E24+'25. mell. Kerületgazda'!E24+'26. mell. Őrszolgálat'!E24+'27. mell. KHEK'!E24+'28. mell. KIO'!E24</f>
        <v>0</v>
      </c>
      <c r="F24" s="321">
        <f>+'9. mell. PMH'!F24+'12. mell. Szakrendelő'!F24+'13. mell. GAMESZ'!F24+'14. mell. Gyerekkuckó'!F24+'15. mell. Cinkotai H.'!F24+'16. mell. Napsugár'!F24+'17. mell. Sashalmi M.'!F24+'18. mell. Margaréta'!F24+'19.mell.Szentmihályi Játszókert'!F24+'20. mell. M. Fecskefészek'!F24+'21. mell. CMH'!F24+'22. mell. Bölcsőde'!F24+'23. mell. Terszoc.'!F24+'24. mell. Napraforgó'!F24+'25. mell. Kerületgazda'!F24+'26. mell. Őrszolgálat'!F24+'27. mell. KHEK'!F24+'28. mell. KIO'!F24</f>
        <v>0</v>
      </c>
      <c r="G24" s="321">
        <f>+'9. mell. PMH'!G24+'12. mell. Szakrendelő'!G24+'13. mell. GAMESZ'!G24+'14. mell. Gyerekkuckó'!G24+'15. mell. Cinkotai H.'!G24+'16. mell. Napsugár'!G24+'17. mell. Sashalmi M.'!G24+'18. mell. Margaréta'!G24+'19.mell.Szentmihályi Játszókert'!G24+'20. mell. M. Fecskefészek'!G24+'21. mell. CMH'!G24+'22. mell. Bölcsőde'!G24+'23. mell. Terszoc.'!G24+'24. mell. Napraforgó'!G24+'25. mell. Kerületgazda'!G24+'26. mell. Őrszolgálat'!G24+'27. mell. KHEK'!G24+'28. mell. KIO'!G24</f>
        <v>0</v>
      </c>
      <c r="H24" s="321">
        <f>+'9. mell. PMH'!H24+'12. mell. Szakrendelő'!H24+'13. mell. GAMESZ'!H24+'14. mell. Gyerekkuckó'!H24+'15. mell. Cinkotai H.'!H24+'16. mell. Napsugár'!H24+'17. mell. Sashalmi M.'!H24+'18. mell. Margaréta'!H24+'19.mell.Szentmihályi Játszókert'!H24+'20. mell. M. Fecskefészek'!H24+'21. mell. CMH'!H24+'22. mell. Bölcsőde'!H24+'23. mell. Terszoc.'!H24+'24. mell. Napraforgó'!H24+'25. mell. Kerületgazda'!H24+'26. mell. Őrszolgálat'!H24+'27. mell. KHEK'!H24+'28. mell. KIO'!H24</f>
        <v>0</v>
      </c>
      <c r="I24" s="321">
        <f>+'9. mell. PMH'!I24+'12. mell. Szakrendelő'!I24+'13. mell. GAMESZ'!I24+'14. mell. Gyerekkuckó'!I24+'15. mell. Cinkotai H.'!I24+'16. mell. Napsugár'!I24+'17. mell. Sashalmi M.'!I24+'18. mell. Margaréta'!I24+'19.mell.Szentmihályi Játszókert'!I24+'20. mell. M. Fecskefészek'!I24+'21. mell. CMH'!I24+'22. mell. Bölcsőde'!I24+'23. mell. Terszoc.'!I24+'24. mell. Napraforgó'!I24+'25. mell. Kerületgazda'!I24+'26. mell. Őrszolgálat'!I24+'27. mell. KHEK'!I24+'28. mell. KIO'!I24</f>
        <v>0</v>
      </c>
      <c r="J24" s="321">
        <f>+'9. mell. PMH'!J24+'12. mell. Szakrendelő'!J24+'13. mell. GAMESZ'!J24+'14. mell. Gyerekkuckó'!J24+'15. mell. Cinkotai H.'!J24+'16. mell. Napsugár'!J24+'17. mell. Sashalmi M.'!J24+'18. mell. Margaréta'!J24+'19.mell.Szentmihályi Játszókert'!J24+'20. mell. M. Fecskefészek'!J24+'21. mell. CMH'!J24+'22. mell. Bölcsőde'!J24+'23. mell. Terszoc.'!J24+'24. mell. Napraforgó'!J24+'25. mell. Kerületgazda'!J24+'26. mell. Őrszolgálat'!J24+'27. mell. KHEK'!J24+'28. mell. KIO'!J24</f>
        <v>0</v>
      </c>
      <c r="K24" s="2197">
        <f>+'9. mell. PMH'!K24+'12. mell. Szakrendelő'!K24+'13. mell. GAMESZ'!K24+'14. mell. Gyerekkuckó'!K24+'15. mell. Cinkotai H.'!K24+'16. mell. Napsugár'!K24+'17. mell. Sashalmi M.'!K24+'18. mell. Margaréta'!K24+'19.mell.Szentmihályi Játszókert'!K24+'20. mell. M. Fecskefészek'!K24+'21. mell. CMH'!K24+'22. mell. Bölcsőde'!K24+'23. mell. Terszoc.'!K24+'24. mell. Napraforgó'!K24+'25. mell. Kerületgazda'!K24+'26. mell. Őrszolgálat'!K24+'27. mell. KHEK'!K24+'28. mell. KIO'!K24</f>
        <v>0</v>
      </c>
      <c r="L24" s="321">
        <f>+'9. mell. PMH'!L24+'12. mell. Szakrendelő'!L24+'13. mell. GAMESZ'!L24+'14. mell. Gyerekkuckó'!L24+'15. mell. Cinkotai H.'!L24+'16. mell. Napsugár'!L24+'17. mell. Sashalmi M.'!L24+'18. mell. Margaréta'!L24+'19.mell.Szentmihályi Játszókert'!L24+'20. mell. M. Fecskefészek'!L24+'21. mell. CMH'!L24+'22. mell. Bölcsőde'!L24+'23. mell. Terszoc.'!L24+'24. mell. Napraforgó'!L24+'25. mell. Kerületgazda'!L24+'26. mell. Őrszolgálat'!L24+'27. mell. KHEK'!L24+'28. mell. KIO'!L24</f>
        <v>0</v>
      </c>
      <c r="M24" s="321">
        <f>+'9. mell. PMH'!M24+'12. mell. Szakrendelő'!M24+'13. mell. GAMESZ'!M24+'14. mell. Gyerekkuckó'!M24+'15. mell. Cinkotai H.'!M24+'16. mell. Napsugár'!M24+'17. mell. Sashalmi M.'!M24+'18. mell. Margaréta'!M24+'19.mell.Szentmihályi Játszókert'!M24+'20. mell. M. Fecskefészek'!M24+'21. mell. CMH'!M24+'22. mell. Bölcsőde'!M24+'23. mell. Terszoc.'!M24+'24. mell. Napraforgó'!M24+'25. mell. Kerületgazda'!M24+'26. mell. Őrszolgálat'!M24+'27. mell. KHEK'!M24+'28. mell. KIO'!M24</f>
        <v>0</v>
      </c>
      <c r="N24" s="321">
        <f>+'9. mell. PMH'!N24+'12. mell. Szakrendelő'!N24+'13. mell. GAMESZ'!N24+'14. mell. Gyerekkuckó'!N24+'15. mell. Cinkotai H.'!N24+'16. mell. Napsugár'!N24+'17. mell. Sashalmi M.'!N24+'18. mell. Margaréta'!N24+'19.mell.Szentmihályi Játszókert'!N24+'20. mell. M. Fecskefészek'!N24+'21. mell. CMH'!N24+'22. mell. Bölcsőde'!N24+'23. mell. Terszoc.'!N24+'24. mell. Napraforgó'!N24+'25. mell. Kerületgazda'!N24+'26. mell. Őrszolgálat'!N24+'27. mell. KHEK'!N24+'28. mell. KIO'!N24</f>
        <v>0</v>
      </c>
      <c r="O24" s="321">
        <f>+'9. mell. PMH'!O24+'12. mell. Szakrendelő'!O24+'13. mell. GAMESZ'!O24+'14. mell. Gyerekkuckó'!O24+'15. mell. Cinkotai H.'!O24+'16. mell. Napsugár'!O24+'17. mell. Sashalmi M.'!O24+'18. mell. Margaréta'!O24+'19.mell.Szentmihályi Játszókert'!O24+'20. mell. M. Fecskefészek'!O24+'21. mell. CMH'!O24+'22. mell. Bölcsőde'!O24+'23. mell. Terszoc.'!O24+'24. mell. Napraforgó'!O24+'25. mell. Kerületgazda'!O24+'26. mell. Őrszolgálat'!O24+'27. mell. KHEK'!O24+'28. mell. KIO'!O24</f>
        <v>0</v>
      </c>
      <c r="P24" s="321">
        <f>+'9. mell. PMH'!P24+'12. mell. Szakrendelő'!P24+'13. mell. GAMESZ'!P24+'14. mell. Gyerekkuckó'!P24+'15. mell. Cinkotai H.'!P24+'16. mell. Napsugár'!P24+'17. mell. Sashalmi M.'!P24+'18. mell. Margaréta'!P24+'19.mell.Szentmihályi Játszókert'!P24+'20. mell. M. Fecskefészek'!P24+'21. mell. CMH'!P24+'22. mell. Bölcsőde'!P24+'23. mell. Terszoc.'!P24+'24. mell. Napraforgó'!P24+'25. mell. Kerületgazda'!P24+'26. mell. Őrszolgálat'!P24+'27. mell. KHEK'!P24+'28. mell. KIO'!P24</f>
        <v>0</v>
      </c>
      <c r="Q24" s="321">
        <f>+'9. mell. PMH'!Q24+'12. mell. Szakrendelő'!Q24+'13. mell. GAMESZ'!Q24+'14. mell. Gyerekkuckó'!Q24+'15. mell. Cinkotai H.'!Q24+'16. mell. Napsugár'!Q24+'17. mell. Sashalmi M.'!Q24+'18. mell. Margaréta'!Q24+'19.mell.Szentmihályi Játszókert'!Q24+'20. mell. M. Fecskefészek'!Q24+'21. mell. CMH'!Q24+'22. mell. Bölcsőde'!Q24+'23. mell. Terszoc.'!Q24+'24. mell. Napraforgó'!Q24+'25. mell. Kerületgazda'!Q24+'26. mell. Őrszolgálat'!Q24+'27. mell. KHEK'!Q24+'28. mell. KIO'!Q24</f>
        <v>0</v>
      </c>
      <c r="R24" s="321">
        <f>+'9. mell. PMH'!R24+'12. mell. Szakrendelő'!R24+'13. mell. GAMESZ'!R24+'14. mell. Gyerekkuckó'!R24+'15. mell. Cinkotai H.'!R24+'16. mell. Napsugár'!R24+'17. mell. Sashalmi M.'!R24+'18. mell. Margaréta'!R24+'19.mell.Szentmihályi Játszókert'!R24+'20. mell. M. Fecskefészek'!R24+'21. mell. CMH'!R24+'22. mell. Bölcsőde'!R24+'23. mell. Terszoc.'!R24+'24. mell. Napraforgó'!R24+'25. mell. Kerületgazda'!R24+'26. mell. Őrszolgálat'!R24+'27. mell. KHEK'!R24+'28. mell. KIO'!R24</f>
        <v>0</v>
      </c>
      <c r="S24" s="321">
        <f>+'9. mell. PMH'!S24+'12. mell. Szakrendelő'!S24+'13. mell. GAMESZ'!S24+'14. mell. Gyerekkuckó'!S24+'15. mell. Cinkotai H.'!S24+'16. mell. Napsugár'!S24+'17. mell. Sashalmi M.'!S24+'18. mell. Margaréta'!S24+'19.mell.Szentmihályi Játszókert'!S24+'20. mell. M. Fecskefészek'!S24+'21. mell. CMH'!S24+'22. mell. Bölcsőde'!S24+'23. mell. Terszoc.'!S24+'24. mell. Napraforgó'!S24+'25. mell. Kerületgazda'!S24+'26. mell. Őrszolgálat'!S24+'27. mell. KHEK'!S24+'28. mell. KIO'!S24</f>
        <v>0</v>
      </c>
      <c r="T24" s="321">
        <f>+'9. mell. PMH'!T24+'12. mell. Szakrendelő'!T24+'13. mell. GAMESZ'!T24+'14. mell. Gyerekkuckó'!T24+'15. mell. Cinkotai H.'!T24+'16. mell. Napsugár'!T24+'17. mell. Sashalmi M.'!T24+'18. mell. Margaréta'!T24+'19.mell.Szentmihályi Játszókert'!T24+'20. mell. M. Fecskefészek'!T24+'21. mell. CMH'!T24+'22. mell. Bölcsőde'!T24+'23. mell. Terszoc.'!T24+'24. mell. Napraforgó'!T24+'25. mell. Kerületgazda'!T24+'26. mell. Őrszolgálat'!T24+'27. mell. KHEK'!T24+'28. mell. KIO'!T24</f>
        <v>0</v>
      </c>
      <c r="U24" s="321">
        <f>+'9. mell. PMH'!U24+'12. mell. Szakrendelő'!U24+'13. mell. GAMESZ'!U24+'14. mell. Gyerekkuckó'!U24+'15. mell. Cinkotai H.'!U24+'16. mell. Napsugár'!U24+'17. mell. Sashalmi M.'!U24+'18. mell. Margaréta'!U24+'19.mell.Szentmihályi Játszókert'!U24+'20. mell. M. Fecskefészek'!U24+'21. mell. CMH'!U24+'22. mell. Bölcsőde'!U24+'23. mell. Terszoc.'!U24+'24. mell. Napraforgó'!U24+'25. mell. Kerületgazda'!U24+'26. mell. Őrszolgálat'!U24+'27. mell. KHEK'!U24+'28. mell. KIO'!U24</f>
        <v>0</v>
      </c>
      <c r="V24" s="321">
        <f>+'9. mell. PMH'!V24+'12. mell. Szakrendelő'!V24+'13. mell. GAMESZ'!V24+'14. mell. Gyerekkuckó'!V24+'15. mell. Cinkotai H.'!V24+'16. mell. Napsugár'!V24+'17. mell. Sashalmi M.'!V24+'18. mell. Margaréta'!V24+'19.mell.Szentmihályi Játszókert'!V24+'20. mell. M. Fecskefészek'!V24+'21. mell. CMH'!V24+'22. mell. Bölcsőde'!V24+'23. mell. Terszoc.'!V24+'24. mell. Napraforgó'!V24+'25. mell. Kerületgazda'!V24+'26. mell. Őrszolgálat'!V24+'27. mell. KHEK'!V24+'28. mell. KIO'!V24</f>
        <v>0</v>
      </c>
      <c r="W24" s="321">
        <f>+'9. mell. PMH'!W24+'12. mell. Szakrendelő'!W24+'13. mell. GAMESZ'!W24+'14. mell. Gyerekkuckó'!W24+'15. mell. Cinkotai H.'!W24+'16. mell. Napsugár'!W24+'17. mell. Sashalmi M.'!W24+'18. mell. Margaréta'!W24+'19.mell.Szentmihályi Játszókert'!W24+'20. mell. M. Fecskefészek'!W24+'21. mell. CMH'!W24+'22. mell. Bölcsőde'!W24+'23. mell. Terszoc.'!W24+'24. mell. Napraforgó'!W24+'25. mell. Kerületgazda'!W24+'26. mell. Őrszolgálat'!W24+'27. mell. KHEK'!W24+'28. mell. KIO'!W24</f>
        <v>0</v>
      </c>
      <c r="X24" s="321">
        <f>+'9. mell. PMH'!X24+'12. mell. Szakrendelő'!X24+'13. mell. GAMESZ'!X24+'14. mell. Gyerekkuckó'!X24+'15. mell. Cinkotai H.'!X24+'16. mell. Napsugár'!X24+'17. mell. Sashalmi M.'!X24+'18. mell. Margaréta'!X24+'19.mell.Szentmihályi Játszókert'!X24+'20. mell. M. Fecskefészek'!X24+'21. mell. CMH'!X24+'22. mell. Bölcsőde'!X24+'23. mell. Terszoc.'!X24+'24. mell. Napraforgó'!X24+'25. mell. Kerületgazda'!X24+'26. mell. Őrszolgálat'!X24+'27. mell. KHEK'!X24+'28. mell. KIO'!X24</f>
        <v>0</v>
      </c>
      <c r="Y24" s="321">
        <f>+'9. mell. PMH'!Y24+'12. mell. Szakrendelő'!Y24+'13. mell. GAMESZ'!Y24+'14. mell. Gyerekkuckó'!Y24+'15. mell. Cinkotai H.'!Y24+'16. mell. Napsugár'!Y24+'17. mell. Sashalmi M.'!Y24+'18. mell. Margaréta'!Y24+'19.mell.Szentmihályi Játszókert'!Y24+'20. mell. M. Fecskefészek'!Y24+'21. mell. CMH'!Y24+'22. mell. Bölcsőde'!Y24+'23. mell. Terszoc.'!Y24+'24. mell. Napraforgó'!Y24+'25. mell. Kerületgazda'!Y24+'26. mell. Őrszolgálat'!Y24+'27. mell. KHEK'!Y24+'28. mell. KIO'!Y24</f>
        <v>0</v>
      </c>
      <c r="Z24" s="321">
        <f>+'9. mell. PMH'!Z24+'12. mell. Szakrendelő'!Z24+'13. mell. GAMESZ'!Z24+'14. mell. Gyerekkuckó'!Z24+'15. mell. Cinkotai H.'!Z24+'16. mell. Napsugár'!Z24+'17. mell. Sashalmi M.'!Z24+'18. mell. Margaréta'!Z24+'19.mell.Szentmihályi Játszókert'!Z24+'20. mell. M. Fecskefészek'!Z24+'21. mell. CMH'!Z24+'22. mell. Bölcsőde'!Z24+'23. mell. Terszoc.'!Z24+'24. mell. Napraforgó'!Z24+'25. mell. Kerületgazda'!Z24+'26. mell. Őrszolgálat'!Z24+'27. mell. KHEK'!Z24+'28. mell. KIO'!Z24</f>
        <v>0</v>
      </c>
      <c r="AA24" s="321">
        <f>+'9. mell. PMH'!AA24+'12. mell. Szakrendelő'!AA24+'13. mell. GAMESZ'!AA24+'14. mell. Gyerekkuckó'!AA24+'15. mell. Cinkotai H.'!AA24+'16. mell. Napsugár'!AA24+'17. mell. Sashalmi M.'!AA24+'18. mell. Margaréta'!AA24+'19.mell.Szentmihályi Játszókert'!AA24+'20. mell. M. Fecskefészek'!AA24+'21. mell. CMH'!AA24+'22. mell. Bölcsőde'!AA24+'23. mell. Terszoc.'!AA24+'24. mell. Napraforgó'!AA24+'25. mell. Kerületgazda'!AA24+'26. mell. Őrszolgálat'!AA24+'27. mell. KHEK'!AA24+'28. mell. KIO'!AA24</f>
        <v>0</v>
      </c>
      <c r="AB24" s="321">
        <f>+'9. mell. PMH'!AB24+'12. mell. Szakrendelő'!AB24+'13. mell. GAMESZ'!AB24+'14. mell. Gyerekkuckó'!AB24+'15. mell. Cinkotai H.'!AB24+'16. mell. Napsugár'!AB24+'17. mell. Sashalmi M.'!AB24+'18. mell. Margaréta'!AB24+'19.mell.Szentmihályi Játszókert'!AB24+'20. mell. M. Fecskefészek'!AB24+'21. mell. CMH'!AB24+'22. mell. Bölcsőde'!AB24+'23. mell. Terszoc.'!AB24+'24. mell. Napraforgó'!AB24+'25. mell. Kerületgazda'!AB24+'26. mell. Őrszolgálat'!AB24+'27. mell. KHEK'!AB24+'28. mell. KIO'!AB24</f>
        <v>0</v>
      </c>
      <c r="AC24" s="321">
        <f>+'9. mell. PMH'!AC24+'12. mell. Szakrendelő'!AC24+'13. mell. GAMESZ'!AC24+'14. mell. Gyerekkuckó'!AC24+'15. mell. Cinkotai H.'!AC24+'16. mell. Napsugár'!AC24+'17. mell. Sashalmi M.'!AC24+'18. mell. Margaréta'!AC24+'19.mell.Szentmihályi Játszókert'!AC24+'20. mell. M. Fecskefészek'!AC24+'21. mell. CMH'!AC24+'22. mell. Bölcsőde'!AC24+'23. mell. Terszoc.'!AC24+'24. mell. Napraforgó'!AC24+'25. mell. Kerületgazda'!AC24+'26. mell. Őrszolgálat'!AC24+'27. mell. KHEK'!AC24+'28. mell. KIO'!AC24</f>
        <v>0</v>
      </c>
      <c r="AD24" s="323"/>
      <c r="AE24" s="321">
        <f t="shared" si="0"/>
        <v>0</v>
      </c>
      <c r="AF24" s="321">
        <f t="shared" si="1"/>
        <v>0</v>
      </c>
      <c r="AG24" s="321">
        <f t="shared" si="2"/>
        <v>0</v>
      </c>
      <c r="AH24" s="321">
        <f t="shared" si="3"/>
        <v>0</v>
      </c>
      <c r="AI24" s="324"/>
      <c r="AJ24" s="321">
        <f t="shared" si="4"/>
        <v>0</v>
      </c>
      <c r="AK24" s="325">
        <f>+F24-'9. mell. PMH'!F24-'12. mell. Szakrendelő'!F24-'25. mell. Kerületgazda'!F24-'28. mell. KIO'!F24</f>
        <v>0</v>
      </c>
      <c r="AL24" s="325">
        <f>+G24-'9. mell. PMH'!G24-'12. mell. Szakrendelő'!G24-'25. mell. Kerületgazda'!G24-'28. mell. KIO'!G24</f>
        <v>0</v>
      </c>
      <c r="AM24" s="325">
        <f>+H24-'9. mell. PMH'!H24-'12. mell. Szakrendelő'!H24-'25. mell. Kerületgazda'!H24-'28. mell. KIO'!H24</f>
        <v>0</v>
      </c>
      <c r="AN24" s="325">
        <f>+I24-'9. mell. PMH'!I24-'12. mell. Szakrendelő'!I24-'25. mell. Kerületgazda'!I24-'28. mell. KIO'!I24</f>
        <v>0</v>
      </c>
      <c r="AO24" s="325">
        <f>+J24-'9. mell. PMH'!J24-'12. mell. Szakrendelő'!J24-'25. mell. Kerületgazda'!J24-'28. mell. KIO'!J24</f>
        <v>0</v>
      </c>
      <c r="AP24" s="325">
        <f>+K24-'9. mell. PMH'!K24-'12. mell. Szakrendelő'!K24-'25. mell. Kerületgazda'!K24-'28. mell. KIO'!K24</f>
        <v>0</v>
      </c>
      <c r="AQ24" s="1195">
        <f t="shared" si="5"/>
        <v>0</v>
      </c>
      <c r="AR24" s="1593">
        <f t="shared" si="6"/>
        <v>0</v>
      </c>
      <c r="AS24" s="1195">
        <f t="shared" si="7"/>
        <v>0</v>
      </c>
      <c r="AT24" s="2647">
        <v>0</v>
      </c>
      <c r="AU24" s="1593">
        <f t="shared" si="8"/>
        <v>0</v>
      </c>
    </row>
    <row r="25" spans="1:47" s="332" customFormat="1" ht="12" customHeight="1" thickBot="1">
      <c r="A25" s="313"/>
      <c r="B25" s="330" t="s">
        <v>200</v>
      </c>
      <c r="C25" s="328" t="s">
        <v>148</v>
      </c>
      <c r="D25" s="321">
        <f>+'9. mell. PMH'!D25+'12. mell. Szakrendelő'!D25+'13. mell. GAMESZ'!D25+'14. mell. Gyerekkuckó'!D25+'15. mell. Cinkotai H.'!D25+'16. mell. Napsugár'!D25+'17. mell. Sashalmi M.'!D25+'18. mell. Margaréta'!D25+'19.mell.Szentmihályi Játszókert'!D25+'20. mell. M. Fecskefészek'!D25+'21. mell. CMH'!D25+'22. mell. Bölcsőde'!D25+'23. mell. Terszoc.'!D25+'24. mell. Napraforgó'!D25+'25. mell. Kerületgazda'!D25+'26. mell. Őrszolgálat'!D25+'27. mell. KHEK'!D25+'28. mell. KIO'!D25</f>
        <v>2903540860</v>
      </c>
      <c r="E25" s="2587">
        <f>+'9. mell. PMH'!E25+'12. mell. Szakrendelő'!E25+'13. mell. GAMESZ'!E25+'14. mell. Gyerekkuckó'!E25+'15. mell. Cinkotai H.'!E25+'16. mell. Napsugár'!E25+'17. mell. Sashalmi M.'!E25+'18. mell. Margaréta'!E25+'19.mell.Szentmihályi Játszókert'!E25+'20. mell. M. Fecskefészek'!E25+'21. mell. CMH'!E25+'22. mell. Bölcsőde'!E25+'23. mell. Terszoc.'!E25+'24. mell. Napraforgó'!E25+'25. mell. Kerületgazda'!E25+'26. mell. Őrszolgálat'!E25+'27. mell. KHEK'!E25+'28. mell. KIO'!E25</f>
        <v>2933323576</v>
      </c>
      <c r="F25" s="321">
        <f>+'9. mell. PMH'!F25+'12. mell. Szakrendelő'!F25+'13. mell. GAMESZ'!F25+'14. mell. Gyerekkuckó'!F25+'15. mell. Cinkotai H.'!F25+'16. mell. Napsugár'!F25+'17. mell. Sashalmi M.'!F25+'18. mell. Margaréta'!F25+'19.mell.Szentmihályi Játszókert'!F25+'20. mell. M. Fecskefészek'!F25+'21. mell. CMH'!F25+'22. mell. Bölcsőde'!F25+'23. mell. Terszoc.'!F25+'24. mell. Napraforgó'!F25+'25. mell. Kerületgazda'!F25+'26. mell. Őrszolgálat'!F25+'27. mell. KHEK'!F25+'28. mell. KIO'!F25</f>
        <v>2915721438</v>
      </c>
      <c r="G25" s="321">
        <f>+'9. mell. PMH'!G25+'12. mell. Szakrendelő'!G25+'13. mell. GAMESZ'!G25+'14. mell. Gyerekkuckó'!G25+'15. mell. Cinkotai H.'!G25+'16. mell. Napsugár'!G25+'17. mell. Sashalmi M.'!G25+'18. mell. Margaréta'!G25+'19.mell.Szentmihályi Játszókert'!G25+'20. mell. M. Fecskefészek'!G25+'21. mell. CMH'!G25+'22. mell. Bölcsőde'!G25+'23. mell. Terszoc.'!G25+'24. mell. Napraforgó'!G25+'25. mell. Kerületgazda'!G25+'26. mell. Őrszolgálat'!G25+'27. mell. KHEK'!G25+'28. mell. KIO'!G25</f>
        <v>2923127022</v>
      </c>
      <c r="H25" s="321">
        <f>+'9. mell. PMH'!H25+'12. mell. Szakrendelő'!H25+'13. mell. GAMESZ'!H25+'14. mell. Gyerekkuckó'!H25+'15. mell. Cinkotai H.'!H25+'16. mell. Napsugár'!H25+'17. mell. Sashalmi M.'!H25+'18. mell. Margaréta'!H25+'19.mell.Szentmihályi Játszókert'!H25+'20. mell. M. Fecskefészek'!H25+'21. mell. CMH'!H25+'22. mell. Bölcsőde'!H25+'23. mell. Terszoc.'!H25+'24. mell. Napraforgó'!H25+'25. mell. Kerületgazda'!H25+'26. mell. Őrszolgálat'!H25+'27. mell. KHEK'!H25+'28. mell. KIO'!H25</f>
        <v>2923127022</v>
      </c>
      <c r="I25" s="321">
        <f>+'9. mell. PMH'!I25+'12. mell. Szakrendelő'!I25+'13. mell. GAMESZ'!I25+'14. mell. Gyerekkuckó'!I25+'15. mell. Cinkotai H.'!I25+'16. mell. Napsugár'!I25+'17. mell. Sashalmi M.'!I25+'18. mell. Margaréta'!I25+'19.mell.Szentmihályi Játszókert'!I25+'20. mell. M. Fecskefészek'!I25+'21. mell. CMH'!I25+'22. mell. Bölcsőde'!I25+'23. mell. Terszoc.'!I25+'24. mell. Napraforgó'!I25+'25. mell. Kerületgazda'!I25+'26. mell. Őrszolgálat'!I25+'27. mell. KHEK'!I25+'28. mell. KIO'!I25</f>
        <v>3011570730</v>
      </c>
      <c r="J25" s="321">
        <f>+'9. mell. PMH'!J25+'12. mell. Szakrendelő'!J25+'13. mell. GAMESZ'!J25+'14. mell. Gyerekkuckó'!J25+'15. mell. Cinkotai H.'!J25+'16. mell. Napsugár'!J25+'17. mell. Sashalmi M.'!J25+'18. mell. Margaréta'!J25+'19.mell.Szentmihályi Játszókert'!J25+'20. mell. M. Fecskefészek'!J25+'21. mell. CMH'!J25+'22. mell. Bölcsőde'!J25+'23. mell. Terszoc.'!J25+'24. mell. Napraforgó'!J25+'25. mell. Kerületgazda'!J25+'26. mell. Őrszolgálat'!J25+'27. mell. KHEK'!J25+'28. mell. KIO'!J25</f>
        <v>3011570730</v>
      </c>
      <c r="K25" s="2197">
        <f>+'9. mell. PMH'!K25+'12. mell. Szakrendelő'!K25+'13. mell. GAMESZ'!K25+'14. mell. Gyerekkuckó'!K25+'15. mell. Cinkotai H.'!K25+'16. mell. Napsugár'!K25+'17. mell. Sashalmi M.'!K25+'18. mell. Margaréta'!K25+'19.mell.Szentmihályi Játszókert'!K25+'20. mell. M. Fecskefészek'!K25+'21. mell. CMH'!K25+'22. mell. Bölcsőde'!K25+'23. mell. Terszoc.'!K25+'24. mell. Napraforgó'!K25+'25. mell. Kerületgazda'!K25+'26. mell. Őrszolgálat'!K25+'27. mell. KHEK'!K25+'28. mell. KIO'!K25</f>
        <v>3011570730</v>
      </c>
      <c r="L25" s="321">
        <f>+'9. mell. PMH'!L25+'12. mell. Szakrendelő'!L25+'13. mell. GAMESZ'!L25+'14. mell. Gyerekkuckó'!L25+'15. mell. Cinkotai H.'!L25+'16. mell. Napsugár'!L25+'17. mell. Sashalmi M.'!L25+'18. mell. Margaréta'!L25+'19.mell.Szentmihályi Játszókert'!L25+'20. mell. M. Fecskefészek'!L25+'21. mell. CMH'!L25+'22. mell. Bölcsőde'!L25+'23. mell. Terszoc.'!L25+'24. mell. Napraforgó'!L25+'25. mell. Kerületgazda'!L25+'26. mell. Őrszolgálat'!L25+'27. mell. KHEK'!L25+'28. mell. KIO'!L25</f>
        <v>110267785</v>
      </c>
      <c r="M25" s="321">
        <f>+'9. mell. PMH'!M25+'12. mell. Szakrendelő'!M25+'13. mell. GAMESZ'!M25+'14. mell. Gyerekkuckó'!M25+'15. mell. Cinkotai H.'!M25+'16. mell. Napsugár'!M25+'17. mell. Sashalmi M.'!M25+'18. mell. Margaréta'!M25+'19.mell.Szentmihályi Játszókert'!M25+'20. mell. M. Fecskefészek'!M25+'21. mell. CMH'!M25+'22. mell. Bölcsőde'!M25+'23. mell. Terszoc.'!M25+'24. mell. Napraforgó'!M25+'25. mell. Kerületgazda'!M25+'26. mell. Őrszolgálat'!M25+'27. mell. KHEK'!M25+'28. mell. KIO'!M25</f>
        <v>110267785</v>
      </c>
      <c r="N25" s="321">
        <f>+'9. mell. PMH'!N25+'12. mell. Szakrendelő'!N25+'13. mell. GAMESZ'!N25+'14. mell. Gyerekkuckó'!N25+'15. mell. Cinkotai H.'!N25+'16. mell. Napsugár'!N25+'17. mell. Sashalmi M.'!N25+'18. mell. Margaréta'!N25+'19.mell.Szentmihályi Játszókert'!N25+'20. mell. M. Fecskefészek'!N25+'21. mell. CMH'!N25+'22. mell. Bölcsőde'!N25+'23. mell. Terszoc.'!N25+'24. mell. Napraforgó'!N25+'25. mell. Kerületgazda'!N25+'26. mell. Őrszolgálat'!N25+'27. mell. KHEK'!N25+'28. mell. KIO'!N25</f>
        <v>110267785</v>
      </c>
      <c r="O25" s="321">
        <f>+'9. mell. PMH'!O25+'12. mell. Szakrendelő'!O25+'13. mell. GAMESZ'!O25+'14. mell. Gyerekkuckó'!O25+'15. mell. Cinkotai H.'!O25+'16. mell. Napsugár'!O25+'17. mell. Sashalmi M.'!O25+'18. mell. Margaréta'!O25+'19.mell.Szentmihályi Játszókert'!O25+'20. mell. M. Fecskefészek'!O25+'21. mell. CMH'!O25+'22. mell. Bölcsőde'!O25+'23. mell. Terszoc.'!O25+'24. mell. Napraforgó'!O25+'25. mell. Kerületgazda'!O25+'26. mell. Őrszolgálat'!O25+'27. mell. KHEK'!O25+'28. mell. KIO'!O25</f>
        <v>110474004</v>
      </c>
      <c r="P25" s="321">
        <f>+'9. mell. PMH'!P25+'12. mell. Szakrendelő'!P25+'13. mell. GAMESZ'!P25+'14. mell. Gyerekkuckó'!P25+'15. mell. Cinkotai H.'!P25+'16. mell. Napsugár'!P25+'17. mell. Sashalmi M.'!P25+'18. mell. Margaréta'!P25+'19.mell.Szentmihályi Játszókert'!P25+'20. mell. M. Fecskefészek'!P25+'21. mell. CMH'!P25+'22. mell. Bölcsőde'!P25+'23. mell. Terszoc.'!P25+'24. mell. Napraforgó'!P25+'25. mell. Kerületgazda'!P25+'26. mell. Őrszolgálat'!P25+'27. mell. KHEK'!P25+'28. mell. KIO'!P25</f>
        <v>110474004</v>
      </c>
      <c r="Q25" s="321">
        <f>+'9. mell. PMH'!Q25+'12. mell. Szakrendelő'!Q25+'13. mell. GAMESZ'!Q25+'14. mell. Gyerekkuckó'!Q25+'15. mell. Cinkotai H.'!Q25+'16. mell. Napsugár'!Q25+'17. mell. Sashalmi M.'!Q25+'18. mell. Margaréta'!Q25+'19.mell.Szentmihályi Játszókert'!Q25+'20. mell. M. Fecskefészek'!Q25+'21. mell. CMH'!Q25+'22. mell. Bölcsőde'!Q25+'23. mell. Terszoc.'!Q25+'24. mell. Napraforgó'!Q25+'25. mell. Kerületgazda'!Q25+'26. mell. Őrszolgálat'!Q25+'27. mell. KHEK'!Q25+'28. mell. KIO'!Q25</f>
        <v>110474004</v>
      </c>
      <c r="R25" s="321">
        <f>+'9. mell. PMH'!R25+'12. mell. Szakrendelő'!R25+'13. mell. GAMESZ'!R25+'14. mell. Gyerekkuckó'!R25+'15. mell. Cinkotai H.'!R25+'16. mell. Napsugár'!R25+'17. mell. Sashalmi M.'!R25+'18. mell. Margaréta'!R25+'19.mell.Szentmihályi Játszókert'!R25+'20. mell. M. Fecskefészek'!R25+'21. mell. CMH'!R25+'22. mell. Bölcsőde'!R25+'23. mell. Terszoc.'!R25+'24. mell. Napraforgó'!R25+'25. mell. Kerületgazda'!R25+'26. mell. Őrszolgálat'!R25+'27. mell. KHEK'!R25+'28. mell. KIO'!R25</f>
        <v>2805453653</v>
      </c>
      <c r="S25" s="321">
        <f>+'9. mell. PMH'!S25+'12. mell. Szakrendelő'!S25+'13. mell. GAMESZ'!S25+'14. mell. Gyerekkuckó'!S25+'15. mell. Cinkotai H.'!S25+'16. mell. Napsugár'!S25+'17. mell. Sashalmi M.'!S25+'18. mell. Margaréta'!S25+'19.mell.Szentmihályi Játszókert'!S25+'20. mell. M. Fecskefészek'!S25+'21. mell. CMH'!S25+'22. mell. Bölcsőde'!S25+'23. mell. Terszoc.'!S25+'24. mell. Napraforgó'!S25+'25. mell. Kerületgazda'!S25+'26. mell. Őrszolgálat'!S25+'27. mell. KHEK'!S25+'28. mell. KIO'!S25</f>
        <v>2812859237</v>
      </c>
      <c r="T25" s="321">
        <f>+'9. mell. PMH'!T25+'12. mell. Szakrendelő'!T25+'13. mell. GAMESZ'!T25+'14. mell. Gyerekkuckó'!T25+'15. mell. Cinkotai H.'!T25+'16. mell. Napsugár'!T25+'17. mell. Sashalmi M.'!T25+'18. mell. Margaréta'!T25+'19.mell.Szentmihályi Játszókert'!T25+'20. mell. M. Fecskefészek'!T25+'21. mell. CMH'!T25+'22. mell. Bölcsőde'!T25+'23. mell. Terszoc.'!T25+'24. mell. Napraforgó'!T25+'25. mell. Kerületgazda'!T25+'26. mell. Őrszolgálat'!T25+'27. mell. KHEK'!T25+'28. mell. KIO'!T25</f>
        <v>2812859237</v>
      </c>
      <c r="U25" s="321">
        <f>+'9. mell. PMH'!U25+'12. mell. Szakrendelő'!U25+'13. mell. GAMESZ'!U25+'14. mell. Gyerekkuckó'!U25+'15. mell. Cinkotai H.'!U25+'16. mell. Napsugár'!U25+'17. mell. Sashalmi M.'!U25+'18. mell. Margaréta'!U25+'19.mell.Szentmihályi Játszókert'!U25+'20. mell. M. Fecskefészek'!U25+'21. mell. CMH'!U25+'22. mell. Bölcsőde'!U25+'23. mell. Terszoc.'!U25+'24. mell. Napraforgó'!U25+'25. mell. Kerületgazda'!U25+'26. mell. Őrszolgálat'!U25+'27. mell. KHEK'!U25+'28. mell. KIO'!U25</f>
        <v>2901096726</v>
      </c>
      <c r="V25" s="321">
        <f>+'9. mell. PMH'!V25+'12. mell. Szakrendelő'!V25+'13. mell. GAMESZ'!V25+'14. mell. Gyerekkuckó'!V25+'15. mell. Cinkotai H.'!V25+'16. mell. Napsugár'!V25+'17. mell. Sashalmi M.'!V25+'18. mell. Margaréta'!V25+'19.mell.Szentmihályi Játszókert'!V25+'20. mell. M. Fecskefészek'!V25+'21. mell. CMH'!V25+'22. mell. Bölcsőde'!V25+'23. mell. Terszoc.'!V25+'24. mell. Napraforgó'!V25+'25. mell. Kerületgazda'!V25+'26. mell. Őrszolgálat'!V25+'27. mell. KHEK'!V25+'28. mell. KIO'!V25</f>
        <v>2901096726</v>
      </c>
      <c r="W25" s="321">
        <f>+'9. mell. PMH'!W25+'12. mell. Szakrendelő'!W25+'13. mell. GAMESZ'!W25+'14. mell. Gyerekkuckó'!W25+'15. mell. Cinkotai H.'!W25+'16. mell. Napsugár'!W25+'17. mell. Sashalmi M.'!W25+'18. mell. Margaréta'!W25+'19.mell.Szentmihályi Játszókert'!W25+'20. mell. M. Fecskefészek'!W25+'21. mell. CMH'!W25+'22. mell. Bölcsőde'!W25+'23. mell. Terszoc.'!W25+'24. mell. Napraforgó'!W25+'25. mell. Kerületgazda'!W25+'26. mell. Őrszolgálat'!W25+'27. mell. KHEK'!W25+'28. mell. KIO'!W25</f>
        <v>2901096726</v>
      </c>
      <c r="X25" s="321">
        <f>+'9. mell. PMH'!X25+'12. mell. Szakrendelő'!X25+'13. mell. GAMESZ'!X25+'14. mell. Gyerekkuckó'!X25+'15. mell. Cinkotai H.'!X25+'16. mell. Napsugár'!X25+'17. mell. Sashalmi M.'!X25+'18. mell. Margaréta'!X25+'19.mell.Szentmihályi Játszókert'!X25+'20. mell. M. Fecskefészek'!X25+'21. mell. CMH'!X25+'22. mell. Bölcsőde'!X25+'23. mell. Terszoc.'!X25+'24. mell. Napraforgó'!X25+'25. mell. Kerületgazda'!X25+'26. mell. Őrszolgálat'!X25+'27. mell. KHEK'!X25+'28. mell. KIO'!X25</f>
        <v>0</v>
      </c>
      <c r="Y25" s="321">
        <f>+'9. mell. PMH'!Y25+'12. mell. Szakrendelő'!Y25+'13. mell. GAMESZ'!Y25+'14. mell. Gyerekkuckó'!Y25+'15. mell. Cinkotai H.'!Y25+'16. mell. Napsugár'!Y25+'17. mell. Sashalmi M.'!Y25+'18. mell. Margaréta'!Y25+'19.mell.Szentmihályi Játszókert'!Y25+'20. mell. M. Fecskefészek'!Y25+'21. mell. CMH'!Y25+'22. mell. Bölcsőde'!Y25+'23. mell. Terszoc.'!Y25+'24. mell. Napraforgó'!Y25+'25. mell. Kerületgazda'!Y25+'26. mell. Őrszolgálat'!Y25+'27. mell. KHEK'!Y25+'28. mell. KIO'!Y25</f>
        <v>0</v>
      </c>
      <c r="Z25" s="321">
        <f>+'9. mell. PMH'!Z25+'12. mell. Szakrendelő'!Z25+'13. mell. GAMESZ'!Z25+'14. mell. Gyerekkuckó'!Z25+'15. mell. Cinkotai H.'!Z25+'16. mell. Napsugár'!Z25+'17. mell. Sashalmi M.'!Z25+'18. mell. Margaréta'!Z25+'19.mell.Szentmihályi Játszókert'!Z25+'20. mell. M. Fecskefészek'!Z25+'21. mell. CMH'!Z25+'22. mell. Bölcsőde'!Z25+'23. mell. Terszoc.'!Z25+'24. mell. Napraforgó'!Z25+'25. mell. Kerületgazda'!Z25+'26. mell. Őrszolgálat'!Z25+'27. mell. KHEK'!Z25+'28. mell. KIO'!Z25</f>
        <v>0</v>
      </c>
      <c r="AA25" s="321">
        <f>+'9. mell. PMH'!AA25+'12. mell. Szakrendelő'!AA25+'13. mell. GAMESZ'!AA25+'14. mell. Gyerekkuckó'!AA25+'15. mell. Cinkotai H.'!AA25+'16. mell. Napsugár'!AA25+'17. mell. Sashalmi M.'!AA25+'18. mell. Margaréta'!AA25+'19.mell.Szentmihályi Játszókert'!AA25+'20. mell. M. Fecskefészek'!AA25+'21. mell. CMH'!AA25+'22. mell. Bölcsőde'!AA25+'23. mell. Terszoc.'!AA25+'24. mell. Napraforgó'!AA25+'25. mell. Kerületgazda'!AA25+'26. mell. Őrszolgálat'!AA25+'27. mell. KHEK'!AA25+'28. mell. KIO'!AA25</f>
        <v>0</v>
      </c>
      <c r="AB25" s="321">
        <f>+'9. mell. PMH'!AB25+'12. mell. Szakrendelő'!AB25+'13. mell. GAMESZ'!AB25+'14. mell. Gyerekkuckó'!AB25+'15. mell. Cinkotai H.'!AB25+'16. mell. Napsugár'!AB25+'17. mell. Sashalmi M.'!AB25+'18. mell. Margaréta'!AB25+'19.mell.Szentmihályi Játszókert'!AB25+'20. mell. M. Fecskefészek'!AB25+'21. mell. CMH'!AB25+'22. mell. Bölcsőde'!AB25+'23. mell. Terszoc.'!AB25+'24. mell. Napraforgó'!AB25+'25. mell. Kerületgazda'!AB25+'26. mell. Őrszolgálat'!AB25+'27. mell. KHEK'!AB25+'28. mell. KIO'!AB25</f>
        <v>0</v>
      </c>
      <c r="AC25" s="321">
        <f>+'9. mell. PMH'!AC25+'12. mell. Szakrendelő'!AC25+'13. mell. GAMESZ'!AC25+'14. mell. Gyerekkuckó'!AC25+'15. mell. Cinkotai H.'!AC25+'16. mell. Napsugár'!AC25+'17. mell. Sashalmi M.'!AC25+'18. mell. Margaréta'!AC25+'19.mell.Szentmihályi Játszókert'!AC25+'20. mell. M. Fecskefészek'!AC25+'21. mell. CMH'!AC25+'22. mell. Bölcsőde'!AC25+'23. mell. Terszoc.'!AC25+'24. mell. Napraforgó'!AC25+'25. mell. Kerületgazda'!AC25+'26. mell. Őrszolgálat'!AC25+'27. mell. KHEK'!AC25+'28. mell. KIO'!AC25</f>
        <v>0</v>
      </c>
      <c r="AD25" s="333"/>
      <c r="AE25" s="321">
        <f t="shared" si="0"/>
        <v>7405584</v>
      </c>
      <c r="AF25" s="321">
        <f t="shared" si="1"/>
        <v>0</v>
      </c>
      <c r="AG25" s="321">
        <f t="shared" si="2"/>
        <v>88443708</v>
      </c>
      <c r="AH25" s="321">
        <f t="shared" si="3"/>
        <v>0</v>
      </c>
      <c r="AI25" s="324">
        <f>+K25/I25</f>
        <v>1</v>
      </c>
      <c r="AJ25" s="321">
        <f t="shared" si="4"/>
        <v>12180578</v>
      </c>
      <c r="AK25" s="325">
        <f>+F25-'9. mell. PMH'!F25-'12. mell. Szakrendelő'!F25-'25. mell. Kerületgazda'!F25-'28. mell. KIO'!F25</f>
        <v>110267785</v>
      </c>
      <c r="AL25" s="325">
        <f>+G25-'9. mell. PMH'!G25-'12. mell. Szakrendelő'!G25-'25. mell. Kerületgazda'!G25-'28. mell. KIO'!G25</f>
        <v>113462785</v>
      </c>
      <c r="AM25" s="325">
        <f>+H25-'9. mell. PMH'!H25-'12. mell. Szakrendelő'!H25-'25. mell. Kerületgazda'!H25-'28. mell. KIO'!H25</f>
        <v>113462785</v>
      </c>
      <c r="AN25" s="325">
        <f>+I25-'9. mell. PMH'!I25-'12. mell. Szakrendelő'!I25-'25. mell. Kerületgazda'!I25-'28. mell. KIO'!I25</f>
        <v>116619004</v>
      </c>
      <c r="AO25" s="325">
        <f>+J25-'9. mell. PMH'!J25-'12. mell. Szakrendelő'!J25-'25. mell. Kerületgazda'!J25-'28. mell. KIO'!J25</f>
        <v>116619004</v>
      </c>
      <c r="AP25" s="325">
        <f>+K25-'9. mell. PMH'!K25-'12. mell. Szakrendelő'!K25-'25. mell. Kerületgazda'!K25-'28. mell. KIO'!K25</f>
        <v>116619004</v>
      </c>
      <c r="AQ25" s="1195">
        <f t="shared" si="5"/>
        <v>3195000</v>
      </c>
      <c r="AR25" s="1593">
        <f t="shared" si="6"/>
        <v>0</v>
      </c>
      <c r="AS25" s="1195">
        <f t="shared" si="7"/>
        <v>3156219</v>
      </c>
      <c r="AT25" s="2647">
        <v>2933323576</v>
      </c>
      <c r="AU25" s="1593">
        <f t="shared" si="8"/>
        <v>0</v>
      </c>
    </row>
    <row r="26" spans="1:47" s="332" customFormat="1" ht="12" customHeight="1" thickBot="1">
      <c r="A26" s="313"/>
      <c r="B26" s="330" t="s">
        <v>202</v>
      </c>
      <c r="C26" s="331" t="s">
        <v>1280</v>
      </c>
      <c r="D26" s="321">
        <f>+'9. mell. PMH'!D26+'12. mell. Szakrendelő'!D26+'13. mell. GAMESZ'!D26+'14. mell. Gyerekkuckó'!D26+'15. mell. Cinkotai H.'!D26+'16. mell. Napsugár'!D26+'17. mell. Sashalmi M.'!D26+'18. mell. Margaréta'!D26+'19.mell.Szentmihályi Játszókert'!D26+'20. mell. M. Fecskefészek'!D26+'21. mell. CMH'!D26+'22. mell. Bölcsőde'!D26+'23. mell. Terszoc.'!D26+'24. mell. Napraforgó'!D26+'25. mell. Kerületgazda'!D26+'26. mell. Őrszolgálat'!D26+'27. mell. KHEK'!D26+'28. mell. KIO'!D26</f>
        <v>0</v>
      </c>
      <c r="E26" s="2587">
        <f>+'9. mell. PMH'!E26+'12. mell. Szakrendelő'!E26+'13. mell. GAMESZ'!E26+'14. mell. Gyerekkuckó'!E26+'15. mell. Cinkotai H.'!E26+'16. mell. Napsugár'!E26+'17. mell. Sashalmi M.'!E26+'18. mell. Margaréta'!E26+'19.mell.Szentmihályi Játszókert'!E26+'20. mell. M. Fecskefészek'!E26+'21. mell. CMH'!E26+'22. mell. Bölcsőde'!E26+'23. mell. Terszoc.'!E26+'24. mell. Napraforgó'!E26+'25. mell. Kerületgazda'!E26+'26. mell. Őrszolgálat'!E26+'27. mell. KHEK'!E26+'28. mell. KIO'!E26</f>
        <v>0</v>
      </c>
      <c r="F26" s="321">
        <f>+'9. mell. PMH'!F26+'12. mell. Szakrendelő'!F26+'13. mell. GAMESZ'!F26+'14. mell. Gyerekkuckó'!F26+'15. mell. Cinkotai H.'!F26+'16. mell. Napsugár'!F26+'17. mell. Sashalmi M.'!F26+'18. mell. Margaréta'!F26+'19.mell.Szentmihályi Játszókert'!F26+'20. mell. M. Fecskefészek'!F26+'21. mell. CMH'!F26+'22. mell. Bölcsőde'!F26+'23. mell. Terszoc.'!F26+'24. mell. Napraforgó'!F26+'25. mell. Kerületgazda'!F26+'26. mell. Őrszolgálat'!F26+'27. mell. KHEK'!F26+'28. mell. KIO'!F26</f>
        <v>0</v>
      </c>
      <c r="G26" s="321">
        <f>+'9. mell. PMH'!G26+'12. mell. Szakrendelő'!G26+'13. mell. GAMESZ'!G26+'14. mell. Gyerekkuckó'!G26+'15. mell. Cinkotai H.'!G26+'16. mell. Napsugár'!G26+'17. mell. Sashalmi M.'!G26+'18. mell. Margaréta'!G26+'19.mell.Szentmihályi Játszókert'!G26+'20. mell. M. Fecskefészek'!G26+'21. mell. CMH'!G26+'22. mell. Bölcsőde'!G26+'23. mell. Terszoc.'!G26+'24. mell. Napraforgó'!G26+'25. mell. Kerületgazda'!G26+'26. mell. Őrszolgálat'!G26+'27. mell. KHEK'!G26+'28. mell. KIO'!G26</f>
        <v>0</v>
      </c>
      <c r="H26" s="321">
        <f>+'9. mell. PMH'!H26+'12. mell. Szakrendelő'!H26+'13. mell. GAMESZ'!H26+'14. mell. Gyerekkuckó'!H26+'15. mell. Cinkotai H.'!H26+'16. mell. Napsugár'!H26+'17. mell. Sashalmi M.'!H26+'18. mell. Margaréta'!H26+'19.mell.Szentmihályi Játszókert'!H26+'20. mell. M. Fecskefészek'!H26+'21. mell. CMH'!H26+'22. mell. Bölcsőde'!H26+'23. mell. Terszoc.'!H26+'24. mell. Napraforgó'!H26+'25. mell. Kerületgazda'!H26+'26. mell. Őrszolgálat'!H26+'27. mell. KHEK'!H26+'28. mell. KIO'!H26</f>
        <v>0</v>
      </c>
      <c r="I26" s="321">
        <f>+'9. mell. PMH'!I26+'12. mell. Szakrendelő'!I26+'13. mell. GAMESZ'!I26+'14. mell. Gyerekkuckó'!I26+'15. mell. Cinkotai H.'!I26+'16. mell. Napsugár'!I26+'17. mell. Sashalmi M.'!I26+'18. mell. Margaréta'!I26+'19.mell.Szentmihályi Játszókert'!I26+'20. mell. M. Fecskefészek'!I26+'21. mell. CMH'!I26+'22. mell. Bölcsőde'!I26+'23. mell. Terszoc.'!I26+'24. mell. Napraforgó'!I26+'25. mell. Kerületgazda'!I26+'26. mell. Őrszolgálat'!I26+'27. mell. KHEK'!I26+'28. mell. KIO'!I26</f>
        <v>0</v>
      </c>
      <c r="J26" s="321">
        <f>+'9. mell. PMH'!J26+'12. mell. Szakrendelő'!J26+'13. mell. GAMESZ'!J26+'14. mell. Gyerekkuckó'!J26+'15. mell. Cinkotai H.'!J26+'16. mell. Napsugár'!J26+'17. mell. Sashalmi M.'!J26+'18. mell. Margaréta'!J26+'19.mell.Szentmihályi Játszókert'!J26+'20. mell. M. Fecskefészek'!J26+'21. mell. CMH'!J26+'22. mell. Bölcsőde'!J26+'23. mell. Terszoc.'!J26+'24. mell. Napraforgó'!J26+'25. mell. Kerületgazda'!J26+'26. mell. Őrszolgálat'!J26+'27. mell. KHEK'!J26+'28. mell. KIO'!J26</f>
        <v>0</v>
      </c>
      <c r="K26" s="2197">
        <f>+'9. mell. PMH'!K26+'12. mell. Szakrendelő'!K26+'13. mell. GAMESZ'!K26+'14. mell. Gyerekkuckó'!K26+'15. mell. Cinkotai H.'!K26+'16. mell. Napsugár'!K26+'17. mell. Sashalmi M.'!K26+'18. mell. Margaréta'!K26+'19.mell.Szentmihályi Játszókert'!K26+'20. mell. M. Fecskefészek'!K26+'21. mell. CMH'!K26+'22. mell. Bölcsőde'!K26+'23. mell. Terszoc.'!K26+'24. mell. Napraforgó'!K26+'25. mell. Kerületgazda'!K26+'26. mell. Őrszolgálat'!K26+'27. mell. KHEK'!K26+'28. mell. KIO'!K26</f>
        <v>0</v>
      </c>
      <c r="L26" s="321">
        <f>+'9. mell. PMH'!L26+'12. mell. Szakrendelő'!L26+'13. mell. GAMESZ'!L26+'14. mell. Gyerekkuckó'!L26+'15. mell. Cinkotai H.'!L26+'16. mell. Napsugár'!L26+'17. mell. Sashalmi M.'!L26+'18. mell. Margaréta'!L26+'19.mell.Szentmihályi Játszókert'!L26+'20. mell. M. Fecskefészek'!L26+'21. mell. CMH'!L26+'22. mell. Bölcsőde'!L26+'23. mell. Terszoc.'!L26+'24. mell. Napraforgó'!L26+'25. mell. Kerületgazda'!L26+'26. mell. Őrszolgálat'!L26+'27. mell. KHEK'!L26+'28. mell. KIO'!L26</f>
        <v>0</v>
      </c>
      <c r="M26" s="321">
        <f>+'9. mell. PMH'!M26+'12. mell. Szakrendelő'!M26+'13. mell. GAMESZ'!M26+'14. mell. Gyerekkuckó'!M26+'15. mell. Cinkotai H.'!M26+'16. mell. Napsugár'!M26+'17. mell. Sashalmi M.'!M26+'18. mell. Margaréta'!M26+'19.mell.Szentmihályi Játszókert'!M26+'20. mell. M. Fecskefészek'!M26+'21. mell. CMH'!M26+'22. mell. Bölcsőde'!M26+'23. mell. Terszoc.'!M26+'24. mell. Napraforgó'!M26+'25. mell. Kerületgazda'!M26+'26. mell. Őrszolgálat'!M26+'27. mell. KHEK'!M26+'28. mell. KIO'!M26</f>
        <v>0</v>
      </c>
      <c r="N26" s="321">
        <f>+'9. mell. PMH'!N26+'12. mell. Szakrendelő'!N26+'13. mell. GAMESZ'!N26+'14. mell. Gyerekkuckó'!N26+'15. mell. Cinkotai H.'!N26+'16. mell. Napsugár'!N26+'17. mell. Sashalmi M.'!N26+'18. mell. Margaréta'!N26+'19.mell.Szentmihályi Játszókert'!N26+'20. mell. M. Fecskefészek'!N26+'21. mell. CMH'!N26+'22. mell. Bölcsőde'!N26+'23. mell. Terszoc.'!N26+'24. mell. Napraforgó'!N26+'25. mell. Kerületgazda'!N26+'26. mell. Őrszolgálat'!N26+'27. mell. KHEK'!N26+'28. mell. KIO'!N26</f>
        <v>0</v>
      </c>
      <c r="O26" s="321">
        <f>+'9. mell. PMH'!O26+'12. mell. Szakrendelő'!O26+'13. mell. GAMESZ'!O26+'14. mell. Gyerekkuckó'!O26+'15. mell. Cinkotai H.'!O26+'16. mell. Napsugár'!O26+'17. mell. Sashalmi M.'!O26+'18. mell. Margaréta'!O26+'19.mell.Szentmihályi Játszókert'!O26+'20. mell. M. Fecskefészek'!O26+'21. mell. CMH'!O26+'22. mell. Bölcsőde'!O26+'23. mell. Terszoc.'!O26+'24. mell. Napraforgó'!O26+'25. mell. Kerületgazda'!O26+'26. mell. Őrszolgálat'!O26+'27. mell. KHEK'!O26+'28. mell. KIO'!O26</f>
        <v>0</v>
      </c>
      <c r="P26" s="321">
        <f>+'9. mell. PMH'!P26+'12. mell. Szakrendelő'!P26+'13. mell. GAMESZ'!P26+'14. mell. Gyerekkuckó'!P26+'15. mell. Cinkotai H.'!P26+'16. mell. Napsugár'!P26+'17. mell. Sashalmi M.'!P26+'18. mell. Margaréta'!P26+'19.mell.Szentmihályi Játszókert'!P26+'20. mell. M. Fecskefészek'!P26+'21. mell. CMH'!P26+'22. mell. Bölcsőde'!P26+'23. mell. Terszoc.'!P26+'24. mell. Napraforgó'!P26+'25. mell. Kerületgazda'!P26+'26. mell. Őrszolgálat'!P26+'27. mell. KHEK'!P26+'28. mell. KIO'!P26</f>
        <v>0</v>
      </c>
      <c r="Q26" s="321">
        <f>+'9. mell. PMH'!Q26+'12. mell. Szakrendelő'!Q26+'13. mell. GAMESZ'!Q26+'14. mell. Gyerekkuckó'!Q26+'15. mell. Cinkotai H.'!Q26+'16. mell. Napsugár'!Q26+'17. mell. Sashalmi M.'!Q26+'18. mell. Margaréta'!Q26+'19.mell.Szentmihályi Játszókert'!Q26+'20. mell. M. Fecskefészek'!Q26+'21. mell. CMH'!Q26+'22. mell. Bölcsőde'!Q26+'23. mell. Terszoc.'!Q26+'24. mell. Napraforgó'!Q26+'25. mell. Kerületgazda'!Q26+'26. mell. Őrszolgálat'!Q26+'27. mell. KHEK'!Q26+'28. mell. KIO'!Q26</f>
        <v>0</v>
      </c>
      <c r="R26" s="321">
        <f>+'9. mell. PMH'!R26+'12. mell. Szakrendelő'!R26+'13. mell. GAMESZ'!R26+'14. mell. Gyerekkuckó'!R26+'15. mell. Cinkotai H.'!R26+'16. mell. Napsugár'!R26+'17. mell. Sashalmi M.'!R26+'18. mell. Margaréta'!R26+'19.mell.Szentmihályi Játszókert'!R26+'20. mell. M. Fecskefészek'!R26+'21. mell. CMH'!R26+'22. mell. Bölcsőde'!R26+'23. mell. Terszoc.'!R26+'24. mell. Napraforgó'!R26+'25. mell. Kerületgazda'!R26+'26. mell. Őrszolgálat'!R26+'27. mell. KHEK'!R26+'28. mell. KIO'!R26</f>
        <v>0</v>
      </c>
      <c r="S26" s="321">
        <f>+'9. mell. PMH'!S26+'12. mell. Szakrendelő'!S26+'13. mell. GAMESZ'!S26+'14. mell. Gyerekkuckó'!S26+'15. mell. Cinkotai H.'!S26+'16. mell. Napsugár'!S26+'17. mell. Sashalmi M.'!S26+'18. mell. Margaréta'!S26+'19.mell.Szentmihályi Játszókert'!S26+'20. mell. M. Fecskefészek'!S26+'21. mell. CMH'!S26+'22. mell. Bölcsőde'!S26+'23. mell. Terszoc.'!S26+'24. mell. Napraforgó'!S26+'25. mell. Kerületgazda'!S26+'26. mell. Őrszolgálat'!S26+'27. mell. KHEK'!S26+'28. mell. KIO'!S26</f>
        <v>0</v>
      </c>
      <c r="T26" s="321">
        <f>+'9. mell. PMH'!T26+'12. mell. Szakrendelő'!T26+'13. mell. GAMESZ'!T26+'14. mell. Gyerekkuckó'!T26+'15. mell. Cinkotai H.'!T26+'16. mell. Napsugár'!T26+'17. mell. Sashalmi M.'!T26+'18. mell. Margaréta'!T26+'19.mell.Szentmihályi Játszókert'!T26+'20. mell. M. Fecskefészek'!T26+'21. mell. CMH'!T26+'22. mell. Bölcsőde'!T26+'23. mell. Terszoc.'!T26+'24. mell. Napraforgó'!T26+'25. mell. Kerületgazda'!T26+'26. mell. Őrszolgálat'!T26+'27. mell. KHEK'!T26+'28. mell. KIO'!T26</f>
        <v>0</v>
      </c>
      <c r="U26" s="321">
        <f>+'9. mell. PMH'!U26+'12. mell. Szakrendelő'!U26+'13. mell. GAMESZ'!U26+'14. mell. Gyerekkuckó'!U26+'15. mell. Cinkotai H.'!U26+'16. mell. Napsugár'!U26+'17. mell. Sashalmi M.'!U26+'18. mell. Margaréta'!U26+'19.mell.Szentmihályi Játszókert'!U26+'20. mell. M. Fecskefészek'!U26+'21. mell. CMH'!U26+'22. mell. Bölcsőde'!U26+'23. mell. Terszoc.'!U26+'24. mell. Napraforgó'!U26+'25. mell. Kerületgazda'!U26+'26. mell. Őrszolgálat'!U26+'27. mell. KHEK'!U26+'28. mell. KIO'!U26</f>
        <v>0</v>
      </c>
      <c r="V26" s="321">
        <f>+'9. mell. PMH'!V26+'12. mell. Szakrendelő'!V26+'13. mell. GAMESZ'!V26+'14. mell. Gyerekkuckó'!V26+'15. mell. Cinkotai H.'!V26+'16. mell. Napsugár'!V26+'17. mell. Sashalmi M.'!V26+'18. mell. Margaréta'!V26+'19.mell.Szentmihályi Játszókert'!V26+'20. mell. M. Fecskefészek'!V26+'21. mell. CMH'!V26+'22. mell. Bölcsőde'!V26+'23. mell. Terszoc.'!V26+'24. mell. Napraforgó'!V26+'25. mell. Kerületgazda'!V26+'26. mell. Őrszolgálat'!V26+'27. mell. KHEK'!V26+'28. mell. KIO'!V26</f>
        <v>0</v>
      </c>
      <c r="W26" s="321">
        <f>+'9. mell. PMH'!W26+'12. mell. Szakrendelő'!W26+'13. mell. GAMESZ'!W26+'14. mell. Gyerekkuckó'!W26+'15. mell. Cinkotai H.'!W26+'16. mell. Napsugár'!W26+'17. mell. Sashalmi M.'!W26+'18. mell. Margaréta'!W26+'19.mell.Szentmihályi Játszókert'!W26+'20. mell. M. Fecskefészek'!W26+'21. mell. CMH'!W26+'22. mell. Bölcsőde'!W26+'23. mell. Terszoc.'!W26+'24. mell. Napraforgó'!W26+'25. mell. Kerületgazda'!W26+'26. mell. Őrszolgálat'!W26+'27. mell. KHEK'!W26+'28. mell. KIO'!W26</f>
        <v>0</v>
      </c>
      <c r="X26" s="321">
        <f>+'9. mell. PMH'!X26+'12. mell. Szakrendelő'!X26+'13. mell. GAMESZ'!X26+'14. mell. Gyerekkuckó'!X26+'15. mell. Cinkotai H.'!X26+'16. mell. Napsugár'!X26+'17. mell. Sashalmi M.'!X26+'18. mell. Margaréta'!X26+'19.mell.Szentmihályi Játszókert'!X26+'20. mell. M. Fecskefészek'!X26+'21. mell. CMH'!X26+'22. mell. Bölcsőde'!X26+'23. mell. Terszoc.'!X26+'24. mell. Napraforgó'!X26+'25. mell. Kerületgazda'!X26+'26. mell. Őrszolgálat'!X26+'27. mell. KHEK'!X26+'28. mell. KIO'!X26</f>
        <v>0</v>
      </c>
      <c r="Y26" s="321">
        <f>+'9. mell. PMH'!Y26+'12. mell. Szakrendelő'!Y26+'13. mell. GAMESZ'!Y26+'14. mell. Gyerekkuckó'!Y26+'15. mell. Cinkotai H.'!Y26+'16. mell. Napsugár'!Y26+'17. mell. Sashalmi M.'!Y26+'18. mell. Margaréta'!Y26+'19.mell.Szentmihályi Játszókert'!Y26+'20. mell. M. Fecskefészek'!Y26+'21. mell. CMH'!Y26+'22. mell. Bölcsőde'!Y26+'23. mell. Terszoc.'!Y26+'24. mell. Napraforgó'!Y26+'25. mell. Kerületgazda'!Y26+'26. mell. Őrszolgálat'!Y26+'27. mell. KHEK'!Y26+'28. mell. KIO'!Y26</f>
        <v>0</v>
      </c>
      <c r="Z26" s="321">
        <f>+'9. mell. PMH'!Z26+'12. mell. Szakrendelő'!Z26+'13. mell. GAMESZ'!Z26+'14. mell. Gyerekkuckó'!Z26+'15. mell. Cinkotai H.'!Z26+'16. mell. Napsugár'!Z26+'17. mell. Sashalmi M.'!Z26+'18. mell. Margaréta'!Z26+'19.mell.Szentmihályi Játszókert'!Z26+'20. mell. M. Fecskefészek'!Z26+'21. mell. CMH'!Z26+'22. mell. Bölcsőde'!Z26+'23. mell. Terszoc.'!Z26+'24. mell. Napraforgó'!Z26+'25. mell. Kerületgazda'!Z26+'26. mell. Őrszolgálat'!Z26+'27. mell. KHEK'!Z26+'28. mell. KIO'!Z26</f>
        <v>0</v>
      </c>
      <c r="AA26" s="321">
        <f>+'9. mell. PMH'!AA26+'12. mell. Szakrendelő'!AA26+'13. mell. GAMESZ'!AA26+'14. mell. Gyerekkuckó'!AA26+'15. mell. Cinkotai H.'!AA26+'16. mell. Napsugár'!AA26+'17. mell. Sashalmi M.'!AA26+'18. mell. Margaréta'!AA26+'19.mell.Szentmihályi Játszókert'!AA26+'20. mell. M. Fecskefészek'!AA26+'21. mell. CMH'!AA26+'22. mell. Bölcsőde'!AA26+'23. mell. Terszoc.'!AA26+'24. mell. Napraforgó'!AA26+'25. mell. Kerületgazda'!AA26+'26. mell. Őrszolgálat'!AA26+'27. mell. KHEK'!AA26+'28. mell. KIO'!AA26</f>
        <v>0</v>
      </c>
      <c r="AB26" s="321">
        <f>+'9. mell. PMH'!AB26+'12. mell. Szakrendelő'!AB26+'13. mell. GAMESZ'!AB26+'14. mell. Gyerekkuckó'!AB26+'15. mell. Cinkotai H.'!AB26+'16. mell. Napsugár'!AB26+'17. mell. Sashalmi M.'!AB26+'18. mell. Margaréta'!AB26+'19.mell.Szentmihályi Játszókert'!AB26+'20. mell. M. Fecskefészek'!AB26+'21. mell. CMH'!AB26+'22. mell. Bölcsőde'!AB26+'23. mell. Terszoc.'!AB26+'24. mell. Napraforgó'!AB26+'25. mell. Kerületgazda'!AB26+'26. mell. Őrszolgálat'!AB26+'27. mell. KHEK'!AB26+'28. mell. KIO'!AB26</f>
        <v>0</v>
      </c>
      <c r="AC26" s="321">
        <f>+'9. mell. PMH'!AC26+'12. mell. Szakrendelő'!AC26+'13. mell. GAMESZ'!AC26+'14. mell. Gyerekkuckó'!AC26+'15. mell. Cinkotai H.'!AC26+'16. mell. Napsugár'!AC26+'17. mell. Sashalmi M.'!AC26+'18. mell. Margaréta'!AC26+'19.mell.Szentmihályi Játszókert'!AC26+'20. mell. M. Fecskefészek'!AC26+'21. mell. CMH'!AC26+'22. mell. Bölcsőde'!AC26+'23. mell. Terszoc.'!AC26+'24. mell. Napraforgó'!AC26+'25. mell. Kerületgazda'!AC26+'26. mell. Őrszolgálat'!AC26+'27. mell. KHEK'!AC26+'28. mell. KIO'!AC26</f>
        <v>0</v>
      </c>
      <c r="AD26" s="333"/>
      <c r="AE26" s="321">
        <f t="shared" si="0"/>
        <v>0</v>
      </c>
      <c r="AF26" s="321">
        <f t="shared" si="1"/>
        <v>0</v>
      </c>
      <c r="AG26" s="321">
        <f t="shared" si="2"/>
        <v>0</v>
      </c>
      <c r="AH26" s="321">
        <f t="shared" si="3"/>
        <v>0</v>
      </c>
      <c r="AI26" s="324"/>
      <c r="AJ26" s="321">
        <f t="shared" si="4"/>
        <v>0</v>
      </c>
      <c r="AK26" s="325">
        <f>+F26-'9. mell. PMH'!F26-'12. mell. Szakrendelő'!F26-'25. mell. Kerületgazda'!F26-'28. mell. KIO'!F26</f>
        <v>0</v>
      </c>
      <c r="AL26" s="325">
        <f>+G26-'9. mell. PMH'!G26-'12. mell. Szakrendelő'!G26-'25. mell. Kerületgazda'!G26-'28. mell. KIO'!G26</f>
        <v>0</v>
      </c>
      <c r="AM26" s="325">
        <f>+H26-'9. mell. PMH'!H26-'12. mell. Szakrendelő'!H26-'25. mell. Kerületgazda'!H26-'28. mell. KIO'!H26</f>
        <v>0</v>
      </c>
      <c r="AN26" s="325">
        <f>+I26-'9. mell. PMH'!I26-'12. mell. Szakrendelő'!I26-'25. mell. Kerületgazda'!I26-'28. mell. KIO'!I26</f>
        <v>0</v>
      </c>
      <c r="AO26" s="325">
        <f>+J26-'9. mell. PMH'!J26-'12. mell. Szakrendelő'!J26-'25. mell. Kerületgazda'!J26-'28. mell. KIO'!J26</f>
        <v>0</v>
      </c>
      <c r="AP26" s="325">
        <f>+K26-'9. mell. PMH'!K26-'12. mell. Szakrendelő'!K26-'25. mell. Kerületgazda'!K26-'28. mell. KIO'!K26</f>
        <v>0</v>
      </c>
      <c r="AQ26" s="1195">
        <f t="shared" si="5"/>
        <v>0</v>
      </c>
      <c r="AR26" s="1593">
        <f t="shared" si="6"/>
        <v>0</v>
      </c>
      <c r="AS26" s="1195">
        <f t="shared" si="7"/>
        <v>0</v>
      </c>
      <c r="AT26" s="2647">
        <v>0</v>
      </c>
      <c r="AU26" s="1593">
        <f t="shared" si="8"/>
        <v>0</v>
      </c>
    </row>
    <row r="27" spans="1:47" s="332" customFormat="1" ht="21" customHeight="1" thickBot="1">
      <c r="A27" s="319" t="s">
        <v>15</v>
      </c>
      <c r="B27" s="319" t="s">
        <v>15</v>
      </c>
      <c r="C27" s="335" t="s">
        <v>150</v>
      </c>
      <c r="D27" s="321">
        <f>+'9. mell. PMH'!D27+'12. mell. Szakrendelő'!D27+'13. mell. GAMESZ'!D27+'14. mell. Gyerekkuckó'!D27+'15. mell. Cinkotai H.'!D27+'16. mell. Napsugár'!D27+'17. mell. Sashalmi M.'!D27+'18. mell. Margaréta'!D27+'19.mell.Szentmihályi Játszókert'!D27+'20. mell. M. Fecskefészek'!D27+'21. mell. CMH'!D27+'22. mell. Bölcsőde'!D27+'23. mell. Terszoc.'!D27+'24. mell. Napraforgó'!D27+'25. mell. Kerületgazda'!D27+'26. mell. Őrszolgálat'!D27+'27. mell. KHEK'!D27+'28. mell. KIO'!D27</f>
        <v>0</v>
      </c>
      <c r="E27" s="2587">
        <f>+'9. mell. PMH'!E27+'12. mell. Szakrendelő'!E27+'13. mell. GAMESZ'!E27+'14. mell. Gyerekkuckó'!E27+'15. mell. Cinkotai H.'!E27+'16. mell. Napsugár'!E27+'17. mell. Sashalmi M.'!E27+'18. mell. Margaréta'!E27+'19.mell.Szentmihályi Játszókert'!E27+'20. mell. M. Fecskefészek'!E27+'21. mell. CMH'!E27+'22. mell. Bölcsőde'!E27+'23. mell. Terszoc.'!E27+'24. mell. Napraforgó'!E27+'25. mell. Kerületgazda'!E27+'26. mell. Őrszolgálat'!E27+'27. mell. KHEK'!E27+'28. mell. KIO'!E27</f>
        <v>620000</v>
      </c>
      <c r="F27" s="321">
        <f>+'9. mell. PMH'!F27+'12. mell. Szakrendelő'!F27+'13. mell. GAMESZ'!F27+'14. mell. Gyerekkuckó'!F27+'15. mell. Cinkotai H.'!F27+'16. mell. Napsugár'!F27+'17. mell. Sashalmi M.'!F27+'18. mell. Margaréta'!F27+'19.mell.Szentmihályi Játszókert'!F27+'20. mell. M. Fecskefészek'!F27+'21. mell. CMH'!F27+'22. mell. Bölcsőde'!F27+'23. mell. Terszoc.'!F27+'24. mell. Napraforgó'!F27+'25. mell. Kerületgazda'!F27+'26. mell. Őrszolgálat'!F27+'27. mell. KHEK'!F27+'28. mell. KIO'!F27</f>
        <v>0</v>
      </c>
      <c r="G27" s="321">
        <f>+'9. mell. PMH'!G27+'12. mell. Szakrendelő'!G27+'13. mell. GAMESZ'!G27+'14. mell. Gyerekkuckó'!G27+'15. mell. Cinkotai H.'!G27+'16. mell. Napsugár'!G27+'17. mell. Sashalmi M.'!G27+'18. mell. Margaréta'!G27+'19.mell.Szentmihályi Játszókert'!G27+'20. mell. M. Fecskefészek'!G27+'21. mell. CMH'!G27+'22. mell. Bölcsőde'!G27+'23. mell. Terszoc.'!G27+'24. mell. Napraforgó'!G27+'25. mell. Kerületgazda'!G27+'26. mell. Őrszolgálat'!G27+'27. mell. KHEK'!G27+'28. mell. KIO'!G27</f>
        <v>0</v>
      </c>
      <c r="H27" s="321">
        <f>+'9. mell. PMH'!H27+'12. mell. Szakrendelő'!H27+'13. mell. GAMESZ'!H27+'14. mell. Gyerekkuckó'!H27+'15. mell. Cinkotai H.'!H27+'16. mell. Napsugár'!H27+'17. mell. Sashalmi M.'!H27+'18. mell. Margaréta'!H27+'19.mell.Szentmihályi Játszókert'!H27+'20. mell. M. Fecskefészek'!H27+'21. mell. CMH'!H27+'22. mell. Bölcsőde'!H27+'23. mell. Terszoc.'!H27+'24. mell. Napraforgó'!H27+'25. mell. Kerületgazda'!H27+'26. mell. Őrszolgálat'!H27+'27. mell. KHEK'!H27+'28. mell. KIO'!H27</f>
        <v>0</v>
      </c>
      <c r="I27" s="321">
        <f>+'9. mell. PMH'!I27+'12. mell. Szakrendelő'!I27+'13. mell. GAMESZ'!I27+'14. mell. Gyerekkuckó'!I27+'15. mell. Cinkotai H.'!I27+'16. mell. Napsugár'!I27+'17. mell. Sashalmi M.'!I27+'18. mell. Margaréta'!I27+'19.mell.Szentmihályi Játszókert'!I27+'20. mell. M. Fecskefészek'!I27+'21. mell. CMH'!I27+'22. mell. Bölcsőde'!I27+'23. mell. Terszoc.'!I27+'24. mell. Napraforgó'!I27+'25. mell. Kerületgazda'!I27+'26. mell. Őrszolgálat'!I27+'27. mell. KHEK'!I27+'28. mell. KIO'!I27</f>
        <v>0</v>
      </c>
      <c r="J27" s="321">
        <f>+'9. mell. PMH'!J27+'12. mell. Szakrendelő'!J27+'13. mell. GAMESZ'!J27+'14. mell. Gyerekkuckó'!J27+'15. mell. Cinkotai H.'!J27+'16. mell. Napsugár'!J27+'17. mell. Sashalmi M.'!J27+'18. mell. Margaréta'!J27+'19.mell.Szentmihályi Játszókert'!J27+'20. mell. M. Fecskefészek'!J27+'21. mell. CMH'!J27+'22. mell. Bölcsőde'!J27+'23. mell. Terszoc.'!J27+'24. mell. Napraforgó'!J27+'25. mell. Kerületgazda'!J27+'26. mell. Őrszolgálat'!J27+'27. mell. KHEK'!J27+'28. mell. KIO'!J27</f>
        <v>0</v>
      </c>
      <c r="K27" s="2197">
        <f>+'9. mell. PMH'!K27+'12. mell. Szakrendelő'!K27+'13. mell. GAMESZ'!K27+'14. mell. Gyerekkuckó'!K27+'15. mell. Cinkotai H.'!K27+'16. mell. Napsugár'!K27+'17. mell. Sashalmi M.'!K27+'18. mell. Margaréta'!K27+'19.mell.Szentmihályi Játszókert'!K27+'20. mell. M. Fecskefészek'!K27+'21. mell. CMH'!K27+'22. mell. Bölcsőde'!K27+'23. mell. Terszoc.'!K27+'24. mell. Napraforgó'!K27+'25. mell. Kerületgazda'!K27+'26. mell. Őrszolgálat'!K27+'27. mell. KHEK'!K27+'28. mell. KIO'!K27</f>
        <v>0</v>
      </c>
      <c r="L27" s="321">
        <f>+'9. mell. PMH'!L27+'12. mell. Szakrendelő'!L27+'13. mell. GAMESZ'!L27+'14. mell. Gyerekkuckó'!L27+'15. mell. Cinkotai H.'!L27+'16. mell. Napsugár'!L27+'17. mell. Sashalmi M.'!L27+'18. mell. Margaréta'!L27+'19.mell.Szentmihályi Játszókert'!L27+'20. mell. M. Fecskefészek'!L27+'21. mell. CMH'!L27+'22. mell. Bölcsőde'!L27+'23. mell. Terszoc.'!L27+'24. mell. Napraforgó'!L27+'25. mell. Kerületgazda'!L27+'26. mell. Őrszolgálat'!L27+'27. mell. KHEK'!L27+'28. mell. KIO'!L27</f>
        <v>0</v>
      </c>
      <c r="M27" s="321">
        <f>+'9. mell. PMH'!M27+'12. mell. Szakrendelő'!M27+'13. mell. GAMESZ'!M27+'14. mell. Gyerekkuckó'!M27+'15. mell. Cinkotai H.'!M27+'16. mell. Napsugár'!M27+'17. mell. Sashalmi M.'!M27+'18. mell. Margaréta'!M27+'19.mell.Szentmihályi Játszókert'!M27+'20. mell. M. Fecskefészek'!M27+'21. mell. CMH'!M27+'22. mell. Bölcsőde'!M27+'23. mell. Terszoc.'!M27+'24. mell. Napraforgó'!M27+'25. mell. Kerületgazda'!M27+'26. mell. Őrszolgálat'!M27+'27. mell. KHEK'!M27+'28. mell. KIO'!M27</f>
        <v>0</v>
      </c>
      <c r="N27" s="321">
        <f>+'9. mell. PMH'!N27+'12. mell. Szakrendelő'!N27+'13. mell. GAMESZ'!N27+'14. mell. Gyerekkuckó'!N27+'15. mell. Cinkotai H.'!N27+'16. mell. Napsugár'!N27+'17. mell. Sashalmi M.'!N27+'18. mell. Margaréta'!N27+'19.mell.Szentmihályi Játszókert'!N27+'20. mell. M. Fecskefészek'!N27+'21. mell. CMH'!N27+'22. mell. Bölcsőde'!N27+'23. mell. Terszoc.'!N27+'24. mell. Napraforgó'!N27+'25. mell. Kerületgazda'!N27+'26. mell. Őrszolgálat'!N27+'27. mell. KHEK'!N27+'28. mell. KIO'!N27</f>
        <v>0</v>
      </c>
      <c r="O27" s="321">
        <f>+'9. mell. PMH'!O27+'12. mell. Szakrendelő'!O27+'13. mell. GAMESZ'!O27+'14. mell. Gyerekkuckó'!O27+'15. mell. Cinkotai H.'!O27+'16. mell. Napsugár'!O27+'17. mell. Sashalmi M.'!O27+'18. mell. Margaréta'!O27+'19.mell.Szentmihályi Játszókert'!O27+'20. mell. M. Fecskefészek'!O27+'21. mell. CMH'!O27+'22. mell. Bölcsőde'!O27+'23. mell. Terszoc.'!O27+'24. mell. Napraforgó'!O27+'25. mell. Kerületgazda'!O27+'26. mell. Őrszolgálat'!O27+'27. mell. KHEK'!O27+'28. mell. KIO'!O27</f>
        <v>0</v>
      </c>
      <c r="P27" s="321">
        <f>+'9. mell. PMH'!P27+'12. mell. Szakrendelő'!P27+'13. mell. GAMESZ'!P27+'14. mell. Gyerekkuckó'!P27+'15. mell. Cinkotai H.'!P27+'16. mell. Napsugár'!P27+'17. mell. Sashalmi M.'!P27+'18. mell. Margaréta'!P27+'19.mell.Szentmihályi Játszókert'!P27+'20. mell. M. Fecskefészek'!P27+'21. mell. CMH'!P27+'22. mell. Bölcsőde'!P27+'23. mell. Terszoc.'!P27+'24. mell. Napraforgó'!P27+'25. mell. Kerületgazda'!P27+'26. mell. Őrszolgálat'!P27+'27. mell. KHEK'!P27+'28. mell. KIO'!P27</f>
        <v>0</v>
      </c>
      <c r="Q27" s="321">
        <f>+'9. mell. PMH'!Q27+'12. mell. Szakrendelő'!Q27+'13. mell. GAMESZ'!Q27+'14. mell. Gyerekkuckó'!Q27+'15. mell. Cinkotai H.'!Q27+'16. mell. Napsugár'!Q27+'17. mell. Sashalmi M.'!Q27+'18. mell. Margaréta'!Q27+'19.mell.Szentmihályi Játszókert'!Q27+'20. mell. M. Fecskefészek'!Q27+'21. mell. CMH'!Q27+'22. mell. Bölcsőde'!Q27+'23. mell. Terszoc.'!Q27+'24. mell. Napraforgó'!Q27+'25. mell. Kerületgazda'!Q27+'26. mell. Őrszolgálat'!Q27+'27. mell. KHEK'!Q27+'28. mell. KIO'!Q27</f>
        <v>0</v>
      </c>
      <c r="R27" s="321">
        <f>+'9. mell. PMH'!R27+'12. mell. Szakrendelő'!R27+'13. mell. GAMESZ'!R27+'14. mell. Gyerekkuckó'!R27+'15. mell. Cinkotai H.'!R27+'16. mell. Napsugár'!R27+'17. mell. Sashalmi M.'!R27+'18. mell. Margaréta'!R27+'19.mell.Szentmihályi Játszókert'!R27+'20. mell. M. Fecskefészek'!R27+'21. mell. CMH'!R27+'22. mell. Bölcsőde'!R27+'23. mell. Terszoc.'!R27+'24. mell. Napraforgó'!R27+'25. mell. Kerületgazda'!R27+'26. mell. Őrszolgálat'!R27+'27. mell. KHEK'!R27+'28. mell. KIO'!R27</f>
        <v>0</v>
      </c>
      <c r="S27" s="321">
        <f>+'9. mell. PMH'!S27+'12. mell. Szakrendelő'!S27+'13. mell. GAMESZ'!S27+'14. mell. Gyerekkuckó'!S27+'15. mell. Cinkotai H.'!S27+'16. mell. Napsugár'!S27+'17. mell. Sashalmi M.'!S27+'18. mell. Margaréta'!S27+'19.mell.Szentmihályi Játszókert'!S27+'20. mell. M. Fecskefészek'!S27+'21. mell. CMH'!S27+'22. mell. Bölcsőde'!S27+'23. mell. Terszoc.'!S27+'24. mell. Napraforgó'!S27+'25. mell. Kerületgazda'!S27+'26. mell. Őrszolgálat'!S27+'27. mell. KHEK'!S27+'28. mell. KIO'!S27</f>
        <v>0</v>
      </c>
      <c r="T27" s="321">
        <f>+'9. mell. PMH'!T27+'12. mell. Szakrendelő'!T27+'13. mell. GAMESZ'!T27+'14. mell. Gyerekkuckó'!T27+'15. mell. Cinkotai H.'!T27+'16. mell. Napsugár'!T27+'17. mell. Sashalmi M.'!T27+'18. mell. Margaréta'!T27+'19.mell.Szentmihályi Játszókert'!T27+'20. mell. M. Fecskefészek'!T27+'21. mell. CMH'!T27+'22. mell. Bölcsőde'!T27+'23. mell. Terszoc.'!T27+'24. mell. Napraforgó'!T27+'25. mell. Kerületgazda'!T27+'26. mell. Őrszolgálat'!T27+'27. mell. KHEK'!T27+'28. mell. KIO'!T27</f>
        <v>0</v>
      </c>
      <c r="U27" s="321">
        <f>+'9. mell. PMH'!U27+'12. mell. Szakrendelő'!U27+'13. mell. GAMESZ'!U27+'14. mell. Gyerekkuckó'!U27+'15. mell. Cinkotai H.'!U27+'16. mell. Napsugár'!U27+'17. mell. Sashalmi M.'!U27+'18. mell. Margaréta'!U27+'19.mell.Szentmihályi Játszókert'!U27+'20. mell. M. Fecskefészek'!U27+'21. mell. CMH'!U27+'22. mell. Bölcsőde'!U27+'23. mell. Terszoc.'!U27+'24. mell. Napraforgó'!U27+'25. mell. Kerületgazda'!U27+'26. mell. Őrszolgálat'!U27+'27. mell. KHEK'!U27+'28. mell. KIO'!U27</f>
        <v>0</v>
      </c>
      <c r="V27" s="321">
        <f>+'9. mell. PMH'!V27+'12. mell. Szakrendelő'!V27+'13. mell. GAMESZ'!V27+'14. mell. Gyerekkuckó'!V27+'15. mell. Cinkotai H.'!V27+'16. mell. Napsugár'!V27+'17. mell. Sashalmi M.'!V27+'18. mell. Margaréta'!V27+'19.mell.Szentmihályi Játszókert'!V27+'20. mell. M. Fecskefészek'!V27+'21. mell. CMH'!V27+'22. mell. Bölcsőde'!V27+'23. mell. Terszoc.'!V27+'24. mell. Napraforgó'!V27+'25. mell. Kerületgazda'!V27+'26. mell. Őrszolgálat'!V27+'27. mell. KHEK'!V27+'28. mell. KIO'!V27</f>
        <v>0</v>
      </c>
      <c r="W27" s="321">
        <f>+'9. mell. PMH'!W27+'12. mell. Szakrendelő'!W27+'13. mell. GAMESZ'!W27+'14. mell. Gyerekkuckó'!W27+'15. mell. Cinkotai H.'!W27+'16. mell. Napsugár'!W27+'17. mell. Sashalmi M.'!W27+'18. mell. Margaréta'!W27+'19.mell.Szentmihályi Játszókert'!W27+'20. mell. M. Fecskefészek'!W27+'21. mell. CMH'!W27+'22. mell. Bölcsőde'!W27+'23. mell. Terszoc.'!W27+'24. mell. Napraforgó'!W27+'25. mell. Kerületgazda'!W27+'26. mell. Őrszolgálat'!W27+'27. mell. KHEK'!W27+'28. mell. KIO'!W27</f>
        <v>0</v>
      </c>
      <c r="X27" s="321">
        <f>+'9. mell. PMH'!X27+'12. mell. Szakrendelő'!X27+'13. mell. GAMESZ'!X27+'14. mell. Gyerekkuckó'!X27+'15. mell. Cinkotai H.'!X27+'16. mell. Napsugár'!X27+'17. mell. Sashalmi M.'!X27+'18. mell. Margaréta'!X27+'19.mell.Szentmihályi Játszókert'!X27+'20. mell. M. Fecskefészek'!X27+'21. mell. CMH'!X27+'22. mell. Bölcsőde'!X27+'23. mell. Terszoc.'!X27+'24. mell. Napraforgó'!X27+'25. mell. Kerületgazda'!X27+'26. mell. Őrszolgálat'!X27+'27. mell. KHEK'!X27+'28. mell. KIO'!X27</f>
        <v>0</v>
      </c>
      <c r="Y27" s="321">
        <f>+'9. mell. PMH'!Y27+'12. mell. Szakrendelő'!Y27+'13. mell. GAMESZ'!Y27+'14. mell. Gyerekkuckó'!Y27+'15. mell. Cinkotai H.'!Y27+'16. mell. Napsugár'!Y27+'17. mell. Sashalmi M.'!Y27+'18. mell. Margaréta'!Y27+'19.mell.Szentmihályi Játszókert'!Y27+'20. mell. M. Fecskefészek'!Y27+'21. mell. CMH'!Y27+'22. mell. Bölcsőde'!Y27+'23. mell. Terszoc.'!Y27+'24. mell. Napraforgó'!Y27+'25. mell. Kerületgazda'!Y27+'26. mell. Őrszolgálat'!Y27+'27. mell. KHEK'!Y27+'28. mell. KIO'!Y27</f>
        <v>0</v>
      </c>
      <c r="Z27" s="321">
        <f>+'9. mell. PMH'!Z27+'12. mell. Szakrendelő'!Z27+'13. mell. GAMESZ'!Z27+'14. mell. Gyerekkuckó'!Z27+'15. mell. Cinkotai H.'!Z27+'16. mell. Napsugár'!Z27+'17. mell. Sashalmi M.'!Z27+'18. mell. Margaréta'!Z27+'19.mell.Szentmihályi Játszókert'!Z27+'20. mell. M. Fecskefészek'!Z27+'21. mell. CMH'!Z27+'22. mell. Bölcsőde'!Z27+'23. mell. Terszoc.'!Z27+'24. mell. Napraforgó'!Z27+'25. mell. Kerületgazda'!Z27+'26. mell. Őrszolgálat'!Z27+'27. mell. KHEK'!Z27+'28. mell. KIO'!Z27</f>
        <v>0</v>
      </c>
      <c r="AA27" s="321">
        <f>+'9. mell. PMH'!AA27+'12. mell. Szakrendelő'!AA27+'13. mell. GAMESZ'!AA27+'14. mell. Gyerekkuckó'!AA27+'15. mell. Cinkotai H.'!AA27+'16. mell. Napsugár'!AA27+'17. mell. Sashalmi M.'!AA27+'18. mell. Margaréta'!AA27+'19.mell.Szentmihályi Játszókert'!AA27+'20. mell. M. Fecskefészek'!AA27+'21. mell. CMH'!AA27+'22. mell. Bölcsőde'!AA27+'23. mell. Terszoc.'!AA27+'24. mell. Napraforgó'!AA27+'25. mell. Kerületgazda'!AA27+'26. mell. Őrszolgálat'!AA27+'27. mell. KHEK'!AA27+'28. mell. KIO'!AA27</f>
        <v>0</v>
      </c>
      <c r="AB27" s="321">
        <f>+'9. mell. PMH'!AB27+'12. mell. Szakrendelő'!AB27+'13. mell. GAMESZ'!AB27+'14. mell. Gyerekkuckó'!AB27+'15. mell. Cinkotai H.'!AB27+'16. mell. Napsugár'!AB27+'17. mell. Sashalmi M.'!AB27+'18. mell. Margaréta'!AB27+'19.mell.Szentmihályi Játszókert'!AB27+'20. mell. M. Fecskefészek'!AB27+'21. mell. CMH'!AB27+'22. mell. Bölcsőde'!AB27+'23. mell. Terszoc.'!AB27+'24. mell. Napraforgó'!AB27+'25. mell. Kerületgazda'!AB27+'26. mell. Őrszolgálat'!AB27+'27. mell. KHEK'!AB27+'28. mell. KIO'!AB27</f>
        <v>0</v>
      </c>
      <c r="AC27" s="321">
        <f>+'9. mell. PMH'!AC27+'12. mell. Szakrendelő'!AC27+'13. mell. GAMESZ'!AC27+'14. mell. Gyerekkuckó'!AC27+'15. mell. Cinkotai H.'!AC27+'16. mell. Napsugár'!AC27+'17. mell. Sashalmi M.'!AC27+'18. mell. Margaréta'!AC27+'19.mell.Szentmihályi Játszókert'!AC27+'20. mell. M. Fecskefészek'!AC27+'21. mell. CMH'!AC27+'22. mell. Bölcsőde'!AC27+'23. mell. Terszoc.'!AC27+'24. mell. Napraforgó'!AC27+'25. mell. Kerületgazda'!AC27+'26. mell. Őrszolgálat'!AC27+'27. mell. KHEK'!AC27+'28. mell. KIO'!AC27</f>
        <v>0</v>
      </c>
      <c r="AD27" s="337"/>
      <c r="AE27" s="321">
        <f t="shared" si="0"/>
        <v>0</v>
      </c>
      <c r="AF27" s="321">
        <f t="shared" si="1"/>
        <v>0</v>
      </c>
      <c r="AG27" s="321">
        <f t="shared" si="2"/>
        <v>0</v>
      </c>
      <c r="AH27" s="321">
        <f t="shared" si="3"/>
        <v>0</v>
      </c>
      <c r="AI27" s="324"/>
      <c r="AJ27" s="321">
        <f t="shared" si="4"/>
        <v>0</v>
      </c>
      <c r="AK27" s="325">
        <f>+F27-'9. mell. PMH'!F27-'12. mell. Szakrendelő'!F27-'25. mell. Kerületgazda'!F27-'28. mell. KIO'!F27</f>
        <v>0</v>
      </c>
      <c r="AL27" s="325">
        <f>+G27-'9. mell. PMH'!G27-'12. mell. Szakrendelő'!G27-'25. mell. Kerületgazda'!G27-'28. mell. KIO'!G27</f>
        <v>0</v>
      </c>
      <c r="AM27" s="325">
        <f>+H27-'9. mell. PMH'!H27-'12. mell. Szakrendelő'!H27-'25. mell. Kerületgazda'!H27-'28. mell. KIO'!H27</f>
        <v>0</v>
      </c>
      <c r="AN27" s="325">
        <f>+I27-'9. mell. PMH'!I27-'12. mell. Szakrendelő'!I27-'25. mell. Kerületgazda'!I27-'28. mell. KIO'!I27</f>
        <v>0</v>
      </c>
      <c r="AO27" s="325">
        <f>+J27-'9. mell. PMH'!J27-'12. mell. Szakrendelő'!J27-'25. mell. Kerületgazda'!J27-'28. mell. KIO'!J27</f>
        <v>0</v>
      </c>
      <c r="AP27" s="325">
        <f>+K27-'9. mell. PMH'!K27-'12. mell. Szakrendelő'!K27-'25. mell. Kerületgazda'!K27-'28. mell. KIO'!K27</f>
        <v>0</v>
      </c>
      <c r="AQ27" s="1195">
        <f t="shared" si="5"/>
        <v>0</v>
      </c>
      <c r="AR27" s="1593">
        <f t="shared" si="6"/>
        <v>0</v>
      </c>
      <c r="AS27" s="1195">
        <f t="shared" si="7"/>
        <v>0</v>
      </c>
      <c r="AT27" s="2647">
        <v>620000</v>
      </c>
      <c r="AU27" s="1593">
        <f t="shared" si="8"/>
        <v>0</v>
      </c>
    </row>
    <row r="28" spans="1:47" s="332" customFormat="1" ht="12" customHeight="1" thickBot="1">
      <c r="A28" s="313"/>
      <c r="B28" s="330" t="s">
        <v>212</v>
      </c>
      <c r="C28" s="331" t="s">
        <v>1280</v>
      </c>
      <c r="D28" s="321">
        <f>+'9. mell. PMH'!D28+'12. mell. Szakrendelő'!D28+'13. mell. GAMESZ'!D28+'14. mell. Gyerekkuckó'!D28+'15. mell. Cinkotai H.'!D28+'16. mell. Napsugár'!D28+'17. mell. Sashalmi M.'!D28+'18. mell. Margaréta'!D28+'19.mell.Szentmihályi Játszókert'!D28+'20. mell. M. Fecskefészek'!D28+'21. mell. CMH'!D28+'22. mell. Bölcsőde'!D28+'23. mell. Terszoc.'!D28+'24. mell. Napraforgó'!D28+'25. mell. Kerületgazda'!D28+'26. mell. Őrszolgálat'!D28+'27. mell. KHEK'!D28+'28. mell. KIO'!D28</f>
        <v>0</v>
      </c>
      <c r="E28" s="2587">
        <f>+'9. mell. PMH'!E28+'12. mell. Szakrendelő'!E28+'13. mell. GAMESZ'!E28+'14. mell. Gyerekkuckó'!E28+'15. mell. Cinkotai H.'!E28+'16. mell. Napsugár'!E28+'17. mell. Sashalmi M.'!E28+'18. mell. Margaréta'!E28+'19.mell.Szentmihályi Játszókert'!E28+'20. mell. M. Fecskefészek'!E28+'21. mell. CMH'!E28+'22. mell. Bölcsőde'!E28+'23. mell. Terszoc.'!E28+'24. mell. Napraforgó'!E28+'25. mell. Kerületgazda'!E28+'26. mell. Őrszolgálat'!E28+'27. mell. KHEK'!E28+'28. mell. KIO'!E28</f>
        <v>0</v>
      </c>
      <c r="F28" s="321">
        <f>+'9. mell. PMH'!F28+'12. mell. Szakrendelő'!F28+'13. mell. GAMESZ'!F28+'14. mell. Gyerekkuckó'!F28+'15. mell. Cinkotai H.'!F28+'16. mell. Napsugár'!F28+'17. mell. Sashalmi M.'!F28+'18. mell. Margaréta'!F28+'19.mell.Szentmihályi Játszókert'!F28+'20. mell. M. Fecskefészek'!F28+'21. mell. CMH'!F28+'22. mell. Bölcsőde'!F28+'23. mell. Terszoc.'!F28+'24. mell. Napraforgó'!F28+'25. mell. Kerületgazda'!F28+'26. mell. Őrszolgálat'!F28+'27. mell. KHEK'!F28+'28. mell. KIO'!F28</f>
        <v>0</v>
      </c>
      <c r="G28" s="321">
        <f>+'9. mell. PMH'!G28+'12. mell. Szakrendelő'!G28+'13. mell. GAMESZ'!G28+'14. mell. Gyerekkuckó'!G28+'15. mell. Cinkotai H.'!G28+'16. mell. Napsugár'!G28+'17. mell. Sashalmi M.'!G28+'18. mell. Margaréta'!G28+'19.mell.Szentmihályi Játszókert'!G28+'20. mell. M. Fecskefészek'!G28+'21. mell. CMH'!G28+'22. mell. Bölcsőde'!G28+'23. mell. Terszoc.'!G28+'24. mell. Napraforgó'!G28+'25. mell. Kerületgazda'!G28+'26. mell. Őrszolgálat'!G28+'27. mell. KHEK'!G28+'28. mell. KIO'!G28</f>
        <v>0</v>
      </c>
      <c r="H28" s="321">
        <f>+'9. mell. PMH'!H28+'12. mell. Szakrendelő'!H28+'13. mell. GAMESZ'!H28+'14. mell. Gyerekkuckó'!H28+'15. mell. Cinkotai H.'!H28+'16. mell. Napsugár'!H28+'17. mell. Sashalmi M.'!H28+'18. mell. Margaréta'!H28+'19.mell.Szentmihályi Játszókert'!H28+'20. mell. M. Fecskefészek'!H28+'21. mell. CMH'!H28+'22. mell. Bölcsőde'!H28+'23. mell. Terszoc.'!H28+'24. mell. Napraforgó'!H28+'25. mell. Kerületgazda'!H28+'26. mell. Őrszolgálat'!H28+'27. mell. KHEK'!H28+'28. mell. KIO'!H28</f>
        <v>0</v>
      </c>
      <c r="I28" s="321">
        <f>+'9. mell. PMH'!I28+'12. mell. Szakrendelő'!I28+'13. mell. GAMESZ'!I28+'14. mell. Gyerekkuckó'!I28+'15. mell. Cinkotai H.'!I28+'16. mell. Napsugár'!I28+'17. mell. Sashalmi M.'!I28+'18. mell. Margaréta'!I28+'19.mell.Szentmihályi Játszókert'!I28+'20. mell. M. Fecskefészek'!I28+'21. mell. CMH'!I28+'22. mell. Bölcsőde'!I28+'23. mell. Terszoc.'!I28+'24. mell. Napraforgó'!I28+'25. mell. Kerületgazda'!I28+'26. mell. Őrszolgálat'!I28+'27. mell. KHEK'!I28+'28. mell. KIO'!I28</f>
        <v>0</v>
      </c>
      <c r="J28" s="321">
        <f>+'9. mell. PMH'!J28+'12. mell. Szakrendelő'!J28+'13. mell. GAMESZ'!J28+'14. mell. Gyerekkuckó'!J28+'15. mell. Cinkotai H.'!J28+'16. mell. Napsugár'!J28+'17. mell. Sashalmi M.'!J28+'18. mell. Margaréta'!J28+'19.mell.Szentmihályi Játszókert'!J28+'20. mell. M. Fecskefészek'!J28+'21. mell. CMH'!J28+'22. mell. Bölcsőde'!J28+'23. mell. Terszoc.'!J28+'24. mell. Napraforgó'!J28+'25. mell. Kerületgazda'!J28+'26. mell. Őrszolgálat'!J28+'27. mell. KHEK'!J28+'28. mell. KIO'!J28</f>
        <v>0</v>
      </c>
      <c r="K28" s="2197">
        <f>+'9. mell. PMH'!K28+'12. mell. Szakrendelő'!K28+'13. mell. GAMESZ'!K28+'14. mell. Gyerekkuckó'!K28+'15. mell. Cinkotai H.'!K28+'16. mell. Napsugár'!K28+'17. mell. Sashalmi M.'!K28+'18. mell. Margaréta'!K28+'19.mell.Szentmihályi Játszókert'!K28+'20. mell. M. Fecskefészek'!K28+'21. mell. CMH'!K28+'22. mell. Bölcsőde'!K28+'23. mell. Terszoc.'!K28+'24. mell. Napraforgó'!K28+'25. mell. Kerületgazda'!K28+'26. mell. Őrszolgálat'!K28+'27. mell. KHEK'!K28+'28. mell. KIO'!K28</f>
        <v>0</v>
      </c>
      <c r="L28" s="321">
        <f>+'9. mell. PMH'!L28+'12. mell. Szakrendelő'!L28+'13. mell. GAMESZ'!L28+'14. mell. Gyerekkuckó'!L28+'15. mell. Cinkotai H.'!L28+'16. mell. Napsugár'!L28+'17. mell. Sashalmi M.'!L28+'18. mell. Margaréta'!L28+'19.mell.Szentmihályi Játszókert'!L28+'20. mell. M. Fecskefészek'!L28+'21. mell. CMH'!L28+'22. mell. Bölcsőde'!L28+'23. mell. Terszoc.'!L28+'24. mell. Napraforgó'!L28+'25. mell. Kerületgazda'!L28+'26. mell. Őrszolgálat'!L28+'27. mell. KHEK'!L28+'28. mell. KIO'!L28</f>
        <v>0</v>
      </c>
      <c r="M28" s="321">
        <f>+'9. mell. PMH'!M28+'12. mell. Szakrendelő'!M28+'13. mell. GAMESZ'!M28+'14. mell. Gyerekkuckó'!M28+'15. mell. Cinkotai H.'!M28+'16. mell. Napsugár'!M28+'17. mell. Sashalmi M.'!M28+'18. mell. Margaréta'!M28+'19.mell.Szentmihályi Játszókert'!M28+'20. mell. M. Fecskefészek'!M28+'21. mell. CMH'!M28+'22. mell. Bölcsőde'!M28+'23. mell. Terszoc.'!M28+'24. mell. Napraforgó'!M28+'25. mell. Kerületgazda'!M28+'26. mell. Őrszolgálat'!M28+'27. mell. KHEK'!M28+'28. mell. KIO'!M28</f>
        <v>0</v>
      </c>
      <c r="N28" s="321">
        <f>+'9. mell. PMH'!N28+'12. mell. Szakrendelő'!N28+'13. mell. GAMESZ'!N28+'14. mell. Gyerekkuckó'!N28+'15. mell. Cinkotai H.'!N28+'16. mell. Napsugár'!N28+'17. mell. Sashalmi M.'!N28+'18. mell. Margaréta'!N28+'19.mell.Szentmihályi Játszókert'!N28+'20. mell. M. Fecskefészek'!N28+'21. mell. CMH'!N28+'22. mell. Bölcsőde'!N28+'23. mell. Terszoc.'!N28+'24. mell. Napraforgó'!N28+'25. mell. Kerületgazda'!N28+'26. mell. Őrszolgálat'!N28+'27. mell. KHEK'!N28+'28. mell. KIO'!N28</f>
        <v>0</v>
      </c>
      <c r="O28" s="321">
        <f>+'9. mell. PMH'!O28+'12. mell. Szakrendelő'!O28+'13. mell. GAMESZ'!O28+'14. mell. Gyerekkuckó'!O28+'15. mell. Cinkotai H.'!O28+'16. mell. Napsugár'!O28+'17. mell. Sashalmi M.'!O28+'18. mell. Margaréta'!O28+'19.mell.Szentmihályi Játszókert'!O28+'20. mell. M. Fecskefészek'!O28+'21. mell. CMH'!O28+'22. mell. Bölcsőde'!O28+'23. mell. Terszoc.'!O28+'24. mell. Napraforgó'!O28+'25. mell. Kerületgazda'!O28+'26. mell. Őrszolgálat'!O28+'27. mell. KHEK'!O28+'28. mell. KIO'!O28</f>
        <v>0</v>
      </c>
      <c r="P28" s="321">
        <f>+'9. mell. PMH'!P28+'12. mell. Szakrendelő'!P28+'13. mell. GAMESZ'!P28+'14. mell. Gyerekkuckó'!P28+'15. mell. Cinkotai H.'!P28+'16. mell. Napsugár'!P28+'17. mell. Sashalmi M.'!P28+'18. mell. Margaréta'!P28+'19.mell.Szentmihályi Játszókert'!P28+'20. mell. M. Fecskefészek'!P28+'21. mell. CMH'!P28+'22. mell. Bölcsőde'!P28+'23. mell. Terszoc.'!P28+'24. mell. Napraforgó'!P28+'25. mell. Kerületgazda'!P28+'26. mell. Őrszolgálat'!P28+'27. mell. KHEK'!P28+'28. mell. KIO'!P28</f>
        <v>0</v>
      </c>
      <c r="Q28" s="321">
        <f>+'9. mell. PMH'!Q28+'12. mell. Szakrendelő'!Q28+'13. mell. GAMESZ'!Q28+'14. mell. Gyerekkuckó'!Q28+'15. mell. Cinkotai H.'!Q28+'16. mell. Napsugár'!Q28+'17. mell. Sashalmi M.'!Q28+'18. mell. Margaréta'!Q28+'19.mell.Szentmihályi Játszókert'!Q28+'20. mell. M. Fecskefészek'!Q28+'21. mell. CMH'!Q28+'22. mell. Bölcsőde'!Q28+'23. mell. Terszoc.'!Q28+'24. mell. Napraforgó'!Q28+'25. mell. Kerületgazda'!Q28+'26. mell. Őrszolgálat'!Q28+'27. mell. KHEK'!Q28+'28. mell. KIO'!Q28</f>
        <v>0</v>
      </c>
      <c r="R28" s="321">
        <f>+'9. mell. PMH'!R28+'12. mell. Szakrendelő'!R28+'13. mell. GAMESZ'!R28+'14. mell. Gyerekkuckó'!R28+'15. mell. Cinkotai H.'!R28+'16. mell. Napsugár'!R28+'17. mell. Sashalmi M.'!R28+'18. mell. Margaréta'!R28+'19.mell.Szentmihályi Játszókert'!R28+'20. mell. M. Fecskefészek'!R28+'21. mell. CMH'!R28+'22. mell. Bölcsőde'!R28+'23. mell. Terszoc.'!R28+'24. mell. Napraforgó'!R28+'25. mell. Kerületgazda'!R28+'26. mell. Őrszolgálat'!R28+'27. mell. KHEK'!R28+'28. mell. KIO'!R28</f>
        <v>0</v>
      </c>
      <c r="S28" s="321">
        <f>+'9. mell. PMH'!S28+'12. mell. Szakrendelő'!S28+'13. mell. GAMESZ'!S28+'14. mell. Gyerekkuckó'!S28+'15. mell. Cinkotai H.'!S28+'16. mell. Napsugár'!S28+'17. mell. Sashalmi M.'!S28+'18. mell. Margaréta'!S28+'19.mell.Szentmihályi Játszókert'!S28+'20. mell. M. Fecskefészek'!S28+'21. mell. CMH'!S28+'22. mell. Bölcsőde'!S28+'23. mell. Terszoc.'!S28+'24. mell. Napraforgó'!S28+'25. mell. Kerületgazda'!S28+'26. mell. Őrszolgálat'!S28+'27. mell. KHEK'!S28+'28. mell. KIO'!S28</f>
        <v>0</v>
      </c>
      <c r="T28" s="321">
        <f>+'9. mell. PMH'!T28+'12. mell. Szakrendelő'!T28+'13. mell. GAMESZ'!T28+'14. mell. Gyerekkuckó'!T28+'15. mell. Cinkotai H.'!T28+'16. mell. Napsugár'!T28+'17. mell. Sashalmi M.'!T28+'18. mell. Margaréta'!T28+'19.mell.Szentmihályi Játszókert'!T28+'20. mell. M. Fecskefészek'!T28+'21. mell. CMH'!T28+'22. mell. Bölcsőde'!T28+'23. mell. Terszoc.'!T28+'24. mell. Napraforgó'!T28+'25. mell. Kerületgazda'!T28+'26. mell. Őrszolgálat'!T28+'27. mell. KHEK'!T28+'28. mell. KIO'!T28</f>
        <v>0</v>
      </c>
      <c r="U28" s="321">
        <f>+'9. mell. PMH'!U28+'12. mell. Szakrendelő'!U28+'13. mell. GAMESZ'!U28+'14. mell. Gyerekkuckó'!U28+'15. mell. Cinkotai H.'!U28+'16. mell. Napsugár'!U28+'17. mell. Sashalmi M.'!U28+'18. mell. Margaréta'!U28+'19.mell.Szentmihályi Játszókert'!U28+'20. mell. M. Fecskefészek'!U28+'21. mell. CMH'!U28+'22. mell. Bölcsőde'!U28+'23. mell. Terszoc.'!U28+'24. mell. Napraforgó'!U28+'25. mell. Kerületgazda'!U28+'26. mell. Őrszolgálat'!U28+'27. mell. KHEK'!U28+'28. mell. KIO'!U28</f>
        <v>0</v>
      </c>
      <c r="V28" s="321">
        <f>+'9. mell. PMH'!V28+'12. mell. Szakrendelő'!V28+'13. mell. GAMESZ'!V28+'14. mell. Gyerekkuckó'!V28+'15. mell. Cinkotai H.'!V28+'16. mell. Napsugár'!V28+'17. mell. Sashalmi M.'!V28+'18. mell. Margaréta'!V28+'19.mell.Szentmihályi Játszókert'!V28+'20. mell. M. Fecskefészek'!V28+'21. mell. CMH'!V28+'22. mell. Bölcsőde'!V28+'23. mell. Terszoc.'!V28+'24. mell. Napraforgó'!V28+'25. mell. Kerületgazda'!V28+'26. mell. Őrszolgálat'!V28+'27. mell. KHEK'!V28+'28. mell. KIO'!V28</f>
        <v>0</v>
      </c>
      <c r="W28" s="321">
        <f>+'9. mell. PMH'!W28+'12. mell. Szakrendelő'!W28+'13. mell. GAMESZ'!W28+'14. mell. Gyerekkuckó'!W28+'15. mell. Cinkotai H.'!W28+'16. mell. Napsugár'!W28+'17. mell. Sashalmi M.'!W28+'18. mell. Margaréta'!W28+'19.mell.Szentmihályi Játszókert'!W28+'20. mell. M. Fecskefészek'!W28+'21. mell. CMH'!W28+'22. mell. Bölcsőde'!W28+'23. mell. Terszoc.'!W28+'24. mell. Napraforgó'!W28+'25. mell. Kerületgazda'!W28+'26. mell. Őrszolgálat'!W28+'27. mell. KHEK'!W28+'28. mell. KIO'!W28</f>
        <v>0</v>
      </c>
      <c r="X28" s="321">
        <f>+'9. mell. PMH'!X28+'12. mell. Szakrendelő'!X28+'13. mell. GAMESZ'!X28+'14. mell. Gyerekkuckó'!X28+'15. mell. Cinkotai H.'!X28+'16. mell. Napsugár'!X28+'17. mell. Sashalmi M.'!X28+'18. mell. Margaréta'!X28+'19.mell.Szentmihályi Játszókert'!X28+'20. mell. M. Fecskefészek'!X28+'21. mell. CMH'!X28+'22. mell. Bölcsőde'!X28+'23. mell. Terszoc.'!X28+'24. mell. Napraforgó'!X28+'25. mell. Kerületgazda'!X28+'26. mell. Őrszolgálat'!X28+'27. mell. KHEK'!X28+'28. mell. KIO'!X28</f>
        <v>0</v>
      </c>
      <c r="Y28" s="321">
        <f>+'9. mell. PMH'!Y28+'12. mell. Szakrendelő'!Y28+'13. mell. GAMESZ'!Y28+'14. mell. Gyerekkuckó'!Y28+'15. mell. Cinkotai H.'!Y28+'16. mell. Napsugár'!Y28+'17. mell. Sashalmi M.'!Y28+'18. mell. Margaréta'!Y28+'19.mell.Szentmihályi Játszókert'!Y28+'20. mell. M. Fecskefészek'!Y28+'21. mell. CMH'!Y28+'22. mell. Bölcsőde'!Y28+'23. mell. Terszoc.'!Y28+'24. mell. Napraforgó'!Y28+'25. mell. Kerületgazda'!Y28+'26. mell. Őrszolgálat'!Y28+'27. mell. KHEK'!Y28+'28. mell. KIO'!Y28</f>
        <v>0</v>
      </c>
      <c r="Z28" s="321">
        <f>+'9. mell. PMH'!Z28+'12. mell. Szakrendelő'!Z28+'13. mell. GAMESZ'!Z28+'14. mell. Gyerekkuckó'!Z28+'15. mell. Cinkotai H.'!Z28+'16. mell. Napsugár'!Z28+'17. mell. Sashalmi M.'!Z28+'18. mell. Margaréta'!Z28+'19.mell.Szentmihályi Játszókert'!Z28+'20. mell. M. Fecskefészek'!Z28+'21. mell. CMH'!Z28+'22. mell. Bölcsőde'!Z28+'23. mell. Terszoc.'!Z28+'24. mell. Napraforgó'!Z28+'25. mell. Kerületgazda'!Z28+'26. mell. Őrszolgálat'!Z28+'27. mell. KHEK'!Z28+'28. mell. KIO'!Z28</f>
        <v>0</v>
      </c>
      <c r="AA28" s="321">
        <f>+'9. mell. PMH'!AA28+'12. mell. Szakrendelő'!AA28+'13. mell. GAMESZ'!AA28+'14. mell. Gyerekkuckó'!AA28+'15. mell. Cinkotai H.'!AA28+'16. mell. Napsugár'!AA28+'17. mell. Sashalmi M.'!AA28+'18. mell. Margaréta'!AA28+'19.mell.Szentmihályi Játszókert'!AA28+'20. mell. M. Fecskefészek'!AA28+'21. mell. CMH'!AA28+'22. mell. Bölcsőde'!AA28+'23. mell. Terszoc.'!AA28+'24. mell. Napraforgó'!AA28+'25. mell. Kerületgazda'!AA28+'26. mell. Őrszolgálat'!AA28+'27. mell. KHEK'!AA28+'28. mell. KIO'!AA28</f>
        <v>0</v>
      </c>
      <c r="AB28" s="321">
        <f>+'9. mell. PMH'!AB28+'12. mell. Szakrendelő'!AB28+'13. mell. GAMESZ'!AB28+'14. mell. Gyerekkuckó'!AB28+'15. mell. Cinkotai H.'!AB28+'16. mell. Napsugár'!AB28+'17. mell. Sashalmi M.'!AB28+'18. mell. Margaréta'!AB28+'19.mell.Szentmihályi Játszókert'!AB28+'20. mell. M. Fecskefészek'!AB28+'21. mell. CMH'!AB28+'22. mell. Bölcsőde'!AB28+'23. mell. Terszoc.'!AB28+'24. mell. Napraforgó'!AB28+'25. mell. Kerületgazda'!AB28+'26. mell. Őrszolgálat'!AB28+'27. mell. KHEK'!AB28+'28. mell. KIO'!AB28</f>
        <v>0</v>
      </c>
      <c r="AC28" s="321">
        <f>+'9. mell. PMH'!AC28+'12. mell. Szakrendelő'!AC28+'13. mell. GAMESZ'!AC28+'14. mell. Gyerekkuckó'!AC28+'15. mell. Cinkotai H.'!AC28+'16. mell. Napsugár'!AC28+'17. mell. Sashalmi M.'!AC28+'18. mell. Margaréta'!AC28+'19.mell.Szentmihályi Játszókert'!AC28+'20. mell. M. Fecskefészek'!AC28+'21. mell. CMH'!AC28+'22. mell. Bölcsőde'!AC28+'23. mell. Terszoc.'!AC28+'24. mell. Napraforgó'!AC28+'25. mell. Kerületgazda'!AC28+'26. mell. Őrszolgálat'!AC28+'27. mell. KHEK'!AC28+'28. mell. KIO'!AC28</f>
        <v>0</v>
      </c>
      <c r="AD28" s="333"/>
      <c r="AE28" s="321">
        <f t="shared" si="0"/>
        <v>0</v>
      </c>
      <c r="AF28" s="321">
        <f t="shared" si="1"/>
        <v>0</v>
      </c>
      <c r="AG28" s="321">
        <f t="shared" si="2"/>
        <v>0</v>
      </c>
      <c r="AH28" s="321">
        <f t="shared" si="3"/>
        <v>0</v>
      </c>
      <c r="AI28" s="324"/>
      <c r="AJ28" s="321">
        <f t="shared" si="4"/>
        <v>0</v>
      </c>
      <c r="AK28" s="325">
        <f>+F28-'9. mell. PMH'!F28-'12. mell. Szakrendelő'!F28-'25. mell. Kerületgazda'!F28-'28. mell. KIO'!F28</f>
        <v>0</v>
      </c>
      <c r="AL28" s="325">
        <f>+G28-'9. mell. PMH'!G28-'12. mell. Szakrendelő'!G28-'25. mell. Kerületgazda'!G28-'28. mell. KIO'!G28</f>
        <v>0</v>
      </c>
      <c r="AM28" s="325">
        <f>+H28-'9. mell. PMH'!H28-'12. mell. Szakrendelő'!H28-'25. mell. Kerületgazda'!H28-'28. mell. KIO'!H28</f>
        <v>0</v>
      </c>
      <c r="AN28" s="325">
        <f>+I28-'9. mell. PMH'!I28-'12. mell. Szakrendelő'!I28-'25. mell. Kerületgazda'!I28-'28. mell. KIO'!I28</f>
        <v>0</v>
      </c>
      <c r="AO28" s="325">
        <f>+J28-'9. mell. PMH'!J28-'12. mell. Szakrendelő'!J28-'25. mell. Kerületgazda'!J28-'28. mell. KIO'!J28</f>
        <v>0</v>
      </c>
      <c r="AP28" s="325">
        <f>+K28-'9. mell. PMH'!K28-'12. mell. Szakrendelő'!K28-'25. mell. Kerületgazda'!K28-'28. mell. KIO'!K28</f>
        <v>0</v>
      </c>
      <c r="AQ28" s="1195">
        <f t="shared" si="5"/>
        <v>0</v>
      </c>
      <c r="AR28" s="1593">
        <f t="shared" si="6"/>
        <v>0</v>
      </c>
      <c r="AS28" s="1195">
        <f t="shared" si="7"/>
        <v>0</v>
      </c>
      <c r="AT28" s="2647">
        <v>0</v>
      </c>
      <c r="AU28" s="1593">
        <f t="shared" si="8"/>
        <v>0</v>
      </c>
    </row>
    <row r="29" spans="1:47" s="332" customFormat="1" ht="12" customHeight="1" thickBot="1">
      <c r="A29" s="319" t="s">
        <v>17</v>
      </c>
      <c r="B29" s="1436" t="s">
        <v>17</v>
      </c>
      <c r="C29" s="335" t="s">
        <v>2860</v>
      </c>
      <c r="D29" s="321">
        <f>+'9. mell. PMH'!D29+'12. mell. Szakrendelő'!D29+'13. mell. GAMESZ'!D29+'14. mell. Gyerekkuckó'!D29+'15. mell. Cinkotai H.'!D29+'16. mell. Napsugár'!D29+'17. mell. Sashalmi M.'!D29+'18. mell. Margaréta'!D29+'19.mell.Szentmihályi Játszókert'!D29+'20. mell. M. Fecskefészek'!D29+'21. mell. CMH'!D29+'22. mell. Bölcsőde'!D29+'23. mell. Terszoc.'!D29+'24. mell. Napraforgó'!D29+'25. mell. Kerületgazda'!D29+'26. mell. Őrszolgálat'!D29+'27. mell. KHEK'!D29+'28. mell. KIO'!D29</f>
        <v>0</v>
      </c>
      <c r="E29" s="2587">
        <f>+'9. mell. PMH'!E29+'12. mell. Szakrendelő'!E29+'13. mell. GAMESZ'!E29+'14. mell. Gyerekkuckó'!E29+'15. mell. Cinkotai H.'!E29+'16. mell. Napsugár'!E29+'17. mell. Sashalmi M.'!E29+'18. mell. Margaréta'!E29+'19.mell.Szentmihályi Játszókert'!E29+'20. mell. M. Fecskefészek'!E29+'21. mell. CMH'!E29+'22. mell. Bölcsőde'!E29+'23. mell. Terszoc.'!E29+'24. mell. Napraforgó'!E29+'25. mell. Kerületgazda'!E29+'26. mell. Őrszolgálat'!E29+'27. mell. KHEK'!E29+'28. mell. KIO'!E29</f>
        <v>0</v>
      </c>
      <c r="F29" s="321">
        <f>+'9. mell. PMH'!F29+'12. mell. Szakrendelő'!F29+'13. mell. GAMESZ'!F29+'14. mell. Gyerekkuckó'!F29+'15. mell. Cinkotai H.'!F29+'16. mell. Napsugár'!F29+'17. mell. Sashalmi M.'!F29+'18. mell. Margaréta'!F29+'19.mell.Szentmihályi Játszókert'!F29+'20. mell. M. Fecskefészek'!F29+'21. mell. CMH'!F29+'22. mell. Bölcsőde'!F29+'23. mell. Terszoc.'!F29+'24. mell. Napraforgó'!F29+'25. mell. Kerületgazda'!F29+'26. mell. Őrszolgálat'!F29+'27. mell. KHEK'!F29+'28. mell. KIO'!F29</f>
        <v>0</v>
      </c>
      <c r="G29" s="321">
        <f>+'9. mell. PMH'!G29+'12. mell. Szakrendelő'!G29+'13. mell. GAMESZ'!G29+'14. mell. Gyerekkuckó'!G29+'15. mell. Cinkotai H.'!G29+'16. mell. Napsugár'!G29+'17. mell. Sashalmi M.'!G29+'18. mell. Margaréta'!G29+'19.mell.Szentmihályi Játszókert'!G29+'20. mell. M. Fecskefészek'!G29+'21. mell. CMH'!G29+'22. mell. Bölcsőde'!G29+'23. mell. Terszoc.'!G29+'24. mell. Napraforgó'!G29+'25. mell. Kerületgazda'!G29+'26. mell. Őrszolgálat'!G29+'27. mell. KHEK'!G29+'28. mell. KIO'!G29</f>
        <v>0</v>
      </c>
      <c r="H29" s="321">
        <f>+'9. mell. PMH'!H29+'12. mell. Szakrendelő'!H29+'13. mell. GAMESZ'!H29+'14. mell. Gyerekkuckó'!H29+'15. mell. Cinkotai H.'!H29+'16. mell. Napsugár'!H29+'17. mell. Sashalmi M.'!H29+'18. mell. Margaréta'!H29+'19.mell.Szentmihályi Játszókert'!H29+'20. mell. M. Fecskefészek'!H29+'21. mell. CMH'!H29+'22. mell. Bölcsőde'!H29+'23. mell. Terszoc.'!H29+'24. mell. Napraforgó'!H29+'25. mell. Kerületgazda'!H29+'26. mell. Őrszolgálat'!H29+'27. mell. KHEK'!H29+'28. mell. KIO'!H29</f>
        <v>0</v>
      </c>
      <c r="I29" s="321">
        <f>+'9. mell. PMH'!I29+'12. mell. Szakrendelő'!I29+'13. mell. GAMESZ'!I29+'14. mell. Gyerekkuckó'!I29+'15. mell. Cinkotai H.'!I29+'16. mell. Napsugár'!I29+'17. mell. Sashalmi M.'!I29+'18. mell. Margaréta'!I29+'19.mell.Szentmihályi Játszókert'!I29+'20. mell. M. Fecskefészek'!I29+'21. mell. CMH'!I29+'22. mell. Bölcsőde'!I29+'23. mell. Terszoc.'!I29+'24. mell. Napraforgó'!I29+'25. mell. Kerületgazda'!I29+'26. mell. Őrszolgálat'!I29+'27. mell. KHEK'!I29+'28. mell. KIO'!I29</f>
        <v>0</v>
      </c>
      <c r="J29" s="321">
        <f>+'9. mell. PMH'!J29+'12. mell. Szakrendelő'!J29+'13. mell. GAMESZ'!J29+'14. mell. Gyerekkuckó'!J29+'15. mell. Cinkotai H.'!J29+'16. mell. Napsugár'!J29+'17. mell. Sashalmi M.'!J29+'18. mell. Margaréta'!J29+'19.mell.Szentmihályi Játszókert'!J29+'20. mell. M. Fecskefészek'!J29+'21. mell. CMH'!J29+'22. mell. Bölcsőde'!J29+'23. mell. Terszoc.'!J29+'24. mell. Napraforgó'!J29+'25. mell. Kerületgazda'!J29+'26. mell. Őrszolgálat'!J29+'27. mell. KHEK'!J29+'28. mell. KIO'!J29</f>
        <v>0</v>
      </c>
      <c r="K29" s="2197">
        <f>+'9. mell. PMH'!K29+'12. mell. Szakrendelő'!K29+'13. mell. GAMESZ'!K29+'14. mell. Gyerekkuckó'!K29+'15. mell. Cinkotai H.'!K29+'16. mell. Napsugár'!K29+'17. mell. Sashalmi M.'!K29+'18. mell. Margaréta'!K29+'19.mell.Szentmihályi Játszókert'!K29+'20. mell. M. Fecskefészek'!K29+'21. mell. CMH'!K29+'22. mell. Bölcsőde'!K29+'23. mell. Terszoc.'!K29+'24. mell. Napraforgó'!K29+'25. mell. Kerületgazda'!K29+'26. mell. Őrszolgálat'!K29+'27. mell. KHEK'!K29+'28. mell. KIO'!K29</f>
        <v>0</v>
      </c>
      <c r="L29" s="321">
        <f>+'9. mell. PMH'!L29+'12. mell. Szakrendelő'!L29+'13. mell. GAMESZ'!L29+'14. mell. Gyerekkuckó'!L29+'15. mell. Cinkotai H.'!L29+'16. mell. Napsugár'!L29+'17. mell. Sashalmi M.'!L29+'18. mell. Margaréta'!L29+'19.mell.Szentmihályi Játszókert'!L29+'20. mell. M. Fecskefészek'!L29+'21. mell. CMH'!L29+'22. mell. Bölcsőde'!L29+'23. mell. Terszoc.'!L29+'24. mell. Napraforgó'!L29+'25. mell. Kerületgazda'!L29+'26. mell. Őrszolgálat'!L29+'27. mell. KHEK'!L29+'28. mell. KIO'!L29</f>
        <v>0</v>
      </c>
      <c r="M29" s="321">
        <f>+'9. mell. PMH'!M29+'12. mell. Szakrendelő'!M29+'13. mell. GAMESZ'!M29+'14. mell. Gyerekkuckó'!M29+'15. mell. Cinkotai H.'!M29+'16. mell. Napsugár'!M29+'17. mell. Sashalmi M.'!M29+'18. mell. Margaréta'!M29+'19.mell.Szentmihályi Játszókert'!M29+'20. mell. M. Fecskefészek'!M29+'21. mell. CMH'!M29+'22. mell. Bölcsőde'!M29+'23. mell. Terszoc.'!M29+'24. mell. Napraforgó'!M29+'25. mell. Kerületgazda'!M29+'26. mell. Őrszolgálat'!M29+'27. mell. KHEK'!M29+'28. mell. KIO'!M29</f>
        <v>0</v>
      </c>
      <c r="N29" s="321">
        <f>+'9. mell. PMH'!N29+'12. mell. Szakrendelő'!N29+'13. mell. GAMESZ'!N29+'14. mell. Gyerekkuckó'!N29+'15. mell. Cinkotai H.'!N29+'16. mell. Napsugár'!N29+'17. mell. Sashalmi M.'!N29+'18. mell. Margaréta'!N29+'19.mell.Szentmihályi Játszókert'!N29+'20. mell. M. Fecskefészek'!N29+'21. mell. CMH'!N29+'22. mell. Bölcsőde'!N29+'23. mell. Terszoc.'!N29+'24. mell. Napraforgó'!N29+'25. mell. Kerületgazda'!N29+'26. mell. Őrszolgálat'!N29+'27. mell. KHEK'!N29+'28. mell. KIO'!N29</f>
        <v>0</v>
      </c>
      <c r="O29" s="321">
        <f>+'9. mell. PMH'!O29+'12. mell. Szakrendelő'!O29+'13. mell. GAMESZ'!O29+'14. mell. Gyerekkuckó'!O29+'15. mell. Cinkotai H.'!O29+'16. mell. Napsugár'!O29+'17. mell. Sashalmi M.'!O29+'18. mell. Margaréta'!O29+'19.mell.Szentmihályi Játszókert'!O29+'20. mell. M. Fecskefészek'!O29+'21. mell. CMH'!O29+'22. mell. Bölcsőde'!O29+'23. mell. Terszoc.'!O29+'24. mell. Napraforgó'!O29+'25. mell. Kerületgazda'!O29+'26. mell. Őrszolgálat'!O29+'27. mell. KHEK'!O29+'28. mell. KIO'!O29</f>
        <v>0</v>
      </c>
      <c r="P29" s="321">
        <f>+'9. mell. PMH'!P29+'12. mell. Szakrendelő'!P29+'13. mell. GAMESZ'!P29+'14. mell. Gyerekkuckó'!P29+'15. mell. Cinkotai H.'!P29+'16. mell. Napsugár'!P29+'17. mell. Sashalmi M.'!P29+'18. mell. Margaréta'!P29+'19.mell.Szentmihályi Játszókert'!P29+'20. mell. M. Fecskefészek'!P29+'21. mell. CMH'!P29+'22. mell. Bölcsőde'!P29+'23. mell. Terszoc.'!P29+'24. mell. Napraforgó'!P29+'25. mell. Kerületgazda'!P29+'26. mell. Őrszolgálat'!P29+'27. mell. KHEK'!P29+'28. mell. KIO'!P29</f>
        <v>0</v>
      </c>
      <c r="Q29" s="321">
        <f>+'9. mell. PMH'!Q29+'12. mell. Szakrendelő'!Q29+'13. mell. GAMESZ'!Q29+'14. mell. Gyerekkuckó'!Q29+'15. mell. Cinkotai H.'!Q29+'16. mell. Napsugár'!Q29+'17. mell. Sashalmi M.'!Q29+'18. mell. Margaréta'!Q29+'19.mell.Szentmihályi Játszókert'!Q29+'20. mell. M. Fecskefészek'!Q29+'21. mell. CMH'!Q29+'22. mell. Bölcsőde'!Q29+'23. mell. Terszoc.'!Q29+'24. mell. Napraforgó'!Q29+'25. mell. Kerületgazda'!Q29+'26. mell. Őrszolgálat'!Q29+'27. mell. KHEK'!Q29+'28. mell. KIO'!Q29</f>
        <v>0</v>
      </c>
      <c r="R29" s="321">
        <f>+'9. mell. PMH'!R29+'12. mell. Szakrendelő'!R29+'13. mell. GAMESZ'!R29+'14. mell. Gyerekkuckó'!R29+'15. mell. Cinkotai H.'!R29+'16. mell. Napsugár'!R29+'17. mell. Sashalmi M.'!R29+'18. mell. Margaréta'!R29+'19.mell.Szentmihályi Játszókert'!R29+'20. mell. M. Fecskefészek'!R29+'21. mell. CMH'!R29+'22. mell. Bölcsőde'!R29+'23. mell. Terszoc.'!R29+'24. mell. Napraforgó'!R29+'25. mell. Kerületgazda'!R29+'26. mell. Őrszolgálat'!R29+'27. mell. KHEK'!R29+'28. mell. KIO'!R29</f>
        <v>0</v>
      </c>
      <c r="S29" s="321">
        <f>+'9. mell. PMH'!S29+'12. mell. Szakrendelő'!S29+'13. mell. GAMESZ'!S29+'14. mell. Gyerekkuckó'!S29+'15. mell. Cinkotai H.'!S29+'16. mell. Napsugár'!S29+'17. mell. Sashalmi M.'!S29+'18. mell. Margaréta'!S29+'19.mell.Szentmihályi Játszókert'!S29+'20. mell. M. Fecskefészek'!S29+'21. mell. CMH'!S29+'22. mell. Bölcsőde'!S29+'23. mell. Terszoc.'!S29+'24. mell. Napraforgó'!S29+'25. mell. Kerületgazda'!S29+'26. mell. Őrszolgálat'!S29+'27. mell. KHEK'!S29+'28. mell. KIO'!S29</f>
        <v>0</v>
      </c>
      <c r="T29" s="321">
        <f>+'9. mell. PMH'!T29+'12. mell. Szakrendelő'!T29+'13. mell. GAMESZ'!T29+'14. mell. Gyerekkuckó'!T29+'15. mell. Cinkotai H.'!T29+'16. mell. Napsugár'!T29+'17. mell. Sashalmi M.'!T29+'18. mell. Margaréta'!T29+'19.mell.Szentmihályi Játszókert'!T29+'20. mell. M. Fecskefészek'!T29+'21. mell. CMH'!T29+'22. mell. Bölcsőde'!T29+'23. mell. Terszoc.'!T29+'24. mell. Napraforgó'!T29+'25. mell. Kerületgazda'!T29+'26. mell. Őrszolgálat'!T29+'27. mell. KHEK'!T29+'28. mell. KIO'!T29</f>
        <v>0</v>
      </c>
      <c r="U29" s="321">
        <f>+'9. mell. PMH'!U29+'12. mell. Szakrendelő'!U29+'13. mell. GAMESZ'!U29+'14. mell. Gyerekkuckó'!U29+'15. mell. Cinkotai H.'!U29+'16. mell. Napsugár'!U29+'17. mell. Sashalmi M.'!U29+'18. mell. Margaréta'!U29+'19.mell.Szentmihályi Játszókert'!U29+'20. mell. M. Fecskefészek'!U29+'21. mell. CMH'!U29+'22. mell. Bölcsőde'!U29+'23. mell. Terszoc.'!U29+'24. mell. Napraforgó'!U29+'25. mell. Kerületgazda'!U29+'26. mell. Őrszolgálat'!U29+'27. mell. KHEK'!U29+'28. mell. KIO'!U29</f>
        <v>0</v>
      </c>
      <c r="V29" s="321">
        <f>+'9. mell. PMH'!V29+'12. mell. Szakrendelő'!V29+'13. mell. GAMESZ'!V29+'14. mell. Gyerekkuckó'!V29+'15. mell. Cinkotai H.'!V29+'16. mell. Napsugár'!V29+'17. mell. Sashalmi M.'!V29+'18. mell. Margaréta'!V29+'19.mell.Szentmihályi Játszókert'!V29+'20. mell. M. Fecskefészek'!V29+'21. mell. CMH'!V29+'22. mell. Bölcsőde'!V29+'23. mell. Terszoc.'!V29+'24. mell. Napraforgó'!V29+'25. mell. Kerületgazda'!V29+'26. mell. Őrszolgálat'!V29+'27. mell. KHEK'!V29+'28. mell. KIO'!V29</f>
        <v>0</v>
      </c>
      <c r="W29" s="321">
        <f>+'9. mell. PMH'!W29+'12. mell. Szakrendelő'!W29+'13. mell. GAMESZ'!W29+'14. mell. Gyerekkuckó'!W29+'15. mell. Cinkotai H.'!W29+'16. mell. Napsugár'!W29+'17. mell. Sashalmi M.'!W29+'18. mell. Margaréta'!W29+'19.mell.Szentmihályi Játszókert'!W29+'20. mell. M. Fecskefészek'!W29+'21. mell. CMH'!W29+'22. mell. Bölcsőde'!W29+'23. mell. Terszoc.'!W29+'24. mell. Napraforgó'!W29+'25. mell. Kerületgazda'!W29+'26. mell. Őrszolgálat'!W29+'27. mell. KHEK'!W29+'28. mell. KIO'!W29</f>
        <v>0</v>
      </c>
      <c r="X29" s="321">
        <f>+'9. mell. PMH'!X29+'12. mell. Szakrendelő'!X29+'13. mell. GAMESZ'!X29+'14. mell. Gyerekkuckó'!X29+'15. mell. Cinkotai H.'!X29+'16. mell. Napsugár'!X29+'17. mell. Sashalmi M.'!X29+'18. mell. Margaréta'!X29+'19.mell.Szentmihályi Játszókert'!X29+'20. mell. M. Fecskefészek'!X29+'21. mell. CMH'!X29+'22. mell. Bölcsőde'!X29+'23. mell. Terszoc.'!X29+'24. mell. Napraforgó'!X29+'25. mell. Kerületgazda'!X29+'26. mell. Őrszolgálat'!X29+'27. mell. KHEK'!X29+'28. mell. KIO'!X29</f>
        <v>0</v>
      </c>
      <c r="Y29" s="321">
        <f>+'9. mell. PMH'!Y29+'12. mell. Szakrendelő'!Y29+'13. mell. GAMESZ'!Y29+'14. mell. Gyerekkuckó'!Y29+'15. mell. Cinkotai H.'!Y29+'16. mell. Napsugár'!Y29+'17. mell. Sashalmi M.'!Y29+'18. mell. Margaréta'!Y29+'19.mell.Szentmihályi Játszókert'!Y29+'20. mell. M. Fecskefészek'!Y29+'21. mell. CMH'!Y29+'22. mell. Bölcsőde'!Y29+'23. mell. Terszoc.'!Y29+'24. mell. Napraforgó'!Y29+'25. mell. Kerületgazda'!Y29+'26. mell. Őrszolgálat'!Y29+'27. mell. KHEK'!Y29+'28. mell. KIO'!Y29</f>
        <v>0</v>
      </c>
      <c r="Z29" s="321">
        <f>+'9. mell. PMH'!Z29+'12. mell. Szakrendelő'!Z29+'13. mell. GAMESZ'!Z29+'14. mell. Gyerekkuckó'!Z29+'15. mell. Cinkotai H.'!Z29+'16. mell. Napsugár'!Z29+'17. mell. Sashalmi M.'!Z29+'18. mell. Margaréta'!Z29+'19.mell.Szentmihályi Játszókert'!Z29+'20. mell. M. Fecskefészek'!Z29+'21. mell. CMH'!Z29+'22. mell. Bölcsőde'!Z29+'23. mell. Terszoc.'!Z29+'24. mell. Napraforgó'!Z29+'25. mell. Kerületgazda'!Z29+'26. mell. Őrszolgálat'!Z29+'27. mell. KHEK'!Z29+'28. mell. KIO'!Z29</f>
        <v>0</v>
      </c>
      <c r="AA29" s="321">
        <f>+'9. mell. PMH'!AA29+'12. mell. Szakrendelő'!AA29+'13. mell. GAMESZ'!AA29+'14. mell. Gyerekkuckó'!AA29+'15. mell. Cinkotai H.'!AA29+'16. mell. Napsugár'!AA29+'17. mell. Sashalmi M.'!AA29+'18. mell. Margaréta'!AA29+'19.mell.Szentmihályi Játszókert'!AA29+'20. mell. M. Fecskefészek'!AA29+'21. mell. CMH'!AA29+'22. mell. Bölcsőde'!AA29+'23. mell. Terszoc.'!AA29+'24. mell. Napraforgó'!AA29+'25. mell. Kerületgazda'!AA29+'26. mell. Őrszolgálat'!AA29+'27. mell. KHEK'!AA29+'28. mell. KIO'!AA29</f>
        <v>0</v>
      </c>
      <c r="AB29" s="321">
        <f>+'9. mell. PMH'!AB29+'12. mell. Szakrendelő'!AB29+'13. mell. GAMESZ'!AB29+'14. mell. Gyerekkuckó'!AB29+'15. mell. Cinkotai H.'!AB29+'16. mell. Napsugár'!AB29+'17. mell. Sashalmi M.'!AB29+'18. mell. Margaréta'!AB29+'19.mell.Szentmihályi Játszókert'!AB29+'20. mell. M. Fecskefészek'!AB29+'21. mell. CMH'!AB29+'22. mell. Bölcsőde'!AB29+'23. mell. Terszoc.'!AB29+'24. mell. Napraforgó'!AB29+'25. mell. Kerületgazda'!AB29+'26. mell. Őrszolgálat'!AB29+'27. mell. KHEK'!AB29+'28. mell. KIO'!AB29</f>
        <v>0</v>
      </c>
      <c r="AC29" s="321">
        <f>+'9. mell. PMH'!AC29+'12. mell. Szakrendelő'!AC29+'13. mell. GAMESZ'!AC29+'14. mell. Gyerekkuckó'!AC29+'15. mell. Cinkotai H.'!AC29+'16. mell. Napsugár'!AC29+'17. mell. Sashalmi M.'!AC29+'18. mell. Margaréta'!AC29+'19.mell.Szentmihályi Játszókert'!AC29+'20. mell. M. Fecskefészek'!AC29+'21. mell. CMH'!AC29+'22. mell. Bölcsőde'!AC29+'23. mell. Terszoc.'!AC29+'24. mell. Napraforgó'!AC29+'25. mell. Kerületgazda'!AC29+'26. mell. Őrszolgálat'!AC29+'27. mell. KHEK'!AC29+'28. mell. KIO'!AC29</f>
        <v>0</v>
      </c>
      <c r="AD29" s="323"/>
      <c r="AE29" s="321">
        <f t="shared" si="0"/>
        <v>0</v>
      </c>
      <c r="AF29" s="321">
        <f t="shared" si="1"/>
        <v>0</v>
      </c>
      <c r="AG29" s="321">
        <f t="shared" si="2"/>
        <v>0</v>
      </c>
      <c r="AH29" s="321">
        <f t="shared" si="3"/>
        <v>0</v>
      </c>
      <c r="AI29" s="324"/>
      <c r="AJ29" s="321">
        <f t="shared" si="4"/>
        <v>0</v>
      </c>
      <c r="AK29" s="325">
        <f>+F29-'9. mell. PMH'!F29-'12. mell. Szakrendelő'!F29-'25. mell. Kerületgazda'!F29-'28. mell. KIO'!F29</f>
        <v>0</v>
      </c>
      <c r="AL29" s="325">
        <f>+G29-'9. mell. PMH'!G29-'12. mell. Szakrendelő'!G29-'25. mell. Kerületgazda'!G29-'28. mell. KIO'!G29</f>
        <v>0</v>
      </c>
      <c r="AM29" s="325">
        <f>+H29-'9. mell. PMH'!H29-'12. mell. Szakrendelő'!H29-'25. mell. Kerületgazda'!H29-'28. mell. KIO'!H29</f>
        <v>0</v>
      </c>
      <c r="AN29" s="325">
        <f>+I29-'9. mell. PMH'!I29-'12. mell. Szakrendelő'!I29-'25. mell. Kerületgazda'!I29-'28. mell. KIO'!I29</f>
        <v>0</v>
      </c>
      <c r="AO29" s="325">
        <f>+J29-'9. mell. PMH'!J29-'12. mell. Szakrendelő'!J29-'25. mell. Kerületgazda'!J29-'28. mell. KIO'!J29</f>
        <v>0</v>
      </c>
      <c r="AP29" s="325">
        <f>+K29-'9. mell. PMH'!K29-'12. mell. Szakrendelő'!K29-'25. mell. Kerületgazda'!K29-'28. mell. KIO'!K29</f>
        <v>0</v>
      </c>
      <c r="AQ29" s="1195">
        <f t="shared" si="5"/>
        <v>0</v>
      </c>
      <c r="AR29" s="1593">
        <f t="shared" si="6"/>
        <v>0</v>
      </c>
      <c r="AS29" s="1195">
        <f t="shared" si="7"/>
        <v>0</v>
      </c>
      <c r="AT29" s="2647">
        <v>0</v>
      </c>
      <c r="AU29" s="1593">
        <f t="shared" si="8"/>
        <v>0</v>
      </c>
    </row>
    <row r="30" spans="1:47" s="332" customFormat="1" ht="12" customHeight="1" thickBot="1">
      <c r="A30" s="319" t="s">
        <v>19</v>
      </c>
      <c r="B30" s="338" t="s">
        <v>19</v>
      </c>
      <c r="C30" s="335" t="s">
        <v>1281</v>
      </c>
      <c r="D30" s="321">
        <f>+'9. mell. PMH'!D30+'12. mell. Szakrendelő'!D30+'13. mell. GAMESZ'!D30+'14. mell. Gyerekkuckó'!D30+'15. mell. Cinkotai H.'!D30+'16. mell. Napsugár'!D30+'17. mell. Sashalmi M.'!D30+'18. mell. Margaréta'!D30+'19.mell.Szentmihályi Játszókert'!D30+'20. mell. M. Fecskefészek'!D30+'21. mell. CMH'!D30+'22. mell. Bölcsőde'!D30+'23. mell. Terszoc.'!D30+'24. mell. Napraforgó'!D30+'25. mell. Kerületgazda'!D30+'26. mell. Őrszolgálat'!D30+'27. mell. KHEK'!D30+'28. mell. KIO'!D30</f>
        <v>0</v>
      </c>
      <c r="E30" s="2587">
        <f>+'9. mell. PMH'!E30+'12. mell. Szakrendelő'!E30+'13. mell. GAMESZ'!E30+'14. mell. Gyerekkuckó'!E30+'15. mell. Cinkotai H.'!E30+'16. mell. Napsugár'!E30+'17. mell. Sashalmi M.'!E30+'18. mell. Margaréta'!E30+'19.mell.Szentmihályi Játszókert'!E30+'20. mell. M. Fecskefészek'!E30+'21. mell. CMH'!E30+'22. mell. Bölcsőde'!E30+'23. mell. Terszoc.'!E30+'24. mell. Napraforgó'!E30+'25. mell. Kerületgazda'!E30+'26. mell. Őrszolgálat'!E30+'27. mell. KHEK'!E30+'28. mell. KIO'!E30</f>
        <v>0</v>
      </c>
      <c r="F30" s="321">
        <f>+'9. mell. PMH'!F30+'12. mell. Szakrendelő'!F30+'13. mell. GAMESZ'!F30+'14. mell. Gyerekkuckó'!F30+'15. mell. Cinkotai H.'!F30+'16. mell. Napsugár'!F30+'17. mell. Sashalmi M.'!F30+'18. mell. Margaréta'!F30+'19.mell.Szentmihályi Játszókert'!F30+'20. mell. M. Fecskefészek'!F30+'21. mell. CMH'!F30+'22. mell. Bölcsőde'!F30+'23. mell. Terszoc.'!F30+'24. mell. Napraforgó'!F30+'25. mell. Kerületgazda'!F30+'26. mell. Őrszolgálat'!F30+'27. mell. KHEK'!F30+'28. mell. KIO'!F30</f>
        <v>0</v>
      </c>
      <c r="G30" s="321">
        <f>+'9. mell. PMH'!G30+'12. mell. Szakrendelő'!G30+'13. mell. GAMESZ'!G30+'14. mell. Gyerekkuckó'!G30+'15. mell. Cinkotai H.'!G30+'16. mell. Napsugár'!G30+'17. mell. Sashalmi M.'!G30+'18. mell. Margaréta'!G30+'19.mell.Szentmihályi Játszókert'!G30+'20. mell. M. Fecskefészek'!G30+'21. mell. CMH'!G30+'22. mell. Bölcsőde'!G30+'23. mell. Terszoc.'!G30+'24. mell. Napraforgó'!G30+'25. mell. Kerületgazda'!G30+'26. mell. Őrszolgálat'!G30+'27. mell. KHEK'!G30+'28. mell. KIO'!G30</f>
        <v>0</v>
      </c>
      <c r="H30" s="321">
        <f>+'9. mell. PMH'!H30+'12. mell. Szakrendelő'!H30+'13. mell. GAMESZ'!H30+'14. mell. Gyerekkuckó'!H30+'15. mell. Cinkotai H.'!H30+'16. mell. Napsugár'!H30+'17. mell. Sashalmi M.'!H30+'18. mell. Margaréta'!H30+'19.mell.Szentmihályi Játszókert'!H30+'20. mell. M. Fecskefészek'!H30+'21. mell. CMH'!H30+'22. mell. Bölcsőde'!H30+'23. mell. Terszoc.'!H30+'24. mell. Napraforgó'!H30+'25. mell. Kerületgazda'!H30+'26. mell. Őrszolgálat'!H30+'27. mell. KHEK'!H30+'28. mell. KIO'!H30</f>
        <v>0</v>
      </c>
      <c r="I30" s="321">
        <f>+'9. mell. PMH'!I30+'12. mell. Szakrendelő'!I30+'13. mell. GAMESZ'!I30+'14. mell. Gyerekkuckó'!I30+'15. mell. Cinkotai H.'!I30+'16. mell. Napsugár'!I30+'17. mell. Sashalmi M.'!I30+'18. mell. Margaréta'!I30+'19.mell.Szentmihályi Játszókert'!I30+'20. mell. M. Fecskefészek'!I30+'21. mell. CMH'!I30+'22. mell. Bölcsőde'!I30+'23. mell. Terszoc.'!I30+'24. mell. Napraforgó'!I30+'25. mell. Kerületgazda'!I30+'26. mell. Őrszolgálat'!I30+'27. mell. KHEK'!I30+'28. mell. KIO'!I30</f>
        <v>0</v>
      </c>
      <c r="J30" s="321">
        <f>+'9. mell. PMH'!J30+'12. mell. Szakrendelő'!J30+'13. mell. GAMESZ'!J30+'14. mell. Gyerekkuckó'!J30+'15. mell. Cinkotai H.'!J30+'16. mell. Napsugár'!J30+'17. mell. Sashalmi M.'!J30+'18. mell. Margaréta'!J30+'19.mell.Szentmihályi Játszókert'!J30+'20. mell. M. Fecskefészek'!J30+'21. mell. CMH'!J30+'22. mell. Bölcsőde'!J30+'23. mell. Terszoc.'!J30+'24. mell. Napraforgó'!J30+'25. mell. Kerületgazda'!J30+'26. mell. Őrszolgálat'!J30+'27. mell. KHEK'!J30+'28. mell. KIO'!J30</f>
        <v>0</v>
      </c>
      <c r="K30" s="2197">
        <f>+'9. mell. PMH'!K30+'12. mell. Szakrendelő'!K30+'13. mell. GAMESZ'!K30+'14. mell. Gyerekkuckó'!K30+'15. mell. Cinkotai H.'!K30+'16. mell. Napsugár'!K30+'17. mell. Sashalmi M.'!K30+'18. mell. Margaréta'!K30+'19.mell.Szentmihályi Játszókert'!K30+'20. mell. M. Fecskefészek'!K30+'21. mell. CMH'!K30+'22. mell. Bölcsőde'!K30+'23. mell. Terszoc.'!K30+'24. mell. Napraforgó'!K30+'25. mell. Kerületgazda'!K30+'26. mell. Őrszolgálat'!K30+'27. mell. KHEK'!K30+'28. mell. KIO'!K30</f>
        <v>0</v>
      </c>
      <c r="L30" s="321">
        <f>+'9. mell. PMH'!L30+'12. mell. Szakrendelő'!L30+'13. mell. GAMESZ'!L30+'14. mell. Gyerekkuckó'!L30+'15. mell. Cinkotai H.'!L30+'16. mell. Napsugár'!L30+'17. mell. Sashalmi M.'!L30+'18. mell. Margaréta'!L30+'19.mell.Szentmihályi Játszókert'!L30+'20. mell. M. Fecskefészek'!L30+'21. mell. CMH'!L30+'22. mell. Bölcsőde'!L30+'23. mell. Terszoc.'!L30+'24. mell. Napraforgó'!L30+'25. mell. Kerületgazda'!L30+'26. mell. Őrszolgálat'!L30+'27. mell. KHEK'!L30+'28. mell. KIO'!L30</f>
        <v>0</v>
      </c>
      <c r="M30" s="321">
        <f>+'9. mell. PMH'!M30+'12. mell. Szakrendelő'!M30+'13. mell. GAMESZ'!M30+'14. mell. Gyerekkuckó'!M30+'15. mell. Cinkotai H.'!M30+'16. mell. Napsugár'!M30+'17. mell. Sashalmi M.'!M30+'18. mell. Margaréta'!M30+'19.mell.Szentmihályi Játszókert'!M30+'20. mell. M. Fecskefészek'!M30+'21. mell. CMH'!M30+'22. mell. Bölcsőde'!M30+'23. mell. Terszoc.'!M30+'24. mell. Napraforgó'!M30+'25. mell. Kerületgazda'!M30+'26. mell. Őrszolgálat'!M30+'27. mell. KHEK'!M30+'28. mell. KIO'!M30</f>
        <v>0</v>
      </c>
      <c r="N30" s="321">
        <f>+'9. mell. PMH'!N30+'12. mell. Szakrendelő'!N30+'13. mell. GAMESZ'!N30+'14. mell. Gyerekkuckó'!N30+'15. mell. Cinkotai H.'!N30+'16. mell. Napsugár'!N30+'17. mell. Sashalmi M.'!N30+'18. mell. Margaréta'!N30+'19.mell.Szentmihályi Játszókert'!N30+'20. mell. M. Fecskefészek'!N30+'21. mell. CMH'!N30+'22. mell. Bölcsőde'!N30+'23. mell. Terszoc.'!N30+'24. mell. Napraforgó'!N30+'25. mell. Kerületgazda'!N30+'26. mell. Őrszolgálat'!N30+'27. mell. KHEK'!N30+'28. mell. KIO'!N30</f>
        <v>0</v>
      </c>
      <c r="O30" s="321">
        <f>+'9. mell. PMH'!O30+'12. mell. Szakrendelő'!O30+'13. mell. GAMESZ'!O30+'14. mell. Gyerekkuckó'!O30+'15. mell. Cinkotai H.'!O30+'16. mell. Napsugár'!O30+'17. mell. Sashalmi M.'!O30+'18. mell. Margaréta'!O30+'19.mell.Szentmihályi Játszókert'!O30+'20. mell. M. Fecskefészek'!O30+'21. mell. CMH'!O30+'22. mell. Bölcsőde'!O30+'23. mell. Terszoc.'!O30+'24. mell. Napraforgó'!O30+'25. mell. Kerületgazda'!O30+'26. mell. Őrszolgálat'!O30+'27. mell. KHEK'!O30+'28. mell. KIO'!O30</f>
        <v>0</v>
      </c>
      <c r="P30" s="321">
        <f>+'9. mell. PMH'!P30+'12. mell. Szakrendelő'!P30+'13. mell. GAMESZ'!P30+'14. mell. Gyerekkuckó'!P30+'15. mell. Cinkotai H.'!P30+'16. mell. Napsugár'!P30+'17. mell. Sashalmi M.'!P30+'18. mell. Margaréta'!P30+'19.mell.Szentmihályi Játszókert'!P30+'20. mell. M. Fecskefészek'!P30+'21. mell. CMH'!P30+'22. mell. Bölcsőde'!P30+'23. mell. Terszoc.'!P30+'24. mell. Napraforgó'!P30+'25. mell. Kerületgazda'!P30+'26. mell. Őrszolgálat'!P30+'27. mell. KHEK'!P30+'28. mell. KIO'!P30</f>
        <v>0</v>
      </c>
      <c r="Q30" s="321">
        <f>+'9. mell. PMH'!Q30+'12. mell. Szakrendelő'!Q30+'13. mell. GAMESZ'!Q30+'14. mell. Gyerekkuckó'!Q30+'15. mell. Cinkotai H.'!Q30+'16. mell. Napsugár'!Q30+'17. mell. Sashalmi M.'!Q30+'18. mell. Margaréta'!Q30+'19.mell.Szentmihályi Játszókert'!Q30+'20. mell. M. Fecskefészek'!Q30+'21. mell. CMH'!Q30+'22. mell. Bölcsőde'!Q30+'23. mell. Terszoc.'!Q30+'24. mell. Napraforgó'!Q30+'25. mell. Kerületgazda'!Q30+'26. mell. Őrszolgálat'!Q30+'27. mell. KHEK'!Q30+'28. mell. KIO'!Q30</f>
        <v>0</v>
      </c>
      <c r="R30" s="321">
        <f>+'9. mell. PMH'!R30+'12. mell. Szakrendelő'!R30+'13. mell. GAMESZ'!R30+'14. mell. Gyerekkuckó'!R30+'15. mell. Cinkotai H.'!R30+'16. mell. Napsugár'!R30+'17. mell. Sashalmi M.'!R30+'18. mell. Margaréta'!R30+'19.mell.Szentmihályi Játszókert'!R30+'20. mell. M. Fecskefészek'!R30+'21. mell. CMH'!R30+'22. mell. Bölcsőde'!R30+'23. mell. Terszoc.'!R30+'24. mell. Napraforgó'!R30+'25. mell. Kerületgazda'!R30+'26. mell. Őrszolgálat'!R30+'27. mell. KHEK'!R30+'28. mell. KIO'!R30</f>
        <v>0</v>
      </c>
      <c r="S30" s="321">
        <f>+'9. mell. PMH'!S30+'12. mell. Szakrendelő'!S30+'13. mell. GAMESZ'!S30+'14. mell. Gyerekkuckó'!S30+'15. mell. Cinkotai H.'!S30+'16. mell. Napsugár'!S30+'17. mell. Sashalmi M.'!S30+'18. mell. Margaréta'!S30+'19.mell.Szentmihályi Játszókert'!S30+'20. mell. M. Fecskefészek'!S30+'21. mell. CMH'!S30+'22. mell. Bölcsőde'!S30+'23. mell. Terszoc.'!S30+'24. mell. Napraforgó'!S30+'25. mell. Kerületgazda'!S30+'26. mell. Őrszolgálat'!S30+'27. mell. KHEK'!S30+'28. mell. KIO'!S30</f>
        <v>0</v>
      </c>
      <c r="T30" s="321">
        <f>+'9. mell. PMH'!T30+'12. mell. Szakrendelő'!T30+'13. mell. GAMESZ'!T30+'14. mell. Gyerekkuckó'!T30+'15. mell. Cinkotai H.'!T30+'16. mell. Napsugár'!T30+'17. mell. Sashalmi M.'!T30+'18. mell. Margaréta'!T30+'19.mell.Szentmihályi Játszókert'!T30+'20. mell. M. Fecskefészek'!T30+'21. mell. CMH'!T30+'22. mell. Bölcsőde'!T30+'23. mell. Terszoc.'!T30+'24. mell. Napraforgó'!T30+'25. mell. Kerületgazda'!T30+'26. mell. Őrszolgálat'!T30+'27. mell. KHEK'!T30+'28. mell. KIO'!T30</f>
        <v>0</v>
      </c>
      <c r="U30" s="321">
        <f>+'9. mell. PMH'!U30+'12. mell. Szakrendelő'!U30+'13. mell. GAMESZ'!U30+'14. mell. Gyerekkuckó'!U30+'15. mell. Cinkotai H.'!U30+'16. mell. Napsugár'!U30+'17. mell. Sashalmi M.'!U30+'18. mell. Margaréta'!U30+'19.mell.Szentmihályi Játszókert'!U30+'20. mell. M. Fecskefészek'!U30+'21. mell. CMH'!U30+'22. mell. Bölcsőde'!U30+'23. mell. Terszoc.'!U30+'24. mell. Napraforgó'!U30+'25. mell. Kerületgazda'!U30+'26. mell. Őrszolgálat'!U30+'27. mell. KHEK'!U30+'28. mell. KIO'!U30</f>
        <v>0</v>
      </c>
      <c r="V30" s="321">
        <f>+'9. mell. PMH'!V30+'12. mell. Szakrendelő'!V30+'13. mell. GAMESZ'!V30+'14. mell. Gyerekkuckó'!V30+'15. mell. Cinkotai H.'!V30+'16. mell. Napsugár'!V30+'17. mell. Sashalmi M.'!V30+'18. mell. Margaréta'!V30+'19.mell.Szentmihályi Játszókert'!V30+'20. mell. M. Fecskefészek'!V30+'21. mell. CMH'!V30+'22. mell. Bölcsőde'!V30+'23. mell. Terszoc.'!V30+'24. mell. Napraforgó'!V30+'25. mell. Kerületgazda'!V30+'26. mell. Őrszolgálat'!V30+'27. mell. KHEK'!V30+'28. mell. KIO'!V30</f>
        <v>0</v>
      </c>
      <c r="W30" s="321">
        <f>+'9. mell. PMH'!W30+'12. mell. Szakrendelő'!W30+'13. mell. GAMESZ'!W30+'14. mell. Gyerekkuckó'!W30+'15. mell. Cinkotai H.'!W30+'16. mell. Napsugár'!W30+'17. mell. Sashalmi M.'!W30+'18. mell. Margaréta'!W30+'19.mell.Szentmihályi Játszókert'!W30+'20. mell. M. Fecskefészek'!W30+'21. mell. CMH'!W30+'22. mell. Bölcsőde'!W30+'23. mell. Terszoc.'!W30+'24. mell. Napraforgó'!W30+'25. mell. Kerületgazda'!W30+'26. mell. Őrszolgálat'!W30+'27. mell. KHEK'!W30+'28. mell. KIO'!W30</f>
        <v>0</v>
      </c>
      <c r="X30" s="321">
        <f>+'9. mell. PMH'!X30+'12. mell. Szakrendelő'!X30+'13. mell. GAMESZ'!X30+'14. mell. Gyerekkuckó'!X30+'15. mell. Cinkotai H.'!X30+'16. mell. Napsugár'!X30+'17. mell. Sashalmi M.'!X30+'18. mell. Margaréta'!X30+'19.mell.Szentmihályi Játszókert'!X30+'20. mell. M. Fecskefészek'!X30+'21. mell. CMH'!X30+'22. mell. Bölcsőde'!X30+'23. mell. Terszoc.'!X30+'24. mell. Napraforgó'!X30+'25. mell. Kerületgazda'!X30+'26. mell. Őrszolgálat'!X30+'27. mell. KHEK'!X30+'28. mell. KIO'!X30</f>
        <v>0</v>
      </c>
      <c r="Y30" s="321">
        <f>+'9. mell. PMH'!Y30+'12. mell. Szakrendelő'!Y30+'13. mell. GAMESZ'!Y30+'14. mell. Gyerekkuckó'!Y30+'15. mell. Cinkotai H.'!Y30+'16. mell. Napsugár'!Y30+'17. mell. Sashalmi M.'!Y30+'18. mell. Margaréta'!Y30+'19.mell.Szentmihályi Játszókert'!Y30+'20. mell. M. Fecskefészek'!Y30+'21. mell. CMH'!Y30+'22. mell. Bölcsőde'!Y30+'23. mell. Terszoc.'!Y30+'24. mell. Napraforgó'!Y30+'25. mell. Kerületgazda'!Y30+'26. mell. Őrszolgálat'!Y30+'27. mell. KHEK'!Y30+'28. mell. KIO'!Y30</f>
        <v>0</v>
      </c>
      <c r="Z30" s="321">
        <f>+'9. mell. PMH'!Z30+'12. mell. Szakrendelő'!Z30+'13. mell. GAMESZ'!Z30+'14. mell. Gyerekkuckó'!Z30+'15. mell. Cinkotai H.'!Z30+'16. mell. Napsugár'!Z30+'17. mell. Sashalmi M.'!Z30+'18. mell. Margaréta'!Z30+'19.mell.Szentmihályi Játszókert'!Z30+'20. mell. M. Fecskefészek'!Z30+'21. mell. CMH'!Z30+'22. mell. Bölcsőde'!Z30+'23. mell. Terszoc.'!Z30+'24. mell. Napraforgó'!Z30+'25. mell. Kerületgazda'!Z30+'26. mell. Őrszolgálat'!Z30+'27. mell. KHEK'!Z30+'28. mell. KIO'!Z30</f>
        <v>0</v>
      </c>
      <c r="AA30" s="321">
        <f>+'9. mell. PMH'!AA30+'12. mell. Szakrendelő'!AA30+'13. mell. GAMESZ'!AA30+'14. mell. Gyerekkuckó'!AA30+'15. mell. Cinkotai H.'!AA30+'16. mell. Napsugár'!AA30+'17. mell. Sashalmi M.'!AA30+'18. mell. Margaréta'!AA30+'19.mell.Szentmihályi Játszókert'!AA30+'20. mell. M. Fecskefészek'!AA30+'21. mell. CMH'!AA30+'22. mell. Bölcsőde'!AA30+'23. mell. Terszoc.'!AA30+'24. mell. Napraforgó'!AA30+'25. mell. Kerületgazda'!AA30+'26. mell. Őrszolgálat'!AA30+'27. mell. KHEK'!AA30+'28. mell. KIO'!AA30</f>
        <v>0</v>
      </c>
      <c r="AB30" s="321">
        <f>+'9. mell. PMH'!AB30+'12. mell. Szakrendelő'!AB30+'13. mell. GAMESZ'!AB30+'14. mell. Gyerekkuckó'!AB30+'15. mell. Cinkotai H.'!AB30+'16. mell. Napsugár'!AB30+'17. mell. Sashalmi M.'!AB30+'18. mell. Margaréta'!AB30+'19.mell.Szentmihályi Játszókert'!AB30+'20. mell. M. Fecskefészek'!AB30+'21. mell. CMH'!AB30+'22. mell. Bölcsőde'!AB30+'23. mell. Terszoc.'!AB30+'24. mell. Napraforgó'!AB30+'25. mell. Kerületgazda'!AB30+'26. mell. Őrszolgálat'!AB30+'27. mell. KHEK'!AB30+'28. mell. KIO'!AB30</f>
        <v>0</v>
      </c>
      <c r="AC30" s="321">
        <f>+'9. mell. PMH'!AC30+'12. mell. Szakrendelő'!AC30+'13. mell. GAMESZ'!AC30+'14. mell. Gyerekkuckó'!AC30+'15. mell. Cinkotai H.'!AC30+'16. mell. Napsugár'!AC30+'17. mell. Sashalmi M.'!AC30+'18. mell. Margaréta'!AC30+'19.mell.Szentmihályi Játszókert'!AC30+'20. mell. M. Fecskefészek'!AC30+'21. mell. CMH'!AC30+'22. mell. Bölcsőde'!AC30+'23. mell. Terszoc.'!AC30+'24. mell. Napraforgó'!AC30+'25. mell. Kerületgazda'!AC30+'26. mell. Őrszolgálat'!AC30+'27. mell. KHEK'!AC30+'28. mell. KIO'!AC30</f>
        <v>0</v>
      </c>
      <c r="AD30" s="337"/>
      <c r="AE30" s="321">
        <f t="shared" si="0"/>
        <v>0</v>
      </c>
      <c r="AF30" s="321">
        <f t="shared" si="1"/>
        <v>0</v>
      </c>
      <c r="AG30" s="321">
        <f t="shared" si="2"/>
        <v>0</v>
      </c>
      <c r="AH30" s="321">
        <f t="shared" si="3"/>
        <v>0</v>
      </c>
      <c r="AI30" s="324"/>
      <c r="AJ30" s="321">
        <f t="shared" si="4"/>
        <v>0</v>
      </c>
      <c r="AK30" s="325">
        <f>+F30-'9. mell. PMH'!F30-'12. mell. Szakrendelő'!F30-'25. mell. Kerületgazda'!F30-'28. mell. KIO'!F30</f>
        <v>0</v>
      </c>
      <c r="AL30" s="325">
        <f>+G30-'9. mell. PMH'!G30-'12. mell. Szakrendelő'!G30-'25. mell. Kerületgazda'!G30-'28. mell. KIO'!G30</f>
        <v>0</v>
      </c>
      <c r="AM30" s="325">
        <f>+H30-'9. mell. PMH'!H30-'12. mell. Szakrendelő'!H30-'25. mell. Kerületgazda'!H30-'28. mell. KIO'!H30</f>
        <v>0</v>
      </c>
      <c r="AN30" s="325">
        <f>+I30-'9. mell. PMH'!I30-'12. mell. Szakrendelő'!I30-'25. mell. Kerületgazda'!I30-'28. mell. KIO'!I30</f>
        <v>0</v>
      </c>
      <c r="AO30" s="325">
        <f>+J30-'9. mell. PMH'!J30-'12. mell. Szakrendelő'!J30-'25. mell. Kerületgazda'!J30-'28. mell. KIO'!J30</f>
        <v>0</v>
      </c>
      <c r="AP30" s="325">
        <f>+K30-'9. mell. PMH'!K30-'12. mell. Szakrendelő'!K30-'25. mell. Kerületgazda'!K30-'28. mell. KIO'!K30</f>
        <v>0</v>
      </c>
      <c r="AQ30" s="1195">
        <f t="shared" si="5"/>
        <v>0</v>
      </c>
      <c r="AR30" s="1593">
        <f t="shared" si="6"/>
        <v>0</v>
      </c>
      <c r="AS30" s="1195">
        <f t="shared" si="7"/>
        <v>0</v>
      </c>
      <c r="AT30" s="2647">
        <v>0</v>
      </c>
      <c r="AU30" s="1593">
        <f t="shared" si="8"/>
        <v>0</v>
      </c>
    </row>
    <row r="31" spans="1:47" s="332" customFormat="1" ht="19.5" customHeight="1" thickBot="1">
      <c r="A31" s="319" t="s">
        <v>21</v>
      </c>
      <c r="B31" s="1436" t="s">
        <v>21</v>
      </c>
      <c r="C31" s="335" t="s">
        <v>3795</v>
      </c>
      <c r="D31" s="321">
        <f>+'9. mell. PMH'!D31+'12. mell. Szakrendelő'!D31+'13. mell. GAMESZ'!D31+'14. mell. Gyerekkuckó'!D31+'15. mell. Cinkotai H.'!D31+'16. mell. Napsugár'!D31+'17. mell. Sashalmi M.'!D31+'18. mell. Margaréta'!D31+'19.mell.Szentmihályi Játszókert'!D31+'20. mell. M. Fecskefészek'!D31+'21. mell. CMH'!D31+'22. mell. Bölcsőde'!D31+'23. mell. Terszoc.'!D31+'24. mell. Napraforgó'!D31+'25. mell. Kerületgazda'!D31+'26. mell. Őrszolgálat'!D31+'27. mell. KHEK'!D31+'28. mell. KIO'!D31</f>
        <v>150000</v>
      </c>
      <c r="E31" s="2587">
        <f>+'9. mell. PMH'!E31+'12. mell. Szakrendelő'!E31+'13. mell. GAMESZ'!E31+'14. mell. Gyerekkuckó'!E31+'15. mell. Cinkotai H.'!E31+'16. mell. Napsugár'!E31+'17. mell. Sashalmi M.'!E31+'18. mell. Margaréta'!E31+'19.mell.Szentmihályi Játszókert'!E31+'20. mell. M. Fecskefészek'!E31+'21. mell. CMH'!E31+'22. mell. Bölcsőde'!E31+'23. mell. Terszoc.'!E31+'24. mell. Napraforgó'!E31+'25. mell. Kerületgazda'!E31+'26. mell. Őrszolgálat'!E31+'27. mell. KHEK'!E31+'28. mell. KIO'!E31</f>
        <v>1624000</v>
      </c>
      <c r="F31" s="321">
        <f>+'9. mell. PMH'!F31+'12. mell. Szakrendelő'!F31+'13. mell. GAMESZ'!F31+'14. mell. Gyerekkuckó'!F31+'15. mell. Cinkotai H.'!F31+'16. mell. Napsugár'!F31+'17. mell. Sashalmi M.'!F31+'18. mell. Margaréta'!F31+'19.mell.Szentmihályi Játszókert'!F31+'20. mell. M. Fecskefészek'!F31+'21. mell. CMH'!F31+'22. mell. Bölcsőde'!F31+'23. mell. Terszoc.'!F31+'24. mell. Napraforgó'!F31+'25. mell. Kerületgazda'!F31+'26. mell. Őrszolgálat'!F31+'27. mell. KHEK'!F31+'28. mell. KIO'!F31</f>
        <v>1601500</v>
      </c>
      <c r="G31" s="321">
        <f>+'9. mell. PMH'!G31+'12. mell. Szakrendelő'!G31+'13. mell. GAMESZ'!G31+'14. mell. Gyerekkuckó'!G31+'15. mell. Cinkotai H.'!G31+'16. mell. Napsugár'!G31+'17. mell. Sashalmi M.'!G31+'18. mell. Margaréta'!G31+'19.mell.Szentmihályi Játszókert'!G31+'20. mell. M. Fecskefészek'!G31+'21. mell. CMH'!G31+'22. mell. Bölcsőde'!G31+'23. mell. Terszoc.'!G31+'24. mell. Napraforgó'!G31+'25. mell. Kerületgazda'!G31+'26. mell. Őrszolgálat'!G31+'27. mell. KHEK'!G31+'28. mell. KIO'!G31</f>
        <v>1601500</v>
      </c>
      <c r="H31" s="321">
        <f>+'9. mell. PMH'!H31+'12. mell. Szakrendelő'!H31+'13. mell. GAMESZ'!H31+'14. mell. Gyerekkuckó'!H31+'15. mell. Cinkotai H.'!H31+'16. mell. Napsugár'!H31+'17. mell. Sashalmi M.'!H31+'18. mell. Margaréta'!H31+'19.mell.Szentmihályi Játszókert'!H31+'20. mell. M. Fecskefészek'!H31+'21. mell. CMH'!H31+'22. mell. Bölcsőde'!H31+'23. mell. Terszoc.'!H31+'24. mell. Napraforgó'!H31+'25. mell. Kerületgazda'!H31+'26. mell. Őrszolgálat'!H31+'27. mell. KHEK'!H31+'28. mell. KIO'!H31</f>
        <v>1601500</v>
      </c>
      <c r="I31" s="321">
        <f>+'9. mell. PMH'!I31+'12. mell. Szakrendelő'!I31+'13. mell. GAMESZ'!I31+'14. mell. Gyerekkuckó'!I31+'15. mell. Cinkotai H.'!I31+'16. mell. Napsugár'!I31+'17. mell. Sashalmi M.'!I31+'18. mell. Margaréta'!I31+'19.mell.Szentmihályi Játszókert'!I31+'20. mell. M. Fecskefészek'!I31+'21. mell. CMH'!I31+'22. mell. Bölcsőde'!I31+'23. mell. Terszoc.'!I31+'24. mell. Napraforgó'!I31+'25. mell. Kerületgazda'!I31+'26. mell. Őrszolgálat'!I31+'27. mell. KHEK'!I31+'28. mell. KIO'!I31</f>
        <v>1461551</v>
      </c>
      <c r="J31" s="321">
        <f>+'9. mell. PMH'!J31+'12. mell. Szakrendelő'!J31+'13. mell. GAMESZ'!J31+'14. mell. Gyerekkuckó'!J31+'15. mell. Cinkotai H.'!J31+'16. mell. Napsugár'!J31+'17. mell. Sashalmi M.'!J31+'18. mell. Margaréta'!J31+'19.mell.Szentmihályi Játszókert'!J31+'20. mell. M. Fecskefészek'!J31+'21. mell. CMH'!J31+'22. mell. Bölcsőde'!J31+'23. mell. Terszoc.'!J31+'24. mell. Napraforgó'!J31+'25. mell. Kerületgazda'!J31+'26. mell. Őrszolgálat'!J31+'27. mell. KHEK'!J31+'28. mell. KIO'!J31</f>
        <v>1461551</v>
      </c>
      <c r="K31" s="2197">
        <f>+'9. mell. PMH'!K31+'12. mell. Szakrendelő'!K31+'13. mell. GAMESZ'!K31+'14. mell. Gyerekkuckó'!K31+'15. mell. Cinkotai H.'!K31+'16. mell. Napsugár'!K31+'17. mell. Sashalmi M.'!K31+'18. mell. Margaréta'!K31+'19.mell.Szentmihályi Játszókert'!K31+'20. mell. M. Fecskefészek'!K31+'21. mell. CMH'!K31+'22. mell. Bölcsőde'!K31+'23. mell. Terszoc.'!K31+'24. mell. Napraforgó'!K31+'25. mell. Kerületgazda'!K31+'26. mell. Őrszolgálat'!K31+'27. mell. KHEK'!K31+'28. mell. KIO'!K31</f>
        <v>1461551</v>
      </c>
      <c r="L31" s="321">
        <f>+'9. mell. PMH'!L31+'12. mell. Szakrendelő'!L31+'13. mell. GAMESZ'!L31+'14. mell. Gyerekkuckó'!L31+'15. mell. Cinkotai H.'!L31+'16. mell. Napsugár'!L31+'17. mell. Sashalmi M.'!L31+'18. mell. Margaréta'!L31+'19.mell.Szentmihályi Játszókert'!L31+'20. mell. M. Fecskefészek'!L31+'21. mell. CMH'!L31+'22. mell. Bölcsőde'!L31+'23. mell. Terszoc.'!L31+'24. mell. Napraforgó'!L31+'25. mell. Kerületgazda'!L31+'26. mell. Őrszolgálat'!L31+'27. mell. KHEK'!L31+'28. mell. KIO'!L31</f>
        <v>0</v>
      </c>
      <c r="M31" s="321">
        <f>+'9. mell. PMH'!M31+'12. mell. Szakrendelő'!M31+'13. mell. GAMESZ'!M31+'14. mell. Gyerekkuckó'!M31+'15. mell. Cinkotai H.'!M31+'16. mell. Napsugár'!M31+'17. mell. Sashalmi M.'!M31+'18. mell. Margaréta'!M31+'19.mell.Szentmihályi Játszókert'!M31+'20. mell. M. Fecskefészek'!M31+'21. mell. CMH'!M31+'22. mell. Bölcsőde'!M31+'23. mell. Terszoc.'!M31+'24. mell. Napraforgó'!M31+'25. mell. Kerületgazda'!M31+'26. mell. Őrszolgálat'!M31+'27. mell. KHEK'!M31+'28. mell. KIO'!M31</f>
        <v>0</v>
      </c>
      <c r="N31" s="321">
        <f>+'9. mell. PMH'!N31+'12. mell. Szakrendelő'!N31+'13. mell. GAMESZ'!N31+'14. mell. Gyerekkuckó'!N31+'15. mell. Cinkotai H.'!N31+'16. mell. Napsugár'!N31+'17. mell. Sashalmi M.'!N31+'18. mell. Margaréta'!N31+'19.mell.Szentmihályi Játszókert'!N31+'20. mell. M. Fecskefészek'!N31+'21. mell. CMH'!N31+'22. mell. Bölcsőde'!N31+'23. mell. Terszoc.'!N31+'24. mell. Napraforgó'!N31+'25. mell. Kerületgazda'!N31+'26. mell. Őrszolgálat'!N31+'27. mell. KHEK'!N31+'28. mell. KIO'!N31</f>
        <v>0</v>
      </c>
      <c r="O31" s="321">
        <f>+'9. mell. PMH'!O31+'12. mell. Szakrendelő'!O31+'13. mell. GAMESZ'!O31+'14. mell. Gyerekkuckó'!O31+'15. mell. Cinkotai H.'!O31+'16. mell. Napsugár'!O31+'17. mell. Sashalmi M.'!O31+'18. mell. Margaréta'!O31+'19.mell.Szentmihályi Játszókert'!O31+'20. mell. M. Fecskefészek'!O31+'21. mell. CMH'!O31+'22. mell. Bölcsőde'!O31+'23. mell. Terszoc.'!O31+'24. mell. Napraforgó'!O31+'25. mell. Kerületgazda'!O31+'26. mell. Őrszolgálat'!O31+'27. mell. KHEK'!O31+'28. mell. KIO'!O31</f>
        <v>0</v>
      </c>
      <c r="P31" s="321">
        <f>+'9. mell. PMH'!P31+'12. mell. Szakrendelő'!P31+'13. mell. GAMESZ'!P31+'14. mell. Gyerekkuckó'!P31+'15. mell. Cinkotai H.'!P31+'16. mell. Napsugár'!P31+'17. mell. Sashalmi M.'!P31+'18. mell. Margaréta'!P31+'19.mell.Szentmihályi Játszókert'!P31+'20. mell. M. Fecskefészek'!P31+'21. mell. CMH'!P31+'22. mell. Bölcsőde'!P31+'23. mell. Terszoc.'!P31+'24. mell. Napraforgó'!P31+'25. mell. Kerületgazda'!P31+'26. mell. Őrszolgálat'!P31+'27. mell. KHEK'!P31+'28. mell. KIO'!P31</f>
        <v>0</v>
      </c>
      <c r="Q31" s="321">
        <f>+'9. mell. PMH'!Q31+'12. mell. Szakrendelő'!Q31+'13. mell. GAMESZ'!Q31+'14. mell. Gyerekkuckó'!Q31+'15. mell. Cinkotai H.'!Q31+'16. mell. Napsugár'!Q31+'17. mell. Sashalmi M.'!Q31+'18. mell. Margaréta'!Q31+'19.mell.Szentmihályi Játszókert'!Q31+'20. mell. M. Fecskefészek'!Q31+'21. mell. CMH'!Q31+'22. mell. Bölcsőde'!Q31+'23. mell. Terszoc.'!Q31+'24. mell. Napraforgó'!Q31+'25. mell. Kerületgazda'!Q31+'26. mell. Őrszolgálat'!Q31+'27. mell. KHEK'!Q31+'28. mell. KIO'!Q31</f>
        <v>0</v>
      </c>
      <c r="R31" s="321">
        <f>+'9. mell. PMH'!R31+'12. mell. Szakrendelő'!R31+'13. mell. GAMESZ'!R31+'14. mell. Gyerekkuckó'!R31+'15. mell. Cinkotai H.'!R31+'16. mell. Napsugár'!R31+'17. mell. Sashalmi M.'!R31+'18. mell. Margaréta'!R31+'19.mell.Szentmihályi Játszókert'!R31+'20. mell. M. Fecskefészek'!R31+'21. mell. CMH'!R31+'22. mell. Bölcsőde'!R31+'23. mell. Terszoc.'!R31+'24. mell. Napraforgó'!R31+'25. mell. Kerületgazda'!R31+'26. mell. Őrszolgálat'!R31+'27. mell. KHEK'!R31+'28. mell. KIO'!R31</f>
        <v>1601500</v>
      </c>
      <c r="S31" s="321">
        <f>+'9. mell. PMH'!S31+'12. mell. Szakrendelő'!S31+'13. mell. GAMESZ'!S31+'14. mell. Gyerekkuckó'!S31+'15. mell. Cinkotai H.'!S31+'16. mell. Napsugár'!S31+'17. mell. Sashalmi M.'!S31+'18. mell. Margaréta'!S31+'19.mell.Szentmihályi Játszókert'!S31+'20. mell. M. Fecskefészek'!S31+'21. mell. CMH'!S31+'22. mell. Bölcsőde'!S31+'23. mell. Terszoc.'!S31+'24. mell. Napraforgó'!S31+'25. mell. Kerületgazda'!S31+'26. mell. Őrszolgálat'!S31+'27. mell. KHEK'!S31+'28. mell. KIO'!S31</f>
        <v>1601500</v>
      </c>
      <c r="T31" s="321">
        <f>+'9. mell. PMH'!T31+'12. mell. Szakrendelő'!T31+'13. mell. GAMESZ'!T31+'14. mell. Gyerekkuckó'!T31+'15. mell. Cinkotai H.'!T31+'16. mell. Napsugár'!T31+'17. mell. Sashalmi M.'!T31+'18. mell. Margaréta'!T31+'19.mell.Szentmihályi Játszókert'!T31+'20. mell. M. Fecskefészek'!T31+'21. mell. CMH'!T31+'22. mell. Bölcsőde'!T31+'23. mell. Terszoc.'!T31+'24. mell. Napraforgó'!T31+'25. mell. Kerületgazda'!T31+'26. mell. Őrszolgálat'!T31+'27. mell. KHEK'!T31+'28. mell. KIO'!T31</f>
        <v>1601500</v>
      </c>
      <c r="U31" s="321">
        <f>+'9. mell. PMH'!U31+'12. mell. Szakrendelő'!U31+'13. mell. GAMESZ'!U31+'14. mell. Gyerekkuckó'!U31+'15. mell. Cinkotai H.'!U31+'16. mell. Napsugár'!U31+'17. mell. Sashalmi M.'!U31+'18. mell. Margaréta'!U31+'19.mell.Szentmihályi Játszókert'!U31+'20. mell. M. Fecskefészek'!U31+'21. mell. CMH'!U31+'22. mell. Bölcsőde'!U31+'23. mell. Terszoc.'!U31+'24. mell. Napraforgó'!U31+'25. mell. Kerületgazda'!U31+'26. mell. Őrszolgálat'!U31+'27. mell. KHEK'!U31+'28. mell. KIO'!U31</f>
        <v>1461551</v>
      </c>
      <c r="V31" s="321">
        <f>+'9. mell. PMH'!V31+'12. mell. Szakrendelő'!V31+'13. mell. GAMESZ'!V31+'14. mell. Gyerekkuckó'!V31+'15. mell. Cinkotai H.'!V31+'16. mell. Napsugár'!V31+'17. mell. Sashalmi M.'!V31+'18. mell. Margaréta'!V31+'19.mell.Szentmihályi Játszókert'!V31+'20. mell. M. Fecskefészek'!V31+'21. mell. CMH'!V31+'22. mell. Bölcsőde'!V31+'23. mell. Terszoc.'!V31+'24. mell. Napraforgó'!V31+'25. mell. Kerületgazda'!V31+'26. mell. Őrszolgálat'!V31+'27. mell. KHEK'!V31+'28. mell. KIO'!V31</f>
        <v>1461551</v>
      </c>
      <c r="W31" s="321">
        <f>+'9. mell. PMH'!W31+'12. mell. Szakrendelő'!W31+'13. mell. GAMESZ'!W31+'14. mell. Gyerekkuckó'!W31+'15. mell. Cinkotai H.'!W31+'16. mell. Napsugár'!W31+'17. mell. Sashalmi M.'!W31+'18. mell. Margaréta'!W31+'19.mell.Szentmihályi Játszókert'!W31+'20. mell. M. Fecskefészek'!W31+'21. mell. CMH'!W31+'22. mell. Bölcsőde'!W31+'23. mell. Terszoc.'!W31+'24. mell. Napraforgó'!W31+'25. mell. Kerületgazda'!W31+'26. mell. Őrszolgálat'!W31+'27. mell. KHEK'!W31+'28. mell. KIO'!W31</f>
        <v>1461551</v>
      </c>
      <c r="X31" s="321">
        <f>+'9. mell. PMH'!X31+'12. mell. Szakrendelő'!X31+'13. mell. GAMESZ'!X31+'14. mell. Gyerekkuckó'!X31+'15. mell. Cinkotai H.'!X31+'16. mell. Napsugár'!X31+'17. mell. Sashalmi M.'!X31+'18. mell. Margaréta'!X31+'19.mell.Szentmihályi Játszókert'!X31+'20. mell. M. Fecskefészek'!X31+'21. mell. CMH'!X31+'22. mell. Bölcsőde'!X31+'23. mell. Terszoc.'!X31+'24. mell. Napraforgó'!X31+'25. mell. Kerületgazda'!X31+'26. mell. Őrszolgálat'!X31+'27. mell. KHEK'!X31+'28. mell. KIO'!X31</f>
        <v>0</v>
      </c>
      <c r="Y31" s="321">
        <f>+'9. mell. PMH'!Y31+'12. mell. Szakrendelő'!Y31+'13. mell. GAMESZ'!Y31+'14. mell. Gyerekkuckó'!Y31+'15. mell. Cinkotai H.'!Y31+'16. mell. Napsugár'!Y31+'17. mell. Sashalmi M.'!Y31+'18. mell. Margaréta'!Y31+'19.mell.Szentmihályi Játszókert'!Y31+'20. mell. M. Fecskefészek'!Y31+'21. mell. CMH'!Y31+'22. mell. Bölcsőde'!Y31+'23. mell. Terszoc.'!Y31+'24. mell. Napraforgó'!Y31+'25. mell. Kerületgazda'!Y31+'26. mell. Őrszolgálat'!Y31+'27. mell. KHEK'!Y31+'28. mell. KIO'!Y31</f>
        <v>0</v>
      </c>
      <c r="Z31" s="321">
        <f>+'9. mell. PMH'!Z31+'12. mell. Szakrendelő'!Z31+'13. mell. GAMESZ'!Z31+'14. mell. Gyerekkuckó'!Z31+'15. mell. Cinkotai H.'!Z31+'16. mell. Napsugár'!Z31+'17. mell. Sashalmi M.'!Z31+'18. mell. Margaréta'!Z31+'19.mell.Szentmihályi Játszókert'!Z31+'20. mell. M. Fecskefészek'!Z31+'21. mell. CMH'!Z31+'22. mell. Bölcsőde'!Z31+'23. mell. Terszoc.'!Z31+'24. mell. Napraforgó'!Z31+'25. mell. Kerületgazda'!Z31+'26. mell. Őrszolgálat'!Z31+'27. mell. KHEK'!Z31+'28. mell. KIO'!Z31</f>
        <v>0</v>
      </c>
      <c r="AA31" s="321">
        <f>+'9. mell. PMH'!AA31+'12. mell. Szakrendelő'!AA31+'13. mell. GAMESZ'!AA31+'14. mell. Gyerekkuckó'!AA31+'15. mell. Cinkotai H.'!AA31+'16. mell. Napsugár'!AA31+'17. mell. Sashalmi M.'!AA31+'18. mell. Margaréta'!AA31+'19.mell.Szentmihályi Játszókert'!AA31+'20. mell. M. Fecskefészek'!AA31+'21. mell. CMH'!AA31+'22. mell. Bölcsőde'!AA31+'23. mell. Terszoc.'!AA31+'24. mell. Napraforgó'!AA31+'25. mell. Kerületgazda'!AA31+'26. mell. Őrszolgálat'!AA31+'27. mell. KHEK'!AA31+'28. mell. KIO'!AA31</f>
        <v>0</v>
      </c>
      <c r="AB31" s="321">
        <f>+'9. mell. PMH'!AB31+'12. mell. Szakrendelő'!AB31+'13. mell. GAMESZ'!AB31+'14. mell. Gyerekkuckó'!AB31+'15. mell. Cinkotai H.'!AB31+'16. mell. Napsugár'!AB31+'17. mell. Sashalmi M.'!AB31+'18. mell. Margaréta'!AB31+'19.mell.Szentmihályi Játszókert'!AB31+'20. mell. M. Fecskefészek'!AB31+'21. mell. CMH'!AB31+'22. mell. Bölcsőde'!AB31+'23. mell. Terszoc.'!AB31+'24. mell. Napraforgó'!AB31+'25. mell. Kerületgazda'!AB31+'26. mell. Őrszolgálat'!AB31+'27. mell. KHEK'!AB31+'28. mell. KIO'!AB31</f>
        <v>0</v>
      </c>
      <c r="AC31" s="321">
        <f>+'9. mell. PMH'!AC31+'12. mell. Szakrendelő'!AC31+'13. mell. GAMESZ'!AC31+'14. mell. Gyerekkuckó'!AC31+'15. mell. Cinkotai H.'!AC31+'16. mell. Napsugár'!AC31+'17. mell. Sashalmi M.'!AC31+'18. mell. Margaréta'!AC31+'19.mell.Szentmihályi Játszókert'!AC31+'20. mell. M. Fecskefészek'!AC31+'21. mell. CMH'!AC31+'22. mell. Bölcsőde'!AC31+'23. mell. Terszoc.'!AC31+'24. mell. Napraforgó'!AC31+'25. mell. Kerületgazda'!AC31+'26. mell. Őrszolgálat'!AC31+'27. mell. KHEK'!AC31+'28. mell. KIO'!AC31</f>
        <v>0</v>
      </c>
      <c r="AD31" s="337"/>
      <c r="AE31" s="321">
        <f t="shared" si="0"/>
        <v>0</v>
      </c>
      <c r="AF31" s="321">
        <f t="shared" si="1"/>
        <v>0</v>
      </c>
      <c r="AG31" s="321">
        <f t="shared" si="2"/>
        <v>-139949</v>
      </c>
      <c r="AH31" s="321">
        <f t="shared" si="3"/>
        <v>0</v>
      </c>
      <c r="AI31" s="340">
        <f t="shared" ref="AI31:AI37" si="9">+K31/I31</f>
        <v>1</v>
      </c>
      <c r="AJ31" s="321">
        <f t="shared" si="4"/>
        <v>1451500</v>
      </c>
      <c r="AK31" s="325">
        <f>+F31-'9. mell. PMH'!F31-'12. mell. Szakrendelő'!F31-'25. mell. Kerületgazda'!F31-'28. mell. KIO'!F31</f>
        <v>0</v>
      </c>
      <c r="AL31" s="325">
        <f>+G31-'9. mell. PMH'!G31-'12. mell. Szakrendelő'!G31-'25. mell. Kerületgazda'!G31-'28. mell. KIO'!G31</f>
        <v>0</v>
      </c>
      <c r="AM31" s="325">
        <f>+H31-'9. mell. PMH'!H31-'12. mell. Szakrendelő'!H31-'25. mell. Kerületgazda'!H31-'28. mell. KIO'!H31</f>
        <v>0</v>
      </c>
      <c r="AN31" s="325">
        <f>+I31-'9. mell. PMH'!I31-'12. mell. Szakrendelő'!I31-'25. mell. Kerületgazda'!I31-'28. mell. KIO'!I31</f>
        <v>0</v>
      </c>
      <c r="AO31" s="325">
        <f>+J31-'9. mell. PMH'!J31-'12. mell. Szakrendelő'!J31-'25. mell. Kerületgazda'!J31-'28. mell. KIO'!J31</f>
        <v>0</v>
      </c>
      <c r="AP31" s="325">
        <f>+K31-'9. mell. PMH'!K31-'12. mell. Szakrendelő'!K31-'25. mell. Kerületgazda'!K31-'28. mell. KIO'!K31</f>
        <v>0</v>
      </c>
      <c r="AQ31" s="1195">
        <f t="shared" si="5"/>
        <v>0</v>
      </c>
      <c r="AR31" s="1593">
        <f t="shared" si="6"/>
        <v>0</v>
      </c>
      <c r="AS31" s="1195">
        <f t="shared" si="7"/>
        <v>0</v>
      </c>
      <c r="AT31" s="2647">
        <v>1624000</v>
      </c>
      <c r="AU31" s="1593">
        <f t="shared" si="8"/>
        <v>0</v>
      </c>
    </row>
    <row r="32" spans="1:47" s="326" customFormat="1" ht="12" customHeight="1" thickBot="1">
      <c r="A32" s="319" t="s">
        <v>23</v>
      </c>
      <c r="B32" s="1437" t="s">
        <v>23</v>
      </c>
      <c r="C32" s="335" t="s">
        <v>1282</v>
      </c>
      <c r="D32" s="321">
        <f>+'9. mell. PMH'!D32+'12. mell. Szakrendelő'!D32+'13. mell. GAMESZ'!D32+'14. mell. Gyerekkuckó'!D32+'15. mell. Cinkotai H.'!D32+'16. mell. Napsugár'!D32+'17. mell. Sashalmi M.'!D32+'18. mell. Margaréta'!D32+'19.mell.Szentmihályi Játszókert'!D32+'20. mell. M. Fecskefészek'!D32+'21. mell. CMH'!D32+'22. mell. Bölcsőde'!D32+'23. mell. Terszoc.'!D32+'24. mell. Napraforgó'!D32+'25. mell. Kerületgazda'!D32+'26. mell. Őrszolgálat'!D32+'27. mell. KHEK'!D32+'28. mell. KIO'!D32</f>
        <v>4232951732</v>
      </c>
      <c r="E32" s="2587">
        <f>+'9. mell. PMH'!E32+'12. mell. Szakrendelő'!E32+'13. mell. GAMESZ'!E32+'14. mell. Gyerekkuckó'!E32+'15. mell. Cinkotai H.'!E32+'16. mell. Napsugár'!E32+'17. mell. Sashalmi M.'!E32+'18. mell. Margaréta'!E32+'19.mell.Szentmihályi Játszókert'!E32+'20. mell. M. Fecskefészek'!E32+'21. mell. CMH'!E32+'22. mell. Bölcsőde'!E32+'23. mell. Terszoc.'!E32+'24. mell. Napraforgó'!E32+'25. mell. Kerületgazda'!E32+'26. mell. Őrszolgálat'!E32+'27. mell. KHEK'!E32+'28. mell. KIO'!E32</f>
        <v>4840496919</v>
      </c>
      <c r="F32" s="321">
        <f>+'9. mell. PMH'!F32+'12. mell. Szakrendelő'!F32+'13. mell. GAMESZ'!F32+'14. mell. Gyerekkuckó'!F32+'15. mell. Cinkotai H.'!F32+'16. mell. Napsugár'!F32+'17. mell. Sashalmi M.'!F32+'18. mell. Margaréta'!F32+'19.mell.Szentmihályi Játszókert'!F32+'20. mell. M. Fecskefészek'!F32+'21. mell. CMH'!F32+'22. mell. Bölcsőde'!F32+'23. mell. Terszoc.'!F32+'24. mell. Napraforgó'!F32+'25. mell. Kerületgazda'!F32+'26. mell. Őrszolgálat'!F32+'27. mell. KHEK'!F32+'28. mell. KIO'!F32</f>
        <v>4847389296.26968</v>
      </c>
      <c r="G32" s="321">
        <f>+'9. mell. PMH'!G32+'12. mell. Szakrendelő'!G32+'13. mell. GAMESZ'!G32+'14. mell. Gyerekkuckó'!G32+'15. mell. Cinkotai H.'!G32+'16. mell. Napsugár'!G32+'17. mell. Sashalmi M.'!G32+'18. mell. Margaréta'!G32+'19.mell.Szentmihályi Játszókert'!G32+'20. mell. M. Fecskefészek'!G32+'21. mell. CMH'!G32+'22. mell. Bölcsőde'!G32+'23. mell. Terszoc.'!G32+'24. mell. Napraforgó'!G32+'25. mell. Kerületgazda'!G32+'26. mell. Őrszolgálat'!G32+'27. mell. KHEK'!G32+'28. mell. KIO'!G32</f>
        <v>4897409312.26968</v>
      </c>
      <c r="H32" s="321">
        <f>+'9. mell. PMH'!H32+'12. mell. Szakrendelő'!H32+'13. mell. GAMESZ'!H32+'14. mell. Gyerekkuckó'!H32+'15. mell. Cinkotai H.'!H32+'16. mell. Napsugár'!H32+'17. mell. Sashalmi M.'!H32+'18. mell. Margaréta'!H32+'19.mell.Szentmihályi Játszókert'!H32+'20. mell. M. Fecskefészek'!H32+'21. mell. CMH'!H32+'22. mell. Bölcsőde'!H32+'23. mell. Terszoc.'!H32+'24. mell. Napraforgó'!H32+'25. mell. Kerületgazda'!H32+'26. mell. Őrszolgálat'!H32+'27. mell. KHEK'!H32+'28. mell. KIO'!H32</f>
        <v>4940021116.26968</v>
      </c>
      <c r="I32" s="321">
        <f>+'9. mell. PMH'!I32+'12. mell. Szakrendelő'!I32+'13. mell. GAMESZ'!I32+'14. mell. Gyerekkuckó'!I32+'15. mell. Cinkotai H.'!I32+'16. mell. Napsugár'!I32+'17. mell. Sashalmi M.'!I32+'18. mell. Margaréta'!I32+'19.mell.Szentmihályi Játszókert'!I32+'20. mell. M. Fecskefészek'!I32+'21. mell. CMH'!I32+'22. mell. Bölcsőde'!I32+'23. mell. Terszoc.'!I32+'24. mell. Napraforgó'!I32+'25. mell. Kerületgazda'!I32+'26. mell. Őrszolgálat'!I32+'27. mell. KHEK'!I32+'28. mell. KIO'!I32</f>
        <v>5126789457.26968</v>
      </c>
      <c r="J32" s="321">
        <f>+'9. mell. PMH'!J32+'12. mell. Szakrendelő'!J32+'13. mell. GAMESZ'!J32+'14. mell. Gyerekkuckó'!J32+'15. mell. Cinkotai H.'!J32+'16. mell. Napsugár'!J32+'17. mell. Sashalmi M.'!J32+'18. mell. Margaréta'!J32+'19.mell.Szentmihályi Játszókert'!J32+'20. mell. M. Fecskefészek'!J32+'21. mell. CMH'!J32+'22. mell. Bölcsőde'!J32+'23. mell. Terszoc.'!J32+'24. mell. Napraforgó'!J32+'25. mell. Kerületgazda'!J32+'26. mell. Őrszolgálat'!J32+'27. mell. KHEK'!J32+'28. mell. KIO'!J32</f>
        <v>5126789457.26968</v>
      </c>
      <c r="K32" s="2197">
        <f>+'9. mell. PMH'!K32+'12. mell. Szakrendelő'!K32+'13. mell. GAMESZ'!K32+'14. mell. Gyerekkuckó'!K32+'15. mell. Cinkotai H.'!K32+'16. mell. Napsugár'!K32+'17. mell. Sashalmi M.'!K32+'18. mell. Margaréta'!K32+'19.mell.Szentmihályi Játszókert'!K32+'20. mell. M. Fecskefészek'!K32+'21. mell. CMH'!K32+'22. mell. Bölcsőde'!K32+'23. mell. Terszoc.'!K32+'24. mell. Napraforgó'!K32+'25. mell. Kerületgazda'!K32+'26. mell. Őrszolgálat'!K32+'27. mell. KHEK'!K32+'28. mell. KIO'!K32</f>
        <v>5126789457</v>
      </c>
      <c r="L32" s="321">
        <f>+'9. mell. PMH'!L32+'12. mell. Szakrendelő'!L32+'13. mell. GAMESZ'!L32+'14. mell. Gyerekkuckó'!L32+'15. mell. Cinkotai H.'!L32+'16. mell. Napsugár'!L32+'17. mell. Sashalmi M.'!L32+'18. mell. Margaréta'!L32+'19.mell.Szentmihályi Játszókert'!L32+'20. mell. M. Fecskefészek'!L32+'21. mell. CMH'!L32+'22. mell. Bölcsőde'!L32+'23. mell. Terszoc.'!L32+'24. mell. Napraforgó'!L32+'25. mell. Kerületgazda'!L32+'26. mell. Őrszolgálat'!L32+'27. mell. KHEK'!L32+'28. mell. KIO'!L32</f>
        <v>548795445</v>
      </c>
      <c r="M32" s="321">
        <f>+'9. mell. PMH'!M32+'12. mell. Szakrendelő'!M32+'13. mell. GAMESZ'!M32+'14. mell. Gyerekkuckó'!M32+'15. mell. Cinkotai H.'!M32+'16. mell. Napsugár'!M32+'17. mell. Sashalmi M.'!M32+'18. mell. Margaréta'!M32+'19.mell.Szentmihályi Játszókert'!M32+'20. mell. M. Fecskefészek'!M32+'21. mell. CMH'!M32+'22. mell. Bölcsőde'!M32+'23. mell. Terszoc.'!M32+'24. mell. Napraforgó'!M32+'25. mell. Kerületgazda'!M32+'26. mell. Őrszolgálat'!M32+'27. mell. KHEK'!M32+'28. mell. KIO'!M32</f>
        <v>525123053</v>
      </c>
      <c r="N32" s="321">
        <f>+'9. mell. PMH'!N32+'12. mell. Szakrendelő'!N32+'13. mell. GAMESZ'!N32+'14. mell. Gyerekkuckó'!N32+'15. mell. Cinkotai H.'!N32+'16. mell. Napsugár'!N32+'17. mell. Sashalmi M.'!N32+'18. mell. Margaréta'!N32+'19.mell.Szentmihályi Játszókert'!N32+'20. mell. M. Fecskefészek'!N32+'21. mell. CMH'!N32+'22. mell. Bölcsőde'!N32+'23. mell. Terszoc.'!N32+'24. mell. Napraforgó'!N32+'25. mell. Kerületgazda'!N32+'26. mell. Őrszolgálat'!N32+'27. mell. KHEK'!N32+'28. mell. KIO'!N32</f>
        <v>455957250</v>
      </c>
      <c r="O32" s="321">
        <f>+'9. mell. PMH'!O32+'12. mell. Szakrendelő'!O32+'13. mell. GAMESZ'!O32+'14. mell. Gyerekkuckó'!O32+'15. mell. Cinkotai H.'!O32+'16. mell. Napsugár'!O32+'17. mell. Sashalmi M.'!O32+'18. mell. Margaréta'!O32+'19.mell.Szentmihályi Játszókert'!O32+'20. mell. M. Fecskefészek'!O32+'21. mell. CMH'!O32+'22. mell. Bölcsőde'!O32+'23. mell. Terszoc.'!O32+'24. mell. Napraforgó'!O32+'25. mell. Kerületgazda'!O32+'26. mell. Őrszolgálat'!O32+'27. mell. KHEK'!O32+'28. mell. KIO'!O32</f>
        <v>273237049</v>
      </c>
      <c r="P32" s="321">
        <f>+'9. mell. PMH'!P32+'12. mell. Szakrendelő'!P32+'13. mell. GAMESZ'!P32+'14. mell. Gyerekkuckó'!P32+'15. mell. Cinkotai H.'!P32+'16. mell. Napsugár'!P32+'17. mell. Sashalmi M.'!P32+'18. mell. Margaréta'!P32+'19.mell.Szentmihályi Játszókert'!P32+'20. mell. M. Fecskefészek'!P32+'21. mell. CMH'!P32+'22. mell. Bölcsőde'!P32+'23. mell. Terszoc.'!P32+'24. mell. Napraforgó'!P32+'25. mell. Kerületgazda'!P32+'26. mell. Őrszolgálat'!P32+'27. mell. KHEK'!P32+'28. mell. KIO'!P32</f>
        <v>273237049</v>
      </c>
      <c r="Q32" s="321">
        <f>+'9. mell. PMH'!Q32+'12. mell. Szakrendelő'!Q32+'13. mell. GAMESZ'!Q32+'14. mell. Gyerekkuckó'!Q32+'15. mell. Cinkotai H.'!Q32+'16. mell. Napsugár'!Q32+'17. mell. Sashalmi M.'!Q32+'18. mell. Margaréta'!Q32+'19.mell.Szentmihályi Játszókert'!Q32+'20. mell. M. Fecskefészek'!Q32+'21. mell. CMH'!Q32+'22. mell. Bölcsőde'!Q32+'23. mell. Terszoc.'!Q32+'24. mell. Napraforgó'!Q32+'25. mell. Kerületgazda'!Q32+'26. mell. Őrszolgálat'!Q32+'27. mell. KHEK'!Q32+'28. mell. KIO'!Q32</f>
        <v>273237049</v>
      </c>
      <c r="R32" s="321">
        <f>+'9. mell. PMH'!R32+'12. mell. Szakrendelő'!R32+'13. mell. GAMESZ'!R32+'14. mell. Gyerekkuckó'!R32+'15. mell. Cinkotai H.'!R32+'16. mell. Napsugár'!R32+'17. mell. Sashalmi M.'!R32+'18. mell. Margaréta'!R32+'19.mell.Szentmihályi Játszókert'!R32+'20. mell. M. Fecskefészek'!R32+'21. mell. CMH'!R32+'22. mell. Bölcsőde'!R32+'23. mell. Terszoc.'!R32+'24. mell. Napraforgó'!R32+'25. mell. Kerületgazda'!R32+'26. mell. Őrszolgálat'!R32+'27. mell. KHEK'!R32+'28. mell. KIO'!R32</f>
        <v>4298593851.26968</v>
      </c>
      <c r="S32" s="321">
        <f>+'9. mell. PMH'!S32+'12. mell. Szakrendelő'!S32+'13. mell. GAMESZ'!S32+'14. mell. Gyerekkuckó'!S32+'15. mell. Cinkotai H.'!S32+'16. mell. Napsugár'!S32+'17. mell. Sashalmi M.'!S32+'18. mell. Margaréta'!S32+'19.mell.Szentmihályi Játszókert'!S32+'20. mell. M. Fecskefészek'!S32+'21. mell. CMH'!S32+'22. mell. Bölcsőde'!S32+'23. mell. Terszoc.'!S32+'24. mell. Napraforgó'!S32+'25. mell. Kerületgazda'!S32+'26. mell. Őrszolgálat'!S32+'27. mell. KHEK'!S32+'28. mell. KIO'!S32</f>
        <v>4372286259.26968</v>
      </c>
      <c r="T32" s="321">
        <f>+'9. mell. PMH'!T32+'12. mell. Szakrendelő'!T32+'13. mell. GAMESZ'!T32+'14. mell. Gyerekkuckó'!T32+'15. mell. Cinkotai H.'!T32+'16. mell. Napsugár'!T32+'17. mell. Sashalmi M.'!T32+'18. mell. Margaréta'!T32+'19.mell.Szentmihályi Játszókert'!T32+'20. mell. M. Fecskefészek'!T32+'21. mell. CMH'!T32+'22. mell. Bölcsőde'!T32+'23. mell. Terszoc.'!T32+'24. mell. Napraforgó'!T32+'25. mell. Kerületgazda'!T32+'26. mell. Őrszolgálat'!T32+'27. mell. KHEK'!T32+'28. mell. KIO'!T32</f>
        <v>4484063866.26968</v>
      </c>
      <c r="U32" s="321">
        <f>+'9. mell. PMH'!U32+'12. mell. Szakrendelő'!U32+'13. mell. GAMESZ'!U32+'14. mell. Gyerekkuckó'!U32+'15. mell. Cinkotai H.'!U32+'16. mell. Napsugár'!U32+'17. mell. Sashalmi M.'!U32+'18. mell. Margaréta'!U32+'19.mell.Szentmihályi Játszókert'!U32+'20. mell. M. Fecskefészek'!U32+'21. mell. CMH'!U32+'22. mell. Bölcsőde'!U32+'23. mell. Terszoc.'!U32+'24. mell. Napraforgó'!U32+'25. mell. Kerületgazda'!U32+'26. mell. Őrszolgálat'!U32+'27. mell. KHEK'!U32+'28. mell. KIO'!U32</f>
        <v>4853552408.26968</v>
      </c>
      <c r="V32" s="321">
        <f>+'9. mell. PMH'!V32+'12. mell. Szakrendelő'!V32+'13. mell. GAMESZ'!V32+'14. mell. Gyerekkuckó'!V32+'15. mell. Cinkotai H.'!V32+'16. mell. Napsugár'!V32+'17. mell. Sashalmi M.'!V32+'18. mell. Margaréta'!V32+'19.mell.Szentmihályi Játszókert'!V32+'20. mell. M. Fecskefészek'!V32+'21. mell. CMH'!V32+'22. mell. Bölcsőde'!V32+'23. mell. Terszoc.'!V32+'24. mell. Napraforgó'!V32+'25. mell. Kerületgazda'!V32+'26. mell. Őrszolgálat'!V32+'27. mell. KHEK'!V32+'28. mell. KIO'!V32</f>
        <v>4853552408.26968</v>
      </c>
      <c r="W32" s="321">
        <f>+'9. mell. PMH'!W32+'12. mell. Szakrendelő'!W32+'13. mell. GAMESZ'!W32+'14. mell. Gyerekkuckó'!W32+'15. mell. Cinkotai H.'!W32+'16. mell. Napsugár'!W32+'17. mell. Sashalmi M.'!W32+'18. mell. Margaréta'!W32+'19.mell.Szentmihályi Játszókert'!W32+'20. mell. M. Fecskefészek'!W32+'21. mell. CMH'!W32+'22. mell. Bölcsőde'!W32+'23. mell. Terszoc.'!W32+'24. mell. Napraforgó'!W32+'25. mell. Kerületgazda'!W32+'26. mell. Őrszolgálat'!W32+'27. mell. KHEK'!W32+'28. mell. KIO'!W32</f>
        <v>4853552408</v>
      </c>
      <c r="X32" s="321">
        <f>+'9. mell. PMH'!X32+'12. mell. Szakrendelő'!X32+'13. mell. GAMESZ'!X32+'14. mell. Gyerekkuckó'!X32+'15. mell. Cinkotai H.'!X32+'16. mell. Napsugár'!X32+'17. mell. Sashalmi M.'!X32+'18. mell. Margaréta'!X32+'19.mell.Szentmihályi Játszókert'!X32+'20. mell. M. Fecskefészek'!X32+'21. mell. CMH'!X32+'22. mell. Bölcsőde'!X32+'23. mell. Terszoc.'!X32+'24. mell. Napraforgó'!X32+'25. mell. Kerületgazda'!X32+'26. mell. Őrszolgálat'!X32+'27. mell. KHEK'!X32+'28. mell. KIO'!X32</f>
        <v>0</v>
      </c>
      <c r="Y32" s="321">
        <f>+'9. mell. PMH'!Y32+'12. mell. Szakrendelő'!Y32+'13. mell. GAMESZ'!Y32+'14. mell. Gyerekkuckó'!Y32+'15. mell. Cinkotai H.'!Y32+'16. mell. Napsugár'!Y32+'17. mell. Sashalmi M.'!Y32+'18. mell. Margaréta'!Y32+'19.mell.Szentmihályi Játszókert'!Y32+'20. mell. M. Fecskefészek'!Y32+'21. mell. CMH'!Y32+'22. mell. Bölcsőde'!Y32+'23. mell. Terszoc.'!Y32+'24. mell. Napraforgó'!Y32+'25. mell. Kerületgazda'!Y32+'26. mell. Őrszolgálat'!Y32+'27. mell. KHEK'!Y32+'28. mell. KIO'!Y32</f>
        <v>0</v>
      </c>
      <c r="Z32" s="321">
        <f>+'9. mell. PMH'!Z32+'12. mell. Szakrendelő'!Z32+'13. mell. GAMESZ'!Z32+'14. mell. Gyerekkuckó'!Z32+'15. mell. Cinkotai H.'!Z32+'16. mell. Napsugár'!Z32+'17. mell. Sashalmi M.'!Z32+'18. mell. Margaréta'!Z32+'19.mell.Szentmihályi Játszókert'!Z32+'20. mell. M. Fecskefészek'!Z32+'21. mell. CMH'!Z32+'22. mell. Bölcsőde'!Z32+'23. mell. Terszoc.'!Z32+'24. mell. Napraforgó'!Z32+'25. mell. Kerületgazda'!Z32+'26. mell. Őrszolgálat'!Z32+'27. mell. KHEK'!Z32+'28. mell. KIO'!Z32</f>
        <v>0</v>
      </c>
      <c r="AA32" s="321">
        <f>+'9. mell. PMH'!AA32+'12. mell. Szakrendelő'!AA32+'13. mell. GAMESZ'!AA32+'14. mell. Gyerekkuckó'!AA32+'15. mell. Cinkotai H.'!AA32+'16. mell. Napsugár'!AA32+'17. mell. Sashalmi M.'!AA32+'18. mell. Margaréta'!AA32+'19.mell.Szentmihályi Játszókert'!AA32+'20. mell. M. Fecskefészek'!AA32+'21. mell. CMH'!AA32+'22. mell. Bölcsőde'!AA32+'23. mell. Terszoc.'!AA32+'24. mell. Napraforgó'!AA32+'25. mell. Kerületgazda'!AA32+'26. mell. Őrszolgálat'!AA32+'27. mell. KHEK'!AA32+'28. mell. KIO'!AA32</f>
        <v>0</v>
      </c>
      <c r="AB32" s="321">
        <f>+'9. mell. PMH'!AB32+'12. mell. Szakrendelő'!AB32+'13. mell. GAMESZ'!AB32+'14. mell. Gyerekkuckó'!AB32+'15. mell. Cinkotai H.'!AB32+'16. mell. Napsugár'!AB32+'17. mell. Sashalmi M.'!AB32+'18. mell. Margaréta'!AB32+'19.mell.Szentmihályi Játszókert'!AB32+'20. mell. M. Fecskefészek'!AB32+'21. mell. CMH'!AB32+'22. mell. Bölcsőde'!AB32+'23. mell. Terszoc.'!AB32+'24. mell. Napraforgó'!AB32+'25. mell. Kerületgazda'!AB32+'26. mell. Őrszolgálat'!AB32+'27. mell. KHEK'!AB32+'28. mell. KIO'!AB32</f>
        <v>0</v>
      </c>
      <c r="AC32" s="321">
        <f>+'9. mell. PMH'!AC32+'12. mell. Szakrendelő'!AC32+'13. mell. GAMESZ'!AC32+'14. mell. Gyerekkuckó'!AC32+'15. mell. Cinkotai H.'!AC32+'16. mell. Napsugár'!AC32+'17. mell. Sashalmi M.'!AC32+'18. mell. Margaréta'!AC32+'19.mell.Szentmihályi Játszókert'!AC32+'20. mell. M. Fecskefészek'!AC32+'21. mell. CMH'!AC32+'22. mell. Bölcsőde'!AC32+'23. mell. Terszoc.'!AC32+'24. mell. Napraforgó'!AC32+'25. mell. Kerületgazda'!AC32+'26. mell. Őrszolgálat'!AC32+'27. mell. KHEK'!AC32+'28. mell. KIO'!AC32</f>
        <v>0</v>
      </c>
      <c r="AD32" s="323"/>
      <c r="AE32" s="321">
        <f t="shared" si="0"/>
        <v>50020016</v>
      </c>
      <c r="AF32" s="321">
        <f t="shared" si="1"/>
        <v>42611804</v>
      </c>
      <c r="AG32" s="321">
        <f t="shared" si="2"/>
        <v>186768341</v>
      </c>
      <c r="AH32" s="321">
        <f t="shared" si="3"/>
        <v>0</v>
      </c>
      <c r="AI32" s="340">
        <f t="shared" si="9"/>
        <v>0.99999999994739786</v>
      </c>
      <c r="AJ32" s="321">
        <f t="shared" si="4"/>
        <v>614437564.26968002</v>
      </c>
      <c r="AK32" s="325">
        <f>+F32-'9. mell. PMH'!F32-'12. mell. Szakrendelő'!F32-'25. mell. Kerületgazda'!F32-'28. mell. KIO'!F32</f>
        <v>710406508.26968002</v>
      </c>
      <c r="AL32" s="325">
        <f>+G32-'9. mell. PMH'!G32-'12. mell. Szakrendelő'!G32-'25. mell. Kerületgazda'!G32-'28. mell. KIO'!G32</f>
        <v>737118047.26968002</v>
      </c>
      <c r="AM32" s="325">
        <f>+H32-'9. mell. PMH'!H32-'12. mell. Szakrendelő'!H32-'25. mell. Kerületgazda'!H32-'28. mell. KIO'!H32</f>
        <v>778181918.26968002</v>
      </c>
      <c r="AN32" s="325">
        <f>+I32-'9. mell. PMH'!I32-'12. mell. Szakrendelő'!I32-'25. mell. Kerületgazda'!I32-'28. mell. KIO'!I32</f>
        <v>922769871.26968002</v>
      </c>
      <c r="AO32" s="325">
        <f>+J32-'9. mell. PMH'!J32-'12. mell. Szakrendelő'!J32-'25. mell. Kerületgazda'!J32-'28. mell. KIO'!J32</f>
        <v>922769871.26968002</v>
      </c>
      <c r="AP32" s="325">
        <f>+K32-'9. mell. PMH'!K32-'12. mell. Szakrendelő'!K32-'25. mell. Kerületgazda'!K32-'28. mell. KIO'!K32</f>
        <v>922769871</v>
      </c>
      <c r="AQ32" s="1195">
        <f t="shared" si="5"/>
        <v>26711539</v>
      </c>
      <c r="AR32" s="1593">
        <f t="shared" si="6"/>
        <v>41063871</v>
      </c>
      <c r="AS32" s="1195">
        <f t="shared" si="7"/>
        <v>144587953</v>
      </c>
      <c r="AT32" s="2647">
        <v>4840496919</v>
      </c>
      <c r="AU32" s="1593">
        <f t="shared" si="8"/>
        <v>0</v>
      </c>
    </row>
    <row r="33" spans="1:47" s="326" customFormat="1" ht="12" customHeight="1" thickBot="1">
      <c r="A33" s="341" t="s">
        <v>25</v>
      </c>
      <c r="B33" s="341" t="s">
        <v>25</v>
      </c>
      <c r="C33" s="335" t="s">
        <v>1283</v>
      </c>
      <c r="D33" s="321">
        <f>+'9. mell. PMH'!D33+'12. mell. Szakrendelő'!D33+'13. mell. GAMESZ'!D33+'14. mell. Gyerekkuckó'!D33+'15. mell. Cinkotai H.'!D33+'16. mell. Napsugár'!D33+'17. mell. Sashalmi M.'!D33+'18. mell. Margaréta'!D33+'19.mell.Szentmihályi Játszókert'!D33+'20. mell. M. Fecskefészek'!D33+'21. mell. CMH'!D33+'22. mell. Bölcsőde'!D33+'23. mell. Terszoc.'!D33+'24. mell. Napraforgó'!D33+'25. mell. Kerületgazda'!D33+'26. mell. Őrszolgálat'!D33+'27. mell. KHEK'!D33+'28. mell. KIO'!D33</f>
        <v>12565246468</v>
      </c>
      <c r="E33" s="2587">
        <f>+'9. mell. PMH'!E33+'12. mell. Szakrendelő'!E33+'13. mell. GAMESZ'!E33+'14. mell. Gyerekkuckó'!E33+'15. mell. Cinkotai H.'!E33+'16. mell. Napsugár'!E33+'17. mell. Sashalmi M.'!E33+'18. mell. Margaréta'!E33+'19.mell.Szentmihályi Játszókert'!E33+'20. mell. M. Fecskefészek'!E33+'21. mell. CMH'!E33+'22. mell. Bölcsőde'!E33+'23. mell. Terszoc.'!E33+'24. mell. Napraforgó'!E33+'25. mell. Kerületgazda'!E33+'26. mell. Őrszolgálat'!E33+'27. mell. KHEK'!E33+'28. mell. KIO'!E33</f>
        <v>13048541972</v>
      </c>
      <c r="F33" s="321">
        <f>+'9. mell. PMH'!F33+'12. mell. Szakrendelő'!F33+'13. mell. GAMESZ'!F33+'14. mell. Gyerekkuckó'!F33+'15. mell. Cinkotai H.'!F33+'16. mell. Napsugár'!F33+'17. mell. Sashalmi M.'!F33+'18. mell. Margaréta'!F33+'19.mell.Szentmihályi Játszókert'!F33+'20. mell. M. Fecskefészek'!F33+'21. mell. CMH'!F33+'22. mell. Bölcsőde'!F33+'23. mell. Terszoc.'!F33+'24. mell. Napraforgó'!F33+'25. mell. Kerületgazda'!F33+'26. mell. Őrszolgálat'!F33+'27. mell. KHEK'!F33+'28. mell. KIO'!F33</f>
        <v>14061925236</v>
      </c>
      <c r="G33" s="321">
        <f>+'9. mell. PMH'!G33+'12. mell. Szakrendelő'!G33+'13. mell. GAMESZ'!G33+'14. mell. Gyerekkuckó'!G33+'15. mell. Cinkotai H.'!G33+'16. mell. Napsugár'!G33+'17. mell. Sashalmi M.'!G33+'18. mell. Margaréta'!G33+'19.mell.Szentmihályi Játszókert'!G33+'20. mell. M. Fecskefészek'!G33+'21. mell. CMH'!G33+'22. mell. Bölcsőde'!G33+'23. mell. Terszoc.'!G33+'24. mell. Napraforgó'!G33+'25. mell. Kerületgazda'!G33+'26. mell. Őrszolgálat'!G33+'27. mell. KHEK'!G33+'28. mell. KIO'!G33</f>
        <v>14753022967</v>
      </c>
      <c r="H33" s="321">
        <f>+'9. mell. PMH'!H33+'12. mell. Szakrendelő'!H33+'13. mell. GAMESZ'!H33+'14. mell. Gyerekkuckó'!H33+'15. mell. Cinkotai H.'!H33+'16. mell. Napsugár'!H33+'17. mell. Sashalmi M.'!H33+'18. mell. Margaréta'!H33+'19.mell.Szentmihályi Játszókert'!H33+'20. mell. M. Fecskefészek'!H33+'21. mell. CMH'!H33+'22. mell. Bölcsőde'!H33+'23. mell. Terszoc.'!H33+'24. mell. Napraforgó'!H33+'25. mell. Kerületgazda'!H33+'26. mell. Őrszolgálat'!H33+'27. mell. KHEK'!H33+'28. mell. KIO'!H33</f>
        <v>14896467548</v>
      </c>
      <c r="I33" s="321">
        <f>+'9. mell. PMH'!I33+'12. mell. Szakrendelő'!I33+'13. mell. GAMESZ'!I33+'14. mell. Gyerekkuckó'!I33+'15. mell. Cinkotai H.'!I33+'16. mell. Napsugár'!I33+'17. mell. Sashalmi M.'!I33+'18. mell. Margaréta'!I33+'19.mell.Szentmihályi Játszókert'!I33+'20. mell. M. Fecskefészek'!I33+'21. mell. CMH'!I33+'22. mell. Bölcsőde'!I33+'23. mell. Terszoc.'!I33+'24. mell. Napraforgó'!I33+'25. mell. Kerületgazda'!I33+'26. mell. Őrszolgálat'!I33+'27. mell. KHEK'!I33+'28. mell. KIO'!I33</f>
        <v>14991689489</v>
      </c>
      <c r="J33" s="321">
        <f>+'9. mell. PMH'!J33+'12. mell. Szakrendelő'!J33+'13. mell. GAMESZ'!J33+'14. mell. Gyerekkuckó'!J33+'15. mell. Cinkotai H.'!J33+'16. mell. Napsugár'!J33+'17. mell. Sashalmi M.'!J33+'18. mell. Margaréta'!J33+'19.mell.Szentmihályi Játszókert'!J33+'20. mell. M. Fecskefészek'!J33+'21. mell. CMH'!J33+'22. mell. Bölcsőde'!J33+'23. mell. Terszoc.'!J33+'24. mell. Napraforgó'!J33+'25. mell. Kerületgazda'!J33+'26. mell. Őrszolgálat'!J33+'27. mell. KHEK'!J33+'28. mell. KIO'!J33</f>
        <v>14991689489</v>
      </c>
      <c r="K33" s="2197">
        <f>+'9. mell. PMH'!K33+'12. mell. Szakrendelő'!K33+'13. mell. GAMESZ'!K33+'14. mell. Gyerekkuckó'!K33+'15. mell. Cinkotai H.'!K33+'16. mell. Napsugár'!K33+'17. mell. Sashalmi M.'!K33+'18. mell. Margaréta'!K33+'19.mell.Szentmihályi Játszókert'!K33+'20. mell. M. Fecskefészek'!K33+'21. mell. CMH'!K33+'22. mell. Bölcsőde'!K33+'23. mell. Terszoc.'!K33+'24. mell. Napraforgó'!K33+'25. mell. Kerületgazda'!K33+'26. mell. Őrszolgálat'!K33+'27. mell. KHEK'!K33+'28. mell. KIO'!K33</f>
        <v>14114588109</v>
      </c>
      <c r="L33" s="321">
        <f>+'9. mell. PMH'!L33+'12. mell. Szakrendelő'!L33+'13. mell. GAMESZ'!L33+'14. mell. Gyerekkuckó'!L33+'15. mell. Cinkotai H.'!L33+'16. mell. Napsugár'!L33+'17. mell. Sashalmi M.'!L33+'18. mell. Margaréta'!L33+'19.mell.Szentmihályi Játszókert'!L33+'20. mell. M. Fecskefészek'!L33+'21. mell. CMH'!L33+'22. mell. Bölcsőde'!L33+'23. mell. Terszoc.'!L33+'24. mell. Napraforgó'!L33+'25. mell. Kerületgazda'!L33+'26. mell. Őrszolgálat'!L33+'27. mell. KHEK'!L33+'28. mell. KIO'!L33</f>
        <v>221689520</v>
      </c>
      <c r="M33" s="321">
        <f>+'9. mell. PMH'!M33+'12. mell. Szakrendelő'!M33+'13. mell. GAMESZ'!M33+'14. mell. Gyerekkuckó'!M33+'15. mell. Cinkotai H.'!M33+'16. mell. Napsugár'!M33+'17. mell. Sashalmi M.'!M33+'18. mell. Margaréta'!M33+'19.mell.Szentmihályi Játszókert'!M33+'20. mell. M. Fecskefészek'!M33+'21. mell. CMH'!M33+'22. mell. Bölcsőde'!M33+'23. mell. Terszoc.'!M33+'24. mell. Napraforgó'!M33+'25. mell. Kerületgazda'!M33+'26. mell. Őrszolgálat'!M33+'27. mell. KHEK'!M33+'28. mell. KIO'!M33</f>
        <v>278292582</v>
      </c>
      <c r="N33" s="321">
        <f>+'9. mell. PMH'!N33+'12. mell. Szakrendelő'!N33+'13. mell. GAMESZ'!N33+'14. mell. Gyerekkuckó'!N33+'15. mell. Cinkotai H.'!N33+'16. mell. Napsugár'!N33+'17. mell. Sashalmi M.'!N33+'18. mell. Margaréta'!N33+'19.mell.Szentmihályi Játszókert'!N33+'20. mell. M. Fecskefészek'!N33+'21. mell. CMH'!N33+'22. mell. Bölcsőde'!N33+'23. mell. Terszoc.'!N33+'24. mell. Napraforgó'!N33+'25. mell. Kerületgazda'!N33+'26. mell. Őrszolgálat'!N33+'27. mell. KHEK'!N33+'28. mell. KIO'!N33</f>
        <v>350523312</v>
      </c>
      <c r="O33" s="321">
        <f>+'9. mell. PMH'!O33+'12. mell. Szakrendelő'!O33+'13. mell. GAMESZ'!O33+'14. mell. Gyerekkuckó'!O33+'15. mell. Cinkotai H.'!O33+'16. mell. Napsugár'!O33+'17. mell. Sashalmi M.'!O33+'18. mell. Margaréta'!O33+'19.mell.Szentmihályi Játszókert'!O33+'20. mell. M. Fecskefészek'!O33+'21. mell. CMH'!O33+'22. mell. Bölcsőde'!O33+'23. mell. Terszoc.'!O33+'24. mell. Napraforgó'!O33+'25. mell. Kerületgazda'!O33+'26. mell. Őrszolgálat'!O33+'27. mell. KHEK'!O33+'28. mell. KIO'!O33</f>
        <v>437217369</v>
      </c>
      <c r="P33" s="321">
        <f>+'9. mell. PMH'!P33+'12. mell. Szakrendelő'!P33+'13. mell. GAMESZ'!P33+'14. mell. Gyerekkuckó'!P33+'15. mell. Cinkotai H.'!P33+'16. mell. Napsugár'!P33+'17. mell. Sashalmi M.'!P33+'18. mell. Margaréta'!P33+'19.mell.Szentmihályi Játszókert'!P33+'20. mell. M. Fecskefészek'!P33+'21. mell. CMH'!P33+'22. mell. Bölcsőde'!P33+'23. mell. Terszoc.'!P33+'24. mell. Napraforgó'!P33+'25. mell. Kerületgazda'!P33+'26. mell. Őrszolgálat'!P33+'27. mell. KHEK'!P33+'28. mell. KIO'!P33</f>
        <v>437217369</v>
      </c>
      <c r="Q33" s="321">
        <f>+'9. mell. PMH'!Q33+'12. mell. Szakrendelő'!Q33+'13. mell. GAMESZ'!Q33+'14. mell. Gyerekkuckó'!Q33+'15. mell. Cinkotai H.'!Q33+'16. mell. Napsugár'!Q33+'17. mell. Sashalmi M.'!Q33+'18. mell. Margaréta'!Q33+'19.mell.Szentmihályi Játszókert'!Q33+'20. mell. M. Fecskefészek'!Q33+'21. mell. CMH'!Q33+'22. mell. Bölcsőde'!Q33+'23. mell. Terszoc.'!Q33+'24. mell. Napraforgó'!Q33+'25. mell. Kerületgazda'!Q33+'26. mell. Őrszolgálat'!Q33+'27. mell. KHEK'!Q33+'28. mell. KIO'!Q33</f>
        <v>430016550</v>
      </c>
      <c r="R33" s="321">
        <f>+'9. mell. PMH'!R33+'12. mell. Szakrendelő'!R33+'13. mell. GAMESZ'!R33+'14. mell. Gyerekkuckó'!R33+'15. mell. Cinkotai H.'!R33+'16. mell. Napsugár'!R33+'17. mell. Sashalmi M.'!R33+'18. mell. Margaréta'!R33+'19.mell.Szentmihályi Játszókert'!R33+'20. mell. M. Fecskefészek'!R33+'21. mell. CMH'!R33+'22. mell. Bölcsőde'!R33+'23. mell. Terszoc.'!R33+'24. mell. Napraforgó'!R33+'25. mell. Kerületgazda'!R33+'26. mell. Őrszolgálat'!R33+'27. mell. KHEK'!R33+'28. mell. KIO'!R33</f>
        <v>13836735716</v>
      </c>
      <c r="S33" s="321">
        <f>+'9. mell. PMH'!S33+'12. mell. Szakrendelő'!S33+'13. mell. GAMESZ'!S33+'14. mell. Gyerekkuckó'!S33+'15. mell. Cinkotai H.'!S33+'16. mell. Napsugár'!S33+'17. mell. Sashalmi M.'!S33+'18. mell. Margaréta'!S33+'19.mell.Szentmihályi Játszókert'!S33+'20. mell. M. Fecskefészek'!S33+'21. mell. CMH'!S33+'22. mell. Bölcsőde'!S33+'23. mell. Terszoc.'!S33+'24. mell. Napraforgó'!S33+'25. mell. Kerületgazda'!S33+'26. mell. Őrszolgálat'!S33+'27. mell. KHEK'!S33+'28. mell. KIO'!S33</f>
        <v>14471230385</v>
      </c>
      <c r="T33" s="321">
        <f>+'9. mell. PMH'!T33+'12. mell. Szakrendelő'!T33+'13. mell. GAMESZ'!T33+'14. mell. Gyerekkuckó'!T33+'15. mell. Cinkotai H.'!T33+'16. mell. Napsugár'!T33+'17. mell. Sashalmi M.'!T33+'18. mell. Margaréta'!T33+'19.mell.Szentmihályi Játszókert'!T33+'20. mell. M. Fecskefészek'!T33+'21. mell. CMH'!T33+'22. mell. Bölcsőde'!T33+'23. mell. Terszoc.'!T33+'24. mell. Napraforgó'!T33+'25. mell. Kerületgazda'!T33+'26. mell. Őrszolgálat'!T33+'27. mell. KHEK'!T33+'28. mell. KIO'!T33</f>
        <v>14540470772</v>
      </c>
      <c r="U33" s="321">
        <f>+'9. mell. PMH'!U33+'12. mell. Szakrendelő'!U33+'13. mell. GAMESZ'!U33+'14. mell. Gyerekkuckó'!U33+'15. mell. Cinkotai H.'!U33+'16. mell. Napsugár'!U33+'17. mell. Sashalmi M.'!U33+'18. mell. Margaréta'!U33+'19.mell.Szentmihályi Játszókert'!U33+'20. mell. M. Fecskefészek'!U33+'21. mell. CMH'!U33+'22. mell. Bölcsőde'!U33+'23. mell. Terszoc.'!U33+'24. mell. Napraforgó'!U33+'25. mell. Kerületgazda'!U33+'26. mell. Őrszolgálat'!U33+'27. mell. KHEK'!U33+'28. mell. KIO'!U33</f>
        <v>14551960480</v>
      </c>
      <c r="V33" s="321">
        <f>+'9. mell. PMH'!V33+'12. mell. Szakrendelő'!V33+'13. mell. GAMESZ'!V33+'14. mell. Gyerekkuckó'!V33+'15. mell. Cinkotai H.'!V33+'16. mell. Napsugár'!V33+'17. mell. Sashalmi M.'!V33+'18. mell. Margaréta'!V33+'19.mell.Szentmihályi Játszókert'!V33+'20. mell. M. Fecskefészek'!V33+'21. mell. CMH'!V33+'22. mell. Bölcsőde'!V33+'23. mell. Terszoc.'!V33+'24. mell. Napraforgó'!V33+'25. mell. Kerületgazda'!V33+'26. mell. Őrszolgálat'!V33+'27. mell. KHEK'!V33+'28. mell. KIO'!V33</f>
        <v>14551960480</v>
      </c>
      <c r="W33" s="321">
        <f>+'9. mell. PMH'!W33+'12. mell. Szakrendelő'!W33+'13. mell. GAMESZ'!W33+'14. mell. Gyerekkuckó'!W33+'15. mell. Cinkotai H.'!W33+'16. mell. Napsugár'!W33+'17. mell. Sashalmi M.'!W33+'18. mell. Margaréta'!W33+'19.mell.Szentmihályi Játszókert'!W33+'20. mell. M. Fecskefészek'!W33+'21. mell. CMH'!W33+'22. mell. Bölcsőde'!W33+'23. mell. Terszoc.'!W33+'24. mell. Napraforgó'!W33+'25. mell. Kerületgazda'!W33+'26. mell. Őrszolgálat'!W33+'27. mell. KHEK'!W33+'28. mell. KIO'!W33</f>
        <v>13682059919</v>
      </c>
      <c r="X33" s="321">
        <f>+'9. mell. PMH'!X33+'12. mell. Szakrendelő'!X33+'13. mell. GAMESZ'!X33+'14. mell. Gyerekkuckó'!X33+'15. mell. Cinkotai H.'!X33+'16. mell. Napsugár'!X33+'17. mell. Sashalmi M.'!X33+'18. mell. Margaréta'!X33+'19.mell.Szentmihályi Játszókert'!X33+'20. mell. M. Fecskefészek'!X33+'21. mell. CMH'!X33+'22. mell. Bölcsőde'!X33+'23. mell. Terszoc.'!X33+'24. mell. Napraforgó'!X33+'25. mell. Kerületgazda'!X33+'26. mell. Őrszolgálat'!X33+'27. mell. KHEK'!X33+'28. mell. KIO'!X33</f>
        <v>3500000</v>
      </c>
      <c r="Y33" s="321">
        <f>+'9. mell. PMH'!Y33+'12. mell. Szakrendelő'!Y33+'13. mell. GAMESZ'!Y33+'14. mell. Gyerekkuckó'!Y33+'15. mell. Cinkotai H.'!Y33+'16. mell. Napsugár'!Y33+'17. mell. Sashalmi M.'!Y33+'18. mell. Margaréta'!Y33+'19.mell.Szentmihályi Játszókert'!Y33+'20. mell. M. Fecskefészek'!Y33+'21. mell. CMH'!Y33+'22. mell. Bölcsőde'!Y33+'23. mell. Terszoc.'!Y33+'24. mell. Napraforgó'!Y33+'25. mell. Kerületgazda'!Y33+'26. mell. Őrszolgálat'!Y33+'27. mell. KHEK'!Y33+'28. mell. KIO'!Y33</f>
        <v>3500000</v>
      </c>
      <c r="Z33" s="321">
        <f>+'9. mell. PMH'!Z33+'12. mell. Szakrendelő'!Z33+'13. mell. GAMESZ'!Z33+'14. mell. Gyerekkuckó'!Z33+'15. mell. Cinkotai H.'!Z33+'16. mell. Napsugár'!Z33+'17. mell. Sashalmi M.'!Z33+'18. mell. Margaréta'!Z33+'19.mell.Szentmihályi Játszókert'!Z33+'20. mell. M. Fecskefészek'!Z33+'21. mell. CMH'!Z33+'22. mell. Bölcsőde'!Z33+'23. mell. Terszoc.'!Z33+'24. mell. Napraforgó'!Z33+'25. mell. Kerületgazda'!Z33+'26. mell. Őrszolgálat'!Z33+'27. mell. KHEK'!Z33+'28. mell. KIO'!Z33</f>
        <v>5473464</v>
      </c>
      <c r="AA33" s="321">
        <f>+'9. mell. PMH'!AA33+'12. mell. Szakrendelő'!AA33+'13. mell. GAMESZ'!AA33+'14. mell. Gyerekkuckó'!AA33+'15. mell. Cinkotai H.'!AA33+'16. mell. Napsugár'!AA33+'17. mell. Sashalmi M.'!AA33+'18. mell. Margaréta'!AA33+'19.mell.Szentmihályi Játszókert'!AA33+'20. mell. M. Fecskefészek'!AA33+'21. mell. CMH'!AA33+'22. mell. Bölcsőde'!AA33+'23. mell. Terszoc.'!AA33+'24. mell. Napraforgó'!AA33+'25. mell. Kerületgazda'!AA33+'26. mell. Őrszolgálat'!AA33+'27. mell. KHEK'!AA33+'28. mell. KIO'!AA33</f>
        <v>2511640</v>
      </c>
      <c r="AB33" s="321">
        <f>+'9. mell. PMH'!AB33+'12. mell. Szakrendelő'!AB33+'13. mell. GAMESZ'!AB33+'14. mell. Gyerekkuckó'!AB33+'15. mell. Cinkotai H.'!AB33+'16. mell. Napsugár'!AB33+'17. mell. Sashalmi M.'!AB33+'18. mell. Margaréta'!AB33+'19.mell.Szentmihályi Játszókert'!AB33+'20. mell. M. Fecskefészek'!AB33+'21. mell. CMH'!AB33+'22. mell. Bölcsőde'!AB33+'23. mell. Terszoc.'!AB33+'24. mell. Napraforgó'!AB33+'25. mell. Kerületgazda'!AB33+'26. mell. Őrszolgálat'!AB33+'27. mell. KHEK'!AB33+'28. mell. KIO'!AB33</f>
        <v>2511640</v>
      </c>
      <c r="AC33" s="321">
        <f>+'9. mell. PMH'!AC33+'12. mell. Szakrendelő'!AC33+'13. mell. GAMESZ'!AC33+'14. mell. Gyerekkuckó'!AC33+'15. mell. Cinkotai H.'!AC33+'16. mell. Napsugár'!AC33+'17. mell. Sashalmi M.'!AC33+'18. mell. Margaréta'!AC33+'19.mell.Szentmihályi Játszókert'!AC33+'20. mell. M. Fecskefészek'!AC33+'21. mell. CMH'!AC33+'22. mell. Bölcsőde'!AC33+'23. mell. Terszoc.'!AC33+'24. mell. Napraforgó'!AC33+'25. mell. Kerületgazda'!AC33+'26. mell. Őrszolgálat'!AC33+'27. mell. KHEK'!AC33+'28. mell. KIO'!AC33</f>
        <v>2511640</v>
      </c>
      <c r="AD33" s="323"/>
      <c r="AE33" s="321">
        <f t="shared" si="0"/>
        <v>691097731</v>
      </c>
      <c r="AF33" s="321">
        <f t="shared" si="1"/>
        <v>143444581</v>
      </c>
      <c r="AG33" s="321">
        <f t="shared" si="2"/>
        <v>95221941</v>
      </c>
      <c r="AH33" s="321">
        <f t="shared" si="3"/>
        <v>0</v>
      </c>
      <c r="AI33" s="324">
        <f t="shared" si="9"/>
        <v>0.94149416043845069</v>
      </c>
      <c r="AJ33" s="321">
        <f t="shared" si="4"/>
        <v>1496678768</v>
      </c>
      <c r="AK33" s="325">
        <f>+F33-'9. mell. PMH'!F33-'12. mell. Szakrendelő'!F33-'25. mell. Kerületgazda'!F33-'28. mell. KIO'!F33</f>
        <v>8882414991</v>
      </c>
      <c r="AL33" s="325">
        <f>+G33-'9. mell. PMH'!G33-'12. mell. Szakrendelő'!G33-'25. mell. Kerületgazda'!G33-'28. mell. KIO'!G33</f>
        <v>9210922981</v>
      </c>
      <c r="AM33" s="325">
        <f>+H33-'9. mell. PMH'!H33-'12. mell. Szakrendelő'!H33-'25. mell. Kerületgazda'!H33-'28. mell. KIO'!H33</f>
        <v>9228287746</v>
      </c>
      <c r="AN33" s="325">
        <f>+I33-'9. mell. PMH'!I33-'12. mell. Szakrendelő'!I33-'25. mell. Kerületgazda'!I33-'28. mell. KIO'!I33</f>
        <v>9301756757</v>
      </c>
      <c r="AO33" s="325">
        <f>+J33-'9. mell. PMH'!J33-'12. mell. Szakrendelő'!J33-'25. mell. Kerületgazda'!J33-'28. mell. KIO'!J33</f>
        <v>9301756757</v>
      </c>
      <c r="AP33" s="325">
        <f>+K33-'9. mell. PMH'!K33-'12. mell. Szakrendelő'!K33-'25. mell. Kerületgazda'!K33-'28. mell. KIO'!K33</f>
        <v>8831782318</v>
      </c>
      <c r="AQ33" s="1195">
        <f t="shared" si="5"/>
        <v>328507990</v>
      </c>
      <c r="AR33" s="1593">
        <f t="shared" si="6"/>
        <v>17364765</v>
      </c>
      <c r="AS33" s="1195">
        <f t="shared" si="7"/>
        <v>73469011</v>
      </c>
      <c r="AT33" s="2647">
        <v>13048541972</v>
      </c>
      <c r="AU33" s="1593">
        <f t="shared" si="8"/>
        <v>0</v>
      </c>
    </row>
    <row r="34" spans="1:47" s="326" customFormat="1" ht="12" customHeight="1" thickBot="1">
      <c r="A34" s="313"/>
      <c r="B34" s="1438" t="s">
        <v>1284</v>
      </c>
      <c r="C34" s="328" t="s">
        <v>1285</v>
      </c>
      <c r="D34" s="321">
        <f>+'9. mell. PMH'!D34+'12. mell. Szakrendelő'!D34+'13. mell. GAMESZ'!D34+'14. mell. Gyerekkuckó'!D34+'15. mell. Cinkotai H.'!D34+'16. mell. Napsugár'!D34+'17. mell. Sashalmi M.'!D34+'18. mell. Margaréta'!D34+'19.mell.Szentmihályi Játszókert'!D34+'20. mell. M. Fecskefészek'!D34+'21. mell. CMH'!D34+'22. mell. Bölcsőde'!D34+'23. mell. Terszoc.'!D34+'24. mell. Napraforgó'!D34+'25. mell. Kerületgazda'!D34+'26. mell. Őrszolgálat'!D34+'27. mell. KHEK'!D34+'28. mell. KIO'!D34</f>
        <v>0</v>
      </c>
      <c r="E34" s="2587">
        <f>+'9. mell. PMH'!E34+'12. mell. Szakrendelő'!E34+'13. mell. GAMESZ'!E34+'14. mell. Gyerekkuckó'!E34+'15. mell. Cinkotai H.'!E34+'16. mell. Napsugár'!E34+'17. mell. Sashalmi M.'!E34+'18. mell. Margaréta'!E34+'19.mell.Szentmihályi Játszókert'!E34+'20. mell. M. Fecskefészek'!E34+'21. mell. CMH'!E34+'22. mell. Bölcsőde'!E34+'23. mell. Terszoc.'!E34+'24. mell. Napraforgó'!E34+'25. mell. Kerületgazda'!E34+'26. mell. Őrszolgálat'!E34+'27. mell. KHEK'!E34+'28. mell. KIO'!E34</f>
        <v>716407055</v>
      </c>
      <c r="F34" s="321">
        <f>+'9. mell. PMH'!F34+'12. mell. Szakrendelő'!F34+'13. mell. GAMESZ'!F34+'14. mell. Gyerekkuckó'!F34+'15. mell. Cinkotai H.'!F34+'16. mell. Napsugár'!F34+'17. mell. Sashalmi M.'!F34+'18. mell. Margaréta'!F34+'19.mell.Szentmihályi Játszókert'!F34+'20. mell. M. Fecskefészek'!F34+'21. mell. CMH'!F34+'22. mell. Bölcsőde'!F34+'23. mell. Terszoc.'!F34+'24. mell. Napraforgó'!F34+'25. mell. Kerületgazda'!F34+'26. mell. Őrszolgálat'!F34+'27. mell. KHEK'!F34+'28. mell. KIO'!F34</f>
        <v>0</v>
      </c>
      <c r="G34" s="321">
        <f>+'9. mell. PMH'!G34+'12. mell. Szakrendelő'!G34+'13. mell. GAMESZ'!G34+'14. mell. Gyerekkuckó'!G34+'15. mell. Cinkotai H.'!G34+'16. mell. Napsugár'!G34+'17. mell. Sashalmi M.'!G34+'18. mell. Margaréta'!G34+'19.mell.Szentmihályi Játszókert'!G34+'20. mell. M. Fecskefészek'!G34+'21. mell. CMH'!G34+'22. mell. Bölcsőde'!G34+'23. mell. Terszoc.'!G34+'24. mell. Napraforgó'!G34+'25. mell. Kerületgazda'!G34+'26. mell. Őrszolgálat'!G34+'27. mell. KHEK'!G34+'28. mell. KIO'!G34</f>
        <v>638975654</v>
      </c>
      <c r="H34" s="321">
        <f>+'9. mell. PMH'!H34+'12. mell. Szakrendelő'!H34+'13. mell. GAMESZ'!H34+'14. mell. Gyerekkuckó'!H34+'15. mell. Cinkotai H.'!H34+'16. mell. Napsugár'!H34+'17. mell. Sashalmi M.'!H34+'18. mell. Margaréta'!H34+'19.mell.Szentmihályi Játszókert'!H34+'20. mell. M. Fecskefészek'!H34+'21. mell. CMH'!H34+'22. mell. Bölcsőde'!H34+'23. mell. Terszoc.'!H34+'24. mell. Napraforgó'!H34+'25. mell. Kerületgazda'!H34+'26. mell. Őrszolgálat'!H34+'27. mell. KHEK'!H34+'28. mell. KIO'!H34</f>
        <v>638975654</v>
      </c>
      <c r="I34" s="321">
        <f>+'9. mell. PMH'!I34+'12. mell. Szakrendelő'!I34+'13. mell. GAMESZ'!I34+'14. mell. Gyerekkuckó'!I34+'15. mell. Cinkotai H.'!I34+'16. mell. Napsugár'!I34+'17. mell. Sashalmi M.'!I34+'18. mell. Margaréta'!I34+'19.mell.Szentmihályi Játszókert'!I34+'20. mell. M. Fecskefészek'!I34+'21. mell. CMH'!I34+'22. mell. Bölcsőde'!I34+'23. mell. Terszoc.'!I34+'24. mell. Napraforgó'!I34+'25. mell. Kerületgazda'!I34+'26. mell. Őrszolgálat'!I34+'27. mell. KHEK'!I34+'28. mell. KIO'!I34</f>
        <v>638975654</v>
      </c>
      <c r="J34" s="321">
        <f>+'9. mell. PMH'!J34+'12. mell. Szakrendelő'!J34+'13. mell. GAMESZ'!J34+'14. mell. Gyerekkuckó'!J34+'15. mell. Cinkotai H.'!J34+'16. mell. Napsugár'!J34+'17. mell. Sashalmi M.'!J34+'18. mell. Margaréta'!J34+'19.mell.Szentmihályi Játszókert'!J34+'20. mell. M. Fecskefészek'!J34+'21. mell. CMH'!J34+'22. mell. Bölcsőde'!J34+'23. mell. Terszoc.'!J34+'24. mell. Napraforgó'!J34+'25. mell. Kerületgazda'!J34+'26. mell. Őrszolgálat'!J34+'27. mell. KHEK'!J34+'28. mell. KIO'!J34</f>
        <v>638975654</v>
      </c>
      <c r="K34" s="2197">
        <f>+'9. mell. PMH'!K34+'12. mell. Szakrendelő'!K34+'13. mell. GAMESZ'!K34+'14. mell. Gyerekkuckó'!K34+'15. mell. Cinkotai H.'!K34+'16. mell. Napsugár'!K34+'17. mell. Sashalmi M.'!K34+'18. mell. Margaréta'!K34+'19.mell.Szentmihályi Játszókert'!K34+'20. mell. M. Fecskefészek'!K34+'21. mell. CMH'!K34+'22. mell. Bölcsőde'!K34+'23. mell. Terszoc.'!K34+'24. mell. Napraforgó'!K34+'25. mell. Kerületgazda'!K34+'26. mell. Őrszolgálat'!K34+'27. mell. KHEK'!K34+'28. mell. KIO'!K34</f>
        <v>638975654</v>
      </c>
      <c r="L34" s="321">
        <f>+'9. mell. PMH'!L34+'12. mell. Szakrendelő'!L34+'13. mell. GAMESZ'!L34+'14. mell. Gyerekkuckó'!L34+'15. mell. Cinkotai H.'!L34+'16. mell. Napsugár'!L34+'17. mell. Sashalmi M.'!L34+'18. mell. Margaréta'!L34+'19.mell.Szentmihályi Játszókert'!L34+'20. mell. M. Fecskefészek'!L34+'21. mell. CMH'!L34+'22. mell. Bölcsőde'!L34+'23. mell. Terszoc.'!L34+'24. mell. Napraforgó'!L34+'25. mell. Kerületgazda'!L34+'26. mell. Őrszolgálat'!L34+'27. mell. KHEK'!L34+'28. mell. KIO'!L34</f>
        <v>0</v>
      </c>
      <c r="M34" s="321">
        <f>+'9. mell. PMH'!M34+'12. mell. Szakrendelő'!M34+'13. mell. GAMESZ'!M34+'14. mell. Gyerekkuckó'!M34+'15. mell. Cinkotai H.'!M34+'16. mell. Napsugár'!M34+'17. mell. Sashalmi M.'!M34+'18. mell. Margaréta'!M34+'19.mell.Szentmihályi Játszókert'!M34+'20. mell. M. Fecskefészek'!M34+'21. mell. CMH'!M34+'22. mell. Bölcsőde'!M34+'23. mell. Terszoc.'!M34+'24. mell. Napraforgó'!M34+'25. mell. Kerületgazda'!M34+'26. mell. Őrszolgálat'!M34+'27. mell. KHEK'!M34+'28. mell. KIO'!M34</f>
        <v>30121115</v>
      </c>
      <c r="N34" s="321">
        <f>+'9. mell. PMH'!N34+'12. mell. Szakrendelő'!N34+'13. mell. GAMESZ'!N34+'14. mell. Gyerekkuckó'!N34+'15. mell. Cinkotai H.'!N34+'16. mell. Napsugár'!N34+'17. mell. Sashalmi M.'!N34+'18. mell. Margaréta'!N34+'19.mell.Szentmihályi Játszókert'!N34+'20. mell. M. Fecskefészek'!N34+'21. mell. CMH'!N34+'22. mell. Bölcsőde'!N34+'23. mell. Terszoc.'!N34+'24. mell. Napraforgó'!N34+'25. mell. Kerületgazda'!N34+'26. mell. Őrszolgálat'!N34+'27. mell. KHEK'!N34+'28. mell. KIO'!N34</f>
        <v>30121115</v>
      </c>
      <c r="O34" s="321">
        <f>+'9. mell. PMH'!O34+'12. mell. Szakrendelő'!O34+'13. mell. GAMESZ'!O34+'14. mell. Gyerekkuckó'!O34+'15. mell. Cinkotai H.'!O34+'16. mell. Napsugár'!O34+'17. mell. Sashalmi M.'!O34+'18. mell. Margaréta'!O34+'19.mell.Szentmihályi Játszókert'!O34+'20. mell. M. Fecskefészek'!O34+'21. mell. CMH'!O34+'22. mell. Bölcsőde'!O34+'23. mell. Terszoc.'!O34+'24. mell. Napraforgó'!O34+'25. mell. Kerületgazda'!O34+'26. mell. Őrszolgálat'!O34+'27. mell. KHEK'!O34+'28. mell. KIO'!O34</f>
        <v>30121115</v>
      </c>
      <c r="P34" s="321">
        <f>+'9. mell. PMH'!P34+'12. mell. Szakrendelő'!P34+'13. mell. GAMESZ'!P34+'14. mell. Gyerekkuckó'!P34+'15. mell. Cinkotai H.'!P34+'16. mell. Napsugár'!P34+'17. mell. Sashalmi M.'!P34+'18. mell. Margaréta'!P34+'19.mell.Szentmihályi Játszókert'!P34+'20. mell. M. Fecskefészek'!P34+'21. mell. CMH'!P34+'22. mell. Bölcsőde'!P34+'23. mell. Terszoc.'!P34+'24. mell. Napraforgó'!P34+'25. mell. Kerületgazda'!P34+'26. mell. Őrszolgálat'!P34+'27. mell. KHEK'!P34+'28. mell. KIO'!P34</f>
        <v>30121115</v>
      </c>
      <c r="Q34" s="321">
        <f>+'9. mell. PMH'!Q34+'12. mell. Szakrendelő'!Q34+'13. mell. GAMESZ'!Q34+'14. mell. Gyerekkuckó'!Q34+'15. mell. Cinkotai H.'!Q34+'16. mell. Napsugár'!Q34+'17. mell. Sashalmi M.'!Q34+'18. mell. Margaréta'!Q34+'19.mell.Szentmihályi Játszókert'!Q34+'20. mell. M. Fecskefészek'!Q34+'21. mell. CMH'!Q34+'22. mell. Bölcsőde'!Q34+'23. mell. Terszoc.'!Q34+'24. mell. Napraforgó'!Q34+'25. mell. Kerületgazda'!Q34+'26. mell. Őrszolgálat'!Q34+'27. mell. KHEK'!Q34+'28. mell. KIO'!Q34</f>
        <v>30121115</v>
      </c>
      <c r="R34" s="321">
        <f>+'9. mell. PMH'!R34+'12. mell. Szakrendelő'!R34+'13. mell. GAMESZ'!R34+'14. mell. Gyerekkuckó'!R34+'15. mell. Cinkotai H.'!R34+'16. mell. Napsugár'!R34+'17. mell. Sashalmi M.'!R34+'18. mell. Margaréta'!R34+'19.mell.Szentmihályi Játszókert'!R34+'20. mell. M. Fecskefészek'!R34+'21. mell. CMH'!R34+'22. mell. Bölcsőde'!R34+'23. mell. Terszoc.'!R34+'24. mell. Napraforgó'!R34+'25. mell. Kerületgazda'!R34+'26. mell. Őrszolgálat'!R34+'27. mell. KHEK'!R34+'28. mell. KIO'!R34</f>
        <v>0</v>
      </c>
      <c r="S34" s="321">
        <f>+'9. mell. PMH'!S34+'12. mell. Szakrendelő'!S34+'13. mell. GAMESZ'!S34+'14. mell. Gyerekkuckó'!S34+'15. mell. Cinkotai H.'!S34+'16. mell. Napsugár'!S34+'17. mell. Sashalmi M.'!S34+'18. mell. Margaréta'!S34+'19.mell.Szentmihályi Játszókert'!S34+'20. mell. M. Fecskefészek'!S34+'21. mell. CMH'!S34+'22. mell. Bölcsőde'!S34+'23. mell. Terszoc.'!S34+'24. mell. Napraforgó'!S34+'25. mell. Kerületgazda'!S34+'26. mell. Őrszolgálat'!S34+'27. mell. KHEK'!S34+'28. mell. KIO'!S34</f>
        <v>608854539</v>
      </c>
      <c r="T34" s="321">
        <f>+'9. mell. PMH'!T34+'12. mell. Szakrendelő'!T34+'13. mell. GAMESZ'!T34+'14. mell. Gyerekkuckó'!T34+'15. mell. Cinkotai H.'!T34+'16. mell. Napsugár'!T34+'17. mell. Sashalmi M.'!T34+'18. mell. Margaréta'!T34+'19.mell.Szentmihályi Játszókert'!T34+'20. mell. M. Fecskefészek'!T34+'21. mell. CMH'!T34+'22. mell. Bölcsőde'!T34+'23. mell. Terszoc.'!T34+'24. mell. Napraforgó'!T34+'25. mell. Kerületgazda'!T34+'26. mell. Őrszolgálat'!T34+'27. mell. KHEK'!T34+'28. mell. KIO'!T34</f>
        <v>608854539</v>
      </c>
      <c r="U34" s="321">
        <f>+'9. mell. PMH'!U34+'12. mell. Szakrendelő'!U34+'13. mell. GAMESZ'!U34+'14. mell. Gyerekkuckó'!U34+'15. mell. Cinkotai H.'!U34+'16. mell. Napsugár'!U34+'17. mell. Sashalmi M.'!U34+'18. mell. Margaréta'!U34+'19.mell.Szentmihályi Játszókert'!U34+'20. mell. M. Fecskefészek'!U34+'21. mell. CMH'!U34+'22. mell. Bölcsőde'!U34+'23. mell. Terszoc.'!U34+'24. mell. Napraforgó'!U34+'25. mell. Kerületgazda'!U34+'26. mell. Őrszolgálat'!U34+'27. mell. KHEK'!U34+'28. mell. KIO'!U34</f>
        <v>608854539</v>
      </c>
      <c r="V34" s="321">
        <f>+'9. mell. PMH'!V34+'12. mell. Szakrendelő'!V34+'13. mell. GAMESZ'!V34+'14. mell. Gyerekkuckó'!V34+'15. mell. Cinkotai H.'!V34+'16. mell. Napsugár'!V34+'17. mell. Sashalmi M.'!V34+'18. mell. Margaréta'!V34+'19.mell.Szentmihályi Játszókert'!V34+'20. mell. M. Fecskefészek'!V34+'21. mell. CMH'!V34+'22. mell. Bölcsőde'!V34+'23. mell. Terszoc.'!V34+'24. mell. Napraforgó'!V34+'25. mell. Kerületgazda'!V34+'26. mell. Őrszolgálat'!V34+'27. mell. KHEK'!V34+'28. mell. KIO'!V34</f>
        <v>608854539</v>
      </c>
      <c r="W34" s="321">
        <f>+'9. mell. PMH'!W34+'12. mell. Szakrendelő'!W34+'13. mell. GAMESZ'!W34+'14. mell. Gyerekkuckó'!W34+'15. mell. Cinkotai H.'!W34+'16. mell. Napsugár'!W34+'17. mell. Sashalmi M.'!W34+'18. mell. Margaréta'!W34+'19.mell.Szentmihályi Játszókert'!W34+'20. mell. M. Fecskefészek'!W34+'21. mell. CMH'!W34+'22. mell. Bölcsőde'!W34+'23. mell. Terszoc.'!W34+'24. mell. Napraforgó'!W34+'25. mell. Kerületgazda'!W34+'26. mell. Őrszolgálat'!W34+'27. mell. KHEK'!W34+'28. mell. KIO'!W34</f>
        <v>608854539</v>
      </c>
      <c r="X34" s="321">
        <f>+'9. mell. PMH'!X34+'12. mell. Szakrendelő'!X34+'13. mell. GAMESZ'!X34+'14. mell. Gyerekkuckó'!X34+'15. mell. Cinkotai H.'!X34+'16. mell. Napsugár'!X34+'17. mell. Sashalmi M.'!X34+'18. mell. Margaréta'!X34+'19.mell.Szentmihályi Játszókert'!X34+'20. mell. M. Fecskefészek'!X34+'21. mell. CMH'!X34+'22. mell. Bölcsőde'!X34+'23. mell. Terszoc.'!X34+'24. mell. Napraforgó'!X34+'25. mell. Kerületgazda'!X34+'26. mell. Őrszolgálat'!X34+'27. mell. KHEK'!X34+'28. mell. KIO'!X34</f>
        <v>0</v>
      </c>
      <c r="Y34" s="321">
        <f>+'9. mell. PMH'!Y34+'12. mell. Szakrendelő'!Y34+'13. mell. GAMESZ'!Y34+'14. mell. Gyerekkuckó'!Y34+'15. mell. Cinkotai H.'!Y34+'16. mell. Napsugár'!Y34+'17. mell. Sashalmi M.'!Y34+'18. mell. Margaréta'!Y34+'19.mell.Szentmihályi Játszókert'!Y34+'20. mell. M. Fecskefészek'!Y34+'21. mell. CMH'!Y34+'22. mell. Bölcsőde'!Y34+'23. mell. Terszoc.'!Y34+'24. mell. Napraforgó'!Y34+'25. mell. Kerületgazda'!Y34+'26. mell. Őrszolgálat'!Y34+'27. mell. KHEK'!Y34+'28. mell. KIO'!Y34</f>
        <v>0</v>
      </c>
      <c r="Z34" s="321">
        <f>+'9. mell. PMH'!Z34+'12. mell. Szakrendelő'!Z34+'13. mell. GAMESZ'!Z34+'14. mell. Gyerekkuckó'!Z34+'15. mell. Cinkotai H.'!Z34+'16. mell. Napsugár'!Z34+'17. mell. Sashalmi M.'!Z34+'18. mell. Margaréta'!Z34+'19.mell.Szentmihályi Játszókert'!Z34+'20. mell. M. Fecskefészek'!Z34+'21. mell. CMH'!Z34+'22. mell. Bölcsőde'!Z34+'23. mell. Terszoc.'!Z34+'24. mell. Napraforgó'!Z34+'25. mell. Kerületgazda'!Z34+'26. mell. Őrszolgálat'!Z34+'27. mell. KHEK'!Z34+'28. mell. KIO'!Z34</f>
        <v>0</v>
      </c>
      <c r="AA34" s="321">
        <f>+'9. mell. PMH'!AA34+'12. mell. Szakrendelő'!AA34+'13. mell. GAMESZ'!AA34+'14. mell. Gyerekkuckó'!AA34+'15. mell. Cinkotai H.'!AA34+'16. mell. Napsugár'!AA34+'17. mell. Sashalmi M.'!AA34+'18. mell. Margaréta'!AA34+'19.mell.Szentmihályi Játszókert'!AA34+'20. mell. M. Fecskefészek'!AA34+'21. mell. CMH'!AA34+'22. mell. Bölcsőde'!AA34+'23. mell. Terszoc.'!AA34+'24. mell. Napraforgó'!AA34+'25. mell. Kerületgazda'!AA34+'26. mell. Őrszolgálat'!AA34+'27. mell. KHEK'!AA34+'28. mell. KIO'!AA34</f>
        <v>0</v>
      </c>
      <c r="AB34" s="321">
        <f>+'9. mell. PMH'!AB34+'12. mell. Szakrendelő'!AB34+'13. mell. GAMESZ'!AB34+'14. mell. Gyerekkuckó'!AB34+'15. mell. Cinkotai H.'!AB34+'16. mell. Napsugár'!AB34+'17. mell. Sashalmi M.'!AB34+'18. mell. Margaréta'!AB34+'19.mell.Szentmihályi Játszókert'!AB34+'20. mell. M. Fecskefészek'!AB34+'21. mell. CMH'!AB34+'22. mell. Bölcsőde'!AB34+'23. mell. Terszoc.'!AB34+'24. mell. Napraforgó'!AB34+'25. mell. Kerületgazda'!AB34+'26. mell. Őrszolgálat'!AB34+'27. mell. KHEK'!AB34+'28. mell. KIO'!AB34</f>
        <v>0</v>
      </c>
      <c r="AC34" s="321">
        <f>+'9. mell. PMH'!AC34+'12. mell. Szakrendelő'!AC34+'13. mell. GAMESZ'!AC34+'14. mell. Gyerekkuckó'!AC34+'15. mell. Cinkotai H.'!AC34+'16. mell. Napsugár'!AC34+'17. mell. Sashalmi M.'!AC34+'18. mell. Margaréta'!AC34+'19.mell.Szentmihályi Játszókert'!AC34+'20. mell. M. Fecskefészek'!AC34+'21. mell. CMH'!AC34+'22. mell. Bölcsőde'!AC34+'23. mell. Terszoc.'!AC34+'24. mell. Napraforgó'!AC34+'25. mell. Kerületgazda'!AC34+'26. mell. Őrszolgálat'!AC34+'27. mell. KHEK'!AC34+'28. mell. KIO'!AC34</f>
        <v>0</v>
      </c>
      <c r="AD34" s="342"/>
      <c r="AE34" s="321">
        <f t="shared" si="0"/>
        <v>638975654</v>
      </c>
      <c r="AF34" s="321">
        <f t="shared" si="1"/>
        <v>0</v>
      </c>
      <c r="AG34" s="321">
        <f t="shared" si="2"/>
        <v>0</v>
      </c>
      <c r="AH34" s="321">
        <f t="shared" si="3"/>
        <v>0</v>
      </c>
      <c r="AI34" s="324">
        <f t="shared" si="9"/>
        <v>1</v>
      </c>
      <c r="AJ34" s="321">
        <f t="shared" si="4"/>
        <v>0</v>
      </c>
      <c r="AK34" s="325">
        <f>+F34-'9. mell. PMH'!F34-'12. mell. Szakrendelő'!F34-'25. mell. Kerületgazda'!F34-'28. mell. KIO'!F34</f>
        <v>0</v>
      </c>
      <c r="AL34" s="325">
        <f>+G34-'9. mell. PMH'!G34-'12. mell. Szakrendelő'!G34-'25. mell. Kerületgazda'!G34-'28. mell. KIO'!G34</f>
        <v>304571565</v>
      </c>
      <c r="AM34" s="325">
        <f>+H34-'9. mell. PMH'!H34-'12. mell. Szakrendelő'!H34-'25. mell. Kerületgazda'!H34-'28. mell. KIO'!H34</f>
        <v>304571565</v>
      </c>
      <c r="AN34" s="325">
        <f>+I34-'9. mell. PMH'!I34-'12. mell. Szakrendelő'!I34-'25. mell. Kerületgazda'!I34-'28. mell. KIO'!I34</f>
        <v>304571565</v>
      </c>
      <c r="AO34" s="325">
        <f>+J34-'9. mell. PMH'!J34-'12. mell. Szakrendelő'!J34-'25. mell. Kerületgazda'!J34-'28. mell. KIO'!J34</f>
        <v>304571565</v>
      </c>
      <c r="AP34" s="325">
        <f>+K34-'9. mell. PMH'!K34-'12. mell. Szakrendelő'!K34-'25. mell. Kerületgazda'!K34-'28. mell. KIO'!K34</f>
        <v>304571565</v>
      </c>
      <c r="AQ34" s="1195">
        <f t="shared" si="5"/>
        <v>304571565</v>
      </c>
      <c r="AR34" s="1593">
        <f t="shared" si="6"/>
        <v>0</v>
      </c>
      <c r="AS34" s="1195">
        <f t="shared" si="7"/>
        <v>0</v>
      </c>
      <c r="AT34" s="2647">
        <v>716407055</v>
      </c>
      <c r="AU34" s="1593">
        <f t="shared" si="8"/>
        <v>0</v>
      </c>
    </row>
    <row r="35" spans="1:47" s="326" customFormat="1" ht="12" customHeight="1" thickBot="1">
      <c r="A35" s="313"/>
      <c r="B35" s="1438" t="s">
        <v>1286</v>
      </c>
      <c r="C35" s="328" t="s">
        <v>1287</v>
      </c>
      <c r="D35" s="321">
        <f>+'9. mell. PMH'!D35+'12. mell. Szakrendelő'!D35+'13. mell. GAMESZ'!D35+'14. mell. Gyerekkuckó'!D35+'15. mell. Cinkotai H.'!D35+'16. mell. Napsugár'!D35+'17. mell. Sashalmi M.'!D35+'18. mell. Margaréta'!D35+'19.mell.Szentmihályi Játszókert'!D35+'20. mell. M. Fecskefészek'!D35+'21. mell. CMH'!D35+'22. mell. Bölcsőde'!D35+'23. mell. Terszoc.'!D35+'24. mell. Napraforgó'!D35+'25. mell. Kerületgazda'!D35+'26. mell. Őrszolgálat'!D35+'27. mell. KHEK'!D35+'28. mell. KIO'!D35</f>
        <v>0</v>
      </c>
      <c r="E35" s="2587">
        <f>+'9. mell. PMH'!E35+'12. mell. Szakrendelő'!E35+'13. mell. GAMESZ'!E35+'14. mell. Gyerekkuckó'!E35+'15. mell. Cinkotai H.'!E35+'16. mell. Napsugár'!E35+'17. mell. Sashalmi M.'!E35+'18. mell. Margaréta'!E35+'19.mell.Szentmihályi Játszókert'!E35+'20. mell. M. Fecskefészek'!E35+'21. mell. CMH'!E35+'22. mell. Bölcsőde'!E35+'23. mell. Terszoc.'!E35+'24. mell. Napraforgó'!E35+'25. mell. Kerületgazda'!E35+'26. mell. Őrszolgálat'!E35+'27. mell. KHEK'!E35+'28. mell. KIO'!E35</f>
        <v>0</v>
      </c>
      <c r="F35" s="321">
        <f>+'9. mell. PMH'!F35+'12. mell. Szakrendelő'!F35+'13. mell. GAMESZ'!F35+'14. mell. Gyerekkuckó'!F35+'15. mell. Cinkotai H.'!F35+'16. mell. Napsugár'!F35+'17. mell. Sashalmi M.'!F35+'18. mell. Margaréta'!F35+'19.mell.Szentmihályi Játszókert'!F35+'20. mell. M. Fecskefészek'!F35+'21. mell. CMH'!F35+'22. mell. Bölcsőde'!F35+'23. mell. Terszoc.'!F35+'24. mell. Napraforgó'!F35+'25. mell. Kerületgazda'!F35+'26. mell. Őrszolgálat'!F35+'27. mell. KHEK'!F35+'28. mell. KIO'!F35</f>
        <v>0</v>
      </c>
      <c r="G35" s="321">
        <f>+'9. mell. PMH'!G35+'12. mell. Szakrendelő'!G35+'13. mell. GAMESZ'!G35+'14. mell. Gyerekkuckó'!G35+'15. mell. Cinkotai H.'!G35+'16. mell. Napsugár'!G35+'17. mell. Sashalmi M.'!G35+'18. mell. Margaréta'!G35+'19.mell.Szentmihályi Játszókert'!G35+'20. mell. M. Fecskefészek'!G35+'21. mell. CMH'!G35+'22. mell. Bölcsőde'!G35+'23. mell. Terszoc.'!G35+'24. mell. Napraforgó'!G35+'25. mell. Kerületgazda'!G35+'26. mell. Őrszolgálat'!G35+'27. mell. KHEK'!G35+'28. mell. KIO'!G35</f>
        <v>2064960</v>
      </c>
      <c r="H35" s="321">
        <f>+'9. mell. PMH'!H35+'12. mell. Szakrendelő'!H35+'13. mell. GAMESZ'!H35+'14. mell. Gyerekkuckó'!H35+'15. mell. Cinkotai H.'!H35+'16. mell. Napsugár'!H35+'17. mell. Sashalmi M.'!H35+'18. mell. Margaréta'!H35+'19.mell.Szentmihályi Játszókert'!H35+'20. mell. M. Fecskefészek'!H35+'21. mell. CMH'!H35+'22. mell. Bölcsőde'!H35+'23. mell. Terszoc.'!H35+'24. mell. Napraforgó'!H35+'25. mell. Kerületgazda'!H35+'26. mell. Őrszolgálat'!H35+'27. mell. KHEK'!H35+'28. mell. KIO'!H35</f>
        <v>2064960</v>
      </c>
      <c r="I35" s="321">
        <f>+'9. mell. PMH'!I35+'12. mell. Szakrendelő'!I35+'13. mell. GAMESZ'!I35+'14. mell. Gyerekkuckó'!I35+'15. mell. Cinkotai H.'!I35+'16. mell. Napsugár'!I35+'17. mell. Sashalmi M.'!I35+'18. mell. Margaréta'!I35+'19.mell.Szentmihályi Játszókert'!I35+'20. mell. M. Fecskefészek'!I35+'21. mell. CMH'!I35+'22. mell. Bölcsőde'!I35+'23. mell. Terszoc.'!I35+'24. mell. Napraforgó'!I35+'25. mell. Kerületgazda'!I35+'26. mell. Őrszolgálat'!I35+'27. mell. KHEK'!I35+'28. mell. KIO'!I35</f>
        <v>2064960</v>
      </c>
      <c r="J35" s="321">
        <f>+'9. mell. PMH'!J35+'12. mell. Szakrendelő'!J35+'13. mell. GAMESZ'!J35+'14. mell. Gyerekkuckó'!J35+'15. mell. Cinkotai H.'!J35+'16. mell. Napsugár'!J35+'17. mell. Sashalmi M.'!J35+'18. mell. Margaréta'!J35+'19.mell.Szentmihályi Játszókert'!J35+'20. mell. M. Fecskefészek'!J35+'21. mell. CMH'!J35+'22. mell. Bölcsőde'!J35+'23. mell. Terszoc.'!J35+'24. mell. Napraforgó'!J35+'25. mell. Kerületgazda'!J35+'26. mell. Őrszolgálat'!J35+'27. mell. KHEK'!J35+'28. mell. KIO'!J35</f>
        <v>2064960</v>
      </c>
      <c r="K35" s="2197">
        <f>+'9. mell. PMH'!K35+'12. mell. Szakrendelő'!K35+'13. mell. GAMESZ'!K35+'14. mell. Gyerekkuckó'!K35+'15. mell. Cinkotai H.'!K35+'16. mell. Napsugár'!K35+'17. mell. Sashalmi M.'!K35+'18. mell. Margaréta'!K35+'19.mell.Szentmihályi Játszókert'!K35+'20. mell. M. Fecskefészek'!K35+'21. mell. CMH'!K35+'22. mell. Bölcsőde'!K35+'23. mell. Terszoc.'!K35+'24. mell. Napraforgó'!K35+'25. mell. Kerületgazda'!K35+'26. mell. Őrszolgálat'!K35+'27. mell. KHEK'!K35+'28. mell. KIO'!K35</f>
        <v>2064960</v>
      </c>
      <c r="L35" s="321">
        <f>+'9. mell. PMH'!L35+'12. mell. Szakrendelő'!L35+'13. mell. GAMESZ'!L35+'14. mell. Gyerekkuckó'!L35+'15. mell. Cinkotai H.'!L35+'16. mell. Napsugár'!L35+'17. mell. Sashalmi M.'!L35+'18. mell. Margaréta'!L35+'19.mell.Szentmihályi Játszókert'!L35+'20. mell. M. Fecskefészek'!L35+'21. mell. CMH'!L35+'22. mell. Bölcsőde'!L35+'23. mell. Terszoc.'!L35+'24. mell. Napraforgó'!L35+'25. mell. Kerületgazda'!L35+'26. mell. Őrszolgálat'!L35+'27. mell. KHEK'!L35+'28. mell. KIO'!L35</f>
        <v>0</v>
      </c>
      <c r="M35" s="321">
        <f>+'9. mell. PMH'!M35+'12. mell. Szakrendelő'!M35+'13. mell. GAMESZ'!M35+'14. mell. Gyerekkuckó'!M35+'15. mell. Cinkotai H.'!M35+'16. mell. Napsugár'!M35+'17. mell. Sashalmi M.'!M35+'18. mell. Margaréta'!M35+'19.mell.Szentmihályi Játszókert'!M35+'20. mell. M. Fecskefészek'!M35+'21. mell. CMH'!M35+'22. mell. Bölcsőde'!M35+'23. mell. Terszoc.'!M35+'24. mell. Napraforgó'!M35+'25. mell. Kerületgazda'!M35+'26. mell. Őrszolgálat'!M35+'27. mell. KHEK'!M35+'28. mell. KIO'!M35</f>
        <v>1760160</v>
      </c>
      <c r="N35" s="321">
        <f>+'9. mell. PMH'!N35+'12. mell. Szakrendelő'!N35+'13. mell. GAMESZ'!N35+'14. mell. Gyerekkuckó'!N35+'15. mell. Cinkotai H.'!N35+'16. mell. Napsugár'!N35+'17. mell. Sashalmi M.'!N35+'18. mell. Margaréta'!N35+'19.mell.Szentmihályi Játszókert'!N35+'20. mell. M. Fecskefészek'!N35+'21. mell. CMH'!N35+'22. mell. Bölcsőde'!N35+'23. mell. Terszoc.'!N35+'24. mell. Napraforgó'!N35+'25. mell. Kerületgazda'!N35+'26. mell. Őrszolgálat'!N35+'27. mell. KHEK'!N35+'28. mell. KIO'!N35</f>
        <v>1760160</v>
      </c>
      <c r="O35" s="321">
        <f>+'9. mell. PMH'!O35+'12. mell. Szakrendelő'!O35+'13. mell. GAMESZ'!O35+'14. mell. Gyerekkuckó'!O35+'15. mell. Cinkotai H.'!O35+'16. mell. Napsugár'!O35+'17. mell. Sashalmi M.'!O35+'18. mell. Margaréta'!O35+'19.mell.Szentmihályi Játszókert'!O35+'20. mell. M. Fecskefészek'!O35+'21. mell. CMH'!O35+'22. mell. Bölcsőde'!O35+'23. mell. Terszoc.'!O35+'24. mell. Napraforgó'!O35+'25. mell. Kerületgazda'!O35+'26. mell. Őrszolgálat'!O35+'27. mell. KHEK'!O35+'28. mell. KIO'!O35</f>
        <v>1760160</v>
      </c>
      <c r="P35" s="321">
        <f>+'9. mell. PMH'!P35+'12. mell. Szakrendelő'!P35+'13. mell. GAMESZ'!P35+'14. mell. Gyerekkuckó'!P35+'15. mell. Cinkotai H.'!P35+'16. mell. Napsugár'!P35+'17. mell. Sashalmi M.'!P35+'18. mell. Margaréta'!P35+'19.mell.Szentmihályi Játszókert'!P35+'20. mell. M. Fecskefészek'!P35+'21. mell. CMH'!P35+'22. mell. Bölcsőde'!P35+'23. mell. Terszoc.'!P35+'24. mell. Napraforgó'!P35+'25. mell. Kerületgazda'!P35+'26. mell. Őrszolgálat'!P35+'27. mell. KHEK'!P35+'28. mell. KIO'!P35</f>
        <v>1760160</v>
      </c>
      <c r="Q35" s="321">
        <f>+'9. mell. PMH'!Q35+'12. mell. Szakrendelő'!Q35+'13. mell. GAMESZ'!Q35+'14. mell. Gyerekkuckó'!Q35+'15. mell. Cinkotai H.'!Q35+'16. mell. Napsugár'!Q35+'17. mell. Sashalmi M.'!Q35+'18. mell. Margaréta'!Q35+'19.mell.Szentmihályi Játszókert'!Q35+'20. mell. M. Fecskefészek'!Q35+'21. mell. CMH'!Q35+'22. mell. Bölcsőde'!Q35+'23. mell. Terszoc.'!Q35+'24. mell. Napraforgó'!Q35+'25. mell. Kerületgazda'!Q35+'26. mell. Őrszolgálat'!Q35+'27. mell. KHEK'!Q35+'28. mell. KIO'!Q35</f>
        <v>1760160</v>
      </c>
      <c r="R35" s="321">
        <f>+'9. mell. PMH'!R35+'12. mell. Szakrendelő'!R35+'13. mell. GAMESZ'!R35+'14. mell. Gyerekkuckó'!R35+'15. mell. Cinkotai H.'!R35+'16. mell. Napsugár'!R35+'17. mell. Sashalmi M.'!R35+'18. mell. Margaréta'!R35+'19.mell.Szentmihályi Játszókert'!R35+'20. mell. M. Fecskefészek'!R35+'21. mell. CMH'!R35+'22. mell. Bölcsőde'!R35+'23. mell. Terszoc.'!R35+'24. mell. Napraforgó'!R35+'25. mell. Kerületgazda'!R35+'26. mell. Őrszolgálat'!R35+'27. mell. KHEK'!R35+'28. mell. KIO'!R35</f>
        <v>0</v>
      </c>
      <c r="S35" s="321">
        <f>+'9. mell. PMH'!S35+'12. mell. Szakrendelő'!S35+'13. mell. GAMESZ'!S35+'14. mell. Gyerekkuckó'!S35+'15. mell. Cinkotai H.'!S35+'16. mell. Napsugár'!S35+'17. mell. Sashalmi M.'!S35+'18. mell. Margaréta'!S35+'19.mell.Szentmihályi Játszókert'!S35+'20. mell. M. Fecskefészek'!S35+'21. mell. CMH'!S35+'22. mell. Bölcsőde'!S35+'23. mell. Terszoc.'!S35+'24. mell. Napraforgó'!S35+'25. mell. Kerületgazda'!S35+'26. mell. Őrszolgálat'!S35+'27. mell. KHEK'!S35+'28. mell. KIO'!S35</f>
        <v>304800</v>
      </c>
      <c r="T35" s="321">
        <f>+'9. mell. PMH'!T35+'12. mell. Szakrendelő'!T35+'13. mell. GAMESZ'!T35+'14. mell. Gyerekkuckó'!T35+'15. mell. Cinkotai H.'!T35+'16. mell. Napsugár'!T35+'17. mell. Sashalmi M.'!T35+'18. mell. Margaréta'!T35+'19.mell.Szentmihályi Játszókert'!T35+'20. mell. M. Fecskefészek'!T35+'21. mell. CMH'!T35+'22. mell. Bölcsőde'!T35+'23. mell. Terszoc.'!T35+'24. mell. Napraforgó'!T35+'25. mell. Kerületgazda'!T35+'26. mell. Őrszolgálat'!T35+'27. mell. KHEK'!T35+'28. mell. KIO'!T35</f>
        <v>304800</v>
      </c>
      <c r="U35" s="321">
        <f>+'9. mell. PMH'!U35+'12. mell. Szakrendelő'!U35+'13. mell. GAMESZ'!U35+'14. mell. Gyerekkuckó'!U35+'15. mell. Cinkotai H.'!U35+'16. mell. Napsugár'!U35+'17. mell. Sashalmi M.'!U35+'18. mell. Margaréta'!U35+'19.mell.Szentmihályi Játszókert'!U35+'20. mell. M. Fecskefészek'!U35+'21. mell. CMH'!U35+'22. mell. Bölcsőde'!U35+'23. mell. Terszoc.'!U35+'24. mell. Napraforgó'!U35+'25. mell. Kerületgazda'!U35+'26. mell. Őrszolgálat'!U35+'27. mell. KHEK'!U35+'28. mell. KIO'!U35</f>
        <v>304800</v>
      </c>
      <c r="V35" s="321">
        <f>+'9. mell. PMH'!V35+'12. mell. Szakrendelő'!V35+'13. mell. GAMESZ'!V35+'14. mell. Gyerekkuckó'!V35+'15. mell. Cinkotai H.'!V35+'16. mell. Napsugár'!V35+'17. mell. Sashalmi M.'!V35+'18. mell. Margaréta'!V35+'19.mell.Szentmihályi Játszókert'!V35+'20. mell. M. Fecskefészek'!V35+'21. mell. CMH'!V35+'22. mell. Bölcsőde'!V35+'23. mell. Terszoc.'!V35+'24. mell. Napraforgó'!V35+'25. mell. Kerületgazda'!V35+'26. mell. Őrszolgálat'!V35+'27. mell. KHEK'!V35+'28. mell. KIO'!V35</f>
        <v>304800</v>
      </c>
      <c r="W35" s="321">
        <f>+'9. mell. PMH'!W35+'12. mell. Szakrendelő'!W35+'13. mell. GAMESZ'!W35+'14. mell. Gyerekkuckó'!W35+'15. mell. Cinkotai H.'!W35+'16. mell. Napsugár'!W35+'17. mell. Sashalmi M.'!W35+'18. mell. Margaréta'!W35+'19.mell.Szentmihályi Játszókert'!W35+'20. mell. M. Fecskefészek'!W35+'21. mell. CMH'!W35+'22. mell. Bölcsőde'!W35+'23. mell. Terszoc.'!W35+'24. mell. Napraforgó'!W35+'25. mell. Kerületgazda'!W35+'26. mell. Őrszolgálat'!W35+'27. mell. KHEK'!W35+'28. mell. KIO'!W35</f>
        <v>304800</v>
      </c>
      <c r="X35" s="321">
        <f>+'9. mell. PMH'!X35+'12. mell. Szakrendelő'!X35+'13. mell. GAMESZ'!X35+'14. mell. Gyerekkuckó'!X35+'15. mell. Cinkotai H.'!X35+'16. mell. Napsugár'!X35+'17. mell. Sashalmi M.'!X35+'18. mell. Margaréta'!X35+'19.mell.Szentmihályi Játszókert'!X35+'20. mell. M. Fecskefészek'!X35+'21. mell. CMH'!X35+'22. mell. Bölcsőde'!X35+'23. mell. Terszoc.'!X35+'24. mell. Napraforgó'!X35+'25. mell. Kerületgazda'!X35+'26. mell. Őrszolgálat'!X35+'27. mell. KHEK'!X35+'28. mell. KIO'!X35</f>
        <v>0</v>
      </c>
      <c r="Y35" s="321">
        <f>+'9. mell. PMH'!Y35+'12. mell. Szakrendelő'!Y35+'13. mell. GAMESZ'!Y35+'14. mell. Gyerekkuckó'!Y35+'15. mell. Cinkotai H.'!Y35+'16. mell. Napsugár'!Y35+'17. mell. Sashalmi M.'!Y35+'18. mell. Margaréta'!Y35+'19.mell.Szentmihályi Játszókert'!Y35+'20. mell. M. Fecskefészek'!Y35+'21. mell. CMH'!Y35+'22. mell. Bölcsőde'!Y35+'23. mell. Terszoc.'!Y35+'24. mell. Napraforgó'!Y35+'25. mell. Kerületgazda'!Y35+'26. mell. Őrszolgálat'!Y35+'27. mell. KHEK'!Y35+'28. mell. KIO'!Y35</f>
        <v>0</v>
      </c>
      <c r="Z35" s="321">
        <f>+'9. mell. PMH'!Z35+'12. mell. Szakrendelő'!Z35+'13. mell. GAMESZ'!Z35+'14. mell. Gyerekkuckó'!Z35+'15. mell. Cinkotai H.'!Z35+'16. mell. Napsugár'!Z35+'17. mell. Sashalmi M.'!Z35+'18. mell. Margaréta'!Z35+'19.mell.Szentmihályi Játszókert'!Z35+'20. mell. M. Fecskefészek'!Z35+'21. mell. CMH'!Z35+'22. mell. Bölcsőde'!Z35+'23. mell. Terszoc.'!Z35+'24. mell. Napraforgó'!Z35+'25. mell. Kerületgazda'!Z35+'26. mell. Őrszolgálat'!Z35+'27. mell. KHEK'!Z35+'28. mell. KIO'!Z35</f>
        <v>0</v>
      </c>
      <c r="AA35" s="321">
        <f>+'9. mell. PMH'!AA35+'12. mell. Szakrendelő'!AA35+'13. mell. GAMESZ'!AA35+'14. mell. Gyerekkuckó'!AA35+'15. mell. Cinkotai H.'!AA35+'16. mell. Napsugár'!AA35+'17. mell. Sashalmi M.'!AA35+'18. mell. Margaréta'!AA35+'19.mell.Szentmihályi Játszókert'!AA35+'20. mell. M. Fecskefészek'!AA35+'21. mell. CMH'!AA35+'22. mell. Bölcsőde'!AA35+'23. mell. Terszoc.'!AA35+'24. mell. Napraforgó'!AA35+'25. mell. Kerületgazda'!AA35+'26. mell. Őrszolgálat'!AA35+'27. mell. KHEK'!AA35+'28. mell. KIO'!AA35</f>
        <v>0</v>
      </c>
      <c r="AB35" s="321">
        <f>+'9. mell. PMH'!AB35+'12. mell. Szakrendelő'!AB35+'13. mell. GAMESZ'!AB35+'14. mell. Gyerekkuckó'!AB35+'15. mell. Cinkotai H.'!AB35+'16. mell. Napsugár'!AB35+'17. mell. Sashalmi M.'!AB35+'18. mell. Margaréta'!AB35+'19.mell.Szentmihályi Játszókert'!AB35+'20. mell. M. Fecskefészek'!AB35+'21. mell. CMH'!AB35+'22. mell. Bölcsőde'!AB35+'23. mell. Terszoc.'!AB35+'24. mell. Napraforgó'!AB35+'25. mell. Kerületgazda'!AB35+'26. mell. Őrszolgálat'!AB35+'27. mell. KHEK'!AB35+'28. mell. KIO'!AB35</f>
        <v>0</v>
      </c>
      <c r="AC35" s="321">
        <f>+'9. mell. PMH'!AC35+'12. mell. Szakrendelő'!AC35+'13. mell. GAMESZ'!AC35+'14. mell. Gyerekkuckó'!AC35+'15. mell. Cinkotai H.'!AC35+'16. mell. Napsugár'!AC35+'17. mell. Sashalmi M.'!AC35+'18. mell. Margaréta'!AC35+'19.mell.Szentmihályi Játszókert'!AC35+'20. mell. M. Fecskefészek'!AC35+'21. mell. CMH'!AC35+'22. mell. Bölcsőde'!AC35+'23. mell. Terszoc.'!AC35+'24. mell. Napraforgó'!AC35+'25. mell. Kerületgazda'!AC35+'26. mell. Őrszolgálat'!AC35+'27. mell. KHEK'!AC35+'28. mell. KIO'!AC35</f>
        <v>0</v>
      </c>
      <c r="AD35" s="323"/>
      <c r="AE35" s="321">
        <f t="shared" si="0"/>
        <v>2064960</v>
      </c>
      <c r="AF35" s="321">
        <f t="shared" si="1"/>
        <v>0</v>
      </c>
      <c r="AG35" s="321">
        <f t="shared" si="2"/>
        <v>0</v>
      </c>
      <c r="AH35" s="321">
        <f t="shared" si="3"/>
        <v>0</v>
      </c>
      <c r="AI35" s="324">
        <f t="shared" si="9"/>
        <v>1</v>
      </c>
      <c r="AJ35" s="321">
        <f t="shared" si="4"/>
        <v>0</v>
      </c>
      <c r="AK35" s="325">
        <f>+F35-'9. mell. PMH'!F35-'12. mell. Szakrendelő'!F35-'25. mell. Kerületgazda'!F35-'28. mell. KIO'!F35</f>
        <v>0</v>
      </c>
      <c r="AL35" s="325">
        <f>+G35-'9. mell. PMH'!G35-'12. mell. Szakrendelő'!G35-'25. mell. Kerületgazda'!G35-'28. mell. KIO'!G35</f>
        <v>2064960</v>
      </c>
      <c r="AM35" s="325">
        <f>+H35-'9. mell. PMH'!H35-'12. mell. Szakrendelő'!H35-'25. mell. Kerületgazda'!H35-'28. mell. KIO'!H35</f>
        <v>2064960</v>
      </c>
      <c r="AN35" s="325">
        <f>+I35-'9. mell. PMH'!I35-'12. mell. Szakrendelő'!I35-'25. mell. Kerületgazda'!I35-'28. mell. KIO'!I35</f>
        <v>2064960</v>
      </c>
      <c r="AO35" s="325">
        <f>+J35-'9. mell. PMH'!J35-'12. mell. Szakrendelő'!J35-'25. mell. Kerületgazda'!J35-'28. mell. KIO'!J35</f>
        <v>2064960</v>
      </c>
      <c r="AP35" s="325">
        <f>+K35-'9. mell. PMH'!K35-'12. mell. Szakrendelő'!K35-'25. mell. Kerületgazda'!K35-'28. mell. KIO'!K35</f>
        <v>2064960</v>
      </c>
      <c r="AQ35" s="1195">
        <f t="shared" si="5"/>
        <v>2064960</v>
      </c>
      <c r="AR35" s="1593">
        <f t="shared" si="6"/>
        <v>0</v>
      </c>
      <c r="AS35" s="1195">
        <f t="shared" si="7"/>
        <v>0</v>
      </c>
      <c r="AT35" s="2647">
        <v>0</v>
      </c>
      <c r="AU35" s="1593">
        <f t="shared" si="8"/>
        <v>0</v>
      </c>
    </row>
    <row r="36" spans="1:47" s="332" customFormat="1" ht="12" customHeight="1" thickBot="1">
      <c r="A36" s="343"/>
      <c r="B36" s="1438" t="s">
        <v>1288</v>
      </c>
      <c r="C36" s="328" t="s">
        <v>1289</v>
      </c>
      <c r="D36" s="321">
        <f>+'9. mell. PMH'!D36+'12. mell. Szakrendelő'!D36+'13. mell. GAMESZ'!D36+'14. mell. Gyerekkuckó'!D36+'15. mell. Cinkotai H.'!D36+'16. mell. Napsugár'!D36+'17. mell. Sashalmi M.'!D36+'18. mell. Margaréta'!D36+'19.mell.Szentmihályi Játszókert'!D36+'20. mell. M. Fecskefészek'!D36+'21. mell. CMH'!D36+'22. mell. Bölcsőde'!D36+'23. mell. Terszoc.'!D36+'24. mell. Napraforgó'!D36+'25. mell. Kerületgazda'!D36+'26. mell. Őrszolgálat'!D36+'27. mell. KHEK'!D36+'28. mell. KIO'!D36</f>
        <v>12565246468</v>
      </c>
      <c r="E36" s="2587">
        <f>+'9. mell. PMH'!E36+'12. mell. Szakrendelő'!E36+'13. mell. GAMESZ'!E36+'14. mell. Gyerekkuckó'!E36+'15. mell. Cinkotai H.'!E36+'16. mell. Napsugár'!E36+'17. mell. Sashalmi M.'!E36+'18. mell. Margaréta'!E36+'19.mell.Szentmihályi Játszókert'!E36+'20. mell. M. Fecskefészek'!E36+'21. mell. CMH'!E36+'22. mell. Bölcsőde'!E36+'23. mell. Terszoc.'!E36+'24. mell. Napraforgó'!E36+'25. mell. Kerületgazda'!E36+'26. mell. Őrszolgálat'!E36+'27. mell. KHEK'!E36+'28. mell. KIO'!E36</f>
        <v>12332134917</v>
      </c>
      <c r="F36" s="321">
        <f>+'9. mell. PMH'!F36+'12. mell. Szakrendelő'!F36+'13. mell. GAMESZ'!F36+'14. mell. Gyerekkuckó'!F36+'15. mell. Cinkotai H.'!F36+'16. mell. Napsugár'!F36+'17. mell. Sashalmi M.'!F36+'18. mell. Margaréta'!F36+'19.mell.Szentmihályi Játszókert'!F36+'20. mell. M. Fecskefészek'!F36+'21. mell. CMH'!F36+'22. mell. Bölcsőde'!F36+'23. mell. Terszoc.'!F36+'24. mell. Napraforgó'!F36+'25. mell. Kerületgazda'!F36+'26. mell. Őrszolgálat'!F36+'27. mell. KHEK'!F36+'28. mell. KIO'!F36</f>
        <v>14061925236</v>
      </c>
      <c r="G36" s="321">
        <f>+'9. mell. PMH'!G36+'12. mell. Szakrendelő'!G36+'13. mell. GAMESZ'!G36+'14. mell. Gyerekkuckó'!G36+'15. mell. Cinkotai H.'!G36+'16. mell. Napsugár'!G36+'17. mell. Sashalmi M.'!G36+'18. mell. Margaréta'!G36+'19.mell.Szentmihályi Játszókert'!G36+'20. mell. M. Fecskefészek'!G36+'21. mell. CMH'!G36+'22. mell. Bölcsőde'!G36+'23. mell. Terszoc.'!G36+'24. mell. Napraforgó'!G36+'25. mell. Kerületgazda'!G36+'26. mell. Őrszolgálat'!G36+'27. mell. KHEK'!G36+'28. mell. KIO'!G36</f>
        <v>14111982353</v>
      </c>
      <c r="H36" s="321">
        <f>+'9. mell. PMH'!H36+'12. mell. Szakrendelő'!H36+'13. mell. GAMESZ'!H36+'14. mell. Gyerekkuckó'!H36+'15. mell. Cinkotai H.'!H36+'16. mell. Napsugár'!H36+'17. mell. Sashalmi M.'!H36+'18. mell. Margaréta'!H36+'19.mell.Szentmihályi Játszókert'!H36+'20. mell. M. Fecskefészek'!H36+'21. mell. CMH'!H36+'22. mell. Bölcsőde'!H36+'23. mell. Terszoc.'!H36+'24. mell. Napraforgó'!H36+'25. mell. Kerületgazda'!H36+'26. mell. Őrszolgálat'!H36+'27. mell. KHEK'!H36+'28. mell. KIO'!H36</f>
        <v>14255426934</v>
      </c>
      <c r="I36" s="321">
        <f>+'9. mell. PMH'!I36+'12. mell. Szakrendelő'!I36+'13. mell. GAMESZ'!I36+'14. mell. Gyerekkuckó'!I36+'15. mell. Cinkotai H.'!I36+'16. mell. Napsugár'!I36+'17. mell. Sashalmi M.'!I36+'18. mell. Margaréta'!I36+'19.mell.Szentmihályi Játszókert'!I36+'20. mell. M. Fecskefészek'!I36+'21. mell. CMH'!I36+'22. mell. Bölcsőde'!I36+'23. mell. Terszoc.'!I36+'24. mell. Napraforgó'!I36+'25. mell. Kerületgazda'!I36+'26. mell. Őrszolgálat'!I36+'27. mell. KHEK'!I36+'28. mell. KIO'!I36</f>
        <v>14350648875</v>
      </c>
      <c r="J36" s="321">
        <f>+'9. mell. PMH'!J36+'12. mell. Szakrendelő'!J36+'13. mell. GAMESZ'!J36+'14. mell. Gyerekkuckó'!J36+'15. mell. Cinkotai H.'!J36+'16. mell. Napsugár'!J36+'17. mell. Sashalmi M.'!J36+'18. mell. Margaréta'!J36+'19.mell.Szentmihályi Játszókert'!J36+'20. mell. M. Fecskefészek'!J36+'21. mell. CMH'!J36+'22. mell. Bölcsőde'!J36+'23. mell. Terszoc.'!J36+'24. mell. Napraforgó'!J36+'25. mell. Kerületgazda'!J36+'26. mell. Őrszolgálat'!J36+'27. mell. KHEK'!J36+'28. mell. KIO'!J36</f>
        <v>14350648875</v>
      </c>
      <c r="K36" s="2197">
        <f>+'9. mell. PMH'!K36+'12. mell. Szakrendelő'!K36+'13. mell. GAMESZ'!K36+'14. mell. Gyerekkuckó'!K36+'15. mell. Cinkotai H.'!K36+'16. mell. Napsugár'!K36+'17. mell. Sashalmi M.'!K36+'18. mell. Margaréta'!K36+'19.mell.Szentmihályi Játszókert'!K36+'20. mell. M. Fecskefészek'!K36+'21. mell. CMH'!K36+'22. mell. Bölcsőde'!K36+'23. mell. Terszoc.'!K36+'24. mell. Napraforgó'!K36+'25. mell. Kerületgazda'!K36+'26. mell. Őrszolgálat'!K36+'27. mell. KHEK'!K36+'28. mell. KIO'!K36</f>
        <v>13473547495</v>
      </c>
      <c r="L36" s="321">
        <f>+'9. mell. PMH'!L36+'12. mell. Szakrendelő'!L36+'13. mell. GAMESZ'!L36+'14. mell. Gyerekkuckó'!L36+'15. mell. Cinkotai H.'!L36+'16. mell. Napsugár'!L36+'17. mell. Sashalmi M.'!L36+'18. mell. Margaréta'!L36+'19.mell.Szentmihályi Játszókert'!L36+'20. mell. M. Fecskefészek'!L36+'21. mell. CMH'!L36+'22. mell. Bölcsőde'!L36+'23. mell. Terszoc.'!L36+'24. mell. Napraforgó'!L36+'25. mell. Kerületgazda'!L36+'26. mell. Őrszolgálat'!L36+'27. mell. KHEK'!L36+'28. mell. KIO'!L36</f>
        <v>221689520</v>
      </c>
      <c r="M36" s="321">
        <f>+'9. mell. PMH'!M36+'12. mell. Szakrendelő'!M36+'13. mell. GAMESZ'!M36+'14. mell. Gyerekkuckó'!M36+'15. mell. Cinkotai H.'!M36+'16. mell. Napsugár'!M36+'17. mell. Sashalmi M.'!M36+'18. mell. Margaréta'!M36+'19.mell.Szentmihályi Játszókert'!M36+'20. mell. M. Fecskefészek'!M36+'21. mell. CMH'!M36+'22. mell. Bölcsőde'!M36+'23. mell. Terszoc.'!M36+'24. mell. Napraforgó'!M36+'25. mell. Kerületgazda'!M36+'26. mell. Őrszolgálat'!M36+'27. mell. KHEK'!M36+'28. mell. KIO'!M36</f>
        <v>246411307</v>
      </c>
      <c r="N36" s="321">
        <f>+'9. mell. PMH'!N36+'12. mell. Szakrendelő'!N36+'13. mell. GAMESZ'!N36+'14. mell. Gyerekkuckó'!N36+'15. mell. Cinkotai H.'!N36+'16. mell. Napsugár'!N36+'17. mell. Sashalmi M.'!N36+'18. mell. Margaréta'!N36+'19.mell.Szentmihályi Játszókert'!N36+'20. mell. M. Fecskefészek'!N36+'21. mell. CMH'!N36+'22. mell. Bölcsőde'!N36+'23. mell. Terszoc.'!N36+'24. mell. Napraforgó'!N36+'25. mell. Kerületgazda'!N36+'26. mell. Őrszolgálat'!N36+'27. mell. KHEK'!N36+'28. mell. KIO'!N36</f>
        <v>318642037</v>
      </c>
      <c r="O36" s="321">
        <f>+'9. mell. PMH'!O36+'12. mell. Szakrendelő'!O36+'13. mell. GAMESZ'!O36+'14. mell. Gyerekkuckó'!O36+'15. mell. Cinkotai H.'!O36+'16. mell. Napsugár'!O36+'17. mell. Sashalmi M.'!O36+'18. mell. Margaréta'!O36+'19.mell.Szentmihályi Játszókert'!O36+'20. mell. M. Fecskefészek'!O36+'21. mell. CMH'!O36+'22. mell. Bölcsőde'!O36+'23. mell. Terszoc.'!O36+'24. mell. Napraforgó'!O36+'25. mell. Kerületgazda'!O36+'26. mell. Őrszolgálat'!O36+'27. mell. KHEK'!O36+'28. mell. KIO'!O36</f>
        <v>405336094</v>
      </c>
      <c r="P36" s="321">
        <f>+'9. mell. PMH'!P36+'12. mell. Szakrendelő'!P36+'13. mell. GAMESZ'!P36+'14. mell. Gyerekkuckó'!P36+'15. mell. Cinkotai H.'!P36+'16. mell. Napsugár'!P36+'17. mell. Sashalmi M.'!P36+'18. mell. Margaréta'!P36+'19.mell.Szentmihályi Játszókert'!P36+'20. mell. M. Fecskefészek'!P36+'21. mell. CMH'!P36+'22. mell. Bölcsőde'!P36+'23. mell. Terszoc.'!P36+'24. mell. Napraforgó'!P36+'25. mell. Kerületgazda'!P36+'26. mell. Őrszolgálat'!P36+'27. mell. KHEK'!P36+'28. mell. KIO'!P36</f>
        <v>405336094</v>
      </c>
      <c r="Q36" s="321">
        <f>+'9. mell. PMH'!Q36+'12. mell. Szakrendelő'!Q36+'13. mell. GAMESZ'!Q36+'14. mell. Gyerekkuckó'!Q36+'15. mell. Cinkotai H.'!Q36+'16. mell. Napsugár'!Q36+'17. mell. Sashalmi M.'!Q36+'18. mell. Margaréta'!Q36+'19.mell.Szentmihályi Játszókert'!Q36+'20. mell. M. Fecskefészek'!Q36+'21. mell. CMH'!Q36+'22. mell. Bölcsőde'!Q36+'23. mell. Terszoc.'!Q36+'24. mell. Napraforgó'!Q36+'25. mell. Kerületgazda'!Q36+'26. mell. Őrszolgálat'!Q36+'27. mell. KHEK'!Q36+'28. mell. KIO'!Q36</f>
        <v>398135275</v>
      </c>
      <c r="R36" s="321">
        <f>+'9. mell. PMH'!R36+'12. mell. Szakrendelő'!R36+'13. mell. GAMESZ'!R36+'14. mell. Gyerekkuckó'!R36+'15. mell. Cinkotai H.'!R36+'16. mell. Napsugár'!R36+'17. mell. Sashalmi M.'!R36+'18. mell. Margaréta'!R36+'19.mell.Szentmihályi Játszókert'!R36+'20. mell. M. Fecskefészek'!R36+'21. mell. CMH'!R36+'22. mell. Bölcsőde'!R36+'23. mell. Terszoc.'!R36+'24. mell. Napraforgó'!R36+'25. mell. Kerületgazda'!R36+'26. mell. Őrszolgálat'!R36+'27. mell. KHEK'!R36+'28. mell. KIO'!R36</f>
        <v>13836735716</v>
      </c>
      <c r="S36" s="321">
        <f>+'9. mell. PMH'!S36+'12. mell. Szakrendelő'!S36+'13. mell. GAMESZ'!S36+'14. mell. Gyerekkuckó'!S36+'15. mell. Cinkotai H.'!S36+'16. mell. Napsugár'!S36+'17. mell. Sashalmi M.'!S36+'18. mell. Margaréta'!S36+'19.mell.Szentmihályi Játszókert'!S36+'20. mell. M. Fecskefészek'!S36+'21. mell. CMH'!S36+'22. mell. Bölcsőde'!S36+'23. mell. Terszoc.'!S36+'24. mell. Napraforgó'!S36+'25. mell. Kerületgazda'!S36+'26. mell. Őrszolgálat'!S36+'27. mell. KHEK'!S36+'28. mell. KIO'!S36</f>
        <v>13862071046</v>
      </c>
      <c r="T36" s="321">
        <f>+'9. mell. PMH'!T36+'12. mell. Szakrendelő'!T36+'13. mell. GAMESZ'!T36+'14. mell. Gyerekkuckó'!T36+'15. mell. Cinkotai H.'!T36+'16. mell. Napsugár'!T36+'17. mell. Sashalmi M.'!T36+'18. mell. Margaréta'!T36+'19.mell.Szentmihályi Játszókert'!T36+'20. mell. M. Fecskefészek'!T36+'21. mell. CMH'!T36+'22. mell. Bölcsőde'!T36+'23. mell. Terszoc.'!T36+'24. mell. Napraforgó'!T36+'25. mell. Kerületgazda'!T36+'26. mell. Őrszolgálat'!T36+'27. mell. KHEK'!T36+'28. mell. KIO'!T36</f>
        <v>13931311433</v>
      </c>
      <c r="U36" s="321">
        <f>+'9. mell. PMH'!U36+'12. mell. Szakrendelő'!U36+'13. mell. GAMESZ'!U36+'14. mell. Gyerekkuckó'!U36+'15. mell. Cinkotai H.'!U36+'16. mell. Napsugár'!U36+'17. mell. Sashalmi M.'!U36+'18. mell. Margaréta'!U36+'19.mell.Szentmihályi Játszókert'!U36+'20. mell. M. Fecskefészek'!U36+'21. mell. CMH'!U36+'22. mell. Bölcsőde'!U36+'23. mell. Terszoc.'!U36+'24. mell. Napraforgó'!U36+'25. mell. Kerületgazda'!U36+'26. mell. Őrszolgálat'!U36+'27. mell. KHEK'!U36+'28. mell. KIO'!U36</f>
        <v>13942801141</v>
      </c>
      <c r="V36" s="321">
        <f>+'9. mell. PMH'!V36+'12. mell. Szakrendelő'!V36+'13. mell. GAMESZ'!V36+'14. mell. Gyerekkuckó'!V36+'15. mell. Cinkotai H.'!V36+'16. mell. Napsugár'!V36+'17. mell. Sashalmi M.'!V36+'18. mell. Margaréta'!V36+'19.mell.Szentmihályi Játszókert'!V36+'20. mell. M. Fecskefészek'!V36+'21. mell. CMH'!V36+'22. mell. Bölcsőde'!V36+'23. mell. Terszoc.'!V36+'24. mell. Napraforgó'!V36+'25. mell. Kerületgazda'!V36+'26. mell. Őrszolgálat'!V36+'27. mell. KHEK'!V36+'28. mell. KIO'!V36</f>
        <v>13942801141</v>
      </c>
      <c r="W36" s="321">
        <f>+'9. mell. PMH'!W36+'12. mell. Szakrendelő'!W36+'13. mell. GAMESZ'!W36+'14. mell. Gyerekkuckó'!W36+'15. mell. Cinkotai H.'!W36+'16. mell. Napsugár'!W36+'17. mell. Sashalmi M.'!W36+'18. mell. Margaréta'!W36+'19.mell.Szentmihályi Játszókert'!W36+'20. mell. M. Fecskefészek'!W36+'21. mell. CMH'!W36+'22. mell. Bölcsőde'!W36+'23. mell. Terszoc.'!W36+'24. mell. Napraforgó'!W36+'25. mell. Kerületgazda'!W36+'26. mell. Őrszolgálat'!W36+'27. mell. KHEK'!W36+'28. mell. KIO'!W36</f>
        <v>13072900580</v>
      </c>
      <c r="X36" s="321">
        <f>+'9. mell. PMH'!X36+'12. mell. Szakrendelő'!X36+'13. mell. GAMESZ'!X36+'14. mell. Gyerekkuckó'!X36+'15. mell. Cinkotai H.'!X36+'16. mell. Napsugár'!X36+'17. mell. Sashalmi M.'!X36+'18. mell. Margaréta'!X36+'19.mell.Szentmihályi Játszókert'!X36+'20. mell. M. Fecskefészek'!X36+'21. mell. CMH'!X36+'22. mell. Bölcsőde'!X36+'23. mell. Terszoc.'!X36+'24. mell. Napraforgó'!X36+'25. mell. Kerületgazda'!X36+'26. mell. Őrszolgálat'!X36+'27. mell. KHEK'!X36+'28. mell. KIO'!X36</f>
        <v>3500000</v>
      </c>
      <c r="Y36" s="321">
        <f>+'9. mell. PMH'!Y36+'12. mell. Szakrendelő'!Y36+'13. mell. GAMESZ'!Y36+'14. mell. Gyerekkuckó'!Y36+'15. mell. Cinkotai H.'!Y36+'16. mell. Napsugár'!Y36+'17. mell. Sashalmi M.'!Y36+'18. mell. Margaréta'!Y36+'19.mell.Szentmihályi Játszókert'!Y36+'20. mell. M. Fecskefészek'!Y36+'21. mell. CMH'!Y36+'22. mell. Bölcsőde'!Y36+'23. mell. Terszoc.'!Y36+'24. mell. Napraforgó'!Y36+'25. mell. Kerületgazda'!Y36+'26. mell. Őrszolgálat'!Y36+'27. mell. KHEK'!Y36+'28. mell. KIO'!Y36</f>
        <v>3500000</v>
      </c>
      <c r="Z36" s="321">
        <f>+'9. mell. PMH'!Z36+'12. mell. Szakrendelő'!Z36+'13. mell. GAMESZ'!Z36+'14. mell. Gyerekkuckó'!Z36+'15. mell. Cinkotai H.'!Z36+'16. mell. Napsugár'!Z36+'17. mell. Sashalmi M.'!Z36+'18. mell. Margaréta'!Z36+'19.mell.Szentmihályi Játszókert'!Z36+'20. mell. M. Fecskefészek'!Z36+'21. mell. CMH'!Z36+'22. mell. Bölcsőde'!Z36+'23. mell. Terszoc.'!Z36+'24. mell. Napraforgó'!Z36+'25. mell. Kerületgazda'!Z36+'26. mell. Őrszolgálat'!Z36+'27. mell. KHEK'!Z36+'28. mell. KIO'!Z36</f>
        <v>5473464</v>
      </c>
      <c r="AA36" s="321">
        <f>+'9. mell. PMH'!AA36+'12. mell. Szakrendelő'!AA36+'13. mell. GAMESZ'!AA36+'14. mell. Gyerekkuckó'!AA36+'15. mell. Cinkotai H.'!AA36+'16. mell. Napsugár'!AA36+'17. mell. Sashalmi M.'!AA36+'18. mell. Margaréta'!AA36+'19.mell.Szentmihályi Játszókert'!AA36+'20. mell. M. Fecskefészek'!AA36+'21. mell. CMH'!AA36+'22. mell. Bölcsőde'!AA36+'23. mell. Terszoc.'!AA36+'24. mell. Napraforgó'!AA36+'25. mell. Kerületgazda'!AA36+'26. mell. Őrszolgálat'!AA36+'27. mell. KHEK'!AA36+'28. mell. KIO'!AA36</f>
        <v>2511640</v>
      </c>
      <c r="AB36" s="321">
        <f>+'9. mell. PMH'!AB36+'12. mell. Szakrendelő'!AB36+'13. mell. GAMESZ'!AB36+'14. mell. Gyerekkuckó'!AB36+'15. mell. Cinkotai H.'!AB36+'16. mell. Napsugár'!AB36+'17. mell. Sashalmi M.'!AB36+'18. mell. Margaréta'!AB36+'19.mell.Szentmihályi Játszókert'!AB36+'20. mell. M. Fecskefészek'!AB36+'21. mell. CMH'!AB36+'22. mell. Bölcsőde'!AB36+'23. mell. Terszoc.'!AB36+'24. mell. Napraforgó'!AB36+'25. mell. Kerületgazda'!AB36+'26. mell. Őrszolgálat'!AB36+'27. mell. KHEK'!AB36+'28. mell. KIO'!AB36</f>
        <v>2511640</v>
      </c>
      <c r="AC36" s="321">
        <f>+'9. mell. PMH'!AC36+'12. mell. Szakrendelő'!AC36+'13. mell. GAMESZ'!AC36+'14. mell. Gyerekkuckó'!AC36+'15. mell. Cinkotai H.'!AC36+'16. mell. Napsugár'!AC36+'17. mell. Sashalmi M.'!AC36+'18. mell. Margaréta'!AC36+'19.mell.Szentmihályi Játszókert'!AC36+'20. mell. M. Fecskefészek'!AC36+'21. mell. CMH'!AC36+'22. mell. Bölcsőde'!AC36+'23. mell. Terszoc.'!AC36+'24. mell. Napraforgó'!AC36+'25. mell. Kerületgazda'!AC36+'26. mell. Őrszolgálat'!AC36+'27. mell. KHEK'!AC36+'28. mell. KIO'!AC36</f>
        <v>2511640</v>
      </c>
      <c r="AD36" s="323"/>
      <c r="AE36" s="321">
        <f t="shared" si="0"/>
        <v>50057117</v>
      </c>
      <c r="AF36" s="321">
        <f t="shared" si="1"/>
        <v>143444581</v>
      </c>
      <c r="AG36" s="321">
        <f t="shared" si="2"/>
        <v>95221941</v>
      </c>
      <c r="AH36" s="321">
        <f t="shared" si="3"/>
        <v>0</v>
      </c>
      <c r="AI36" s="324">
        <f t="shared" si="9"/>
        <v>0.93888071629095582</v>
      </c>
      <c r="AJ36" s="321">
        <f t="shared" si="4"/>
        <v>1496678768</v>
      </c>
      <c r="AK36" s="325">
        <f>+F36-'9. mell. PMH'!F36-'12. mell. Szakrendelő'!F36-'25. mell. Kerületgazda'!F36-'28. mell. KIO'!F36</f>
        <v>8882414991</v>
      </c>
      <c r="AL36" s="325">
        <f>+G36-'9. mell. PMH'!G36-'12. mell. Szakrendelő'!G36-'25. mell. Kerületgazda'!G36-'28. mell. KIO'!G36</f>
        <v>8904286456</v>
      </c>
      <c r="AM36" s="325">
        <f>+H36-'9. mell. PMH'!H36-'12. mell. Szakrendelő'!H36-'25. mell. Kerületgazda'!H36-'28. mell. KIO'!H36</f>
        <v>8921651221</v>
      </c>
      <c r="AN36" s="325">
        <f>+I36-'9. mell. PMH'!I36-'12. mell. Szakrendelő'!I36-'25. mell. Kerületgazda'!I36-'28. mell. KIO'!I36</f>
        <v>8995120232</v>
      </c>
      <c r="AO36" s="325">
        <f>+J36-'9. mell. PMH'!J36-'12. mell. Szakrendelő'!J36-'25. mell. Kerületgazda'!J36-'28. mell. KIO'!J36</f>
        <v>8995120232</v>
      </c>
      <c r="AP36" s="325">
        <f>+K36-'9. mell. PMH'!K36-'12. mell. Szakrendelő'!K36-'25. mell. Kerületgazda'!K36-'28. mell. KIO'!K36</f>
        <v>8525145793</v>
      </c>
      <c r="AQ36" s="1195">
        <f t="shared" si="5"/>
        <v>21871465</v>
      </c>
      <c r="AR36" s="1593">
        <f t="shared" si="6"/>
        <v>17364765</v>
      </c>
      <c r="AS36" s="1195">
        <f t="shared" si="7"/>
        <v>73469011</v>
      </c>
      <c r="AT36" s="2647">
        <v>12332134917</v>
      </c>
      <c r="AU36" s="1593">
        <f t="shared" si="8"/>
        <v>0</v>
      </c>
    </row>
    <row r="37" spans="1:47" s="350" customFormat="1" ht="15" customHeight="1" thickBot="1">
      <c r="A37" s="344" t="s">
        <v>27</v>
      </c>
      <c r="B37" s="1443" t="s">
        <v>27</v>
      </c>
      <c r="C37" s="345" t="s">
        <v>1290</v>
      </c>
      <c r="D37" s="346">
        <f>+'9. mell. PMH'!D37+'12. mell. Szakrendelő'!D37+'13. mell. GAMESZ'!D37+'14. mell. Gyerekkuckó'!D37+'15. mell. Cinkotai H.'!D37+'16. mell. Napsugár'!D37+'17. mell. Sashalmi M.'!D37+'18. mell. Margaréta'!D37+'19.mell.Szentmihályi Játszókert'!D37+'20. mell. M. Fecskefészek'!D37+'21. mell. CMH'!D37+'22. mell. Bölcsőde'!D37+'23. mell. Terszoc.'!D37+'24. mell. Napraforgó'!D37+'25. mell. Kerületgazda'!D37+'26. mell. Őrszolgálat'!D37+'27. mell. KHEK'!D37+'28. mell. KIO'!D37</f>
        <v>16798198200</v>
      </c>
      <c r="E37" s="346">
        <f>+'9. mell. PMH'!E37+'12. mell. Szakrendelő'!E37+'13. mell. GAMESZ'!E37+'14. mell. Gyerekkuckó'!E37+'15. mell. Cinkotai H.'!E37+'16. mell. Napsugár'!E37+'17. mell. Sashalmi M.'!E37+'18. mell. Margaréta'!E37+'19.mell.Szentmihályi Játszókert'!E37+'20. mell. M. Fecskefészek'!E37+'21. mell. CMH'!E37+'22. mell. Bölcsőde'!E37+'23. mell. Terszoc.'!E37+'24. mell. Napraforgó'!E37+'25. mell. Kerületgazda'!E37+'26. mell. Őrszolgálat'!E37+'27. mell. KHEK'!E37+'28. mell. KIO'!E37</f>
        <v>17889038891</v>
      </c>
      <c r="F37" s="346">
        <f>+'9. mell. PMH'!F37+'12. mell. Szakrendelő'!F37+'13. mell. GAMESZ'!F37+'14. mell. Gyerekkuckó'!F37+'15. mell. Cinkotai H.'!F37+'16. mell. Napsugár'!F37+'17. mell. Sashalmi M.'!F37+'18. mell. Margaréta'!F37+'19.mell.Szentmihályi Játszókert'!F37+'20. mell. M. Fecskefészek'!F37+'21. mell. CMH'!F37+'22. mell. Bölcsőde'!F37+'23. mell. Terszoc.'!F37+'24. mell. Napraforgó'!F37+'25. mell. Kerületgazda'!F37+'26. mell. Őrszolgálat'!F37+'27. mell. KHEK'!F37+'28. mell. KIO'!F37</f>
        <v>18909314532.26968</v>
      </c>
      <c r="G37" s="346">
        <f>+'9. mell. PMH'!G37+'12. mell. Szakrendelő'!G37+'13. mell. GAMESZ'!G37+'14. mell. Gyerekkuckó'!G37+'15. mell. Cinkotai H.'!G37+'16. mell. Napsugár'!G37+'17. mell. Sashalmi M.'!G37+'18. mell. Margaréta'!G37+'19.mell.Szentmihályi Játszókert'!G37+'20. mell. M. Fecskefészek'!G37+'21. mell. CMH'!G37+'22. mell. Bölcsőde'!G37+'23. mell. Terszoc.'!G37+'24. mell. Napraforgó'!G37+'25. mell. Kerületgazda'!G37+'26. mell. Őrszolgálat'!G37+'27. mell. KHEK'!G37+'28. mell. KIO'!G37</f>
        <v>19650432279.26968</v>
      </c>
      <c r="H37" s="346">
        <f>+'9. mell. PMH'!H37+'12. mell. Szakrendelő'!H37+'13. mell. GAMESZ'!H37+'14. mell. Gyerekkuckó'!H37+'15. mell. Cinkotai H.'!H37+'16. mell. Napsugár'!H37+'17. mell. Sashalmi M.'!H37+'18. mell. Margaréta'!H37+'19.mell.Szentmihályi Játszókert'!H37+'20. mell. M. Fecskefészek'!H37+'21. mell. CMH'!H37+'22. mell. Bölcsőde'!H37+'23. mell. Terszoc.'!H37+'24. mell. Napraforgó'!H37+'25. mell. Kerületgazda'!H37+'26. mell. Őrszolgálat'!H37+'27. mell. KHEK'!H37+'28. mell. KIO'!H37</f>
        <v>19836488664.26968</v>
      </c>
      <c r="I37" s="346">
        <f>+'9. mell. PMH'!I37+'12. mell. Szakrendelő'!I37+'13. mell. GAMESZ'!I37+'14. mell. Gyerekkuckó'!I37+'15. mell. Cinkotai H.'!I37+'16. mell. Napsugár'!I37+'17. mell. Sashalmi M.'!I37+'18. mell. Margaréta'!I37+'19.mell.Szentmihályi Játszókert'!I37+'20. mell. M. Fecskefészek'!I37+'21. mell. CMH'!I37+'22. mell. Bölcsőde'!I37+'23. mell. Terszoc.'!I37+'24. mell. Napraforgó'!I37+'25. mell. Kerületgazda'!I37+'26. mell. Őrszolgálat'!I37+'27. mell. KHEK'!I37+'28. mell. KIO'!I37</f>
        <v>20118478946.26968</v>
      </c>
      <c r="J37" s="346">
        <f>+'9. mell. PMH'!J37+'12. mell. Szakrendelő'!J37+'13. mell. GAMESZ'!J37+'14. mell. Gyerekkuckó'!J37+'15. mell. Cinkotai H.'!J37+'16. mell. Napsugár'!J37+'17. mell. Sashalmi M.'!J37+'18. mell. Margaréta'!J37+'19.mell.Szentmihályi Játszókert'!J37+'20. mell. M. Fecskefészek'!J37+'21. mell. CMH'!J37+'22. mell. Bölcsőde'!J37+'23. mell. Terszoc.'!J37+'24. mell. Napraforgó'!J37+'25. mell. Kerületgazda'!J37+'26. mell. Őrszolgálat'!J37+'27. mell. KHEK'!J37+'28. mell. KIO'!J37</f>
        <v>20118478946.26968</v>
      </c>
      <c r="K37" s="2198">
        <f>+'9. mell. PMH'!K37+'12. mell. Szakrendelő'!K37+'13. mell. GAMESZ'!K37+'14. mell. Gyerekkuckó'!K37+'15. mell. Cinkotai H.'!K37+'16. mell. Napsugár'!K37+'17. mell. Sashalmi M.'!K37+'18. mell. Margaréta'!K37+'19.mell.Szentmihályi Játszókert'!K37+'20. mell. M. Fecskefészek'!K37+'21. mell. CMH'!K37+'22. mell. Bölcsőde'!K37+'23. mell. Terszoc.'!K37+'24. mell. Napraforgó'!K37+'25. mell. Kerületgazda'!K37+'26. mell. Őrszolgálat'!K37+'27. mell. KHEK'!K37+'28. mell. KIO'!K37</f>
        <v>19241377566</v>
      </c>
      <c r="L37" s="346">
        <f>+'9. mell. PMH'!L37+'12. mell. Szakrendelő'!L37+'13. mell. GAMESZ'!L37+'14. mell. Gyerekkuckó'!L37+'15. mell. Cinkotai H.'!L37+'16. mell. Napsugár'!L37+'17. mell. Sashalmi M.'!L37+'18. mell. Margaréta'!L37+'19.mell.Szentmihályi Játszókert'!L37+'20. mell. M. Fecskefészek'!L37+'21. mell. CMH'!L37+'22. mell. Bölcsőde'!L37+'23. mell. Terszoc.'!L37+'24. mell. Napraforgó'!L37+'25. mell. Kerületgazda'!L37+'26. mell. Őrszolgálat'!L37+'27. mell. KHEK'!L37+'28. mell. KIO'!L37</f>
        <v>770484965</v>
      </c>
      <c r="M37" s="346">
        <f>+'9. mell. PMH'!M37+'12. mell. Szakrendelő'!M37+'13. mell. GAMESZ'!M37+'14. mell. Gyerekkuckó'!M37+'15. mell. Cinkotai H.'!M37+'16. mell. Napsugár'!M37+'17. mell. Sashalmi M.'!M37+'18. mell. Margaréta'!M37+'19.mell.Szentmihályi Játszókert'!M37+'20. mell. M. Fecskefészek'!M37+'21. mell. CMH'!M37+'22. mell. Bölcsőde'!M37+'23. mell. Terszoc.'!M37+'24. mell. Napraforgó'!M37+'25. mell. Kerületgazda'!M37+'26. mell. Őrszolgálat'!M37+'27. mell. KHEK'!M37+'28. mell. KIO'!M37</f>
        <v>803415635</v>
      </c>
      <c r="N37" s="346">
        <f>+'9. mell. PMH'!N37+'12. mell. Szakrendelő'!N37+'13. mell. GAMESZ'!N37+'14. mell. Gyerekkuckó'!N37+'15. mell. Cinkotai H.'!N37+'16. mell. Napsugár'!N37+'17. mell. Sashalmi M.'!N37+'18. mell. Margaréta'!N37+'19.mell.Szentmihályi Játszókert'!N37+'20. mell. M. Fecskefészek'!N37+'21. mell. CMH'!N37+'22. mell. Bölcsőde'!N37+'23. mell. Terszoc.'!N37+'24. mell. Napraforgó'!N37+'25. mell. Kerületgazda'!N37+'26. mell. Őrszolgálat'!N37+'27. mell. KHEK'!N37+'28. mell. KIO'!N37</f>
        <v>806480562</v>
      </c>
      <c r="O37" s="346">
        <f>+'9. mell. PMH'!O37+'12. mell. Szakrendelő'!O37+'13. mell. GAMESZ'!O37+'14. mell. Gyerekkuckó'!O37+'15. mell. Cinkotai H.'!O37+'16. mell. Napsugár'!O37+'17. mell. Sashalmi M.'!O37+'18. mell. Margaréta'!O37+'19.mell.Szentmihályi Játszókert'!O37+'20. mell. M. Fecskefészek'!O37+'21. mell. CMH'!O37+'22. mell. Bölcsőde'!O37+'23. mell. Terszoc.'!O37+'24. mell. Napraforgó'!O37+'25. mell. Kerületgazda'!O37+'26. mell. Őrszolgálat'!O37+'27. mell. KHEK'!O37+'28. mell. KIO'!O37</f>
        <v>710454418</v>
      </c>
      <c r="P37" s="346">
        <f>+'9. mell. PMH'!P37+'12. mell. Szakrendelő'!P37+'13. mell. GAMESZ'!P37+'14. mell. Gyerekkuckó'!P37+'15. mell. Cinkotai H.'!P37+'16. mell. Napsugár'!P37+'17. mell. Sashalmi M.'!P37+'18. mell. Margaréta'!P37+'19.mell.Szentmihályi Játszókert'!P37+'20. mell. M. Fecskefészek'!P37+'21. mell. CMH'!P37+'22. mell. Bölcsőde'!P37+'23. mell. Terszoc.'!P37+'24. mell. Napraforgó'!P37+'25. mell. Kerületgazda'!P37+'26. mell. Őrszolgálat'!P37+'27. mell. KHEK'!P37+'28. mell. KIO'!P37</f>
        <v>710454418</v>
      </c>
      <c r="Q37" s="346">
        <f>+'9. mell. PMH'!Q37+'12. mell. Szakrendelő'!Q37+'13. mell. GAMESZ'!Q37+'14. mell. Gyerekkuckó'!Q37+'15. mell. Cinkotai H.'!Q37+'16. mell. Napsugár'!Q37+'17. mell. Sashalmi M.'!Q37+'18. mell. Margaréta'!Q37+'19.mell.Szentmihályi Játszókert'!Q37+'20. mell. M. Fecskefészek'!Q37+'21. mell. CMH'!Q37+'22. mell. Bölcsőde'!Q37+'23. mell. Terszoc.'!Q37+'24. mell. Napraforgó'!Q37+'25. mell. Kerületgazda'!Q37+'26. mell. Őrszolgálat'!Q37+'27. mell. KHEK'!Q37+'28. mell. KIO'!Q37</f>
        <v>703253599</v>
      </c>
      <c r="R37" s="346">
        <f>+'9. mell. PMH'!R37+'12. mell. Szakrendelő'!R37+'13. mell. GAMESZ'!R37+'14. mell. Gyerekkuckó'!R37+'15. mell. Cinkotai H.'!R37+'16. mell. Napsugár'!R37+'17. mell. Sashalmi M.'!R37+'18. mell. Margaréta'!R37+'19.mell.Szentmihályi Játszókert'!R37+'20. mell. M. Fecskefészek'!R37+'21. mell. CMH'!R37+'22. mell. Bölcsőde'!R37+'23. mell. Terszoc.'!R37+'24. mell. Napraforgó'!R37+'25. mell. Kerületgazda'!R37+'26. mell. Őrszolgálat'!R37+'27. mell. KHEK'!R37+'28. mell. KIO'!R37</f>
        <v>18135329567.26968</v>
      </c>
      <c r="S37" s="346">
        <f>+'9. mell. PMH'!S37+'12. mell. Szakrendelő'!S37+'13. mell. GAMESZ'!S37+'14. mell. Gyerekkuckó'!S37+'15. mell. Cinkotai H.'!S37+'16. mell. Napsugár'!S37+'17. mell. Sashalmi M.'!S37+'18. mell. Margaréta'!S37+'19.mell.Szentmihályi Játszókert'!S37+'20. mell. M. Fecskefészek'!S37+'21. mell. CMH'!S37+'22. mell. Bölcsőde'!S37+'23. mell. Terszoc.'!S37+'24. mell. Napraforgó'!S37+'25. mell. Kerületgazda'!S37+'26. mell. Őrszolgálat'!S37+'27. mell. KHEK'!S37+'28. mell. KIO'!S37</f>
        <v>18843516644.26968</v>
      </c>
      <c r="T37" s="346">
        <f>+'9. mell. PMH'!T37+'12. mell. Szakrendelő'!T37+'13. mell. GAMESZ'!T37+'14. mell. Gyerekkuckó'!T37+'15. mell. Cinkotai H.'!T37+'16. mell. Napsugár'!T37+'17. mell. Sashalmi M.'!T37+'18. mell. Margaréta'!T37+'19.mell.Szentmihályi Játszókert'!T37+'20. mell. M. Fecskefészek'!T37+'21. mell. CMH'!T37+'22. mell. Bölcsőde'!T37+'23. mell. Terszoc.'!T37+'24. mell. Napraforgó'!T37+'25. mell. Kerületgazda'!T37+'26. mell. Őrszolgálat'!T37+'27. mell. KHEK'!T37+'28. mell. KIO'!T37</f>
        <v>19024534638.26968</v>
      </c>
      <c r="U37" s="346">
        <f>+'9. mell. PMH'!U37+'12. mell. Szakrendelő'!U37+'13. mell. GAMESZ'!U37+'14. mell. Gyerekkuckó'!U37+'15. mell. Cinkotai H.'!U37+'16. mell. Napsugár'!U37+'17. mell. Sashalmi M.'!U37+'18. mell. Margaréta'!U37+'19.mell.Szentmihályi Játszókert'!U37+'20. mell. M. Fecskefészek'!U37+'21. mell. CMH'!U37+'22. mell. Bölcsőde'!U37+'23. mell. Terszoc.'!U37+'24. mell. Napraforgó'!U37+'25. mell. Kerületgazda'!U37+'26. mell. Őrszolgálat'!U37+'27. mell. KHEK'!U37+'28. mell. KIO'!U37</f>
        <v>19405512888.26968</v>
      </c>
      <c r="V37" s="346">
        <f>+'9. mell. PMH'!V37+'12. mell. Szakrendelő'!V37+'13. mell. GAMESZ'!V37+'14. mell. Gyerekkuckó'!V37+'15. mell. Cinkotai H.'!V37+'16. mell. Napsugár'!V37+'17. mell. Sashalmi M.'!V37+'18. mell. Margaréta'!V37+'19.mell.Szentmihályi Játszókert'!V37+'20. mell. M. Fecskefészek'!V37+'21. mell. CMH'!V37+'22. mell. Bölcsőde'!V37+'23. mell. Terszoc.'!V37+'24. mell. Napraforgó'!V37+'25. mell. Kerületgazda'!V37+'26. mell. Őrszolgálat'!V37+'27. mell. KHEK'!V37+'28. mell. KIO'!V37</f>
        <v>19405512888.26968</v>
      </c>
      <c r="W37" s="346">
        <f>+'9. mell. PMH'!W37+'12. mell. Szakrendelő'!W37+'13. mell. GAMESZ'!W37+'14. mell. Gyerekkuckó'!W37+'15. mell. Cinkotai H.'!W37+'16. mell. Napsugár'!W37+'17. mell. Sashalmi M.'!W37+'18. mell. Margaréta'!W37+'19.mell.Szentmihályi Játszókert'!W37+'20. mell. M. Fecskefészek'!W37+'21. mell. CMH'!W37+'22. mell. Bölcsőde'!W37+'23. mell. Terszoc.'!W37+'24. mell. Napraforgó'!W37+'25. mell. Kerületgazda'!W37+'26. mell. Őrszolgálat'!W37+'27. mell. KHEK'!W37+'28. mell. KIO'!W37</f>
        <v>18535612327</v>
      </c>
      <c r="X37" s="346">
        <f>+'9. mell. PMH'!X37+'12. mell. Szakrendelő'!X37+'13. mell. GAMESZ'!X37+'14. mell. Gyerekkuckó'!X37+'15. mell. Cinkotai H.'!X37+'16. mell. Napsugár'!X37+'17. mell. Sashalmi M.'!X37+'18. mell. Margaréta'!X37+'19.mell.Szentmihályi Játszókert'!X37+'20. mell. M. Fecskefészek'!X37+'21. mell. CMH'!X37+'22. mell. Bölcsőde'!X37+'23. mell. Terszoc.'!X37+'24. mell. Napraforgó'!X37+'25. mell. Kerületgazda'!X37+'26. mell. Őrszolgálat'!X37+'27. mell. KHEK'!X37+'28. mell. KIO'!X37</f>
        <v>3500000</v>
      </c>
      <c r="Y37" s="346">
        <f>+'9. mell. PMH'!Y37+'12. mell. Szakrendelő'!Y37+'13. mell. GAMESZ'!Y37+'14. mell. Gyerekkuckó'!Y37+'15. mell. Cinkotai H.'!Y37+'16. mell. Napsugár'!Y37+'17. mell. Sashalmi M.'!Y37+'18. mell. Margaréta'!Y37+'19.mell.Szentmihályi Játszókert'!Y37+'20. mell. M. Fecskefészek'!Y37+'21. mell. CMH'!Y37+'22. mell. Bölcsőde'!Y37+'23. mell. Terszoc.'!Y37+'24. mell. Napraforgó'!Y37+'25. mell. Kerületgazda'!Y37+'26. mell. Őrszolgálat'!Y37+'27. mell. KHEK'!Y37+'28. mell. KIO'!Y37</f>
        <v>3500000</v>
      </c>
      <c r="Z37" s="346">
        <f>+'9. mell. PMH'!Z37+'12. mell. Szakrendelő'!Z37+'13. mell. GAMESZ'!Z37+'14. mell. Gyerekkuckó'!Z37+'15. mell. Cinkotai H.'!Z37+'16. mell. Napsugár'!Z37+'17. mell. Sashalmi M.'!Z37+'18. mell. Margaréta'!Z37+'19.mell.Szentmihályi Játszókert'!Z37+'20. mell. M. Fecskefészek'!Z37+'21. mell. CMH'!Z37+'22. mell. Bölcsőde'!Z37+'23. mell. Terszoc.'!Z37+'24. mell. Napraforgó'!Z37+'25. mell. Kerületgazda'!Z37+'26. mell. Őrszolgálat'!Z37+'27. mell. KHEK'!Z37+'28. mell. KIO'!Z37</f>
        <v>5473464</v>
      </c>
      <c r="AA37" s="346">
        <f>+'9. mell. PMH'!AA37+'12. mell. Szakrendelő'!AA37+'13. mell. GAMESZ'!AA37+'14. mell. Gyerekkuckó'!AA37+'15. mell. Cinkotai H.'!AA37+'16. mell. Napsugár'!AA37+'17. mell. Sashalmi M.'!AA37+'18. mell. Margaréta'!AA37+'19.mell.Szentmihályi Játszókert'!AA37+'20. mell. M. Fecskefészek'!AA37+'21. mell. CMH'!AA37+'22. mell. Bölcsőde'!AA37+'23. mell. Terszoc.'!AA37+'24. mell. Napraforgó'!AA37+'25. mell. Kerületgazda'!AA37+'26. mell. Őrszolgálat'!AA37+'27. mell. KHEK'!AA37+'28. mell. KIO'!AA37</f>
        <v>2511640</v>
      </c>
      <c r="AB37" s="346">
        <f>+'9. mell. PMH'!AB37+'12. mell. Szakrendelő'!AB37+'13. mell. GAMESZ'!AB37+'14. mell. Gyerekkuckó'!AB37+'15. mell. Cinkotai H.'!AB37+'16. mell. Napsugár'!AB37+'17. mell. Sashalmi M.'!AB37+'18. mell. Margaréta'!AB37+'19.mell.Szentmihályi Játszókert'!AB37+'20. mell. M. Fecskefészek'!AB37+'21. mell. CMH'!AB37+'22. mell. Bölcsőde'!AB37+'23. mell. Terszoc.'!AB37+'24. mell. Napraforgó'!AB37+'25. mell. Kerületgazda'!AB37+'26. mell. Őrszolgálat'!AB37+'27. mell. KHEK'!AB37+'28. mell. KIO'!AB37</f>
        <v>2511640</v>
      </c>
      <c r="AC37" s="346">
        <f>+'9. mell. PMH'!AC37+'12. mell. Szakrendelő'!AC37+'13. mell. GAMESZ'!AC37+'14. mell. Gyerekkuckó'!AC37+'15. mell. Cinkotai H.'!AC37+'16. mell. Napsugár'!AC37+'17. mell. Sashalmi M.'!AC37+'18. mell. Margaréta'!AC37+'19.mell.Szentmihályi Játszókert'!AC37+'20. mell. M. Fecskefészek'!AC37+'21. mell. CMH'!AC37+'22. mell. Bölcsőde'!AC37+'23. mell. Terszoc.'!AC37+'24. mell. Napraforgó'!AC37+'25. mell. Kerületgazda'!AC37+'26. mell. Őrszolgálat'!AC37+'27. mell. KHEK'!AC37+'28. mell. KIO'!AC37</f>
        <v>2511640</v>
      </c>
      <c r="AD37" s="348"/>
      <c r="AE37" s="346">
        <f t="shared" si="0"/>
        <v>741117747</v>
      </c>
      <c r="AF37" s="346">
        <f t="shared" si="1"/>
        <v>186056385</v>
      </c>
      <c r="AG37" s="346">
        <f t="shared" si="2"/>
        <v>281990282</v>
      </c>
      <c r="AH37" s="346">
        <f t="shared" si="3"/>
        <v>0</v>
      </c>
      <c r="AI37" s="349">
        <f t="shared" si="9"/>
        <v>0.95640319615552694</v>
      </c>
      <c r="AJ37" s="346">
        <f t="shared" si="4"/>
        <v>2111116332.26968</v>
      </c>
      <c r="AK37" s="325">
        <f>+F37-'9. mell. PMH'!F37-'12. mell. Szakrendelő'!F37-'25. mell. Kerületgazda'!F37-'28. mell. KIO'!F37</f>
        <v>9592821499.26968</v>
      </c>
      <c r="AL37" s="325">
        <f>+G37-'9. mell. PMH'!G37-'12. mell. Szakrendelő'!G37-'25. mell. Kerületgazda'!G37-'28. mell. KIO'!G37</f>
        <v>9948041028.26968</v>
      </c>
      <c r="AM37" s="325">
        <f>+H37-'9. mell. PMH'!H37-'12. mell. Szakrendelő'!H37-'25. mell. Kerületgazda'!H37-'28. mell. KIO'!H37</f>
        <v>10006469664.26968</v>
      </c>
      <c r="AN37" s="325">
        <f>+I37-'9. mell. PMH'!I37-'12. mell. Szakrendelő'!I37-'25. mell. Kerületgazda'!I37-'28. mell. KIO'!I37</f>
        <v>10224526628.26968</v>
      </c>
      <c r="AO37" s="325">
        <f>+J37-'9. mell. PMH'!J37-'12. mell. Szakrendelő'!J37-'25. mell. Kerületgazda'!J37-'28. mell. KIO'!J37</f>
        <v>10224526628.26968</v>
      </c>
      <c r="AP37" s="325">
        <f>+K37-'9. mell. PMH'!K37-'12. mell. Szakrendelő'!K37-'25. mell. Kerületgazda'!K37-'28. mell. KIO'!K37</f>
        <v>9754552189</v>
      </c>
      <c r="AQ37" s="1195">
        <f t="shared" si="5"/>
        <v>355219529</v>
      </c>
      <c r="AR37" s="1593">
        <f t="shared" si="6"/>
        <v>58428636</v>
      </c>
      <c r="AS37" s="1195">
        <f t="shared" si="7"/>
        <v>218056964</v>
      </c>
      <c r="AT37" s="347">
        <v>17889038891</v>
      </c>
      <c r="AU37" s="1593">
        <f t="shared" si="8"/>
        <v>0</v>
      </c>
    </row>
    <row r="38" spans="1:47" s="332" customFormat="1" ht="15" customHeight="1" thickBot="1">
      <c r="A38" s="351"/>
      <c r="B38" s="351"/>
      <c r="C38" s="352"/>
      <c r="D38" s="321"/>
      <c r="E38" s="321"/>
      <c r="F38" s="321"/>
      <c r="G38" s="321"/>
      <c r="H38" s="321"/>
      <c r="I38" s="321"/>
      <c r="J38" s="321"/>
      <c r="K38" s="321"/>
      <c r="L38" s="353"/>
      <c r="M38" s="353"/>
      <c r="N38" s="353"/>
      <c r="O38" s="353"/>
      <c r="P38" s="353"/>
      <c r="Q38" s="353"/>
      <c r="R38" s="353"/>
      <c r="S38" s="353"/>
      <c r="T38" s="353"/>
      <c r="U38" s="353"/>
      <c r="V38" s="353"/>
      <c r="W38" s="353"/>
      <c r="X38" s="353"/>
      <c r="Y38" s="353"/>
      <c r="Z38" s="353"/>
      <c r="AA38" s="353"/>
      <c r="AB38" s="353"/>
      <c r="AC38" s="353"/>
      <c r="AD38" s="343"/>
      <c r="AE38" s="343"/>
      <c r="AF38" s="343"/>
      <c r="AG38" s="343"/>
      <c r="AH38" s="343"/>
      <c r="AI38" s="354"/>
      <c r="AJ38" s="353">
        <f>(+F38/1000)-D38</f>
        <v>0</v>
      </c>
      <c r="AK38" s="325"/>
      <c r="AL38" s="325"/>
      <c r="AM38" s="325"/>
      <c r="AN38" s="325"/>
      <c r="AO38" s="325"/>
      <c r="AP38" s="325"/>
      <c r="AQ38" s="1195">
        <f t="shared" si="5"/>
        <v>0</v>
      </c>
      <c r="AR38" s="332">
        <f t="shared" si="6"/>
        <v>0</v>
      </c>
      <c r="AS38" s="1195">
        <f t="shared" si="7"/>
        <v>0</v>
      </c>
      <c r="AT38" s="321"/>
      <c r="AU38" s="1593">
        <f t="shared" si="8"/>
        <v>0</v>
      </c>
    </row>
    <row r="39" spans="1:47" s="1447" customFormat="1" ht="15" customHeight="1" thickBot="1">
      <c r="A39" s="319"/>
      <c r="B39" s="1445"/>
      <c r="C39" s="1445" t="str">
        <f t="shared" ref="C39:S40" si="10">+C4</f>
        <v>A</v>
      </c>
      <c r="D39" s="1448" t="str">
        <f t="shared" si="10"/>
        <v>B</v>
      </c>
      <c r="E39" s="1448" t="str">
        <f t="shared" si="10"/>
        <v>B</v>
      </c>
      <c r="F39" s="1448" t="str">
        <f t="shared" si="10"/>
        <v>B</v>
      </c>
      <c r="G39" s="1448" t="str">
        <f t="shared" si="10"/>
        <v>C</v>
      </c>
      <c r="H39" s="1448" t="str">
        <f t="shared" si="10"/>
        <v>D</v>
      </c>
      <c r="I39" s="1448" t="str">
        <f t="shared" si="10"/>
        <v>C</v>
      </c>
      <c r="J39" s="1448">
        <f t="shared" si="10"/>
        <v>0</v>
      </c>
      <c r="K39" s="1448" t="str">
        <f t="shared" si="10"/>
        <v>D</v>
      </c>
      <c r="L39" s="1448" t="str">
        <f t="shared" si="10"/>
        <v>D</v>
      </c>
      <c r="M39" s="1448" t="str">
        <f t="shared" si="10"/>
        <v>D</v>
      </c>
      <c r="N39" s="1448" t="str">
        <f t="shared" si="10"/>
        <v>E</v>
      </c>
      <c r="O39" s="1448" t="str">
        <f t="shared" si="10"/>
        <v>E</v>
      </c>
      <c r="P39" s="1448">
        <f t="shared" si="10"/>
        <v>0</v>
      </c>
      <c r="Q39" s="1448" t="str">
        <f t="shared" si="10"/>
        <v>F</v>
      </c>
      <c r="R39" s="1448" t="str">
        <f t="shared" si="10"/>
        <v>E</v>
      </c>
      <c r="S39" s="1448" t="str">
        <f t="shared" si="10"/>
        <v>E</v>
      </c>
      <c r="T39" s="1448" t="str">
        <f t="shared" ref="T39:AI39" si="11">+T4</f>
        <v>F</v>
      </c>
      <c r="U39" s="1448" t="str">
        <f t="shared" si="11"/>
        <v>G</v>
      </c>
      <c r="V39" s="1448">
        <f t="shared" si="11"/>
        <v>0</v>
      </c>
      <c r="W39" s="1448" t="str">
        <f t="shared" si="11"/>
        <v>H</v>
      </c>
      <c r="X39" s="1448" t="str">
        <f t="shared" si="11"/>
        <v>F</v>
      </c>
      <c r="Y39" s="1448" t="str">
        <f t="shared" si="11"/>
        <v>F</v>
      </c>
      <c r="Z39" s="1448" t="str">
        <f t="shared" si="11"/>
        <v>G</v>
      </c>
      <c r="AA39" s="1448" t="str">
        <f t="shared" si="11"/>
        <v>I</v>
      </c>
      <c r="AB39" s="1448">
        <f t="shared" si="11"/>
        <v>0</v>
      </c>
      <c r="AC39" s="1448" t="str">
        <f t="shared" si="11"/>
        <v>J</v>
      </c>
      <c r="AD39" s="1448">
        <f t="shared" si="11"/>
        <v>0</v>
      </c>
      <c r="AE39" s="1448">
        <f t="shared" si="11"/>
        <v>0</v>
      </c>
      <c r="AF39" s="1448">
        <f t="shared" si="11"/>
        <v>0</v>
      </c>
      <c r="AG39" s="1448">
        <f t="shared" si="11"/>
        <v>0</v>
      </c>
      <c r="AH39" s="1448">
        <f t="shared" si="11"/>
        <v>0</v>
      </c>
      <c r="AI39" s="1448" t="str">
        <f t="shared" si="11"/>
        <v>K</v>
      </c>
      <c r="AJ39" s="1448"/>
      <c r="AK39" s="1446"/>
      <c r="AL39" s="1446"/>
      <c r="AM39" s="1446"/>
      <c r="AN39" s="1446"/>
      <c r="AO39" s="1446"/>
      <c r="AP39" s="1446"/>
      <c r="AQ39" s="1195">
        <f t="shared" si="5"/>
        <v>0</v>
      </c>
      <c r="AR39" s="1447">
        <f t="shared" si="6"/>
        <v>0</v>
      </c>
      <c r="AS39" s="1195">
        <f t="shared" si="7"/>
        <v>0</v>
      </c>
      <c r="AT39" s="1448" t="s">
        <v>2731</v>
      </c>
      <c r="AU39" s="1593"/>
    </row>
    <row r="40" spans="1:47" s="315" customFormat="1" ht="82.15" customHeight="1" thickBot="1">
      <c r="A40" s="313"/>
      <c r="B40" s="313" t="str">
        <f>+A5</f>
        <v>1.</v>
      </c>
      <c r="C40" s="1444" t="str">
        <f t="shared" si="10"/>
        <v>Kiemelt előirányzat, előirányzat megnevezése</v>
      </c>
      <c r="D40" s="313" t="str">
        <f t="shared" si="10"/>
        <v>2024. évi eredeti előirányzat
forintban</v>
      </c>
      <c r="E40" s="2645" t="str">
        <f t="shared" si="10"/>
        <v>2024. évi teljesítés forintban</v>
      </c>
      <c r="F40" s="313" t="str">
        <f>+F5</f>
        <v>2025. évi eredeti előirányzat forintban</v>
      </c>
      <c r="G40" s="313" t="str">
        <f t="shared" ref="G40:AI40" si="12">+G5</f>
        <v>2025. évi I. számú módosított előirányzat
forintban</v>
      </c>
      <c r="H40" s="313" t="str">
        <f t="shared" si="12"/>
        <v>2025. évi II. számú módosított előirányzat forintban</v>
      </c>
      <c r="I40" s="3095" t="str">
        <f t="shared" si="12"/>
        <v>2025. évi III. számú módosított előirányzat forintban</v>
      </c>
      <c r="J40" s="3095" t="str">
        <f t="shared" si="12"/>
        <v>2025. évi IV. számú módosított előirányzat forintban</v>
      </c>
      <c r="K40" s="3095" t="str">
        <f t="shared" si="12"/>
        <v>2025. évi
teljesítés forintban</v>
      </c>
      <c r="L40" s="3095" t="str">
        <f t="shared" si="12"/>
        <v>Önként vállalt feladat forintban</v>
      </c>
      <c r="M40" s="3095" t="str">
        <f t="shared" si="12"/>
        <v>Önként vállalt feladat I. módosítás
forintban</v>
      </c>
      <c r="N40" s="3086" t="str">
        <f t="shared" si="12"/>
        <v>Önként vállalt feladat II. módosítás forintban</v>
      </c>
      <c r="O40" s="3087" t="str">
        <f t="shared" si="12"/>
        <v>Önként vállalt feladat III. módosítás forintban</v>
      </c>
      <c r="P40" s="3088" t="str">
        <f t="shared" si="12"/>
        <v>Önként vállalt feladat IV. módosítás  forintban</v>
      </c>
      <c r="Q40" s="3088" t="str">
        <f t="shared" si="12"/>
        <v>Önként vállalt teljesítés  forintban</v>
      </c>
      <c r="R40" s="3084" t="str">
        <f t="shared" si="12"/>
        <v>Kötelező feladat forintban</v>
      </c>
      <c r="S40" s="3085" t="str">
        <f t="shared" si="12"/>
        <v>Kötelező feladat 
I. módosítás
forintban</v>
      </c>
      <c r="T40" s="3086" t="str">
        <f t="shared" si="12"/>
        <v>Kötelező feladat II. módosítás forintban</v>
      </c>
      <c r="U40" s="3087" t="str">
        <f t="shared" si="12"/>
        <v>Kötelező feladat III. módosítás  forintban</v>
      </c>
      <c r="V40" s="3088" t="str">
        <f t="shared" si="12"/>
        <v>Kötelező feladat IV. módosítás  forintban</v>
      </c>
      <c r="W40" s="3088" t="str">
        <f t="shared" si="12"/>
        <v>Kötelező teljesítés  forintban</v>
      </c>
      <c r="X40" s="3084" t="str">
        <f t="shared" si="12"/>
        <v>Állam-igazgatási feladat forintban</v>
      </c>
      <c r="Y40" s="3084" t="str">
        <f t="shared" si="12"/>
        <v>Államigazgatási feladat 
I. módosítás
forintban</v>
      </c>
      <c r="Z40" s="3086" t="str">
        <f t="shared" si="12"/>
        <v>Államigazga-tási feladat II. módosítás forintban</v>
      </c>
      <c r="AA40" s="3090" t="str">
        <f t="shared" si="12"/>
        <v>Államigazga-tási feladat III. módosítás  forintban</v>
      </c>
      <c r="AB40" s="3084" t="str">
        <f t="shared" si="12"/>
        <v>Államigazga-tási feladat IV. módosítás  forintban</v>
      </c>
      <c r="AC40" s="3084" t="str">
        <f t="shared" si="12"/>
        <v>Államigazgatási teljesítés  forintban</v>
      </c>
      <c r="AD40" s="3084" t="str">
        <f t="shared" si="12"/>
        <v>Megjegyzés</v>
      </c>
      <c r="AE40" s="3084" t="str">
        <f t="shared" si="12"/>
        <v>I. változás</v>
      </c>
      <c r="AF40" s="3094" t="str">
        <f t="shared" si="12"/>
        <v>Előirányzat-módosítások, előirányzat-átcsoportosítások összegszerű változásai</v>
      </c>
      <c r="AG40" s="3169" t="str">
        <f t="shared" si="12"/>
        <v>Előirányzat-módosítások, előirányzat-átcsoportosítások összegszerű változásai a III. módosításnál</v>
      </c>
      <c r="AH40" s="1610" t="str">
        <f t="shared" si="12"/>
        <v>IV. változás</v>
      </c>
      <c r="AI40" s="1610" t="str">
        <f t="shared" si="12"/>
        <v xml:space="preserve"> 2025. évi teljesítés / 2025. évi III. számú módosított előirányzat</v>
      </c>
      <c r="AJ40" s="1544" t="str">
        <f>+AJ5</f>
        <v>Változás Eredeti előző évhez E Ft-ban</v>
      </c>
      <c r="AK40" s="325"/>
      <c r="AL40" s="325"/>
      <c r="AM40" s="325"/>
      <c r="AN40" s="325"/>
      <c r="AO40" s="325"/>
      <c r="AP40" s="325"/>
      <c r="AQ40" s="1195"/>
      <c r="AS40" s="1195"/>
      <c r="AT40" s="2648" t="s">
        <v>3915</v>
      </c>
      <c r="AU40" s="1593"/>
    </row>
    <row r="41" spans="1:47" s="355" customFormat="1" ht="12" customHeight="1" thickBot="1">
      <c r="A41" s="319" t="s">
        <v>6</v>
      </c>
      <c r="B41" s="1439" t="s">
        <v>3353</v>
      </c>
      <c r="C41" s="335" t="s">
        <v>1291</v>
      </c>
      <c r="D41" s="321">
        <f>+'9. mell. PMH'!D41+'12. mell. Szakrendelő'!D41+'13. mell. GAMESZ'!D41+'14. mell. Gyerekkuckó'!D41+'15. mell. Cinkotai H.'!D41+'16. mell. Napsugár'!D41+'17. mell. Sashalmi M.'!D41+'18. mell. Margaréta'!D41+'19.mell.Szentmihályi Játszókert'!D41+'20. mell. M. Fecskefészek'!D41+'21. mell. CMH'!D41+'22. mell. Bölcsőde'!D41+'23. mell. Terszoc.'!D41+'24. mell. Napraforgó'!D41+'25. mell. Kerületgazda'!D41+'26. mell. Őrszolgálat'!D41+'27. mell. KHEK'!D41+'28. mell. KIO'!D41</f>
        <v>16546212279</v>
      </c>
      <c r="E41" s="2587">
        <f>+'9. mell. PMH'!E41+'12. mell. Szakrendelő'!E41+'13. mell. GAMESZ'!E41+'14. mell. Gyerekkuckó'!E41+'15. mell. Cinkotai H.'!E41+'16. mell. Napsugár'!E41+'17. mell. Sashalmi M.'!E41+'18. mell. Margaréta'!E41+'19.mell.Szentmihályi Játszókert'!E41+'20. mell. M. Fecskefészek'!E41+'21. mell. CMH'!E41+'22. mell. Bölcsőde'!E41+'23. mell. Terszoc.'!E41+'24. mell. Napraforgó'!E41+'25. mell. Kerületgazda'!E41+'26. mell. Őrszolgálat'!E41+'27. mell. KHEK'!E41+'28. mell. KIO'!E41</f>
        <v>16808840317</v>
      </c>
      <c r="F41" s="321">
        <f>+'9. mell. PMH'!F41+'12. mell. Szakrendelő'!F41+'13. mell. GAMESZ'!F41+'14. mell. Gyerekkuckó'!F41+'15. mell. Cinkotai H.'!F41+'16. mell. Napsugár'!F41+'17. mell. Sashalmi M.'!F41+'18. mell. Margaréta'!F41+'19.mell.Szentmihályi Játszókert'!F41+'20. mell. M. Fecskefészek'!F41+'21. mell. CMH'!F41+'22. mell. Bölcsőde'!F41+'23. mell. Terszoc.'!F41+'24. mell. Napraforgó'!F41+'25. mell. Kerületgazda'!F41+'26. mell. Őrszolgálat'!F41+'27. mell. KHEK'!F41+'28. mell. KIO'!F41</f>
        <v>18722893326</v>
      </c>
      <c r="G41" s="321">
        <f>+'9. mell. PMH'!G41+'12. mell. Szakrendelő'!G41+'13. mell. GAMESZ'!G41+'14. mell. Gyerekkuckó'!G41+'15. mell. Cinkotai H.'!G41+'16. mell. Napsugár'!G41+'17. mell. Sashalmi M.'!G41+'18. mell. Margaréta'!G41+'19.mell.Szentmihályi Játszókert'!G41+'20. mell. M. Fecskefészek'!G41+'21. mell. CMH'!G41+'22. mell. Bölcsőde'!G41+'23. mell. Terszoc.'!G41+'24. mell. Napraforgó'!G41+'25. mell. Kerületgazda'!G41+'26. mell. Őrszolgálat'!G41+'27. mell. KHEK'!G41+'28. mell. KIO'!G41</f>
        <v>19437582254</v>
      </c>
      <c r="H41" s="321">
        <f>+'9. mell. PMH'!H41+'12. mell. Szakrendelő'!H41+'13. mell. GAMESZ'!H41+'14. mell. Gyerekkuckó'!H41+'15. mell. Cinkotai H.'!H41+'16. mell. Napsugár'!H41+'17. mell. Sashalmi M.'!H41+'18. mell. Margaréta'!H41+'19.mell.Szentmihályi Játszókert'!H41+'20. mell. M. Fecskefészek'!H41+'21. mell. CMH'!H41+'22. mell. Bölcsőde'!H41+'23. mell. Terszoc.'!H41+'24. mell. Napraforgó'!H41+'25. mell. Kerületgazda'!H41+'26. mell. Őrszolgálat'!H41+'27. mell. KHEK'!H41+'28. mell. KIO'!H41</f>
        <v>19617532868</v>
      </c>
      <c r="I41" s="321">
        <f>+'9. mell. PMH'!I41+'12. mell. Szakrendelő'!I41+'13. mell. GAMESZ'!I41+'14. mell. Gyerekkuckó'!I41+'15. mell. Cinkotai H.'!I41+'16. mell. Napsugár'!I41+'17. mell. Sashalmi M.'!I41+'18. mell. Margaréta'!I41+'19.mell.Szentmihályi Játszókert'!I41+'20. mell. M. Fecskefészek'!I41+'21. mell. CMH'!I41+'22. mell. Bölcsőde'!I41+'23. mell. Terszoc.'!I41+'24. mell. Napraforgó'!I41+'25. mell. Kerületgazda'!I41+'26. mell. Őrszolgálat'!I41+'27. mell. KHEK'!I41+'28. mell. KIO'!I41</f>
        <v>19968595345</v>
      </c>
      <c r="J41" s="321">
        <f>+'9. mell. PMH'!J41+'12. mell. Szakrendelő'!J41+'13. mell. GAMESZ'!J41+'14. mell. Gyerekkuckó'!J41+'15. mell. Cinkotai H.'!J41+'16. mell. Napsugár'!J41+'17. mell. Sashalmi M.'!J41+'18. mell. Margaréta'!J41+'19.mell.Szentmihályi Játszókert'!J41+'20. mell. M. Fecskefészek'!J41+'21. mell. CMH'!J41+'22. mell. Bölcsőde'!J41+'23. mell. Terszoc.'!J41+'24. mell. Napraforgó'!J41+'25. mell. Kerületgazda'!J41+'26. mell. Őrszolgálat'!J41+'27. mell. KHEK'!J41+'28. mell. KIO'!J41</f>
        <v>19968595345</v>
      </c>
      <c r="K41" s="2197">
        <f>+'9. mell. PMH'!K41+'12. mell. Szakrendelő'!K41+'13. mell. GAMESZ'!K41+'14. mell. Gyerekkuckó'!K41+'15. mell. Cinkotai H.'!K41+'16. mell. Napsugár'!K41+'17. mell. Sashalmi M.'!K41+'18. mell. Margaréta'!K41+'19.mell.Szentmihályi Játszókert'!K41+'20. mell. M. Fecskefészek'!K41+'21. mell. CMH'!K41+'22. mell. Bölcsőde'!K41+'23. mell. Terszoc.'!K41+'24. mell. Napraforgó'!K41+'25. mell. Kerületgazda'!K41+'26. mell. Őrszolgálat'!K41+'27. mell. KHEK'!K41+'28. mell. KIO'!K41</f>
        <v>18199458602</v>
      </c>
      <c r="L41" s="321">
        <f>+'9. mell. PMH'!L41+'12. mell. Szakrendelő'!L41+'13. mell. GAMESZ'!L41+'14. mell. Gyerekkuckó'!L41+'15. mell. Cinkotai H.'!L41+'16. mell. Napsugár'!L41+'17. mell. Sashalmi M.'!L41+'18. mell. Margaréta'!L41+'19.mell.Szentmihályi Játszókert'!L41+'20. mell. M. Fecskefészek'!L41+'21. mell. CMH'!L41+'22. mell. Bölcsőde'!L41+'23. mell. Terszoc.'!L41+'24. mell. Napraforgó'!L41+'25. mell. Kerületgazda'!L41+'26. mell. Őrszolgálat'!L41+'27. mell. KHEK'!L41+'28. mell. KIO'!L41</f>
        <v>634595120</v>
      </c>
      <c r="M41" s="321">
        <f>+'9. mell. PMH'!M41+'12. mell. Szakrendelő'!M41+'13. mell. GAMESZ'!M41+'14. mell. Gyerekkuckó'!M41+'15. mell. Cinkotai H.'!M41+'16. mell. Napsugár'!M41+'17. mell. Sashalmi M.'!M41+'18. mell. Margaréta'!M41+'19.mell.Szentmihályi Játszókert'!M41+'20. mell. M. Fecskefészek'!M41+'21. mell. CMH'!M41+'22. mell. Bölcsőde'!M41+'23. mell. Terszoc.'!M41+'24. mell. Napraforgó'!M41+'25. mell. Kerületgazda'!M41+'26. mell. Őrszolgálat'!M41+'27. mell. KHEK'!M41+'28. mell. KIO'!M41</f>
        <v>666736964</v>
      </c>
      <c r="N41" s="321">
        <f>+'9. mell. PMH'!N41+'12. mell. Szakrendelő'!N41+'13. mell. GAMESZ'!N41+'14. mell. Gyerekkuckó'!N41+'15. mell. Cinkotai H.'!N41+'16. mell. Napsugár'!N41+'17. mell. Sashalmi M.'!N41+'18. mell. Margaréta'!N41+'19.mell.Szentmihályi Játszókert'!N41+'20. mell. M. Fecskefészek'!N41+'21. mell. CMH'!N41+'22. mell. Bölcsőde'!N41+'23. mell. Terszoc.'!N41+'24. mell. Napraforgó'!N41+'25. mell. Kerületgazda'!N41+'26. mell. Őrszolgálat'!N41+'27. mell. KHEK'!N41+'28. mell. KIO'!N41</f>
        <v>669801891</v>
      </c>
      <c r="O41" s="321">
        <f>+'9. mell. PMH'!O41+'12. mell. Szakrendelő'!O41+'13. mell. GAMESZ'!O41+'14. mell. Gyerekkuckó'!O41+'15. mell. Cinkotai H.'!O41+'16. mell. Napsugár'!O41+'17. mell. Sashalmi M.'!O41+'18. mell. Margaréta'!O41+'19.mell.Szentmihályi Játszókert'!O41+'20. mell. M. Fecskefészek'!O41+'21. mell. CMH'!O41+'22. mell. Bölcsőde'!O41+'23. mell. Terszoc.'!O41+'24. mell. Napraforgó'!O41+'25. mell. Kerületgazda'!O41+'26. mell. Őrszolgálat'!O41+'27. mell. KHEK'!O41+'28. mell. KIO'!O41</f>
        <v>681090285</v>
      </c>
      <c r="P41" s="321">
        <f>+'9. mell. PMH'!P41+'12. mell. Szakrendelő'!P41+'13. mell. GAMESZ'!P41+'14. mell. Gyerekkuckó'!P41+'15. mell. Cinkotai H.'!P41+'16. mell. Napsugár'!P41+'17. mell. Sashalmi M.'!P41+'18. mell. Margaréta'!P41+'19.mell.Szentmihályi Játszókert'!P41+'20. mell. M. Fecskefészek'!P41+'21. mell. CMH'!P41+'22. mell. Bölcsőde'!P41+'23. mell. Terszoc.'!P41+'24. mell. Napraforgó'!P41+'25. mell. Kerületgazda'!P41+'26. mell. Őrszolgálat'!P41+'27. mell. KHEK'!P41+'28. mell. KIO'!P41</f>
        <v>681090285</v>
      </c>
      <c r="Q41" s="321">
        <f>+'9. mell. PMH'!Q41+'12. mell. Szakrendelő'!Q41+'13. mell. GAMESZ'!Q41+'14. mell. Gyerekkuckó'!Q41+'15. mell. Cinkotai H.'!Q41+'16. mell. Napsugár'!Q41+'17. mell. Sashalmi M.'!Q41+'18. mell. Margaréta'!Q41+'19.mell.Szentmihályi Játszókert'!Q41+'20. mell. M. Fecskefészek'!Q41+'21. mell. CMH'!Q41+'22. mell. Bölcsőde'!Q41+'23. mell. Terszoc.'!Q41+'24. mell. Napraforgó'!Q41+'25. mell. Kerületgazda'!Q41+'26. mell. Őrszolgálat'!Q41+'27. mell. KHEK'!Q41+'28. mell. KIO'!Q41</f>
        <v>462032803</v>
      </c>
      <c r="R41" s="321">
        <f>+'9. mell. PMH'!R41+'12. mell. Szakrendelő'!R41+'13. mell. GAMESZ'!R41+'14. mell. Gyerekkuckó'!R41+'15. mell. Cinkotai H.'!R41+'16. mell. Napsugár'!R41+'17. mell. Sashalmi M.'!R41+'18. mell. Margaréta'!R41+'19.mell.Szentmihályi Játszókert'!R41+'20. mell. M. Fecskefészek'!R41+'21. mell. CMH'!R41+'22. mell. Bölcsőde'!R41+'23. mell. Terszoc.'!R41+'24. mell. Napraforgó'!R41+'25. mell. Kerületgazda'!R41+'26. mell. Őrszolgálat'!R41+'27. mell. KHEK'!R41+'28. mell. KIO'!R41</f>
        <v>18084798206</v>
      </c>
      <c r="S41" s="321">
        <f>+'9. mell. PMH'!S41+'12. mell. Szakrendelő'!S41+'13. mell. GAMESZ'!S41+'14. mell. Gyerekkuckó'!S41+'15. mell. Cinkotai H.'!S41+'16. mell. Napsugár'!S41+'17. mell. Sashalmi M.'!S41+'18. mell. Margaréta'!S41+'19.mell.Szentmihályi Játszókert'!S41+'20. mell. M. Fecskefészek'!S41+'21. mell. CMH'!S41+'22. mell. Bölcsőde'!S41+'23. mell. Terszoc.'!S41+'24. mell. Napraforgó'!S41+'25. mell. Kerületgazda'!S41+'26. mell. Őrszolgálat'!S41+'27. mell. KHEK'!S41+'28. mell. KIO'!S41</f>
        <v>18767345290</v>
      </c>
      <c r="T41" s="321">
        <f>+'9. mell. PMH'!T41+'12. mell. Szakrendelő'!T41+'13. mell. GAMESZ'!T41+'14. mell. Gyerekkuckó'!T41+'15. mell. Cinkotai H.'!T41+'16. mell. Napsugár'!T41+'17. mell. Sashalmi M.'!T41+'18. mell. Margaréta'!T41+'19.mell.Szentmihályi Játszókert'!T41+'20. mell. M. Fecskefészek'!T41+'21. mell. CMH'!T41+'22. mell. Bölcsőde'!T41+'23. mell. Terszoc.'!T41+'24. mell. Napraforgó'!T41+'25. mell. Kerületgazda'!T41+'26. mell. Őrszolgálat'!T41+'27. mell. KHEK'!T41+'28. mell. KIO'!T41</f>
        <v>18942257513</v>
      </c>
      <c r="U41" s="321">
        <f>+'9. mell. PMH'!U41+'12. mell. Szakrendelő'!U41+'13. mell. GAMESZ'!U41+'14. mell. Gyerekkuckó'!U41+'15. mell. Cinkotai H.'!U41+'16. mell. Napsugár'!U41+'17. mell. Sashalmi M.'!U41+'18. mell. Margaréta'!U41+'19.mell.Szentmihályi Játszókert'!U41+'20. mell. M. Fecskefészek'!U41+'21. mell. CMH'!U41+'22. mell. Bölcsőde'!U41+'23. mell. Terszoc.'!U41+'24. mell. Napraforgó'!U41+'25. mell. Kerületgazda'!U41+'26. mell. Őrszolgálat'!U41+'27. mell. KHEK'!U41+'28. mell. KIO'!U41</f>
        <v>19284993420</v>
      </c>
      <c r="V41" s="321">
        <f>+'9. mell. PMH'!V41+'12. mell. Szakrendelő'!V41+'13. mell. GAMESZ'!V41+'14. mell. Gyerekkuckó'!V41+'15. mell. Cinkotai H.'!V41+'16. mell. Napsugár'!V41+'17. mell. Sashalmi M.'!V41+'18. mell. Margaréta'!V41+'19.mell.Szentmihályi Játszókert'!V41+'20. mell. M. Fecskefészek'!V41+'21. mell. CMH'!V41+'22. mell. Bölcsőde'!V41+'23. mell. Terszoc.'!V41+'24. mell. Napraforgó'!V41+'25. mell. Kerületgazda'!V41+'26. mell. Őrszolgálat'!V41+'27. mell. KHEK'!V41+'28. mell. KIO'!V41</f>
        <v>19284993420</v>
      </c>
      <c r="W41" s="321">
        <f>+'9. mell. PMH'!W41+'12. mell. Szakrendelő'!W41+'13. mell. GAMESZ'!W41+'14. mell. Gyerekkuckó'!W41+'15. mell. Cinkotai H.'!W41+'16. mell. Napsugár'!W41+'17. mell. Sashalmi M.'!W41+'18. mell. Margaréta'!W41+'19.mell.Szentmihályi Játszókert'!W41+'20. mell. M. Fecskefészek'!W41+'21. mell. CMH'!W41+'22. mell. Bölcsőde'!W41+'23. mell. Terszoc.'!W41+'24. mell. Napraforgó'!W41+'25. mell. Kerületgazda'!W41+'26. mell. Őrszolgálat'!W41+'27. mell. KHEK'!W41+'28. mell. KIO'!W41</f>
        <v>17734914159</v>
      </c>
      <c r="X41" s="321">
        <f>+'9. mell. PMH'!X41+'12. mell. Szakrendelő'!X41+'13. mell. GAMESZ'!X41+'14. mell. Gyerekkuckó'!X41+'15. mell. Cinkotai H.'!X41+'16. mell. Napsugár'!X41+'17. mell. Sashalmi M.'!X41+'18. mell. Margaréta'!X41+'19.mell.Szentmihályi Játszókert'!X41+'20. mell. M. Fecskefészek'!X41+'21. mell. CMH'!X41+'22. mell. Bölcsőde'!X41+'23. mell. Terszoc.'!X41+'24. mell. Napraforgó'!X41+'25. mell. Kerületgazda'!X41+'26. mell. Őrszolgálat'!X41+'27. mell. KHEK'!X41+'28. mell. KIO'!X41</f>
        <v>3500000</v>
      </c>
      <c r="Y41" s="321">
        <f>+'9. mell. PMH'!Y41+'12. mell. Szakrendelő'!Y41+'13. mell. GAMESZ'!Y41+'14. mell. Gyerekkuckó'!Y41+'15. mell. Cinkotai H.'!Y41+'16. mell. Napsugár'!Y41+'17. mell. Sashalmi M.'!Y41+'18. mell. Margaréta'!Y41+'19.mell.Szentmihályi Játszókert'!Y41+'20. mell. M. Fecskefészek'!Y41+'21. mell. CMH'!Y41+'22. mell. Bölcsőde'!Y41+'23. mell. Terszoc.'!Y41+'24. mell. Napraforgó'!Y41+'25. mell. Kerületgazda'!Y41+'26. mell. Őrszolgálat'!Y41+'27. mell. KHEK'!Y41+'28. mell. KIO'!Y41</f>
        <v>3500000</v>
      </c>
      <c r="Z41" s="321">
        <f>+'9. mell. PMH'!Z41+'12. mell. Szakrendelő'!Z41+'13. mell. GAMESZ'!Z41+'14. mell. Gyerekkuckó'!Z41+'15. mell. Cinkotai H.'!Z41+'16. mell. Napsugár'!Z41+'17. mell. Sashalmi M.'!Z41+'18. mell. Margaréta'!Z41+'19.mell.Szentmihályi Játszókert'!Z41+'20. mell. M. Fecskefészek'!Z41+'21. mell. CMH'!Z41+'22. mell. Bölcsőde'!Z41+'23. mell. Terszoc.'!Z41+'24. mell. Napraforgó'!Z41+'25. mell. Kerületgazda'!Z41+'26. mell. Őrszolgálat'!Z41+'27. mell. KHEK'!Z41+'28. mell. KIO'!Z41</f>
        <v>5473464</v>
      </c>
      <c r="AA41" s="321">
        <f>+'9. mell. PMH'!AA41+'12. mell. Szakrendelő'!AA41+'13. mell. GAMESZ'!AA41+'14. mell. Gyerekkuckó'!AA41+'15. mell. Cinkotai H.'!AA41+'16. mell. Napsugár'!AA41+'17. mell. Sashalmi M.'!AA41+'18. mell. Margaréta'!AA41+'19.mell.Szentmihályi Játszókert'!AA41+'20. mell. M. Fecskefészek'!AA41+'21. mell. CMH'!AA41+'22. mell. Bölcsőde'!AA41+'23. mell. Terszoc.'!AA41+'24. mell. Napraforgó'!AA41+'25. mell. Kerületgazda'!AA41+'26. mell. Őrszolgálat'!AA41+'27. mell. KHEK'!AA41+'28. mell. KIO'!AA41</f>
        <v>2511640</v>
      </c>
      <c r="AB41" s="321">
        <f>+'9. mell. PMH'!AB41+'12. mell. Szakrendelő'!AB41+'13. mell. GAMESZ'!AB41+'14. mell. Gyerekkuckó'!AB41+'15. mell. Cinkotai H.'!AB41+'16. mell. Napsugár'!AB41+'17. mell. Sashalmi M.'!AB41+'18. mell. Margaréta'!AB41+'19.mell.Szentmihályi Játszókert'!AB41+'20. mell. M. Fecskefészek'!AB41+'21. mell. CMH'!AB41+'22. mell. Bölcsőde'!AB41+'23. mell. Terszoc.'!AB41+'24. mell. Napraforgó'!AB41+'25. mell. Kerületgazda'!AB41+'26. mell. Őrszolgálat'!AB41+'27. mell. KHEK'!AB41+'28. mell. KIO'!AB41</f>
        <v>2511640</v>
      </c>
      <c r="AC41" s="321">
        <f>+'9. mell. PMH'!AC41+'12. mell. Szakrendelő'!AC41+'13. mell. GAMESZ'!AC41+'14. mell. Gyerekkuckó'!AC41+'15. mell. Cinkotai H.'!AC41+'16. mell. Napsugár'!AC41+'17. mell. Sashalmi M.'!AC41+'18. mell. Margaréta'!AC41+'19.mell.Szentmihályi Játszókert'!AC41+'20. mell. M. Fecskefészek'!AC41+'21. mell. CMH'!AC41+'22. mell. Bölcsőde'!AC41+'23. mell. Terszoc.'!AC41+'24. mell. Napraforgó'!AC41+'25. mell. Kerületgazda'!AC41+'26. mell. Őrszolgálat'!AC41+'27. mell. KHEK'!AC41+'28. mell. KIO'!AC41</f>
        <v>2511640</v>
      </c>
      <c r="AD41" s="323"/>
      <c r="AE41" s="321">
        <f t="shared" ref="AE41:AE52" si="13">+G41-F41</f>
        <v>714688928</v>
      </c>
      <c r="AF41" s="321">
        <f t="shared" ref="AF41:AF52" si="14">+H41-G41</f>
        <v>179950614</v>
      </c>
      <c r="AG41" s="321">
        <f t="shared" ref="AG41:AG52" si="15">+I41-H41</f>
        <v>351062477</v>
      </c>
      <c r="AH41" s="321">
        <f t="shared" ref="AH41:AH52" si="16">+J41-I41</f>
        <v>0</v>
      </c>
      <c r="AI41" s="324">
        <f>+K41/I41</f>
        <v>0.91140404658242624</v>
      </c>
      <c r="AJ41" s="321">
        <f t="shared" ref="AJ41:AJ54" si="17">+F41-D41</f>
        <v>2176681047</v>
      </c>
      <c r="AK41" s="325">
        <f>+F41-'9. mell. PMH'!F41-'12. mell. Szakrendelő'!F41-'25. mell. Kerületgazda'!F41-'28. mell. KIO'!F41</f>
        <v>9569893118</v>
      </c>
      <c r="AL41" s="325">
        <f>+G41-'9. mell. PMH'!G41-'12. mell. Szakrendelő'!G41-'25. mell. Kerületgazda'!G41-'28. mell. KIO'!G41</f>
        <v>9922342353</v>
      </c>
      <c r="AM41" s="325">
        <f>+H41-'9. mell. PMH'!H41-'12. mell. Szakrendelő'!H41-'25. mell. Kerületgazda'!H41-'28. mell. KIO'!H41</f>
        <v>9978956509</v>
      </c>
      <c r="AN41" s="325">
        <f>+I41-'9. mell. PMH'!I41-'12. mell. Szakrendelő'!I41-'25. mell. Kerületgazda'!I41-'28. mell. KIO'!I41</f>
        <v>10187868446</v>
      </c>
      <c r="AO41" s="325">
        <f>+J41-'9. mell. PMH'!J41-'12. mell. Szakrendelő'!J41-'25. mell. Kerületgazda'!J41-'28. mell. KIO'!J41</f>
        <v>10187868446</v>
      </c>
      <c r="AP41" s="325">
        <f>+K41-'9. mell. PMH'!K41-'12. mell. Szakrendelő'!K41-'25. mell. Kerületgazda'!K41-'28. mell. KIO'!K41</f>
        <v>9272640298</v>
      </c>
      <c r="AQ41" s="1195">
        <f t="shared" si="5"/>
        <v>352449235</v>
      </c>
      <c r="AR41" s="2209">
        <f t="shared" si="6"/>
        <v>56614156</v>
      </c>
      <c r="AS41" s="1195">
        <f t="shared" si="7"/>
        <v>208911937</v>
      </c>
      <c r="AT41" s="2647">
        <v>16808840317</v>
      </c>
      <c r="AU41" s="1593">
        <f t="shared" si="8"/>
        <v>0</v>
      </c>
    </row>
    <row r="42" spans="1:47" ht="12" customHeight="1" thickBot="1">
      <c r="A42" s="319"/>
      <c r="B42" s="1440" t="s">
        <v>176</v>
      </c>
      <c r="C42" s="331" t="s">
        <v>147</v>
      </c>
      <c r="D42" s="321">
        <f>+'9. mell. PMH'!D42+'12. mell. Szakrendelő'!D42+'13. mell. GAMESZ'!D42+'14. mell. Gyerekkuckó'!D42+'15. mell. Cinkotai H.'!D42+'16. mell. Napsugár'!D42+'17. mell. Sashalmi M.'!D42+'18. mell. Margaréta'!D42+'19.mell.Szentmihályi Játszókert'!D42+'20. mell. M. Fecskefészek'!D42+'21. mell. CMH'!D42+'22. mell. Bölcsőde'!D42+'23. mell. Terszoc.'!D42+'24. mell. Napraforgó'!D42+'25. mell. Kerületgazda'!D42+'26. mell. Őrszolgálat'!D42+'27. mell. KHEK'!D42+'28. mell. KIO'!D42</f>
        <v>10226108464</v>
      </c>
      <c r="E42" s="2587">
        <f>+'9. mell. PMH'!E42+'12. mell. Szakrendelő'!E42+'13. mell. GAMESZ'!E42+'14. mell. Gyerekkuckó'!E42+'15. mell. Cinkotai H.'!E42+'16. mell. Napsugár'!E42+'17. mell. Sashalmi M.'!E42+'18. mell. Margaréta'!E42+'19.mell.Szentmihályi Játszókert'!E42+'20. mell. M. Fecskefészek'!E42+'21. mell. CMH'!E42+'22. mell. Bölcsőde'!E42+'23. mell. Terszoc.'!E42+'24. mell. Napraforgó'!E42+'25. mell. Kerületgazda'!E42+'26. mell. Őrszolgálat'!E42+'27. mell. KHEK'!E42+'28. mell. KIO'!E42</f>
        <v>10247590738</v>
      </c>
      <c r="F42" s="321">
        <f>+'9. mell. PMH'!F42+'12. mell. Szakrendelő'!F42+'13. mell. GAMESZ'!F42+'14. mell. Gyerekkuckó'!F42+'15. mell. Cinkotai H.'!F42+'16. mell. Napsugár'!F42+'17. mell. Sashalmi M.'!F42+'18. mell. Margaréta'!F42+'19.mell.Szentmihályi Játszókert'!F42+'20. mell. M. Fecskefészek'!F42+'21. mell. CMH'!F42+'22. mell. Bölcsőde'!F42+'23. mell. Terszoc.'!F42+'24. mell. Napraforgó'!F42+'25. mell. Kerületgazda'!F42+'26. mell. Őrszolgálat'!F42+'27. mell. KHEK'!F42+'28. mell. KIO'!F42</f>
        <v>11877652002</v>
      </c>
      <c r="G42" s="321">
        <f>+'9. mell. PMH'!G42+'12. mell. Szakrendelő'!G42+'13. mell. GAMESZ'!G42+'14. mell. Gyerekkuckó'!G42+'15. mell. Cinkotai H.'!G42+'16. mell. Napsugár'!G42+'17. mell. Sashalmi M.'!G42+'18. mell. Margaréta'!G42+'19.mell.Szentmihályi Játszókert'!G42+'20. mell. M. Fecskefészek'!G42+'21. mell. CMH'!G42+'22. mell. Bölcsőde'!G42+'23. mell. Terszoc.'!G42+'24. mell. Napraforgó'!G42+'25. mell. Kerületgazda'!G42+'26. mell. Őrszolgálat'!G42+'27. mell. KHEK'!G42+'28. mell. KIO'!G42</f>
        <v>11914101568</v>
      </c>
      <c r="H42" s="321">
        <f>+'9. mell. PMH'!H42+'12. mell. Szakrendelő'!H42+'13. mell. GAMESZ'!H42+'14. mell. Gyerekkuckó'!H42+'15. mell. Cinkotai H.'!H42+'16. mell. Napsugár'!H42+'17. mell. Sashalmi M.'!H42+'18. mell. Margaréta'!H42+'19.mell.Szentmihályi Játszókert'!H42+'20. mell. M. Fecskefészek'!H42+'21. mell. CMH'!H42+'22. mell. Bölcsőde'!H42+'23. mell. Terszoc.'!H42+'24. mell. Napraforgó'!H42+'25. mell. Kerületgazda'!H42+'26. mell. Őrszolgálat'!H42+'27. mell. KHEK'!H42+'28. mell. KIO'!H42</f>
        <v>11942982860</v>
      </c>
      <c r="I42" s="321">
        <f>+'9. mell. PMH'!I42+'12. mell. Szakrendelő'!I42+'13. mell. GAMESZ'!I42+'14. mell. Gyerekkuckó'!I42+'15. mell. Cinkotai H.'!I42+'16. mell. Napsugár'!I42+'17. mell. Sashalmi M.'!I42+'18. mell. Margaréta'!I42+'19.mell.Szentmihályi Játszókert'!I42+'20. mell. M. Fecskefészek'!I42+'21. mell. CMH'!I42+'22. mell. Bölcsőde'!I42+'23. mell. Terszoc.'!I42+'24. mell. Napraforgó'!I42+'25. mell. Kerületgazda'!I42+'26. mell. Őrszolgálat'!I42+'27. mell. KHEK'!I42+'28. mell. KIO'!I42</f>
        <v>12095684555</v>
      </c>
      <c r="J42" s="321">
        <f>+'9. mell. PMH'!J42+'12. mell. Szakrendelő'!J42+'13. mell. GAMESZ'!J42+'14. mell. Gyerekkuckó'!J42+'15. mell. Cinkotai H.'!J42+'16. mell. Napsugár'!J42+'17. mell. Sashalmi M.'!J42+'18. mell. Margaréta'!J42+'19.mell.Szentmihályi Játszókert'!J42+'20. mell. M. Fecskefészek'!J42+'21. mell. CMH'!J42+'22. mell. Bölcsőde'!J42+'23. mell. Terszoc.'!J42+'24. mell. Napraforgó'!J42+'25. mell. Kerületgazda'!J42+'26. mell. Őrszolgálat'!J42+'27. mell. KHEK'!J42+'28. mell. KIO'!J42</f>
        <v>12095684555</v>
      </c>
      <c r="K42" s="2197">
        <f>+'9. mell. PMH'!K42+'12. mell. Szakrendelő'!K42+'13. mell. GAMESZ'!K42+'14. mell. Gyerekkuckó'!K42+'15. mell. Cinkotai H.'!K42+'16. mell. Napsugár'!K42+'17. mell. Sashalmi M.'!K42+'18. mell. Margaréta'!K42+'19.mell.Szentmihályi Játszókert'!K42+'20. mell. M. Fecskefészek'!K42+'21. mell. CMH'!K42+'22. mell. Bölcsőde'!K42+'23. mell. Terszoc.'!K42+'24. mell. Napraforgó'!K42+'25. mell. Kerületgazda'!K42+'26. mell. Őrszolgálat'!K42+'27. mell. KHEK'!K42+'28. mell. KIO'!K42</f>
        <v>11390932509</v>
      </c>
      <c r="L42" s="321">
        <f>+'9. mell. PMH'!L42+'12. mell. Szakrendelő'!L42+'13. mell. GAMESZ'!L42+'14. mell. Gyerekkuckó'!L42+'15. mell. Cinkotai H.'!L42+'16. mell. Napsugár'!L42+'17. mell. Sashalmi M.'!L42+'18. mell. Margaréta'!L42+'19.mell.Szentmihályi Játszókert'!L42+'20. mell. M. Fecskefészek'!L42+'21. mell. CMH'!L42+'22. mell. Bölcsőde'!L42+'23. mell. Terszoc.'!L42+'24. mell. Napraforgó'!L42+'25. mell. Kerületgazda'!L42+'26. mell. Őrszolgálat'!L42+'27. mell. KHEK'!L42+'28. mell. KIO'!L42</f>
        <v>310716356</v>
      </c>
      <c r="M42" s="321">
        <f>+'9. mell. PMH'!M42+'12. mell. Szakrendelő'!M42+'13. mell. GAMESZ'!M42+'14. mell. Gyerekkuckó'!M42+'15. mell. Cinkotai H.'!M42+'16. mell. Napsugár'!M42+'17. mell. Sashalmi M.'!M42+'18. mell. Margaréta'!M42+'19.mell.Szentmihályi Játszókert'!M42+'20. mell. M. Fecskefészek'!M42+'21. mell. CMH'!M42+'22. mell. Bölcsőde'!M42+'23. mell. Terszoc.'!M42+'24. mell. Napraforgó'!M42+'25. mell. Kerületgazda'!M42+'26. mell. Őrszolgálat'!M42+'27. mell. KHEK'!M42+'28. mell. KIO'!M42</f>
        <v>314856388</v>
      </c>
      <c r="N42" s="321">
        <f>+'9. mell. PMH'!N42+'12. mell. Szakrendelő'!N42+'13. mell. GAMESZ'!N42+'14. mell. Gyerekkuckó'!N42+'15. mell. Cinkotai H.'!N42+'16. mell. Napsugár'!N42+'17. mell. Sashalmi M.'!N42+'18. mell. Margaréta'!N42+'19.mell.Szentmihályi Játszókert'!N42+'20. mell. M. Fecskefészek'!N42+'21. mell. CMH'!N42+'22. mell. Bölcsőde'!N42+'23. mell. Terszoc.'!N42+'24. mell. Napraforgó'!N42+'25. mell. Kerületgazda'!N42+'26. mell. Őrszolgálat'!N42+'27. mell. KHEK'!N42+'28. mell. KIO'!N42</f>
        <v>316624758</v>
      </c>
      <c r="O42" s="321">
        <f>+'9. mell. PMH'!O42+'12. mell. Szakrendelő'!O42+'13. mell. GAMESZ'!O42+'14. mell. Gyerekkuckó'!O42+'15. mell. Cinkotai H.'!O42+'16. mell. Napsugár'!O42+'17. mell. Sashalmi M.'!O42+'18. mell. Margaréta'!O42+'19.mell.Szentmihályi Játszókert'!O42+'20. mell. M. Fecskefészek'!O42+'21. mell. CMH'!O42+'22. mell. Bölcsőde'!O42+'23. mell. Terszoc.'!O42+'24. mell. Napraforgó'!O42+'25. mell. Kerületgazda'!O42+'26. mell. Őrszolgálat'!O42+'27. mell. KHEK'!O42+'28. mell. KIO'!O42</f>
        <v>365159633</v>
      </c>
      <c r="P42" s="321">
        <f>+'9. mell. PMH'!P42+'12. mell. Szakrendelő'!P42+'13. mell. GAMESZ'!P42+'14. mell. Gyerekkuckó'!P42+'15. mell. Cinkotai H.'!P42+'16. mell. Napsugár'!P42+'17. mell. Sashalmi M.'!P42+'18. mell. Margaréta'!P42+'19.mell.Szentmihályi Játszókert'!P42+'20. mell. M. Fecskefészek'!P42+'21. mell. CMH'!P42+'22. mell. Bölcsőde'!P42+'23. mell. Terszoc.'!P42+'24. mell. Napraforgó'!P42+'25. mell. Kerületgazda'!P42+'26. mell. Őrszolgálat'!P42+'27. mell. KHEK'!P42+'28. mell. KIO'!P42</f>
        <v>365159633</v>
      </c>
      <c r="Q42" s="321">
        <f>+'9. mell. PMH'!Q42+'12. mell. Szakrendelő'!Q42+'13. mell. GAMESZ'!Q42+'14. mell. Gyerekkuckó'!Q42+'15. mell. Cinkotai H.'!Q42+'16. mell. Napsugár'!Q42+'17. mell. Sashalmi M.'!Q42+'18. mell. Margaréta'!Q42+'19.mell.Szentmihályi Játszókert'!Q42+'20. mell. M. Fecskefészek'!Q42+'21. mell. CMH'!Q42+'22. mell. Bölcsőde'!Q42+'23. mell. Terszoc.'!Q42+'24. mell. Napraforgó'!Q42+'25. mell. Kerületgazda'!Q42+'26. mell. Őrszolgálat'!Q42+'27. mell. KHEK'!Q42+'28. mell. KIO'!Q42</f>
        <v>255864079</v>
      </c>
      <c r="R42" s="321">
        <f>+'9. mell. PMH'!R42+'12. mell. Szakrendelő'!R42+'13. mell. GAMESZ'!R42+'14. mell. Gyerekkuckó'!R42+'15. mell. Cinkotai H.'!R42+'16. mell. Napsugár'!R42+'17. mell. Sashalmi M.'!R42+'18. mell. Margaréta'!R42+'19.mell.Szentmihályi Játszókert'!R42+'20. mell. M. Fecskefészek'!R42+'21. mell. CMH'!R42+'22. mell. Bölcsőde'!R42+'23. mell. Terszoc.'!R42+'24. mell. Napraforgó'!R42+'25. mell. Kerületgazda'!R42+'26. mell. Őrszolgálat'!R42+'27. mell. KHEK'!R42+'28. mell. KIO'!R42</f>
        <v>11566935646</v>
      </c>
      <c r="S42" s="321">
        <f>+'9. mell. PMH'!S42+'12. mell. Szakrendelő'!S42+'13. mell. GAMESZ'!S42+'14. mell. Gyerekkuckó'!S42+'15. mell. Cinkotai H.'!S42+'16. mell. Napsugár'!S42+'17. mell. Sashalmi M.'!S42+'18. mell. Margaréta'!S42+'19.mell.Szentmihályi Játszókert'!S42+'20. mell. M. Fecskefészek'!S42+'21. mell. CMH'!S42+'22. mell. Bölcsőde'!S42+'23. mell. Terszoc.'!S42+'24. mell. Napraforgó'!S42+'25. mell. Kerületgazda'!S42+'26. mell. Őrszolgálat'!S42+'27. mell. KHEK'!S42+'28. mell. KIO'!S42</f>
        <v>11599245180</v>
      </c>
      <c r="T42" s="321">
        <f>+'9. mell. PMH'!T42+'12. mell. Szakrendelő'!T42+'13. mell. GAMESZ'!T42+'14. mell. Gyerekkuckó'!T42+'15. mell. Cinkotai H.'!T42+'16. mell. Napsugár'!T42+'17. mell. Sashalmi M.'!T42+'18. mell. Margaréta'!T42+'19.mell.Szentmihályi Játszókert'!T42+'20. mell. M. Fecskefészek'!T42+'21. mell. CMH'!T42+'22. mell. Bölcsőde'!T42+'23. mell. Terszoc.'!T42+'24. mell. Napraforgó'!T42+'25. mell. Kerületgazda'!T42+'26. mell. Őrszolgálat'!T42+'27. mell. KHEK'!T42+'28. mell. KIO'!T42</f>
        <v>11626358102</v>
      </c>
      <c r="U42" s="321">
        <f>+'9. mell. PMH'!U42+'12. mell. Szakrendelő'!U42+'13. mell. GAMESZ'!U42+'14. mell. Gyerekkuckó'!U42+'15. mell. Cinkotai H.'!U42+'16. mell. Napsugár'!U42+'17. mell. Sashalmi M.'!U42+'18. mell. Margaréta'!U42+'19.mell.Szentmihályi Játszókert'!U42+'20. mell. M. Fecskefészek'!U42+'21. mell. CMH'!U42+'22. mell. Bölcsőde'!U42+'23. mell. Terszoc.'!U42+'24. mell. Napraforgó'!U42+'25. mell. Kerületgazda'!U42+'26. mell. Őrszolgálat'!U42+'27. mell. KHEK'!U42+'28. mell. KIO'!U42</f>
        <v>11730524922</v>
      </c>
      <c r="V42" s="321">
        <f>+'9. mell. PMH'!V42+'12. mell. Szakrendelő'!V42+'13. mell. GAMESZ'!V42+'14. mell. Gyerekkuckó'!V42+'15. mell. Cinkotai H.'!V42+'16. mell. Napsugár'!V42+'17. mell. Sashalmi M.'!V42+'18. mell. Margaréta'!V42+'19.mell.Szentmihályi Játszókert'!V42+'20. mell. M. Fecskefészek'!V42+'21. mell. CMH'!V42+'22. mell. Bölcsőde'!V42+'23. mell. Terszoc.'!V42+'24. mell. Napraforgó'!V42+'25. mell. Kerületgazda'!V42+'26. mell. Őrszolgálat'!V42+'27. mell. KHEK'!V42+'28. mell. KIO'!V42</f>
        <v>11730524922</v>
      </c>
      <c r="W42" s="321">
        <f>+'9. mell. PMH'!W42+'12. mell. Szakrendelő'!W42+'13. mell. GAMESZ'!W42+'14. mell. Gyerekkuckó'!W42+'15. mell. Cinkotai H.'!W42+'16. mell. Napsugár'!W42+'17. mell. Sashalmi M.'!W42+'18. mell. Margaréta'!W42+'19.mell.Szentmihályi Játszókert'!W42+'20. mell. M. Fecskefészek'!W42+'21. mell. CMH'!W42+'22. mell. Bölcsőde'!W42+'23. mell. Terszoc.'!W42+'24. mell. Napraforgó'!W42+'25. mell. Kerületgazda'!W42+'26. mell. Őrszolgálat'!W42+'27. mell. KHEK'!W42+'28. mell. KIO'!W42</f>
        <v>11135068430</v>
      </c>
      <c r="X42" s="321">
        <f>+'9. mell. PMH'!X42+'12. mell. Szakrendelő'!X42+'13. mell. GAMESZ'!X42+'14. mell. Gyerekkuckó'!X42+'15. mell. Cinkotai H.'!X42+'16. mell. Napsugár'!X42+'17. mell. Sashalmi M.'!X42+'18. mell. Margaréta'!X42+'19.mell.Szentmihályi Játszókert'!X42+'20. mell. M. Fecskefészek'!X42+'21. mell. CMH'!X42+'22. mell. Bölcsőde'!X42+'23. mell. Terszoc.'!X42+'24. mell. Napraforgó'!X42+'25. mell. Kerületgazda'!X42+'26. mell. Őrszolgálat'!X42+'27. mell. KHEK'!X42+'28. mell. KIO'!X42</f>
        <v>0</v>
      </c>
      <c r="Y42" s="321">
        <f>+'9. mell. PMH'!Y42+'12. mell. Szakrendelő'!Y42+'13. mell. GAMESZ'!Y42+'14. mell. Gyerekkuckó'!Y42+'15. mell. Cinkotai H.'!Y42+'16. mell. Napsugár'!Y42+'17. mell. Sashalmi M.'!Y42+'18. mell. Margaréta'!Y42+'19.mell.Szentmihályi Játszókert'!Y42+'20. mell. M. Fecskefészek'!Y42+'21. mell. CMH'!Y42+'22. mell. Bölcsőde'!Y42+'23. mell. Terszoc.'!Y42+'24. mell. Napraforgó'!Y42+'25. mell. Kerületgazda'!Y42+'26. mell. Őrszolgálat'!Y42+'27. mell. KHEK'!Y42+'28. mell. KIO'!Y42</f>
        <v>0</v>
      </c>
      <c r="Z42" s="321">
        <f>+'9. mell. PMH'!Z42+'12. mell. Szakrendelő'!Z42+'13. mell. GAMESZ'!Z42+'14. mell. Gyerekkuckó'!Z42+'15. mell. Cinkotai H.'!Z42+'16. mell. Napsugár'!Z42+'17. mell. Sashalmi M.'!Z42+'18. mell. Margaréta'!Z42+'19.mell.Szentmihályi Játszókert'!Z42+'20. mell. M. Fecskefészek'!Z42+'21. mell. CMH'!Z42+'22. mell. Bölcsőde'!Z42+'23. mell. Terszoc.'!Z42+'24. mell. Napraforgó'!Z42+'25. mell. Kerületgazda'!Z42+'26. mell. Őrszolgálat'!Z42+'27. mell. KHEK'!Z42+'28. mell. KIO'!Z42</f>
        <v>0</v>
      </c>
      <c r="AA42" s="321">
        <f>+'9. mell. PMH'!AA42+'12. mell. Szakrendelő'!AA42+'13. mell. GAMESZ'!AA42+'14. mell. Gyerekkuckó'!AA42+'15. mell. Cinkotai H.'!AA42+'16. mell. Napsugár'!AA42+'17. mell. Sashalmi M.'!AA42+'18. mell. Margaréta'!AA42+'19.mell.Szentmihályi Játszókert'!AA42+'20. mell. M. Fecskefészek'!AA42+'21. mell. CMH'!AA42+'22. mell. Bölcsőde'!AA42+'23. mell. Terszoc.'!AA42+'24. mell. Napraforgó'!AA42+'25. mell. Kerületgazda'!AA42+'26. mell. Őrszolgálat'!AA42+'27. mell. KHEK'!AA42+'28. mell. KIO'!AA42</f>
        <v>0</v>
      </c>
      <c r="AB42" s="321">
        <f>+'9. mell. PMH'!AB42+'12. mell. Szakrendelő'!AB42+'13. mell. GAMESZ'!AB42+'14. mell. Gyerekkuckó'!AB42+'15. mell. Cinkotai H.'!AB42+'16. mell. Napsugár'!AB42+'17. mell. Sashalmi M.'!AB42+'18. mell. Margaréta'!AB42+'19.mell.Szentmihályi Játszókert'!AB42+'20. mell. M. Fecskefészek'!AB42+'21. mell. CMH'!AB42+'22. mell. Bölcsőde'!AB42+'23. mell. Terszoc.'!AB42+'24. mell. Napraforgó'!AB42+'25. mell. Kerületgazda'!AB42+'26. mell. Őrszolgálat'!AB42+'27. mell. KHEK'!AB42+'28. mell. KIO'!AB42</f>
        <v>0</v>
      </c>
      <c r="AC42" s="321">
        <f>+'9. mell. PMH'!AC42+'12. mell. Szakrendelő'!AC42+'13. mell. GAMESZ'!AC42+'14. mell. Gyerekkuckó'!AC42+'15. mell. Cinkotai H.'!AC42+'16. mell. Napsugár'!AC42+'17. mell. Sashalmi M.'!AC42+'18. mell. Margaréta'!AC42+'19.mell.Szentmihályi Játszókert'!AC42+'20. mell. M. Fecskefészek'!AC42+'21. mell. CMH'!AC42+'22. mell. Bölcsőde'!AC42+'23. mell. Terszoc.'!AC42+'24. mell. Napraforgó'!AC42+'25. mell. Kerületgazda'!AC42+'26. mell. Őrszolgálat'!AC42+'27. mell. KHEK'!AC42+'28. mell. KIO'!AC42</f>
        <v>0</v>
      </c>
      <c r="AD42" s="342"/>
      <c r="AE42" s="321">
        <f t="shared" si="13"/>
        <v>36449566</v>
      </c>
      <c r="AF42" s="321">
        <f t="shared" si="14"/>
        <v>28881292</v>
      </c>
      <c r="AG42" s="321">
        <f t="shared" si="15"/>
        <v>152701695</v>
      </c>
      <c r="AH42" s="321">
        <f t="shared" si="16"/>
        <v>0</v>
      </c>
      <c r="AI42" s="324">
        <f>+K42/I42</f>
        <v>0.94173524922914131</v>
      </c>
      <c r="AJ42" s="321">
        <f t="shared" si="17"/>
        <v>1651543538</v>
      </c>
      <c r="AK42" s="325">
        <f>+F42-'9. mell. PMH'!F42-'12. mell. Szakrendelő'!F42-'25. mell. Kerületgazda'!F42-'28. mell. KIO'!F42</f>
        <v>6344492145</v>
      </c>
      <c r="AL42" s="325">
        <f>+G42-'9. mell. PMH'!G42-'12. mell. Szakrendelő'!G42-'25. mell. Kerületgazda'!G42-'28. mell. KIO'!G42</f>
        <v>6356248393</v>
      </c>
      <c r="AM42" s="325">
        <f>+H42-'9. mell. PMH'!H42-'12. mell. Szakrendelő'!H42-'25. mell. Kerületgazda'!H42-'28. mell. KIO'!H42</f>
        <v>6369858507</v>
      </c>
      <c r="AN42" s="325">
        <f>+I42-'9. mell. PMH'!I42-'12. mell. Szakrendelő'!I42-'25. mell. Kerületgazda'!I42-'28. mell. KIO'!I42</f>
        <v>6440101741</v>
      </c>
      <c r="AO42" s="325">
        <f>+J42-'9. mell. PMH'!J42-'12. mell. Szakrendelő'!J42-'25. mell. Kerületgazda'!J42-'28. mell. KIO'!J42</f>
        <v>6440101741</v>
      </c>
      <c r="AP42" s="325">
        <f>+K42-'9. mell. PMH'!K42-'12. mell. Szakrendelő'!K42-'25. mell. Kerületgazda'!K42-'28. mell. KIO'!K42</f>
        <v>6134956910</v>
      </c>
      <c r="AQ42" s="1195">
        <f t="shared" si="5"/>
        <v>11756248</v>
      </c>
      <c r="AR42" s="2209">
        <f t="shared" si="6"/>
        <v>13610114</v>
      </c>
      <c r="AS42" s="1195">
        <f t="shared" si="7"/>
        <v>70243234</v>
      </c>
      <c r="AT42" s="2647">
        <v>10247590738</v>
      </c>
      <c r="AU42" s="1593">
        <f t="shared" si="8"/>
        <v>0</v>
      </c>
    </row>
    <row r="43" spans="1:47" ht="12" customHeight="1" thickBot="1">
      <c r="A43" s="319"/>
      <c r="B43" s="1440" t="s">
        <v>178</v>
      </c>
      <c r="C43" s="331" t="s">
        <v>8</v>
      </c>
      <c r="D43" s="321">
        <f>+'9. mell. PMH'!D43+'12. mell. Szakrendelő'!D43+'13. mell. GAMESZ'!D43+'14. mell. Gyerekkuckó'!D43+'15. mell. Cinkotai H.'!D43+'16. mell. Napsugár'!D43+'17. mell. Sashalmi M.'!D43+'18. mell. Margaréta'!D43+'19.mell.Szentmihályi Játszókert'!D43+'20. mell. M. Fecskefészek'!D43+'21. mell. CMH'!D43+'22. mell. Bölcsőde'!D43+'23. mell. Terszoc.'!D43+'24. mell. Napraforgó'!D43+'25. mell. Kerületgazda'!D43+'26. mell. Őrszolgálat'!D43+'27. mell. KHEK'!D43+'28. mell. KIO'!D43</f>
        <v>1528293627</v>
      </c>
      <c r="E43" s="2587">
        <f>+'9. mell. PMH'!E43+'12. mell. Szakrendelő'!E43+'13. mell. GAMESZ'!E43+'14. mell. Gyerekkuckó'!E43+'15. mell. Cinkotai H.'!E43+'16. mell. Napsugár'!E43+'17. mell. Sashalmi M.'!E43+'18. mell. Margaréta'!E43+'19.mell.Szentmihályi Játszókert'!E43+'20. mell. M. Fecskefészek'!E43+'21. mell. CMH'!E43+'22. mell. Bölcsőde'!E43+'23. mell. Terszoc.'!E43+'24. mell. Napraforgó'!E43+'25. mell. Kerületgazda'!E43+'26. mell. Őrszolgálat'!E43+'27. mell. KHEK'!E43+'28. mell. KIO'!E43</f>
        <v>1399748809</v>
      </c>
      <c r="F43" s="321">
        <f>+'9. mell. PMH'!F43+'12. mell. Szakrendelő'!F43+'13. mell. GAMESZ'!F43+'14. mell. Gyerekkuckó'!F43+'15. mell. Cinkotai H.'!F43+'16. mell. Napsugár'!F43+'17. mell. Sashalmi M.'!F43+'18. mell. Margaréta'!F43+'19.mell.Szentmihályi Játszókert'!F43+'20. mell. M. Fecskefészek'!F43+'21. mell. CMH'!F43+'22. mell. Bölcsőde'!F43+'23. mell. Terszoc.'!F43+'24. mell. Napraforgó'!F43+'25. mell. Kerületgazda'!F43+'26. mell. Őrszolgálat'!F43+'27. mell. KHEK'!F43+'28. mell. KIO'!F43</f>
        <v>1735799498</v>
      </c>
      <c r="G43" s="321">
        <f>+'9. mell. PMH'!G43+'12. mell. Szakrendelő'!G43+'13. mell. GAMESZ'!G43+'14. mell. Gyerekkuckó'!G43+'15. mell. Cinkotai H.'!G43+'16. mell. Napsugár'!G43+'17. mell. Sashalmi M.'!G43+'18. mell. Margaréta'!G43+'19.mell.Szentmihályi Játszókert'!G43+'20. mell. M. Fecskefészek'!G43+'21. mell. CMH'!G43+'22. mell. Bölcsőde'!G43+'23. mell. Terszoc.'!G43+'24. mell. Napraforgó'!G43+'25. mell. Kerületgazda'!G43+'26. mell. Őrszolgálat'!G43+'27. mell. KHEK'!G43+'28. mell. KIO'!G43</f>
        <v>1745527070</v>
      </c>
      <c r="H43" s="321">
        <f>+'9. mell. PMH'!H43+'12. mell. Szakrendelő'!H43+'13. mell. GAMESZ'!H43+'14. mell. Gyerekkuckó'!H43+'15. mell. Cinkotai H.'!H43+'16. mell. Napsugár'!H43+'17. mell. Sashalmi M.'!H43+'18. mell. Margaréta'!H43+'19.mell.Szentmihályi Játszókert'!H43+'20. mell. M. Fecskefészek'!H43+'21. mell. CMH'!H43+'22. mell. Bölcsőde'!H43+'23. mell. Terszoc.'!H43+'24. mell. Napraforgó'!H43+'25. mell. Kerületgazda'!H43+'26. mell. Őrszolgálat'!H43+'27. mell. KHEK'!H43+'28. mell. KIO'!H43</f>
        <v>1749789760</v>
      </c>
      <c r="I43" s="321">
        <f>+'9. mell. PMH'!I43+'12. mell. Szakrendelő'!I43+'13. mell. GAMESZ'!I43+'14. mell. Gyerekkuckó'!I43+'15. mell. Cinkotai H.'!I43+'16. mell. Napsugár'!I43+'17. mell. Sashalmi M.'!I43+'18. mell. Margaréta'!I43+'19.mell.Szentmihályi Játszókert'!I43+'20. mell. M. Fecskefészek'!I43+'21. mell. CMH'!I43+'22. mell. Bölcsőde'!I43+'23. mell. Terszoc.'!I43+'24. mell. Napraforgó'!I43+'25. mell. Kerületgazda'!I43+'26. mell. Őrszolgálat'!I43+'27. mell. KHEK'!I43+'28. mell. KIO'!I43</f>
        <v>1736824750</v>
      </c>
      <c r="J43" s="321">
        <f>+'9. mell. PMH'!J43+'12. mell. Szakrendelő'!J43+'13. mell. GAMESZ'!J43+'14. mell. Gyerekkuckó'!J43+'15. mell. Cinkotai H.'!J43+'16. mell. Napsugár'!J43+'17. mell. Sashalmi M.'!J43+'18. mell. Margaréta'!J43+'19.mell.Szentmihályi Játszókert'!J43+'20. mell. M. Fecskefészek'!J43+'21. mell. CMH'!J43+'22. mell. Bölcsőde'!J43+'23. mell. Terszoc.'!J43+'24. mell. Napraforgó'!J43+'25. mell. Kerületgazda'!J43+'26. mell. Őrszolgálat'!J43+'27. mell. KHEK'!J43+'28. mell. KIO'!J43</f>
        <v>1736824750</v>
      </c>
      <c r="K43" s="2197">
        <f>+'9. mell. PMH'!K43+'12. mell. Szakrendelő'!K43+'13. mell. GAMESZ'!K43+'14. mell. Gyerekkuckó'!K43+'15. mell. Cinkotai H.'!K43+'16. mell. Napsugár'!K43+'17. mell. Sashalmi M.'!K43+'18. mell. Margaréta'!K43+'19.mell.Szentmihályi Játszókert'!K43+'20. mell. M. Fecskefészek'!K43+'21. mell. CMH'!K43+'22. mell. Bölcsőde'!K43+'23. mell. Terszoc.'!K43+'24. mell. Napraforgó'!K43+'25. mell. Kerületgazda'!K43+'26. mell. Őrszolgálat'!K43+'27. mell. KHEK'!K43+'28. mell. KIO'!K43</f>
        <v>1560092736</v>
      </c>
      <c r="L43" s="321">
        <f>+'9. mell. PMH'!L43+'12. mell. Szakrendelő'!L43+'13. mell. GAMESZ'!L43+'14. mell. Gyerekkuckó'!L43+'15. mell. Cinkotai H.'!L43+'16. mell. Napsugár'!L43+'17. mell. Sashalmi M.'!L43+'18. mell. Margaréta'!L43+'19.mell.Szentmihályi Játszókert'!L43+'20. mell. M. Fecskefészek'!L43+'21. mell. CMH'!L43+'22. mell. Bölcsőde'!L43+'23. mell. Terszoc.'!L43+'24. mell. Napraforgó'!L43+'25. mell. Kerületgazda'!L43+'26. mell. Őrszolgálat'!L43+'27. mell. KHEK'!L43+'28. mell. KIO'!L43</f>
        <v>47821149</v>
      </c>
      <c r="M43" s="321">
        <f>+'9. mell. PMH'!M43+'12. mell. Szakrendelő'!M43+'13. mell. GAMESZ'!M43+'14. mell. Gyerekkuckó'!M43+'15. mell. Cinkotai H.'!M43+'16. mell. Napsugár'!M43+'17. mell. Sashalmi M.'!M43+'18. mell. Margaréta'!M43+'19.mell.Szentmihályi Játszókert'!M43+'20. mell. M. Fecskefészek'!M43+'21. mell. CMH'!M43+'22. mell. Bölcsőde'!M43+'23. mell. Terszoc.'!M43+'24. mell. Napraforgó'!M43+'25. mell. Kerületgazda'!M43+'26. mell. Őrszolgálat'!M43+'27. mell. KHEK'!M43+'28. mell. KIO'!M43</f>
        <v>48389013</v>
      </c>
      <c r="N43" s="321">
        <f>+'9. mell. PMH'!N43+'12. mell. Szakrendelő'!N43+'13. mell. GAMESZ'!N43+'14. mell. Gyerekkuckó'!N43+'15. mell. Cinkotai H.'!N43+'16. mell. Napsugár'!N43+'17. mell. Sashalmi M.'!N43+'18. mell. Margaréta'!N43+'19.mell.Szentmihályi Játszókert'!N43+'20. mell. M. Fecskefészek'!N43+'21. mell. CMH'!N43+'22. mell. Bölcsőde'!N43+'23. mell. Terszoc.'!N43+'24. mell. Napraforgó'!N43+'25. mell. Kerületgazda'!N43+'26. mell. Őrszolgálat'!N43+'27. mell. KHEK'!N43+'28. mell. KIO'!N43</f>
        <v>48571013</v>
      </c>
      <c r="O43" s="321">
        <f>+'9. mell. PMH'!O43+'12. mell. Szakrendelő'!O43+'13. mell. GAMESZ'!O43+'14. mell. Gyerekkuckó'!O43+'15. mell. Cinkotai H.'!O43+'16. mell. Napsugár'!O43+'17. mell. Sashalmi M.'!O43+'18. mell. Margaréta'!O43+'19.mell.Szentmihályi Játszókert'!O43+'20. mell. M. Fecskefészek'!O43+'21. mell. CMH'!O43+'22. mell. Bölcsőde'!O43+'23. mell. Terszoc.'!O43+'24. mell. Napraforgó'!O43+'25. mell. Kerületgazda'!O43+'26. mell. Őrszolgálat'!O43+'27. mell. KHEK'!O43+'28. mell. KIO'!O43</f>
        <v>52331471</v>
      </c>
      <c r="P43" s="321">
        <f>+'9. mell. PMH'!P43+'12. mell. Szakrendelő'!P43+'13. mell. GAMESZ'!P43+'14. mell. Gyerekkuckó'!P43+'15. mell. Cinkotai H.'!P43+'16. mell. Napsugár'!P43+'17. mell. Sashalmi M.'!P43+'18. mell. Margaréta'!P43+'19.mell.Szentmihályi Játszókert'!P43+'20. mell. M. Fecskefészek'!P43+'21. mell. CMH'!P43+'22. mell. Bölcsőde'!P43+'23. mell. Terszoc.'!P43+'24. mell. Napraforgó'!P43+'25. mell. Kerületgazda'!P43+'26. mell. Őrszolgálat'!P43+'27. mell. KHEK'!P43+'28. mell. KIO'!P43</f>
        <v>52331471</v>
      </c>
      <c r="Q43" s="321">
        <f>+'9. mell. PMH'!Q43+'12. mell. Szakrendelő'!Q43+'13. mell. GAMESZ'!Q43+'14. mell. Gyerekkuckó'!Q43+'15. mell. Cinkotai H.'!Q43+'16. mell. Napsugár'!Q43+'17. mell. Sashalmi M.'!Q43+'18. mell. Margaréta'!Q43+'19.mell.Szentmihályi Játszókert'!Q43+'20. mell. M. Fecskefészek'!Q43+'21. mell. CMH'!Q43+'22. mell. Bölcsőde'!Q43+'23. mell. Terszoc.'!Q43+'24. mell. Napraforgó'!Q43+'25. mell. Kerületgazda'!Q43+'26. mell. Őrszolgálat'!Q43+'27. mell. KHEK'!Q43+'28. mell. KIO'!Q43</f>
        <v>34347814</v>
      </c>
      <c r="R43" s="321">
        <f>+'9. mell. PMH'!R43+'12. mell. Szakrendelő'!R43+'13. mell. GAMESZ'!R43+'14. mell. Gyerekkuckó'!R43+'15. mell. Cinkotai H.'!R43+'16. mell. Napsugár'!R43+'17. mell. Sashalmi M.'!R43+'18. mell. Margaréta'!R43+'19.mell.Szentmihályi Játszókert'!R43+'20. mell. M. Fecskefészek'!R43+'21. mell. CMH'!R43+'22. mell. Bölcsőde'!R43+'23. mell. Terszoc.'!R43+'24. mell. Napraforgó'!R43+'25. mell. Kerületgazda'!R43+'26. mell. Őrszolgálat'!R43+'27. mell. KHEK'!R43+'28. mell. KIO'!R43</f>
        <v>1687978349</v>
      </c>
      <c r="S43" s="321">
        <f>+'9. mell. PMH'!S43+'12. mell. Szakrendelő'!S43+'13. mell. GAMESZ'!S43+'14. mell. Gyerekkuckó'!S43+'15. mell. Cinkotai H.'!S43+'16. mell. Napsugár'!S43+'17. mell. Sashalmi M.'!S43+'18. mell. Margaréta'!S43+'19.mell.Szentmihályi Játszókert'!S43+'20. mell. M. Fecskefészek'!S43+'21. mell. CMH'!S43+'22. mell. Bölcsőde'!S43+'23. mell. Terszoc.'!S43+'24. mell. Napraforgó'!S43+'25. mell. Kerületgazda'!S43+'26. mell. Őrszolgálat'!S43+'27. mell. KHEK'!S43+'28. mell. KIO'!S43</f>
        <v>1697138057</v>
      </c>
      <c r="T43" s="321">
        <f>+'9. mell. PMH'!T43+'12. mell. Szakrendelő'!T43+'13. mell. GAMESZ'!T43+'14. mell. Gyerekkuckó'!T43+'15. mell. Cinkotai H.'!T43+'16. mell. Napsugár'!T43+'17. mell. Sashalmi M.'!T43+'18. mell. Margaréta'!T43+'19.mell.Szentmihályi Játszókert'!T43+'20. mell. M. Fecskefészek'!T43+'21. mell. CMH'!T43+'22. mell. Bölcsőde'!T43+'23. mell. Terszoc.'!T43+'24. mell. Napraforgó'!T43+'25. mell. Kerületgazda'!T43+'26. mell. Őrszolgálat'!T43+'27. mell. KHEK'!T43+'28. mell. KIO'!T43</f>
        <v>1701218747</v>
      </c>
      <c r="U43" s="321">
        <f>+'9. mell. PMH'!U43+'12. mell. Szakrendelő'!U43+'13. mell. GAMESZ'!U43+'14. mell. Gyerekkuckó'!U43+'15. mell. Cinkotai H.'!U43+'16. mell. Napsugár'!U43+'17. mell. Sashalmi M.'!U43+'18. mell. Margaréta'!U43+'19.mell.Szentmihályi Játszókert'!U43+'20. mell. M. Fecskefészek'!U43+'21. mell. CMH'!U43+'22. mell. Bölcsőde'!U43+'23. mell. Terszoc.'!U43+'24. mell. Napraforgó'!U43+'25. mell. Kerületgazda'!U43+'26. mell. Őrszolgálat'!U43+'27. mell. KHEK'!U43+'28. mell. KIO'!U43</f>
        <v>1684493279</v>
      </c>
      <c r="V43" s="321">
        <f>+'9. mell. PMH'!V43+'12. mell. Szakrendelő'!V43+'13. mell. GAMESZ'!V43+'14. mell. Gyerekkuckó'!V43+'15. mell. Cinkotai H.'!V43+'16. mell. Napsugár'!V43+'17. mell. Sashalmi M.'!V43+'18. mell. Margaréta'!V43+'19.mell.Szentmihályi Játszókert'!V43+'20. mell. M. Fecskefészek'!V43+'21. mell. CMH'!V43+'22. mell. Bölcsőde'!V43+'23. mell. Terszoc.'!V43+'24. mell. Napraforgó'!V43+'25. mell. Kerületgazda'!V43+'26. mell. Őrszolgálat'!V43+'27. mell. KHEK'!V43+'28. mell. KIO'!V43</f>
        <v>1684493279</v>
      </c>
      <c r="W43" s="321">
        <f>+'9. mell. PMH'!W43+'12. mell. Szakrendelő'!W43+'13. mell. GAMESZ'!W43+'14. mell. Gyerekkuckó'!W43+'15. mell. Cinkotai H.'!W43+'16. mell. Napsugár'!W43+'17. mell. Sashalmi M.'!W43+'18. mell. Margaréta'!W43+'19.mell.Szentmihályi Játszókert'!W43+'20. mell. M. Fecskefészek'!W43+'21. mell. CMH'!W43+'22. mell. Bölcsőde'!W43+'23. mell. Terszoc.'!W43+'24. mell. Napraforgó'!W43+'25. mell. Kerületgazda'!W43+'26. mell. Őrszolgálat'!W43+'27. mell. KHEK'!W43+'28. mell. KIO'!W43</f>
        <v>1525744922</v>
      </c>
      <c r="X43" s="321">
        <f>+'9. mell. PMH'!X43+'12. mell. Szakrendelő'!X43+'13. mell. GAMESZ'!X43+'14. mell. Gyerekkuckó'!X43+'15. mell. Cinkotai H.'!X43+'16. mell. Napsugár'!X43+'17. mell. Sashalmi M.'!X43+'18. mell. Margaréta'!X43+'19.mell.Szentmihályi Játszókert'!X43+'20. mell. M. Fecskefészek'!X43+'21. mell. CMH'!X43+'22. mell. Bölcsőde'!X43+'23. mell. Terszoc.'!X43+'24. mell. Napraforgó'!X43+'25. mell. Kerületgazda'!X43+'26. mell. Őrszolgálat'!X43+'27. mell. KHEK'!X43+'28. mell. KIO'!X43</f>
        <v>0</v>
      </c>
      <c r="Y43" s="321">
        <f>+'9. mell. PMH'!Y43+'12. mell. Szakrendelő'!Y43+'13. mell. GAMESZ'!Y43+'14. mell. Gyerekkuckó'!Y43+'15. mell. Cinkotai H.'!Y43+'16. mell. Napsugár'!Y43+'17. mell. Sashalmi M.'!Y43+'18. mell. Margaréta'!Y43+'19.mell.Szentmihályi Játszókert'!Y43+'20. mell. M. Fecskefészek'!Y43+'21. mell. CMH'!Y43+'22. mell. Bölcsőde'!Y43+'23. mell. Terszoc.'!Y43+'24. mell. Napraforgó'!Y43+'25. mell. Kerületgazda'!Y43+'26. mell. Őrszolgálat'!Y43+'27. mell. KHEK'!Y43+'28. mell. KIO'!Y43</f>
        <v>0</v>
      </c>
      <c r="Z43" s="321">
        <f>+'9. mell. PMH'!Z43+'12. mell. Szakrendelő'!Z43+'13. mell. GAMESZ'!Z43+'14. mell. Gyerekkuckó'!Z43+'15. mell. Cinkotai H.'!Z43+'16. mell. Napsugár'!Z43+'17. mell. Sashalmi M.'!Z43+'18. mell. Margaréta'!Z43+'19.mell.Szentmihályi Játszókert'!Z43+'20. mell. M. Fecskefészek'!Z43+'21. mell. CMH'!Z43+'22. mell. Bölcsőde'!Z43+'23. mell. Terszoc.'!Z43+'24. mell. Napraforgó'!Z43+'25. mell. Kerületgazda'!Z43+'26. mell. Őrszolgálat'!Z43+'27. mell. KHEK'!Z43+'28. mell. KIO'!Z43</f>
        <v>0</v>
      </c>
      <c r="AA43" s="321">
        <f>+'9. mell. PMH'!AA43+'12. mell. Szakrendelő'!AA43+'13. mell. GAMESZ'!AA43+'14. mell. Gyerekkuckó'!AA43+'15. mell. Cinkotai H.'!AA43+'16. mell. Napsugár'!AA43+'17. mell. Sashalmi M.'!AA43+'18. mell. Margaréta'!AA43+'19.mell.Szentmihályi Játszókert'!AA43+'20. mell. M. Fecskefészek'!AA43+'21. mell. CMH'!AA43+'22. mell. Bölcsőde'!AA43+'23. mell. Terszoc.'!AA43+'24. mell. Napraforgó'!AA43+'25. mell. Kerületgazda'!AA43+'26. mell. Őrszolgálat'!AA43+'27. mell. KHEK'!AA43+'28. mell. KIO'!AA43</f>
        <v>0</v>
      </c>
      <c r="AB43" s="321">
        <f>+'9. mell. PMH'!AB43+'12. mell. Szakrendelő'!AB43+'13. mell. GAMESZ'!AB43+'14. mell. Gyerekkuckó'!AB43+'15. mell. Cinkotai H.'!AB43+'16. mell. Napsugár'!AB43+'17. mell. Sashalmi M.'!AB43+'18. mell. Margaréta'!AB43+'19.mell.Szentmihályi Játszókert'!AB43+'20. mell. M. Fecskefészek'!AB43+'21. mell. CMH'!AB43+'22. mell. Bölcsőde'!AB43+'23. mell. Terszoc.'!AB43+'24. mell. Napraforgó'!AB43+'25. mell. Kerületgazda'!AB43+'26. mell. Őrszolgálat'!AB43+'27. mell. KHEK'!AB43+'28. mell. KIO'!AB43</f>
        <v>0</v>
      </c>
      <c r="AC43" s="321">
        <f>+'9. mell. PMH'!AC43+'12. mell. Szakrendelő'!AC43+'13. mell. GAMESZ'!AC43+'14. mell. Gyerekkuckó'!AC43+'15. mell. Cinkotai H.'!AC43+'16. mell. Napsugár'!AC43+'17. mell. Sashalmi M.'!AC43+'18. mell. Margaréta'!AC43+'19.mell.Szentmihályi Játszókert'!AC43+'20. mell. M. Fecskefészek'!AC43+'21. mell. CMH'!AC43+'22. mell. Bölcsőde'!AC43+'23. mell. Terszoc.'!AC43+'24. mell. Napraforgó'!AC43+'25. mell. Kerületgazda'!AC43+'26. mell. Őrszolgálat'!AC43+'27. mell. KHEK'!AC43+'28. mell. KIO'!AC43</f>
        <v>0</v>
      </c>
      <c r="AD43" s="342"/>
      <c r="AE43" s="321">
        <f t="shared" si="13"/>
        <v>9727572</v>
      </c>
      <c r="AF43" s="321">
        <f t="shared" si="14"/>
        <v>4262690</v>
      </c>
      <c r="AG43" s="321">
        <f t="shared" si="15"/>
        <v>-12965010</v>
      </c>
      <c r="AH43" s="321">
        <f t="shared" si="16"/>
        <v>0</v>
      </c>
      <c r="AI43" s="324">
        <f>+K43/I43</f>
        <v>0.8982441872733562</v>
      </c>
      <c r="AJ43" s="321">
        <f t="shared" si="17"/>
        <v>207505871</v>
      </c>
      <c r="AK43" s="325">
        <f>+F43-'9. mell. PMH'!F43-'12. mell. Szakrendelő'!F43-'25. mell. Kerületgazda'!F43-'28. mell. KIO'!F43</f>
        <v>961368000</v>
      </c>
      <c r="AL43" s="325">
        <f>+G43-'9. mell. PMH'!G43-'12. mell. Szakrendelő'!G43-'25. mell. Kerületgazda'!G43-'28. mell. KIO'!G43</f>
        <v>963200850</v>
      </c>
      <c r="AM43" s="325">
        <f>+H43-'9. mell. PMH'!H43-'12. mell. Szakrendelő'!H43-'25. mell. Kerületgazda'!H43-'28. mell. KIO'!H43</f>
        <v>964623721</v>
      </c>
      <c r="AN43" s="325">
        <f>+I43-'9. mell. PMH'!I43-'12. mell. Szakrendelő'!I43-'25. mell. Kerületgazda'!I43-'28. mell. KIO'!I43</f>
        <v>967094189</v>
      </c>
      <c r="AO43" s="325">
        <f>+J43-'9. mell. PMH'!J43-'12. mell. Szakrendelő'!J43-'25. mell. Kerületgazda'!J43-'28. mell. KIO'!J43</f>
        <v>967094189</v>
      </c>
      <c r="AP43" s="325">
        <f>+K43-'9. mell. PMH'!K43-'12. mell. Szakrendelő'!K43-'25. mell. Kerületgazda'!K43-'28. mell. KIO'!K43</f>
        <v>874325084</v>
      </c>
      <c r="AQ43" s="1195">
        <f t="shared" si="5"/>
        <v>1832850</v>
      </c>
      <c r="AR43" s="2209">
        <f t="shared" si="6"/>
        <v>1422871</v>
      </c>
      <c r="AS43" s="1195">
        <f t="shared" si="7"/>
        <v>2470468</v>
      </c>
      <c r="AT43" s="2647">
        <v>1399748809</v>
      </c>
      <c r="AU43" s="1593">
        <f t="shared" si="8"/>
        <v>0</v>
      </c>
    </row>
    <row r="44" spans="1:47" ht="12" customHeight="1" thickBot="1">
      <c r="A44" s="319"/>
      <c r="B44" s="1440" t="s">
        <v>179</v>
      </c>
      <c r="C44" s="331" t="s">
        <v>317</v>
      </c>
      <c r="D44" s="321">
        <f>+'9. mell. PMH'!D44+'12. mell. Szakrendelő'!D44+'13. mell. GAMESZ'!D44+'14. mell. Gyerekkuckó'!D44+'15. mell. Cinkotai H.'!D44+'16. mell. Napsugár'!D44+'17. mell. Sashalmi M.'!D44+'18. mell. Margaréta'!D44+'19.mell.Szentmihályi Játszókert'!D44+'20. mell. M. Fecskefészek'!D44+'21. mell. CMH'!D44+'22. mell. Bölcsőde'!D44+'23. mell. Terszoc.'!D44+'24. mell. Napraforgó'!D44+'25. mell. Kerületgazda'!D44+'26. mell. Őrszolgálat'!D44+'27. mell. KHEK'!D44+'28. mell. KIO'!D44</f>
        <v>4791810188</v>
      </c>
      <c r="E44" s="2587">
        <f>+'9. mell. PMH'!E44+'12. mell. Szakrendelő'!E44+'13. mell. GAMESZ'!E44+'14. mell. Gyerekkuckó'!E44+'15. mell. Cinkotai H.'!E44+'16. mell. Napsugár'!E44+'17. mell. Sashalmi M.'!E44+'18. mell. Margaréta'!E44+'19.mell.Szentmihályi Játszókert'!E44+'20. mell. M. Fecskefészek'!E44+'21. mell. CMH'!E44+'22. mell. Bölcsőde'!E44+'23. mell. Terszoc.'!E44+'24. mell. Napraforgó'!E44+'25. mell. Kerületgazda'!E44+'26. mell. Őrszolgálat'!E44+'27. mell. KHEK'!E44+'28. mell. KIO'!E44</f>
        <v>4956758583</v>
      </c>
      <c r="F44" s="321">
        <f>+'9. mell. PMH'!F44+'12. mell. Szakrendelő'!F44+'13. mell. GAMESZ'!F44+'14. mell. Gyerekkuckó'!F44+'15. mell. Cinkotai H.'!F44+'16. mell. Napsugár'!F44+'17. mell. Sashalmi M.'!F44+'18. mell. Margaréta'!F44+'19.mell.Szentmihályi Játszókert'!F44+'20. mell. M. Fecskefészek'!F44+'21. mell. CMH'!F44+'22. mell. Bölcsőde'!F44+'23. mell. Terszoc.'!F44+'24. mell. Napraforgó'!F44+'25. mell. Kerületgazda'!F44+'26. mell. Őrszolgálat'!F44+'27. mell. KHEK'!F44+'28. mell. KIO'!F44</f>
        <v>5109441826</v>
      </c>
      <c r="G44" s="321">
        <f>+'9. mell. PMH'!G44+'12. mell. Szakrendelő'!G44+'13. mell. GAMESZ'!G44+'14. mell. Gyerekkuckó'!G44+'15. mell. Cinkotai H.'!G44+'16. mell. Napsugár'!G44+'17. mell. Sashalmi M.'!G44+'18. mell. Margaréta'!G44+'19.mell.Szentmihályi Játszókert'!G44+'20. mell. M. Fecskefészek'!G44+'21. mell. CMH'!G44+'22. mell. Bölcsőde'!G44+'23. mell. Terszoc.'!G44+'24. mell. Napraforgó'!G44+'25. mell. Kerületgazda'!G44+'26. mell. Őrszolgálat'!G44+'27. mell. KHEK'!G44+'28. mell. KIO'!G44</f>
        <v>5426115703</v>
      </c>
      <c r="H44" s="321">
        <f>+'9. mell. PMH'!H44+'12. mell. Szakrendelő'!H44+'13. mell. GAMESZ'!H44+'14. mell. Gyerekkuckó'!H44+'15. mell. Cinkotai H.'!H44+'16. mell. Napsugár'!H44+'17. mell. Sashalmi M.'!H44+'18. mell. Margaréta'!H44+'19.mell.Szentmihályi Játszókert'!H44+'20. mell. M. Fecskefészek'!H44+'21. mell. CMH'!H44+'22. mell. Bölcsőde'!H44+'23. mell. Terszoc.'!H44+'24. mell. Napraforgó'!H44+'25. mell. Kerületgazda'!H44+'26. mell. Őrszolgálat'!H44+'27. mell. KHEK'!H44+'28. mell. KIO'!H44</f>
        <v>5572922335</v>
      </c>
      <c r="I44" s="321">
        <f>+'9. mell. PMH'!I44+'12. mell. Szakrendelő'!I44+'13. mell. GAMESZ'!I44+'14. mell. Gyerekkuckó'!I44+'15. mell. Cinkotai H.'!I44+'16. mell. Napsugár'!I44+'17. mell. Sashalmi M.'!I44+'18. mell. Margaréta'!I44+'19.mell.Szentmihályi Játszókert'!I44+'20. mell. M. Fecskefészek'!I44+'21. mell. CMH'!I44+'22. mell. Bölcsőde'!I44+'23. mell. Terszoc.'!I44+'24. mell. Napraforgó'!I44+'25. mell. Kerületgazda'!I44+'26. mell. Őrszolgálat'!I44+'27. mell. KHEK'!I44+'28. mell. KIO'!I44</f>
        <v>5784248127</v>
      </c>
      <c r="J44" s="321">
        <f>+'9. mell. PMH'!J44+'12. mell. Szakrendelő'!J44+'13. mell. GAMESZ'!J44+'14. mell. Gyerekkuckó'!J44+'15. mell. Cinkotai H.'!J44+'16. mell. Napsugár'!J44+'17. mell. Sashalmi M.'!J44+'18. mell. Margaréta'!J44+'19.mell.Szentmihályi Játszókert'!J44+'20. mell. M. Fecskefészek'!J44+'21. mell. CMH'!J44+'22. mell. Bölcsőde'!J44+'23. mell. Terszoc.'!J44+'24. mell. Napraforgó'!J44+'25. mell. Kerületgazda'!J44+'26. mell. Őrszolgálat'!J44+'27. mell. KHEK'!J44+'28. mell. KIO'!J44</f>
        <v>5784248127</v>
      </c>
      <c r="K44" s="2197">
        <f>+'9. mell. PMH'!K44+'12. mell. Szakrendelő'!K44+'13. mell. GAMESZ'!K44+'14. mell. Gyerekkuckó'!K44+'15. mell. Cinkotai H.'!K44+'16. mell. Napsugár'!K44+'17. mell. Sashalmi M.'!K44+'18. mell. Margaréta'!K44+'19.mell.Szentmihályi Játszókert'!K44+'20. mell. M. Fecskefészek'!K44+'21. mell. CMH'!K44+'22. mell. Bölcsőde'!K44+'23. mell. Terszoc.'!K44+'24. mell. Napraforgó'!K44+'25. mell. Kerületgazda'!K44+'26. mell. Őrszolgálat'!K44+'27. mell. KHEK'!K44+'28. mell. KIO'!K44</f>
        <v>4896595444</v>
      </c>
      <c r="L44" s="321">
        <f>+'9. mell. PMH'!L44+'12. mell. Szakrendelő'!L44+'13. mell. GAMESZ'!L44+'14. mell. Gyerekkuckó'!L44+'15. mell. Cinkotai H.'!L44+'16. mell. Napsugár'!L44+'17. mell. Sashalmi M.'!L44+'18. mell. Margaréta'!L44+'19.mell.Szentmihályi Játszókert'!L44+'20. mell. M. Fecskefészek'!L44+'21. mell. CMH'!L44+'22. mell. Bölcsőde'!L44+'23. mell. Terszoc.'!L44+'24. mell. Napraforgó'!L44+'25. mell. Kerületgazda'!L44+'26. mell. Őrszolgálat'!L44+'27. mell. KHEK'!L44+'28. mell. KIO'!L44</f>
        <v>276057615</v>
      </c>
      <c r="M44" s="321">
        <f>+'9. mell. PMH'!M44+'12. mell. Szakrendelő'!M44+'13. mell. GAMESZ'!M44+'14. mell. Gyerekkuckó'!M44+'15. mell. Cinkotai H.'!M44+'16. mell. Napsugár'!M44+'17. mell. Sashalmi M.'!M44+'18. mell. Margaréta'!M44+'19.mell.Szentmihályi Játszókert'!M44+'20. mell. M. Fecskefészek'!M44+'21. mell. CMH'!M44+'22. mell. Bölcsőde'!M44+'23. mell. Terszoc.'!M44+'24. mell. Napraforgó'!M44+'25. mell. Kerületgazda'!M44+'26. mell. Őrszolgálat'!M44+'27. mell. KHEK'!M44+'28. mell. KIO'!M44</f>
        <v>293877560</v>
      </c>
      <c r="N44" s="321">
        <f>+'9. mell. PMH'!N44+'12. mell. Szakrendelő'!N44+'13. mell. GAMESZ'!N44+'14. mell. Gyerekkuckó'!N44+'15. mell. Cinkotai H.'!N44+'16. mell. Napsugár'!N44+'17. mell. Sashalmi M.'!N44+'18. mell. Margaréta'!N44+'19.mell.Szentmihályi Játszókert'!N44+'20. mell. M. Fecskefészek'!N44+'21. mell. CMH'!N44+'22. mell. Bölcsőde'!N44+'23. mell. Terszoc.'!N44+'24. mell. Napraforgó'!N44+'25. mell. Kerületgazda'!N44+'26. mell. Őrszolgálat'!N44+'27. mell. KHEK'!N44+'28. mell. KIO'!N44</f>
        <v>294992117</v>
      </c>
      <c r="O44" s="321">
        <f>+'9. mell. PMH'!O44+'12. mell. Szakrendelő'!O44+'13. mell. GAMESZ'!O44+'14. mell. Gyerekkuckó'!O44+'15. mell. Cinkotai H.'!O44+'16. mell. Napsugár'!O44+'17. mell. Sashalmi M.'!O44+'18. mell. Margaréta'!O44+'19.mell.Szentmihályi Játszókert'!O44+'20. mell. M. Fecskefészek'!O44+'21. mell. CMH'!O44+'22. mell. Bölcsőde'!O44+'23. mell. Terszoc.'!O44+'24. mell. Napraforgó'!O44+'25. mell. Kerületgazda'!O44+'26. mell. Őrszolgálat'!O44+'27. mell. KHEK'!O44+'28. mell. KIO'!O44</f>
        <v>253985178</v>
      </c>
      <c r="P44" s="321">
        <f>+'9. mell. PMH'!P44+'12. mell. Szakrendelő'!P44+'13. mell. GAMESZ'!P44+'14. mell. Gyerekkuckó'!P44+'15. mell. Cinkotai H.'!P44+'16. mell. Napsugár'!P44+'17. mell. Sashalmi M.'!P44+'18. mell. Margaréta'!P44+'19.mell.Szentmihályi Játszókert'!P44+'20. mell. M. Fecskefészek'!P44+'21. mell. CMH'!P44+'22. mell. Bölcsőde'!P44+'23. mell. Terszoc.'!P44+'24. mell. Napraforgó'!P44+'25. mell. Kerületgazda'!P44+'26. mell. Őrszolgálat'!P44+'27. mell. KHEK'!P44+'28. mell. KIO'!P44</f>
        <v>253985178</v>
      </c>
      <c r="Q44" s="321">
        <f>+'9. mell. PMH'!Q44+'12. mell. Szakrendelő'!Q44+'13. mell. GAMESZ'!Q44+'14. mell. Gyerekkuckó'!Q44+'15. mell. Cinkotai H.'!Q44+'16. mell. Napsugár'!Q44+'17. mell. Sashalmi M.'!Q44+'18. mell. Margaréta'!Q44+'19.mell.Szentmihályi Játszókert'!Q44+'20. mell. M. Fecskefészek'!Q44+'21. mell. CMH'!Q44+'22. mell. Bölcsőde'!Q44+'23. mell. Terszoc.'!Q44+'24. mell. Napraforgó'!Q44+'25. mell. Kerületgazda'!Q44+'26. mell. Őrszolgálat'!Q44+'27. mell. KHEK'!Q44+'28. mell. KIO'!Q44</f>
        <v>162206907</v>
      </c>
      <c r="R44" s="321">
        <f>+'9. mell. PMH'!R44+'12. mell. Szakrendelő'!R44+'13. mell. GAMESZ'!R44+'14. mell. Gyerekkuckó'!R44+'15. mell. Cinkotai H.'!R44+'16. mell. Napsugár'!R44+'17. mell. Sashalmi M.'!R44+'18. mell. Margaréta'!R44+'19.mell.Szentmihályi Játszókert'!R44+'20. mell. M. Fecskefészek'!R44+'21. mell. CMH'!R44+'22. mell. Bölcsőde'!R44+'23. mell. Terszoc.'!R44+'24. mell. Napraforgó'!R44+'25. mell. Kerületgazda'!R44+'26. mell. Őrszolgálat'!R44+'27. mell. KHEK'!R44+'28. mell. KIO'!R44</f>
        <v>4829884211</v>
      </c>
      <c r="S44" s="321">
        <f>+'9. mell. PMH'!S44+'12. mell. Szakrendelő'!S44+'13. mell. GAMESZ'!S44+'14. mell. Gyerekkuckó'!S44+'15. mell. Cinkotai H.'!S44+'16. mell. Napsugár'!S44+'17. mell. Sashalmi M.'!S44+'18. mell. Margaréta'!S44+'19.mell.Szentmihályi Játszókert'!S44+'20. mell. M. Fecskefészek'!S44+'21. mell. CMH'!S44+'22. mell. Bölcsőde'!S44+'23. mell. Terszoc.'!S44+'24. mell. Napraforgó'!S44+'25. mell. Kerületgazda'!S44+'26. mell. Őrszolgálat'!S44+'27. mell. KHEK'!S44+'28. mell. KIO'!S44</f>
        <v>5128738143</v>
      </c>
      <c r="T44" s="321">
        <f>+'9. mell. PMH'!T44+'12. mell. Szakrendelő'!T44+'13. mell. GAMESZ'!T44+'14. mell. Gyerekkuckó'!T44+'15. mell. Cinkotai H.'!T44+'16. mell. Napsugár'!T44+'17. mell. Sashalmi M.'!T44+'18. mell. Margaréta'!T44+'19.mell.Szentmihályi Játszókert'!T44+'20. mell. M. Fecskefészek'!T44+'21. mell. CMH'!T44+'22. mell. Bölcsőde'!T44+'23. mell. Terszoc.'!T44+'24. mell. Napraforgó'!T44+'25. mell. Kerületgazda'!T44+'26. mell. Őrszolgálat'!T44+'27. mell. KHEK'!T44+'28. mell. KIO'!T44</f>
        <v>5272456754</v>
      </c>
      <c r="U44" s="321">
        <f>+'9. mell. PMH'!U44+'12. mell. Szakrendelő'!U44+'13. mell. GAMESZ'!U44+'14. mell. Gyerekkuckó'!U44+'15. mell. Cinkotai H.'!U44+'16. mell. Napsugár'!U44+'17. mell. Sashalmi M.'!U44+'18. mell. Margaréta'!U44+'19.mell.Szentmihályi Játszókert'!U44+'20. mell. M. Fecskefészek'!U44+'21. mell. CMH'!U44+'22. mell. Bölcsőde'!U44+'23. mell. Terszoc.'!U44+'24. mell. Napraforgó'!U44+'25. mell. Kerületgazda'!U44+'26. mell. Őrszolgálat'!U44+'27. mell. KHEK'!U44+'28. mell. KIO'!U44</f>
        <v>5527751309</v>
      </c>
      <c r="V44" s="321">
        <f>+'9. mell. PMH'!V44+'12. mell. Szakrendelő'!V44+'13. mell. GAMESZ'!V44+'14. mell. Gyerekkuckó'!V44+'15. mell. Cinkotai H.'!V44+'16. mell. Napsugár'!V44+'17. mell. Sashalmi M.'!V44+'18. mell. Margaréta'!V44+'19.mell.Szentmihályi Játszókert'!V44+'20. mell. M. Fecskefészek'!V44+'21. mell. CMH'!V44+'22. mell. Bölcsőde'!V44+'23. mell. Terszoc.'!V44+'24. mell. Napraforgó'!V44+'25. mell. Kerületgazda'!V44+'26. mell. Őrszolgálat'!V44+'27. mell. KHEK'!V44+'28. mell. KIO'!V44</f>
        <v>5527751309</v>
      </c>
      <c r="W44" s="321">
        <f>+'9. mell. PMH'!W44+'12. mell. Szakrendelő'!W44+'13. mell. GAMESZ'!W44+'14. mell. Gyerekkuckó'!W44+'15. mell. Cinkotai H.'!W44+'16. mell. Napsugár'!W44+'17. mell. Sashalmi M.'!W44+'18. mell. Margaréta'!W44+'19.mell.Szentmihályi Játszókert'!W44+'20. mell. M. Fecskefészek'!W44+'21. mell. CMH'!W44+'22. mell. Bölcsőde'!W44+'23. mell. Terszoc.'!W44+'24. mell. Napraforgó'!W44+'25. mell. Kerületgazda'!W44+'26. mell. Őrszolgálat'!W44+'27. mell. KHEK'!W44+'28. mell. KIO'!W44</f>
        <v>4731876897</v>
      </c>
      <c r="X44" s="321">
        <f>+'9. mell. PMH'!X44+'12. mell. Szakrendelő'!X44+'13. mell. GAMESZ'!X44+'14. mell. Gyerekkuckó'!X44+'15. mell. Cinkotai H.'!X44+'16. mell. Napsugár'!X44+'17. mell. Sashalmi M.'!X44+'18. mell. Margaréta'!X44+'19.mell.Szentmihályi Játszókert'!X44+'20. mell. M. Fecskefészek'!X44+'21. mell. CMH'!X44+'22. mell. Bölcsőde'!X44+'23. mell. Terszoc.'!X44+'24. mell. Napraforgó'!X44+'25. mell. Kerületgazda'!X44+'26. mell. Őrszolgálat'!X44+'27. mell. KHEK'!X44+'28. mell. KIO'!X44</f>
        <v>3500000</v>
      </c>
      <c r="Y44" s="321">
        <f>+'9. mell. PMH'!Y44+'12. mell. Szakrendelő'!Y44+'13. mell. GAMESZ'!Y44+'14. mell. Gyerekkuckó'!Y44+'15. mell. Cinkotai H.'!Y44+'16. mell. Napsugár'!Y44+'17. mell. Sashalmi M.'!Y44+'18. mell. Margaréta'!Y44+'19.mell.Szentmihályi Játszókert'!Y44+'20. mell. M. Fecskefészek'!Y44+'21. mell. CMH'!Y44+'22. mell. Bölcsőde'!Y44+'23. mell. Terszoc.'!Y44+'24. mell. Napraforgó'!Y44+'25. mell. Kerületgazda'!Y44+'26. mell. Őrszolgálat'!Y44+'27. mell. KHEK'!Y44+'28. mell. KIO'!Y44</f>
        <v>3500000</v>
      </c>
      <c r="Z44" s="321">
        <f>+'9. mell. PMH'!Z44+'12. mell. Szakrendelő'!Z44+'13. mell. GAMESZ'!Z44+'14. mell. Gyerekkuckó'!Z44+'15. mell. Cinkotai H.'!Z44+'16. mell. Napsugár'!Z44+'17. mell. Sashalmi M.'!Z44+'18. mell. Margaréta'!Z44+'19.mell.Szentmihályi Játszókert'!Z44+'20. mell. M. Fecskefészek'!Z44+'21. mell. CMH'!Z44+'22. mell. Bölcsőde'!Z44+'23. mell. Terszoc.'!Z44+'24. mell. Napraforgó'!Z44+'25. mell. Kerületgazda'!Z44+'26. mell. Őrszolgálat'!Z44+'27. mell. KHEK'!Z44+'28. mell. KIO'!Z44</f>
        <v>5473464</v>
      </c>
      <c r="AA44" s="321">
        <f>+'9. mell. PMH'!AA44+'12. mell. Szakrendelő'!AA44+'13. mell. GAMESZ'!AA44+'14. mell. Gyerekkuckó'!AA44+'15. mell. Cinkotai H.'!AA44+'16. mell. Napsugár'!AA44+'17. mell. Sashalmi M.'!AA44+'18. mell. Margaréta'!AA44+'19.mell.Szentmihályi Játszókert'!AA44+'20. mell. M. Fecskefészek'!AA44+'21. mell. CMH'!AA44+'22. mell. Bölcsőde'!AA44+'23. mell. Terszoc.'!AA44+'24. mell. Napraforgó'!AA44+'25. mell. Kerületgazda'!AA44+'26. mell. Őrszolgálat'!AA44+'27. mell. KHEK'!AA44+'28. mell. KIO'!AA44</f>
        <v>2511640</v>
      </c>
      <c r="AB44" s="321">
        <f>+'9. mell. PMH'!AB44+'12. mell. Szakrendelő'!AB44+'13. mell. GAMESZ'!AB44+'14. mell. Gyerekkuckó'!AB44+'15. mell. Cinkotai H.'!AB44+'16. mell. Napsugár'!AB44+'17. mell. Sashalmi M.'!AB44+'18. mell. Margaréta'!AB44+'19.mell.Szentmihályi Játszókert'!AB44+'20. mell. M. Fecskefészek'!AB44+'21. mell. CMH'!AB44+'22. mell. Bölcsőde'!AB44+'23. mell. Terszoc.'!AB44+'24. mell. Napraforgó'!AB44+'25. mell. Kerületgazda'!AB44+'26. mell. Őrszolgálat'!AB44+'27. mell. KHEK'!AB44+'28. mell. KIO'!AB44</f>
        <v>2511640</v>
      </c>
      <c r="AC44" s="321">
        <f>+'9. mell. PMH'!AC44+'12. mell. Szakrendelő'!AC44+'13. mell. GAMESZ'!AC44+'14. mell. Gyerekkuckó'!AC44+'15. mell. Cinkotai H.'!AC44+'16. mell. Napsugár'!AC44+'17. mell. Sashalmi M.'!AC44+'18. mell. Margaréta'!AC44+'19.mell.Szentmihályi Játszókert'!AC44+'20. mell. M. Fecskefészek'!AC44+'21. mell. CMH'!AC44+'22. mell. Bölcsőde'!AC44+'23. mell. Terszoc.'!AC44+'24. mell. Napraforgó'!AC44+'25. mell. Kerületgazda'!AC44+'26. mell. Őrszolgálat'!AC44+'27. mell. KHEK'!AC44+'28. mell. KIO'!AC44</f>
        <v>2511640</v>
      </c>
      <c r="AD44" s="342"/>
      <c r="AE44" s="321">
        <f t="shared" si="13"/>
        <v>316673877</v>
      </c>
      <c r="AF44" s="321">
        <f t="shared" si="14"/>
        <v>146806632</v>
      </c>
      <c r="AG44" s="321">
        <f t="shared" si="15"/>
        <v>211325792</v>
      </c>
      <c r="AH44" s="321">
        <f t="shared" si="16"/>
        <v>0</v>
      </c>
      <c r="AI44" s="324">
        <f>+K44/I44</f>
        <v>0.84653966020984284</v>
      </c>
      <c r="AJ44" s="321">
        <f t="shared" si="17"/>
        <v>317631638</v>
      </c>
      <c r="AK44" s="325">
        <f>+F44-'9. mell. PMH'!F44-'12. mell. Szakrendelő'!F44-'25. mell. Kerületgazda'!F44-'28. mell. KIO'!F44</f>
        <v>2264032973</v>
      </c>
      <c r="AL44" s="325">
        <f>+G44-'9. mell. PMH'!G44-'12. mell. Szakrendelő'!G44-'25. mell. Kerületgazda'!G44-'28. mell. KIO'!G44</f>
        <v>2462785630</v>
      </c>
      <c r="AM44" s="325">
        <f>+H44-'9. mell. PMH'!H44-'12. mell. Szakrendelő'!H44-'25. mell. Kerületgazda'!H44-'28. mell. KIO'!H44</f>
        <v>2504366801</v>
      </c>
      <c r="AN44" s="325">
        <f>+I44-'9. mell. PMH'!I44-'12. mell. Szakrendelő'!I44-'25. mell. Kerületgazda'!I44-'28. mell. KIO'!I44</f>
        <v>2640565036</v>
      </c>
      <c r="AO44" s="325">
        <f>+J44-'9. mell. PMH'!J44-'12. mell. Szakrendelő'!J44-'25. mell. Kerületgazda'!J44-'28. mell. KIO'!J44</f>
        <v>2640565036</v>
      </c>
      <c r="AP44" s="325">
        <f>+K44-'9. mell. PMH'!K44-'12. mell. Szakrendelő'!K44-'25. mell. Kerületgazda'!K44-'28. mell. KIO'!K44</f>
        <v>2123250824</v>
      </c>
      <c r="AQ44" s="1195">
        <f t="shared" si="5"/>
        <v>198752657</v>
      </c>
      <c r="AR44" s="2209">
        <f t="shared" si="6"/>
        <v>41581171</v>
      </c>
      <c r="AS44" s="1195">
        <f t="shared" si="7"/>
        <v>136198235</v>
      </c>
      <c r="AT44" s="2647">
        <v>4956758583</v>
      </c>
      <c r="AU44" s="1593">
        <f t="shared" si="8"/>
        <v>0</v>
      </c>
    </row>
    <row r="45" spans="1:47" ht="12" customHeight="1" thickBot="1">
      <c r="A45" s="319"/>
      <c r="B45" s="1440" t="s">
        <v>180</v>
      </c>
      <c r="C45" s="331" t="s">
        <v>318</v>
      </c>
      <c r="D45" s="321">
        <f>+'9. mell. PMH'!D45+'12. mell. Szakrendelő'!D45+'13. mell. GAMESZ'!D45+'14. mell. Gyerekkuckó'!D45+'15. mell. Cinkotai H.'!D45+'16. mell. Napsugár'!D45+'17. mell. Sashalmi M.'!D45+'18. mell. Margaréta'!D45+'19.mell.Szentmihályi Játszókert'!D45+'20. mell. M. Fecskefészek'!D45+'21. mell. CMH'!D45+'22. mell. Bölcsőde'!D45+'23. mell. Terszoc.'!D45+'24. mell. Napraforgó'!D45+'25. mell. Kerületgazda'!D45+'26. mell. Őrszolgálat'!D45+'27. mell. KHEK'!D45+'28. mell. KIO'!D45</f>
        <v>0</v>
      </c>
      <c r="E45" s="2587">
        <f>+'9. mell. PMH'!E45+'12. mell. Szakrendelő'!E45+'13. mell. GAMESZ'!E45+'14. mell. Gyerekkuckó'!E45+'15. mell. Cinkotai H.'!E45+'16. mell. Napsugár'!E45+'17. mell. Sashalmi M.'!E45+'18. mell. Margaréta'!E45+'19.mell.Szentmihályi Játszókert'!E45+'20. mell. M. Fecskefészek'!E45+'21. mell. CMH'!E45+'22. mell. Bölcsőde'!E45+'23. mell. Terszoc.'!E45+'24. mell. Napraforgó'!E45+'25. mell. Kerületgazda'!E45+'26. mell. Őrszolgálat'!E45+'27. mell. KHEK'!E45+'28. mell. KIO'!E45</f>
        <v>0</v>
      </c>
      <c r="F45" s="321">
        <f>+'9. mell. PMH'!F45+'12. mell. Szakrendelő'!F45+'13. mell. GAMESZ'!F45+'14. mell. Gyerekkuckó'!F45+'15. mell. Cinkotai H.'!F45+'16. mell. Napsugár'!F45+'17. mell. Sashalmi M.'!F45+'18. mell. Margaréta'!F45+'19.mell.Szentmihályi Játszókert'!F45+'20. mell. M. Fecskefészek'!F45+'21. mell. CMH'!F45+'22. mell. Bölcsőde'!F45+'23. mell. Terszoc.'!F45+'24. mell. Napraforgó'!F45+'25. mell. Kerületgazda'!F45+'26. mell. Őrszolgálat'!F45+'27. mell. KHEK'!F45+'28. mell. KIO'!F45</f>
        <v>0</v>
      </c>
      <c r="G45" s="321">
        <f>+'9. mell. PMH'!G45+'12. mell. Szakrendelő'!G45+'13. mell. GAMESZ'!G45+'14. mell. Gyerekkuckó'!G45+'15. mell. Cinkotai H.'!G45+'16. mell. Napsugár'!G45+'17. mell. Sashalmi M.'!G45+'18. mell. Margaréta'!G45+'19.mell.Szentmihályi Játszókert'!G45+'20. mell. M. Fecskefészek'!G45+'21. mell. CMH'!G45+'22. mell. Bölcsőde'!G45+'23. mell. Terszoc.'!G45+'24. mell. Napraforgó'!G45+'25. mell. Kerületgazda'!G45+'26. mell. Őrszolgálat'!G45+'27. mell. KHEK'!G45+'28. mell. KIO'!G45</f>
        <v>0</v>
      </c>
      <c r="H45" s="321">
        <f>+'9. mell. PMH'!H45+'12. mell. Szakrendelő'!H45+'13. mell. GAMESZ'!H45+'14. mell. Gyerekkuckó'!H45+'15. mell. Cinkotai H.'!H45+'16. mell. Napsugár'!H45+'17. mell. Sashalmi M.'!H45+'18. mell. Margaréta'!H45+'19.mell.Szentmihályi Játszókert'!H45+'20. mell. M. Fecskefészek'!H45+'21. mell. CMH'!H45+'22. mell. Bölcsőde'!H45+'23. mell. Terszoc.'!H45+'24. mell. Napraforgó'!H45+'25. mell. Kerületgazda'!H45+'26. mell. Őrszolgálat'!H45+'27. mell. KHEK'!H45+'28. mell. KIO'!H45</f>
        <v>0</v>
      </c>
      <c r="I45" s="321">
        <f>+'9. mell. PMH'!I45+'12. mell. Szakrendelő'!I45+'13. mell. GAMESZ'!I45+'14. mell. Gyerekkuckó'!I45+'15. mell. Cinkotai H.'!I45+'16. mell. Napsugár'!I45+'17. mell. Sashalmi M.'!I45+'18. mell. Margaréta'!I45+'19.mell.Szentmihályi Játszókert'!I45+'20. mell. M. Fecskefészek'!I45+'21. mell. CMH'!I45+'22. mell. Bölcsőde'!I45+'23. mell. Terszoc.'!I45+'24. mell. Napraforgó'!I45+'25. mell. Kerületgazda'!I45+'26. mell. Őrszolgálat'!I45+'27. mell. KHEK'!I45+'28. mell. KIO'!I45</f>
        <v>0</v>
      </c>
      <c r="J45" s="321">
        <f>+'9. mell. PMH'!J45+'12. mell. Szakrendelő'!J45+'13. mell. GAMESZ'!J45+'14. mell. Gyerekkuckó'!J45+'15. mell. Cinkotai H.'!J45+'16. mell. Napsugár'!J45+'17. mell. Sashalmi M.'!J45+'18. mell. Margaréta'!J45+'19.mell.Szentmihályi Játszókert'!J45+'20. mell. M. Fecskefészek'!J45+'21. mell. CMH'!J45+'22. mell. Bölcsőde'!J45+'23. mell. Terszoc.'!J45+'24. mell. Napraforgó'!J45+'25. mell. Kerületgazda'!J45+'26. mell. Őrszolgálat'!J45+'27. mell. KHEK'!J45+'28. mell. KIO'!J45</f>
        <v>0</v>
      </c>
      <c r="K45" s="2197">
        <f>+'9. mell. PMH'!K45+'12. mell. Szakrendelő'!K45+'13. mell. GAMESZ'!K45+'14. mell. Gyerekkuckó'!K45+'15. mell. Cinkotai H.'!K45+'16. mell. Napsugár'!K45+'17. mell. Sashalmi M.'!K45+'18. mell. Margaréta'!K45+'19.mell.Szentmihályi Játszókert'!K45+'20. mell. M. Fecskefészek'!K45+'21. mell. CMH'!K45+'22. mell. Bölcsőde'!K45+'23. mell. Terszoc.'!K45+'24. mell. Napraforgó'!K45+'25. mell. Kerületgazda'!K45+'26. mell. Őrszolgálat'!K45+'27. mell. KHEK'!K45+'28. mell. KIO'!K45</f>
        <v>0</v>
      </c>
      <c r="L45" s="321">
        <f>+'9. mell. PMH'!L45+'12. mell. Szakrendelő'!L45+'13. mell. GAMESZ'!L45+'14. mell. Gyerekkuckó'!L45+'15. mell. Cinkotai H.'!L45+'16. mell. Napsugár'!L45+'17. mell. Sashalmi M.'!L45+'18. mell. Margaréta'!L45+'19.mell.Szentmihályi Játszókert'!L45+'20. mell. M. Fecskefészek'!L45+'21. mell. CMH'!L45+'22. mell. Bölcsőde'!L45+'23. mell. Terszoc.'!L45+'24. mell. Napraforgó'!L45+'25. mell. Kerületgazda'!L45+'26. mell. Őrszolgálat'!L45+'27. mell. KHEK'!L45+'28. mell. KIO'!L45</f>
        <v>0</v>
      </c>
      <c r="M45" s="321">
        <f>+'9. mell. PMH'!M45+'12. mell. Szakrendelő'!M45+'13. mell. GAMESZ'!M45+'14. mell. Gyerekkuckó'!M45+'15. mell. Cinkotai H.'!M45+'16. mell. Napsugár'!M45+'17. mell. Sashalmi M.'!M45+'18. mell. Margaréta'!M45+'19.mell.Szentmihályi Játszókert'!M45+'20. mell. M. Fecskefészek'!M45+'21. mell. CMH'!M45+'22. mell. Bölcsőde'!M45+'23. mell. Terszoc.'!M45+'24. mell. Napraforgó'!M45+'25. mell. Kerületgazda'!M45+'26. mell. Őrszolgálat'!M45+'27. mell. KHEK'!M45+'28. mell. KIO'!M45</f>
        <v>0</v>
      </c>
      <c r="N45" s="321">
        <f>+'9. mell. PMH'!N45+'12. mell. Szakrendelő'!N45+'13. mell. GAMESZ'!N45+'14. mell. Gyerekkuckó'!N45+'15. mell. Cinkotai H.'!N45+'16. mell. Napsugár'!N45+'17. mell. Sashalmi M.'!N45+'18. mell. Margaréta'!N45+'19.mell.Szentmihályi Játszókert'!N45+'20. mell. M. Fecskefészek'!N45+'21. mell. CMH'!N45+'22. mell. Bölcsőde'!N45+'23. mell. Terszoc.'!N45+'24. mell. Napraforgó'!N45+'25. mell. Kerületgazda'!N45+'26. mell. Őrszolgálat'!N45+'27. mell. KHEK'!N45+'28. mell. KIO'!N45</f>
        <v>0</v>
      </c>
      <c r="O45" s="321">
        <f>+'9. mell. PMH'!O45+'12. mell. Szakrendelő'!O45+'13. mell. GAMESZ'!O45+'14. mell. Gyerekkuckó'!O45+'15. mell. Cinkotai H.'!O45+'16. mell. Napsugár'!O45+'17. mell. Sashalmi M.'!O45+'18. mell. Margaréta'!O45+'19.mell.Szentmihályi Játszókert'!O45+'20. mell. M. Fecskefészek'!O45+'21. mell. CMH'!O45+'22. mell. Bölcsőde'!O45+'23. mell. Terszoc.'!O45+'24. mell. Napraforgó'!O45+'25. mell. Kerületgazda'!O45+'26. mell. Őrszolgálat'!O45+'27. mell. KHEK'!O45+'28. mell. KIO'!O45</f>
        <v>0</v>
      </c>
      <c r="P45" s="321">
        <f>+'9. mell. PMH'!P45+'12. mell. Szakrendelő'!P45+'13. mell. GAMESZ'!P45+'14. mell. Gyerekkuckó'!P45+'15. mell. Cinkotai H.'!P45+'16. mell. Napsugár'!P45+'17. mell. Sashalmi M.'!P45+'18. mell. Margaréta'!P45+'19.mell.Szentmihályi Játszókert'!P45+'20. mell. M. Fecskefészek'!P45+'21. mell. CMH'!P45+'22. mell. Bölcsőde'!P45+'23. mell. Terszoc.'!P45+'24. mell. Napraforgó'!P45+'25. mell. Kerületgazda'!P45+'26. mell. Őrszolgálat'!P45+'27. mell. KHEK'!P45+'28. mell. KIO'!P45</f>
        <v>0</v>
      </c>
      <c r="Q45" s="321">
        <f>+'9. mell. PMH'!Q45+'12. mell. Szakrendelő'!Q45+'13. mell. GAMESZ'!Q45+'14. mell. Gyerekkuckó'!Q45+'15. mell. Cinkotai H.'!Q45+'16. mell. Napsugár'!Q45+'17. mell. Sashalmi M.'!Q45+'18. mell. Margaréta'!Q45+'19.mell.Szentmihályi Játszókert'!Q45+'20. mell. M. Fecskefészek'!Q45+'21. mell. CMH'!Q45+'22. mell. Bölcsőde'!Q45+'23. mell. Terszoc.'!Q45+'24. mell. Napraforgó'!Q45+'25. mell. Kerületgazda'!Q45+'26. mell. Őrszolgálat'!Q45+'27. mell. KHEK'!Q45+'28. mell. KIO'!Q45</f>
        <v>0</v>
      </c>
      <c r="R45" s="321">
        <f>+'9. mell. PMH'!R45+'12. mell. Szakrendelő'!R45+'13. mell. GAMESZ'!R45+'14. mell. Gyerekkuckó'!R45+'15. mell. Cinkotai H.'!R45+'16. mell. Napsugár'!R45+'17. mell. Sashalmi M.'!R45+'18. mell. Margaréta'!R45+'19.mell.Szentmihályi Játszókert'!R45+'20. mell. M. Fecskefészek'!R45+'21. mell. CMH'!R45+'22. mell. Bölcsőde'!R45+'23. mell. Terszoc.'!R45+'24. mell. Napraforgó'!R45+'25. mell. Kerületgazda'!R45+'26. mell. Őrszolgálat'!R45+'27. mell. KHEK'!R45+'28. mell. KIO'!R45</f>
        <v>0</v>
      </c>
      <c r="S45" s="321">
        <f>+'9. mell. PMH'!S45+'12. mell. Szakrendelő'!S45+'13. mell. GAMESZ'!S45+'14. mell. Gyerekkuckó'!S45+'15. mell. Cinkotai H.'!S45+'16. mell. Napsugár'!S45+'17. mell. Sashalmi M.'!S45+'18. mell. Margaréta'!S45+'19.mell.Szentmihályi Játszókert'!S45+'20. mell. M. Fecskefészek'!S45+'21. mell. CMH'!S45+'22. mell. Bölcsőde'!S45+'23. mell. Terszoc.'!S45+'24. mell. Napraforgó'!S45+'25. mell. Kerületgazda'!S45+'26. mell. Őrszolgálat'!S45+'27. mell. KHEK'!S45+'28. mell. KIO'!S45</f>
        <v>0</v>
      </c>
      <c r="T45" s="321">
        <f>+'9. mell. PMH'!T45+'12. mell. Szakrendelő'!T45+'13. mell. GAMESZ'!T45+'14. mell. Gyerekkuckó'!T45+'15. mell. Cinkotai H.'!T45+'16. mell. Napsugár'!T45+'17. mell. Sashalmi M.'!T45+'18. mell. Margaréta'!T45+'19.mell.Szentmihályi Játszókert'!T45+'20. mell. M. Fecskefészek'!T45+'21. mell. CMH'!T45+'22. mell. Bölcsőde'!T45+'23. mell. Terszoc.'!T45+'24. mell. Napraforgó'!T45+'25. mell. Kerületgazda'!T45+'26. mell. Őrszolgálat'!T45+'27. mell. KHEK'!T45+'28. mell. KIO'!T45</f>
        <v>0</v>
      </c>
      <c r="U45" s="321">
        <f>+'9. mell. PMH'!U45+'12. mell. Szakrendelő'!U45+'13. mell. GAMESZ'!U45+'14. mell. Gyerekkuckó'!U45+'15. mell. Cinkotai H.'!U45+'16. mell. Napsugár'!U45+'17. mell. Sashalmi M.'!U45+'18. mell. Margaréta'!U45+'19.mell.Szentmihályi Játszókert'!U45+'20. mell. M. Fecskefészek'!U45+'21. mell. CMH'!U45+'22. mell. Bölcsőde'!U45+'23. mell. Terszoc.'!U45+'24. mell. Napraforgó'!U45+'25. mell. Kerületgazda'!U45+'26. mell. Őrszolgálat'!U45+'27. mell. KHEK'!U45+'28. mell. KIO'!U45</f>
        <v>0</v>
      </c>
      <c r="V45" s="321">
        <f>+'9. mell. PMH'!V45+'12. mell. Szakrendelő'!V45+'13. mell. GAMESZ'!V45+'14. mell. Gyerekkuckó'!V45+'15. mell. Cinkotai H.'!V45+'16. mell. Napsugár'!V45+'17. mell. Sashalmi M.'!V45+'18. mell. Margaréta'!V45+'19.mell.Szentmihályi Játszókert'!V45+'20. mell. M. Fecskefészek'!V45+'21. mell. CMH'!V45+'22. mell. Bölcsőde'!V45+'23. mell. Terszoc.'!V45+'24. mell. Napraforgó'!V45+'25. mell. Kerületgazda'!V45+'26. mell. Őrszolgálat'!V45+'27. mell. KHEK'!V45+'28. mell. KIO'!V45</f>
        <v>0</v>
      </c>
      <c r="W45" s="321">
        <f>+'9. mell. PMH'!W45+'12. mell. Szakrendelő'!W45+'13. mell. GAMESZ'!W45+'14. mell. Gyerekkuckó'!W45+'15. mell. Cinkotai H.'!W45+'16. mell. Napsugár'!W45+'17. mell. Sashalmi M.'!W45+'18. mell. Margaréta'!W45+'19.mell.Szentmihályi Játszókert'!W45+'20. mell. M. Fecskefészek'!W45+'21. mell. CMH'!W45+'22. mell. Bölcsőde'!W45+'23. mell. Terszoc.'!W45+'24. mell. Napraforgó'!W45+'25. mell. Kerületgazda'!W45+'26. mell. Őrszolgálat'!W45+'27. mell. KHEK'!W45+'28. mell. KIO'!W45</f>
        <v>0</v>
      </c>
      <c r="X45" s="321">
        <f>+'9. mell. PMH'!X45+'12. mell. Szakrendelő'!X45+'13. mell. GAMESZ'!X45+'14. mell. Gyerekkuckó'!X45+'15. mell. Cinkotai H.'!X45+'16. mell. Napsugár'!X45+'17. mell. Sashalmi M.'!X45+'18. mell. Margaréta'!X45+'19.mell.Szentmihályi Játszókert'!X45+'20. mell. M. Fecskefészek'!X45+'21. mell. CMH'!X45+'22. mell. Bölcsőde'!X45+'23. mell. Terszoc.'!X45+'24. mell. Napraforgó'!X45+'25. mell. Kerületgazda'!X45+'26. mell. Őrszolgálat'!X45+'27. mell. KHEK'!X45+'28. mell. KIO'!X45</f>
        <v>0</v>
      </c>
      <c r="Y45" s="321">
        <f>+'9. mell. PMH'!Y45+'12. mell. Szakrendelő'!Y45+'13. mell. GAMESZ'!Y45+'14. mell. Gyerekkuckó'!Y45+'15. mell. Cinkotai H.'!Y45+'16. mell. Napsugár'!Y45+'17. mell. Sashalmi M.'!Y45+'18. mell. Margaréta'!Y45+'19.mell.Szentmihályi Játszókert'!Y45+'20. mell. M. Fecskefészek'!Y45+'21. mell. CMH'!Y45+'22. mell. Bölcsőde'!Y45+'23. mell. Terszoc.'!Y45+'24. mell. Napraforgó'!Y45+'25. mell. Kerületgazda'!Y45+'26. mell. Őrszolgálat'!Y45+'27. mell. KHEK'!Y45+'28. mell. KIO'!Y45</f>
        <v>0</v>
      </c>
      <c r="Z45" s="321">
        <f>+'9. mell. PMH'!Z45+'12. mell. Szakrendelő'!Z45+'13. mell. GAMESZ'!Z45+'14. mell. Gyerekkuckó'!Z45+'15. mell. Cinkotai H.'!Z45+'16. mell. Napsugár'!Z45+'17. mell. Sashalmi M.'!Z45+'18. mell. Margaréta'!Z45+'19.mell.Szentmihályi Játszókert'!Z45+'20. mell. M. Fecskefészek'!Z45+'21. mell. CMH'!Z45+'22. mell. Bölcsőde'!Z45+'23. mell. Terszoc.'!Z45+'24. mell. Napraforgó'!Z45+'25. mell. Kerületgazda'!Z45+'26. mell. Őrszolgálat'!Z45+'27. mell. KHEK'!Z45+'28. mell. KIO'!Z45</f>
        <v>0</v>
      </c>
      <c r="AA45" s="321">
        <f>+'9. mell. PMH'!AA45+'12. mell. Szakrendelő'!AA45+'13. mell. GAMESZ'!AA45+'14. mell. Gyerekkuckó'!AA45+'15. mell. Cinkotai H.'!AA45+'16. mell. Napsugár'!AA45+'17. mell. Sashalmi M.'!AA45+'18. mell. Margaréta'!AA45+'19.mell.Szentmihályi Játszókert'!AA45+'20. mell. M. Fecskefészek'!AA45+'21. mell. CMH'!AA45+'22. mell. Bölcsőde'!AA45+'23. mell. Terszoc.'!AA45+'24. mell. Napraforgó'!AA45+'25. mell. Kerületgazda'!AA45+'26. mell. Őrszolgálat'!AA45+'27. mell. KHEK'!AA45+'28. mell. KIO'!AA45</f>
        <v>0</v>
      </c>
      <c r="AB45" s="321">
        <f>+'9. mell. PMH'!AB45+'12. mell. Szakrendelő'!AB45+'13. mell. GAMESZ'!AB45+'14. mell. Gyerekkuckó'!AB45+'15. mell. Cinkotai H.'!AB45+'16. mell. Napsugár'!AB45+'17. mell. Sashalmi M.'!AB45+'18. mell. Margaréta'!AB45+'19.mell.Szentmihályi Játszókert'!AB45+'20. mell. M. Fecskefészek'!AB45+'21. mell. CMH'!AB45+'22. mell. Bölcsőde'!AB45+'23. mell. Terszoc.'!AB45+'24. mell. Napraforgó'!AB45+'25. mell. Kerületgazda'!AB45+'26. mell. Őrszolgálat'!AB45+'27. mell. KHEK'!AB45+'28. mell. KIO'!AB45</f>
        <v>0</v>
      </c>
      <c r="AC45" s="321">
        <f>+'9. mell. PMH'!AC45+'12. mell. Szakrendelő'!AC45+'13. mell. GAMESZ'!AC45+'14. mell. Gyerekkuckó'!AC45+'15. mell. Cinkotai H.'!AC45+'16. mell. Napsugár'!AC45+'17. mell. Sashalmi M.'!AC45+'18. mell. Margaréta'!AC45+'19.mell.Szentmihályi Játszókert'!AC45+'20. mell. M. Fecskefészek'!AC45+'21. mell. CMH'!AC45+'22. mell. Bölcsőde'!AC45+'23. mell. Terszoc.'!AC45+'24. mell. Napraforgó'!AC45+'25. mell. Kerületgazda'!AC45+'26. mell. Őrszolgálat'!AC45+'27. mell. KHEK'!AC45+'28. mell. KIO'!AC45</f>
        <v>0</v>
      </c>
      <c r="AD45" s="342"/>
      <c r="AE45" s="321">
        <f t="shared" si="13"/>
        <v>0</v>
      </c>
      <c r="AF45" s="321">
        <f t="shared" si="14"/>
        <v>0</v>
      </c>
      <c r="AG45" s="321">
        <f t="shared" si="15"/>
        <v>0</v>
      </c>
      <c r="AH45" s="321">
        <f t="shared" si="16"/>
        <v>0</v>
      </c>
      <c r="AI45" s="324"/>
      <c r="AJ45" s="321">
        <f t="shared" si="17"/>
        <v>0</v>
      </c>
      <c r="AK45" s="325">
        <f>+F45-'9. mell. PMH'!F45-'12. mell. Szakrendelő'!F45-'25. mell. Kerületgazda'!F45-'28. mell. KIO'!F45</f>
        <v>0</v>
      </c>
      <c r="AL45" s="325">
        <f>+G45-'9. mell. PMH'!G45-'12. mell. Szakrendelő'!G45-'25. mell. Kerületgazda'!G45-'28. mell. KIO'!G45</f>
        <v>0</v>
      </c>
      <c r="AM45" s="325">
        <f>+H45-'9. mell. PMH'!H45-'12. mell. Szakrendelő'!H45-'25. mell. Kerületgazda'!H45-'28. mell. KIO'!H45</f>
        <v>0</v>
      </c>
      <c r="AN45" s="325">
        <f>+I45-'9. mell. PMH'!I45-'12. mell. Szakrendelő'!I45-'25. mell. Kerületgazda'!I45-'28. mell. KIO'!I45</f>
        <v>0</v>
      </c>
      <c r="AO45" s="325">
        <f>+J45-'9. mell. PMH'!J45-'12. mell. Szakrendelő'!J45-'25. mell. Kerületgazda'!J45-'28. mell. KIO'!J45</f>
        <v>0</v>
      </c>
      <c r="AP45" s="325">
        <f>+K45-'9. mell. PMH'!K45-'12. mell. Szakrendelő'!K45-'25. mell. Kerületgazda'!K45-'28. mell. KIO'!K45</f>
        <v>0</v>
      </c>
      <c r="AQ45" s="1195">
        <f t="shared" si="5"/>
        <v>0</v>
      </c>
      <c r="AR45" s="2209">
        <f t="shared" si="6"/>
        <v>0</v>
      </c>
      <c r="AS45" s="1195">
        <f t="shared" si="7"/>
        <v>0</v>
      </c>
      <c r="AT45" s="2647">
        <v>0</v>
      </c>
      <c r="AU45" s="1593">
        <f t="shared" si="8"/>
        <v>0</v>
      </c>
    </row>
    <row r="46" spans="1:47" ht="12" customHeight="1" thickBot="1">
      <c r="A46" s="319"/>
      <c r="B46" s="1438" t="s">
        <v>181</v>
      </c>
      <c r="C46" s="328" t="s">
        <v>151</v>
      </c>
      <c r="D46" s="321">
        <f>+'9. mell. PMH'!D46+'12. mell. Szakrendelő'!D46+'13. mell. GAMESZ'!D46+'14. mell. Gyerekkuckó'!D46+'15. mell. Cinkotai H.'!D46+'16. mell. Napsugár'!D46+'17. mell. Sashalmi M.'!D46+'18. mell. Margaréta'!D46+'19.mell.Szentmihályi Játszókert'!D46+'20. mell. M. Fecskefészek'!D46+'21. mell. CMH'!D46+'22. mell. Bölcsőde'!D46+'23. mell. Terszoc.'!D46+'24. mell. Napraforgó'!D46+'25. mell. Kerületgazda'!D46+'26. mell. Őrszolgálat'!D46+'27. mell. KHEK'!D46+'28. mell. KIO'!D46</f>
        <v>0</v>
      </c>
      <c r="E46" s="2587">
        <f>+'9. mell. PMH'!E46+'12. mell. Szakrendelő'!E46+'13. mell. GAMESZ'!E46+'14. mell. Gyerekkuckó'!E46+'15. mell. Cinkotai H.'!E46+'16. mell. Napsugár'!E46+'17. mell. Sashalmi M.'!E46+'18. mell. Margaréta'!E46+'19.mell.Szentmihályi Játszókert'!E46+'20. mell. M. Fecskefészek'!E46+'21. mell. CMH'!E46+'22. mell. Bölcsőde'!E46+'23. mell. Terszoc.'!E46+'24. mell. Napraforgó'!E46+'25. mell. Kerületgazda'!E46+'26. mell. Őrszolgálat'!E46+'27. mell. KHEK'!E46+'28. mell. KIO'!E46</f>
        <v>204742187</v>
      </c>
      <c r="F46" s="321">
        <f>+'9. mell. PMH'!F46+'12. mell. Szakrendelő'!F46+'13. mell. GAMESZ'!F46+'14. mell. Gyerekkuckó'!F46+'15. mell. Cinkotai H.'!F46+'16. mell. Napsugár'!F46+'17. mell. Sashalmi M.'!F46+'18. mell. Margaréta'!F46+'19.mell.Szentmihályi Játszókert'!F46+'20. mell. M. Fecskefészek'!F46+'21. mell. CMH'!F46+'22. mell. Bölcsőde'!F46+'23. mell. Terszoc.'!F46+'24. mell. Napraforgó'!F46+'25. mell. Kerületgazda'!F46+'26. mell. Őrszolgálat'!F46+'27. mell. KHEK'!F46+'28. mell. KIO'!F46</f>
        <v>0</v>
      </c>
      <c r="G46" s="321">
        <f>+'9. mell. PMH'!G46+'12. mell. Szakrendelő'!G46+'13. mell. GAMESZ'!G46+'14. mell. Gyerekkuckó'!G46+'15. mell. Cinkotai H.'!G46+'16. mell. Napsugár'!G46+'17. mell. Sashalmi M.'!G46+'18. mell. Margaréta'!G46+'19.mell.Szentmihályi Játszókert'!G46+'20. mell. M. Fecskefészek'!G46+'21. mell. CMH'!G46+'22. mell. Bölcsőde'!G46+'23. mell. Terszoc.'!G46+'24. mell. Napraforgó'!G46+'25. mell. Kerületgazda'!G46+'26. mell. Őrszolgálat'!G46+'27. mell. KHEK'!G46+'28. mell. KIO'!G46</f>
        <v>351837913</v>
      </c>
      <c r="H46" s="321">
        <f>+'9. mell. PMH'!H46+'12. mell. Szakrendelő'!H46+'13. mell. GAMESZ'!H46+'14. mell. Gyerekkuckó'!H46+'15. mell. Cinkotai H.'!H46+'16. mell. Napsugár'!H46+'17. mell. Sashalmi M.'!H46+'18. mell. Margaréta'!H46+'19.mell.Szentmihályi Játszókert'!H46+'20. mell. M. Fecskefészek'!H46+'21. mell. CMH'!H46+'22. mell. Bölcsőde'!H46+'23. mell. Terszoc.'!H46+'24. mell. Napraforgó'!H46+'25. mell. Kerületgazda'!H46+'26. mell. Őrszolgálat'!H46+'27. mell. KHEK'!H46+'28. mell. KIO'!H46</f>
        <v>351837913</v>
      </c>
      <c r="I46" s="321">
        <f>+'9. mell. PMH'!I46+'12. mell. Szakrendelő'!I46+'13. mell. GAMESZ'!I46+'14. mell. Gyerekkuckó'!I46+'15. mell. Cinkotai H.'!I46+'16. mell. Napsugár'!I46+'17. mell. Sashalmi M.'!I46+'18. mell. Margaréta'!I46+'19.mell.Szentmihályi Játszókert'!I46+'20. mell. M. Fecskefészek'!I46+'21. mell. CMH'!I46+'22. mell. Bölcsőde'!I46+'23. mell. Terszoc.'!I46+'24. mell. Napraforgó'!I46+'25. mell. Kerületgazda'!I46+'26. mell. Őrszolgálat'!I46+'27. mell. KHEK'!I46+'28. mell. KIO'!I46</f>
        <v>351837913</v>
      </c>
      <c r="J46" s="321">
        <f>+'9. mell. PMH'!J46+'12. mell. Szakrendelő'!J46+'13. mell. GAMESZ'!J46+'14. mell. Gyerekkuckó'!J46+'15. mell. Cinkotai H.'!J46+'16. mell. Napsugár'!J46+'17. mell. Sashalmi M.'!J46+'18. mell. Margaréta'!J46+'19.mell.Szentmihályi Játszókert'!J46+'20. mell. M. Fecskefészek'!J46+'21. mell. CMH'!J46+'22. mell. Bölcsőde'!J46+'23. mell. Terszoc.'!J46+'24. mell. Napraforgó'!J46+'25. mell. Kerületgazda'!J46+'26. mell. Őrszolgálat'!J46+'27. mell. KHEK'!J46+'28. mell. KIO'!J46</f>
        <v>351837913</v>
      </c>
      <c r="K46" s="2197">
        <f>+'9. mell. PMH'!K46+'12. mell. Szakrendelő'!K46+'13. mell. GAMESZ'!K46+'14. mell. Gyerekkuckó'!K46+'15. mell. Cinkotai H.'!K46+'16. mell. Napsugár'!K46+'17. mell. Sashalmi M.'!K46+'18. mell. Margaréta'!K46+'19.mell.Szentmihályi Játszókert'!K46+'20. mell. M. Fecskefészek'!K46+'21. mell. CMH'!K46+'22. mell. Bölcsőde'!K46+'23. mell. Terszoc.'!K46+'24. mell. Napraforgó'!K46+'25. mell. Kerületgazda'!K46+'26. mell. Őrszolgálat'!K46+'27. mell. KHEK'!K46+'28. mell. KIO'!K46</f>
        <v>351837913</v>
      </c>
      <c r="L46" s="321">
        <f>+'9. mell. PMH'!L46+'12. mell. Szakrendelő'!L46+'13. mell. GAMESZ'!L46+'14. mell. Gyerekkuckó'!L46+'15. mell. Cinkotai H.'!L46+'16. mell. Napsugár'!L46+'17. mell. Sashalmi M.'!L46+'18. mell. Margaréta'!L46+'19.mell.Szentmihályi Játszókert'!L46+'20. mell. M. Fecskefészek'!L46+'21. mell. CMH'!L46+'22. mell. Bölcsőde'!L46+'23. mell. Terszoc.'!L46+'24. mell. Napraforgó'!L46+'25. mell. Kerületgazda'!L46+'26. mell. Őrszolgálat'!L46+'27. mell. KHEK'!L46+'28. mell. KIO'!L46</f>
        <v>0</v>
      </c>
      <c r="M46" s="321">
        <f>+'9. mell. PMH'!M46+'12. mell. Szakrendelő'!M46+'13. mell. GAMESZ'!M46+'14. mell. Gyerekkuckó'!M46+'15. mell. Cinkotai H.'!M46+'16. mell. Napsugár'!M46+'17. mell. Sashalmi M.'!M46+'18. mell. Margaréta'!M46+'19.mell.Szentmihályi Játszókert'!M46+'20. mell. M. Fecskefészek'!M46+'21. mell. CMH'!M46+'22. mell. Bölcsőde'!M46+'23. mell. Terszoc.'!M46+'24. mell. Napraforgó'!M46+'25. mell. Kerületgazda'!M46+'26. mell. Őrszolgálat'!M46+'27. mell. KHEK'!M46+'28. mell. KIO'!M46</f>
        <v>9614003</v>
      </c>
      <c r="N46" s="321">
        <f>+'9. mell. PMH'!N46+'12. mell. Szakrendelő'!N46+'13. mell. GAMESZ'!N46+'14. mell. Gyerekkuckó'!N46+'15. mell. Cinkotai H.'!N46+'16. mell. Napsugár'!N46+'17. mell. Sashalmi M.'!N46+'18. mell. Margaréta'!N46+'19.mell.Szentmihályi Játszókert'!N46+'20. mell. M. Fecskefészek'!N46+'21. mell. CMH'!N46+'22. mell. Bölcsőde'!N46+'23. mell. Terszoc.'!N46+'24. mell. Napraforgó'!N46+'25. mell. Kerületgazda'!N46+'26. mell. Őrszolgálat'!N46+'27. mell. KHEK'!N46+'28. mell. KIO'!N46</f>
        <v>9614003</v>
      </c>
      <c r="O46" s="321">
        <f>+'9. mell. PMH'!O46+'12. mell. Szakrendelő'!O46+'13. mell. GAMESZ'!O46+'14. mell. Gyerekkuckó'!O46+'15. mell. Cinkotai H.'!O46+'16. mell. Napsugár'!O46+'17. mell. Sashalmi M.'!O46+'18. mell. Margaréta'!O46+'19.mell.Szentmihályi Játszókert'!O46+'20. mell. M. Fecskefészek'!O46+'21. mell. CMH'!O46+'22. mell. Bölcsőde'!O46+'23. mell. Terszoc.'!O46+'24. mell. Napraforgó'!O46+'25. mell. Kerületgazda'!O46+'26. mell. Őrszolgálat'!O46+'27. mell. KHEK'!O46+'28. mell. KIO'!O46</f>
        <v>9614003</v>
      </c>
      <c r="P46" s="321">
        <f>+'9. mell. PMH'!P46+'12. mell. Szakrendelő'!P46+'13. mell. GAMESZ'!P46+'14. mell. Gyerekkuckó'!P46+'15. mell. Cinkotai H.'!P46+'16. mell. Napsugár'!P46+'17. mell. Sashalmi M.'!P46+'18. mell. Margaréta'!P46+'19.mell.Szentmihályi Játszókert'!P46+'20. mell. M. Fecskefészek'!P46+'21. mell. CMH'!P46+'22. mell. Bölcsőde'!P46+'23. mell. Terszoc.'!P46+'24. mell. Napraforgó'!P46+'25. mell. Kerületgazda'!P46+'26. mell. Őrszolgálat'!P46+'27. mell. KHEK'!P46+'28. mell. KIO'!P46</f>
        <v>9614003</v>
      </c>
      <c r="Q46" s="321">
        <f>+'9. mell. PMH'!Q46+'12. mell. Szakrendelő'!Q46+'13. mell. GAMESZ'!Q46+'14. mell. Gyerekkuckó'!Q46+'15. mell. Cinkotai H.'!Q46+'16. mell. Napsugár'!Q46+'17. mell. Sashalmi M.'!Q46+'18. mell. Margaréta'!Q46+'19.mell.Szentmihályi Játszókert'!Q46+'20. mell. M. Fecskefészek'!Q46+'21. mell. CMH'!Q46+'22. mell. Bölcsőde'!Q46+'23. mell. Terszoc.'!Q46+'24. mell. Napraforgó'!Q46+'25. mell. Kerületgazda'!Q46+'26. mell. Őrszolgálat'!Q46+'27. mell. KHEK'!Q46+'28. mell. KIO'!Q46</f>
        <v>9614003</v>
      </c>
      <c r="R46" s="321">
        <f>+'9. mell. PMH'!R46+'12. mell. Szakrendelő'!R46+'13. mell. GAMESZ'!R46+'14. mell. Gyerekkuckó'!R46+'15. mell. Cinkotai H.'!R46+'16. mell. Napsugár'!R46+'17. mell. Sashalmi M.'!R46+'18. mell. Margaréta'!R46+'19.mell.Szentmihályi Játszókert'!R46+'20. mell. M. Fecskefészek'!R46+'21. mell. CMH'!R46+'22. mell. Bölcsőde'!R46+'23. mell. Terszoc.'!R46+'24. mell. Napraforgó'!R46+'25. mell. Kerületgazda'!R46+'26. mell. Őrszolgálat'!R46+'27. mell. KHEK'!R46+'28. mell. KIO'!R46</f>
        <v>0</v>
      </c>
      <c r="S46" s="321">
        <f>+'9. mell. PMH'!S46+'12. mell. Szakrendelő'!S46+'13. mell. GAMESZ'!S46+'14. mell. Gyerekkuckó'!S46+'15. mell. Cinkotai H.'!S46+'16. mell. Napsugár'!S46+'17. mell. Sashalmi M.'!S46+'18. mell. Margaréta'!S46+'19.mell.Szentmihályi Játszókert'!S46+'20. mell. M. Fecskefészek'!S46+'21. mell. CMH'!S46+'22. mell. Bölcsőde'!S46+'23. mell. Terszoc.'!S46+'24. mell. Napraforgó'!S46+'25. mell. Kerületgazda'!S46+'26. mell. Őrszolgálat'!S46+'27. mell. KHEK'!S46+'28. mell. KIO'!S46</f>
        <v>342223910</v>
      </c>
      <c r="T46" s="321">
        <f>+'9. mell. PMH'!T46+'12. mell. Szakrendelő'!T46+'13. mell. GAMESZ'!T46+'14. mell. Gyerekkuckó'!T46+'15. mell. Cinkotai H.'!T46+'16. mell. Napsugár'!T46+'17. mell. Sashalmi M.'!T46+'18. mell. Margaréta'!T46+'19.mell.Szentmihályi Játszókert'!T46+'20. mell. M. Fecskefészek'!T46+'21. mell. CMH'!T46+'22. mell. Bölcsőde'!T46+'23. mell. Terszoc.'!T46+'24. mell. Napraforgó'!T46+'25. mell. Kerületgazda'!T46+'26. mell. Őrszolgálat'!T46+'27. mell. KHEK'!T46+'28. mell. KIO'!T46</f>
        <v>342223910</v>
      </c>
      <c r="U46" s="321">
        <f>+'9. mell. PMH'!U46+'12. mell. Szakrendelő'!U46+'13. mell. GAMESZ'!U46+'14. mell. Gyerekkuckó'!U46+'15. mell. Cinkotai H.'!U46+'16. mell. Napsugár'!U46+'17. mell. Sashalmi M.'!U46+'18. mell. Margaréta'!U46+'19.mell.Szentmihályi Játszókert'!U46+'20. mell. M. Fecskefészek'!U46+'21. mell. CMH'!U46+'22. mell. Bölcsőde'!U46+'23. mell. Terszoc.'!U46+'24. mell. Napraforgó'!U46+'25. mell. Kerületgazda'!U46+'26. mell. Őrszolgálat'!U46+'27. mell. KHEK'!U46+'28. mell. KIO'!U46</f>
        <v>342223910</v>
      </c>
      <c r="V46" s="321">
        <f>+'9. mell. PMH'!V46+'12. mell. Szakrendelő'!V46+'13. mell. GAMESZ'!V46+'14. mell. Gyerekkuckó'!V46+'15. mell. Cinkotai H.'!V46+'16. mell. Napsugár'!V46+'17. mell. Sashalmi M.'!V46+'18. mell. Margaréta'!V46+'19.mell.Szentmihályi Játszókert'!V46+'20. mell. M. Fecskefészek'!V46+'21. mell. CMH'!V46+'22. mell. Bölcsőde'!V46+'23. mell. Terszoc.'!V46+'24. mell. Napraforgó'!V46+'25. mell. Kerületgazda'!V46+'26. mell. Őrszolgálat'!V46+'27. mell. KHEK'!V46+'28. mell. KIO'!V46</f>
        <v>342223910</v>
      </c>
      <c r="W46" s="321">
        <f>+'9. mell. PMH'!W46+'12. mell. Szakrendelő'!W46+'13. mell. GAMESZ'!W46+'14. mell. Gyerekkuckó'!W46+'15. mell. Cinkotai H.'!W46+'16. mell. Napsugár'!W46+'17. mell. Sashalmi M.'!W46+'18. mell. Margaréta'!W46+'19.mell.Szentmihályi Játszókert'!W46+'20. mell. M. Fecskefészek'!W46+'21. mell. CMH'!W46+'22. mell. Bölcsőde'!W46+'23. mell. Terszoc.'!W46+'24. mell. Napraforgó'!W46+'25. mell. Kerületgazda'!W46+'26. mell. Őrszolgálat'!W46+'27. mell. KHEK'!W46+'28. mell. KIO'!W46</f>
        <v>342223910</v>
      </c>
      <c r="X46" s="321">
        <f>+'9. mell. PMH'!X46+'12. mell. Szakrendelő'!X46+'13. mell. GAMESZ'!X46+'14. mell. Gyerekkuckó'!X46+'15. mell. Cinkotai H.'!X46+'16. mell. Napsugár'!X46+'17. mell. Sashalmi M.'!X46+'18. mell. Margaréta'!X46+'19.mell.Szentmihályi Játszókert'!X46+'20. mell. M. Fecskefészek'!X46+'21. mell. CMH'!X46+'22. mell. Bölcsőde'!X46+'23. mell. Terszoc.'!X46+'24. mell. Napraforgó'!X46+'25. mell. Kerületgazda'!X46+'26. mell. Őrszolgálat'!X46+'27. mell. KHEK'!X46+'28. mell. KIO'!X46</f>
        <v>0</v>
      </c>
      <c r="Y46" s="321">
        <f>+'9. mell. PMH'!Y46+'12. mell. Szakrendelő'!Y46+'13. mell. GAMESZ'!Y46+'14. mell. Gyerekkuckó'!Y46+'15. mell. Cinkotai H.'!Y46+'16. mell. Napsugár'!Y46+'17. mell. Sashalmi M.'!Y46+'18. mell. Margaréta'!Y46+'19.mell.Szentmihályi Játszókert'!Y46+'20. mell. M. Fecskefészek'!Y46+'21. mell. CMH'!Y46+'22. mell. Bölcsőde'!Y46+'23. mell. Terszoc.'!Y46+'24. mell. Napraforgó'!Y46+'25. mell. Kerületgazda'!Y46+'26. mell. Őrszolgálat'!Y46+'27. mell. KHEK'!Y46+'28. mell. KIO'!Y46</f>
        <v>0</v>
      </c>
      <c r="Z46" s="321">
        <f>+'9. mell. PMH'!Z46+'12. mell. Szakrendelő'!Z46+'13. mell. GAMESZ'!Z46+'14. mell. Gyerekkuckó'!Z46+'15. mell. Cinkotai H.'!Z46+'16. mell. Napsugár'!Z46+'17. mell. Sashalmi M.'!Z46+'18. mell. Margaréta'!Z46+'19.mell.Szentmihályi Játszókert'!Z46+'20. mell. M. Fecskefészek'!Z46+'21. mell. CMH'!Z46+'22. mell. Bölcsőde'!Z46+'23. mell. Terszoc.'!Z46+'24. mell. Napraforgó'!Z46+'25. mell. Kerületgazda'!Z46+'26. mell. Őrszolgálat'!Z46+'27. mell. KHEK'!Z46+'28. mell. KIO'!Z46</f>
        <v>0</v>
      </c>
      <c r="AA46" s="321">
        <f>+'9. mell. PMH'!AA46+'12. mell. Szakrendelő'!AA46+'13. mell. GAMESZ'!AA46+'14. mell. Gyerekkuckó'!AA46+'15. mell. Cinkotai H.'!AA46+'16. mell. Napsugár'!AA46+'17. mell. Sashalmi M.'!AA46+'18. mell. Margaréta'!AA46+'19.mell.Szentmihályi Játszókert'!AA46+'20. mell. M. Fecskefészek'!AA46+'21. mell. CMH'!AA46+'22. mell. Bölcsőde'!AA46+'23. mell. Terszoc.'!AA46+'24. mell. Napraforgó'!AA46+'25. mell. Kerületgazda'!AA46+'26. mell. Őrszolgálat'!AA46+'27. mell. KHEK'!AA46+'28. mell. KIO'!AA46</f>
        <v>0</v>
      </c>
      <c r="AB46" s="321">
        <f>+'9. mell. PMH'!AB46+'12. mell. Szakrendelő'!AB46+'13. mell. GAMESZ'!AB46+'14. mell. Gyerekkuckó'!AB46+'15. mell. Cinkotai H.'!AB46+'16. mell. Napsugár'!AB46+'17. mell. Sashalmi M.'!AB46+'18. mell. Margaréta'!AB46+'19.mell.Szentmihályi Játszókert'!AB46+'20. mell. M. Fecskefészek'!AB46+'21. mell. CMH'!AB46+'22. mell. Bölcsőde'!AB46+'23. mell. Terszoc.'!AB46+'24. mell. Napraforgó'!AB46+'25. mell. Kerületgazda'!AB46+'26. mell. Őrszolgálat'!AB46+'27. mell. KHEK'!AB46+'28. mell. KIO'!AB46</f>
        <v>0</v>
      </c>
      <c r="AC46" s="321">
        <f>+'9. mell. PMH'!AC46+'12. mell. Szakrendelő'!AC46+'13. mell. GAMESZ'!AC46+'14. mell. Gyerekkuckó'!AC46+'15. mell. Cinkotai H.'!AC46+'16. mell. Napsugár'!AC46+'17. mell. Sashalmi M.'!AC46+'18. mell. Margaréta'!AC46+'19.mell.Szentmihályi Játszókert'!AC46+'20. mell. M. Fecskefészek'!AC46+'21. mell. CMH'!AC46+'22. mell. Bölcsőde'!AC46+'23. mell. Terszoc.'!AC46+'24. mell. Napraforgó'!AC46+'25. mell. Kerületgazda'!AC46+'26. mell. Őrszolgálat'!AC46+'27. mell. KHEK'!AC46+'28. mell. KIO'!AC46</f>
        <v>0</v>
      </c>
      <c r="AD46" s="342"/>
      <c r="AE46" s="321">
        <f t="shared" si="13"/>
        <v>351837913</v>
      </c>
      <c r="AF46" s="321">
        <f t="shared" si="14"/>
        <v>0</v>
      </c>
      <c r="AG46" s="321">
        <f t="shared" si="15"/>
        <v>0</v>
      </c>
      <c r="AH46" s="321">
        <f t="shared" si="16"/>
        <v>0</v>
      </c>
      <c r="AI46" s="324">
        <f>+K46/I46</f>
        <v>1</v>
      </c>
      <c r="AJ46" s="321">
        <f t="shared" si="17"/>
        <v>0</v>
      </c>
      <c r="AK46" s="325">
        <f>+F46-'9. mell. PMH'!F46-'12. mell. Szakrendelő'!F46-'25. mell. Kerületgazda'!F46-'28. mell. KIO'!F46</f>
        <v>0</v>
      </c>
      <c r="AL46" s="325">
        <f>+G46-'9. mell. PMH'!G46-'12. mell. Szakrendelő'!G46-'25. mell. Kerületgazda'!G46-'28. mell. KIO'!G46</f>
        <v>140107480</v>
      </c>
      <c r="AM46" s="325">
        <f>+H46-'9. mell. PMH'!H46-'12. mell. Szakrendelő'!H46-'25. mell. Kerületgazda'!H46-'28. mell. KIO'!H46</f>
        <v>140107480</v>
      </c>
      <c r="AN46" s="325">
        <f>+I46-'9. mell. PMH'!I46-'12. mell. Szakrendelő'!I46-'25. mell. Kerületgazda'!I46-'28. mell. KIO'!I46</f>
        <v>140107480</v>
      </c>
      <c r="AO46" s="325">
        <f>+J46-'9. mell. PMH'!J46-'12. mell. Szakrendelő'!J46-'25. mell. Kerületgazda'!J46-'28. mell. KIO'!J46</f>
        <v>140107480</v>
      </c>
      <c r="AP46" s="325">
        <f>+K46-'9. mell. PMH'!K46-'12. mell. Szakrendelő'!K46-'25. mell. Kerületgazda'!K46-'28. mell. KIO'!K46</f>
        <v>140107480</v>
      </c>
      <c r="AQ46" s="1195">
        <f t="shared" si="5"/>
        <v>140107480</v>
      </c>
      <c r="AR46" s="2209">
        <f t="shared" si="6"/>
        <v>0</v>
      </c>
      <c r="AS46" s="1195">
        <f t="shared" si="7"/>
        <v>0</v>
      </c>
      <c r="AT46" s="2647">
        <v>204742187</v>
      </c>
      <c r="AU46" s="1593">
        <f t="shared" si="8"/>
        <v>0</v>
      </c>
    </row>
    <row r="47" spans="1:47" ht="12" customHeight="1" thickBot="1">
      <c r="A47" s="319" t="s">
        <v>12</v>
      </c>
      <c r="B47" s="1439" t="s">
        <v>3413</v>
      </c>
      <c r="C47" s="335" t="s">
        <v>1292</v>
      </c>
      <c r="D47" s="321">
        <f>+'9. mell. PMH'!D47+'12. mell. Szakrendelő'!D47+'13. mell. GAMESZ'!D47+'14. mell. Gyerekkuckó'!D47+'15. mell. Cinkotai H.'!D47+'16. mell. Napsugár'!D47+'17. mell. Sashalmi M.'!D47+'18. mell. Margaréta'!D47+'19.mell.Szentmihályi Játszókert'!D47+'20. mell. M. Fecskefészek'!D47+'21. mell. CMH'!D47+'22. mell. Bölcsőde'!D47+'23. mell. Terszoc.'!D47+'24. mell. Napraforgó'!D47+'25. mell. Kerületgazda'!D47+'26. mell. Őrszolgálat'!D47+'27. mell. KHEK'!D47+'28. mell. KIO'!D47</f>
        <v>251985920.93000001</v>
      </c>
      <c r="E47" s="2587">
        <f>+'9. mell. PMH'!E47+'12. mell. Szakrendelő'!E47+'13. mell. GAMESZ'!E47+'14. mell. Gyerekkuckó'!E47+'15. mell. Cinkotai H.'!E47+'16. mell. Napsugár'!E47+'17. mell. Sashalmi M.'!E47+'18. mell. Margaréta'!E47+'19.mell.Szentmihályi Játszókert'!E47+'20. mell. M. Fecskefészek'!E47+'21. mell. CMH'!E47+'22. mell. Bölcsőde'!E47+'23. mell. Terszoc.'!E47+'24. mell. Napraforgó'!E47+'25. mell. Kerületgazda'!E47+'26. mell. Őrszolgálat'!E47+'27. mell. KHEK'!E47+'28. mell. KIO'!E47</f>
        <v>439157960</v>
      </c>
      <c r="F47" s="321">
        <f>+'9. mell. PMH'!F47+'12. mell. Szakrendelő'!F47+'13. mell. GAMESZ'!F47+'14. mell. Gyerekkuckó'!F47+'15. mell. Cinkotai H.'!F47+'16. mell. Napsugár'!F47+'17. mell. Sashalmi M.'!F47+'18. mell. Margaréta'!F47+'19.mell.Szentmihályi Játszókert'!F47+'20. mell. M. Fecskefészek'!F47+'21. mell. CMH'!F47+'22. mell. Bölcsőde'!F47+'23. mell. Terszoc.'!F47+'24. mell. Napraforgó'!F47+'25. mell. Kerületgazda'!F47+'26. mell. Őrszolgálat'!F47+'27. mell. KHEK'!F47+'28. mell. KIO'!F47</f>
        <v>186421206</v>
      </c>
      <c r="G47" s="321">
        <f>+'9. mell. PMH'!G47+'12. mell. Szakrendelő'!G47+'13. mell. GAMESZ'!G47+'14. mell. Gyerekkuckó'!G47+'15. mell. Cinkotai H.'!G47+'16. mell. Napsugár'!G47+'17. mell. Sashalmi M.'!G47+'18. mell. Margaréta'!G47+'19.mell.Szentmihályi Játszókert'!G47+'20. mell. M. Fecskefészek'!G47+'21. mell. CMH'!G47+'22. mell. Bölcsőde'!G47+'23. mell. Terszoc.'!G47+'24. mell. Napraforgó'!G47+'25. mell. Kerületgazda'!G47+'26. mell. Őrszolgálat'!G47+'27. mell. KHEK'!G47+'28. mell. KIO'!G47</f>
        <v>212850025</v>
      </c>
      <c r="H47" s="321">
        <f>+'9. mell. PMH'!H47+'12. mell. Szakrendelő'!H47+'13. mell. GAMESZ'!H47+'14. mell. Gyerekkuckó'!H47+'15. mell. Cinkotai H.'!H47+'16. mell. Napsugár'!H47+'17. mell. Sashalmi M.'!H47+'18. mell. Margaréta'!H47+'19.mell.Szentmihályi Játszókert'!H47+'20. mell. M. Fecskefészek'!H47+'21. mell. CMH'!H47+'22. mell. Bölcsőde'!H47+'23. mell. Terszoc.'!H47+'24. mell. Napraforgó'!H47+'25. mell. Kerületgazda'!H47+'26. mell. Őrszolgálat'!H47+'27. mell. KHEK'!H47+'28. mell. KIO'!H47</f>
        <v>218955796</v>
      </c>
      <c r="I47" s="321">
        <f>+'9. mell. PMH'!I47+'12. mell. Szakrendelő'!I47+'13. mell. GAMESZ'!I47+'14. mell. Gyerekkuckó'!I47+'15. mell. Cinkotai H.'!I47+'16. mell. Napsugár'!I47+'17. mell. Sashalmi M.'!I47+'18. mell. Margaréta'!I47+'19.mell.Szentmihályi Játszókert'!I47+'20. mell. M. Fecskefészek'!I47+'21. mell. CMH'!I47+'22. mell. Bölcsőde'!I47+'23. mell. Terszoc.'!I47+'24. mell. Napraforgó'!I47+'25. mell. Kerületgazda'!I47+'26. mell. Őrszolgálat'!I47+'27. mell. KHEK'!I47+'28. mell. KIO'!I47</f>
        <v>149883601</v>
      </c>
      <c r="J47" s="321">
        <f>+'9. mell. PMH'!J47+'12. mell. Szakrendelő'!J47+'13. mell. GAMESZ'!J47+'14. mell. Gyerekkuckó'!J47+'15. mell. Cinkotai H.'!J47+'16. mell. Napsugár'!J47+'17. mell. Sashalmi M.'!J47+'18. mell. Margaréta'!J47+'19.mell.Szentmihályi Játszókert'!J47+'20. mell. M. Fecskefészek'!J47+'21. mell. CMH'!J47+'22. mell. Bölcsőde'!J47+'23. mell. Terszoc.'!J47+'24. mell. Napraforgó'!J47+'25. mell. Kerületgazda'!J47+'26. mell. Őrszolgálat'!J47+'27. mell. KHEK'!J47+'28. mell. KIO'!J47</f>
        <v>149883601</v>
      </c>
      <c r="K47" s="2197">
        <f>+'9. mell. PMH'!K47+'12. mell. Szakrendelő'!K47+'13. mell. GAMESZ'!K47+'14. mell. Gyerekkuckó'!K47+'15. mell. Cinkotai H.'!K47+'16. mell. Napsugár'!K47+'17. mell. Sashalmi M.'!K47+'18. mell. Margaréta'!K47+'19.mell.Szentmihályi Játszókert'!K47+'20. mell. M. Fecskefészek'!K47+'21. mell. CMH'!K47+'22. mell. Bölcsőde'!K47+'23. mell. Terszoc.'!K47+'24. mell. Napraforgó'!K47+'25. mell. Kerületgazda'!K47+'26. mell. Őrszolgálat'!K47+'27. mell. KHEK'!K47+'28. mell. KIO'!K47</f>
        <v>102690668</v>
      </c>
      <c r="L47" s="321">
        <f>+'9. mell. PMH'!L47+'12. mell. Szakrendelő'!L47+'13. mell. GAMESZ'!L47+'14. mell. Gyerekkuckó'!L47+'15. mell. Cinkotai H.'!L47+'16. mell. Napsugár'!L47+'17. mell. Sashalmi M.'!L47+'18. mell. Margaréta'!L47+'19.mell.Szentmihályi Játszókert'!L47+'20. mell. M. Fecskefészek'!L47+'21. mell. CMH'!L47+'22. mell. Bölcsőde'!L47+'23. mell. Terszoc.'!L47+'24. mell. Napraforgó'!L47+'25. mell. Kerületgazda'!L47+'26. mell. Őrszolgálat'!L47+'27. mell. KHEK'!L47+'28. mell. KIO'!L47</f>
        <v>135889845</v>
      </c>
      <c r="M47" s="321">
        <f>+'9. mell. PMH'!M47+'12. mell. Szakrendelő'!M47+'13. mell. GAMESZ'!M47+'14. mell. Gyerekkuckó'!M47+'15. mell. Cinkotai H.'!M47+'16. mell. Napsugár'!M47+'17. mell. Sashalmi M.'!M47+'18. mell. Margaréta'!M47+'19.mell.Szentmihályi Játszókert'!M47+'20. mell. M. Fecskefészek'!M47+'21. mell. CMH'!M47+'22. mell. Bölcsőde'!M47+'23. mell. Terszoc.'!M47+'24. mell. Napraforgó'!M47+'25. mell. Kerületgazda'!M47+'26. mell. Őrszolgálat'!M47+'27. mell. KHEK'!M47+'28. mell. KIO'!M47</f>
        <v>136678671</v>
      </c>
      <c r="N47" s="321">
        <f>+'9. mell. PMH'!N47+'12. mell. Szakrendelő'!N47+'13. mell. GAMESZ'!N47+'14. mell. Gyerekkuckó'!N47+'15. mell. Cinkotai H.'!N47+'16. mell. Napsugár'!N47+'17. mell. Sashalmi M.'!N47+'18. mell. Margaréta'!N47+'19.mell.Szentmihályi Játszókert'!N47+'20. mell. M. Fecskefészek'!N47+'21. mell. CMH'!N47+'22. mell. Bölcsőde'!N47+'23. mell. Terszoc.'!N47+'24. mell. Napraforgó'!N47+'25. mell. Kerületgazda'!N47+'26. mell. Őrszolgálat'!N47+'27. mell. KHEK'!N47+'28. mell. KIO'!N47</f>
        <v>136678671</v>
      </c>
      <c r="O47" s="321">
        <f>+'9. mell. PMH'!O47+'12. mell. Szakrendelő'!O47+'13. mell. GAMESZ'!O47+'14. mell. Gyerekkuckó'!O47+'15. mell. Cinkotai H.'!O47+'16. mell. Napsugár'!O47+'17. mell. Sashalmi M.'!O47+'18. mell. Margaréta'!O47+'19.mell.Szentmihályi Játszókert'!O47+'20. mell. M. Fecskefészek'!O47+'21. mell. CMH'!O47+'22. mell. Bölcsőde'!O47+'23. mell. Terszoc.'!O47+'24. mell. Napraforgó'!O47+'25. mell. Kerületgazda'!O47+'26. mell. Őrszolgálat'!O47+'27. mell. KHEK'!O47+'28. mell. KIO'!O47</f>
        <v>29364133</v>
      </c>
      <c r="P47" s="321">
        <f>+'9. mell. PMH'!P47+'12. mell. Szakrendelő'!P47+'13. mell. GAMESZ'!P47+'14. mell. Gyerekkuckó'!P47+'15. mell. Cinkotai H.'!P47+'16. mell. Napsugár'!P47+'17. mell. Sashalmi M.'!P47+'18. mell. Margaréta'!P47+'19.mell.Szentmihályi Játszókert'!P47+'20. mell. M. Fecskefészek'!P47+'21. mell. CMH'!P47+'22. mell. Bölcsőde'!P47+'23. mell. Terszoc.'!P47+'24. mell. Napraforgó'!P47+'25. mell. Kerületgazda'!P47+'26. mell. Őrszolgálat'!P47+'27. mell. KHEK'!P47+'28. mell. KIO'!P47</f>
        <v>29364133</v>
      </c>
      <c r="Q47" s="321">
        <f>+'9. mell. PMH'!Q47+'12. mell. Szakrendelő'!Q47+'13. mell. GAMESZ'!Q47+'14. mell. Gyerekkuckó'!Q47+'15. mell. Cinkotai H.'!Q47+'16. mell. Napsugár'!Q47+'17. mell. Sashalmi M.'!Q47+'18. mell. Margaréta'!Q47+'19.mell.Szentmihályi Játszókert'!Q47+'20. mell. M. Fecskefészek'!Q47+'21. mell. CMH'!Q47+'22. mell. Bölcsőde'!Q47+'23. mell. Terszoc.'!Q47+'24. mell. Napraforgó'!Q47+'25. mell. Kerületgazda'!Q47+'26. mell. Őrszolgálat'!Q47+'27. mell. KHEK'!Q47+'28. mell. KIO'!Q47</f>
        <v>28004576</v>
      </c>
      <c r="R47" s="321">
        <f>+'9. mell. PMH'!R47+'12. mell. Szakrendelő'!R47+'13. mell. GAMESZ'!R47+'14. mell. Gyerekkuckó'!R47+'15. mell. Cinkotai H.'!R47+'16. mell. Napsugár'!R47+'17. mell. Sashalmi M.'!R47+'18. mell. Margaréta'!R47+'19.mell.Szentmihályi Játszókert'!R47+'20. mell. M. Fecskefészek'!R47+'21. mell. CMH'!R47+'22. mell. Bölcsőde'!R47+'23. mell. Terszoc.'!R47+'24. mell. Napraforgó'!R47+'25. mell. Kerületgazda'!R47+'26. mell. Őrszolgálat'!R47+'27. mell. KHEK'!R47+'28. mell. KIO'!R47</f>
        <v>50531361</v>
      </c>
      <c r="S47" s="321">
        <f>+'9. mell. PMH'!S47+'12. mell. Szakrendelő'!S47+'13. mell. GAMESZ'!S47+'14. mell. Gyerekkuckó'!S47+'15. mell. Cinkotai H.'!S47+'16. mell. Napsugár'!S47+'17. mell. Sashalmi M.'!S47+'18. mell. Margaréta'!S47+'19.mell.Szentmihályi Játszókert'!S47+'20. mell. M. Fecskefészek'!S47+'21. mell. CMH'!S47+'22. mell. Bölcsőde'!S47+'23. mell. Terszoc.'!S47+'24. mell. Napraforgó'!S47+'25. mell. Kerületgazda'!S47+'26. mell. Őrszolgálat'!S47+'27. mell. KHEK'!S47+'28. mell. KIO'!S47</f>
        <v>76171354</v>
      </c>
      <c r="T47" s="321">
        <f>+'9. mell. PMH'!T47+'12. mell. Szakrendelő'!T47+'13. mell. GAMESZ'!T47+'14. mell. Gyerekkuckó'!T47+'15. mell. Cinkotai H.'!T47+'16. mell. Napsugár'!T47+'17. mell. Sashalmi M.'!T47+'18. mell. Margaréta'!T47+'19.mell.Szentmihályi Játszókert'!T47+'20. mell. M. Fecskefészek'!T47+'21. mell. CMH'!T47+'22. mell. Bölcsőde'!T47+'23. mell. Terszoc.'!T47+'24. mell. Napraforgó'!T47+'25. mell. Kerületgazda'!T47+'26. mell. Őrszolgálat'!T47+'27. mell. KHEK'!T47+'28. mell. KIO'!T47</f>
        <v>82277125</v>
      </c>
      <c r="U47" s="321">
        <f>+'9. mell. PMH'!U47+'12. mell. Szakrendelő'!U47+'13. mell. GAMESZ'!U47+'14. mell. Gyerekkuckó'!U47+'15. mell. Cinkotai H.'!U47+'16. mell. Napsugár'!U47+'17. mell. Sashalmi M.'!U47+'18. mell. Margaréta'!U47+'19.mell.Szentmihályi Játszókert'!U47+'20. mell. M. Fecskefészek'!U47+'21. mell. CMH'!U47+'22. mell. Bölcsőde'!U47+'23. mell. Terszoc.'!U47+'24. mell. Napraforgó'!U47+'25. mell. Kerületgazda'!U47+'26. mell. Őrszolgálat'!U47+'27. mell. KHEK'!U47+'28. mell. KIO'!U47</f>
        <v>120519468</v>
      </c>
      <c r="V47" s="321">
        <f>+'9. mell. PMH'!V47+'12. mell. Szakrendelő'!V47+'13. mell. GAMESZ'!V47+'14. mell. Gyerekkuckó'!V47+'15. mell. Cinkotai H.'!V47+'16. mell. Napsugár'!V47+'17. mell. Sashalmi M.'!V47+'18. mell. Margaréta'!V47+'19.mell.Szentmihályi Játszókert'!V47+'20. mell. M. Fecskefészek'!V47+'21. mell. CMH'!V47+'22. mell. Bölcsőde'!V47+'23. mell. Terszoc.'!V47+'24. mell. Napraforgó'!V47+'25. mell. Kerületgazda'!V47+'26. mell. Őrszolgálat'!V47+'27. mell. KHEK'!V47+'28. mell. KIO'!V47</f>
        <v>120519468</v>
      </c>
      <c r="W47" s="321">
        <f>+'9. mell. PMH'!W47+'12. mell. Szakrendelő'!W47+'13. mell. GAMESZ'!W47+'14. mell. Gyerekkuckó'!W47+'15. mell. Cinkotai H.'!W47+'16. mell. Napsugár'!W47+'17. mell. Sashalmi M.'!W47+'18. mell. Margaréta'!W47+'19.mell.Szentmihályi Játszókert'!W47+'20. mell. M. Fecskefészek'!W47+'21. mell. CMH'!W47+'22. mell. Bölcsőde'!W47+'23. mell. Terszoc.'!W47+'24. mell. Napraforgó'!W47+'25. mell. Kerületgazda'!W47+'26. mell. Őrszolgálat'!W47+'27. mell. KHEK'!W47+'28. mell. KIO'!W47</f>
        <v>74686092</v>
      </c>
      <c r="X47" s="321">
        <f>+'9. mell. PMH'!X47+'12. mell. Szakrendelő'!X47+'13. mell. GAMESZ'!X47+'14. mell. Gyerekkuckó'!X47+'15. mell. Cinkotai H.'!X47+'16. mell. Napsugár'!X47+'17. mell. Sashalmi M.'!X47+'18. mell. Margaréta'!X47+'19.mell.Szentmihályi Játszókert'!X47+'20. mell. M. Fecskefészek'!X47+'21. mell. CMH'!X47+'22. mell. Bölcsőde'!X47+'23. mell. Terszoc.'!X47+'24. mell. Napraforgó'!X47+'25. mell. Kerületgazda'!X47+'26. mell. Őrszolgálat'!X47+'27. mell. KHEK'!X47+'28. mell. KIO'!X47</f>
        <v>0</v>
      </c>
      <c r="Y47" s="321">
        <f>+'9. mell. PMH'!Y47+'12. mell. Szakrendelő'!Y47+'13. mell. GAMESZ'!Y47+'14. mell. Gyerekkuckó'!Y47+'15. mell. Cinkotai H.'!Y47+'16. mell. Napsugár'!Y47+'17. mell. Sashalmi M.'!Y47+'18. mell. Margaréta'!Y47+'19.mell.Szentmihályi Játszókert'!Y47+'20. mell. M. Fecskefészek'!Y47+'21. mell. CMH'!Y47+'22. mell. Bölcsőde'!Y47+'23. mell. Terszoc.'!Y47+'24. mell. Napraforgó'!Y47+'25. mell. Kerületgazda'!Y47+'26. mell. Őrszolgálat'!Y47+'27. mell. KHEK'!Y47+'28. mell. KIO'!Y47</f>
        <v>0</v>
      </c>
      <c r="Z47" s="321">
        <f>+'9. mell. PMH'!Z47+'12. mell. Szakrendelő'!Z47+'13. mell. GAMESZ'!Z47+'14. mell. Gyerekkuckó'!Z47+'15. mell. Cinkotai H.'!Z47+'16. mell. Napsugár'!Z47+'17. mell. Sashalmi M.'!Z47+'18. mell. Margaréta'!Z47+'19.mell.Szentmihályi Játszókert'!Z47+'20. mell. M. Fecskefészek'!Z47+'21. mell. CMH'!Z47+'22. mell. Bölcsőde'!Z47+'23. mell. Terszoc.'!Z47+'24. mell. Napraforgó'!Z47+'25. mell. Kerületgazda'!Z47+'26. mell. Őrszolgálat'!Z47+'27. mell. KHEK'!Z47+'28. mell. KIO'!Z47</f>
        <v>0</v>
      </c>
      <c r="AA47" s="321">
        <f>+'9. mell. PMH'!AA47+'12. mell. Szakrendelő'!AA47+'13. mell. GAMESZ'!AA47+'14. mell. Gyerekkuckó'!AA47+'15. mell. Cinkotai H.'!AA47+'16. mell. Napsugár'!AA47+'17. mell. Sashalmi M.'!AA47+'18. mell. Margaréta'!AA47+'19.mell.Szentmihályi Játszókert'!AA47+'20. mell. M. Fecskefészek'!AA47+'21. mell. CMH'!AA47+'22. mell. Bölcsőde'!AA47+'23. mell. Terszoc.'!AA47+'24. mell. Napraforgó'!AA47+'25. mell. Kerületgazda'!AA47+'26. mell. Őrszolgálat'!AA47+'27. mell. KHEK'!AA47+'28. mell. KIO'!AA47</f>
        <v>0</v>
      </c>
      <c r="AB47" s="321">
        <f>+'9. mell. PMH'!AB47+'12. mell. Szakrendelő'!AB47+'13. mell. GAMESZ'!AB47+'14. mell. Gyerekkuckó'!AB47+'15. mell. Cinkotai H.'!AB47+'16. mell. Napsugár'!AB47+'17. mell. Sashalmi M.'!AB47+'18. mell. Margaréta'!AB47+'19.mell.Szentmihályi Játszókert'!AB47+'20. mell. M. Fecskefészek'!AB47+'21. mell. CMH'!AB47+'22. mell. Bölcsőde'!AB47+'23. mell. Terszoc.'!AB47+'24. mell. Napraforgó'!AB47+'25. mell. Kerületgazda'!AB47+'26. mell. Őrszolgálat'!AB47+'27. mell. KHEK'!AB47+'28. mell. KIO'!AB47</f>
        <v>0</v>
      </c>
      <c r="AC47" s="321">
        <f>+'9. mell. PMH'!AC47+'12. mell. Szakrendelő'!AC47+'13. mell. GAMESZ'!AC47+'14. mell. Gyerekkuckó'!AC47+'15. mell. Cinkotai H.'!AC47+'16. mell. Napsugár'!AC47+'17. mell. Sashalmi M.'!AC47+'18. mell. Margaréta'!AC47+'19.mell.Szentmihályi Játszókert'!AC47+'20. mell. M. Fecskefészek'!AC47+'21. mell. CMH'!AC47+'22. mell. Bölcsőde'!AC47+'23. mell. Terszoc.'!AC47+'24. mell. Napraforgó'!AC47+'25. mell. Kerületgazda'!AC47+'26. mell. Őrszolgálat'!AC47+'27. mell. KHEK'!AC47+'28. mell. KIO'!AC47</f>
        <v>0</v>
      </c>
      <c r="AD47" s="323"/>
      <c r="AE47" s="321">
        <f t="shared" si="13"/>
        <v>26428819</v>
      </c>
      <c r="AF47" s="321">
        <f t="shared" si="14"/>
        <v>6105771</v>
      </c>
      <c r="AG47" s="321">
        <f t="shared" si="15"/>
        <v>-69072195</v>
      </c>
      <c r="AH47" s="321">
        <f t="shared" si="16"/>
        <v>0</v>
      </c>
      <c r="AI47" s="324">
        <f>+K47/I47</f>
        <v>0.68513611439052624</v>
      </c>
      <c r="AJ47" s="321">
        <f t="shared" si="17"/>
        <v>-65564714.930000007</v>
      </c>
      <c r="AK47" s="325">
        <f>+F47-'9. mell. PMH'!F47-'12. mell. Szakrendelő'!F47-'25. mell. Kerületgazda'!F47-'28. mell. KIO'!F47</f>
        <v>22928381</v>
      </c>
      <c r="AL47" s="325">
        <f>+G47-'9. mell. PMH'!G47-'12. mell. Szakrendelő'!G47-'25. mell. Kerületgazda'!G47-'28. mell. KIO'!G47</f>
        <v>25698675</v>
      </c>
      <c r="AM47" s="325">
        <f>+H47-'9. mell. PMH'!H47-'12. mell. Szakrendelő'!H47-'25. mell. Kerületgazda'!H47-'28. mell. KIO'!H47</f>
        <v>27513155</v>
      </c>
      <c r="AN47" s="325">
        <f>+I47-'9. mell. PMH'!I47-'12. mell. Szakrendelő'!I47-'25. mell. Kerületgazda'!I47-'28. mell. KIO'!I47</f>
        <v>36658182</v>
      </c>
      <c r="AO47" s="325">
        <f>+J47-'9. mell. PMH'!J47-'12. mell. Szakrendelő'!J47-'25. mell. Kerületgazda'!J47-'28. mell. KIO'!J47</f>
        <v>36658182</v>
      </c>
      <c r="AP47" s="325">
        <f>+K47-'9. mell. PMH'!K47-'12. mell. Szakrendelő'!K47-'25. mell. Kerületgazda'!K47-'28. mell. KIO'!K47</f>
        <v>27463094</v>
      </c>
      <c r="AQ47" s="1195">
        <f t="shared" si="5"/>
        <v>2770294</v>
      </c>
      <c r="AR47" s="2209">
        <f t="shared" si="6"/>
        <v>1814480</v>
      </c>
      <c r="AS47" s="1195">
        <f t="shared" si="7"/>
        <v>9145027</v>
      </c>
      <c r="AT47" s="2647">
        <v>439157960</v>
      </c>
      <c r="AU47" s="1593">
        <f t="shared" si="8"/>
        <v>0</v>
      </c>
    </row>
    <row r="48" spans="1:47" s="355" customFormat="1" ht="12" customHeight="1" thickBot="1">
      <c r="A48" s="319"/>
      <c r="B48" s="1440" t="s">
        <v>185</v>
      </c>
      <c r="C48" s="331" t="s">
        <v>82</v>
      </c>
      <c r="D48" s="321">
        <f>+'9. mell. PMH'!D48+'12. mell. Szakrendelő'!D48+'13. mell. GAMESZ'!D48+'14. mell. Gyerekkuckó'!D48+'15. mell. Cinkotai H.'!D48+'16. mell. Napsugár'!D48+'17. mell. Sashalmi M.'!D48+'18. mell. Margaréta'!D48+'19.mell.Szentmihályi Játszókert'!D48+'20. mell. M. Fecskefészek'!D48+'21. mell. CMH'!D48+'22. mell. Bölcsőde'!D48+'23. mell. Terszoc.'!D48+'24. mell. Napraforgó'!D48+'25. mell. Kerületgazda'!D48+'26. mell. Őrszolgálat'!D48+'27. mell. KHEK'!D48+'28. mell. KIO'!D48</f>
        <v>183579419.93000001</v>
      </c>
      <c r="E48" s="2587">
        <f>+'9. mell. PMH'!E48+'12. mell. Szakrendelő'!E48+'13. mell. GAMESZ'!E48+'14. mell. Gyerekkuckó'!E48+'15. mell. Cinkotai H.'!E48+'16. mell. Napsugár'!E48+'17. mell. Sashalmi M.'!E48+'18. mell. Margaréta'!E48+'19.mell.Szentmihályi Játszókert'!E48+'20. mell. M. Fecskefészek'!E48+'21. mell. CMH'!E48+'22. mell. Bölcsőde'!E48+'23. mell. Terszoc.'!E48+'24. mell. Napraforgó'!E48+'25. mell. Kerületgazda'!E48+'26. mell. Őrszolgálat'!E48+'27. mell. KHEK'!E48+'28. mell. KIO'!E48</f>
        <v>407653718</v>
      </c>
      <c r="F48" s="321">
        <f>+'9. mell. PMH'!F48+'12. mell. Szakrendelő'!F48+'13. mell. GAMESZ'!F48+'14. mell. Gyerekkuckó'!F48+'15. mell. Cinkotai H.'!F48+'16. mell. Napsugár'!F48+'17. mell. Sashalmi M.'!F48+'18. mell. Margaréta'!F48+'19.mell.Szentmihályi Játszókert'!F48+'20. mell. M. Fecskefészek'!F48+'21. mell. CMH'!F48+'22. mell. Bölcsőde'!F48+'23. mell. Terszoc.'!F48+'24. mell. Napraforgó'!F48+'25. mell. Kerületgazda'!F48+'26. mell. Őrszolgálat'!F48+'27. mell. KHEK'!F48+'28. mell. KIO'!F48</f>
        <v>173144008</v>
      </c>
      <c r="G48" s="321">
        <f>+'9. mell. PMH'!G48+'12. mell. Szakrendelő'!G48+'13. mell. GAMESZ'!G48+'14. mell. Gyerekkuckó'!G48+'15. mell. Cinkotai H.'!G48+'16. mell. Napsugár'!G48+'17. mell. Sashalmi M.'!G48+'18. mell. Margaréta'!G48+'19.mell.Szentmihályi Játszókert'!G48+'20. mell. M. Fecskefészek'!G48+'21. mell. CMH'!G48+'22. mell. Bölcsőde'!G48+'23. mell. Terszoc.'!G48+'24. mell. Napraforgó'!G48+'25. mell. Kerületgazda'!G48+'26. mell. Őrszolgálat'!G48+'27. mell. KHEK'!G48+'28. mell. KIO'!G48</f>
        <v>197482286</v>
      </c>
      <c r="H48" s="321">
        <f>+'9. mell. PMH'!H48+'12. mell. Szakrendelő'!H48+'13. mell. GAMESZ'!H48+'14. mell. Gyerekkuckó'!H48+'15. mell. Cinkotai H.'!H48+'16. mell. Napsugár'!H48+'17. mell. Sashalmi M.'!H48+'18. mell. Margaréta'!H48+'19.mell.Szentmihályi Játszókert'!H48+'20. mell. M. Fecskefészek'!H48+'21. mell. CMH'!H48+'22. mell. Bölcsőde'!H48+'23. mell. Terszoc.'!H48+'24. mell. Napraforgó'!H48+'25. mell. Kerületgazda'!H48+'26. mell. Őrszolgálat'!H48+'27. mell. KHEK'!H48+'28. mell. KIO'!H48</f>
        <v>202603352</v>
      </c>
      <c r="I48" s="321">
        <f>+'9. mell. PMH'!I48+'12. mell. Szakrendelő'!I48+'13. mell. GAMESZ'!I48+'14. mell. Gyerekkuckó'!I48+'15. mell. Cinkotai H.'!I48+'16. mell. Napsugár'!I48+'17. mell. Sashalmi M.'!I48+'18. mell. Margaréta'!I48+'19.mell.Szentmihályi Játszókert'!I48+'20. mell. M. Fecskefészek'!I48+'21. mell. CMH'!I48+'22. mell. Bölcsőde'!I48+'23. mell. Terszoc.'!I48+'24. mell. Napraforgó'!I48+'25. mell. Kerületgazda'!I48+'26. mell. Őrszolgálat'!I48+'27. mell. KHEK'!I48+'28. mell. KIO'!I48</f>
        <v>135014972</v>
      </c>
      <c r="J48" s="321">
        <f>+'9. mell. PMH'!J48+'12. mell. Szakrendelő'!J48+'13. mell. GAMESZ'!J48+'14. mell. Gyerekkuckó'!J48+'15. mell. Cinkotai H.'!J48+'16. mell. Napsugár'!J48+'17. mell. Sashalmi M.'!J48+'18. mell. Margaréta'!J48+'19.mell.Szentmihályi Játszókert'!J48+'20. mell. M. Fecskefészek'!J48+'21. mell. CMH'!J48+'22. mell. Bölcsőde'!J48+'23. mell. Terszoc.'!J48+'24. mell. Napraforgó'!J48+'25. mell. Kerületgazda'!J48+'26. mell. Őrszolgálat'!J48+'27. mell. KHEK'!J48+'28. mell. KIO'!J48</f>
        <v>135014972</v>
      </c>
      <c r="K48" s="2197">
        <f>+'9. mell. PMH'!K48+'12. mell. Szakrendelő'!K48+'13. mell. GAMESZ'!K48+'14. mell. Gyerekkuckó'!K48+'15. mell. Cinkotai H.'!K48+'16. mell. Napsugár'!K48+'17. mell. Sashalmi M.'!K48+'18. mell. Margaréta'!K48+'19.mell.Szentmihályi Játszókert'!K48+'20. mell. M. Fecskefészek'!K48+'21. mell. CMH'!K48+'22. mell. Bölcsőde'!K48+'23. mell. Terszoc.'!K48+'24. mell. Napraforgó'!K48+'25. mell. Kerületgazda'!K48+'26. mell. Őrszolgálat'!K48+'27. mell. KHEK'!K48+'28. mell. KIO'!K48</f>
        <v>101099237</v>
      </c>
      <c r="L48" s="321">
        <f>+'9. mell. PMH'!L48+'12. mell. Szakrendelő'!L48+'13. mell. GAMESZ'!L48+'14. mell. Gyerekkuckó'!L48+'15. mell. Cinkotai H.'!L48+'16. mell. Napsugár'!L48+'17. mell. Sashalmi M.'!L48+'18. mell. Margaréta'!L48+'19.mell.Szentmihályi Játszókert'!L48+'20. mell. M. Fecskefészek'!L48+'21. mell. CMH'!L48+'22. mell. Bölcsőde'!L48+'23. mell. Terszoc.'!L48+'24. mell. Napraforgó'!L48+'25. mell. Kerületgazda'!L48+'26. mell. Őrszolgálat'!L48+'27. mell. KHEK'!L48+'28. mell. KIO'!L48</f>
        <v>122612647</v>
      </c>
      <c r="M48" s="321">
        <f>+'9. mell. PMH'!M48+'12. mell. Szakrendelő'!M48+'13. mell. GAMESZ'!M48+'14. mell. Gyerekkuckó'!M48+'15. mell. Cinkotai H.'!M48+'16. mell. Napsugár'!M48+'17. mell. Sashalmi M.'!M48+'18. mell. Margaréta'!M48+'19.mell.Szentmihályi Játszókert'!M48+'20. mell. M. Fecskefészek'!M48+'21. mell. CMH'!M48+'22. mell. Bölcsőde'!M48+'23. mell. Terszoc.'!M48+'24. mell. Napraforgó'!M48+'25. mell. Kerületgazda'!M48+'26. mell. Őrszolgálat'!M48+'27. mell. KHEK'!M48+'28. mell. KIO'!M48</f>
        <v>123401473</v>
      </c>
      <c r="N48" s="321">
        <f>+'9. mell. PMH'!N48+'12. mell. Szakrendelő'!N48+'13. mell. GAMESZ'!N48+'14. mell. Gyerekkuckó'!N48+'15. mell. Cinkotai H.'!N48+'16. mell. Napsugár'!N48+'17. mell. Sashalmi M.'!N48+'18. mell. Margaréta'!N48+'19.mell.Szentmihályi Játszókert'!N48+'20. mell. M. Fecskefészek'!N48+'21. mell. CMH'!N48+'22. mell. Bölcsőde'!N48+'23. mell. Terszoc.'!N48+'24. mell. Napraforgó'!N48+'25. mell. Kerületgazda'!N48+'26. mell. Őrszolgálat'!N48+'27. mell. KHEK'!N48+'28. mell. KIO'!N48</f>
        <v>123401473</v>
      </c>
      <c r="O48" s="321">
        <f>+'9. mell. PMH'!O48+'12. mell. Szakrendelő'!O48+'13. mell. GAMESZ'!O48+'14. mell. Gyerekkuckó'!O48+'15. mell. Cinkotai H.'!O48+'16. mell. Napsugár'!O48+'17. mell. Sashalmi M.'!O48+'18. mell. Margaréta'!O48+'19.mell.Szentmihályi Játszókert'!O48+'20. mell. M. Fecskefészek'!O48+'21. mell. CMH'!O48+'22. mell. Bölcsőde'!O48+'23. mell. Terszoc.'!O48+'24. mell. Napraforgó'!O48+'25. mell. Kerületgazda'!O48+'26. mell. Őrszolgálat'!O48+'27. mell. KHEK'!O48+'28. mell. KIO'!O48</f>
        <v>16086935</v>
      </c>
      <c r="P48" s="321">
        <f>+'9. mell. PMH'!P48+'12. mell. Szakrendelő'!P48+'13. mell. GAMESZ'!P48+'14. mell. Gyerekkuckó'!P48+'15. mell. Cinkotai H.'!P48+'16. mell. Napsugár'!P48+'17. mell. Sashalmi M.'!P48+'18. mell. Margaréta'!P48+'19.mell.Szentmihályi Játszókert'!P48+'20. mell. M. Fecskefészek'!P48+'21. mell. CMH'!P48+'22. mell. Bölcsőde'!P48+'23. mell. Terszoc.'!P48+'24. mell. Napraforgó'!P48+'25. mell. Kerületgazda'!P48+'26. mell. Őrszolgálat'!P48+'27. mell. KHEK'!P48+'28. mell. KIO'!P48</f>
        <v>16086935</v>
      </c>
      <c r="Q48" s="321">
        <f>+'9. mell. PMH'!Q48+'12. mell. Szakrendelő'!Q48+'13. mell. GAMESZ'!Q48+'14. mell. Gyerekkuckó'!Q48+'15. mell. Cinkotai H.'!Q48+'16. mell. Napsugár'!Q48+'17. mell. Sashalmi M.'!Q48+'18. mell. Margaréta'!Q48+'19.mell.Szentmihályi Játszókert'!Q48+'20. mell. M. Fecskefészek'!Q48+'21. mell. CMH'!Q48+'22. mell. Bölcsőde'!Q48+'23. mell. Terszoc.'!Q48+'24. mell. Napraforgó'!Q48+'25. mell. Kerületgazda'!Q48+'26. mell. Őrszolgálat'!Q48+'27. mell. KHEK'!Q48+'28. mell. KIO'!Q48</f>
        <v>28004576</v>
      </c>
      <c r="R48" s="321">
        <f>+'9. mell. PMH'!R48+'12. mell. Szakrendelő'!R48+'13. mell. GAMESZ'!R48+'14. mell. Gyerekkuckó'!R48+'15. mell. Cinkotai H.'!R48+'16. mell. Napsugár'!R48+'17. mell. Sashalmi M.'!R48+'18. mell. Margaréta'!R48+'19.mell.Szentmihályi Játszókert'!R48+'20. mell. M. Fecskefészek'!R48+'21. mell. CMH'!R48+'22. mell. Bölcsőde'!R48+'23. mell. Terszoc.'!R48+'24. mell. Napraforgó'!R48+'25. mell. Kerületgazda'!R48+'26. mell. Őrszolgálat'!R48+'27. mell. KHEK'!R48+'28. mell. KIO'!R48</f>
        <v>50531361</v>
      </c>
      <c r="S48" s="321">
        <f>+'9. mell. PMH'!S48+'12. mell. Szakrendelő'!S48+'13. mell. GAMESZ'!S48+'14. mell. Gyerekkuckó'!S48+'15. mell. Cinkotai H.'!S48+'16. mell. Napsugár'!S48+'17. mell. Sashalmi M.'!S48+'18. mell. Margaréta'!S48+'19.mell.Szentmihályi Játszókert'!S48+'20. mell. M. Fecskefészek'!S48+'21. mell. CMH'!S48+'22. mell. Bölcsőde'!S48+'23. mell. Terszoc.'!S48+'24. mell. Napraforgó'!S48+'25. mell. Kerületgazda'!S48+'26. mell. Őrszolgálat'!S48+'27. mell. KHEK'!S48+'28. mell. KIO'!S48</f>
        <v>74080813</v>
      </c>
      <c r="T48" s="321">
        <f>+'9. mell. PMH'!T48+'12. mell. Szakrendelő'!T48+'13. mell. GAMESZ'!T48+'14. mell. Gyerekkuckó'!T48+'15. mell. Cinkotai H.'!T48+'16. mell. Napsugár'!T48+'17. mell. Sashalmi M.'!T48+'18. mell. Margaréta'!T48+'19.mell.Szentmihályi Játszókert'!T48+'20. mell. M. Fecskefészek'!T48+'21. mell. CMH'!T48+'22. mell. Bölcsőde'!T48+'23. mell. Terszoc.'!T48+'24. mell. Napraforgó'!T48+'25. mell. Kerületgazda'!T48+'26. mell. Őrszolgálat'!T48+'27. mell. KHEK'!T48+'28. mell. KIO'!T48</f>
        <v>79201879</v>
      </c>
      <c r="U48" s="321">
        <f>+'9. mell. PMH'!U48+'12. mell. Szakrendelő'!U48+'13. mell. GAMESZ'!U48+'14. mell. Gyerekkuckó'!U48+'15. mell. Cinkotai H.'!U48+'16. mell. Napsugár'!U48+'17. mell. Sashalmi M.'!U48+'18. mell. Margaréta'!U48+'19.mell.Szentmihályi Játszókert'!U48+'20. mell. M. Fecskefészek'!U48+'21. mell. CMH'!U48+'22. mell. Bölcsőde'!U48+'23. mell. Terszoc.'!U48+'24. mell. Napraforgó'!U48+'25. mell. Kerületgazda'!U48+'26. mell. Őrszolgálat'!U48+'27. mell. KHEK'!U48+'28. mell. KIO'!U48</f>
        <v>118928037</v>
      </c>
      <c r="V48" s="321">
        <f>+'9. mell. PMH'!V48+'12. mell. Szakrendelő'!V48+'13. mell. GAMESZ'!V48+'14. mell. Gyerekkuckó'!V48+'15. mell. Cinkotai H.'!V48+'16. mell. Napsugár'!V48+'17. mell. Sashalmi M.'!V48+'18. mell. Margaréta'!V48+'19.mell.Szentmihályi Játszókert'!V48+'20. mell. M. Fecskefészek'!V48+'21. mell. CMH'!V48+'22. mell. Bölcsőde'!V48+'23. mell. Terszoc.'!V48+'24. mell. Napraforgó'!V48+'25. mell. Kerületgazda'!V48+'26. mell. Őrszolgálat'!V48+'27. mell. KHEK'!V48+'28. mell. KIO'!V48</f>
        <v>118928037</v>
      </c>
      <c r="W48" s="321">
        <f>+'9. mell. PMH'!W48+'12. mell. Szakrendelő'!W48+'13. mell. GAMESZ'!W48+'14. mell. Gyerekkuckó'!W48+'15. mell. Cinkotai H.'!W48+'16. mell. Napsugár'!W48+'17. mell. Sashalmi M.'!W48+'18. mell. Margaréta'!W48+'19.mell.Szentmihályi Játszókert'!W48+'20. mell. M. Fecskefészek'!W48+'21. mell. CMH'!W48+'22. mell. Bölcsőde'!W48+'23. mell. Terszoc.'!W48+'24. mell. Napraforgó'!W48+'25. mell. Kerületgazda'!W48+'26. mell. Őrszolgálat'!W48+'27. mell. KHEK'!W48+'28. mell. KIO'!W48</f>
        <v>73094661</v>
      </c>
      <c r="X48" s="321">
        <f>+'9. mell. PMH'!X48+'12. mell. Szakrendelő'!X48+'13. mell. GAMESZ'!X48+'14. mell. Gyerekkuckó'!X48+'15. mell. Cinkotai H.'!X48+'16. mell. Napsugár'!X48+'17. mell. Sashalmi M.'!X48+'18. mell. Margaréta'!X48+'19.mell.Szentmihályi Játszókert'!X48+'20. mell. M. Fecskefészek'!X48+'21. mell. CMH'!X48+'22. mell. Bölcsőde'!X48+'23. mell. Terszoc.'!X48+'24. mell. Napraforgó'!X48+'25. mell. Kerületgazda'!X48+'26. mell. Őrszolgálat'!X48+'27. mell. KHEK'!X48+'28. mell. KIO'!X48</f>
        <v>0</v>
      </c>
      <c r="Y48" s="321">
        <f>+'9. mell. PMH'!Y48+'12. mell. Szakrendelő'!Y48+'13. mell. GAMESZ'!Y48+'14. mell. Gyerekkuckó'!Y48+'15. mell. Cinkotai H.'!Y48+'16. mell. Napsugár'!Y48+'17. mell. Sashalmi M.'!Y48+'18. mell. Margaréta'!Y48+'19.mell.Szentmihályi Játszókert'!Y48+'20. mell. M. Fecskefészek'!Y48+'21. mell. CMH'!Y48+'22. mell. Bölcsőde'!Y48+'23. mell. Terszoc.'!Y48+'24. mell. Napraforgó'!Y48+'25. mell. Kerületgazda'!Y48+'26. mell. Őrszolgálat'!Y48+'27. mell. KHEK'!Y48+'28. mell. KIO'!Y48</f>
        <v>0</v>
      </c>
      <c r="Z48" s="321">
        <f>+'9. mell. PMH'!Z48+'12. mell. Szakrendelő'!Z48+'13. mell. GAMESZ'!Z48+'14. mell. Gyerekkuckó'!Z48+'15. mell. Cinkotai H.'!Z48+'16. mell. Napsugár'!Z48+'17. mell. Sashalmi M.'!Z48+'18. mell. Margaréta'!Z48+'19.mell.Szentmihályi Játszókert'!Z48+'20. mell. M. Fecskefészek'!Z48+'21. mell. CMH'!Z48+'22. mell. Bölcsőde'!Z48+'23. mell. Terszoc.'!Z48+'24. mell. Napraforgó'!Z48+'25. mell. Kerületgazda'!Z48+'26. mell. Őrszolgálat'!Z48+'27. mell. KHEK'!Z48+'28. mell. KIO'!Z48</f>
        <v>0</v>
      </c>
      <c r="AA48" s="321">
        <f>+'9. mell. PMH'!AA48+'12. mell. Szakrendelő'!AA48+'13. mell. GAMESZ'!AA48+'14. mell. Gyerekkuckó'!AA48+'15. mell. Cinkotai H.'!AA48+'16. mell. Napsugár'!AA48+'17. mell. Sashalmi M.'!AA48+'18. mell. Margaréta'!AA48+'19.mell.Szentmihályi Játszókert'!AA48+'20. mell. M. Fecskefészek'!AA48+'21. mell. CMH'!AA48+'22. mell. Bölcsőde'!AA48+'23. mell. Terszoc.'!AA48+'24. mell. Napraforgó'!AA48+'25. mell. Kerületgazda'!AA48+'26. mell. Őrszolgálat'!AA48+'27. mell. KHEK'!AA48+'28. mell. KIO'!AA48</f>
        <v>0</v>
      </c>
      <c r="AB48" s="321">
        <f>+'9. mell. PMH'!AB48+'12. mell. Szakrendelő'!AB48+'13. mell. GAMESZ'!AB48+'14. mell. Gyerekkuckó'!AB48+'15. mell. Cinkotai H.'!AB48+'16. mell. Napsugár'!AB48+'17. mell. Sashalmi M.'!AB48+'18. mell. Margaréta'!AB48+'19.mell.Szentmihályi Játszókert'!AB48+'20. mell. M. Fecskefészek'!AB48+'21. mell. CMH'!AB48+'22. mell. Bölcsőde'!AB48+'23. mell. Terszoc.'!AB48+'24. mell. Napraforgó'!AB48+'25. mell. Kerületgazda'!AB48+'26. mell. Őrszolgálat'!AB48+'27. mell. KHEK'!AB48+'28. mell. KIO'!AB48</f>
        <v>0</v>
      </c>
      <c r="AC48" s="321">
        <f>+'9. mell. PMH'!AC48+'12. mell. Szakrendelő'!AC48+'13. mell. GAMESZ'!AC48+'14. mell. Gyerekkuckó'!AC48+'15. mell. Cinkotai H.'!AC48+'16. mell. Napsugár'!AC48+'17. mell. Sashalmi M.'!AC48+'18. mell. Margaréta'!AC48+'19.mell.Szentmihályi Játszókert'!AC48+'20. mell. M. Fecskefészek'!AC48+'21. mell. CMH'!AC48+'22. mell. Bölcsőde'!AC48+'23. mell. Terszoc.'!AC48+'24. mell. Napraforgó'!AC48+'25. mell. Kerületgazda'!AC48+'26. mell. Őrszolgálat'!AC48+'27. mell. KHEK'!AC48+'28. mell. KIO'!AC48</f>
        <v>0</v>
      </c>
      <c r="AD48" s="342"/>
      <c r="AE48" s="321">
        <f t="shared" si="13"/>
        <v>24338278</v>
      </c>
      <c r="AF48" s="321">
        <f t="shared" si="14"/>
        <v>5121066</v>
      </c>
      <c r="AG48" s="321">
        <f t="shared" si="15"/>
        <v>-67588380</v>
      </c>
      <c r="AH48" s="321">
        <f t="shared" si="16"/>
        <v>0</v>
      </c>
      <c r="AI48" s="324">
        <f>+K48/I48</f>
        <v>0.74880019232237449</v>
      </c>
      <c r="AJ48" s="321">
        <f t="shared" si="17"/>
        <v>-10435411.930000007</v>
      </c>
      <c r="AK48" s="325">
        <f>+F48-'9. mell. PMH'!F48-'12. mell. Szakrendelő'!F48-'25. mell. Kerületgazda'!F48-'28. mell. KIO'!F48</f>
        <v>22928381</v>
      </c>
      <c r="AL48" s="325">
        <f>+G48-'9. mell. PMH'!G48-'12. mell. Szakrendelő'!G48-'25. mell. Kerületgazda'!G48-'28. mell. KIO'!G48</f>
        <v>23608134</v>
      </c>
      <c r="AM48" s="325">
        <f>+H48-'9. mell. PMH'!H48-'12. mell. Szakrendelő'!H48-'25. mell. Kerületgazda'!H48-'28. mell. KIO'!H48</f>
        <v>25921724</v>
      </c>
      <c r="AN48" s="325">
        <f>+I48-'9. mell. PMH'!I48-'12. mell. Szakrendelő'!I48-'25. mell. Kerületgazda'!I48-'28. mell. KIO'!I48</f>
        <v>35066751</v>
      </c>
      <c r="AO48" s="325">
        <f>+J48-'9. mell. PMH'!J48-'12. mell. Szakrendelő'!J48-'25. mell. Kerületgazda'!J48-'28. mell. KIO'!J48</f>
        <v>35066751</v>
      </c>
      <c r="AP48" s="325">
        <f>+K48-'9. mell. PMH'!K48-'12. mell. Szakrendelő'!K48-'25. mell. Kerületgazda'!K48-'28. mell. KIO'!K48</f>
        <v>25871663</v>
      </c>
      <c r="AQ48" s="1195">
        <f t="shared" si="5"/>
        <v>679753</v>
      </c>
      <c r="AR48" s="2209">
        <f t="shared" si="6"/>
        <v>2313590</v>
      </c>
      <c r="AS48" s="1195">
        <f t="shared" si="7"/>
        <v>9145027</v>
      </c>
      <c r="AT48" s="2647">
        <v>407653718</v>
      </c>
      <c r="AU48" s="1593">
        <f t="shared" si="8"/>
        <v>0</v>
      </c>
    </row>
    <row r="49" spans="1:47" ht="12" customHeight="1" thickBot="1">
      <c r="A49" s="319"/>
      <c r="B49" s="1440" t="s">
        <v>187</v>
      </c>
      <c r="C49" s="331" t="s">
        <v>344</v>
      </c>
      <c r="D49" s="321">
        <f>+'9. mell. PMH'!D49+'12. mell. Szakrendelő'!D49+'13. mell. GAMESZ'!D49+'14. mell. Gyerekkuckó'!D49+'15. mell. Cinkotai H.'!D49+'16. mell. Napsugár'!D49+'17. mell. Sashalmi M.'!D49+'18. mell. Margaréta'!D49+'19.mell.Szentmihályi Játszókert'!D49+'20. mell. M. Fecskefészek'!D49+'21. mell. CMH'!D49+'22. mell. Bölcsőde'!D49+'23. mell. Terszoc.'!D49+'24. mell. Napraforgó'!D49+'25. mell. Kerületgazda'!D49+'26. mell. Őrszolgálat'!D49+'27. mell. KHEK'!D49+'28. mell. KIO'!D49</f>
        <v>68406501</v>
      </c>
      <c r="E49" s="2587">
        <f>+'9. mell. PMH'!E49+'12. mell. Szakrendelő'!E49+'13. mell. GAMESZ'!E49+'14. mell. Gyerekkuckó'!E49+'15. mell. Cinkotai H.'!E49+'16. mell. Napsugár'!E49+'17. mell. Sashalmi M.'!E49+'18. mell. Margaréta'!E49+'19.mell.Szentmihályi Játszókert'!E49+'20. mell. M. Fecskefészek'!E49+'21. mell. CMH'!E49+'22. mell. Bölcsőde'!E49+'23. mell. Terszoc.'!E49+'24. mell. Napraforgó'!E49+'25. mell. Kerületgazda'!E49+'26. mell. Őrszolgálat'!E49+'27. mell. KHEK'!E49+'28. mell. KIO'!E49</f>
        <v>31504242</v>
      </c>
      <c r="F49" s="321">
        <f>+'9. mell. PMH'!F49+'12. mell. Szakrendelő'!F49+'13. mell. GAMESZ'!F49+'14. mell. Gyerekkuckó'!F49+'15. mell. Cinkotai H.'!F49+'16. mell. Napsugár'!F49+'17. mell. Sashalmi M.'!F49+'18. mell. Margaréta'!F49+'19.mell.Szentmihályi Játszókert'!F49+'20. mell. M. Fecskefészek'!F49+'21. mell. CMH'!F49+'22. mell. Bölcsőde'!F49+'23. mell. Terszoc.'!F49+'24. mell. Napraforgó'!F49+'25. mell. Kerületgazda'!F49+'26. mell. Őrszolgálat'!F49+'27. mell. KHEK'!F49+'28. mell. KIO'!F49</f>
        <v>0</v>
      </c>
      <c r="G49" s="321">
        <f>+'9. mell. PMH'!G49+'12. mell. Szakrendelő'!G49+'13. mell. GAMESZ'!G49+'14. mell. Gyerekkuckó'!G49+'15. mell. Cinkotai H.'!G49+'16. mell. Napsugár'!G49+'17. mell. Sashalmi M.'!G49+'18. mell. Margaréta'!G49+'19.mell.Szentmihályi Játszókert'!G49+'20. mell. M. Fecskefészek'!G49+'21. mell. CMH'!G49+'22. mell. Bölcsőde'!G49+'23. mell. Terszoc.'!G49+'24. mell. Napraforgó'!G49+'25. mell. Kerületgazda'!G49+'26. mell. Őrszolgálat'!G49+'27. mell. KHEK'!G49+'28. mell. KIO'!G49</f>
        <v>2090541</v>
      </c>
      <c r="H49" s="321">
        <f>+'9. mell. PMH'!H49+'12. mell. Szakrendelő'!H49+'13. mell. GAMESZ'!H49+'14. mell. Gyerekkuckó'!H49+'15. mell. Cinkotai H.'!H49+'16. mell. Napsugár'!H49+'17. mell. Sashalmi M.'!H49+'18. mell. Margaréta'!H49+'19.mell.Szentmihályi Játszókert'!H49+'20. mell. M. Fecskefészek'!H49+'21. mell. CMH'!H49+'22. mell. Bölcsőde'!H49+'23. mell. Terszoc.'!H49+'24. mell. Napraforgó'!H49+'25. mell. Kerületgazda'!H49+'26. mell. Őrszolgálat'!H49+'27. mell. KHEK'!H49+'28. mell. KIO'!H49</f>
        <v>3075246</v>
      </c>
      <c r="I49" s="321">
        <f>+'9. mell. PMH'!I49+'12. mell. Szakrendelő'!I49+'13. mell. GAMESZ'!I49+'14. mell. Gyerekkuckó'!I49+'15. mell. Cinkotai H.'!I49+'16. mell. Napsugár'!I49+'17. mell. Sashalmi M.'!I49+'18. mell. Margaréta'!I49+'19.mell.Szentmihályi Játszókert'!I49+'20. mell. M. Fecskefészek'!I49+'21. mell. CMH'!I49+'22. mell. Bölcsőde'!I49+'23. mell. Terszoc.'!I49+'24. mell. Napraforgó'!I49+'25. mell. Kerületgazda'!I49+'26. mell. Őrszolgálat'!I49+'27. mell. KHEK'!I49+'28. mell. KIO'!I49</f>
        <v>1591431</v>
      </c>
      <c r="J49" s="321">
        <f>+'9. mell. PMH'!J49+'12. mell. Szakrendelő'!J49+'13. mell. GAMESZ'!J49+'14. mell. Gyerekkuckó'!J49+'15. mell. Cinkotai H.'!J49+'16. mell. Napsugár'!J49+'17. mell. Sashalmi M.'!J49+'18. mell. Margaréta'!J49+'19.mell.Szentmihályi Játszókert'!J49+'20. mell. M. Fecskefészek'!J49+'21. mell. CMH'!J49+'22. mell. Bölcsőde'!J49+'23. mell. Terszoc.'!J49+'24. mell. Napraforgó'!J49+'25. mell. Kerületgazda'!J49+'26. mell. Őrszolgálat'!J49+'27. mell. KHEK'!J49+'28. mell. KIO'!J49</f>
        <v>1591431</v>
      </c>
      <c r="K49" s="2197">
        <f>+'9. mell. PMH'!K49+'12. mell. Szakrendelő'!K49+'13. mell. GAMESZ'!K49+'14. mell. Gyerekkuckó'!K49+'15. mell. Cinkotai H.'!K49+'16. mell. Napsugár'!K49+'17. mell. Sashalmi M.'!K49+'18. mell. Margaréta'!K49+'19.mell.Szentmihályi Játszókert'!K49+'20. mell. M. Fecskefészek'!K49+'21. mell. CMH'!K49+'22. mell. Bölcsőde'!K49+'23. mell. Terszoc.'!K49+'24. mell. Napraforgó'!K49+'25. mell. Kerületgazda'!K49+'26. mell. Őrszolgálat'!K49+'27. mell. KHEK'!K49+'28. mell. KIO'!K49</f>
        <v>1591431</v>
      </c>
      <c r="L49" s="321">
        <f>+'9. mell. PMH'!L49+'12. mell. Szakrendelő'!L49+'13. mell. GAMESZ'!L49+'14. mell. Gyerekkuckó'!L49+'15. mell. Cinkotai H.'!L49+'16. mell. Napsugár'!L49+'17. mell. Sashalmi M.'!L49+'18. mell. Margaréta'!L49+'19.mell.Szentmihályi Játszókert'!L49+'20. mell. M. Fecskefészek'!L49+'21. mell. CMH'!L49+'22. mell. Bölcsőde'!L49+'23. mell. Terszoc.'!L49+'24. mell. Napraforgó'!L49+'25. mell. Kerületgazda'!L49+'26. mell. Őrszolgálat'!L49+'27. mell. KHEK'!L49+'28. mell. KIO'!L49</f>
        <v>0</v>
      </c>
      <c r="M49" s="321">
        <f>+'9. mell. PMH'!M49+'12. mell. Szakrendelő'!M49+'13. mell. GAMESZ'!M49+'14. mell. Gyerekkuckó'!M49+'15. mell. Cinkotai H.'!M49+'16. mell. Napsugár'!M49+'17. mell. Sashalmi M.'!M49+'18. mell. Margaréta'!M49+'19.mell.Szentmihályi Játszókert'!M49+'20. mell. M. Fecskefészek'!M49+'21. mell. CMH'!M49+'22. mell. Bölcsőde'!M49+'23. mell. Terszoc.'!M49+'24. mell. Napraforgó'!M49+'25. mell. Kerületgazda'!M49+'26. mell. Őrszolgálat'!M49+'27. mell. KHEK'!M49+'28. mell. KIO'!M49</f>
        <v>0</v>
      </c>
      <c r="N49" s="321">
        <f>+'9. mell. PMH'!N49+'12. mell. Szakrendelő'!N49+'13. mell. GAMESZ'!N49+'14. mell. Gyerekkuckó'!N49+'15. mell. Cinkotai H.'!N49+'16. mell. Napsugár'!N49+'17. mell. Sashalmi M.'!N49+'18. mell. Margaréta'!N49+'19.mell.Szentmihályi Játszókert'!N49+'20. mell. M. Fecskefészek'!N49+'21. mell. CMH'!N49+'22. mell. Bölcsőde'!N49+'23. mell. Terszoc.'!N49+'24. mell. Napraforgó'!N49+'25. mell. Kerületgazda'!N49+'26. mell. Őrszolgálat'!N49+'27. mell. KHEK'!N49+'28. mell. KIO'!N49</f>
        <v>0</v>
      </c>
      <c r="O49" s="321">
        <f>+'9. mell. PMH'!O49+'12. mell. Szakrendelő'!O49+'13. mell. GAMESZ'!O49+'14. mell. Gyerekkuckó'!O49+'15. mell. Cinkotai H.'!O49+'16. mell. Napsugár'!O49+'17. mell. Sashalmi M.'!O49+'18. mell. Margaréta'!O49+'19.mell.Szentmihályi Játszókert'!O49+'20. mell. M. Fecskefészek'!O49+'21. mell. CMH'!O49+'22. mell. Bölcsőde'!O49+'23. mell. Terszoc.'!O49+'24. mell. Napraforgó'!O49+'25. mell. Kerületgazda'!O49+'26. mell. Őrszolgálat'!O49+'27. mell. KHEK'!O49+'28. mell. KIO'!O49</f>
        <v>0</v>
      </c>
      <c r="P49" s="321">
        <f>+'9. mell. PMH'!P49+'12. mell. Szakrendelő'!P49+'13. mell. GAMESZ'!P49+'14. mell. Gyerekkuckó'!P49+'15. mell. Cinkotai H.'!P49+'16. mell. Napsugár'!P49+'17. mell. Sashalmi M.'!P49+'18. mell. Margaréta'!P49+'19.mell.Szentmihályi Játszókert'!P49+'20. mell. M. Fecskefészek'!P49+'21. mell. CMH'!P49+'22. mell. Bölcsőde'!P49+'23. mell. Terszoc.'!P49+'24. mell. Napraforgó'!P49+'25. mell. Kerületgazda'!P49+'26. mell. Őrszolgálat'!P49+'27. mell. KHEK'!P49+'28. mell. KIO'!P49</f>
        <v>0</v>
      </c>
      <c r="Q49" s="321">
        <f>+'9. mell. PMH'!Q49+'12. mell. Szakrendelő'!Q49+'13. mell. GAMESZ'!Q49+'14. mell. Gyerekkuckó'!Q49+'15. mell. Cinkotai H.'!Q49+'16. mell. Napsugár'!Q49+'17. mell. Sashalmi M.'!Q49+'18. mell. Margaréta'!Q49+'19.mell.Szentmihályi Játszókert'!Q49+'20. mell. M. Fecskefészek'!Q49+'21. mell. CMH'!Q49+'22. mell. Bölcsőde'!Q49+'23. mell. Terszoc.'!Q49+'24. mell. Napraforgó'!Q49+'25. mell. Kerületgazda'!Q49+'26. mell. Őrszolgálat'!Q49+'27. mell. KHEK'!Q49+'28. mell. KIO'!Q49</f>
        <v>0</v>
      </c>
      <c r="R49" s="321">
        <f>+'9. mell. PMH'!R49+'12. mell. Szakrendelő'!R49+'13. mell. GAMESZ'!R49+'14. mell. Gyerekkuckó'!R49+'15. mell. Cinkotai H.'!R49+'16. mell. Napsugár'!R49+'17. mell. Sashalmi M.'!R49+'18. mell. Margaréta'!R49+'19.mell.Szentmihályi Játszókert'!R49+'20. mell. M. Fecskefészek'!R49+'21. mell. CMH'!R49+'22. mell. Bölcsőde'!R49+'23. mell. Terszoc.'!R49+'24. mell. Napraforgó'!R49+'25. mell. Kerületgazda'!R49+'26. mell. Őrszolgálat'!R49+'27. mell. KHEK'!R49+'28. mell. KIO'!R49</f>
        <v>0</v>
      </c>
      <c r="S49" s="321">
        <f>+'9. mell. PMH'!S49+'12. mell. Szakrendelő'!S49+'13. mell. GAMESZ'!S49+'14. mell. Gyerekkuckó'!S49+'15. mell. Cinkotai H.'!S49+'16. mell. Napsugár'!S49+'17. mell. Sashalmi M.'!S49+'18. mell. Margaréta'!S49+'19.mell.Szentmihályi Játszókert'!S49+'20. mell. M. Fecskefészek'!S49+'21. mell. CMH'!S49+'22. mell. Bölcsőde'!S49+'23. mell. Terszoc.'!S49+'24. mell. Napraforgó'!S49+'25. mell. Kerületgazda'!S49+'26. mell. Őrszolgálat'!S49+'27. mell. KHEK'!S49+'28. mell. KIO'!S49</f>
        <v>2090541</v>
      </c>
      <c r="T49" s="321">
        <f>+'9. mell. PMH'!T49+'12. mell. Szakrendelő'!T49+'13. mell. GAMESZ'!T49+'14. mell. Gyerekkuckó'!T49+'15. mell. Cinkotai H.'!T49+'16. mell. Napsugár'!T49+'17. mell. Sashalmi M.'!T49+'18. mell. Margaréta'!T49+'19.mell.Szentmihályi Játszókert'!T49+'20. mell. M. Fecskefészek'!T49+'21. mell. CMH'!T49+'22. mell. Bölcsőde'!T49+'23. mell. Terszoc.'!T49+'24. mell. Napraforgó'!T49+'25. mell. Kerületgazda'!T49+'26. mell. Őrszolgálat'!T49+'27. mell. KHEK'!T49+'28. mell. KIO'!T49</f>
        <v>3075246</v>
      </c>
      <c r="U49" s="321">
        <f>+'9. mell. PMH'!U49+'12. mell. Szakrendelő'!U49+'13. mell. GAMESZ'!U49+'14. mell. Gyerekkuckó'!U49+'15. mell. Cinkotai H.'!U49+'16. mell. Napsugár'!U49+'17. mell. Sashalmi M.'!U49+'18. mell. Margaréta'!U49+'19.mell.Szentmihályi Játszókert'!U49+'20. mell. M. Fecskefészek'!U49+'21. mell. CMH'!U49+'22. mell. Bölcsőde'!U49+'23. mell. Terszoc.'!U49+'24. mell. Napraforgó'!U49+'25. mell. Kerületgazda'!U49+'26. mell. Őrszolgálat'!U49+'27. mell. KHEK'!U49+'28. mell. KIO'!U49</f>
        <v>1591431</v>
      </c>
      <c r="V49" s="321">
        <f>+'9. mell. PMH'!V49+'12. mell. Szakrendelő'!V49+'13. mell. GAMESZ'!V49+'14. mell. Gyerekkuckó'!V49+'15. mell. Cinkotai H.'!V49+'16. mell. Napsugár'!V49+'17. mell. Sashalmi M.'!V49+'18. mell. Margaréta'!V49+'19.mell.Szentmihályi Játszókert'!V49+'20. mell. M. Fecskefészek'!V49+'21. mell. CMH'!V49+'22. mell. Bölcsőde'!V49+'23. mell. Terszoc.'!V49+'24. mell. Napraforgó'!V49+'25. mell. Kerületgazda'!V49+'26. mell. Őrszolgálat'!V49+'27. mell. KHEK'!V49+'28. mell. KIO'!V49</f>
        <v>1591431</v>
      </c>
      <c r="W49" s="321">
        <f>+'9. mell. PMH'!W49+'12. mell. Szakrendelő'!W49+'13. mell. GAMESZ'!W49+'14. mell. Gyerekkuckó'!W49+'15. mell. Cinkotai H.'!W49+'16. mell. Napsugár'!W49+'17. mell. Sashalmi M.'!W49+'18. mell. Margaréta'!W49+'19.mell.Szentmihályi Játszókert'!W49+'20. mell. M. Fecskefészek'!W49+'21. mell. CMH'!W49+'22. mell. Bölcsőde'!W49+'23. mell. Terszoc.'!W49+'24. mell. Napraforgó'!W49+'25. mell. Kerületgazda'!W49+'26. mell. Őrszolgálat'!W49+'27. mell. KHEK'!W49+'28. mell. KIO'!W49</f>
        <v>1591431</v>
      </c>
      <c r="X49" s="321">
        <f>+'9. mell. PMH'!X49+'12. mell. Szakrendelő'!X49+'13. mell. GAMESZ'!X49+'14. mell. Gyerekkuckó'!X49+'15. mell. Cinkotai H.'!X49+'16. mell. Napsugár'!X49+'17. mell. Sashalmi M.'!X49+'18. mell. Margaréta'!X49+'19.mell.Szentmihályi Játszókert'!X49+'20. mell. M. Fecskefészek'!X49+'21. mell. CMH'!X49+'22. mell. Bölcsőde'!X49+'23. mell. Terszoc.'!X49+'24. mell. Napraforgó'!X49+'25. mell. Kerületgazda'!X49+'26. mell. Őrszolgálat'!X49+'27. mell. KHEK'!X49+'28. mell. KIO'!X49</f>
        <v>0</v>
      </c>
      <c r="Y49" s="321">
        <f>+'9. mell. PMH'!Y49+'12. mell. Szakrendelő'!Y49+'13. mell. GAMESZ'!Y49+'14. mell. Gyerekkuckó'!Y49+'15. mell. Cinkotai H.'!Y49+'16. mell. Napsugár'!Y49+'17. mell. Sashalmi M.'!Y49+'18. mell. Margaréta'!Y49+'19.mell.Szentmihályi Játszókert'!Y49+'20. mell. M. Fecskefészek'!Y49+'21. mell. CMH'!Y49+'22. mell. Bölcsőde'!Y49+'23. mell. Terszoc.'!Y49+'24. mell. Napraforgó'!Y49+'25. mell. Kerületgazda'!Y49+'26. mell. Őrszolgálat'!Y49+'27. mell. KHEK'!Y49+'28. mell. KIO'!Y49</f>
        <v>0</v>
      </c>
      <c r="Z49" s="321">
        <f>+'9. mell. PMH'!Z49+'12. mell. Szakrendelő'!Z49+'13. mell. GAMESZ'!Z49+'14. mell. Gyerekkuckó'!Z49+'15. mell. Cinkotai H.'!Z49+'16. mell. Napsugár'!Z49+'17. mell. Sashalmi M.'!Z49+'18. mell. Margaréta'!Z49+'19.mell.Szentmihályi Játszókert'!Z49+'20. mell. M. Fecskefészek'!Z49+'21. mell. CMH'!Z49+'22. mell. Bölcsőde'!Z49+'23. mell. Terszoc.'!Z49+'24. mell. Napraforgó'!Z49+'25. mell. Kerületgazda'!Z49+'26. mell. Őrszolgálat'!Z49+'27. mell. KHEK'!Z49+'28. mell. KIO'!Z49</f>
        <v>0</v>
      </c>
      <c r="AA49" s="321">
        <f>+'9. mell. PMH'!AA49+'12. mell. Szakrendelő'!AA49+'13. mell. GAMESZ'!AA49+'14. mell. Gyerekkuckó'!AA49+'15. mell. Cinkotai H.'!AA49+'16. mell. Napsugár'!AA49+'17. mell. Sashalmi M.'!AA49+'18. mell. Margaréta'!AA49+'19.mell.Szentmihályi Játszókert'!AA49+'20. mell. M. Fecskefészek'!AA49+'21. mell. CMH'!AA49+'22. mell. Bölcsőde'!AA49+'23. mell. Terszoc.'!AA49+'24. mell. Napraforgó'!AA49+'25. mell. Kerületgazda'!AA49+'26. mell. Őrszolgálat'!AA49+'27. mell. KHEK'!AA49+'28. mell. KIO'!AA49</f>
        <v>0</v>
      </c>
      <c r="AB49" s="321">
        <f>+'9. mell. PMH'!AB49+'12. mell. Szakrendelő'!AB49+'13. mell. GAMESZ'!AB49+'14. mell. Gyerekkuckó'!AB49+'15. mell. Cinkotai H.'!AB49+'16. mell. Napsugár'!AB49+'17. mell. Sashalmi M.'!AB49+'18. mell. Margaréta'!AB49+'19.mell.Szentmihályi Játszókert'!AB49+'20. mell. M. Fecskefészek'!AB49+'21. mell. CMH'!AB49+'22. mell. Bölcsőde'!AB49+'23. mell. Terszoc.'!AB49+'24. mell. Napraforgó'!AB49+'25. mell. Kerületgazda'!AB49+'26. mell. Őrszolgálat'!AB49+'27. mell. KHEK'!AB49+'28. mell. KIO'!AB49</f>
        <v>0</v>
      </c>
      <c r="AC49" s="321">
        <f>+'9. mell. PMH'!AC49+'12. mell. Szakrendelő'!AC49+'13. mell. GAMESZ'!AC49+'14. mell. Gyerekkuckó'!AC49+'15. mell. Cinkotai H.'!AC49+'16. mell. Napsugár'!AC49+'17. mell. Sashalmi M.'!AC49+'18. mell. Margaréta'!AC49+'19.mell.Szentmihályi Játszókert'!AC49+'20. mell. M. Fecskefészek'!AC49+'21. mell. CMH'!AC49+'22. mell. Bölcsőde'!AC49+'23. mell. Terszoc.'!AC49+'24. mell. Napraforgó'!AC49+'25. mell. Kerületgazda'!AC49+'26. mell. Őrszolgálat'!AC49+'27. mell. KHEK'!AC49+'28. mell. KIO'!AC49</f>
        <v>0</v>
      </c>
      <c r="AD49" s="342"/>
      <c r="AE49" s="321">
        <f t="shared" si="13"/>
        <v>2090541</v>
      </c>
      <c r="AF49" s="321">
        <f t="shared" si="14"/>
        <v>984705</v>
      </c>
      <c r="AG49" s="321">
        <f t="shared" si="15"/>
        <v>-1483815</v>
      </c>
      <c r="AH49" s="321">
        <f t="shared" si="16"/>
        <v>0</v>
      </c>
      <c r="AI49" s="324">
        <f>+K49/I49</f>
        <v>1</v>
      </c>
      <c r="AJ49" s="321">
        <f t="shared" si="17"/>
        <v>-68406501</v>
      </c>
      <c r="AK49" s="325">
        <f>+F49-'9. mell. PMH'!F49-'12. mell. Szakrendelő'!F49-'25. mell. Kerületgazda'!F49-'28. mell. KIO'!F49</f>
        <v>0</v>
      </c>
      <c r="AL49" s="325">
        <f>+G49-'9. mell. PMH'!G49-'12. mell. Szakrendelő'!G49-'25. mell. Kerületgazda'!G49-'28. mell. KIO'!G49</f>
        <v>2090541</v>
      </c>
      <c r="AM49" s="325">
        <f>+H49-'9. mell. PMH'!H49-'12. mell. Szakrendelő'!H49-'25. mell. Kerületgazda'!H49-'28. mell. KIO'!H49</f>
        <v>1591431</v>
      </c>
      <c r="AN49" s="325">
        <f>+I49-'9. mell. PMH'!I49-'12. mell. Szakrendelő'!I49-'25. mell. Kerületgazda'!I49-'28. mell. KIO'!I49</f>
        <v>1591431</v>
      </c>
      <c r="AO49" s="325">
        <f>+J49-'9. mell. PMH'!J49-'12. mell. Szakrendelő'!J49-'25. mell. Kerületgazda'!J49-'28. mell. KIO'!J49</f>
        <v>1591431</v>
      </c>
      <c r="AP49" s="325">
        <f>+K49-'9. mell. PMH'!K49-'12. mell. Szakrendelő'!K49-'25. mell. Kerületgazda'!K49-'28. mell. KIO'!K49</f>
        <v>1591431</v>
      </c>
      <c r="AQ49" s="1195">
        <f t="shared" si="5"/>
        <v>2090541</v>
      </c>
      <c r="AR49" s="2209">
        <f t="shared" si="6"/>
        <v>-499110</v>
      </c>
      <c r="AS49" s="1195">
        <f t="shared" si="7"/>
        <v>0</v>
      </c>
      <c r="AT49" s="2647">
        <v>31504242</v>
      </c>
      <c r="AU49" s="1593">
        <f t="shared" si="8"/>
        <v>0</v>
      </c>
    </row>
    <row r="50" spans="1:47" ht="12" customHeight="1" thickBot="1">
      <c r="A50" s="319"/>
      <c r="B50" s="1438" t="s">
        <v>189</v>
      </c>
      <c r="C50" s="328" t="s">
        <v>3794</v>
      </c>
      <c r="D50" s="321">
        <f>+'9. mell. PMH'!D50+'12. mell. Szakrendelő'!D50+'13. mell. GAMESZ'!D50+'14. mell. Gyerekkuckó'!D50+'15. mell. Cinkotai H.'!D50+'16. mell. Napsugár'!D50+'17. mell. Sashalmi M.'!D50+'18. mell. Margaréta'!D50+'19.mell.Szentmihályi Játszókert'!D50+'20. mell. M. Fecskefészek'!D50+'21. mell. CMH'!D50+'22. mell. Bölcsőde'!D50+'23. mell. Terszoc.'!D50+'24. mell. Napraforgó'!D50+'25. mell. Kerületgazda'!D50+'26. mell. Őrszolgálat'!D50+'27. mell. KHEK'!D50+'28. mell. KIO'!D50</f>
        <v>0</v>
      </c>
      <c r="E50" s="2587">
        <f>+'9. mell. PMH'!E50+'12. mell. Szakrendelő'!E50+'13. mell. GAMESZ'!E50+'14. mell. Gyerekkuckó'!E50+'15. mell. Cinkotai H.'!E50+'16. mell. Napsugár'!E50+'17. mell. Sashalmi M.'!E50+'18. mell. Margaréta'!E50+'19.mell.Szentmihályi Játszókert'!E50+'20. mell. M. Fecskefészek'!E50+'21. mell. CMH'!E50+'22. mell. Bölcsőde'!E50+'23. mell. Terszoc.'!E50+'24. mell. Napraforgó'!E50+'25. mell. Kerületgazda'!E50+'26. mell. Őrszolgálat'!E50+'27. mell. KHEK'!E50+'28. mell. KIO'!E50</f>
        <v>0</v>
      </c>
      <c r="F50" s="321">
        <f>+'9. mell. PMH'!F50+'12. mell. Szakrendelő'!F50+'13. mell. GAMESZ'!F50+'14. mell. Gyerekkuckó'!F50+'15. mell. Cinkotai H.'!F50+'16. mell. Napsugár'!F50+'17. mell. Sashalmi M.'!F50+'18. mell. Margaréta'!F50+'19.mell.Szentmihályi Játszókert'!F50+'20. mell. M. Fecskefészek'!F50+'21. mell. CMH'!F50+'22. mell. Bölcsőde'!F50+'23. mell. Terszoc.'!F50+'24. mell. Napraforgó'!F50+'25. mell. Kerületgazda'!F50+'26. mell. Őrszolgálat'!F50+'27. mell. KHEK'!F50+'28. mell. KIO'!F50</f>
        <v>13277198</v>
      </c>
      <c r="G50" s="321">
        <f>+'9. mell. PMH'!G50+'12. mell. Szakrendelő'!G50+'13. mell. GAMESZ'!G50+'14. mell. Gyerekkuckó'!G50+'15. mell. Cinkotai H.'!G50+'16. mell. Napsugár'!G50+'17. mell. Sashalmi M.'!G50+'18. mell. Margaréta'!G50+'19.mell.Szentmihályi Játszókert'!G50+'20. mell. M. Fecskefészek'!G50+'21. mell. CMH'!G50+'22. mell. Bölcsőde'!G50+'23. mell. Terszoc.'!G50+'24. mell. Napraforgó'!G50+'25. mell. Kerületgazda'!G50+'26. mell. Őrszolgálat'!G50+'27. mell. KHEK'!G50+'28. mell. KIO'!G50</f>
        <v>13277198</v>
      </c>
      <c r="H50" s="321">
        <f>+'9. mell. PMH'!H50+'12. mell. Szakrendelő'!H50+'13. mell. GAMESZ'!H50+'14. mell. Gyerekkuckó'!H50+'15. mell. Cinkotai H.'!H50+'16. mell. Napsugár'!H50+'17. mell. Sashalmi M.'!H50+'18. mell. Margaréta'!H50+'19.mell.Szentmihályi Játszókert'!H50+'20. mell. M. Fecskefészek'!H50+'21. mell. CMH'!H50+'22. mell. Bölcsőde'!H50+'23. mell. Terszoc.'!H50+'24. mell. Napraforgó'!H50+'25. mell. Kerületgazda'!H50+'26. mell. Őrszolgálat'!H50+'27. mell. KHEK'!H50+'28. mell. KIO'!H50</f>
        <v>13277198</v>
      </c>
      <c r="I50" s="321">
        <f>+'9. mell. PMH'!I50+'12. mell. Szakrendelő'!I50+'13. mell. GAMESZ'!I50+'14. mell. Gyerekkuckó'!I50+'15. mell. Cinkotai H.'!I50+'16. mell. Napsugár'!I50+'17. mell. Sashalmi M.'!I50+'18. mell. Margaréta'!I50+'19.mell.Szentmihályi Játszókert'!I50+'20. mell. M. Fecskefészek'!I50+'21. mell. CMH'!I50+'22. mell. Bölcsőde'!I50+'23. mell. Terszoc.'!I50+'24. mell. Napraforgó'!I50+'25. mell. Kerületgazda'!I50+'26. mell. Őrszolgálat'!I50+'27. mell. KHEK'!I50+'28. mell. KIO'!I50</f>
        <v>13277198</v>
      </c>
      <c r="J50" s="321">
        <f>+'9. mell. PMH'!J50+'12. mell. Szakrendelő'!J50+'13. mell. GAMESZ'!J50+'14. mell. Gyerekkuckó'!J50+'15. mell. Cinkotai H.'!J50+'16. mell. Napsugár'!J50+'17. mell. Sashalmi M.'!J50+'18. mell. Margaréta'!J50+'19.mell.Szentmihályi Játszókert'!J50+'20. mell. M. Fecskefészek'!J50+'21. mell. CMH'!J50+'22. mell. Bölcsőde'!J50+'23. mell. Terszoc.'!J50+'24. mell. Napraforgó'!J50+'25. mell. Kerületgazda'!J50+'26. mell. Őrszolgálat'!J50+'27. mell. KHEK'!J50+'28. mell. KIO'!J50</f>
        <v>13277198</v>
      </c>
      <c r="K50" s="2197">
        <f>+'9. mell. PMH'!K50+'12. mell. Szakrendelő'!K50+'13. mell. GAMESZ'!K50+'14. mell. Gyerekkuckó'!K50+'15. mell. Cinkotai H.'!K50+'16. mell. Napsugár'!K50+'17. mell. Sashalmi M.'!K50+'18. mell. Margaréta'!K50+'19.mell.Szentmihályi Játszókert'!K50+'20. mell. M. Fecskefészek'!K50+'21. mell. CMH'!K50+'22. mell. Bölcsőde'!K50+'23. mell. Terszoc.'!K50+'24. mell. Napraforgó'!K50+'25. mell. Kerületgazda'!K50+'26. mell. Őrszolgálat'!K50+'27. mell. KHEK'!K50+'28. mell. KIO'!K50</f>
        <v>0</v>
      </c>
      <c r="L50" s="321">
        <f>+'9. mell. PMH'!L50+'12. mell. Szakrendelő'!L50+'13. mell. GAMESZ'!L50+'14. mell. Gyerekkuckó'!L50+'15. mell. Cinkotai H.'!L50+'16. mell. Napsugár'!L50+'17. mell. Sashalmi M.'!L50+'18. mell. Margaréta'!L50+'19.mell.Szentmihályi Játszókert'!L50+'20. mell. M. Fecskefészek'!L50+'21. mell. CMH'!L50+'22. mell. Bölcsőde'!L50+'23. mell. Terszoc.'!L50+'24. mell. Napraforgó'!L50+'25. mell. Kerületgazda'!L50+'26. mell. Őrszolgálat'!L50+'27. mell. KHEK'!L50+'28. mell. KIO'!L50</f>
        <v>13277198</v>
      </c>
      <c r="M50" s="321">
        <f>+'9. mell. PMH'!M50+'12. mell. Szakrendelő'!M50+'13. mell. GAMESZ'!M50+'14. mell. Gyerekkuckó'!M50+'15. mell. Cinkotai H.'!M50+'16. mell. Napsugár'!M50+'17. mell. Sashalmi M.'!M50+'18. mell. Margaréta'!M50+'19.mell.Szentmihályi Játszókert'!M50+'20. mell. M. Fecskefészek'!M50+'21. mell. CMH'!M50+'22. mell. Bölcsőde'!M50+'23. mell. Terszoc.'!M50+'24. mell. Napraforgó'!M50+'25. mell. Kerületgazda'!M50+'26. mell. Őrszolgálat'!M50+'27. mell. KHEK'!M50+'28. mell. KIO'!M50</f>
        <v>13277198</v>
      </c>
      <c r="N50" s="321">
        <f>+'9. mell. PMH'!N50+'12. mell. Szakrendelő'!N50+'13. mell. GAMESZ'!N50+'14. mell. Gyerekkuckó'!N50+'15. mell. Cinkotai H.'!N50+'16. mell. Napsugár'!N50+'17. mell. Sashalmi M.'!N50+'18. mell. Margaréta'!N50+'19.mell.Szentmihályi Játszókert'!N50+'20. mell. M. Fecskefészek'!N50+'21. mell. CMH'!N50+'22. mell. Bölcsőde'!N50+'23. mell. Terszoc.'!N50+'24. mell. Napraforgó'!N50+'25. mell. Kerületgazda'!N50+'26. mell. Őrszolgálat'!N50+'27. mell. KHEK'!N50+'28. mell. KIO'!N50</f>
        <v>13277198</v>
      </c>
      <c r="O50" s="321">
        <f>+'9. mell. PMH'!O50+'12. mell. Szakrendelő'!O50+'13. mell. GAMESZ'!O50+'14. mell. Gyerekkuckó'!O50+'15. mell. Cinkotai H.'!O50+'16. mell. Napsugár'!O50+'17. mell. Sashalmi M.'!O50+'18. mell. Margaréta'!O50+'19.mell.Szentmihályi Játszókert'!O50+'20. mell. M. Fecskefészek'!O50+'21. mell. CMH'!O50+'22. mell. Bölcsőde'!O50+'23. mell. Terszoc.'!O50+'24. mell. Napraforgó'!O50+'25. mell. Kerületgazda'!O50+'26. mell. Őrszolgálat'!O50+'27. mell. KHEK'!O50+'28. mell. KIO'!O50</f>
        <v>13277198</v>
      </c>
      <c r="P50" s="321">
        <f>+'9. mell. PMH'!P50+'12. mell. Szakrendelő'!P50+'13. mell. GAMESZ'!P50+'14. mell. Gyerekkuckó'!P50+'15. mell. Cinkotai H.'!P50+'16. mell. Napsugár'!P50+'17. mell. Sashalmi M.'!P50+'18. mell. Margaréta'!P50+'19.mell.Szentmihályi Játszókert'!P50+'20. mell. M. Fecskefészek'!P50+'21. mell. CMH'!P50+'22. mell. Bölcsőde'!P50+'23. mell. Terszoc.'!P50+'24. mell. Napraforgó'!P50+'25. mell. Kerületgazda'!P50+'26. mell. Őrszolgálat'!P50+'27. mell. KHEK'!P50+'28. mell. KIO'!P50</f>
        <v>13277198</v>
      </c>
      <c r="Q50" s="321">
        <f>+'9. mell. PMH'!Q50+'12. mell. Szakrendelő'!Q50+'13. mell. GAMESZ'!Q50+'14. mell. Gyerekkuckó'!Q50+'15. mell. Cinkotai H.'!Q50+'16. mell. Napsugár'!Q50+'17. mell. Sashalmi M.'!Q50+'18. mell. Margaréta'!Q50+'19.mell.Szentmihályi Játszókert'!Q50+'20. mell. M. Fecskefészek'!Q50+'21. mell. CMH'!Q50+'22. mell. Bölcsőde'!Q50+'23. mell. Terszoc.'!Q50+'24. mell. Napraforgó'!Q50+'25. mell. Kerületgazda'!Q50+'26. mell. Őrszolgálat'!Q50+'27. mell. KHEK'!Q50+'28. mell. KIO'!Q50</f>
        <v>0</v>
      </c>
      <c r="R50" s="321">
        <f>+'9. mell. PMH'!R50+'12. mell. Szakrendelő'!R50+'13. mell. GAMESZ'!R50+'14. mell. Gyerekkuckó'!R50+'15. mell. Cinkotai H.'!R50+'16. mell. Napsugár'!R50+'17. mell. Sashalmi M.'!R50+'18. mell. Margaréta'!R50+'19.mell.Szentmihályi Játszókert'!R50+'20. mell. M. Fecskefészek'!R50+'21. mell. CMH'!R50+'22. mell. Bölcsőde'!R50+'23. mell. Terszoc.'!R50+'24. mell. Napraforgó'!R50+'25. mell. Kerületgazda'!R50+'26. mell. Őrszolgálat'!R50+'27. mell. KHEK'!R50+'28. mell. KIO'!R50</f>
        <v>0</v>
      </c>
      <c r="S50" s="321">
        <f>+'9. mell. PMH'!S50+'12. mell. Szakrendelő'!S50+'13. mell. GAMESZ'!S50+'14. mell. Gyerekkuckó'!S50+'15. mell. Cinkotai H.'!S50+'16. mell. Napsugár'!S50+'17. mell. Sashalmi M.'!S50+'18. mell. Margaréta'!S50+'19.mell.Szentmihályi Játszókert'!S50+'20. mell. M. Fecskefészek'!S50+'21. mell. CMH'!S50+'22. mell. Bölcsőde'!S50+'23. mell. Terszoc.'!S50+'24. mell. Napraforgó'!S50+'25. mell. Kerületgazda'!S50+'26. mell. Őrszolgálat'!S50+'27. mell. KHEK'!S50+'28. mell. KIO'!S50</f>
        <v>0</v>
      </c>
      <c r="T50" s="321">
        <f>+'9. mell. PMH'!T50+'12. mell. Szakrendelő'!T50+'13. mell. GAMESZ'!T50+'14. mell. Gyerekkuckó'!T50+'15. mell. Cinkotai H.'!T50+'16. mell. Napsugár'!T50+'17. mell. Sashalmi M.'!T50+'18. mell. Margaréta'!T50+'19.mell.Szentmihályi Játszókert'!T50+'20. mell. M. Fecskefészek'!T50+'21. mell. CMH'!T50+'22. mell. Bölcsőde'!T50+'23. mell. Terszoc.'!T50+'24. mell. Napraforgó'!T50+'25. mell. Kerületgazda'!T50+'26. mell. Őrszolgálat'!T50+'27. mell. KHEK'!T50+'28. mell. KIO'!T50</f>
        <v>0</v>
      </c>
      <c r="U50" s="321">
        <f>+'9. mell. PMH'!U50+'12. mell. Szakrendelő'!U50+'13. mell. GAMESZ'!U50+'14. mell. Gyerekkuckó'!U50+'15. mell. Cinkotai H.'!U50+'16. mell. Napsugár'!U50+'17. mell. Sashalmi M.'!U50+'18. mell. Margaréta'!U50+'19.mell.Szentmihályi Játszókert'!U50+'20. mell. M. Fecskefészek'!U50+'21. mell. CMH'!U50+'22. mell. Bölcsőde'!U50+'23. mell. Terszoc.'!U50+'24. mell. Napraforgó'!U50+'25. mell. Kerületgazda'!U50+'26. mell. Őrszolgálat'!U50+'27. mell. KHEK'!U50+'28. mell. KIO'!U50</f>
        <v>0</v>
      </c>
      <c r="V50" s="321">
        <f>+'9. mell. PMH'!V50+'12. mell. Szakrendelő'!V50+'13. mell. GAMESZ'!V50+'14. mell. Gyerekkuckó'!V50+'15. mell. Cinkotai H.'!V50+'16. mell. Napsugár'!V50+'17. mell. Sashalmi M.'!V50+'18. mell. Margaréta'!V50+'19.mell.Szentmihályi Játszókert'!V50+'20. mell. M. Fecskefészek'!V50+'21. mell. CMH'!V50+'22. mell. Bölcsőde'!V50+'23. mell. Terszoc.'!V50+'24. mell. Napraforgó'!V50+'25. mell. Kerületgazda'!V50+'26. mell. Őrszolgálat'!V50+'27. mell. KHEK'!V50+'28. mell. KIO'!V50</f>
        <v>0</v>
      </c>
      <c r="W50" s="321">
        <f>+'9. mell. PMH'!W50+'12. mell. Szakrendelő'!W50+'13. mell. GAMESZ'!W50+'14. mell. Gyerekkuckó'!W50+'15. mell. Cinkotai H.'!W50+'16. mell. Napsugár'!W50+'17. mell. Sashalmi M.'!W50+'18. mell. Margaréta'!W50+'19.mell.Szentmihályi Játszókert'!W50+'20. mell. M. Fecskefészek'!W50+'21. mell. CMH'!W50+'22. mell. Bölcsőde'!W50+'23. mell. Terszoc.'!W50+'24. mell. Napraforgó'!W50+'25. mell. Kerületgazda'!W50+'26. mell. Őrszolgálat'!W50+'27. mell. KHEK'!W50+'28. mell. KIO'!W50</f>
        <v>0</v>
      </c>
      <c r="X50" s="321">
        <f>+'9. mell. PMH'!X50+'12. mell. Szakrendelő'!X50+'13. mell. GAMESZ'!X50+'14. mell. Gyerekkuckó'!X50+'15. mell. Cinkotai H.'!X50+'16. mell. Napsugár'!X50+'17. mell. Sashalmi M.'!X50+'18. mell. Margaréta'!X50+'19.mell.Szentmihályi Játszókert'!X50+'20. mell. M. Fecskefészek'!X50+'21. mell. CMH'!X50+'22. mell. Bölcsőde'!X50+'23. mell. Terszoc.'!X50+'24. mell. Napraforgó'!X50+'25. mell. Kerületgazda'!X50+'26. mell. Őrszolgálat'!X50+'27. mell. KHEK'!X50+'28. mell. KIO'!X50</f>
        <v>0</v>
      </c>
      <c r="Y50" s="321">
        <f>+'9. mell. PMH'!Y50+'12. mell. Szakrendelő'!Y50+'13. mell. GAMESZ'!Y50+'14. mell. Gyerekkuckó'!Y50+'15. mell. Cinkotai H.'!Y50+'16. mell. Napsugár'!Y50+'17. mell. Sashalmi M.'!Y50+'18. mell. Margaréta'!Y50+'19.mell.Szentmihályi Játszókert'!Y50+'20. mell. M. Fecskefészek'!Y50+'21. mell. CMH'!Y50+'22. mell. Bölcsőde'!Y50+'23. mell. Terszoc.'!Y50+'24. mell. Napraforgó'!Y50+'25. mell. Kerületgazda'!Y50+'26. mell. Őrszolgálat'!Y50+'27. mell. KHEK'!Y50+'28. mell. KIO'!Y50</f>
        <v>0</v>
      </c>
      <c r="Z50" s="321">
        <f>+'9. mell. PMH'!Z50+'12. mell. Szakrendelő'!Z50+'13. mell. GAMESZ'!Z50+'14. mell. Gyerekkuckó'!Z50+'15. mell. Cinkotai H.'!Z50+'16. mell. Napsugár'!Z50+'17. mell. Sashalmi M.'!Z50+'18. mell. Margaréta'!Z50+'19.mell.Szentmihályi Játszókert'!Z50+'20. mell. M. Fecskefészek'!Z50+'21. mell. CMH'!Z50+'22. mell. Bölcsőde'!Z50+'23. mell. Terszoc.'!Z50+'24. mell. Napraforgó'!Z50+'25. mell. Kerületgazda'!Z50+'26. mell. Őrszolgálat'!Z50+'27. mell. KHEK'!Z50+'28. mell. KIO'!Z50</f>
        <v>0</v>
      </c>
      <c r="AA50" s="321">
        <f>+'9. mell. PMH'!AA50+'12. mell. Szakrendelő'!AA50+'13. mell. GAMESZ'!AA50+'14. mell. Gyerekkuckó'!AA50+'15. mell. Cinkotai H.'!AA50+'16. mell. Napsugár'!AA50+'17. mell. Sashalmi M.'!AA50+'18. mell. Margaréta'!AA50+'19.mell.Szentmihályi Játszókert'!AA50+'20. mell. M. Fecskefészek'!AA50+'21. mell. CMH'!AA50+'22. mell. Bölcsőde'!AA50+'23. mell. Terszoc.'!AA50+'24. mell. Napraforgó'!AA50+'25. mell. Kerületgazda'!AA50+'26. mell. Őrszolgálat'!AA50+'27. mell. KHEK'!AA50+'28. mell. KIO'!AA50</f>
        <v>0</v>
      </c>
      <c r="AB50" s="321">
        <f>+'9. mell. PMH'!AB50+'12. mell. Szakrendelő'!AB50+'13. mell. GAMESZ'!AB50+'14. mell. Gyerekkuckó'!AB50+'15. mell. Cinkotai H.'!AB50+'16. mell. Napsugár'!AB50+'17. mell. Sashalmi M.'!AB50+'18. mell. Margaréta'!AB50+'19.mell.Szentmihályi Játszókert'!AB50+'20. mell. M. Fecskefészek'!AB50+'21. mell. CMH'!AB50+'22. mell. Bölcsőde'!AB50+'23. mell. Terszoc.'!AB50+'24. mell. Napraforgó'!AB50+'25. mell. Kerületgazda'!AB50+'26. mell. Őrszolgálat'!AB50+'27. mell. KHEK'!AB50+'28. mell. KIO'!AB50</f>
        <v>0</v>
      </c>
      <c r="AC50" s="321">
        <f>+'9. mell. PMH'!AC50+'12. mell. Szakrendelő'!AC50+'13. mell. GAMESZ'!AC50+'14. mell. Gyerekkuckó'!AC50+'15. mell. Cinkotai H.'!AC50+'16. mell. Napsugár'!AC50+'17. mell. Sashalmi M.'!AC50+'18. mell. Margaréta'!AC50+'19.mell.Szentmihályi Játszókert'!AC50+'20. mell. M. Fecskefészek'!AC50+'21. mell. CMH'!AC50+'22. mell. Bölcsőde'!AC50+'23. mell. Terszoc.'!AC50+'24. mell. Napraforgó'!AC50+'25. mell. Kerületgazda'!AC50+'26. mell. Őrszolgálat'!AC50+'27. mell. KHEK'!AC50+'28. mell. KIO'!AC50</f>
        <v>0</v>
      </c>
      <c r="AD50" s="342"/>
      <c r="AE50" s="321">
        <f t="shared" si="13"/>
        <v>0</v>
      </c>
      <c r="AF50" s="321">
        <f t="shared" si="14"/>
        <v>0</v>
      </c>
      <c r="AG50" s="321">
        <f t="shared" si="15"/>
        <v>0</v>
      </c>
      <c r="AH50" s="321">
        <f t="shared" si="16"/>
        <v>0</v>
      </c>
      <c r="AI50" s="324"/>
      <c r="AJ50" s="321">
        <f t="shared" si="17"/>
        <v>13277198</v>
      </c>
      <c r="AK50" s="325">
        <f>+F50-'9. mell. PMH'!F50-'12. mell. Szakrendelő'!F50-'25. mell. Kerületgazda'!F50-'28. mell. KIO'!F50</f>
        <v>0</v>
      </c>
      <c r="AL50" s="325">
        <f>+G50-'9. mell. PMH'!G50-'12. mell. Szakrendelő'!G50-'25. mell. Kerületgazda'!G50-'28. mell. KIO'!G50</f>
        <v>0</v>
      </c>
      <c r="AM50" s="325">
        <f>+H50-'9. mell. PMH'!H50-'12. mell. Szakrendelő'!H50-'25. mell. Kerületgazda'!H50-'28. mell. KIO'!H50</f>
        <v>0</v>
      </c>
      <c r="AN50" s="325">
        <f>+I50-'9. mell. PMH'!I50-'12. mell. Szakrendelő'!I50-'25. mell. Kerületgazda'!I50-'28. mell. KIO'!I50</f>
        <v>0</v>
      </c>
      <c r="AO50" s="325">
        <f>+J50-'9. mell. PMH'!J50-'12. mell. Szakrendelő'!J50-'25. mell. Kerületgazda'!J50-'28. mell. KIO'!J50</f>
        <v>0</v>
      </c>
      <c r="AP50" s="325">
        <f>+K50-'9. mell. PMH'!K50-'12. mell. Szakrendelő'!K50-'25. mell. Kerületgazda'!K50-'28. mell. KIO'!K50</f>
        <v>0</v>
      </c>
      <c r="AQ50" s="1195">
        <f t="shared" si="5"/>
        <v>0</v>
      </c>
      <c r="AR50" s="2209">
        <f t="shared" si="6"/>
        <v>0</v>
      </c>
      <c r="AS50" s="1195">
        <f t="shared" si="7"/>
        <v>0</v>
      </c>
      <c r="AT50" s="2647">
        <v>0</v>
      </c>
      <c r="AU50" s="1593">
        <f t="shared" si="8"/>
        <v>0</v>
      </c>
    </row>
    <row r="51" spans="1:47" ht="12" customHeight="1" thickBot="1">
      <c r="A51" s="319"/>
      <c r="B51" s="1438" t="s">
        <v>191</v>
      </c>
      <c r="C51" s="331" t="s">
        <v>1294</v>
      </c>
      <c r="D51" s="321">
        <f>+'9. mell. PMH'!D51+'12. mell. Szakrendelő'!D51+'13. mell. GAMESZ'!D51+'14. mell. Gyerekkuckó'!D51+'15. mell. Cinkotai H.'!D51+'16. mell. Napsugár'!D51+'17. mell. Sashalmi M.'!D51+'18. mell. Margaréta'!D51+'19.mell.Szentmihályi Játszókert'!D51+'20. mell. M. Fecskefészek'!D51+'21. mell. CMH'!D51+'22. mell. Bölcsőde'!D51+'23. mell. Terszoc.'!D51+'24. mell. Napraforgó'!D51+'25. mell. Kerületgazda'!D51+'26. mell. Őrszolgálat'!D51+'27. mell. KHEK'!D51+'28. mell. KIO'!D51</f>
        <v>0</v>
      </c>
      <c r="E51" s="2587">
        <f>+'9. mell. PMH'!E51+'12. mell. Szakrendelő'!E51+'13. mell. GAMESZ'!E51+'14. mell. Gyerekkuckó'!E51+'15. mell. Cinkotai H.'!E51+'16. mell. Napsugár'!E51+'17. mell. Sashalmi M.'!E51+'18. mell. Margaréta'!E51+'19.mell.Szentmihályi Játszókert'!E51+'20. mell. M. Fecskefészek'!E51+'21. mell. CMH'!E51+'22. mell. Bölcsőde'!E51+'23. mell. Terszoc.'!E51+'24. mell. Napraforgó'!E51+'25. mell. Kerületgazda'!E51+'26. mell. Őrszolgálat'!E51+'27. mell. KHEK'!E51+'28. mell. KIO'!E51</f>
        <v>0</v>
      </c>
      <c r="F51" s="321">
        <f>+'9. mell. PMH'!F51+'12. mell. Szakrendelő'!F51+'13. mell. GAMESZ'!F51+'14. mell. Gyerekkuckó'!F51+'15. mell. Cinkotai H.'!F51+'16. mell. Napsugár'!F51+'17. mell. Sashalmi M.'!F51+'18. mell. Margaréta'!F51+'19.mell.Szentmihályi Játszókert'!F51+'20. mell. M. Fecskefészek'!F51+'21. mell. CMH'!F51+'22. mell. Bölcsőde'!F51+'23. mell. Terszoc.'!F51+'24. mell. Napraforgó'!F51+'25. mell. Kerületgazda'!F51+'26. mell. Őrszolgálat'!F51+'27. mell. KHEK'!F51+'28. mell. KIO'!F51</f>
        <v>0</v>
      </c>
      <c r="G51" s="321">
        <f>+'9. mell. PMH'!G51+'12. mell. Szakrendelő'!G51+'13. mell. GAMESZ'!G51+'14. mell. Gyerekkuckó'!G51+'15. mell. Cinkotai H.'!G51+'16. mell. Napsugár'!G51+'17. mell. Sashalmi M.'!G51+'18. mell. Margaréta'!G51+'19.mell.Szentmihályi Játszókert'!G51+'20. mell. M. Fecskefészek'!G51+'21. mell. CMH'!G51+'22. mell. Bölcsőde'!G51+'23. mell. Terszoc.'!G51+'24. mell. Napraforgó'!G51+'25. mell. Kerületgazda'!G51+'26. mell. Őrszolgálat'!G51+'27. mell. KHEK'!G51+'28. mell. KIO'!G51</f>
        <v>0</v>
      </c>
      <c r="H51" s="321">
        <f>+'9. mell. PMH'!H51+'12. mell. Szakrendelő'!H51+'13. mell. GAMESZ'!H51+'14. mell. Gyerekkuckó'!H51+'15. mell. Cinkotai H.'!H51+'16. mell. Napsugár'!H51+'17. mell. Sashalmi M.'!H51+'18. mell. Margaréta'!H51+'19.mell.Szentmihályi Játszókert'!H51+'20. mell. M. Fecskefészek'!H51+'21. mell. CMH'!H51+'22. mell. Bölcsőde'!H51+'23. mell. Terszoc.'!H51+'24. mell. Napraforgó'!H51+'25. mell. Kerületgazda'!H51+'26. mell. Őrszolgálat'!H51+'27. mell. KHEK'!H51+'28. mell. KIO'!H51</f>
        <v>0</v>
      </c>
      <c r="I51" s="321">
        <f>+'9. mell. PMH'!I51+'12. mell. Szakrendelő'!I51+'13. mell. GAMESZ'!I51+'14. mell. Gyerekkuckó'!I51+'15. mell. Cinkotai H.'!I51+'16. mell. Napsugár'!I51+'17. mell. Sashalmi M.'!I51+'18. mell. Margaréta'!I51+'19.mell.Szentmihályi Játszókert'!I51+'20. mell. M. Fecskefészek'!I51+'21. mell. CMH'!I51+'22. mell. Bölcsőde'!I51+'23. mell. Terszoc.'!I51+'24. mell. Napraforgó'!I51+'25. mell. Kerületgazda'!I51+'26. mell. Őrszolgálat'!I51+'27. mell. KHEK'!I51+'28. mell. KIO'!I51</f>
        <v>0</v>
      </c>
      <c r="J51" s="321">
        <f>+'9. mell. PMH'!J51+'12. mell. Szakrendelő'!J51+'13. mell. GAMESZ'!J51+'14. mell. Gyerekkuckó'!J51+'15. mell. Cinkotai H.'!J51+'16. mell. Napsugár'!J51+'17. mell. Sashalmi M.'!J51+'18. mell. Margaréta'!J51+'19.mell.Szentmihályi Játszókert'!J51+'20. mell. M. Fecskefészek'!J51+'21. mell. CMH'!J51+'22. mell. Bölcsőde'!J51+'23. mell. Terszoc.'!J51+'24. mell. Napraforgó'!J51+'25. mell. Kerületgazda'!J51+'26. mell. Őrszolgálat'!J51+'27. mell. KHEK'!J51+'28. mell. KIO'!J51</f>
        <v>0</v>
      </c>
      <c r="K51" s="2197">
        <f>+'9. mell. PMH'!K51+'12. mell. Szakrendelő'!K51+'13. mell. GAMESZ'!K51+'14. mell. Gyerekkuckó'!K51+'15. mell. Cinkotai H.'!K51+'16. mell. Napsugár'!K51+'17. mell. Sashalmi M.'!K51+'18. mell. Margaréta'!K51+'19.mell.Szentmihályi Játszókert'!K51+'20. mell. M. Fecskefészek'!K51+'21. mell. CMH'!K51+'22. mell. Bölcsőde'!K51+'23. mell. Terszoc.'!K51+'24. mell. Napraforgó'!K51+'25. mell. Kerületgazda'!K51+'26. mell. Őrszolgálat'!K51+'27. mell. KHEK'!K51+'28. mell. KIO'!K51</f>
        <v>0</v>
      </c>
      <c r="L51" s="321">
        <f>+'9. mell. PMH'!L51+'12. mell. Szakrendelő'!L51+'13. mell. GAMESZ'!L51+'14. mell. Gyerekkuckó'!L51+'15. mell. Cinkotai H.'!L51+'16. mell. Napsugár'!L51+'17. mell. Sashalmi M.'!L51+'18. mell. Margaréta'!L51+'19.mell.Szentmihályi Játszókert'!L51+'20. mell. M. Fecskefészek'!L51+'21. mell. CMH'!L51+'22. mell. Bölcsőde'!L51+'23. mell. Terszoc.'!L51+'24. mell. Napraforgó'!L51+'25. mell. Kerületgazda'!L51+'26. mell. Őrszolgálat'!L51+'27. mell. KHEK'!L51+'28. mell. KIO'!L51</f>
        <v>0</v>
      </c>
      <c r="M51" s="321">
        <f>+'9. mell. PMH'!M51+'12. mell. Szakrendelő'!M51+'13. mell. GAMESZ'!M51+'14. mell. Gyerekkuckó'!M51+'15. mell. Cinkotai H.'!M51+'16. mell. Napsugár'!M51+'17. mell. Sashalmi M.'!M51+'18. mell. Margaréta'!M51+'19.mell.Szentmihályi Játszókert'!M51+'20. mell. M. Fecskefészek'!M51+'21. mell. CMH'!M51+'22. mell. Bölcsőde'!M51+'23. mell. Terszoc.'!M51+'24. mell. Napraforgó'!M51+'25. mell. Kerületgazda'!M51+'26. mell. Őrszolgálat'!M51+'27. mell. KHEK'!M51+'28. mell. KIO'!M51</f>
        <v>0</v>
      </c>
      <c r="N51" s="321">
        <f>+'9. mell. PMH'!N51+'12. mell. Szakrendelő'!N51+'13. mell. GAMESZ'!N51+'14. mell. Gyerekkuckó'!N51+'15. mell. Cinkotai H.'!N51+'16. mell. Napsugár'!N51+'17. mell. Sashalmi M.'!N51+'18. mell. Margaréta'!N51+'19.mell.Szentmihályi Játszókert'!N51+'20. mell. M. Fecskefészek'!N51+'21. mell. CMH'!N51+'22. mell. Bölcsőde'!N51+'23. mell. Terszoc.'!N51+'24. mell. Napraforgó'!N51+'25. mell. Kerületgazda'!N51+'26. mell. Őrszolgálat'!N51+'27. mell. KHEK'!N51+'28. mell. KIO'!N51</f>
        <v>0</v>
      </c>
      <c r="O51" s="321">
        <f>+'9. mell. PMH'!O51+'12. mell. Szakrendelő'!O51+'13. mell. GAMESZ'!O51+'14. mell. Gyerekkuckó'!O51+'15. mell. Cinkotai H.'!O51+'16. mell. Napsugár'!O51+'17. mell. Sashalmi M.'!O51+'18. mell. Margaréta'!O51+'19.mell.Szentmihályi Játszókert'!O51+'20. mell. M. Fecskefészek'!O51+'21. mell. CMH'!O51+'22. mell. Bölcsőde'!O51+'23. mell. Terszoc.'!O51+'24. mell. Napraforgó'!O51+'25. mell. Kerületgazda'!O51+'26. mell. Őrszolgálat'!O51+'27. mell. KHEK'!O51+'28. mell. KIO'!O51</f>
        <v>0</v>
      </c>
      <c r="P51" s="321">
        <f>+'9. mell. PMH'!P51+'12. mell. Szakrendelő'!P51+'13. mell. GAMESZ'!P51+'14. mell. Gyerekkuckó'!P51+'15. mell. Cinkotai H.'!P51+'16. mell. Napsugár'!P51+'17. mell. Sashalmi M.'!P51+'18. mell. Margaréta'!P51+'19.mell.Szentmihályi Játszókert'!P51+'20. mell. M. Fecskefészek'!P51+'21. mell. CMH'!P51+'22. mell. Bölcsőde'!P51+'23. mell. Terszoc.'!P51+'24. mell. Napraforgó'!P51+'25. mell. Kerületgazda'!P51+'26. mell. Őrszolgálat'!P51+'27. mell. KHEK'!P51+'28. mell. KIO'!P51</f>
        <v>0</v>
      </c>
      <c r="Q51" s="321">
        <f>+'9. mell. PMH'!Q51+'12. mell. Szakrendelő'!Q51+'13. mell. GAMESZ'!Q51+'14. mell. Gyerekkuckó'!Q51+'15. mell. Cinkotai H.'!Q51+'16. mell. Napsugár'!Q51+'17. mell. Sashalmi M.'!Q51+'18. mell. Margaréta'!Q51+'19.mell.Szentmihályi Játszókert'!Q51+'20. mell. M. Fecskefészek'!Q51+'21. mell. CMH'!Q51+'22. mell. Bölcsőde'!Q51+'23. mell. Terszoc.'!Q51+'24. mell. Napraforgó'!Q51+'25. mell. Kerületgazda'!Q51+'26. mell. Őrszolgálat'!Q51+'27. mell. KHEK'!Q51+'28. mell. KIO'!Q51</f>
        <v>0</v>
      </c>
      <c r="R51" s="321">
        <f>+'9. mell. PMH'!R51+'12. mell. Szakrendelő'!R51+'13. mell. GAMESZ'!R51+'14. mell. Gyerekkuckó'!R51+'15. mell. Cinkotai H.'!R51+'16. mell. Napsugár'!R51+'17. mell. Sashalmi M.'!R51+'18. mell. Margaréta'!R51+'19.mell.Szentmihályi Játszókert'!R51+'20. mell. M. Fecskefészek'!R51+'21. mell. CMH'!R51+'22. mell. Bölcsőde'!R51+'23. mell. Terszoc.'!R51+'24. mell. Napraforgó'!R51+'25. mell. Kerületgazda'!R51+'26. mell. Őrszolgálat'!R51+'27. mell. KHEK'!R51+'28. mell. KIO'!R51</f>
        <v>0</v>
      </c>
      <c r="S51" s="321">
        <f>+'9. mell. PMH'!S51+'12. mell. Szakrendelő'!S51+'13. mell. GAMESZ'!S51+'14. mell. Gyerekkuckó'!S51+'15. mell. Cinkotai H.'!S51+'16. mell. Napsugár'!S51+'17. mell. Sashalmi M.'!S51+'18. mell. Margaréta'!S51+'19.mell.Szentmihályi Játszókert'!S51+'20. mell. M. Fecskefészek'!S51+'21. mell. CMH'!S51+'22. mell. Bölcsőde'!S51+'23. mell. Terszoc.'!S51+'24. mell. Napraforgó'!S51+'25. mell. Kerületgazda'!S51+'26. mell. Őrszolgálat'!S51+'27. mell. KHEK'!S51+'28. mell. KIO'!S51</f>
        <v>0</v>
      </c>
      <c r="T51" s="321">
        <f>+'9. mell. PMH'!T51+'12. mell. Szakrendelő'!T51+'13. mell. GAMESZ'!T51+'14. mell. Gyerekkuckó'!T51+'15. mell. Cinkotai H.'!T51+'16. mell. Napsugár'!T51+'17. mell. Sashalmi M.'!T51+'18. mell. Margaréta'!T51+'19.mell.Szentmihályi Játszókert'!T51+'20. mell. M. Fecskefészek'!T51+'21. mell. CMH'!T51+'22. mell. Bölcsőde'!T51+'23. mell. Terszoc.'!T51+'24. mell. Napraforgó'!T51+'25. mell. Kerületgazda'!T51+'26. mell. Őrszolgálat'!T51+'27. mell. KHEK'!T51+'28. mell. KIO'!T51</f>
        <v>0</v>
      </c>
      <c r="U51" s="321">
        <f>+'9. mell. PMH'!U51+'12. mell. Szakrendelő'!U51+'13. mell. GAMESZ'!U51+'14. mell. Gyerekkuckó'!U51+'15. mell. Cinkotai H.'!U51+'16. mell. Napsugár'!U51+'17. mell. Sashalmi M.'!U51+'18. mell. Margaréta'!U51+'19.mell.Szentmihályi Játszókert'!U51+'20. mell. M. Fecskefészek'!U51+'21. mell. CMH'!U51+'22. mell. Bölcsőde'!U51+'23. mell. Terszoc.'!U51+'24. mell. Napraforgó'!U51+'25. mell. Kerületgazda'!U51+'26. mell. Őrszolgálat'!U51+'27. mell. KHEK'!U51+'28. mell. KIO'!U51</f>
        <v>0</v>
      </c>
      <c r="V51" s="321">
        <f>+'9. mell. PMH'!V51+'12. mell. Szakrendelő'!V51+'13. mell. GAMESZ'!V51+'14. mell. Gyerekkuckó'!V51+'15. mell. Cinkotai H.'!V51+'16. mell. Napsugár'!V51+'17. mell. Sashalmi M.'!V51+'18. mell. Margaréta'!V51+'19.mell.Szentmihályi Játszókert'!V51+'20. mell. M. Fecskefészek'!V51+'21. mell. CMH'!V51+'22. mell. Bölcsőde'!V51+'23. mell. Terszoc.'!V51+'24. mell. Napraforgó'!V51+'25. mell. Kerületgazda'!V51+'26. mell. Őrszolgálat'!V51+'27. mell. KHEK'!V51+'28. mell. KIO'!V51</f>
        <v>0</v>
      </c>
      <c r="W51" s="321">
        <f>+'9. mell. PMH'!W51+'12. mell. Szakrendelő'!W51+'13. mell. GAMESZ'!W51+'14. mell. Gyerekkuckó'!W51+'15. mell. Cinkotai H.'!W51+'16. mell. Napsugár'!W51+'17. mell. Sashalmi M.'!W51+'18. mell. Margaréta'!W51+'19.mell.Szentmihályi Játszókert'!W51+'20. mell. M. Fecskefészek'!W51+'21. mell. CMH'!W51+'22. mell. Bölcsőde'!W51+'23. mell. Terszoc.'!W51+'24. mell. Napraforgó'!W51+'25. mell. Kerületgazda'!W51+'26. mell. Őrszolgálat'!W51+'27. mell. KHEK'!W51+'28. mell. KIO'!W51</f>
        <v>0</v>
      </c>
      <c r="X51" s="321">
        <f>+'9. mell. PMH'!X51+'12. mell. Szakrendelő'!X51+'13. mell. GAMESZ'!X51+'14. mell. Gyerekkuckó'!X51+'15. mell. Cinkotai H.'!X51+'16. mell. Napsugár'!X51+'17. mell. Sashalmi M.'!X51+'18. mell. Margaréta'!X51+'19.mell.Szentmihályi Játszókert'!X51+'20. mell. M. Fecskefészek'!X51+'21. mell. CMH'!X51+'22. mell. Bölcsőde'!X51+'23. mell. Terszoc.'!X51+'24. mell. Napraforgó'!X51+'25. mell. Kerületgazda'!X51+'26. mell. Őrszolgálat'!X51+'27. mell. KHEK'!X51+'28. mell. KIO'!X51</f>
        <v>0</v>
      </c>
      <c r="Y51" s="321">
        <f>+'9. mell. PMH'!Y51+'12. mell. Szakrendelő'!Y51+'13. mell. GAMESZ'!Y51+'14. mell. Gyerekkuckó'!Y51+'15. mell. Cinkotai H.'!Y51+'16. mell. Napsugár'!Y51+'17. mell. Sashalmi M.'!Y51+'18. mell. Margaréta'!Y51+'19.mell.Szentmihályi Játszókert'!Y51+'20. mell. M. Fecskefészek'!Y51+'21. mell. CMH'!Y51+'22. mell. Bölcsőde'!Y51+'23. mell. Terszoc.'!Y51+'24. mell. Napraforgó'!Y51+'25. mell. Kerületgazda'!Y51+'26. mell. Őrszolgálat'!Y51+'27. mell. KHEK'!Y51+'28. mell. KIO'!Y51</f>
        <v>0</v>
      </c>
      <c r="Z51" s="321">
        <f>+'9. mell. PMH'!Z51+'12. mell. Szakrendelő'!Z51+'13. mell. GAMESZ'!Z51+'14. mell. Gyerekkuckó'!Z51+'15. mell. Cinkotai H.'!Z51+'16. mell. Napsugár'!Z51+'17. mell. Sashalmi M.'!Z51+'18. mell. Margaréta'!Z51+'19.mell.Szentmihályi Játszókert'!Z51+'20. mell. M. Fecskefészek'!Z51+'21. mell. CMH'!Z51+'22. mell. Bölcsőde'!Z51+'23. mell. Terszoc.'!Z51+'24. mell. Napraforgó'!Z51+'25. mell. Kerületgazda'!Z51+'26. mell. Őrszolgálat'!Z51+'27. mell. KHEK'!Z51+'28. mell. KIO'!Z51</f>
        <v>0</v>
      </c>
      <c r="AA51" s="321">
        <f>+'9. mell. PMH'!AA51+'12. mell. Szakrendelő'!AA51+'13. mell. GAMESZ'!AA51+'14. mell. Gyerekkuckó'!AA51+'15. mell. Cinkotai H.'!AA51+'16. mell. Napsugár'!AA51+'17. mell. Sashalmi M.'!AA51+'18. mell. Margaréta'!AA51+'19.mell.Szentmihályi Játszókert'!AA51+'20. mell. M. Fecskefészek'!AA51+'21. mell. CMH'!AA51+'22. mell. Bölcsőde'!AA51+'23. mell. Terszoc.'!AA51+'24. mell. Napraforgó'!AA51+'25. mell. Kerületgazda'!AA51+'26. mell. Őrszolgálat'!AA51+'27. mell. KHEK'!AA51+'28. mell. KIO'!AA51</f>
        <v>0</v>
      </c>
      <c r="AB51" s="321">
        <f>+'9. mell. PMH'!AB51+'12. mell. Szakrendelő'!AB51+'13. mell. GAMESZ'!AB51+'14. mell. Gyerekkuckó'!AB51+'15. mell. Cinkotai H.'!AB51+'16. mell. Napsugár'!AB51+'17. mell. Sashalmi M.'!AB51+'18. mell. Margaréta'!AB51+'19.mell.Szentmihályi Játszókert'!AB51+'20. mell. M. Fecskefészek'!AB51+'21. mell. CMH'!AB51+'22. mell. Bölcsőde'!AB51+'23. mell. Terszoc.'!AB51+'24. mell. Napraforgó'!AB51+'25. mell. Kerületgazda'!AB51+'26. mell. Őrszolgálat'!AB51+'27. mell. KHEK'!AB51+'28. mell. KIO'!AB51</f>
        <v>0</v>
      </c>
      <c r="AC51" s="321">
        <f>+'9. mell. PMH'!AC51+'12. mell. Szakrendelő'!AC51+'13. mell. GAMESZ'!AC51+'14. mell. Gyerekkuckó'!AC51+'15. mell. Cinkotai H.'!AC51+'16. mell. Napsugár'!AC51+'17. mell. Sashalmi M.'!AC51+'18. mell. Margaréta'!AC51+'19.mell.Szentmihályi Játszókert'!AC51+'20. mell. M. Fecskefészek'!AC51+'21. mell. CMH'!AC51+'22. mell. Bölcsőde'!AC51+'23. mell. Terszoc.'!AC51+'24. mell. Napraforgó'!AC51+'25. mell. Kerületgazda'!AC51+'26. mell. Őrszolgálat'!AC51+'27. mell. KHEK'!AC51+'28. mell. KIO'!AC51</f>
        <v>0</v>
      </c>
      <c r="AD51" s="342"/>
      <c r="AE51" s="321">
        <f t="shared" si="13"/>
        <v>0</v>
      </c>
      <c r="AF51" s="321">
        <f t="shared" si="14"/>
        <v>0</v>
      </c>
      <c r="AG51" s="321">
        <f t="shared" si="15"/>
        <v>0</v>
      </c>
      <c r="AH51" s="321">
        <f t="shared" si="16"/>
        <v>0</v>
      </c>
      <c r="AI51" s="324"/>
      <c r="AJ51" s="321">
        <f t="shared" si="17"/>
        <v>0</v>
      </c>
      <c r="AK51" s="325">
        <f>+F51-'9. mell. PMH'!F51-'12. mell. Szakrendelő'!F51-'25. mell. Kerületgazda'!F51-'28. mell. KIO'!F51</f>
        <v>0</v>
      </c>
      <c r="AL51" s="325">
        <f>+G51-'9. mell. PMH'!G51-'12. mell. Szakrendelő'!G51-'25. mell. Kerületgazda'!G51-'28. mell. KIO'!G51</f>
        <v>0</v>
      </c>
      <c r="AM51" s="325">
        <f>+H51-'9. mell. PMH'!H51-'12. mell. Szakrendelő'!H51-'25. mell. Kerületgazda'!H51-'28. mell. KIO'!H51</f>
        <v>0</v>
      </c>
      <c r="AN51" s="325">
        <f>+I51-'9. mell. PMH'!I51-'12. mell. Szakrendelő'!I51-'25. mell. Kerületgazda'!I51-'28. mell. KIO'!I51</f>
        <v>0</v>
      </c>
      <c r="AO51" s="325">
        <f>+J51-'9. mell. PMH'!J51-'12. mell. Szakrendelő'!J51-'25. mell. Kerületgazda'!J51-'28. mell. KIO'!J51</f>
        <v>0</v>
      </c>
      <c r="AP51" s="325">
        <f>+K51-'9. mell. PMH'!K51-'12. mell. Szakrendelő'!K51-'25. mell. Kerületgazda'!K51-'28. mell. KIO'!K51</f>
        <v>0</v>
      </c>
      <c r="AQ51" s="1195">
        <f t="shared" si="5"/>
        <v>0</v>
      </c>
      <c r="AR51" s="2209">
        <f t="shared" si="6"/>
        <v>0</v>
      </c>
      <c r="AS51" s="1195">
        <f t="shared" si="7"/>
        <v>0</v>
      </c>
      <c r="AT51" s="2647">
        <v>0</v>
      </c>
      <c r="AU51" s="1593">
        <f t="shared" si="8"/>
        <v>0</v>
      </c>
    </row>
    <row r="52" spans="1:47" s="359" customFormat="1" ht="15" customHeight="1" thickBot="1">
      <c r="A52" s="356" t="s">
        <v>14</v>
      </c>
      <c r="B52" s="356" t="s">
        <v>14</v>
      </c>
      <c r="C52" s="357" t="s">
        <v>1295</v>
      </c>
      <c r="D52" s="346">
        <f>+'9. mell. PMH'!D52+'12. mell. Szakrendelő'!D52+'13. mell. GAMESZ'!D52+'14. mell. Gyerekkuckó'!D52+'15. mell. Cinkotai H.'!D52+'16. mell. Napsugár'!D52+'17. mell. Sashalmi M.'!D52+'18. mell. Margaréta'!D52+'19.mell.Szentmihályi Játszókert'!D52+'20. mell. M. Fecskefészek'!D52+'21. mell. CMH'!D52+'22. mell. Bölcsőde'!D52+'23. mell. Terszoc.'!D52+'24. mell. Napraforgó'!D52+'25. mell. Kerületgazda'!D52+'26. mell. Őrszolgálat'!D52+'27. mell. KHEK'!D52+'28. mell. KIO'!D52</f>
        <v>16798198199.93</v>
      </c>
      <c r="E52" s="346">
        <f>+'9. mell. PMH'!E52+'12. mell. Szakrendelő'!E52+'13. mell. GAMESZ'!E52+'14. mell. Gyerekkuckó'!E52+'15. mell. Cinkotai H.'!E52+'16. mell. Napsugár'!E52+'17. mell. Sashalmi M.'!E52+'18. mell. Margaréta'!E52+'19.mell.Szentmihályi Játszókert'!E52+'20. mell. M. Fecskefészek'!E52+'21. mell. CMH'!E52+'22. mell. Bölcsőde'!E52+'23. mell. Terszoc.'!E52+'24. mell. Napraforgó'!E52+'25. mell. Kerületgazda'!E52+'26. mell. Őrszolgálat'!E52+'27. mell. KHEK'!E52+'28. mell. KIO'!E52</f>
        <v>17247998277</v>
      </c>
      <c r="F52" s="346">
        <f>+'9. mell. PMH'!F52+'12. mell. Szakrendelő'!F52+'13. mell. GAMESZ'!F52+'14. mell. Gyerekkuckó'!F52+'15. mell. Cinkotai H.'!F52+'16. mell. Napsugár'!F52+'17. mell. Sashalmi M.'!F52+'18. mell. Margaréta'!F52+'19.mell.Szentmihályi Játszókert'!F52+'20. mell. M. Fecskefészek'!F52+'21. mell. CMH'!F52+'22. mell. Bölcsőde'!F52+'23. mell. Terszoc.'!F52+'24. mell. Napraforgó'!F52+'25. mell. Kerületgazda'!F52+'26. mell. Őrszolgálat'!F52+'27. mell. KHEK'!F52+'28. mell. KIO'!F52</f>
        <v>18909314532</v>
      </c>
      <c r="G52" s="346">
        <f>+'9. mell. PMH'!G52+'12. mell. Szakrendelő'!G52+'13. mell. GAMESZ'!G52+'14. mell. Gyerekkuckó'!G52+'15. mell. Cinkotai H.'!G52+'16. mell. Napsugár'!G52+'17. mell. Sashalmi M.'!G52+'18. mell. Margaréta'!G52+'19.mell.Szentmihályi Játszókert'!G52+'20. mell. M. Fecskefészek'!G52+'21. mell. CMH'!G52+'22. mell. Bölcsőde'!G52+'23. mell. Terszoc.'!G52+'24. mell. Napraforgó'!G52+'25. mell. Kerületgazda'!G52+'26. mell. Őrszolgálat'!G52+'27. mell. KHEK'!G52+'28. mell. KIO'!G52</f>
        <v>19650432279</v>
      </c>
      <c r="H52" s="346">
        <f>+'9. mell. PMH'!H52+'12. mell. Szakrendelő'!H52+'13. mell. GAMESZ'!H52+'14. mell. Gyerekkuckó'!H52+'15. mell. Cinkotai H.'!H52+'16. mell. Napsugár'!H52+'17. mell. Sashalmi M.'!H52+'18. mell. Margaréta'!H52+'19.mell.Szentmihályi Játszókert'!H52+'20. mell. M. Fecskefészek'!H52+'21. mell. CMH'!H52+'22. mell. Bölcsőde'!H52+'23. mell. Terszoc.'!H52+'24. mell. Napraforgó'!H52+'25. mell. Kerületgazda'!H52+'26. mell. Őrszolgálat'!H52+'27. mell. KHEK'!H52+'28. mell. KIO'!H52</f>
        <v>19836488664</v>
      </c>
      <c r="I52" s="346">
        <f>+'9. mell. PMH'!I52+'12. mell. Szakrendelő'!I52+'13. mell. GAMESZ'!I52+'14. mell. Gyerekkuckó'!I52+'15. mell. Cinkotai H.'!I52+'16. mell. Napsugár'!I52+'17. mell. Sashalmi M.'!I52+'18. mell. Margaréta'!I52+'19.mell.Szentmihályi Játszókert'!I52+'20. mell. M. Fecskefészek'!I52+'21. mell. CMH'!I52+'22. mell. Bölcsőde'!I52+'23. mell. Terszoc.'!I52+'24. mell. Napraforgó'!I52+'25. mell. Kerületgazda'!I52+'26. mell. Őrszolgálat'!I52+'27. mell. KHEK'!I52+'28. mell. KIO'!I52</f>
        <v>20118478946</v>
      </c>
      <c r="J52" s="346">
        <f>+'9. mell. PMH'!J52+'12. mell. Szakrendelő'!J52+'13. mell. GAMESZ'!J52+'14. mell. Gyerekkuckó'!J52+'15. mell. Cinkotai H.'!J52+'16. mell. Napsugár'!J52+'17. mell. Sashalmi M.'!J52+'18. mell. Margaréta'!J52+'19.mell.Szentmihályi Játszókert'!J52+'20. mell. M. Fecskefészek'!J52+'21. mell. CMH'!J52+'22. mell. Bölcsőde'!J52+'23. mell. Terszoc.'!J52+'24. mell. Napraforgó'!J52+'25. mell. Kerületgazda'!J52+'26. mell. Őrszolgálat'!J52+'27. mell. KHEK'!J52+'28. mell. KIO'!J52</f>
        <v>20118478946</v>
      </c>
      <c r="K52" s="2198">
        <f>+'9. mell. PMH'!K52+'12. mell. Szakrendelő'!K52+'13. mell. GAMESZ'!K52+'14. mell. Gyerekkuckó'!K52+'15. mell. Cinkotai H.'!K52+'16. mell. Napsugár'!K52+'17. mell. Sashalmi M.'!K52+'18. mell. Margaréta'!K52+'19.mell.Szentmihályi Játszókert'!K52+'20. mell. M. Fecskefészek'!K52+'21. mell. CMH'!K52+'22. mell. Bölcsőde'!K52+'23. mell. Terszoc.'!K52+'24. mell. Napraforgó'!K52+'25. mell. Kerületgazda'!K52+'26. mell. Őrszolgálat'!K52+'27. mell. KHEK'!K52+'28. mell. KIO'!K52</f>
        <v>18302149270</v>
      </c>
      <c r="L52" s="346">
        <f>+'9. mell. PMH'!L52+'12. mell. Szakrendelő'!L52+'13. mell. GAMESZ'!L52+'14. mell. Gyerekkuckó'!L52+'15. mell. Cinkotai H.'!L52+'16. mell. Napsugár'!L52+'17. mell. Sashalmi M.'!L52+'18. mell. Margaréta'!L52+'19.mell.Szentmihályi Játszókert'!L52+'20. mell. M. Fecskefészek'!L52+'21. mell. CMH'!L52+'22. mell. Bölcsőde'!L52+'23. mell. Terszoc.'!L52+'24. mell. Napraforgó'!L52+'25. mell. Kerületgazda'!L52+'26. mell. Őrszolgálat'!L52+'27. mell. KHEK'!L52+'28. mell. KIO'!L52</f>
        <v>770484965</v>
      </c>
      <c r="M52" s="346">
        <f>+'9. mell. PMH'!M52+'12. mell. Szakrendelő'!M52+'13. mell. GAMESZ'!M52+'14. mell. Gyerekkuckó'!M52+'15. mell. Cinkotai H.'!M52+'16. mell. Napsugár'!M52+'17. mell. Sashalmi M.'!M52+'18. mell. Margaréta'!M52+'19.mell.Szentmihályi Játszókert'!M52+'20. mell. M. Fecskefészek'!M52+'21. mell. CMH'!M52+'22. mell. Bölcsőde'!M52+'23. mell. Terszoc.'!M52+'24. mell. Napraforgó'!M52+'25. mell. Kerületgazda'!M52+'26. mell. Őrszolgálat'!M52+'27. mell. KHEK'!M52+'28. mell. KIO'!M52</f>
        <v>803415635</v>
      </c>
      <c r="N52" s="346">
        <f>+'9. mell. PMH'!N52+'12. mell. Szakrendelő'!N52+'13. mell. GAMESZ'!N52+'14. mell. Gyerekkuckó'!N52+'15. mell. Cinkotai H.'!N52+'16. mell. Napsugár'!N52+'17. mell. Sashalmi M.'!N52+'18. mell. Margaréta'!N52+'19.mell.Szentmihályi Játszókert'!N52+'20. mell. M. Fecskefészek'!N52+'21. mell. CMH'!N52+'22. mell. Bölcsőde'!N52+'23. mell. Terszoc.'!N52+'24. mell. Napraforgó'!N52+'25. mell. Kerületgazda'!N52+'26. mell. Őrszolgálat'!N52+'27. mell. KHEK'!N52+'28. mell. KIO'!N52</f>
        <v>806480562</v>
      </c>
      <c r="O52" s="346">
        <f>+'9. mell. PMH'!O52+'12. mell. Szakrendelő'!O52+'13. mell. GAMESZ'!O52+'14. mell. Gyerekkuckó'!O52+'15. mell. Cinkotai H.'!O52+'16. mell. Napsugár'!O52+'17. mell. Sashalmi M.'!O52+'18. mell. Margaréta'!O52+'19.mell.Szentmihályi Játszókert'!O52+'20. mell. M. Fecskefészek'!O52+'21. mell. CMH'!O52+'22. mell. Bölcsőde'!O52+'23. mell. Terszoc.'!O52+'24. mell. Napraforgó'!O52+'25. mell. Kerületgazda'!O52+'26. mell. Őrszolgálat'!O52+'27. mell. KHEK'!O52+'28. mell. KIO'!O52</f>
        <v>710454418</v>
      </c>
      <c r="P52" s="346">
        <f>+'9. mell. PMH'!P52+'12. mell. Szakrendelő'!P52+'13. mell. GAMESZ'!P52+'14. mell. Gyerekkuckó'!P52+'15. mell. Cinkotai H.'!P52+'16. mell. Napsugár'!P52+'17. mell. Sashalmi M.'!P52+'18. mell. Margaréta'!P52+'19.mell.Szentmihályi Játszókert'!P52+'20. mell. M. Fecskefészek'!P52+'21. mell. CMH'!P52+'22. mell. Bölcsőde'!P52+'23. mell. Terszoc.'!P52+'24. mell. Napraforgó'!P52+'25. mell. Kerületgazda'!P52+'26. mell. Őrszolgálat'!P52+'27. mell. KHEK'!P52+'28. mell. KIO'!P52</f>
        <v>710454418</v>
      </c>
      <c r="Q52" s="346">
        <f>+'9. mell. PMH'!Q52+'12. mell. Szakrendelő'!Q52+'13. mell. GAMESZ'!Q52+'14. mell. Gyerekkuckó'!Q52+'15. mell. Cinkotai H.'!Q52+'16. mell. Napsugár'!Q52+'17. mell. Sashalmi M.'!Q52+'18. mell. Margaréta'!Q52+'19.mell.Szentmihályi Játszókert'!Q52+'20. mell. M. Fecskefészek'!Q52+'21. mell. CMH'!Q52+'22. mell. Bölcsőde'!Q52+'23. mell. Terszoc.'!Q52+'24. mell. Napraforgó'!Q52+'25. mell. Kerületgazda'!Q52+'26. mell. Őrszolgálat'!Q52+'27. mell. KHEK'!Q52+'28. mell. KIO'!Q52</f>
        <v>490037379</v>
      </c>
      <c r="R52" s="346">
        <f>+'9. mell. PMH'!R52+'12. mell. Szakrendelő'!R52+'13. mell. GAMESZ'!R52+'14. mell. Gyerekkuckó'!R52+'15. mell. Cinkotai H.'!R52+'16. mell. Napsugár'!R52+'17. mell. Sashalmi M.'!R52+'18. mell. Margaréta'!R52+'19.mell.Szentmihályi Játszókert'!R52+'20. mell. M. Fecskefészek'!R52+'21. mell. CMH'!R52+'22. mell. Bölcsőde'!R52+'23. mell. Terszoc.'!R52+'24. mell. Napraforgó'!R52+'25. mell. Kerületgazda'!R52+'26. mell. Őrszolgálat'!R52+'27. mell. KHEK'!R52+'28. mell. KIO'!R52</f>
        <v>18135329567</v>
      </c>
      <c r="S52" s="346">
        <f>+'9. mell. PMH'!S52+'12. mell. Szakrendelő'!S52+'13. mell. GAMESZ'!S52+'14. mell. Gyerekkuckó'!S52+'15. mell. Cinkotai H.'!S52+'16. mell. Napsugár'!S52+'17. mell. Sashalmi M.'!S52+'18. mell. Margaréta'!S52+'19.mell.Szentmihályi Játszókert'!S52+'20. mell. M. Fecskefészek'!S52+'21. mell. CMH'!S52+'22. mell. Bölcsőde'!S52+'23. mell. Terszoc.'!S52+'24. mell. Napraforgó'!S52+'25. mell. Kerületgazda'!S52+'26. mell. Őrszolgálat'!S52+'27. mell. KHEK'!S52+'28. mell. KIO'!S52</f>
        <v>18843516644</v>
      </c>
      <c r="T52" s="346">
        <f>+'9. mell. PMH'!T52+'12. mell. Szakrendelő'!T52+'13. mell. GAMESZ'!T52+'14. mell. Gyerekkuckó'!T52+'15. mell. Cinkotai H.'!T52+'16. mell. Napsugár'!T52+'17. mell. Sashalmi M.'!T52+'18. mell. Margaréta'!T52+'19.mell.Szentmihályi Játszókert'!T52+'20. mell. M. Fecskefészek'!T52+'21. mell. CMH'!T52+'22. mell. Bölcsőde'!T52+'23. mell. Terszoc.'!T52+'24. mell. Napraforgó'!T52+'25. mell. Kerületgazda'!T52+'26. mell. Őrszolgálat'!T52+'27. mell. KHEK'!T52+'28. mell. KIO'!T52</f>
        <v>19024534638</v>
      </c>
      <c r="U52" s="346">
        <f>+'9. mell. PMH'!U52+'12. mell. Szakrendelő'!U52+'13. mell. GAMESZ'!U52+'14. mell. Gyerekkuckó'!U52+'15. mell. Cinkotai H.'!U52+'16. mell. Napsugár'!U52+'17. mell. Sashalmi M.'!U52+'18. mell. Margaréta'!U52+'19.mell.Szentmihályi Játszókert'!U52+'20. mell. M. Fecskefészek'!U52+'21. mell. CMH'!U52+'22. mell. Bölcsőde'!U52+'23. mell. Terszoc.'!U52+'24. mell. Napraforgó'!U52+'25. mell. Kerületgazda'!U52+'26. mell. Őrszolgálat'!U52+'27. mell. KHEK'!U52+'28. mell. KIO'!U52</f>
        <v>19405512888</v>
      </c>
      <c r="V52" s="346">
        <f>+'9. mell. PMH'!V52+'12. mell. Szakrendelő'!V52+'13. mell. GAMESZ'!V52+'14. mell. Gyerekkuckó'!V52+'15. mell. Cinkotai H.'!V52+'16. mell. Napsugár'!V52+'17. mell. Sashalmi M.'!V52+'18. mell. Margaréta'!V52+'19.mell.Szentmihályi Játszókert'!V52+'20. mell. M. Fecskefészek'!V52+'21. mell. CMH'!V52+'22. mell. Bölcsőde'!V52+'23. mell. Terszoc.'!V52+'24. mell. Napraforgó'!V52+'25. mell. Kerületgazda'!V52+'26. mell. Őrszolgálat'!V52+'27. mell. KHEK'!V52+'28. mell. KIO'!V52</f>
        <v>19405512888</v>
      </c>
      <c r="W52" s="346">
        <f>+'9. mell. PMH'!W52+'12. mell. Szakrendelő'!W52+'13. mell. GAMESZ'!W52+'14. mell. Gyerekkuckó'!W52+'15. mell. Cinkotai H.'!W52+'16. mell. Napsugár'!W52+'17. mell. Sashalmi M.'!W52+'18. mell. Margaréta'!W52+'19.mell.Szentmihályi Játszókert'!W52+'20. mell. M. Fecskefészek'!W52+'21. mell. CMH'!W52+'22. mell. Bölcsőde'!W52+'23. mell. Terszoc.'!W52+'24. mell. Napraforgó'!W52+'25. mell. Kerületgazda'!W52+'26. mell. Őrszolgálat'!W52+'27. mell. KHEK'!W52+'28. mell. KIO'!W52</f>
        <v>17809600251</v>
      </c>
      <c r="X52" s="346">
        <f>+'9. mell. PMH'!X52+'12. mell. Szakrendelő'!X52+'13. mell. GAMESZ'!X52+'14. mell. Gyerekkuckó'!X52+'15. mell. Cinkotai H.'!X52+'16. mell. Napsugár'!X52+'17. mell. Sashalmi M.'!X52+'18. mell. Margaréta'!X52+'19.mell.Szentmihályi Játszókert'!X52+'20. mell. M. Fecskefészek'!X52+'21. mell. CMH'!X52+'22. mell. Bölcsőde'!X52+'23. mell. Terszoc.'!X52+'24. mell. Napraforgó'!X52+'25. mell. Kerületgazda'!X52+'26. mell. Őrszolgálat'!X52+'27. mell. KHEK'!X52+'28. mell. KIO'!X52</f>
        <v>3500000</v>
      </c>
      <c r="Y52" s="346">
        <f>+'9. mell. PMH'!Y52+'12. mell. Szakrendelő'!Y52+'13. mell. GAMESZ'!Y52+'14. mell. Gyerekkuckó'!Y52+'15. mell. Cinkotai H.'!Y52+'16. mell. Napsugár'!Y52+'17. mell. Sashalmi M.'!Y52+'18. mell. Margaréta'!Y52+'19.mell.Szentmihályi Játszókert'!Y52+'20. mell. M. Fecskefészek'!Y52+'21. mell. CMH'!Y52+'22. mell. Bölcsőde'!Y52+'23. mell. Terszoc.'!Y52+'24. mell. Napraforgó'!Y52+'25. mell. Kerületgazda'!Y52+'26. mell. Őrszolgálat'!Y52+'27. mell. KHEK'!Y52+'28. mell. KIO'!Y52</f>
        <v>3500000</v>
      </c>
      <c r="Z52" s="346">
        <f>+'9. mell. PMH'!Z52+'12. mell. Szakrendelő'!Z52+'13. mell. GAMESZ'!Z52+'14. mell. Gyerekkuckó'!Z52+'15. mell. Cinkotai H.'!Z52+'16. mell. Napsugár'!Z52+'17. mell. Sashalmi M.'!Z52+'18. mell. Margaréta'!Z52+'19.mell.Szentmihályi Játszókert'!Z52+'20. mell. M. Fecskefészek'!Z52+'21. mell. CMH'!Z52+'22. mell. Bölcsőde'!Z52+'23. mell. Terszoc.'!Z52+'24. mell. Napraforgó'!Z52+'25. mell. Kerületgazda'!Z52+'26. mell. Őrszolgálat'!Z52+'27. mell. KHEK'!Z52+'28. mell. KIO'!Z52</f>
        <v>5473464</v>
      </c>
      <c r="AA52" s="346">
        <f>+'9. mell. PMH'!AA52+'12. mell. Szakrendelő'!AA52+'13. mell. GAMESZ'!AA52+'14. mell. Gyerekkuckó'!AA52+'15. mell. Cinkotai H.'!AA52+'16. mell. Napsugár'!AA52+'17. mell. Sashalmi M.'!AA52+'18. mell. Margaréta'!AA52+'19.mell.Szentmihályi Játszókert'!AA52+'20. mell. M. Fecskefészek'!AA52+'21. mell. CMH'!AA52+'22. mell. Bölcsőde'!AA52+'23. mell. Terszoc.'!AA52+'24. mell. Napraforgó'!AA52+'25. mell. Kerületgazda'!AA52+'26. mell. Őrszolgálat'!AA52+'27. mell. KHEK'!AA52+'28. mell. KIO'!AA52</f>
        <v>2511640</v>
      </c>
      <c r="AB52" s="346">
        <f>+'9. mell. PMH'!AB52+'12. mell. Szakrendelő'!AB52+'13. mell. GAMESZ'!AB52+'14. mell. Gyerekkuckó'!AB52+'15. mell. Cinkotai H.'!AB52+'16. mell. Napsugár'!AB52+'17. mell. Sashalmi M.'!AB52+'18. mell. Margaréta'!AB52+'19.mell.Szentmihályi Játszókert'!AB52+'20. mell. M. Fecskefészek'!AB52+'21. mell. CMH'!AB52+'22. mell. Bölcsőde'!AB52+'23. mell. Terszoc.'!AB52+'24. mell. Napraforgó'!AB52+'25. mell. Kerületgazda'!AB52+'26. mell. Őrszolgálat'!AB52+'27. mell. KHEK'!AB52+'28. mell. KIO'!AB52</f>
        <v>2511640</v>
      </c>
      <c r="AC52" s="346">
        <f>+'9. mell. PMH'!AC52+'12. mell. Szakrendelő'!AC52+'13. mell. GAMESZ'!AC52+'14. mell. Gyerekkuckó'!AC52+'15. mell. Cinkotai H.'!AC52+'16. mell. Napsugár'!AC52+'17. mell. Sashalmi M.'!AC52+'18. mell. Margaréta'!AC52+'19.mell.Szentmihályi Játszókert'!AC52+'20. mell. M. Fecskefészek'!AC52+'21. mell. CMH'!AC52+'22. mell. Bölcsőde'!AC52+'23. mell. Terszoc.'!AC52+'24. mell. Napraforgó'!AC52+'25. mell. Kerületgazda'!AC52+'26. mell. Őrszolgálat'!AC52+'27. mell. KHEK'!AC52+'28. mell. KIO'!AC52</f>
        <v>2511640</v>
      </c>
      <c r="AD52" s="358"/>
      <c r="AE52" s="346">
        <f t="shared" si="13"/>
        <v>741117747</v>
      </c>
      <c r="AF52" s="346">
        <f t="shared" si="14"/>
        <v>186056385</v>
      </c>
      <c r="AG52" s="346">
        <f t="shared" si="15"/>
        <v>281990282</v>
      </c>
      <c r="AH52" s="346">
        <f t="shared" si="16"/>
        <v>0</v>
      </c>
      <c r="AI52" s="349">
        <f>+K52/I52</f>
        <v>0.90971833999602014</v>
      </c>
      <c r="AJ52" s="346">
        <f t="shared" si="17"/>
        <v>2111116332.0699997</v>
      </c>
      <c r="AK52" s="325">
        <f>+F52-'9. mell. PMH'!F52-'12. mell. Szakrendelő'!F52-'25. mell. Kerületgazda'!F52-'28. mell. KIO'!F52</f>
        <v>9592821499</v>
      </c>
      <c r="AL52" s="325">
        <f>+G52-'9. mell. PMH'!G52-'12. mell. Szakrendelő'!G52-'25. mell. Kerületgazda'!G52-'28. mell. KIO'!G52</f>
        <v>9948041028</v>
      </c>
      <c r="AM52" s="325">
        <f>+H52-'9. mell. PMH'!H52-'12. mell. Szakrendelő'!H52-'25. mell. Kerületgazda'!H52-'28. mell. KIO'!H52</f>
        <v>10006469664</v>
      </c>
      <c r="AN52" s="325">
        <f>+I52-'9. mell. PMH'!I52-'12. mell. Szakrendelő'!I52-'25. mell. Kerületgazda'!I52-'28. mell. KIO'!I52</f>
        <v>10224526628</v>
      </c>
      <c r="AO52" s="325">
        <f>+J52-'9. mell. PMH'!J52-'12. mell. Szakrendelő'!J52-'25. mell. Kerületgazda'!J52-'28. mell. KIO'!J52</f>
        <v>10224526628</v>
      </c>
      <c r="AP52" s="325">
        <f>+K52-'9. mell. PMH'!K52-'12. mell. Szakrendelő'!K52-'25. mell. Kerületgazda'!K52-'28. mell. KIO'!K52</f>
        <v>9300103392</v>
      </c>
      <c r="AQ52" s="1195">
        <f t="shared" si="5"/>
        <v>355219529</v>
      </c>
      <c r="AR52" s="2209">
        <f t="shared" si="6"/>
        <v>58428636</v>
      </c>
      <c r="AS52" s="1195">
        <f t="shared" si="7"/>
        <v>218056964</v>
      </c>
      <c r="AT52" s="347">
        <v>17247998277</v>
      </c>
      <c r="AU52" s="1593">
        <f t="shared" si="8"/>
        <v>0</v>
      </c>
    </row>
    <row r="53" spans="1:47" ht="15.75" hidden="1" thickBot="1">
      <c r="A53" s="2697"/>
      <c r="B53" s="2698"/>
      <c r="C53" s="2699"/>
      <c r="D53" s="2700"/>
      <c r="E53" s="2700"/>
      <c r="F53" s="360"/>
      <c r="G53" s="360"/>
      <c r="H53" s="360"/>
      <c r="I53" s="360"/>
      <c r="J53" s="360"/>
      <c r="K53" s="2199"/>
      <c r="L53" s="360"/>
      <c r="M53" s="360"/>
      <c r="N53" s="360"/>
      <c r="O53" s="360"/>
      <c r="P53" s="360"/>
      <c r="Q53" s="360"/>
      <c r="R53" s="360"/>
      <c r="S53" s="360"/>
      <c r="T53" s="360"/>
      <c r="U53" s="360"/>
      <c r="V53" s="360"/>
      <c r="W53" s="360"/>
      <c r="X53" s="360"/>
      <c r="Y53" s="360"/>
      <c r="Z53" s="360"/>
      <c r="AA53" s="360"/>
      <c r="AB53" s="360"/>
      <c r="AC53" s="360"/>
      <c r="AD53" s="362"/>
      <c r="AE53" s="321"/>
      <c r="AF53" s="321"/>
      <c r="AG53" s="321"/>
      <c r="AH53" s="321"/>
      <c r="AI53" s="324" t="e">
        <f>+F53/D53</f>
        <v>#DIV/0!</v>
      </c>
      <c r="AJ53" s="360">
        <f t="shared" si="17"/>
        <v>0</v>
      </c>
      <c r="AK53" s="325">
        <f>+F53-'9. mell. PMH'!F53-'12. mell. Szakrendelő'!F53-'25. mell. Kerületgazda'!F53-'28. mell. KIO'!F53</f>
        <v>0</v>
      </c>
      <c r="AL53" s="325">
        <f>+G53-'9. mell. PMH'!G53-'12. mell. Szakrendelő'!G53-'25. mell. Kerületgazda'!G53-'28. mell. KIO'!G53</f>
        <v>0</v>
      </c>
      <c r="AM53" s="325">
        <f>+H53-'9. mell. PMH'!H53-'12. mell. Szakrendelő'!H53-'25. mell. Kerületgazda'!H53-'28. mell. KIO'!H53</f>
        <v>0</v>
      </c>
      <c r="AN53" s="325">
        <f>+I53-'9. mell. PMH'!I53-'12. mell. Szakrendelő'!I53-'25. mell. Kerületgazda'!I53-'28. mell. KIO'!I53</f>
        <v>0</v>
      </c>
      <c r="AO53" s="325">
        <f>+J53-'9. mell. PMH'!J53-'12. mell. Szakrendelő'!J53-'25. mell. Kerületgazda'!J53-'28. mell. KIO'!J53</f>
        <v>0</v>
      </c>
      <c r="AP53" s="325">
        <f>+K53-'9. mell. PMH'!K53-'12. mell. Szakrendelő'!K53-'25. mell. Kerületgazda'!K53-'28. mell. KIO'!K53</f>
        <v>0</v>
      </c>
      <c r="AQ53" s="1195">
        <f>+AM53-AL53</f>
        <v>0</v>
      </c>
      <c r="AR53" s="2209">
        <f>+AN53-AM53</f>
        <v>0</v>
      </c>
      <c r="AS53" s="1195">
        <f t="shared" si="7"/>
        <v>0</v>
      </c>
      <c r="AT53" s="361"/>
      <c r="AU53" s="1593">
        <f t="shared" si="8"/>
        <v>0</v>
      </c>
    </row>
    <row r="54" spans="1:47" ht="48" customHeight="1" thickBot="1">
      <c r="A54" s="2701"/>
      <c r="B54" s="2702" t="s">
        <v>15</v>
      </c>
      <c r="C54" s="3224" t="s">
        <v>4052</v>
      </c>
      <c r="D54" s="2703">
        <f>+'9. mell. PMH'!D54+'12. mell. Szakrendelő'!D54+'13. mell. GAMESZ'!D54+'14. mell. Gyerekkuckó'!D54+'15. mell. Cinkotai H.'!D54+'16. mell. Napsugár'!D54+'17. mell. Sashalmi M.'!D54+'18. mell. Margaréta'!D54+'19.mell.Szentmihályi Játszókert'!D54+'20. mell. M. Fecskefészek'!D54+'21. mell. CMH'!D54+'22. mell. Bölcsőde'!D54+'23. mell. Terszoc.'!D54+'24. mell. Napraforgó'!D54+'25. mell. Kerületgazda'!D54+'26. mell. Őrszolgálat'!D54+'27. mell. KHEK'!D54+'28. mell. KIO'!D54</f>
        <v>1230.325</v>
      </c>
      <c r="E54" s="2726">
        <f>+'9. mell. PMH'!E54+'12. mell. Szakrendelő'!E54+'13. mell. GAMESZ'!E54+'14. mell. Gyerekkuckó'!E54+'15. mell. Cinkotai H.'!E54+'16. mell. Napsugár'!E54+'17. mell. Sashalmi M.'!E54+'18. mell. Margaréta'!E54+'19.mell.Szentmihályi Játszókert'!E54+'20. mell. M. Fecskefészek'!E54+'21. mell. CMH'!E54+'22. mell. Bölcsőde'!E54+'23. mell. Terszoc.'!E54+'24. mell. Napraforgó'!E54+'25. mell. Kerületgazda'!E54+'26. mell. Őrszolgálat'!E54+'27. mell. KHEK'!E54+'28. mell. KIO'!E54</f>
        <v>1240</v>
      </c>
      <c r="F54" s="2696">
        <f>+'9. mell. PMH'!F54+'12. mell. Szakrendelő'!F54+'13. mell. GAMESZ'!F54+'14. mell. Gyerekkuckó'!F54+'15. mell. Cinkotai H.'!F54+'16. mell. Napsugár'!F54+'17. mell. Sashalmi M.'!F54+'18. mell. Margaréta'!F54+'19.mell.Szentmihályi Játszókert'!F54+'20. mell. M. Fecskefészek'!F54+'21. mell. CMH'!F54+'22. mell. Bölcsőde'!F54+'23. mell. Terszoc.'!F54+'24. mell. Napraforgó'!F54+'25. mell. Kerületgazda'!F54+'26. mell. Őrszolgálat'!F54+'27. mell. KHEK'!F54+'28. mell. KIO'!F54</f>
        <v>1267.825</v>
      </c>
      <c r="G54" s="1374">
        <f>+'9. mell. PMH'!G54+'12. mell. Szakrendelő'!G54+'13. mell. GAMESZ'!G54+'14. mell. Gyerekkuckó'!G54+'15. mell. Cinkotai H.'!G54+'16. mell. Napsugár'!G54+'17. mell. Sashalmi M.'!G54+'18. mell. Margaréta'!G54+'19.mell.Szentmihályi Játszókert'!G54+'20. mell. M. Fecskefészek'!G54+'21. mell. CMH'!G54+'22. mell. Bölcsőde'!G54+'23. mell. Terszoc.'!G54+'24. mell. Napraforgó'!G54+'25. mell. Kerületgazda'!G54+'26. mell. Őrszolgálat'!G54+'27. mell. KHEK'!G54+'28. mell. KIO'!G54</f>
        <v>1267.825</v>
      </c>
      <c r="H54" s="1374">
        <f>+'9. mell. PMH'!H54+'12. mell. Szakrendelő'!H54+'13. mell. GAMESZ'!H54+'14. mell. Gyerekkuckó'!H54+'15. mell. Cinkotai H.'!H54+'16. mell. Napsugár'!H54+'17. mell. Sashalmi M.'!H54+'18. mell. Margaréta'!H54+'19.mell.Szentmihályi Játszókert'!H54+'20. mell. M. Fecskefészek'!H54+'21. mell. CMH'!H54+'22. mell. Bölcsőde'!H54+'23. mell. Terszoc.'!H54+'24. mell. Napraforgó'!H54+'25. mell. Kerületgazda'!H54+'26. mell. Őrszolgálat'!H54+'27. mell. KHEK'!H54+'28. mell. KIO'!H54</f>
        <v>1234.825</v>
      </c>
      <c r="I54" s="1374">
        <f>+'9. mell. PMH'!I54+'12. mell. Szakrendelő'!I54+'13. mell. GAMESZ'!I54+'14. mell. Gyerekkuckó'!I54+'15. mell. Cinkotai H.'!I54+'16. mell. Napsugár'!I54+'17. mell. Sashalmi M.'!I54+'18. mell. Margaréta'!I54+'19.mell.Szentmihályi Játszókert'!I54+'20. mell. M. Fecskefészek'!I54+'21. mell. CMH'!I54+'22. mell. Bölcsőde'!I54+'23. mell. Terszoc.'!I54+'24. mell. Napraforgó'!I54+'25. mell. Kerületgazda'!I54+'26. mell. Őrszolgálat'!I54+'27. mell. KHEK'!I54+'28. mell. KIO'!I54</f>
        <v>1234.825</v>
      </c>
      <c r="J54" s="1374">
        <f>+'9. mell. PMH'!J54+'12. mell. Szakrendelő'!J54+'13. mell. GAMESZ'!J54+'14. mell. Gyerekkuckó'!J54+'15. mell. Cinkotai H.'!J54+'16. mell. Napsugár'!J54+'17. mell. Sashalmi M.'!J54+'18. mell. Margaréta'!J54+'19.mell.Szentmihályi Játszókert'!J54+'20. mell. M. Fecskefészek'!J54+'21. mell. CMH'!J54+'22. mell. Bölcsőde'!J54+'23. mell. Terszoc.'!J54+'24. mell. Napraforgó'!J54+'25. mell. Kerületgazda'!J54+'26. mell. Őrszolgálat'!J54+'27. mell. KHEK'!J54+'28. mell. KIO'!J54</f>
        <v>1234.825</v>
      </c>
      <c r="K54" s="2200">
        <f>+'9. mell. PMH'!K54+'12. mell. Szakrendelő'!K54+'13. mell. GAMESZ'!K54+'14. mell. Gyerekkuckó'!K54+'15. mell. Cinkotai H.'!K54+'16. mell. Napsugár'!K54+'17. mell. Sashalmi M.'!K54+'18. mell. Margaréta'!K54+'19.mell.Szentmihályi Játszókert'!K54+'20. mell. M. Fecskefészek'!K54+'21. mell. CMH'!K54+'22. mell. Bölcsőde'!K54+'23. mell. Terszoc.'!K54+'24. mell. Napraforgó'!K54+'25. mell. Kerületgazda'!K54+'26. mell. Őrszolgálat'!K54+'27. mell. KHEK'!K54+'28. mell. KIO'!K54</f>
        <v>1243</v>
      </c>
      <c r="L54" s="1374">
        <f>+'9. mell. PMH'!L54+'12. mell. Szakrendelő'!L54+'13. mell. GAMESZ'!L54+'14. mell. Gyerekkuckó'!L54+'15. mell. Cinkotai H.'!L54+'16. mell. Napsugár'!L54+'17. mell. Sashalmi M.'!L54+'18. mell. Margaréta'!L54+'19.mell.Szentmihályi Játszókert'!L54+'20. mell. M. Fecskefészek'!L54+'21. mell. CMH'!L54+'22. mell. Bölcsőde'!L54+'23. mell. Terszoc.'!L54+'24. mell. Napraforgó'!L54+'25. mell. Kerületgazda'!L54+'26. mell. Őrszolgálat'!L54+'27. mell. KHEK'!L54+'28. mell. KIO'!L54</f>
        <v>55</v>
      </c>
      <c r="M54" s="1374">
        <f>+'9. mell. PMH'!M54+'12. mell. Szakrendelő'!M54+'13. mell. GAMESZ'!M54+'14. mell. Gyerekkuckó'!M54+'15. mell. Cinkotai H.'!M54+'16. mell. Napsugár'!M54+'17. mell. Sashalmi M.'!M54+'18. mell. Margaréta'!M54+'19.mell.Szentmihályi Játszókert'!M54+'20. mell. M. Fecskefészek'!M54+'21. mell. CMH'!M54+'22. mell. Bölcsőde'!M54+'23. mell. Terszoc.'!M54+'24. mell. Napraforgó'!M54+'25. mell. Kerületgazda'!M54+'26. mell. Őrszolgálat'!M54+'27. mell. KHEK'!M54+'28. mell. KIO'!M54</f>
        <v>55</v>
      </c>
      <c r="N54" s="1374">
        <f>+'9. mell. PMH'!N54+'12. mell. Szakrendelő'!N54+'13. mell. GAMESZ'!N54+'14. mell. Gyerekkuckó'!N54+'15. mell. Cinkotai H.'!N54+'16. mell. Napsugár'!N54+'17. mell. Sashalmi M.'!N54+'18. mell. Margaréta'!N54+'19.mell.Szentmihályi Játszókert'!N54+'20. mell. M. Fecskefészek'!N54+'21. mell. CMH'!N54+'22. mell. Bölcsőde'!N54+'23. mell. Terszoc.'!N54+'24. mell. Napraforgó'!N54+'25. mell. Kerületgazda'!N54+'26. mell. Őrszolgálat'!N54+'27. mell. KHEK'!N54+'28. mell. KIO'!N54</f>
        <v>55</v>
      </c>
      <c r="O54" s="1374">
        <f>+'9. mell. PMH'!O54+'12. mell. Szakrendelő'!O54+'13. mell. GAMESZ'!O54+'14. mell. Gyerekkuckó'!O54+'15. mell. Cinkotai H.'!O54+'16. mell. Napsugár'!O54+'17. mell. Sashalmi M.'!O54+'18. mell. Margaréta'!O54+'19.mell.Szentmihályi Játszókert'!O54+'20. mell. M. Fecskefészek'!O54+'21. mell. CMH'!O54+'22. mell. Bölcsőde'!O54+'23. mell. Terszoc.'!O54+'24. mell. Napraforgó'!O54+'25. mell. Kerületgazda'!O54+'26. mell. Őrszolgálat'!O54+'27. mell. KHEK'!O54+'28. mell. KIO'!O54</f>
        <v>55</v>
      </c>
      <c r="P54" s="1374">
        <f>+'9. mell. PMH'!P54+'12. mell. Szakrendelő'!P54+'13. mell. GAMESZ'!P54+'14. mell. Gyerekkuckó'!P54+'15. mell. Cinkotai H.'!P54+'16. mell. Napsugár'!P54+'17. mell. Sashalmi M.'!P54+'18. mell. Margaréta'!P54+'19.mell.Szentmihályi Játszókert'!P54+'20. mell. M. Fecskefészek'!P54+'21. mell. CMH'!P54+'22. mell. Bölcsőde'!P54+'23. mell. Terszoc.'!P54+'24. mell. Napraforgó'!P54+'25. mell. Kerületgazda'!P54+'26. mell. Őrszolgálat'!P54+'27. mell. KHEK'!P54+'28. mell. KIO'!P54</f>
        <v>55</v>
      </c>
      <c r="Q54" s="1374">
        <f>+'9. mell. PMH'!Q54+'12. mell. Szakrendelő'!Q54+'13. mell. GAMESZ'!Q54+'14. mell. Gyerekkuckó'!Q54+'15. mell. Cinkotai H.'!Q54+'16. mell. Napsugár'!Q54+'17. mell. Sashalmi M.'!Q54+'18. mell. Margaréta'!Q54+'19.mell.Szentmihályi Játszókert'!Q54+'20. mell. M. Fecskefészek'!Q54+'21. mell. CMH'!Q54+'22. mell. Bölcsőde'!Q54+'23. mell. Terszoc.'!Q54+'24. mell. Napraforgó'!Q54+'25. mell. Kerületgazda'!Q54+'26. mell. Őrszolgálat'!Q54+'27. mell. KHEK'!Q54+'28. mell. KIO'!Q54</f>
        <v>55</v>
      </c>
      <c r="R54" s="1374">
        <f>+'9. mell. PMH'!R54+'12. mell. Szakrendelő'!R54+'13. mell. GAMESZ'!R54+'14. mell. Gyerekkuckó'!R54+'15. mell. Cinkotai H.'!R54+'16. mell. Napsugár'!R54+'17. mell. Sashalmi M.'!R54+'18. mell. Margaréta'!R54+'19.mell.Szentmihályi Játszókert'!R54+'20. mell. M. Fecskefészek'!R54+'21. mell. CMH'!R54+'22. mell. Bölcsőde'!R54+'23. mell. Terszoc.'!R54+'24. mell. Napraforgó'!R54+'25. mell. Kerületgazda'!R54+'26. mell. Őrszolgálat'!R54+'27. mell. KHEK'!R54+'28. mell. KIO'!R54</f>
        <v>1212.825</v>
      </c>
      <c r="S54" s="1374">
        <f>+'9. mell. PMH'!S54+'12. mell. Szakrendelő'!S54+'13. mell. GAMESZ'!S54+'14. mell. Gyerekkuckó'!S54+'15. mell. Cinkotai H.'!S54+'16. mell. Napsugár'!S54+'17. mell. Sashalmi M.'!S54+'18. mell. Margaréta'!S54+'19.mell.Szentmihályi Játszókert'!S54+'20. mell. M. Fecskefészek'!S54+'21. mell. CMH'!S54+'22. mell. Bölcsőde'!S54+'23. mell. Terszoc.'!S54+'24. mell. Napraforgó'!S54+'25. mell. Kerületgazda'!S54+'26. mell. Őrszolgálat'!S54+'27. mell. KHEK'!S54+'28. mell. KIO'!S54</f>
        <v>1212.825</v>
      </c>
      <c r="T54" s="1374">
        <f>+'9. mell. PMH'!T54+'12. mell. Szakrendelő'!T54+'13. mell. GAMESZ'!T54+'14. mell. Gyerekkuckó'!T54+'15. mell. Cinkotai H.'!T54+'16. mell. Napsugár'!T54+'17. mell. Sashalmi M.'!T54+'18. mell. Margaréta'!T54+'19.mell.Szentmihályi Játszókert'!T54+'20. mell. M. Fecskefészek'!T54+'21. mell. CMH'!T54+'22. mell. Bölcsőde'!T54+'23. mell. Terszoc.'!T54+'24. mell. Napraforgó'!T54+'25. mell. Kerületgazda'!T54+'26. mell. Őrszolgálat'!T54+'27. mell. KHEK'!T54+'28. mell. KIO'!T54</f>
        <v>1179.825</v>
      </c>
      <c r="U54" s="1374">
        <f>+'9. mell. PMH'!U54+'12. mell. Szakrendelő'!U54+'13. mell. GAMESZ'!U54+'14. mell. Gyerekkuckó'!U54+'15. mell. Cinkotai H.'!U54+'16. mell. Napsugár'!U54+'17. mell. Sashalmi M.'!U54+'18. mell. Margaréta'!U54+'19.mell.Szentmihályi Játszókert'!U54+'20. mell. M. Fecskefészek'!U54+'21. mell. CMH'!U54+'22. mell. Bölcsőde'!U54+'23. mell. Terszoc.'!U54+'24. mell. Napraforgó'!U54+'25. mell. Kerületgazda'!U54+'26. mell. Őrszolgálat'!U54+'27. mell. KHEK'!U54+'28. mell. KIO'!U54</f>
        <v>1179.825</v>
      </c>
      <c r="V54" s="1374">
        <f>+'9. mell. PMH'!V54+'12. mell. Szakrendelő'!V54+'13. mell. GAMESZ'!V54+'14. mell. Gyerekkuckó'!V54+'15. mell. Cinkotai H.'!V54+'16. mell. Napsugár'!V54+'17. mell. Sashalmi M.'!V54+'18. mell. Margaréta'!V54+'19.mell.Szentmihályi Játszókert'!V54+'20. mell. M. Fecskefészek'!V54+'21. mell. CMH'!V54+'22. mell. Bölcsőde'!V54+'23. mell. Terszoc.'!V54+'24. mell. Napraforgó'!V54+'25. mell. Kerületgazda'!V54+'26. mell. Őrszolgálat'!V54+'27. mell. KHEK'!V54+'28. mell. KIO'!V54</f>
        <v>1179.825</v>
      </c>
      <c r="W54" s="1374">
        <f>+'9. mell. PMH'!W54+'12. mell. Szakrendelő'!W54+'13. mell. GAMESZ'!W54+'14. mell. Gyerekkuckó'!W54+'15. mell. Cinkotai H.'!W54+'16. mell. Napsugár'!W54+'17. mell. Sashalmi M.'!W54+'18. mell. Margaréta'!W54+'19.mell.Szentmihályi Játszókert'!W54+'20. mell. M. Fecskefészek'!W54+'21. mell. CMH'!W54+'22. mell. Bölcsőde'!W54+'23. mell. Terszoc.'!W54+'24. mell. Napraforgó'!W54+'25. mell. Kerületgazda'!W54+'26. mell. Őrszolgálat'!W54+'27. mell. KHEK'!W54+'28. mell. KIO'!W54</f>
        <v>1179.825</v>
      </c>
      <c r="X54" s="1374">
        <f>+'9. mell. PMH'!X54+'12. mell. Szakrendelő'!X54+'13. mell. GAMESZ'!X54+'14. mell. Gyerekkuckó'!X54+'15. mell. Cinkotai H.'!X54+'16. mell. Napsugár'!X54+'17. mell. Sashalmi M.'!X54+'18. mell. Margaréta'!X54+'19.mell.Szentmihályi Játszókert'!X54+'20. mell. M. Fecskefészek'!X54+'21. mell. CMH'!X54+'22. mell. Bölcsőde'!X54+'23. mell. Terszoc.'!X54+'24. mell. Napraforgó'!X54+'25. mell. Kerületgazda'!X54+'26. mell. Őrszolgálat'!X54+'27. mell. KHEK'!X54+'28. mell. KIO'!X54</f>
        <v>0</v>
      </c>
      <c r="Y54" s="1374">
        <f>+'9. mell. PMH'!Y54+'12. mell. Szakrendelő'!Y54+'13. mell. GAMESZ'!Y54+'14. mell. Gyerekkuckó'!Y54+'15. mell. Cinkotai H.'!Y54+'16. mell. Napsugár'!Y54+'17. mell. Sashalmi M.'!Y54+'18. mell. Margaréta'!Y54+'19.mell.Szentmihályi Játszókert'!Y54+'20. mell. M. Fecskefészek'!Y54+'21. mell. CMH'!Y54+'22. mell. Bölcsőde'!Y54+'23. mell. Terszoc.'!Y54+'24. mell. Napraforgó'!Y54+'25. mell. Kerületgazda'!Y54+'26. mell. Őrszolgálat'!Y54+'27. mell. KHEK'!Y54+'28. mell. KIO'!Y54</f>
        <v>0</v>
      </c>
      <c r="Z54" s="1374">
        <f>+'9. mell. PMH'!Z54+'12. mell. Szakrendelő'!Z54+'13. mell. GAMESZ'!Z54+'14. mell. Gyerekkuckó'!Z54+'15. mell. Cinkotai H.'!Z54+'16. mell. Napsugár'!Z54+'17. mell. Sashalmi M.'!Z54+'18. mell. Margaréta'!Z54+'19.mell.Szentmihályi Játszókert'!Z54+'20. mell. M. Fecskefészek'!Z54+'21. mell. CMH'!Z54+'22. mell. Bölcsőde'!Z54+'23. mell. Terszoc.'!Z54+'24. mell. Napraforgó'!Z54+'25. mell. Kerületgazda'!Z54+'26. mell. Őrszolgálat'!Z54+'27. mell. KHEK'!Z54+'28. mell. KIO'!Z54</f>
        <v>0</v>
      </c>
      <c r="AA54" s="1374">
        <f>+'9. mell. PMH'!AA54+'12. mell. Szakrendelő'!AA54+'13. mell. GAMESZ'!AA54+'14. mell. Gyerekkuckó'!AA54+'15. mell. Cinkotai H.'!AA54+'16. mell. Napsugár'!AA54+'17. mell. Sashalmi M.'!AA54+'18. mell. Margaréta'!AA54+'19.mell.Szentmihályi Játszókert'!AA54+'20. mell. M. Fecskefészek'!AA54+'21. mell. CMH'!AA54+'22. mell. Bölcsőde'!AA54+'23. mell. Terszoc.'!AA54+'24. mell. Napraforgó'!AA54+'25. mell. Kerületgazda'!AA54+'26. mell. Őrszolgálat'!AA54+'27. mell. KHEK'!AA54+'28. mell. KIO'!AA54</f>
        <v>0</v>
      </c>
      <c r="AB54" s="1374">
        <f>+'9. mell. PMH'!AB54+'12. mell. Szakrendelő'!AB54+'13. mell. GAMESZ'!AB54+'14. mell. Gyerekkuckó'!AB54+'15. mell. Cinkotai H.'!AB54+'16. mell. Napsugár'!AB54+'17. mell. Sashalmi M.'!AB54+'18. mell. Margaréta'!AB54+'19.mell.Szentmihályi Játszókert'!AB54+'20. mell. M. Fecskefészek'!AB54+'21. mell. CMH'!AB54+'22. mell. Bölcsőde'!AB54+'23. mell. Terszoc.'!AB54+'24. mell. Napraforgó'!AB54+'25. mell. Kerületgazda'!AB54+'26. mell. Őrszolgálat'!AB54+'27. mell. KHEK'!AB54+'28. mell. KIO'!AB54</f>
        <v>0</v>
      </c>
      <c r="AC54" s="1374">
        <f>+'9. mell. PMH'!AC54+'12. mell. Szakrendelő'!AC54+'13. mell. GAMESZ'!AC54+'14. mell. Gyerekkuckó'!AC54+'15. mell. Cinkotai H.'!AC54+'16. mell. Napsugár'!AC54+'17. mell. Sashalmi M.'!AC54+'18. mell. Margaréta'!AC54+'19.mell.Szentmihályi Játszókert'!AC54+'20. mell. M. Fecskefészek'!AC54+'21. mell. CMH'!AC54+'22. mell. Bölcsőde'!AC54+'23. mell. Terszoc.'!AC54+'24. mell. Napraforgó'!AC54+'25. mell. Kerületgazda'!AC54+'26. mell. Őrszolgálat'!AC54+'27. mell. KHEK'!AC54+'28. mell. KIO'!AC54</f>
        <v>0</v>
      </c>
      <c r="AD54" s="364"/>
      <c r="AE54" s="1053">
        <f t="shared" ref="AE54:AH55" si="18">+G54-F54</f>
        <v>0</v>
      </c>
      <c r="AF54" s="321">
        <f t="shared" si="18"/>
        <v>-33</v>
      </c>
      <c r="AG54" s="321">
        <f t="shared" si="18"/>
        <v>0</v>
      </c>
      <c r="AH54" s="321">
        <f t="shared" si="18"/>
        <v>0</v>
      </c>
      <c r="AI54" s="324">
        <f>+K54/I54</f>
        <v>1.0066203713076751</v>
      </c>
      <c r="AJ54" s="363">
        <f t="shared" si="17"/>
        <v>37.5</v>
      </c>
      <c r="AK54" s="325">
        <f>+F54-'9. mell. PMH'!F54-'12. mell. Szakrendelő'!F54-'25. mell. Kerületgazda'!F54-'28. mell. KIO'!F54</f>
        <v>766.5</v>
      </c>
      <c r="AL54" s="325">
        <f>+G54-'9. mell. PMH'!G54-'12. mell. Szakrendelő'!G54-'25. mell. Kerületgazda'!G54-'28. mell. KIO'!G54</f>
        <v>766.5</v>
      </c>
      <c r="AM54" s="325">
        <f>+H54-'9. mell. PMH'!H54-'12. mell. Szakrendelő'!H54-'25. mell. Kerületgazda'!H54-'28. mell. KIO'!H54</f>
        <v>733.5</v>
      </c>
      <c r="AN54" s="325">
        <f>+I54-'9. mell. PMH'!I54-'12. mell. Szakrendelő'!I54-'25. mell. Kerületgazda'!I54-'28. mell. KIO'!I54</f>
        <v>733.5</v>
      </c>
      <c r="AO54" s="325">
        <f>+J54-'9. mell. PMH'!J54-'12. mell. Szakrendelő'!J54-'25. mell. Kerületgazda'!J54-'28. mell. KIO'!J54</f>
        <v>733.5</v>
      </c>
      <c r="AP54" s="325">
        <f>+K54-'9. mell. PMH'!K54-'12. mell. Szakrendelő'!K54-'25. mell. Kerületgazda'!K54-'28. mell. KIO'!K54</f>
        <v>770</v>
      </c>
      <c r="AQ54" s="1604">
        <f>+AL54-AK54</f>
        <v>0</v>
      </c>
      <c r="AR54" s="1604">
        <f>+AM54-AL54</f>
        <v>-33</v>
      </c>
      <c r="AS54" s="1195">
        <f t="shared" si="7"/>
        <v>0</v>
      </c>
      <c r="AT54" s="2649">
        <v>1240</v>
      </c>
      <c r="AU54" s="1593">
        <f t="shared" si="8"/>
        <v>0</v>
      </c>
    </row>
    <row r="55" spans="1:47" ht="14.25" hidden="1" customHeight="1" thickBot="1">
      <c r="A55" s="2704" t="s">
        <v>1296</v>
      </c>
      <c r="B55" s="1441"/>
      <c r="C55" s="365"/>
      <c r="D55" s="366">
        <f>+'9. mell. PMH'!D55+'12. mell. Szakrendelő'!D55+'13. mell. GAMESZ'!D55+'14. mell. Gyerekkuckó'!D55+'15. mell. Cinkotai H.'!D55+'16. mell. Napsugár'!D55+'17. mell. Sashalmi M.'!D55+'18. mell. Margaréta'!D55+'19.mell.Szentmihályi Játszókert'!D55+'20. mell. M. Fecskefészek'!D55+'21. mell. CMH'!D55+'22. mell. Bölcsőde'!D55+'23. mell. Terszoc.'!D55+'24. mell. Napraforgó'!D55+'25. mell. Kerületgazda'!D55+'26. mell. Őrszolgálat'!D55</f>
        <v>0</v>
      </c>
      <c r="E55" s="2727"/>
      <c r="F55" s="368">
        <f>+'9. mell. PMH'!F55+'12. mell. Szakrendelő'!F55+'13. mell. GAMESZ'!F55+'14. mell. Gyerekkuckó'!F55+'15. mell. Cinkotai H.'!F55+'16. mell. Napsugár'!F55+'17. mell. Sashalmi M.'!F55+'18. mell. Margaréta'!F55+'19.mell.Szentmihályi Játszókert'!F55+'20. mell. M. Fecskefészek'!F55+'21. mell. CMH'!F55+'22. mell. Bölcsőde'!F55+'23. mell. Terszoc.'!F55+'24. mell. Napraforgó'!F55+'25. mell. Kerületgazda'!F55+'26. mell. Őrszolgálat'!F55</f>
        <v>0</v>
      </c>
      <c r="G55" s="367">
        <f>+'9. mell. PMH'!G55+'12. mell. Szakrendelő'!G55+'13. mell. GAMESZ'!G55+'14. mell. Gyerekkuckó'!G55+'15. mell. Cinkotai H.'!G55+'16. mell. Napsugár'!G55+'17. mell. Sashalmi M.'!G55+'18. mell. Margaréta'!G55+'19.mell.Szentmihályi Játszókert'!G55+'20. mell. M. Fecskefészek'!G55+'21. mell. CMH'!G55+'22. mell. Bölcsőde'!G55+'23. mell. Terszoc.'!G55+'24. mell. Napraforgó'!G55+'25. mell. Kerületgazda'!G55+'26. mell. Őrszolgálat'!G55</f>
        <v>0</v>
      </c>
      <c r="H55" s="366">
        <f>+'9. mell. PMH'!H55+'12. mell. Szakrendelő'!H55+'13. mell. GAMESZ'!H55+'14. mell. Gyerekkuckó'!H55+'15. mell. Cinkotai H.'!H55+'16. mell. Napsugár'!H55+'17. mell. Sashalmi M.'!H55+'18. mell. Margaréta'!H55+'19.mell.Szentmihályi Játszókert'!H55+'20. mell. M. Fecskefészek'!H55+'21. mell. CMH'!H55+'22. mell. Bölcsőde'!H55+'23. mell. Terszoc.'!H55+'24. mell. Napraforgó'!H55+'25. mell. Kerületgazda'!H55+'26. mell. Őrszolgálat'!H55</f>
        <v>0</v>
      </c>
      <c r="I55" s="366">
        <f>+'9. mell. PMH'!I55+'12. mell. Szakrendelő'!I55+'13. mell. GAMESZ'!I55+'14. mell. Gyerekkuckó'!I55+'15. mell. Cinkotai H.'!I55+'16. mell. Napsugár'!I55+'17. mell. Sashalmi M.'!I55+'18. mell. Margaréta'!I55+'19.mell.Szentmihályi Játszókert'!I55+'20. mell. M. Fecskefészek'!I55+'21. mell. CMH'!I55+'22. mell. Bölcsőde'!I55+'23. mell. Terszoc.'!I55+'24. mell. Napraforgó'!I55+'25. mell. Kerületgazda'!I55+'26. mell. Őrszolgálat'!I55</f>
        <v>0</v>
      </c>
      <c r="J55" s="366">
        <f>+'9. mell. PMH'!J55+'12. mell. Szakrendelő'!J55+'13. mell. GAMESZ'!J55+'14. mell. Gyerekkuckó'!J55+'15. mell. Cinkotai H.'!J55+'16. mell. Napsugár'!J55+'17. mell. Sashalmi M.'!J55+'18. mell. Margaréta'!J55+'19.mell.Szentmihályi Játszókert'!J55+'20. mell. M. Fecskefészek'!J55+'21. mell. CMH'!J55+'22. mell. Bölcsőde'!J55+'23. mell. Terszoc.'!J55+'24. mell. Napraforgó'!J55+'25. mell. Kerületgazda'!J55+'26. mell. Őrszolgálat'!J55</f>
        <v>0</v>
      </c>
      <c r="K55" s="366"/>
      <c r="L55" s="366">
        <f>+'9. mell. PMH'!L55+'12. mell. Szakrendelő'!L55+'13. mell. GAMESZ'!L55+'14. mell. Gyerekkuckó'!L55+'15. mell. Cinkotai H.'!L55+'16. mell. Napsugár'!L55+'17. mell. Sashalmi M.'!L55+'18. mell. Margaréta'!L55+'19.mell.Szentmihályi Játszókert'!L55+'20. mell. M. Fecskefészek'!L55+'21. mell. CMH'!L55+'22. mell. Bölcsőde'!L55+'23. mell. Terszoc.'!L55+'24. mell. Napraforgó'!L55+'25. mell. Kerületgazda'!L55+'26. mell. Őrszolgálat'!L55</f>
        <v>0</v>
      </c>
      <c r="M55" s="366">
        <f>+'9. mell. PMH'!M55+'12. mell. Szakrendelő'!M55+'13. mell. GAMESZ'!M55+'14. mell. Gyerekkuckó'!M55+'15. mell. Cinkotai H.'!M55+'16. mell. Napsugár'!M55+'17. mell. Sashalmi M.'!M55+'18. mell. Margaréta'!M55+'19.mell.Szentmihályi Játszókert'!M55+'20. mell. M. Fecskefészek'!M55+'21. mell. CMH'!M55+'22. mell. Bölcsőde'!M55+'23. mell. Terszoc.'!M55+'24. mell. Napraforgó'!M55+'25. mell. Kerületgazda'!M55+'26. mell. Őrszolgálat'!M55</f>
        <v>0</v>
      </c>
      <c r="N55" s="366">
        <f>+'9. mell. PMH'!N55+'12. mell. Szakrendelő'!N55+'13. mell. GAMESZ'!N55+'14. mell. Gyerekkuckó'!N55+'15. mell. Cinkotai H.'!N55+'16. mell. Napsugár'!N55+'17. mell. Sashalmi M.'!N55+'18. mell. Margaréta'!N55+'19.mell.Szentmihályi Játszókert'!N55+'20. mell. M. Fecskefészek'!N55+'21. mell. CMH'!N55+'22. mell. Bölcsőde'!N55+'23. mell. Terszoc.'!N55+'24. mell. Napraforgó'!N55+'25. mell. Kerületgazda'!N55+'26. mell. Őrszolgálat'!N55</f>
        <v>0</v>
      </c>
      <c r="O55" s="366">
        <f>+'9. mell. PMH'!O55+'12. mell. Szakrendelő'!O55+'13. mell. GAMESZ'!O55+'14. mell. Gyerekkuckó'!O55+'15. mell. Cinkotai H.'!O55+'16. mell. Napsugár'!O55+'17. mell. Sashalmi M.'!O55+'18. mell. Margaréta'!O55+'19.mell.Szentmihályi Játszókert'!O55+'20. mell. M. Fecskefészek'!O55+'21. mell. CMH'!O55+'22. mell. Bölcsőde'!O55+'23. mell. Terszoc.'!O55+'24. mell. Napraforgó'!O55+'25. mell. Kerületgazda'!O55+'26. mell. Őrszolgálat'!O55</f>
        <v>0</v>
      </c>
      <c r="P55" s="366">
        <f>+'9. mell. PMH'!P55+'12. mell. Szakrendelő'!P55+'13. mell. GAMESZ'!P55+'14. mell. Gyerekkuckó'!P55+'15. mell. Cinkotai H.'!P55+'16. mell. Napsugár'!P55+'17. mell. Sashalmi M.'!P55+'18. mell. Margaréta'!P55+'19.mell.Szentmihályi Játszókert'!P55+'20. mell. M. Fecskefészek'!P55+'21. mell. CMH'!P55+'22. mell. Bölcsőde'!P55+'23. mell. Terszoc.'!P55+'24. mell. Napraforgó'!P55+'25. mell. Kerületgazda'!P55+'26. mell. Őrszolgálat'!P55</f>
        <v>0</v>
      </c>
      <c r="Q55" s="366"/>
      <c r="R55" s="366">
        <f>+'9. mell. PMH'!R55+'12. mell. Szakrendelő'!R55+'13. mell. GAMESZ'!R55+'14. mell. Gyerekkuckó'!R55+'15. mell. Cinkotai H.'!R55+'16. mell. Napsugár'!R55+'17. mell. Sashalmi M.'!R55+'18. mell. Margaréta'!R55+'19.mell.Szentmihályi Játszókert'!R55+'20. mell. M. Fecskefészek'!R55+'21. mell. CMH'!R55+'22. mell. Bölcsőde'!R55+'23. mell. Terszoc.'!R55+'24. mell. Napraforgó'!R55+'25. mell. Kerületgazda'!R55+'26. mell. Őrszolgálat'!R55</f>
        <v>0</v>
      </c>
      <c r="S55" s="366">
        <f>+'9. mell. PMH'!S55+'12. mell. Szakrendelő'!S55+'13. mell. GAMESZ'!S55+'14. mell. Gyerekkuckó'!S55+'15. mell. Cinkotai H.'!S55+'16. mell. Napsugár'!S55+'17. mell. Sashalmi M.'!S55+'18. mell. Margaréta'!S55+'19.mell.Szentmihályi Játszókert'!S55+'20. mell. M. Fecskefészek'!S55+'21. mell. CMH'!S55+'22. mell. Bölcsőde'!S55+'23. mell. Terszoc.'!S55+'24. mell. Napraforgó'!S55+'25. mell. Kerületgazda'!S55+'26. mell. Őrszolgálat'!S55</f>
        <v>0</v>
      </c>
      <c r="T55" s="366">
        <f>+'9. mell. PMH'!T55+'12. mell. Szakrendelő'!T55+'13. mell. GAMESZ'!T55+'14. mell. Gyerekkuckó'!T55+'15. mell. Cinkotai H.'!T55+'16. mell. Napsugár'!T55+'17. mell. Sashalmi M.'!T55+'18. mell. Margaréta'!T55+'19.mell.Szentmihályi Játszókert'!T55+'20. mell. M. Fecskefészek'!T55+'21. mell. CMH'!T55+'22. mell. Bölcsőde'!T55+'23. mell. Terszoc.'!T55+'24. mell. Napraforgó'!T55+'25. mell. Kerületgazda'!T55+'26. mell. Őrszolgálat'!T55</f>
        <v>0</v>
      </c>
      <c r="U55" s="366">
        <f>+'9. mell. PMH'!U55+'12. mell. Szakrendelő'!U55+'13. mell. GAMESZ'!U55+'14. mell. Gyerekkuckó'!U55+'15. mell. Cinkotai H.'!U55+'16. mell. Napsugár'!U55+'17. mell. Sashalmi M.'!U55+'18. mell. Margaréta'!U55+'19.mell.Szentmihályi Játszókert'!U55+'20. mell. M. Fecskefészek'!U55+'21. mell. CMH'!U55+'22. mell. Bölcsőde'!U55+'23. mell. Terszoc.'!U55+'24. mell. Napraforgó'!U55+'25. mell. Kerületgazda'!U55+'26. mell. Őrszolgálat'!U55</f>
        <v>0</v>
      </c>
      <c r="V55" s="366">
        <f>+'9. mell. PMH'!V55+'12. mell. Szakrendelő'!V55+'13. mell. GAMESZ'!V55+'14. mell. Gyerekkuckó'!V55+'15. mell. Cinkotai H.'!V55+'16. mell. Napsugár'!V55+'17. mell. Sashalmi M.'!V55+'18. mell. Margaréta'!V55+'19.mell.Szentmihályi Játszókert'!V55+'20. mell. M. Fecskefészek'!V55+'21. mell. CMH'!V55+'22. mell. Bölcsőde'!V55+'23. mell. Terszoc.'!V55+'24. mell. Napraforgó'!V55+'25. mell. Kerületgazda'!V55+'26. mell. Őrszolgálat'!V55</f>
        <v>0</v>
      </c>
      <c r="W55" s="366"/>
      <c r="X55" s="366">
        <f>+'9. mell. PMH'!X55+'12. mell. Szakrendelő'!X55+'13. mell. GAMESZ'!X55+'14. mell. Gyerekkuckó'!X55+'15. mell. Cinkotai H.'!X55+'16. mell. Napsugár'!X55+'17. mell. Sashalmi M.'!X55+'18. mell. Margaréta'!X55+'19.mell.Szentmihályi Játszókert'!X55+'20. mell. M. Fecskefészek'!X55+'21. mell. CMH'!X55+'22. mell. Bölcsőde'!X55+'23. mell. Terszoc.'!X55+'24. mell. Napraforgó'!X55+'25. mell. Kerületgazda'!X55+'26. mell. Őrszolgálat'!X55</f>
        <v>0</v>
      </c>
      <c r="Y55" s="366">
        <f>+'9. mell. PMH'!Y55+'12. mell. Szakrendelő'!Y55+'13. mell. GAMESZ'!Y55+'14. mell. Gyerekkuckó'!Y55+'15. mell. Cinkotai H.'!Y55+'16. mell. Napsugár'!Y55+'17. mell. Sashalmi M.'!Y55+'18. mell. Margaréta'!Y55+'19.mell.Szentmihályi Játszókert'!Y55+'20. mell. M. Fecskefészek'!Y55+'21. mell. CMH'!Y55+'22. mell. Bölcsőde'!Y55+'23. mell. Terszoc.'!Y55+'24. mell. Napraforgó'!Y55+'25. mell. Kerületgazda'!Y55+'26. mell. Őrszolgálat'!Y55</f>
        <v>0</v>
      </c>
      <c r="Z55" s="366">
        <f>+'9. mell. PMH'!Z55+'12. mell. Szakrendelő'!Z55+'13. mell. GAMESZ'!Z55+'14. mell. Gyerekkuckó'!Z55+'15. mell. Cinkotai H.'!Z55+'16. mell. Napsugár'!Z55+'17. mell. Sashalmi M.'!Z55+'18. mell. Margaréta'!Z55+'19.mell.Szentmihályi Játszókert'!Z55+'20. mell. M. Fecskefészek'!Z55+'21. mell. CMH'!Z55+'22. mell. Bölcsőde'!Z55+'23. mell. Terszoc.'!Z55+'24. mell. Napraforgó'!Z55+'25. mell. Kerületgazda'!Z55+'26. mell. Őrszolgálat'!Z55</f>
        <v>0</v>
      </c>
      <c r="AA55" s="366">
        <f>+'9. mell. PMH'!AA55+'12. mell. Szakrendelő'!AA55+'13. mell. GAMESZ'!AA55+'14. mell. Gyerekkuckó'!AA55+'15. mell. Cinkotai H.'!AA55+'16. mell. Napsugár'!AA55+'17. mell. Sashalmi M.'!AA55+'18. mell. Margaréta'!AA55+'19.mell.Szentmihályi Játszókert'!AA55+'20. mell. M. Fecskefészek'!AA55+'21. mell. CMH'!AA55+'22. mell. Bölcsőde'!AA55+'23. mell. Terszoc.'!AA55+'24. mell. Napraforgó'!AA55+'25. mell. Kerületgazda'!AA55+'26. mell. Őrszolgálat'!AA55</f>
        <v>0</v>
      </c>
      <c r="AB55" s="366">
        <f>+'9. mell. PMH'!AB55+'12. mell. Szakrendelő'!AB55+'13. mell. GAMESZ'!AB55+'14. mell. Gyerekkuckó'!AB55+'15. mell. Cinkotai H.'!AB55+'16. mell. Napsugár'!AB55+'17. mell. Sashalmi M.'!AB55+'18. mell. Margaréta'!AB55+'19.mell.Szentmihályi Játszókert'!AB55+'20. mell. M. Fecskefészek'!AB55+'21. mell. CMH'!AB55+'22. mell. Bölcsőde'!AB55+'23. mell. Terszoc.'!AB55+'24. mell. Napraforgó'!AB55+'25. mell. Kerületgazda'!AB55+'26. mell. Őrszolgálat'!AB55</f>
        <v>0</v>
      </c>
      <c r="AC55" s="368"/>
      <c r="AD55" s="368"/>
      <c r="AE55" s="369">
        <f t="shared" si="18"/>
        <v>0</v>
      </c>
      <c r="AF55" s="323">
        <f t="shared" si="18"/>
        <v>0</v>
      </c>
      <c r="AG55" s="370">
        <f t="shared" si="18"/>
        <v>0</v>
      </c>
      <c r="AH55" s="370">
        <f t="shared" si="18"/>
        <v>0</v>
      </c>
      <c r="AI55" s="371" t="e">
        <f>+F55/D55</f>
        <v>#DIV/0!</v>
      </c>
      <c r="AJ55" s="366"/>
      <c r="AK55" s="372"/>
      <c r="AM55" s="373">
        <f>+H55-'9. mell. PMH'!H55-'12. mell. Szakrendelő'!H55-'25. mell. Kerületgazda'!H55</f>
        <v>0</v>
      </c>
      <c r="AN55" s="299"/>
      <c r="AT55" s="366"/>
      <c r="AU55" s="1593">
        <f t="shared" si="8"/>
        <v>0</v>
      </c>
    </row>
    <row r="56" spans="1:47" ht="26.25" hidden="1" customHeight="1" thickBot="1">
      <c r="A56" s="3638" t="s">
        <v>486</v>
      </c>
      <c r="B56" s="3639"/>
      <c r="C56" s="2706" t="s">
        <v>1297</v>
      </c>
      <c r="D56" s="2707">
        <f>+'9. mell. PMH'!D56+'12. mell. Szakrendelő'!D56+'13. mell. GAMESZ'!D56+'14. mell. Gyerekkuckó'!D56+'15. mell. Cinkotai H.'!D56+'16. mell. Napsugár'!D56+'17. mell. Sashalmi M.'!D56+'18. mell. Margaréta'!D56+'19.mell.Szentmihályi Játszókert'!D56+'20. mell. M. Fecskefészek'!D56+'21. mell. CMH'!D56+'22. mell. Bölcsőde'!D56+'23. mell. Terszoc.'!D56+'24. mell. Napraforgó'!D56+'25. mell. Kerületgazda'!D56+'26. mell. Őrszolgálat'!D56</f>
        <v>0</v>
      </c>
      <c r="E56" s="2728"/>
      <c r="F56" s="3465">
        <f>+'9. mell. PMH'!F56+'12. mell. Szakrendelő'!F56+'13. mell. GAMESZ'!F56+'14. mell. Gyerekkuckó'!F56+'15. mell. Cinkotai H.'!F56+'16. mell. Napsugár'!F56+'17. mell. Sashalmi M.'!F56+'18. mell. Margaréta'!F56+'19.mell.Szentmihályi Játszókert'!F56+'20. mell. M. Fecskefészek'!F56+'21. mell. CMH'!F56+'22. mell. Bölcsőde'!F56+'23. mell. Terszoc.'!F56+'24. mell. Napraforgó'!F56+'25. mell. Kerületgazda'!F56+'26. mell. Őrszolgálat'!F56</f>
        <v>0</v>
      </c>
      <c r="G56" s="3466">
        <f>+'9. mell. PMH'!G56+'12. mell. Szakrendelő'!G56+'13. mell. GAMESZ'!G56+'14. mell. Gyerekkuckó'!G56+'15. mell. Cinkotai H.'!G56+'16. mell. Napsugár'!G56+'17. mell. Sashalmi M.'!G56+'18. mell. Margaréta'!G56+'19.mell.Szentmihályi Játszókert'!G56+'20. mell. M. Fecskefészek'!G56+'21. mell. CMH'!G56+'22. mell. Bölcsőde'!G56+'23. mell. Terszoc.'!G56+'24. mell. Napraforgó'!G56+'25. mell. Kerületgazda'!G56+'26. mell. Őrszolgálat'!G56</f>
        <v>0</v>
      </c>
      <c r="H56" s="3466">
        <f>+'9. mell. PMH'!H56+'12. mell. Szakrendelő'!H56+'13. mell. GAMESZ'!H56+'14. mell. Gyerekkuckó'!H56+'15. mell. Cinkotai H.'!H56+'16. mell. Napsugár'!H56+'17. mell. Sashalmi M.'!H56+'18. mell. Margaréta'!H56+'19.mell.Szentmihályi Játszókert'!H56+'20. mell. M. Fecskefészek'!H56+'21. mell. CMH'!H56+'22. mell. Bölcsőde'!H56+'23. mell. Terszoc.'!H56+'24. mell. Napraforgó'!H56+'25. mell. Kerületgazda'!H56+'26. mell. Őrszolgálat'!H56</f>
        <v>0</v>
      </c>
      <c r="I56" s="3466">
        <f>+'9. mell. PMH'!I56+'12. mell. Szakrendelő'!I56+'13. mell. GAMESZ'!I56+'14. mell. Gyerekkuckó'!I56+'15. mell. Cinkotai H.'!I56+'16. mell. Napsugár'!I56+'17. mell. Sashalmi M.'!I56+'18. mell. Margaréta'!I56+'19.mell.Szentmihályi Játszókert'!I56+'20. mell. M. Fecskefészek'!I56+'21. mell. CMH'!I56+'22. mell. Bölcsőde'!I56+'23. mell. Terszoc.'!I56+'24. mell. Napraforgó'!I56+'25. mell. Kerületgazda'!I56+'26. mell. Őrszolgálat'!I56</f>
        <v>0</v>
      </c>
      <c r="J56" s="3466">
        <f>+'9. mell. PMH'!J56+'12. mell. Szakrendelő'!J56+'13. mell. GAMESZ'!J56+'14. mell. Gyerekkuckó'!J56+'15. mell. Cinkotai H.'!J56+'16. mell. Napsugár'!J56+'17. mell. Sashalmi M.'!J56+'18. mell. Margaréta'!J56+'19.mell.Szentmihályi Játszókert'!J56+'20. mell. M. Fecskefészek'!J56+'21. mell. CMH'!J56+'22. mell. Bölcsőde'!J56+'23. mell. Terszoc.'!J56+'24. mell. Napraforgó'!J56+'25. mell. Kerületgazda'!J56+'26. mell. Őrszolgálat'!J56</f>
        <v>0</v>
      </c>
      <c r="K56" s="3466"/>
      <c r="L56" s="374">
        <f>+'9. mell. PMH'!L56+'12. mell. Szakrendelő'!L56+'13. mell. GAMESZ'!L56+'14. mell. Gyerekkuckó'!L56+'15. mell. Cinkotai H.'!L56+'16. mell. Napsugár'!L56+'17. mell. Sashalmi M.'!L56+'18. mell. Margaréta'!L56+'19.mell.Szentmihályi Játszókert'!L56+'20. mell. M. Fecskefészek'!L56+'21. mell. CMH'!L56+'22. mell. Bölcsőde'!L56+'23. mell. Terszoc.'!L56+'24. mell. Napraforgó'!L56+'25. mell. Kerületgazda'!L56+'26. mell. Őrszolgálat'!L56</f>
        <v>0</v>
      </c>
      <c r="M56" s="374">
        <f>+'9. mell. PMH'!M56+'12. mell. Szakrendelő'!M56+'13. mell. GAMESZ'!M56+'14. mell. Gyerekkuckó'!M56+'15. mell. Cinkotai H.'!M56+'16. mell. Napsugár'!M56+'17. mell. Sashalmi M.'!M56+'18. mell. Margaréta'!M56+'19.mell.Szentmihályi Játszókert'!M56+'20. mell. M. Fecskefészek'!M56+'21. mell. CMH'!M56+'22. mell. Bölcsőde'!M56+'23. mell. Terszoc.'!M56+'24. mell. Napraforgó'!M56+'25. mell. Kerületgazda'!M56+'26. mell. Őrszolgálat'!M56</f>
        <v>0</v>
      </c>
      <c r="N56" s="374">
        <f>+'9. mell. PMH'!N56+'12. mell. Szakrendelő'!N56+'13. mell. GAMESZ'!N56+'14. mell. Gyerekkuckó'!N56+'15. mell. Cinkotai H.'!N56+'16. mell. Napsugár'!N56+'17. mell. Sashalmi M.'!N56+'18. mell. Margaréta'!N56+'19.mell.Szentmihályi Játszókert'!N56+'20. mell. M. Fecskefészek'!N56+'21. mell. CMH'!N56+'22. mell. Bölcsőde'!N56+'23. mell. Terszoc.'!N56+'24. mell. Napraforgó'!N56+'25. mell. Kerületgazda'!N56+'26. mell. Őrszolgálat'!N56</f>
        <v>0</v>
      </c>
      <c r="O56" s="374">
        <f>+'9. mell. PMH'!O56+'12. mell. Szakrendelő'!O56+'13. mell. GAMESZ'!O56+'14. mell. Gyerekkuckó'!O56+'15. mell. Cinkotai H.'!O56+'16. mell. Napsugár'!O56+'17. mell. Sashalmi M.'!O56+'18. mell. Margaréta'!O56+'19.mell.Szentmihályi Játszókert'!O56+'20. mell. M. Fecskefészek'!O56+'21. mell. CMH'!O56+'22. mell. Bölcsőde'!O56+'23. mell. Terszoc.'!O56+'24. mell. Napraforgó'!O56+'25. mell. Kerületgazda'!O56+'26. mell. Őrszolgálat'!O56</f>
        <v>0</v>
      </c>
      <c r="P56" s="374">
        <f>+'9. mell. PMH'!P56+'12. mell. Szakrendelő'!P56+'13. mell. GAMESZ'!P56+'14. mell. Gyerekkuckó'!P56+'15. mell. Cinkotai H.'!P56+'16. mell. Napsugár'!P56+'17. mell. Sashalmi M.'!P56+'18. mell. Margaréta'!P56+'19.mell.Szentmihályi Játszókert'!P56+'20. mell. M. Fecskefészek'!P56+'21. mell. CMH'!P56+'22. mell. Bölcsőde'!P56+'23. mell. Terszoc.'!P56+'24. mell. Napraforgó'!P56+'25. mell. Kerületgazda'!P56+'26. mell. Őrszolgálat'!P56</f>
        <v>0</v>
      </c>
      <c r="Q56" s="374"/>
      <c r="R56" s="374">
        <f>+'9. mell. PMH'!R56+'12. mell. Szakrendelő'!R56+'13. mell. GAMESZ'!R56+'14. mell. Gyerekkuckó'!R56+'15. mell. Cinkotai H.'!R56+'16. mell. Napsugár'!R56+'17. mell. Sashalmi M.'!R56+'18. mell. Margaréta'!R56+'19.mell.Szentmihályi Játszókert'!R56+'20. mell. M. Fecskefészek'!R56+'21. mell. CMH'!R56+'22. mell. Bölcsőde'!R56+'23. mell. Terszoc.'!R56+'24. mell. Napraforgó'!R56+'25. mell. Kerületgazda'!R56+'26. mell. Őrszolgálat'!R56</f>
        <v>0</v>
      </c>
      <c r="S56" s="374">
        <f>+'9. mell. PMH'!S56+'12. mell. Szakrendelő'!S56+'13. mell. GAMESZ'!S56+'14. mell. Gyerekkuckó'!S56+'15. mell. Cinkotai H.'!S56+'16. mell. Napsugár'!S56+'17. mell. Sashalmi M.'!S56+'18. mell. Margaréta'!S56+'19.mell.Szentmihályi Játszókert'!S56+'20. mell. M. Fecskefészek'!S56+'21. mell. CMH'!S56+'22. mell. Bölcsőde'!S56+'23. mell. Terszoc.'!S56+'24. mell. Napraforgó'!S56+'25. mell. Kerületgazda'!S56+'26. mell. Őrszolgálat'!S56</f>
        <v>0</v>
      </c>
      <c r="T56" s="374">
        <f>+'9. mell. PMH'!T56+'12. mell. Szakrendelő'!T56+'13. mell. GAMESZ'!T56+'14. mell. Gyerekkuckó'!T56+'15. mell. Cinkotai H.'!T56+'16. mell. Napsugár'!T56+'17. mell. Sashalmi M.'!T56+'18. mell. Margaréta'!T56+'19.mell.Szentmihályi Játszókert'!T56+'20. mell. M. Fecskefészek'!T56+'21. mell. CMH'!T56+'22. mell. Bölcsőde'!T56+'23. mell. Terszoc.'!T56+'24. mell. Napraforgó'!T56+'25. mell. Kerületgazda'!T56+'26. mell. Őrszolgálat'!T56</f>
        <v>0</v>
      </c>
      <c r="U56" s="374">
        <f>+'9. mell. PMH'!U56+'12. mell. Szakrendelő'!U56+'13. mell. GAMESZ'!U56+'14. mell. Gyerekkuckó'!U56+'15. mell. Cinkotai H.'!U56+'16. mell. Napsugár'!U56+'17. mell. Sashalmi M.'!U56+'18. mell. Margaréta'!U56+'19.mell.Szentmihályi Játszókert'!U56+'20. mell. M. Fecskefészek'!U56+'21. mell. CMH'!U56+'22. mell. Bölcsőde'!U56+'23. mell. Terszoc.'!U56+'24. mell. Napraforgó'!U56+'25. mell. Kerületgazda'!U56+'26. mell. Őrszolgálat'!U56</f>
        <v>0</v>
      </c>
      <c r="V56" s="374">
        <f>+'9. mell. PMH'!V56+'12. mell. Szakrendelő'!V56+'13. mell. GAMESZ'!V56+'14. mell. Gyerekkuckó'!V56+'15. mell. Cinkotai H.'!V56+'16. mell. Napsugár'!V56+'17. mell. Sashalmi M.'!V56+'18. mell. Margaréta'!V56+'19.mell.Szentmihályi Játszókert'!V56+'20. mell. M. Fecskefészek'!V56+'21. mell. CMH'!V56+'22. mell. Bölcsőde'!V56+'23. mell. Terszoc.'!V56+'24. mell. Napraforgó'!V56+'25. mell. Kerületgazda'!V56+'26. mell. Őrszolgálat'!V56</f>
        <v>0</v>
      </c>
      <c r="W56" s="374"/>
      <c r="X56" s="374">
        <f>+'9. mell. PMH'!X56+'12. mell. Szakrendelő'!X56+'13. mell. GAMESZ'!X56+'14. mell. Gyerekkuckó'!X56+'15. mell. Cinkotai H.'!X56+'16. mell. Napsugár'!X56+'17. mell. Sashalmi M.'!X56+'18. mell. Margaréta'!X56+'19.mell.Szentmihályi Játszókert'!X56+'20. mell. M. Fecskefészek'!X56+'21. mell. CMH'!X56+'22. mell. Bölcsőde'!X56+'23. mell. Terszoc.'!X56+'24. mell. Napraforgó'!X56+'25. mell. Kerületgazda'!X56+'26. mell. Őrszolgálat'!X56</f>
        <v>0</v>
      </c>
      <c r="Y56" s="374">
        <f>+'9. mell. PMH'!Y56+'12. mell. Szakrendelő'!Y56+'13. mell. GAMESZ'!Y56+'14. mell. Gyerekkuckó'!Y56+'15. mell. Cinkotai H.'!Y56+'16. mell. Napsugár'!Y56+'17. mell. Sashalmi M.'!Y56+'18. mell. Margaréta'!Y56+'19.mell.Szentmihályi Játszókert'!Y56+'20. mell. M. Fecskefészek'!Y56+'21. mell. CMH'!Y56+'22. mell. Bölcsőde'!Y56+'23. mell. Terszoc.'!Y56+'24. mell. Napraforgó'!Y56+'25. mell. Kerületgazda'!Y56+'26. mell. Őrszolgálat'!Y56</f>
        <v>0</v>
      </c>
      <c r="Z56" s="374">
        <f>+'9. mell. PMH'!Z56+'12. mell. Szakrendelő'!Z56+'13. mell. GAMESZ'!Z56+'14. mell. Gyerekkuckó'!Z56+'15. mell. Cinkotai H.'!Z56+'16. mell. Napsugár'!Z56+'17. mell. Sashalmi M.'!Z56+'18. mell. Margaréta'!Z56+'19.mell.Szentmihályi Játszókert'!Z56+'20. mell. M. Fecskefészek'!Z56+'21. mell. CMH'!Z56+'22. mell. Bölcsőde'!Z56+'23. mell. Terszoc.'!Z56+'24. mell. Napraforgó'!Z56+'25. mell. Kerületgazda'!Z56+'26. mell. Őrszolgálat'!Z56</f>
        <v>0</v>
      </c>
      <c r="AA56" s="374">
        <f>+'9. mell. PMH'!AA56+'12. mell. Szakrendelő'!AA56+'13. mell. GAMESZ'!AA56+'14. mell. Gyerekkuckó'!AA56+'15. mell. Cinkotai H.'!AA56+'16. mell. Napsugár'!AA56+'17. mell. Sashalmi M.'!AA56+'18. mell. Margaréta'!AA56+'19.mell.Szentmihályi Játszókert'!AA56+'20. mell. M. Fecskefészek'!AA56+'21. mell. CMH'!AA56+'22. mell. Bölcsőde'!AA56+'23. mell. Terszoc.'!AA56+'24. mell. Napraforgó'!AA56+'25. mell. Kerületgazda'!AA56+'26. mell. Őrszolgálat'!AA56</f>
        <v>0</v>
      </c>
      <c r="AB56" s="374">
        <f>+'9. mell. PMH'!AB56+'12. mell. Szakrendelő'!AB56+'13. mell. GAMESZ'!AB56+'14. mell. Gyerekkuckó'!AB56+'15. mell. Cinkotai H.'!AB56+'16. mell. Napsugár'!AB56+'17. mell. Sashalmi M.'!AB56+'18. mell. Margaréta'!AB56+'19.mell.Szentmihályi Játszókert'!AB56+'20. mell. M. Fecskefészek'!AB56+'21. mell. CMH'!AB56+'22. mell. Bölcsőde'!AB56+'23. mell. Terszoc.'!AB56+'24. mell. Napraforgó'!AB56+'25. mell. Kerületgazda'!AB56+'26. mell. Őrszolgálat'!AB56</f>
        <v>0</v>
      </c>
      <c r="AC56" s="375"/>
      <c r="AJ56" s="374"/>
      <c r="AN56" s="299"/>
      <c r="AT56" s="374"/>
      <c r="AU56" s="1593">
        <f t="shared" si="8"/>
        <v>0</v>
      </c>
    </row>
    <row r="57" spans="1:47" ht="23.25" customHeight="1" thickBot="1">
      <c r="A57" s="2705"/>
      <c r="B57" s="3464" t="s">
        <v>17</v>
      </c>
      <c r="C57" s="3468" t="s">
        <v>4051</v>
      </c>
      <c r="D57" s="2708"/>
      <c r="E57" s="2729">
        <f>+'9. mell. PMH'!E57+'12. mell. Szakrendelő'!E57+'13. mell. GAMESZ'!E57+'14. mell. Gyerekkuckó'!E57+'15. mell. Cinkotai H.'!E57+'16. mell. Napsugár'!E57+'17. mell. Sashalmi M.'!E57+'18. mell. Margaréta'!E57+'19.mell.Szentmihályi Játszókert'!E57+'20. mell. M. Fecskefészek'!E57+'21. mell. CMH'!E57+'22. mell. Bölcsőde'!E57+'23. mell. Terszoc.'!E57+'24. mell. Napraforgó'!E57+'25. mell. Kerületgazda'!E57+'26. mell. Őrszolgálat'!E57+'27. mell. KHEK'!E57+'28. mell. KIO'!E57</f>
        <v>641040614</v>
      </c>
      <c r="F57" s="3469"/>
      <c r="G57" s="3470"/>
      <c r="H57" s="3470"/>
      <c r="I57" s="3470"/>
      <c r="J57" s="3470"/>
      <c r="K57" s="3471">
        <f>+'9. mell. PMH'!K57+'12. mell. Szakrendelő'!K57+'13. mell. GAMESZ'!K57+'14. mell. Gyerekkuckó'!K57+'15. mell. Cinkotai H.'!K57+'16. mell. Napsugár'!K57+'17. mell. Sashalmi M.'!K57+'18. mell. Margaréta'!K57+'19.mell.Szentmihályi Játszókert'!K57+'20. mell. M. Fecskefészek'!K57+'21. mell. CMH'!K57+'22. mell. Bölcsőde'!K57+'23. mell. Terszoc.'!K57+'24. mell. Napraforgó'!K57+'25. mell. Kerületgazda'!K57+'26. mell. Őrszolgálat'!K57+'27. mell. KHEK'!K57+'28. mell. KIO'!K57</f>
        <v>939228296</v>
      </c>
      <c r="L57" s="53">
        <f>+F36/'1. mell.ÖSSZEVONT_MÉRLEG'!E153</f>
        <v>0.39669234543387272</v>
      </c>
      <c r="M57" s="53">
        <f>+G36/'1. mell.ÖSSZEVONT_MÉRLEG'!F153</f>
        <v>0.3858881535191559</v>
      </c>
      <c r="N57" s="53"/>
      <c r="O57" s="299"/>
      <c r="P57" s="299"/>
      <c r="Q57" s="299"/>
      <c r="R57" s="376" t="s">
        <v>1299</v>
      </c>
      <c r="S57" s="299"/>
      <c r="T57" s="299"/>
      <c r="U57" s="299"/>
      <c r="V57" s="299"/>
      <c r="W57" s="299"/>
      <c r="X57" s="299"/>
      <c r="Y57" s="299"/>
      <c r="Z57" s="299"/>
      <c r="AA57" s="299"/>
      <c r="AB57" s="299"/>
      <c r="AC57" s="299"/>
      <c r="AD57" s="299"/>
      <c r="AE57" s="299"/>
      <c r="AF57" s="299"/>
      <c r="AG57" s="299"/>
      <c r="AH57" s="299"/>
      <c r="AI57" s="299"/>
      <c r="AJ57" s="299"/>
      <c r="AM57" s="299"/>
      <c r="AN57" s="299"/>
      <c r="AP57" s="299"/>
      <c r="AQ57" s="299"/>
      <c r="AR57" s="299"/>
      <c r="AS57" s="299"/>
      <c r="AT57" s="299"/>
      <c r="AU57" s="1593"/>
    </row>
    <row r="58" spans="1:47" ht="15.75" hidden="1" thickBot="1">
      <c r="C58" s="1352" t="s">
        <v>3696</v>
      </c>
      <c r="F58" s="3467">
        <f>+'9. mell. PMH'!F58+'12. mell. Szakrendelő'!F58+'13. mell. GAMESZ'!F58+'14. mell. Gyerekkuckó'!F58+'15. mell. Cinkotai H.'!F58+'16. mell. Napsugár'!F58+'17. mell. Sashalmi M.'!F58+'18. mell. Margaréta'!F58+'19.mell.Szentmihályi Játszókert'!F58+'20. mell. M. Fecskefészek'!F58+'21. mell. CMH'!F58+'22. mell. Bölcsőde'!F58+'23. mell. Terszoc.'!F58+'24. mell. Napraforgó'!F58+'25. mell. Kerületgazda'!F58+'26. mell. Őrszolgálat'!F58+'27. mell. KHEK'!F58</f>
        <v>4462684</v>
      </c>
      <c r="G58" s="3467">
        <f>+'9. mell. PMH'!G58+'12. mell. Szakrendelő'!G58+'13. mell. GAMESZ'!G58+'14. mell. Gyerekkuckó'!G58+'15. mell. Cinkotai H.'!G58+'16. mell. Napsugár'!G58+'17. mell. Sashalmi M.'!G58+'18. mell. Margaréta'!G58+'19.mell.Szentmihályi Játszókert'!G58+'20. mell. M. Fecskefészek'!G58+'21. mell. CMH'!G58+'22. mell. Bölcsőde'!G58+'23. mell. Terszoc.'!G58+'24. mell. Napraforgó'!G58+'25. mell. Kerületgazda'!G58+'26. mell. Őrszolgálat'!G58+'27. mell. KHEK'!G58</f>
        <v>4462684</v>
      </c>
      <c r="H58" s="3467">
        <f>+'9. mell. PMH'!H58+'12. mell. Szakrendelő'!H58+'13. mell. GAMESZ'!H58+'14. mell. Gyerekkuckó'!H58+'15. mell. Cinkotai H.'!H58+'16. mell. Napsugár'!H58+'17. mell. Sashalmi M.'!H58+'18. mell. Margaréta'!H58+'19.mell.Szentmihályi Játszókert'!H58+'20. mell. M. Fecskefészek'!H58+'21. mell. CMH'!H58+'22. mell. Bölcsőde'!H58+'23. mell. Terszoc.'!H58+'24. mell. Napraforgó'!H58+'25. mell. Kerületgazda'!H58+'26. mell. Őrszolgálat'!H58+'27. mell. KHEK'!H58</f>
        <v>4462684</v>
      </c>
      <c r="I58" s="3467">
        <f>+'9. mell. PMH'!I58+'12. mell. Szakrendelő'!I58+'13. mell. GAMESZ'!I58+'14. mell. Gyerekkuckó'!I58+'15. mell. Cinkotai H.'!I58+'16. mell. Napsugár'!I58+'17. mell. Sashalmi M.'!I58+'18. mell. Margaréta'!I58+'19.mell.Szentmihályi Játszókert'!I58+'20. mell. M. Fecskefészek'!I58+'21. mell. CMH'!I58+'22. mell. Bölcsőde'!I58+'23. mell. Terszoc.'!I58+'24. mell. Napraforgó'!I58+'25. mell. Kerületgazda'!I58+'26. mell. Őrszolgálat'!I58+'27. mell. KHEK'!I58</f>
        <v>4462684</v>
      </c>
      <c r="J58" s="3467">
        <f>+'9. mell. PMH'!J58+'12. mell. Szakrendelő'!J58+'13. mell. GAMESZ'!J58+'14. mell. Gyerekkuckó'!J58+'15. mell. Cinkotai H.'!J58+'16. mell. Napsugár'!J58+'17. mell. Sashalmi M.'!J58+'18. mell. Margaréta'!J58+'19.mell.Szentmihályi Játszókert'!J58+'20. mell. M. Fecskefészek'!J58+'21. mell. CMH'!J58+'22. mell. Bölcsőde'!J58+'23. mell. Terszoc.'!J58+'24. mell. Napraforgó'!J58+'25. mell. Kerületgazda'!J58+'26. mell. Őrszolgálat'!J58+'27. mell. KHEK'!J58</f>
        <v>4462684</v>
      </c>
      <c r="K58" s="3467">
        <f>+'9. mell. PMH'!K58+'12. mell. Szakrendelő'!K58+'13. mell. GAMESZ'!K58+'14. mell. Gyerekkuckó'!K58+'15. mell. Cinkotai H.'!K58+'16. mell. Napsugár'!K58+'17. mell. Sashalmi M.'!K58+'18. mell. Margaréta'!K58+'19.mell.Szentmihályi Játszókert'!K58+'20. mell. M. Fecskefészek'!K58+'21. mell. CMH'!K58+'22. mell. Bölcsőde'!K58+'23. mell. Terszoc.'!K58+'24. mell. Napraforgó'!K58+'25. mell. Kerületgazda'!K58+'26. mell. Őrszolgálat'!K58+'27. mell. KHEK'!K58</f>
        <v>4462684</v>
      </c>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M58" s="299"/>
      <c r="AN58" s="299"/>
      <c r="AP58" s="299"/>
      <c r="AQ58" s="299"/>
      <c r="AR58" s="299"/>
      <c r="AS58" s="299"/>
      <c r="AT58" s="1351"/>
      <c r="AU58" s="1593"/>
    </row>
    <row r="59" spans="1:47" ht="12.75" hidden="1" customHeight="1">
      <c r="C59" s="377" t="s">
        <v>1300</v>
      </c>
      <c r="F59" s="3640" t="s">
        <v>1301</v>
      </c>
      <c r="G59" s="3640"/>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M59" s="299"/>
      <c r="AN59" s="299"/>
      <c r="AP59" s="299"/>
      <c r="AQ59" s="299"/>
      <c r="AR59" s="299"/>
      <c r="AS59" s="299"/>
      <c r="AT59" s="299"/>
      <c r="AU59" s="1593">
        <f t="shared" si="8"/>
        <v>0</v>
      </c>
    </row>
    <row r="60" spans="1:47" ht="15" hidden="1">
      <c r="C60" s="378" t="s">
        <v>1302</v>
      </c>
      <c r="D60" s="299">
        <f t="shared" ref="D60:AC60" si="19">+D37-D52</f>
        <v>6.999969482421875E-2</v>
      </c>
      <c r="E60" s="299">
        <f t="shared" si="19"/>
        <v>641040614</v>
      </c>
      <c r="F60" s="299">
        <f t="shared" si="19"/>
        <v>0.26968002319335938</v>
      </c>
      <c r="G60" s="299">
        <f t="shared" si="19"/>
        <v>0.26968002319335938</v>
      </c>
      <c r="H60" s="299">
        <f t="shared" si="19"/>
        <v>0.26968002319335938</v>
      </c>
      <c r="I60" s="299">
        <f t="shared" si="19"/>
        <v>0.26968002319335938</v>
      </c>
      <c r="J60" s="299">
        <f t="shared" si="19"/>
        <v>0.26968002319335938</v>
      </c>
      <c r="K60" s="299">
        <f t="shared" si="19"/>
        <v>939228296</v>
      </c>
      <c r="L60" s="299">
        <f t="shared" si="19"/>
        <v>0</v>
      </c>
      <c r="M60" s="299">
        <f t="shared" si="19"/>
        <v>0</v>
      </c>
      <c r="N60" s="299">
        <f t="shared" si="19"/>
        <v>0</v>
      </c>
      <c r="O60" s="299">
        <f t="shared" si="19"/>
        <v>0</v>
      </c>
      <c r="P60" s="299">
        <f t="shared" si="19"/>
        <v>0</v>
      </c>
      <c r="Q60" s="299">
        <f t="shared" si="19"/>
        <v>213216220</v>
      </c>
      <c r="R60" s="299">
        <f t="shared" si="19"/>
        <v>0.26968002319335938</v>
      </c>
      <c r="S60" s="299">
        <f t="shared" si="19"/>
        <v>0.26968002319335938</v>
      </c>
      <c r="T60" s="299">
        <f t="shared" si="19"/>
        <v>0.26968002319335938</v>
      </c>
      <c r="U60" s="299">
        <f t="shared" si="19"/>
        <v>0.26968002319335938</v>
      </c>
      <c r="V60" s="299">
        <f t="shared" si="19"/>
        <v>0.26968002319335938</v>
      </c>
      <c r="W60" s="299">
        <f t="shared" si="19"/>
        <v>726012076</v>
      </c>
      <c r="X60" s="299">
        <f t="shared" si="19"/>
        <v>0</v>
      </c>
      <c r="Y60" s="299">
        <f t="shared" si="19"/>
        <v>0</v>
      </c>
      <c r="Z60" s="299">
        <f t="shared" si="19"/>
        <v>0</v>
      </c>
      <c r="AA60" s="299">
        <f t="shared" si="19"/>
        <v>0</v>
      </c>
      <c r="AB60" s="299">
        <f t="shared" si="19"/>
        <v>0</v>
      </c>
      <c r="AC60" s="299">
        <f t="shared" si="19"/>
        <v>0</v>
      </c>
      <c r="AD60" s="299"/>
      <c r="AE60" s="299"/>
      <c r="AF60" s="299"/>
      <c r="AG60" s="299"/>
      <c r="AH60" s="299"/>
      <c r="AI60" s="299"/>
      <c r="AJ60" s="299"/>
      <c r="AM60" s="299"/>
      <c r="AN60" s="299"/>
      <c r="AP60" s="299"/>
      <c r="AQ60" s="299"/>
      <c r="AR60" s="299"/>
      <c r="AS60" s="299"/>
      <c r="AT60" s="299">
        <v>641040614</v>
      </c>
      <c r="AU60" s="1593">
        <f t="shared" si="8"/>
        <v>0</v>
      </c>
    </row>
    <row r="61" spans="1:47" ht="26.25" hidden="1" thickBot="1">
      <c r="C61" s="378" t="s">
        <v>1303</v>
      </c>
      <c r="F61" s="299">
        <f>+F37-L37-R37-X37</f>
        <v>0</v>
      </c>
      <c r="G61" s="299">
        <f>+G37-M37-S37-Y37</f>
        <v>0</v>
      </c>
      <c r="H61" s="299">
        <f>+H37-N37-T37-Z37</f>
        <v>0</v>
      </c>
      <c r="I61" s="299">
        <f>+I37-O37-U37-AA37</f>
        <v>0</v>
      </c>
      <c r="J61" s="299">
        <f>+J37-P37-V37-AB37</f>
        <v>0</v>
      </c>
      <c r="K61" s="299">
        <f>+Q60+W60</f>
        <v>939228296</v>
      </c>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M61" s="299"/>
      <c r="AN61" s="299"/>
      <c r="AP61" s="299"/>
      <c r="AQ61" s="299"/>
      <c r="AR61" s="299"/>
      <c r="AS61" s="299"/>
      <c r="AT61" s="299"/>
      <c r="AU61" s="299"/>
    </row>
    <row r="62" spans="1:47" ht="26.25" hidden="1" thickBot="1">
      <c r="C62" s="378" t="s">
        <v>1304</v>
      </c>
      <c r="F62" s="299">
        <f>+F52-L52-R52-X52</f>
        <v>0</v>
      </c>
      <c r="G62" s="299">
        <f>+G52-M52-S52-Y52</f>
        <v>0</v>
      </c>
      <c r="H62" s="299">
        <f>+H52-N52-T52-Z52</f>
        <v>0</v>
      </c>
      <c r="I62" s="299">
        <f>+I52-O52-U52-AA52</f>
        <v>0</v>
      </c>
      <c r="J62" s="299">
        <f>+J52-P52-V52-AB52</f>
        <v>0</v>
      </c>
      <c r="K62" s="299"/>
      <c r="L62" s="299"/>
      <c r="M62" s="299"/>
      <c r="N62" s="1374">
        <f>+N54+T54</f>
        <v>1234.825</v>
      </c>
      <c r="O62" s="299"/>
      <c r="P62" s="299"/>
      <c r="Q62" s="299"/>
      <c r="R62" s="299"/>
      <c r="S62" s="299"/>
      <c r="T62" s="299"/>
      <c r="U62" s="299"/>
      <c r="V62" s="299"/>
      <c r="W62" s="299"/>
      <c r="X62" s="299"/>
      <c r="Y62" s="299"/>
      <c r="Z62" s="299"/>
      <c r="AA62" s="299"/>
      <c r="AB62" s="299"/>
      <c r="AC62" s="299"/>
      <c r="AD62" s="299"/>
      <c r="AE62" s="299"/>
      <c r="AF62" s="299"/>
      <c r="AG62" s="299"/>
      <c r="AH62" s="299"/>
      <c r="AI62" s="299"/>
      <c r="AJ62" s="299"/>
      <c r="AM62" s="299"/>
      <c r="AN62" s="299"/>
      <c r="AP62" s="299"/>
      <c r="AQ62" s="299"/>
      <c r="AR62" s="299"/>
      <c r="AS62" s="299"/>
      <c r="AT62" s="299"/>
      <c r="AU62" s="299"/>
    </row>
    <row r="63" spans="1:47">
      <c r="C63" s="378"/>
      <c r="F63" s="299"/>
      <c r="G63" s="299"/>
      <c r="H63" s="299" t="s">
        <v>1298</v>
      </c>
      <c r="I63" s="299"/>
      <c r="J63" s="299"/>
      <c r="K63" s="299"/>
      <c r="L63" s="299"/>
      <c r="M63" s="299"/>
      <c r="N63" s="299">
        <f>+H36/'1. mell.ÖSSZEVONT_MÉRLEG'!G153</f>
        <v>0.37449593814207982</v>
      </c>
      <c r="O63" s="299"/>
      <c r="P63" s="299"/>
      <c r="Q63" s="299"/>
      <c r="R63" s="299"/>
      <c r="S63" s="299"/>
      <c r="T63" s="299"/>
      <c r="U63" s="299"/>
      <c r="V63" s="299"/>
      <c r="W63" s="299"/>
      <c r="X63" s="299"/>
      <c r="Y63" s="299"/>
      <c r="Z63" s="299"/>
      <c r="AA63" s="299"/>
      <c r="AB63" s="299"/>
      <c r="AC63" s="299"/>
      <c r="AD63" s="299"/>
      <c r="AE63" s="299"/>
      <c r="AF63" s="299"/>
      <c r="AG63" s="299"/>
      <c r="AH63" s="299"/>
      <c r="AI63" s="299"/>
      <c r="AJ63" s="299"/>
      <c r="AM63" s="299"/>
      <c r="AN63" s="299"/>
      <c r="AP63" s="299"/>
      <c r="AQ63" s="299"/>
      <c r="AR63" s="299"/>
      <c r="AS63" s="299"/>
      <c r="AT63" s="299"/>
      <c r="AU63" s="299"/>
    </row>
    <row r="64" spans="1:47">
      <c r="C64" s="378"/>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M64" s="299"/>
      <c r="AN64" s="299"/>
      <c r="AP64" s="299"/>
      <c r="AQ64" s="299"/>
      <c r="AR64" s="299"/>
      <c r="AS64" s="299"/>
      <c r="AT64" s="299"/>
      <c r="AU64" s="299"/>
    </row>
    <row r="65" spans="3:47">
      <c r="C65" s="37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M65" s="299"/>
      <c r="AN65" s="299"/>
      <c r="AP65" s="299"/>
      <c r="AQ65" s="299"/>
      <c r="AR65" s="299"/>
      <c r="AS65" s="299"/>
      <c r="AT65" s="299"/>
      <c r="AU65" s="299"/>
    </row>
    <row r="66" spans="3:47">
      <c r="C66" s="378"/>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M66" s="299"/>
      <c r="AN66" s="299"/>
      <c r="AP66" s="299"/>
      <c r="AQ66" s="299"/>
      <c r="AR66" s="299"/>
      <c r="AS66" s="299"/>
      <c r="AT66" s="299"/>
      <c r="AU66" s="299"/>
    </row>
    <row r="67" spans="3:47" hidden="1">
      <c r="C67" s="378"/>
      <c r="F67" s="380">
        <v>2015</v>
      </c>
      <c r="G67" s="380">
        <v>2016</v>
      </c>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M67" s="299"/>
      <c r="AN67" s="299"/>
      <c r="AP67" s="299"/>
      <c r="AQ67" s="299"/>
      <c r="AR67" s="299"/>
      <c r="AS67" s="299"/>
      <c r="AT67" s="299"/>
      <c r="AU67" s="299"/>
    </row>
    <row r="68" spans="3:47" ht="13.5" hidden="1" thickBot="1">
      <c r="C68" s="381" t="s">
        <v>1285</v>
      </c>
      <c r="F68" s="369">
        <v>156333</v>
      </c>
      <c r="G68" s="369">
        <v>138963</v>
      </c>
      <c r="H68" s="299"/>
      <c r="I68" s="299"/>
      <c r="J68" s="299"/>
      <c r="K68" s="299"/>
      <c r="L68" s="299"/>
      <c r="M68" s="299"/>
      <c r="N68" s="299"/>
      <c r="O68" s="299"/>
      <c r="P68" s="299"/>
      <c r="Q68" s="299"/>
      <c r="S68" s="299"/>
      <c r="T68" s="299"/>
      <c r="U68" s="299"/>
      <c r="V68" s="299"/>
      <c r="W68" s="299"/>
      <c r="X68" s="299"/>
      <c r="Y68" s="299"/>
      <c r="Z68" s="299"/>
      <c r="AA68" s="299"/>
      <c r="AB68" s="299"/>
      <c r="AC68" s="299"/>
      <c r="AD68" s="299"/>
      <c r="AE68" s="299"/>
      <c r="AF68" s="299"/>
      <c r="AG68" s="299"/>
      <c r="AH68" s="299"/>
      <c r="AI68" s="299"/>
      <c r="AJ68" s="299"/>
      <c r="AM68" s="299"/>
      <c r="AN68" s="299"/>
      <c r="AP68" s="299"/>
      <c r="AQ68" s="299"/>
      <c r="AR68" s="299"/>
      <c r="AS68" s="299"/>
      <c r="AT68" s="299"/>
      <c r="AU68" s="299"/>
    </row>
    <row r="69" spans="3:47" ht="13.5" hidden="1" thickBot="1">
      <c r="C69" s="382" t="s">
        <v>1287</v>
      </c>
      <c r="F69" s="369">
        <v>0</v>
      </c>
      <c r="G69" s="369">
        <v>0</v>
      </c>
      <c r="H69" s="299"/>
      <c r="I69" s="299"/>
      <c r="J69" s="299"/>
      <c r="K69" s="299"/>
      <c r="L69" s="299"/>
      <c r="M69" s="299"/>
      <c r="N69" s="299"/>
      <c r="O69" s="299"/>
      <c r="P69" s="299"/>
      <c r="Q69" s="299"/>
      <c r="S69" s="299"/>
      <c r="T69" s="299"/>
      <c r="U69" s="299"/>
      <c r="V69" s="299"/>
      <c r="W69" s="299"/>
      <c r="X69" s="299"/>
      <c r="Y69" s="299"/>
      <c r="Z69" s="299"/>
      <c r="AA69" s="299"/>
      <c r="AB69" s="299"/>
      <c r="AC69" s="299"/>
      <c r="AD69" s="299"/>
      <c r="AE69" s="299"/>
      <c r="AF69" s="299"/>
      <c r="AG69" s="299"/>
      <c r="AH69" s="299"/>
      <c r="AI69" s="299"/>
      <c r="AJ69" s="299"/>
      <c r="AM69" s="299"/>
      <c r="AN69" s="299"/>
      <c r="AP69" s="299"/>
      <c r="AQ69" s="299"/>
      <c r="AR69" s="299"/>
      <c r="AS69" s="299"/>
      <c r="AT69" s="299"/>
      <c r="AU69" s="299"/>
    </row>
    <row r="70" spans="3:47" ht="13.5" hidden="1" thickBot="1">
      <c r="C70" s="383" t="s">
        <v>1289</v>
      </c>
      <c r="F70" s="369">
        <v>73097</v>
      </c>
      <c r="G70" s="369">
        <v>81459</v>
      </c>
      <c r="H70" s="299"/>
      <c r="I70" s="299"/>
      <c r="J70" s="299"/>
      <c r="K70" s="299"/>
      <c r="L70" s="299"/>
      <c r="M70" s="299"/>
      <c r="N70" s="299"/>
      <c r="O70" s="299"/>
      <c r="P70" s="299"/>
      <c r="Q70" s="299"/>
      <c r="S70" s="299"/>
      <c r="T70" s="299"/>
      <c r="U70" s="299"/>
      <c r="V70" s="299"/>
      <c r="W70" s="299"/>
      <c r="X70" s="299"/>
      <c r="Y70" s="299"/>
      <c r="Z70" s="299"/>
      <c r="AA70" s="299"/>
      <c r="AB70" s="299"/>
      <c r="AC70" s="299"/>
      <c r="AD70" s="299"/>
      <c r="AE70" s="299"/>
      <c r="AF70" s="299"/>
      <c r="AG70" s="299"/>
      <c r="AH70" s="299"/>
      <c r="AI70" s="299"/>
      <c r="AJ70" s="299"/>
      <c r="AM70" s="299"/>
      <c r="AN70" s="299"/>
      <c r="AP70" s="299"/>
      <c r="AQ70" s="299"/>
      <c r="AR70" s="299"/>
      <c r="AS70" s="299"/>
      <c r="AT70" s="299"/>
      <c r="AU70" s="299"/>
    </row>
    <row r="71" spans="3:47" ht="13.5" hidden="1" thickBot="1">
      <c r="C71" s="384" t="s">
        <v>66</v>
      </c>
      <c r="F71" s="385">
        <f>SUM(F68:F70)</f>
        <v>229430</v>
      </c>
      <c r="G71" s="385">
        <f>SUM(G68:G70)</f>
        <v>220422</v>
      </c>
      <c r="S71" s="299"/>
      <c r="T71" s="299"/>
      <c r="U71" s="299"/>
      <c r="V71" s="299"/>
      <c r="W71" s="299"/>
      <c r="X71" s="299"/>
      <c r="Y71" s="299"/>
      <c r="Z71" s="299"/>
      <c r="AA71" s="299"/>
      <c r="AB71" s="299"/>
      <c r="AC71" s="299"/>
      <c r="AD71" s="299"/>
      <c r="AE71" s="299"/>
      <c r="AF71" s="299"/>
      <c r="AG71" s="299"/>
      <c r="AH71" s="299"/>
      <c r="AI71" s="299"/>
      <c r="AJ71" s="299"/>
      <c r="AM71" s="299"/>
      <c r="AN71" s="299"/>
      <c r="AP71" s="299"/>
      <c r="AQ71" s="299"/>
      <c r="AR71" s="299"/>
      <c r="AS71" s="299"/>
      <c r="AT71" s="299"/>
      <c r="AU71" s="299"/>
    </row>
    <row r="72" spans="3:47" ht="13.5" hidden="1" thickBot="1">
      <c r="C72" s="386"/>
      <c r="F72" s="387"/>
      <c r="G72" s="387"/>
      <c r="H72" s="299"/>
      <c r="I72" s="299"/>
      <c r="J72" s="299"/>
      <c r="K72" s="299"/>
      <c r="L72" s="299"/>
      <c r="M72" s="299"/>
      <c r="N72" s="299"/>
      <c r="O72" s="299"/>
      <c r="P72" s="299"/>
      <c r="Q72" s="299"/>
      <c r="S72" s="299"/>
      <c r="T72" s="299"/>
      <c r="U72" s="299"/>
      <c r="V72" s="299"/>
      <c r="W72" s="299"/>
      <c r="X72" s="299"/>
      <c r="Y72" s="299"/>
      <c r="Z72" s="299"/>
      <c r="AA72" s="299"/>
      <c r="AB72" s="299"/>
      <c r="AC72" s="299"/>
      <c r="AD72" s="299"/>
      <c r="AE72" s="299"/>
      <c r="AF72" s="299"/>
      <c r="AG72" s="299"/>
      <c r="AH72" s="299"/>
      <c r="AI72" s="299"/>
      <c r="AJ72" s="299"/>
      <c r="AM72" s="299"/>
      <c r="AN72" s="299"/>
      <c r="AP72" s="299"/>
      <c r="AQ72" s="299"/>
      <c r="AR72" s="299"/>
      <c r="AS72" s="299"/>
      <c r="AT72" s="299"/>
      <c r="AU72" s="299"/>
    </row>
    <row r="73" spans="3:47" ht="13.5" hidden="1" thickBot="1">
      <c r="C73" s="388" t="s">
        <v>391</v>
      </c>
      <c r="F73" s="299"/>
      <c r="G73" s="299"/>
      <c r="H73" s="299"/>
      <c r="I73" s="299"/>
      <c r="J73" s="299"/>
      <c r="K73" s="299"/>
      <c r="L73" s="299"/>
      <c r="M73" s="299"/>
      <c r="N73" s="299"/>
      <c r="O73" s="299"/>
      <c r="P73" s="299"/>
      <c r="Q73" s="299"/>
      <c r="S73" s="299"/>
      <c r="T73" s="299"/>
      <c r="U73" s="299"/>
      <c r="V73" s="299"/>
      <c r="W73" s="299"/>
      <c r="X73" s="299"/>
      <c r="Y73" s="299"/>
      <c r="Z73" s="299"/>
      <c r="AA73" s="299"/>
      <c r="AB73" s="299"/>
      <c r="AC73" s="299"/>
      <c r="AD73" s="299"/>
      <c r="AE73" s="299"/>
      <c r="AF73" s="299"/>
      <c r="AG73" s="299"/>
      <c r="AH73" s="299"/>
      <c r="AI73" s="299"/>
      <c r="AJ73" s="299"/>
      <c r="AM73" s="299"/>
      <c r="AN73" s="299"/>
      <c r="AP73" s="299"/>
      <c r="AQ73" s="299"/>
      <c r="AR73" s="299"/>
      <c r="AS73" s="299"/>
      <c r="AT73" s="299"/>
      <c r="AU73" s="299"/>
    </row>
    <row r="74" spans="3:47" ht="13.5" hidden="1" thickBot="1">
      <c r="C74" s="389" t="s">
        <v>1291</v>
      </c>
      <c r="F74" s="390">
        <f>SUM(F75:F79)</f>
        <v>214155</v>
      </c>
      <c r="G74" s="390">
        <f>SUM(G75:G79)</f>
        <v>184853</v>
      </c>
      <c r="H74" s="299"/>
      <c r="I74" s="299"/>
      <c r="J74" s="299"/>
      <c r="K74" s="299"/>
      <c r="L74" s="299"/>
      <c r="M74" s="299"/>
      <c r="N74" s="299"/>
      <c r="O74" s="299"/>
      <c r="P74" s="299"/>
      <c r="Q74" s="299"/>
      <c r="S74" s="299"/>
      <c r="T74" s="299"/>
      <c r="U74" s="299"/>
      <c r="V74" s="299"/>
      <c r="W74" s="299"/>
      <c r="X74" s="299"/>
      <c r="Y74" s="299"/>
      <c r="Z74" s="299"/>
      <c r="AA74" s="299"/>
      <c r="AB74" s="299"/>
      <c r="AC74" s="299"/>
      <c r="AD74" s="299"/>
      <c r="AE74" s="299"/>
      <c r="AF74" s="299"/>
      <c r="AG74" s="299"/>
      <c r="AH74" s="299"/>
      <c r="AI74" s="299"/>
      <c r="AJ74" s="299"/>
      <c r="AM74" s="299"/>
      <c r="AN74" s="299"/>
      <c r="AP74" s="299"/>
      <c r="AQ74" s="299"/>
      <c r="AR74" s="299"/>
      <c r="AS74" s="299"/>
      <c r="AT74" s="299"/>
      <c r="AU74" s="299"/>
    </row>
    <row r="75" spans="3:47" ht="13.5" hidden="1" thickBot="1">
      <c r="C75" s="391" t="s">
        <v>147</v>
      </c>
      <c r="F75" s="390">
        <v>44500</v>
      </c>
      <c r="G75" s="390">
        <v>24826</v>
      </c>
      <c r="H75" s="299"/>
      <c r="I75" s="299"/>
      <c r="J75" s="299"/>
      <c r="K75" s="299"/>
      <c r="L75" s="299"/>
      <c r="M75" s="299"/>
      <c r="N75" s="299"/>
      <c r="O75" s="299"/>
      <c r="P75" s="299"/>
      <c r="Q75" s="299"/>
      <c r="R75" s="298">
        <v>24826.066999999999</v>
      </c>
      <c r="S75" s="299">
        <v>24825</v>
      </c>
      <c r="T75" s="299"/>
      <c r="U75" s="299"/>
      <c r="V75" s="299"/>
      <c r="W75" s="299"/>
      <c r="X75" s="299"/>
      <c r="Y75" s="299"/>
      <c r="Z75" s="299"/>
      <c r="AA75" s="299"/>
      <c r="AB75" s="299"/>
      <c r="AC75" s="299"/>
      <c r="AD75" s="299"/>
      <c r="AE75" s="299"/>
      <c r="AF75" s="299"/>
      <c r="AG75" s="299"/>
      <c r="AH75" s="299"/>
      <c r="AI75" s="299"/>
      <c r="AJ75" s="299"/>
      <c r="AM75" s="299"/>
      <c r="AN75" s="299"/>
      <c r="AP75" s="299"/>
      <c r="AQ75" s="299"/>
      <c r="AR75" s="299"/>
      <c r="AS75" s="299"/>
      <c r="AT75" s="299"/>
      <c r="AU75" s="299"/>
    </row>
    <row r="76" spans="3:47" ht="13.5" hidden="1" thickBot="1">
      <c r="C76" s="392" t="s">
        <v>8</v>
      </c>
      <c r="F76" s="390">
        <v>9415</v>
      </c>
      <c r="G76" s="390">
        <v>7974</v>
      </c>
      <c r="H76" s="299"/>
      <c r="I76" s="299"/>
      <c r="J76" s="299"/>
      <c r="K76" s="299"/>
      <c r="L76" s="299"/>
      <c r="M76" s="299"/>
      <c r="N76" s="299"/>
      <c r="O76" s="299"/>
      <c r="P76" s="299"/>
      <c r="Q76" s="299"/>
      <c r="S76" s="299"/>
      <c r="T76" s="299"/>
      <c r="U76" s="299"/>
      <c r="V76" s="299"/>
      <c r="W76" s="299"/>
      <c r="X76" s="299"/>
      <c r="Y76" s="299"/>
      <c r="Z76" s="299"/>
      <c r="AA76" s="299"/>
      <c r="AB76" s="299"/>
      <c r="AC76" s="299"/>
      <c r="AD76" s="299"/>
      <c r="AE76" s="299"/>
      <c r="AF76" s="299"/>
      <c r="AG76" s="299"/>
      <c r="AH76" s="299"/>
      <c r="AI76" s="299"/>
      <c r="AJ76" s="299"/>
      <c r="AM76" s="299"/>
      <c r="AN76" s="299"/>
      <c r="AP76" s="299"/>
      <c r="AQ76" s="299"/>
      <c r="AR76" s="299"/>
      <c r="AS76" s="299"/>
      <c r="AT76" s="299"/>
      <c r="AU76" s="299"/>
    </row>
    <row r="77" spans="3:47" ht="13.5" hidden="1" thickBot="1">
      <c r="C77" s="392" t="s">
        <v>317</v>
      </c>
      <c r="F77" s="390">
        <v>160239</v>
      </c>
      <c r="G77" s="390">
        <v>152053</v>
      </c>
      <c r="H77" s="299"/>
      <c r="I77" s="299"/>
      <c r="J77" s="299"/>
      <c r="K77" s="299"/>
      <c r="L77" s="299"/>
      <c r="M77" s="299"/>
      <c r="N77" s="299"/>
      <c r="O77" s="299"/>
      <c r="P77" s="299"/>
      <c r="Q77" s="299"/>
      <c r="S77" s="299"/>
      <c r="T77" s="299"/>
      <c r="U77" s="299"/>
      <c r="V77" s="299"/>
      <c r="W77" s="299"/>
      <c r="X77" s="299"/>
      <c r="Y77" s="299"/>
      <c r="Z77" s="299"/>
      <c r="AA77" s="299"/>
      <c r="AB77" s="299"/>
      <c r="AC77" s="299"/>
      <c r="AD77" s="299"/>
      <c r="AE77" s="299"/>
      <c r="AF77" s="299"/>
      <c r="AG77" s="299"/>
      <c r="AH77" s="299"/>
      <c r="AI77" s="299"/>
      <c r="AJ77" s="299"/>
      <c r="AM77" s="299"/>
      <c r="AN77" s="299"/>
      <c r="AP77" s="299"/>
      <c r="AQ77" s="299"/>
      <c r="AR77" s="299"/>
      <c r="AS77" s="299"/>
      <c r="AT77" s="299"/>
      <c r="AU77" s="299"/>
    </row>
    <row r="78" spans="3:47" ht="13.5" hidden="1" thickBot="1">
      <c r="C78" s="392" t="s">
        <v>318</v>
      </c>
      <c r="F78" s="390">
        <v>0</v>
      </c>
      <c r="G78" s="390">
        <v>0</v>
      </c>
      <c r="H78" s="299"/>
      <c r="I78" s="299"/>
      <c r="J78" s="299"/>
      <c r="K78" s="299"/>
      <c r="L78" s="299"/>
      <c r="M78" s="299"/>
      <c r="N78" s="299"/>
      <c r="O78" s="299"/>
      <c r="P78" s="299"/>
      <c r="Q78" s="299"/>
      <c r="S78" s="299"/>
      <c r="T78" s="299"/>
      <c r="U78" s="299"/>
      <c r="V78" s="299"/>
      <c r="W78" s="299"/>
      <c r="X78" s="299"/>
      <c r="Y78" s="299"/>
      <c r="Z78" s="299"/>
      <c r="AA78" s="299"/>
      <c r="AB78" s="299"/>
      <c r="AC78" s="299"/>
      <c r="AD78" s="299"/>
      <c r="AE78" s="299"/>
      <c r="AF78" s="299"/>
      <c r="AG78" s="299"/>
      <c r="AH78" s="299"/>
      <c r="AI78" s="299"/>
      <c r="AJ78" s="299"/>
      <c r="AM78" s="299"/>
      <c r="AN78" s="299"/>
      <c r="AP78" s="299"/>
      <c r="AQ78" s="299"/>
      <c r="AR78" s="299"/>
      <c r="AS78" s="299"/>
      <c r="AT78" s="299"/>
      <c r="AU78" s="299"/>
    </row>
    <row r="79" spans="3:47" ht="13.5" hidden="1" thickBot="1">
      <c r="C79" s="393" t="s">
        <v>151</v>
      </c>
      <c r="F79" s="390">
        <v>1</v>
      </c>
      <c r="G79" s="390"/>
    </row>
    <row r="80" spans="3:47" ht="13.5" hidden="1" thickBot="1">
      <c r="C80" s="389" t="s">
        <v>1292</v>
      </c>
      <c r="F80" s="390">
        <f>SUM(F81:F82)</f>
        <v>15275</v>
      </c>
      <c r="G80" s="390">
        <f>SUM(G81:G82)</f>
        <v>35569</v>
      </c>
      <c r="R80" s="298">
        <v>7974.4589999999998</v>
      </c>
      <c r="S80" s="298">
        <v>7974</v>
      </c>
    </row>
    <row r="81" spans="3:50" ht="13.5" hidden="1" thickBot="1">
      <c r="C81" s="391" t="s">
        <v>82</v>
      </c>
      <c r="F81" s="390">
        <v>13431</v>
      </c>
      <c r="G81" s="390">
        <v>35569</v>
      </c>
    </row>
    <row r="82" spans="3:50" ht="13.5" hidden="1" thickBot="1">
      <c r="C82" s="392" t="s">
        <v>344</v>
      </c>
      <c r="F82" s="390">
        <v>1844</v>
      </c>
      <c r="G82" s="390"/>
    </row>
    <row r="83" spans="3:50" ht="13.5" hidden="1" thickBot="1">
      <c r="C83" s="393" t="s">
        <v>1293</v>
      </c>
      <c r="F83" s="390">
        <v>0</v>
      </c>
      <c r="G83" s="390">
        <v>0</v>
      </c>
    </row>
    <row r="84" spans="3:50" ht="13.5" hidden="1" thickBot="1">
      <c r="C84" s="392" t="s">
        <v>1294</v>
      </c>
      <c r="F84" s="390">
        <v>0</v>
      </c>
      <c r="G84" s="390">
        <v>0</v>
      </c>
      <c r="R84" s="298">
        <v>152053</v>
      </c>
      <c r="S84" s="298">
        <v>152053</v>
      </c>
    </row>
    <row r="85" spans="3:50" ht="13.5" hidden="1" thickBot="1">
      <c r="C85" s="394" t="s">
        <v>1295</v>
      </c>
      <c r="F85" s="395">
        <f>+F74+F80</f>
        <v>229430</v>
      </c>
      <c r="G85" s="395">
        <f>+G74+G80</f>
        <v>220422</v>
      </c>
    </row>
    <row r="86" spans="3:50" hidden="1"/>
    <row r="87" spans="3:50" hidden="1"/>
    <row r="88" spans="3:50" hidden="1">
      <c r="R88" s="298">
        <v>35569</v>
      </c>
      <c r="S88" s="298">
        <v>35569</v>
      </c>
    </row>
    <row r="89" spans="3:50" hidden="1">
      <c r="R89" s="298">
        <v>220422.52600000001</v>
      </c>
      <c r="S89" s="298">
        <v>220421</v>
      </c>
    </row>
    <row r="94" spans="3:50">
      <c r="AV94" s="299"/>
      <c r="AW94" s="299"/>
      <c r="AX94" s="2259"/>
    </row>
    <row r="95" spans="3:50">
      <c r="AV95" s="299"/>
      <c r="AW95" s="299"/>
      <c r="AX95" s="2259"/>
    </row>
    <row r="96" spans="3:50">
      <c r="AV96" s="299"/>
      <c r="AW96" s="299"/>
      <c r="AX96" s="2259"/>
    </row>
    <row r="97" spans="48:50">
      <c r="AV97" s="299"/>
      <c r="AW97" s="299"/>
      <c r="AX97" s="2259"/>
    </row>
    <row r="98" spans="48:50">
      <c r="AV98" s="299"/>
      <c r="AX98" s="2259"/>
    </row>
    <row r="99" spans="48:50">
      <c r="AV99" s="299"/>
      <c r="AW99" s="299"/>
      <c r="AX99" s="2259"/>
    </row>
    <row r="100" spans="48:50">
      <c r="AV100" s="299"/>
      <c r="AW100" s="299"/>
      <c r="AX100" s="2259"/>
    </row>
  </sheetData>
  <sheetProtection algorithmName="SHA-512" hashValue="Ci7pIq27UyqvEauJnHqszFfWbHtU7bAI2QAUMyPu9KeROylyBgfFqv+wuPmkpkcmF7ZmBJA3H1Pl77h5OJgx7Q==" saltValue="RKKzrAzqksxh6EHXMlPOTg==" spinCount="100000" sheet="1" selectLockedCells="1" selectUnlockedCells="1"/>
  <mergeCells count="13">
    <mergeCell ref="F59:G59"/>
    <mergeCell ref="A2:AI2"/>
    <mergeCell ref="AQ5:AQ6"/>
    <mergeCell ref="A1:AI1"/>
    <mergeCell ref="AK4:AK5"/>
    <mergeCell ref="AL4:AL5"/>
    <mergeCell ref="AM4:AM5"/>
    <mergeCell ref="AN4:AN5"/>
    <mergeCell ref="AR5:AR6"/>
    <mergeCell ref="AS5:AS6"/>
    <mergeCell ref="AP4:AP5"/>
    <mergeCell ref="AO4:AO5"/>
    <mergeCell ref="A56:B56"/>
  </mergeCells>
  <printOptions horizontalCentered="1"/>
  <pageMargins left="0.23622047244094491" right="0.23622047244094491" top="0.35433070866141736" bottom="0.35433070866141736" header="0.51181102362204722" footer="0.31496062992125984"/>
  <pageSetup paperSize="9" scale="56" firstPageNumber="0" orientation="portrait" r:id="rId1"/>
  <headerFooter alignWithMargins="0">
    <oddFooter>&amp;C&amp;"Arial CE,Félkövér"&amp;14&amp;P/&amp;N</oddFooter>
  </headerFooter>
  <colBreaks count="1" manualBreakCount="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405DA-F24E-4860-8A1B-6C4D0A7A1840}">
  <sheetPr>
    <tabColor rgb="FF0070C0"/>
    <pageSetUpPr fitToPage="1"/>
  </sheetPr>
  <dimension ref="A1:AJ80"/>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J1"/>
    </sheetView>
  </sheetViews>
  <sheetFormatPr defaultColWidth="8" defaultRowHeight="12.75"/>
  <cols>
    <col min="1" max="1" width="6" style="59" hidden="1" customWidth="1"/>
    <col min="2" max="2" width="7" style="547" customWidth="1"/>
    <col min="3" max="3" width="50.140625" style="396" customWidth="1"/>
    <col min="4" max="5" width="12.5703125" style="396" hidden="1" customWidth="1"/>
    <col min="6" max="6" width="10.85546875" style="396" bestFit="1" customWidth="1"/>
    <col min="7" max="8" width="10.85546875" style="396" hidden="1" customWidth="1"/>
    <col min="9" max="9" width="10.85546875" style="396" customWidth="1"/>
    <col min="10" max="10" width="10.85546875" style="396" hidden="1" customWidth="1"/>
    <col min="11" max="11" width="11.42578125" style="396" customWidth="1"/>
    <col min="12" max="12" width="10.85546875" style="396" hidden="1" customWidth="1"/>
    <col min="13" max="13" width="11.140625" style="396" hidden="1" customWidth="1"/>
    <col min="14" max="14" width="11.85546875" style="396" hidden="1" customWidth="1"/>
    <col min="15" max="15" width="11.85546875" style="396" customWidth="1"/>
    <col min="16" max="16" width="13" style="396" hidden="1" customWidth="1"/>
    <col min="17" max="17" width="11.5703125" style="396" customWidth="1"/>
    <col min="18" max="18" width="10.85546875" style="396" hidden="1" customWidth="1"/>
    <col min="19" max="19" width="11.42578125" style="396" hidden="1" customWidth="1"/>
    <col min="20" max="20" width="10.7109375" style="396" hidden="1" customWidth="1"/>
    <col min="21" max="21" width="12.85546875" style="396" customWidth="1"/>
    <col min="22" max="22" width="12.5703125" style="396" hidden="1" customWidth="1"/>
    <col min="23" max="23" width="12.5703125" style="396" customWidth="1"/>
    <col min="24" max="24" width="10.5703125" style="396" hidden="1" customWidth="1"/>
    <col min="25" max="25" width="10.42578125" style="396" hidden="1" customWidth="1"/>
    <col min="26" max="26" width="11.5703125" style="396" hidden="1" customWidth="1"/>
    <col min="27" max="27" width="11.7109375" style="396" customWidth="1"/>
    <col min="28" max="28" width="12.28515625" style="396" hidden="1" customWidth="1"/>
    <col min="29" max="29" width="11.85546875" style="396" customWidth="1"/>
    <col min="30" max="30" width="49.140625" style="59" hidden="1" customWidth="1"/>
    <col min="31" max="31" width="9.85546875" style="396" hidden="1" customWidth="1"/>
    <col min="32" max="32" width="12.140625" style="396" hidden="1" customWidth="1"/>
    <col min="33" max="33" width="13.28515625" style="396" hidden="1" customWidth="1"/>
    <col min="34" max="34" width="8" style="396" hidden="1" customWidth="1"/>
    <col min="35" max="35" width="13.5703125" style="396" hidden="1" customWidth="1"/>
    <col min="36" max="36" width="15.140625" style="396" customWidth="1"/>
    <col min="37" max="37" width="11.85546875" style="396" customWidth="1"/>
    <col min="38" max="38" width="11.28515625" style="396" customWidth="1"/>
    <col min="39" max="40" width="8.42578125" style="396" customWidth="1"/>
    <col min="41" max="41" width="8" style="396" customWidth="1"/>
    <col min="42" max="16384" width="8" style="396"/>
  </cols>
  <sheetData>
    <row r="1" spans="1:36" s="397" customFormat="1" ht="21" customHeight="1">
      <c r="A1" s="3645" t="s">
        <v>4263</v>
      </c>
      <c r="B1" s="3645"/>
      <c r="C1" s="3645"/>
      <c r="D1" s="3645"/>
      <c r="E1" s="3645"/>
      <c r="F1" s="3645"/>
      <c r="G1" s="3645"/>
      <c r="H1" s="3645"/>
      <c r="I1" s="3645"/>
      <c r="J1" s="3645"/>
      <c r="K1" s="3645"/>
      <c r="L1" s="3645"/>
      <c r="M1" s="3645"/>
      <c r="N1" s="3645"/>
      <c r="O1" s="3645"/>
      <c r="P1" s="3645"/>
      <c r="Q1" s="3645"/>
      <c r="R1" s="3645"/>
      <c r="S1" s="3645"/>
      <c r="T1" s="3645"/>
      <c r="U1" s="3645"/>
      <c r="V1" s="3645"/>
      <c r="W1" s="3645"/>
      <c r="X1" s="3645"/>
      <c r="Y1" s="3645"/>
      <c r="Z1" s="3645"/>
      <c r="AA1" s="3645"/>
      <c r="AB1" s="3645"/>
      <c r="AC1" s="3645"/>
      <c r="AD1" s="3645"/>
      <c r="AE1" s="3645"/>
      <c r="AF1" s="3645"/>
      <c r="AG1" s="3645"/>
      <c r="AH1" s="3645"/>
      <c r="AI1" s="3645"/>
      <c r="AJ1" s="3645"/>
    </row>
    <row r="2" spans="1:36" s="398" customFormat="1" ht="22.5" customHeight="1" thickBot="1">
      <c r="A2" s="3648" t="s">
        <v>3414</v>
      </c>
      <c r="B2" s="3649"/>
      <c r="C2" s="3649"/>
      <c r="D2" s="3649"/>
      <c r="E2" s="3649"/>
      <c r="F2" s="3649"/>
      <c r="G2" s="3649"/>
      <c r="H2" s="3649"/>
      <c r="I2" s="3649"/>
      <c r="J2" s="3649"/>
      <c r="K2" s="3649"/>
      <c r="L2" s="3649"/>
      <c r="M2" s="3649"/>
      <c r="N2" s="3649"/>
      <c r="O2" s="3649"/>
      <c r="P2" s="3649"/>
      <c r="Q2" s="3649"/>
      <c r="R2" s="3649"/>
      <c r="S2" s="3649"/>
      <c r="T2" s="3649"/>
      <c r="U2" s="3649"/>
      <c r="V2" s="3649"/>
      <c r="W2" s="3649"/>
      <c r="X2" s="3649"/>
      <c r="Y2" s="3649"/>
      <c r="Z2" s="3649"/>
      <c r="AA2" s="3649"/>
      <c r="AB2" s="3649"/>
      <c r="AC2" s="3649"/>
      <c r="AD2" s="3649"/>
      <c r="AE2" s="3649"/>
      <c r="AF2" s="3649"/>
      <c r="AG2" s="3649"/>
      <c r="AH2" s="3649"/>
      <c r="AI2" s="3649"/>
      <c r="AJ2" s="3649"/>
    </row>
    <row r="3" spans="1:36" s="398" customFormat="1" ht="15.75" hidden="1">
      <c r="A3" s="3646"/>
      <c r="B3" s="3647"/>
      <c r="C3" s="1458"/>
      <c r="D3" s="1458"/>
      <c r="E3" s="1458"/>
      <c r="F3" s="1459"/>
      <c r="G3" s="1459"/>
      <c r="H3" s="1459"/>
      <c r="I3" s="1459"/>
      <c r="J3" s="1459"/>
      <c r="K3" s="1459"/>
      <c r="L3" s="1459"/>
      <c r="M3" s="1459"/>
      <c r="N3" s="1459"/>
      <c r="O3" s="1459"/>
      <c r="P3" s="1459"/>
      <c r="Q3" s="1459"/>
      <c r="R3" s="1459"/>
      <c r="S3" s="1459"/>
      <c r="T3" s="1459"/>
      <c r="U3" s="1459"/>
      <c r="V3" s="1459"/>
      <c r="W3" s="1459"/>
      <c r="X3" s="1459"/>
      <c r="Y3" s="1459"/>
      <c r="Z3" s="1459"/>
      <c r="AA3" s="1459"/>
      <c r="AB3" s="1530"/>
      <c r="AC3" s="1459"/>
      <c r="AD3" s="399"/>
      <c r="AJ3" s="1819"/>
    </row>
    <row r="4" spans="1:36" s="400" customFormat="1" ht="15.95" customHeight="1">
      <c r="A4" s="1820"/>
      <c r="B4" s="1415"/>
      <c r="C4" s="1415" t="str">
        <f>+'1. mell.ÖSSZEVONT_MÉRLEG'!B4</f>
        <v>A</v>
      </c>
      <c r="D4" s="1463" t="str">
        <f>+'1. mell.ÖSSZEVONT_MÉRLEG'!C4</f>
        <v>B</v>
      </c>
      <c r="E4" s="1463" t="str">
        <f>+'1. mell.ÖSSZEVONT_MÉRLEG'!D4</f>
        <v>B</v>
      </c>
      <c r="F4" s="1464" t="str">
        <f>+'1. mell.ÖSSZEVONT_MÉRLEG'!E4</f>
        <v>B</v>
      </c>
      <c r="G4" s="1464" t="str">
        <f>+'1. mell.ÖSSZEVONT_MÉRLEG'!F4</f>
        <v>D</v>
      </c>
      <c r="H4" s="1464" t="str">
        <f>+'1. mell.ÖSSZEVONT_MÉRLEG'!G4</f>
        <v>E</v>
      </c>
      <c r="I4" s="1464" t="str">
        <f>+'1. mell.ÖSSZEVONT_MÉRLEG'!H4</f>
        <v>C</v>
      </c>
      <c r="J4" s="1464" t="str">
        <f>+'1. mell.ÖSSZEVONT_MÉRLEG'!I4</f>
        <v>F</v>
      </c>
      <c r="K4" s="1464" t="s">
        <v>2731</v>
      </c>
      <c r="L4" s="1464" t="str">
        <f>+'1. mell.ÖSSZEVONT_MÉRLEG'!K4</f>
        <v>E</v>
      </c>
      <c r="M4" s="1464" t="s">
        <v>2733</v>
      </c>
      <c r="N4" s="1464" t="s">
        <v>2732</v>
      </c>
      <c r="O4" s="1464" t="s">
        <v>2732</v>
      </c>
      <c r="P4" s="1464">
        <f>+'1. mell.ÖSSZEVONT_MÉRLEG'!O4</f>
        <v>0</v>
      </c>
      <c r="Q4" s="1464" t="s">
        <v>2733</v>
      </c>
      <c r="R4" s="1464" t="s">
        <v>2732</v>
      </c>
      <c r="S4" s="1464" t="s">
        <v>2732</v>
      </c>
      <c r="T4" s="1464" t="s">
        <v>2733</v>
      </c>
      <c r="U4" s="1464" t="s">
        <v>3463</v>
      </c>
      <c r="V4" s="1464">
        <f>+'1. mell.ÖSSZEVONT_MÉRLEG'!X4</f>
        <v>0</v>
      </c>
      <c r="W4" s="1464" t="s">
        <v>3464</v>
      </c>
      <c r="X4" s="1464" t="s">
        <v>2733</v>
      </c>
      <c r="Y4" s="1464" t="s">
        <v>2733</v>
      </c>
      <c r="Z4" s="1464" t="s">
        <v>3463</v>
      </c>
      <c r="AA4" s="1464" t="s">
        <v>3913</v>
      </c>
      <c r="AB4" s="1464">
        <f>+'1. mell.ÖSSZEVONT_MÉRLEG'!AD4</f>
        <v>0</v>
      </c>
      <c r="AC4" s="1464" t="s">
        <v>3543</v>
      </c>
      <c r="AD4" s="1534"/>
      <c r="AE4" s="1535"/>
      <c r="AF4" s="1547" t="s">
        <v>3464</v>
      </c>
      <c r="AG4" s="1547" t="s">
        <v>3543</v>
      </c>
      <c r="AH4" s="1535"/>
      <c r="AI4" s="1547"/>
      <c r="AJ4" s="1821" t="s">
        <v>1707</v>
      </c>
    </row>
    <row r="5" spans="1:36" ht="73.150000000000006" customHeight="1" thickBot="1">
      <c r="A5" s="1822" t="s">
        <v>6</v>
      </c>
      <c r="B5" s="1276" t="s">
        <v>6</v>
      </c>
      <c r="C5" s="1276" t="s">
        <v>475</v>
      </c>
      <c r="D5" s="1424" t="str">
        <f>+'1. mell.ÖSSZEVONT_MÉRLEG'!C5</f>
        <v>2024. évi eredeti előirányzat
forintban</v>
      </c>
      <c r="E5" s="2589" t="str">
        <f>+'1. mell.ÖSSZEVONT_MÉRLEG'!D5</f>
        <v>2024. évi teljesítés forintban</v>
      </c>
      <c r="F5" s="1424" t="str">
        <f>+'1. mell.ÖSSZEVONT_MÉRLEG'!E5</f>
        <v>2025. évi eredeti előirányzat forintban</v>
      </c>
      <c r="G5" s="1424" t="str">
        <f>+'1. mell.ÖSSZEVONT_MÉRLEG'!F5</f>
        <v>2025. évi I. számú módosított előirányzat
forintban</v>
      </c>
      <c r="H5" s="1424" t="str">
        <f>+'1. mell.ÖSSZEVONT_MÉRLEG'!G5</f>
        <v>2025. évi II. számú módosított előirányzat forintban</v>
      </c>
      <c r="I5" s="1424" t="str">
        <f>+'1. mell.ÖSSZEVONT_MÉRLEG'!H5</f>
        <v>2025. évi III. számú módosított előirányzat forintban</v>
      </c>
      <c r="J5" s="1424" t="str">
        <f>+'1. mell.ÖSSZEVONT_MÉRLEG'!I5</f>
        <v>2025. évi IV. számú módosított előirányzat forintban</v>
      </c>
      <c r="K5" s="1677" t="str">
        <f>+'1. mell.ÖSSZEVONT_MÉRLEG'!J5</f>
        <v>2025. évi
teljesítés forintban</v>
      </c>
      <c r="L5" s="1678" t="str">
        <f>+'8. mell. Intézmények összesen'!L5</f>
        <v>Önként vállalt feladat forintban</v>
      </c>
      <c r="M5" s="1678" t="s">
        <v>3473</v>
      </c>
      <c r="N5" s="1678" t="str">
        <f>+'8. mell. Intézmények összesen'!N5</f>
        <v>Önként vállalt feladat II. módosítás forintban</v>
      </c>
      <c r="O5" s="1678" t="str">
        <f>+'8. mell. Intézmények összesen'!O5</f>
        <v>Önként vállalt feladat III. módosítás forintban</v>
      </c>
      <c r="P5" s="1678" t="str">
        <f>+'8. mell. Intézmények összesen'!P5</f>
        <v>Önként vállalt feladat IV. módosítás  forintban</v>
      </c>
      <c r="Q5" s="1678" t="str">
        <f>+'8. mell. Intézmények összesen'!Q5</f>
        <v>Önként vállalt teljesítés  forintban</v>
      </c>
      <c r="R5" s="1678" t="str">
        <f>+'8. mell. Intézmények összesen'!R5</f>
        <v>Kötelező feladat forintban</v>
      </c>
      <c r="S5" s="1678" t="str">
        <f>+'8. mell. Intézmények összesen'!S5</f>
        <v>Kötelező feladat 
I. módosítás
forintban</v>
      </c>
      <c r="T5" s="1678" t="str">
        <f>+'8. mell. Intézmények összesen'!T5</f>
        <v>Kötelező feladat II. módosítás forintban</v>
      </c>
      <c r="U5" s="1678" t="str">
        <f>+'8. mell. Intézmények összesen'!U5</f>
        <v>Kötelező feladat III. módosítás  forintban</v>
      </c>
      <c r="V5" s="1678" t="str">
        <f>+'8. mell. Intézmények összesen'!V5</f>
        <v>Kötelező feladat IV. módosítás  forintban</v>
      </c>
      <c r="W5" s="1678" t="str">
        <f>+'8. mell. Intézmények összesen'!W5</f>
        <v>Kötelező teljesítés  forintban</v>
      </c>
      <c r="X5" s="1678" t="str">
        <f>+'8. mell. Intézmények összesen'!X5</f>
        <v>Állam-igazgatási feladat forintban</v>
      </c>
      <c r="Y5" s="1678" t="str">
        <f>+'8. mell. Intézmények összesen'!Y5</f>
        <v>Államigazgatási feladat 
I. módosítás
forintban</v>
      </c>
      <c r="Z5" s="1678" t="str">
        <f>+'8. mell. Intézmények összesen'!Z5</f>
        <v>Államigazga-tási feladat II. módosítás forintban</v>
      </c>
      <c r="AA5" s="1676" t="str">
        <f>+'8. mell. Intézmények összesen'!AA5</f>
        <v>Államigazga-tási feladat III. módosítás  forintban</v>
      </c>
      <c r="AB5" s="1461" t="str">
        <f>+'8. mell. Intézmények összesen'!AB5</f>
        <v>Államigazga-tási feladat IV. módosítás  forintban</v>
      </c>
      <c r="AC5" s="1531" t="str">
        <f>+'8. mell. Intézmények összesen'!AC5</f>
        <v>Államigazgatási teljesítés  forintban</v>
      </c>
      <c r="AD5" s="1532"/>
      <c r="AE5" s="547" t="s">
        <v>1269</v>
      </c>
      <c r="AF5" s="2901" t="str">
        <f>+'8. mell. Intézmények összesen'!AF5</f>
        <v>Előirányzat-módosítások, előirányzat-átcsoportosítások összegszerű változásai</v>
      </c>
      <c r="AG5" s="2915" t="str">
        <f>+'8. mell. Intézmények összesen'!AG5</f>
        <v>Előirányzat-módosítások, előirányzat-átcsoportosítások összegszerű változásai a III. módosításnál</v>
      </c>
      <c r="AH5" s="547" t="s">
        <v>1270</v>
      </c>
      <c r="AI5" s="1533" t="s">
        <v>3547</v>
      </c>
      <c r="AJ5" s="1823" t="str">
        <f>+'1. mell.ÖSSZEVONT_MÉRLEG'!K5</f>
        <v xml:space="preserve"> 2025. évi teljesítés / 2025. évi III. számú módosított előirányzat</v>
      </c>
    </row>
    <row r="6" spans="1:36" s="405" customFormat="1" ht="12.95" hidden="1" customHeight="1" thickBot="1">
      <c r="A6" s="1824">
        <f>+'8. mell. Intézmények összesen'!A6</f>
        <v>1</v>
      </c>
      <c r="B6" s="1462">
        <f>+'8. mell. Intézmények összesen'!B6</f>
        <v>2</v>
      </c>
      <c r="C6" s="1462">
        <f>+'8. mell. Intézmények összesen'!C6</f>
        <v>3</v>
      </c>
      <c r="D6" s="1462">
        <f>+'8. mell. Intézmények összesen'!D6</f>
        <v>4</v>
      </c>
      <c r="E6" s="2730"/>
      <c r="F6" s="1462">
        <f>+'8. mell. Intézmények összesen'!F6</f>
        <v>5</v>
      </c>
      <c r="G6" s="1462">
        <f>+'8. mell. Intézmények összesen'!G6</f>
        <v>5</v>
      </c>
      <c r="H6" s="1462">
        <f>+'8. mell. Intézmények összesen'!H6</f>
        <v>6</v>
      </c>
      <c r="I6" s="1462">
        <f>+'8. mell. Intézmények összesen'!I6</f>
        <v>7</v>
      </c>
      <c r="J6" s="1462">
        <f>+'8. mell. Intézmények összesen'!J6</f>
        <v>7</v>
      </c>
      <c r="K6" s="1462">
        <f>+'8. mell. Intézmények összesen'!K6</f>
        <v>0</v>
      </c>
      <c r="L6" s="1462">
        <f>+'8. mell. Intézmények összesen'!L6</f>
        <v>6</v>
      </c>
      <c r="M6" s="1462">
        <f>+'8. mell. Intézmények összesen'!M6</f>
        <v>6</v>
      </c>
      <c r="N6" s="1462">
        <f>+'8. mell. Intézmények összesen'!N6</f>
        <v>7</v>
      </c>
      <c r="O6" s="1462">
        <f>+'8. mell. Intézmények összesen'!O6</f>
        <v>8</v>
      </c>
      <c r="P6" s="1462">
        <f>+'8. mell. Intézmények összesen'!P6</f>
        <v>0</v>
      </c>
      <c r="Q6" s="1462">
        <f>+'8. mell. Intézmények összesen'!Q6</f>
        <v>7</v>
      </c>
      <c r="R6" s="1462">
        <f>+'8. mell. Intézmények összesen'!R6</f>
        <v>7</v>
      </c>
      <c r="S6" s="1462">
        <f>+'8. mell. Intézmények összesen'!S6</f>
        <v>7</v>
      </c>
      <c r="T6" s="1462">
        <f>+'8. mell. Intézmények összesen'!T6</f>
        <v>8</v>
      </c>
      <c r="U6" s="1462">
        <f>+'8. mell. Intézmények összesen'!U6</f>
        <v>9</v>
      </c>
      <c r="V6" s="1462">
        <f>+'8. mell. Intézmények összesen'!V6</f>
        <v>0</v>
      </c>
      <c r="W6" s="1462">
        <f>+'8. mell. Intézmények összesen'!W6</f>
        <v>8</v>
      </c>
      <c r="X6" s="1462">
        <f>+'8. mell. Intézmények összesen'!X6</f>
        <v>8</v>
      </c>
      <c r="Y6" s="1462">
        <f>+'8. mell. Intézmények összesen'!Y6</f>
        <v>8</v>
      </c>
      <c r="Z6" s="1462">
        <f>+'8. mell. Intézmények összesen'!Z6</f>
        <v>9</v>
      </c>
      <c r="AA6" s="401">
        <f>+'8. mell. Intézmények összesen'!AA6</f>
        <v>10</v>
      </c>
      <c r="AB6" s="401">
        <f>+'8. mell. Intézmények összesen'!AB6</f>
        <v>8</v>
      </c>
      <c r="AC6" s="401">
        <f>+'8. mell. Intézmények összesen'!AC6</f>
        <v>9</v>
      </c>
      <c r="AD6" s="402"/>
      <c r="AE6" s="403"/>
      <c r="AF6" s="2902"/>
      <c r="AG6" s="2909"/>
      <c r="AH6" s="404"/>
      <c r="AJ6" s="1825">
        <v>9</v>
      </c>
    </row>
    <row r="7" spans="1:36" s="405" customFormat="1" ht="15.95" hidden="1" customHeight="1" thickBot="1">
      <c r="A7" s="1826"/>
      <c r="B7" s="406"/>
      <c r="C7" s="406" t="s">
        <v>390</v>
      </c>
      <c r="D7" s="406"/>
      <c r="E7" s="2709"/>
      <c r="F7" s="406"/>
      <c r="G7" s="406"/>
      <c r="H7" s="406"/>
      <c r="I7" s="406"/>
      <c r="J7" s="406"/>
      <c r="K7" s="317"/>
      <c r="L7" s="406"/>
      <c r="M7" s="406"/>
      <c r="N7" s="406"/>
      <c r="O7" s="406"/>
      <c r="P7" s="406"/>
      <c r="Q7" s="406"/>
      <c r="R7" s="406"/>
      <c r="S7" s="406"/>
      <c r="T7" s="406"/>
      <c r="U7" s="406"/>
      <c r="V7" s="406"/>
      <c r="W7" s="406"/>
      <c r="X7" s="406"/>
      <c r="Y7" s="406"/>
      <c r="Z7" s="406"/>
      <c r="AA7" s="406"/>
      <c r="AB7" s="406"/>
      <c r="AC7" s="407"/>
      <c r="AD7" s="408"/>
      <c r="AE7" s="409"/>
      <c r="AF7" s="2903"/>
      <c r="AG7" s="2910"/>
      <c r="AH7" s="409"/>
      <c r="AJ7" s="1827"/>
    </row>
    <row r="8" spans="1:36" s="416" customFormat="1" ht="12" customHeight="1" thickBot="1">
      <c r="A8" s="1828" t="s">
        <v>6</v>
      </c>
      <c r="B8" s="410" t="s">
        <v>3353</v>
      </c>
      <c r="C8" s="411" t="s">
        <v>1276</v>
      </c>
      <c r="D8" s="412">
        <f t="shared" ref="D8:AC8" si="0">SUM(D9:D19)</f>
        <v>18513419</v>
      </c>
      <c r="E8" s="2710">
        <f t="shared" si="0"/>
        <v>11826033</v>
      </c>
      <c r="F8" s="412">
        <f t="shared" si="0"/>
        <v>11598890</v>
      </c>
      <c r="G8" s="412">
        <f t="shared" si="0"/>
        <v>11598890</v>
      </c>
      <c r="H8" s="412">
        <f t="shared" si="0"/>
        <v>11598890</v>
      </c>
      <c r="I8" s="412">
        <f t="shared" si="0"/>
        <v>10908276</v>
      </c>
      <c r="J8" s="412">
        <f t="shared" si="0"/>
        <v>10908276</v>
      </c>
      <c r="K8" s="322">
        <f t="shared" si="0"/>
        <v>10908276</v>
      </c>
      <c r="L8" s="412">
        <f t="shared" si="0"/>
        <v>0</v>
      </c>
      <c r="M8" s="412">
        <f t="shared" si="0"/>
        <v>0</v>
      </c>
      <c r="N8" s="412">
        <f t="shared" si="0"/>
        <v>0</v>
      </c>
      <c r="O8" s="412">
        <f t="shared" si="0"/>
        <v>0</v>
      </c>
      <c r="P8" s="412">
        <f t="shared" si="0"/>
        <v>0</v>
      </c>
      <c r="Q8" s="412">
        <f t="shared" si="0"/>
        <v>0</v>
      </c>
      <c r="R8" s="412">
        <f t="shared" si="0"/>
        <v>11598890</v>
      </c>
      <c r="S8" s="412">
        <f t="shared" si="0"/>
        <v>11598890</v>
      </c>
      <c r="T8" s="412">
        <f t="shared" si="0"/>
        <v>11598890</v>
      </c>
      <c r="U8" s="412">
        <f t="shared" si="0"/>
        <v>10908276</v>
      </c>
      <c r="V8" s="412">
        <f t="shared" si="0"/>
        <v>10908276</v>
      </c>
      <c r="W8" s="412">
        <f t="shared" si="0"/>
        <v>10908276</v>
      </c>
      <c r="X8" s="412">
        <f t="shared" si="0"/>
        <v>0</v>
      </c>
      <c r="Y8" s="412">
        <f t="shared" si="0"/>
        <v>0</v>
      </c>
      <c r="Z8" s="412">
        <f t="shared" si="0"/>
        <v>0</v>
      </c>
      <c r="AA8" s="412">
        <f t="shared" si="0"/>
        <v>0</v>
      </c>
      <c r="AB8" s="412">
        <f t="shared" si="0"/>
        <v>0</v>
      </c>
      <c r="AC8" s="412">
        <f t="shared" si="0"/>
        <v>0</v>
      </c>
      <c r="AD8" s="413"/>
      <c r="AE8" s="414">
        <f t="shared" ref="AE8:AE37" si="1">+G8-F8</f>
        <v>0</v>
      </c>
      <c r="AF8" s="2904">
        <f t="shared" ref="AF8:AH11" si="2">+H8-G8</f>
        <v>0</v>
      </c>
      <c r="AG8" s="2911">
        <f t="shared" si="2"/>
        <v>-690614</v>
      </c>
      <c r="AH8" s="415">
        <f t="shared" si="2"/>
        <v>0</v>
      </c>
      <c r="AI8" s="412">
        <f>+F8-D8</f>
        <v>-6914529</v>
      </c>
      <c r="AJ8" s="1829">
        <f>+K8/I8</f>
        <v>1</v>
      </c>
    </row>
    <row r="9" spans="1:36" s="416" customFormat="1" ht="12" customHeight="1" thickBot="1">
      <c r="A9" s="1828"/>
      <c r="B9" s="418" t="s">
        <v>176</v>
      </c>
      <c r="C9" s="419" t="s">
        <v>226</v>
      </c>
      <c r="D9" s="420">
        <v>0</v>
      </c>
      <c r="E9" s="2711">
        <v>0</v>
      </c>
      <c r="F9" s="420">
        <v>0</v>
      </c>
      <c r="G9" s="420">
        <f>+F9</f>
        <v>0</v>
      </c>
      <c r="H9" s="420">
        <f>+G9</f>
        <v>0</v>
      </c>
      <c r="I9" s="420">
        <f>+H9</f>
        <v>0</v>
      </c>
      <c r="J9" s="420">
        <f>+I9</f>
        <v>0</v>
      </c>
      <c r="K9" s="329">
        <f>+J9</f>
        <v>0</v>
      </c>
      <c r="L9" s="420">
        <v>0</v>
      </c>
      <c r="M9" s="420">
        <f t="shared" ref="M9:M17" si="3">+L9</f>
        <v>0</v>
      </c>
      <c r="N9" s="420">
        <f t="shared" ref="N9:N19" si="4">+M9</f>
        <v>0</v>
      </c>
      <c r="O9" s="420">
        <f t="shared" ref="O9:O19" si="5">+N9</f>
        <v>0</v>
      </c>
      <c r="P9" s="420">
        <f t="shared" ref="P9:P19" si="6">+O9</f>
        <v>0</v>
      </c>
      <c r="Q9" s="420">
        <f t="shared" ref="Q9:Q19" si="7">+P9</f>
        <v>0</v>
      </c>
      <c r="R9" s="420">
        <f t="shared" ref="R9:R19" si="8">+F9</f>
        <v>0</v>
      </c>
      <c r="S9" s="420">
        <f t="shared" ref="S9:S17" si="9">+R9</f>
        <v>0</v>
      </c>
      <c r="T9" s="420">
        <f t="shared" ref="T9:T19" si="10">+S9</f>
        <v>0</v>
      </c>
      <c r="U9" s="420">
        <f t="shared" ref="U9:U18" si="11">+T9</f>
        <v>0</v>
      </c>
      <c r="V9" s="420">
        <f t="shared" ref="V9:V19" si="12">+U9</f>
        <v>0</v>
      </c>
      <c r="W9" s="420">
        <f>+V9</f>
        <v>0</v>
      </c>
      <c r="X9" s="420">
        <v>0</v>
      </c>
      <c r="Y9" s="420">
        <f t="shared" ref="Y9:Y19" si="13">+X9</f>
        <v>0</v>
      </c>
      <c r="Z9" s="420">
        <f t="shared" ref="Z9:Z19" si="14">+Y9</f>
        <v>0</v>
      </c>
      <c r="AA9" s="420">
        <f t="shared" ref="AA9:AA19" si="15">+Z9</f>
        <v>0</v>
      </c>
      <c r="AB9" s="420">
        <f t="shared" ref="AB9:AB19" si="16">+AA9</f>
        <v>0</v>
      </c>
      <c r="AC9" s="420">
        <f t="shared" ref="AC9:AC19" si="17">+AB9</f>
        <v>0</v>
      </c>
      <c r="AD9" s="421"/>
      <c r="AE9" s="414">
        <f t="shared" si="1"/>
        <v>0</v>
      </c>
      <c r="AF9" s="2905">
        <f t="shared" si="2"/>
        <v>0</v>
      </c>
      <c r="AG9" s="2911">
        <f t="shared" si="2"/>
        <v>0</v>
      </c>
      <c r="AH9" s="415">
        <f t="shared" si="2"/>
        <v>0</v>
      </c>
      <c r="AI9" s="420">
        <f t="shared" ref="AI9:AI54" si="18">+F9-D9</f>
        <v>0</v>
      </c>
      <c r="AJ9" s="1830"/>
    </row>
    <row r="10" spans="1:36" s="416" customFormat="1" ht="12" customHeight="1" thickBot="1">
      <c r="A10" s="1828"/>
      <c r="B10" s="418" t="s">
        <v>178</v>
      </c>
      <c r="C10" s="419" t="s">
        <v>228</v>
      </c>
      <c r="D10" s="420">
        <f>+'Bev. PMH-nem része a rend-nek'!I4+'Bev. PMH-nem része a rend-nek'!I12</f>
        <v>9500000</v>
      </c>
      <c r="E10" s="2711">
        <f>+'Bev. PMH-nem része a rend-nek'!J4+'Bev. PMH-nem része a rend-nek'!J12</f>
        <v>6495972</v>
      </c>
      <c r="F10" s="420">
        <f>+'Bev. PMH-nem része a rend-nek'!K4+'Bev. PMH-nem része a rend-nek'!K12</f>
        <v>6791090</v>
      </c>
      <c r="G10" s="420">
        <f>+'Bev. PMH-nem része a rend-nek'!L4++'Bev. PMH-nem része a rend-nek'!L12</f>
        <v>6791090</v>
      </c>
      <c r="H10" s="420">
        <f>+'Bev. PMH-nem része a rend-nek'!M4++'Bev. PMH-nem része a rend-nek'!M12</f>
        <v>6791090</v>
      </c>
      <c r="I10" s="420">
        <f>+'Bev. PMH-nem része a rend-nek'!N4++'Bev. PMH-nem része a rend-nek'!N12</f>
        <v>7253552</v>
      </c>
      <c r="J10" s="420">
        <f>+'Bev. PMH-nem része a rend-nek'!O4++'Bev. PMH-nem része a rend-nek'!O12</f>
        <v>7253552</v>
      </c>
      <c r="K10" s="329">
        <f>+'Bev. PMH-nem része a rend-nek'!P4+'Bev. PMH-nem része a rend-nek'!P12</f>
        <v>7253552</v>
      </c>
      <c r="L10" s="420">
        <v>0</v>
      </c>
      <c r="M10" s="420">
        <f t="shared" si="3"/>
        <v>0</v>
      </c>
      <c r="N10" s="420">
        <f t="shared" si="4"/>
        <v>0</v>
      </c>
      <c r="O10" s="420">
        <f t="shared" si="5"/>
        <v>0</v>
      </c>
      <c r="P10" s="420">
        <f t="shared" si="6"/>
        <v>0</v>
      </c>
      <c r="Q10" s="420">
        <f t="shared" si="7"/>
        <v>0</v>
      </c>
      <c r="R10" s="420">
        <f t="shared" si="8"/>
        <v>6791090</v>
      </c>
      <c r="S10" s="420">
        <f t="shared" si="9"/>
        <v>6791090</v>
      </c>
      <c r="T10" s="420">
        <f t="shared" si="10"/>
        <v>6791090</v>
      </c>
      <c r="U10" s="420">
        <f>+T10+462462</f>
        <v>7253552</v>
      </c>
      <c r="V10" s="420">
        <f t="shared" si="12"/>
        <v>7253552</v>
      </c>
      <c r="W10" s="420">
        <f>+K10</f>
        <v>7253552</v>
      </c>
      <c r="X10" s="420">
        <v>0</v>
      </c>
      <c r="Y10" s="420">
        <f t="shared" si="13"/>
        <v>0</v>
      </c>
      <c r="Z10" s="420">
        <f t="shared" si="14"/>
        <v>0</v>
      </c>
      <c r="AA10" s="420">
        <f t="shared" si="15"/>
        <v>0</v>
      </c>
      <c r="AB10" s="420">
        <f t="shared" si="16"/>
        <v>0</v>
      </c>
      <c r="AC10" s="420">
        <f t="shared" si="17"/>
        <v>0</v>
      </c>
      <c r="AD10" s="421"/>
      <c r="AE10" s="414">
        <f t="shared" si="1"/>
        <v>0</v>
      </c>
      <c r="AF10" s="2905">
        <f t="shared" si="2"/>
        <v>0</v>
      </c>
      <c r="AG10" s="2911">
        <f t="shared" si="2"/>
        <v>462462</v>
      </c>
      <c r="AH10" s="415">
        <f t="shared" si="2"/>
        <v>0</v>
      </c>
      <c r="AI10" s="420">
        <f t="shared" si="18"/>
        <v>-2708910</v>
      </c>
      <c r="AJ10" s="1830">
        <f>+K10/I10</f>
        <v>1</v>
      </c>
    </row>
    <row r="11" spans="1:36" s="416" customFormat="1" ht="12" customHeight="1" thickBot="1">
      <c r="A11" s="1828"/>
      <c r="B11" s="418" t="s">
        <v>179</v>
      </c>
      <c r="C11" s="419" t="s">
        <v>460</v>
      </c>
      <c r="D11" s="420">
        <f>+'Bev. PMH-nem része a rend-nek'!I11</f>
        <v>850000</v>
      </c>
      <c r="E11" s="2711">
        <f>+'Bev. PMH-nem része a rend-nek'!J11</f>
        <v>364603</v>
      </c>
      <c r="F11" s="420">
        <f>+'Bev. PMH-nem része a rend-nek'!K11</f>
        <v>395100</v>
      </c>
      <c r="G11" s="420">
        <f>+'Bev. PMH-nem része a rend-nek'!L11</f>
        <v>395100</v>
      </c>
      <c r="H11" s="420">
        <f>+'Bev. PMH-nem része a rend-nek'!M11</f>
        <v>395100</v>
      </c>
      <c r="I11" s="420">
        <f>+'Bev. PMH-nem része a rend-nek'!N11</f>
        <v>38478</v>
      </c>
      <c r="J11" s="420">
        <f>+'Bev. PMH-nem része a rend-nek'!O11</f>
        <v>38478</v>
      </c>
      <c r="K11" s="329">
        <f>+'Bev. PMH-nem része a rend-nek'!P11</f>
        <v>38478</v>
      </c>
      <c r="L11" s="420">
        <v>0</v>
      </c>
      <c r="M11" s="420">
        <f t="shared" si="3"/>
        <v>0</v>
      </c>
      <c r="N11" s="420">
        <f t="shared" si="4"/>
        <v>0</v>
      </c>
      <c r="O11" s="420">
        <f t="shared" si="5"/>
        <v>0</v>
      </c>
      <c r="P11" s="420">
        <f t="shared" si="6"/>
        <v>0</v>
      </c>
      <c r="Q11" s="420">
        <f t="shared" si="7"/>
        <v>0</v>
      </c>
      <c r="R11" s="420">
        <f t="shared" si="8"/>
        <v>395100</v>
      </c>
      <c r="S11" s="420">
        <f t="shared" si="9"/>
        <v>395100</v>
      </c>
      <c r="T11" s="420">
        <f t="shared" si="10"/>
        <v>395100</v>
      </c>
      <c r="U11" s="420">
        <f>+T11-356622</f>
        <v>38478</v>
      </c>
      <c r="V11" s="420">
        <f t="shared" si="12"/>
        <v>38478</v>
      </c>
      <c r="W11" s="420">
        <f>+K11</f>
        <v>38478</v>
      </c>
      <c r="X11" s="420">
        <v>0</v>
      </c>
      <c r="Y11" s="420">
        <f t="shared" si="13"/>
        <v>0</v>
      </c>
      <c r="Z11" s="420">
        <f t="shared" si="14"/>
        <v>0</v>
      </c>
      <c r="AA11" s="420">
        <f t="shared" si="15"/>
        <v>0</v>
      </c>
      <c r="AB11" s="420">
        <f t="shared" si="16"/>
        <v>0</v>
      </c>
      <c r="AC11" s="420">
        <f t="shared" si="17"/>
        <v>0</v>
      </c>
      <c r="AD11" s="421"/>
      <c r="AE11" s="414">
        <f t="shared" si="1"/>
        <v>0</v>
      </c>
      <c r="AF11" s="2905"/>
      <c r="AG11" s="2911">
        <f t="shared" si="2"/>
        <v>-356622</v>
      </c>
      <c r="AH11" s="415"/>
      <c r="AI11" s="420">
        <f t="shared" si="18"/>
        <v>-454900</v>
      </c>
      <c r="AJ11" s="1830">
        <f>+K11/I11</f>
        <v>1</v>
      </c>
    </row>
    <row r="12" spans="1:36" s="416" customFormat="1" ht="12" customHeight="1" thickBot="1">
      <c r="A12" s="1828"/>
      <c r="B12" s="418" t="s">
        <v>180</v>
      </c>
      <c r="C12" s="419" t="s">
        <v>232</v>
      </c>
      <c r="D12" s="420">
        <v>0</v>
      </c>
      <c r="E12" s="2711">
        <v>0</v>
      </c>
      <c r="F12" s="420">
        <v>0</v>
      </c>
      <c r="G12" s="420">
        <v>0</v>
      </c>
      <c r="H12" s="420">
        <v>0</v>
      </c>
      <c r="I12" s="420">
        <v>0</v>
      </c>
      <c r="J12" s="420">
        <v>0</v>
      </c>
      <c r="K12" s="329">
        <v>0</v>
      </c>
      <c r="L12" s="420">
        <v>0</v>
      </c>
      <c r="M12" s="420">
        <f t="shared" si="3"/>
        <v>0</v>
      </c>
      <c r="N12" s="420">
        <f t="shared" si="4"/>
        <v>0</v>
      </c>
      <c r="O12" s="420">
        <f t="shared" si="5"/>
        <v>0</v>
      </c>
      <c r="P12" s="420">
        <f t="shared" si="6"/>
        <v>0</v>
      </c>
      <c r="Q12" s="420">
        <f t="shared" si="7"/>
        <v>0</v>
      </c>
      <c r="R12" s="420">
        <f t="shared" si="8"/>
        <v>0</v>
      </c>
      <c r="S12" s="420">
        <f t="shared" si="9"/>
        <v>0</v>
      </c>
      <c r="T12" s="420">
        <f t="shared" si="10"/>
        <v>0</v>
      </c>
      <c r="U12" s="420">
        <f t="shared" si="11"/>
        <v>0</v>
      </c>
      <c r="V12" s="420">
        <f t="shared" si="12"/>
        <v>0</v>
      </c>
      <c r="W12" s="420">
        <v>0</v>
      </c>
      <c r="X12" s="420">
        <v>0</v>
      </c>
      <c r="Y12" s="420">
        <f t="shared" si="13"/>
        <v>0</v>
      </c>
      <c r="Z12" s="420">
        <f t="shared" si="14"/>
        <v>0</v>
      </c>
      <c r="AA12" s="420">
        <f t="shared" si="15"/>
        <v>0</v>
      </c>
      <c r="AB12" s="420">
        <f t="shared" si="16"/>
        <v>0</v>
      </c>
      <c r="AC12" s="420">
        <f t="shared" si="17"/>
        <v>0</v>
      </c>
      <c r="AD12" s="421"/>
      <c r="AE12" s="414">
        <f t="shared" si="1"/>
        <v>0</v>
      </c>
      <c r="AF12" s="2905">
        <f t="shared" ref="AF12:AF24" si="19">+H12-G12</f>
        <v>0</v>
      </c>
      <c r="AG12" s="2911">
        <f t="shared" ref="AG12:AH18" si="20">+I12-H12</f>
        <v>0</v>
      </c>
      <c r="AH12" s="415">
        <f t="shared" si="20"/>
        <v>0</v>
      </c>
      <c r="AI12" s="420">
        <f t="shared" si="18"/>
        <v>0</v>
      </c>
      <c r="AJ12" s="1830"/>
    </row>
    <row r="13" spans="1:36" s="416" customFormat="1" ht="12" customHeight="1" thickBot="1">
      <c r="A13" s="1828"/>
      <c r="B13" s="418" t="s">
        <v>181</v>
      </c>
      <c r="C13" s="419" t="s">
        <v>234</v>
      </c>
      <c r="D13" s="420">
        <v>0</v>
      </c>
      <c r="E13" s="2711">
        <v>0</v>
      </c>
      <c r="F13" s="420">
        <v>0</v>
      </c>
      <c r="G13" s="420">
        <v>0</v>
      </c>
      <c r="H13" s="420">
        <v>0</v>
      </c>
      <c r="I13" s="420">
        <v>0</v>
      </c>
      <c r="J13" s="420"/>
      <c r="K13" s="329">
        <v>0</v>
      </c>
      <c r="L13" s="420">
        <v>0</v>
      </c>
      <c r="M13" s="420">
        <f t="shared" si="3"/>
        <v>0</v>
      </c>
      <c r="N13" s="420">
        <f t="shared" si="4"/>
        <v>0</v>
      </c>
      <c r="O13" s="420">
        <f t="shared" si="5"/>
        <v>0</v>
      </c>
      <c r="P13" s="420">
        <f t="shared" si="6"/>
        <v>0</v>
      </c>
      <c r="Q13" s="420">
        <f t="shared" si="7"/>
        <v>0</v>
      </c>
      <c r="R13" s="420">
        <f t="shared" si="8"/>
        <v>0</v>
      </c>
      <c r="S13" s="420">
        <f t="shared" si="9"/>
        <v>0</v>
      </c>
      <c r="T13" s="420">
        <f t="shared" si="10"/>
        <v>0</v>
      </c>
      <c r="U13" s="420">
        <f t="shared" si="11"/>
        <v>0</v>
      </c>
      <c r="V13" s="420">
        <f t="shared" si="12"/>
        <v>0</v>
      </c>
      <c r="W13" s="420">
        <f>+V13</f>
        <v>0</v>
      </c>
      <c r="X13" s="420">
        <v>0</v>
      </c>
      <c r="Y13" s="420">
        <f t="shared" si="13"/>
        <v>0</v>
      </c>
      <c r="Z13" s="420">
        <f t="shared" si="14"/>
        <v>0</v>
      </c>
      <c r="AA13" s="420">
        <f t="shared" si="15"/>
        <v>0</v>
      </c>
      <c r="AB13" s="420">
        <f t="shared" si="16"/>
        <v>0</v>
      </c>
      <c r="AC13" s="420">
        <f t="shared" si="17"/>
        <v>0</v>
      </c>
      <c r="AD13" s="421"/>
      <c r="AE13" s="414">
        <f t="shared" si="1"/>
        <v>0</v>
      </c>
      <c r="AF13" s="2905">
        <f t="shared" si="19"/>
        <v>0</v>
      </c>
      <c r="AG13" s="2911">
        <f t="shared" si="20"/>
        <v>0</v>
      </c>
      <c r="AH13" s="415">
        <f t="shared" si="20"/>
        <v>0</v>
      </c>
      <c r="AI13" s="420">
        <f t="shared" si="18"/>
        <v>0</v>
      </c>
      <c r="AJ13" s="1830"/>
    </row>
    <row r="14" spans="1:36" s="416" customFormat="1" ht="12" customHeight="1" thickBot="1">
      <c r="A14" s="1828"/>
      <c r="B14" s="418" t="s">
        <v>183</v>
      </c>
      <c r="C14" s="419" t="s">
        <v>887</v>
      </c>
      <c r="D14" s="420">
        <f>+'Bev. PMH-nem része a rend-nek'!I5</f>
        <v>2000000</v>
      </c>
      <c r="E14" s="2711">
        <f>+'Bev. PMH-nem része a rend-nek'!J7</f>
        <v>1848838</v>
      </c>
      <c r="F14" s="420">
        <f>+'Bev. PMH-nem része a rend-nek'!K7</f>
        <v>1936700</v>
      </c>
      <c r="G14" s="420">
        <f>+'Bev. PMH-nem része a rend-nek'!L7</f>
        <v>1936700</v>
      </c>
      <c r="H14" s="420">
        <f>+'Bev. PMH-nem része a rend-nek'!M7</f>
        <v>1936700</v>
      </c>
      <c r="I14" s="420">
        <f>+'Bev. PMH-nem része a rend-nek'!N7</f>
        <v>1966689</v>
      </c>
      <c r="J14" s="420">
        <f>+'Bev. PMH-nem része a rend-nek'!O7</f>
        <v>1966689</v>
      </c>
      <c r="K14" s="329">
        <f>+'Bev. PMH-nem része a rend-nek'!P7</f>
        <v>1966689</v>
      </c>
      <c r="L14" s="420">
        <v>0</v>
      </c>
      <c r="M14" s="420">
        <f t="shared" si="3"/>
        <v>0</v>
      </c>
      <c r="N14" s="420">
        <f t="shared" si="4"/>
        <v>0</v>
      </c>
      <c r="O14" s="420">
        <f t="shared" si="5"/>
        <v>0</v>
      </c>
      <c r="P14" s="420">
        <f t="shared" si="6"/>
        <v>0</v>
      </c>
      <c r="Q14" s="420">
        <f t="shared" si="7"/>
        <v>0</v>
      </c>
      <c r="R14" s="420">
        <f t="shared" si="8"/>
        <v>1936700</v>
      </c>
      <c r="S14" s="420">
        <f t="shared" si="9"/>
        <v>1936700</v>
      </c>
      <c r="T14" s="420">
        <f t="shared" si="10"/>
        <v>1936700</v>
      </c>
      <c r="U14" s="420">
        <f>+T14+29989</f>
        <v>1966689</v>
      </c>
      <c r="V14" s="420">
        <f t="shared" si="12"/>
        <v>1966689</v>
      </c>
      <c r="W14" s="420">
        <f>+K14</f>
        <v>1966689</v>
      </c>
      <c r="X14" s="420">
        <v>0</v>
      </c>
      <c r="Y14" s="420">
        <f t="shared" si="13"/>
        <v>0</v>
      </c>
      <c r="Z14" s="420">
        <f t="shared" si="14"/>
        <v>0</v>
      </c>
      <c r="AA14" s="420">
        <f t="shared" si="15"/>
        <v>0</v>
      </c>
      <c r="AB14" s="420">
        <f t="shared" si="16"/>
        <v>0</v>
      </c>
      <c r="AC14" s="420">
        <f t="shared" si="17"/>
        <v>0</v>
      </c>
      <c r="AD14" s="421"/>
      <c r="AE14" s="414">
        <f t="shared" si="1"/>
        <v>0</v>
      </c>
      <c r="AF14" s="2905">
        <f t="shared" si="19"/>
        <v>0</v>
      </c>
      <c r="AG14" s="2911">
        <f t="shared" si="20"/>
        <v>29989</v>
      </c>
      <c r="AH14" s="415">
        <f t="shared" si="20"/>
        <v>0</v>
      </c>
      <c r="AI14" s="420">
        <f t="shared" si="18"/>
        <v>-63300</v>
      </c>
      <c r="AJ14" s="1830">
        <f>+K14/I14</f>
        <v>1</v>
      </c>
    </row>
    <row r="15" spans="1:36" s="416" customFormat="1" ht="12" customHeight="1" thickBot="1">
      <c r="A15" s="1828"/>
      <c r="B15" s="418" t="s">
        <v>321</v>
      </c>
      <c r="C15" s="419" t="s">
        <v>238</v>
      </c>
      <c r="D15" s="420">
        <f>+'Bev. PMH-nem része a rend-nek'!I7</f>
        <v>2720000</v>
      </c>
      <c r="E15" s="2711">
        <f>+'Bev. PMH-nem része a rend-nek'!J5</f>
        <v>324000</v>
      </c>
      <c r="F15" s="420">
        <f>+'Bev. PMH-nem része a rend-nek'!K5</f>
        <v>336000</v>
      </c>
      <c r="G15" s="420">
        <f>+'Bev. PMH-nem része a rend-nek'!L5</f>
        <v>336000</v>
      </c>
      <c r="H15" s="420">
        <f>+'Bev. PMH-nem része a rend-nek'!M5</f>
        <v>336000</v>
      </c>
      <c r="I15" s="420">
        <f>+'Bev. PMH-nem része a rend-nek'!N5</f>
        <v>272000</v>
      </c>
      <c r="J15" s="420">
        <f>+'Bev. PMH-nem része a rend-nek'!O5</f>
        <v>272000</v>
      </c>
      <c r="K15" s="329">
        <f>+'Bev. PMH-nem része a rend-nek'!P5</f>
        <v>272000</v>
      </c>
      <c r="L15" s="420">
        <v>0</v>
      </c>
      <c r="M15" s="420">
        <f t="shared" si="3"/>
        <v>0</v>
      </c>
      <c r="N15" s="420">
        <f t="shared" si="4"/>
        <v>0</v>
      </c>
      <c r="O15" s="420">
        <f t="shared" si="5"/>
        <v>0</v>
      </c>
      <c r="P15" s="420">
        <f t="shared" si="6"/>
        <v>0</v>
      </c>
      <c r="Q15" s="420">
        <f t="shared" si="7"/>
        <v>0</v>
      </c>
      <c r="R15" s="420">
        <f t="shared" si="8"/>
        <v>336000</v>
      </c>
      <c r="S15" s="420">
        <f t="shared" si="9"/>
        <v>336000</v>
      </c>
      <c r="T15" s="420">
        <f t="shared" si="10"/>
        <v>336000</v>
      </c>
      <c r="U15" s="420">
        <f>+T15-64000</f>
        <v>272000</v>
      </c>
      <c r="V15" s="420">
        <f t="shared" si="12"/>
        <v>272000</v>
      </c>
      <c r="W15" s="420">
        <f>+K15</f>
        <v>272000</v>
      </c>
      <c r="X15" s="420">
        <v>0</v>
      </c>
      <c r="Y15" s="420">
        <f t="shared" si="13"/>
        <v>0</v>
      </c>
      <c r="Z15" s="420">
        <f t="shared" si="14"/>
        <v>0</v>
      </c>
      <c r="AA15" s="420">
        <f t="shared" si="15"/>
        <v>0</v>
      </c>
      <c r="AB15" s="420">
        <f t="shared" si="16"/>
        <v>0</v>
      </c>
      <c r="AC15" s="420">
        <f t="shared" si="17"/>
        <v>0</v>
      </c>
      <c r="AD15" s="421"/>
      <c r="AE15" s="414">
        <f t="shared" si="1"/>
        <v>0</v>
      </c>
      <c r="AF15" s="2905">
        <f t="shared" si="19"/>
        <v>0</v>
      </c>
      <c r="AG15" s="2911">
        <f t="shared" si="20"/>
        <v>-64000</v>
      </c>
      <c r="AH15" s="415">
        <f t="shared" si="20"/>
        <v>0</v>
      </c>
      <c r="AI15" s="420">
        <f t="shared" si="18"/>
        <v>-2384000</v>
      </c>
      <c r="AJ15" s="1830">
        <f>+K15/I15</f>
        <v>1</v>
      </c>
    </row>
    <row r="16" spans="1:36" s="416" customFormat="1" ht="12" customHeight="1" thickBot="1">
      <c r="A16" s="1828"/>
      <c r="B16" s="418" t="s">
        <v>323</v>
      </c>
      <c r="C16" s="419" t="s">
        <v>1277</v>
      </c>
      <c r="D16" s="420">
        <f>+'Bev. PMH-nem része a rend-nek'!I6</f>
        <v>3443419</v>
      </c>
      <c r="E16" s="2711">
        <f>+'Bev. PMH-nem része a rend-nek'!J6</f>
        <v>1876463</v>
      </c>
      <c r="F16" s="420">
        <f>+'Bev. PMH-nem része a rend-nek'!K6</f>
        <v>1172000</v>
      </c>
      <c r="G16" s="420">
        <f>+'Bev. PMH-nem része a rend-nek'!L6</f>
        <v>1172000</v>
      </c>
      <c r="H16" s="420">
        <f>+'Bev. PMH-nem része a rend-nek'!M6</f>
        <v>1172000</v>
      </c>
      <c r="I16" s="420">
        <f>+'Bev. PMH-nem része a rend-nek'!N6</f>
        <v>892552</v>
      </c>
      <c r="J16" s="420">
        <f>+'Bev. PMH-nem része a rend-nek'!O6</f>
        <v>892552</v>
      </c>
      <c r="K16" s="329">
        <f>+'Bev. PMH-nem része a rend-nek'!P6</f>
        <v>892552</v>
      </c>
      <c r="L16" s="420">
        <v>0</v>
      </c>
      <c r="M16" s="420">
        <f t="shared" si="3"/>
        <v>0</v>
      </c>
      <c r="N16" s="420">
        <f t="shared" si="4"/>
        <v>0</v>
      </c>
      <c r="O16" s="420">
        <f t="shared" si="5"/>
        <v>0</v>
      </c>
      <c r="P16" s="420">
        <f t="shared" si="6"/>
        <v>0</v>
      </c>
      <c r="Q16" s="420">
        <f t="shared" si="7"/>
        <v>0</v>
      </c>
      <c r="R16" s="420">
        <f t="shared" si="8"/>
        <v>1172000</v>
      </c>
      <c r="S16" s="420">
        <f t="shared" si="9"/>
        <v>1172000</v>
      </c>
      <c r="T16" s="420">
        <f>+S16</f>
        <v>1172000</v>
      </c>
      <c r="U16" s="420">
        <f>+T16-279448</f>
        <v>892552</v>
      </c>
      <c r="V16" s="420">
        <f t="shared" si="12"/>
        <v>892552</v>
      </c>
      <c r="W16" s="420">
        <f>+K16</f>
        <v>892552</v>
      </c>
      <c r="X16" s="420">
        <v>0</v>
      </c>
      <c r="Y16" s="420">
        <f t="shared" si="13"/>
        <v>0</v>
      </c>
      <c r="Z16" s="420">
        <f t="shared" si="14"/>
        <v>0</v>
      </c>
      <c r="AA16" s="420">
        <f t="shared" si="15"/>
        <v>0</v>
      </c>
      <c r="AB16" s="420">
        <f t="shared" si="16"/>
        <v>0</v>
      </c>
      <c r="AC16" s="420">
        <f t="shared" si="17"/>
        <v>0</v>
      </c>
      <c r="AD16" s="421"/>
      <c r="AE16" s="414">
        <f t="shared" si="1"/>
        <v>0</v>
      </c>
      <c r="AF16" s="2905">
        <f t="shared" si="19"/>
        <v>0</v>
      </c>
      <c r="AG16" s="2911">
        <f t="shared" si="20"/>
        <v>-279448</v>
      </c>
      <c r="AH16" s="415"/>
      <c r="AI16" s="420">
        <f t="shared" si="18"/>
        <v>-2271419</v>
      </c>
      <c r="AJ16" s="1830">
        <f>+K16/I16</f>
        <v>1</v>
      </c>
    </row>
    <row r="17" spans="1:36" s="416" customFormat="1" ht="12" customHeight="1" thickBot="1">
      <c r="A17" s="1828"/>
      <c r="B17" s="418" t="s">
        <v>325</v>
      </c>
      <c r="C17" s="419" t="s">
        <v>242</v>
      </c>
      <c r="D17" s="420">
        <v>0</v>
      </c>
      <c r="E17" s="2711">
        <v>0</v>
      </c>
      <c r="F17" s="420">
        <v>0</v>
      </c>
      <c r="G17" s="420">
        <v>0</v>
      </c>
      <c r="H17" s="420">
        <v>0</v>
      </c>
      <c r="I17" s="420">
        <v>0</v>
      </c>
      <c r="J17" s="420"/>
      <c r="K17" s="329">
        <v>0</v>
      </c>
      <c r="L17" s="420">
        <v>0</v>
      </c>
      <c r="M17" s="420">
        <f t="shared" si="3"/>
        <v>0</v>
      </c>
      <c r="N17" s="420">
        <f t="shared" si="4"/>
        <v>0</v>
      </c>
      <c r="O17" s="420">
        <f t="shared" si="5"/>
        <v>0</v>
      </c>
      <c r="P17" s="420">
        <f t="shared" si="6"/>
        <v>0</v>
      </c>
      <c r="Q17" s="420">
        <f t="shared" si="7"/>
        <v>0</v>
      </c>
      <c r="R17" s="420">
        <f t="shared" si="8"/>
        <v>0</v>
      </c>
      <c r="S17" s="420">
        <f t="shared" si="9"/>
        <v>0</v>
      </c>
      <c r="T17" s="420">
        <f t="shared" si="10"/>
        <v>0</v>
      </c>
      <c r="U17" s="420">
        <f t="shared" si="11"/>
        <v>0</v>
      </c>
      <c r="V17" s="420">
        <f t="shared" si="12"/>
        <v>0</v>
      </c>
      <c r="W17" s="420">
        <f>+V17</f>
        <v>0</v>
      </c>
      <c r="X17" s="420">
        <v>0</v>
      </c>
      <c r="Y17" s="420">
        <f t="shared" si="13"/>
        <v>0</v>
      </c>
      <c r="Z17" s="420">
        <f t="shared" si="14"/>
        <v>0</v>
      </c>
      <c r="AA17" s="420">
        <f t="shared" si="15"/>
        <v>0</v>
      </c>
      <c r="AB17" s="420">
        <f t="shared" si="16"/>
        <v>0</v>
      </c>
      <c r="AC17" s="420">
        <f t="shared" si="17"/>
        <v>0</v>
      </c>
      <c r="AD17" s="421"/>
      <c r="AE17" s="414">
        <f t="shared" si="1"/>
        <v>0</v>
      </c>
      <c r="AF17" s="2905">
        <f t="shared" si="19"/>
        <v>0</v>
      </c>
      <c r="AG17" s="2911">
        <f t="shared" si="20"/>
        <v>0</v>
      </c>
      <c r="AH17" s="415"/>
      <c r="AI17" s="420">
        <f t="shared" si="18"/>
        <v>0</v>
      </c>
      <c r="AJ17" s="1830"/>
    </row>
    <row r="18" spans="1:36" s="416" customFormat="1" ht="12" customHeight="1" thickBot="1">
      <c r="A18" s="1828"/>
      <c r="B18" s="422" t="s">
        <v>327</v>
      </c>
      <c r="C18" s="423" t="s">
        <v>163</v>
      </c>
      <c r="D18" s="420">
        <v>0</v>
      </c>
      <c r="E18" s="2711">
        <v>0</v>
      </c>
      <c r="F18" s="420">
        <v>0</v>
      </c>
      <c r="G18" s="420">
        <v>0</v>
      </c>
      <c r="H18" s="420">
        <v>0</v>
      </c>
      <c r="I18" s="420">
        <v>0</v>
      </c>
      <c r="J18" s="420"/>
      <c r="K18" s="329">
        <v>0</v>
      </c>
      <c r="L18" s="420">
        <v>0</v>
      </c>
      <c r="M18" s="420">
        <v>0</v>
      </c>
      <c r="N18" s="420">
        <f t="shared" si="4"/>
        <v>0</v>
      </c>
      <c r="O18" s="420">
        <f t="shared" si="5"/>
        <v>0</v>
      </c>
      <c r="P18" s="420">
        <f t="shared" si="6"/>
        <v>0</v>
      </c>
      <c r="Q18" s="420">
        <f t="shared" si="7"/>
        <v>0</v>
      </c>
      <c r="R18" s="420">
        <f t="shared" si="8"/>
        <v>0</v>
      </c>
      <c r="S18" s="420">
        <v>0</v>
      </c>
      <c r="T18" s="420">
        <f t="shared" si="10"/>
        <v>0</v>
      </c>
      <c r="U18" s="420">
        <f t="shared" si="11"/>
        <v>0</v>
      </c>
      <c r="V18" s="420">
        <f t="shared" si="12"/>
        <v>0</v>
      </c>
      <c r="W18" s="420">
        <f>+V18</f>
        <v>0</v>
      </c>
      <c r="X18" s="420">
        <v>0</v>
      </c>
      <c r="Y18" s="420">
        <f t="shared" si="13"/>
        <v>0</v>
      </c>
      <c r="Z18" s="420">
        <f t="shared" si="14"/>
        <v>0</v>
      </c>
      <c r="AA18" s="420">
        <f t="shared" si="15"/>
        <v>0</v>
      </c>
      <c r="AB18" s="420">
        <f t="shared" si="16"/>
        <v>0</v>
      </c>
      <c r="AC18" s="420">
        <f t="shared" si="17"/>
        <v>0</v>
      </c>
      <c r="AD18" s="421"/>
      <c r="AE18" s="414">
        <f t="shared" si="1"/>
        <v>0</v>
      </c>
      <c r="AF18" s="2905">
        <f t="shared" si="19"/>
        <v>0</v>
      </c>
      <c r="AG18" s="2911">
        <f t="shared" si="20"/>
        <v>0</v>
      </c>
      <c r="AH18" s="415"/>
      <c r="AI18" s="420">
        <f t="shared" si="18"/>
        <v>0</v>
      </c>
      <c r="AJ18" s="1830"/>
    </row>
    <row r="19" spans="1:36" s="424" customFormat="1" ht="12" customHeight="1" thickBot="1">
      <c r="A19" s="1828"/>
      <c r="B19" s="422" t="s">
        <v>329</v>
      </c>
      <c r="C19" s="423" t="s">
        <v>162</v>
      </c>
      <c r="D19" s="420">
        <f>+'Bev. PMH-nem része a rend-nek'!I10</f>
        <v>0</v>
      </c>
      <c r="E19" s="2711">
        <f>+'Bev. PMH-nem része a rend-nek'!J10</f>
        <v>916157</v>
      </c>
      <c r="F19" s="420">
        <f>+'Bev. PMH-nem része a rend-nek'!K10</f>
        <v>968000</v>
      </c>
      <c r="G19" s="420">
        <f>+'Bev. PMH-nem része a rend-nek'!L10</f>
        <v>968000</v>
      </c>
      <c r="H19" s="420">
        <f>+'Bev. PMH-nem része a rend-nek'!M10</f>
        <v>968000</v>
      </c>
      <c r="I19" s="420">
        <f>+'Bev. PMH-nem része a rend-nek'!N10</f>
        <v>485005</v>
      </c>
      <c r="J19" s="420">
        <f>+'Bev. PMH-nem része a rend-nek'!O10</f>
        <v>485005</v>
      </c>
      <c r="K19" s="329">
        <f>+'Bev. PMH-nem része a rend-nek'!P10</f>
        <v>485005</v>
      </c>
      <c r="L19" s="420">
        <v>0</v>
      </c>
      <c r="M19" s="420">
        <f>+L19</f>
        <v>0</v>
      </c>
      <c r="N19" s="420">
        <f t="shared" si="4"/>
        <v>0</v>
      </c>
      <c r="O19" s="420">
        <f t="shared" si="5"/>
        <v>0</v>
      </c>
      <c r="P19" s="420">
        <f t="shared" si="6"/>
        <v>0</v>
      </c>
      <c r="Q19" s="420">
        <f t="shared" si="7"/>
        <v>0</v>
      </c>
      <c r="R19" s="420">
        <f t="shared" si="8"/>
        <v>968000</v>
      </c>
      <c r="S19" s="420">
        <f>+R19</f>
        <v>968000</v>
      </c>
      <c r="T19" s="420">
        <f t="shared" si="10"/>
        <v>968000</v>
      </c>
      <c r="U19" s="420">
        <f>+T19-482995</f>
        <v>485005</v>
      </c>
      <c r="V19" s="420">
        <f t="shared" si="12"/>
        <v>485005</v>
      </c>
      <c r="W19" s="420">
        <f>+K19</f>
        <v>485005</v>
      </c>
      <c r="X19" s="420">
        <v>0</v>
      </c>
      <c r="Y19" s="420">
        <f t="shared" si="13"/>
        <v>0</v>
      </c>
      <c r="Z19" s="420">
        <f t="shared" si="14"/>
        <v>0</v>
      </c>
      <c r="AA19" s="420">
        <f t="shared" si="15"/>
        <v>0</v>
      </c>
      <c r="AB19" s="420">
        <f t="shared" si="16"/>
        <v>0</v>
      </c>
      <c r="AC19" s="420">
        <f t="shared" si="17"/>
        <v>0</v>
      </c>
      <c r="AD19" s="421"/>
      <c r="AE19" s="414">
        <f t="shared" si="1"/>
        <v>0</v>
      </c>
      <c r="AF19" s="2905">
        <f t="shared" si="19"/>
        <v>0</v>
      </c>
      <c r="AG19" s="2911">
        <f t="shared" ref="AG19:AH25" si="21">+I19-H19</f>
        <v>-482995</v>
      </c>
      <c r="AH19" s="415">
        <f t="shared" si="21"/>
        <v>0</v>
      </c>
      <c r="AI19" s="420">
        <f t="shared" si="18"/>
        <v>968000</v>
      </c>
      <c r="AJ19" s="1830">
        <f>+K19/I19</f>
        <v>1</v>
      </c>
    </row>
    <row r="20" spans="1:36" s="424" customFormat="1" ht="12" customHeight="1" thickBot="1">
      <c r="A20" s="1828" t="s">
        <v>12</v>
      </c>
      <c r="B20" s="410" t="s">
        <v>12</v>
      </c>
      <c r="C20" s="411" t="s">
        <v>1278</v>
      </c>
      <c r="D20" s="412">
        <f t="shared" ref="D20:AC20" si="22">SUM(D21:D22)</f>
        <v>0</v>
      </c>
      <c r="E20" s="2710">
        <f t="shared" si="22"/>
        <v>0</v>
      </c>
      <c r="F20" s="412">
        <f t="shared" si="22"/>
        <v>0</v>
      </c>
      <c r="G20" s="412">
        <f t="shared" si="22"/>
        <v>0</v>
      </c>
      <c r="H20" s="412">
        <f t="shared" si="22"/>
        <v>0</v>
      </c>
      <c r="I20" s="412">
        <f t="shared" si="22"/>
        <v>0</v>
      </c>
      <c r="J20" s="412">
        <f t="shared" si="22"/>
        <v>0</v>
      </c>
      <c r="K20" s="322">
        <f t="shared" si="22"/>
        <v>0</v>
      </c>
      <c r="L20" s="412">
        <f t="shared" si="22"/>
        <v>0</v>
      </c>
      <c r="M20" s="412">
        <f t="shared" si="22"/>
        <v>0</v>
      </c>
      <c r="N20" s="412">
        <f t="shared" si="22"/>
        <v>0</v>
      </c>
      <c r="O20" s="412">
        <f t="shared" si="22"/>
        <v>0</v>
      </c>
      <c r="P20" s="412">
        <f t="shared" si="22"/>
        <v>0</v>
      </c>
      <c r="Q20" s="412">
        <f t="shared" si="22"/>
        <v>0</v>
      </c>
      <c r="R20" s="412">
        <f t="shared" si="22"/>
        <v>0</v>
      </c>
      <c r="S20" s="412">
        <f t="shared" si="22"/>
        <v>0</v>
      </c>
      <c r="T20" s="412">
        <f t="shared" si="22"/>
        <v>0</v>
      </c>
      <c r="U20" s="412">
        <f t="shared" si="22"/>
        <v>0</v>
      </c>
      <c r="V20" s="412">
        <f t="shared" si="22"/>
        <v>0</v>
      </c>
      <c r="W20" s="412">
        <f t="shared" si="22"/>
        <v>0</v>
      </c>
      <c r="X20" s="412">
        <f t="shared" si="22"/>
        <v>0</v>
      </c>
      <c r="Y20" s="412">
        <f t="shared" si="22"/>
        <v>0</v>
      </c>
      <c r="Z20" s="412">
        <f t="shared" si="22"/>
        <v>0</v>
      </c>
      <c r="AA20" s="412">
        <f t="shared" si="22"/>
        <v>0</v>
      </c>
      <c r="AB20" s="412">
        <f t="shared" si="22"/>
        <v>0</v>
      </c>
      <c r="AC20" s="412">
        <f t="shared" si="22"/>
        <v>0</v>
      </c>
      <c r="AD20" s="413"/>
      <c r="AE20" s="414">
        <f t="shared" si="1"/>
        <v>0</v>
      </c>
      <c r="AF20" s="2904">
        <f t="shared" si="19"/>
        <v>0</v>
      </c>
      <c r="AG20" s="2911">
        <f t="shared" si="21"/>
        <v>0</v>
      </c>
      <c r="AH20" s="415">
        <f t="shared" si="21"/>
        <v>0</v>
      </c>
      <c r="AI20" s="412">
        <f t="shared" si="18"/>
        <v>0</v>
      </c>
      <c r="AJ20" s="1829"/>
    </row>
    <row r="21" spans="1:36" s="424" customFormat="1" ht="12" customHeight="1" thickBot="1">
      <c r="A21" s="1828"/>
      <c r="B21" s="418" t="s">
        <v>185</v>
      </c>
      <c r="C21" s="419" t="s">
        <v>247</v>
      </c>
      <c r="D21" s="420">
        <v>0</v>
      </c>
      <c r="E21" s="2711">
        <v>0</v>
      </c>
      <c r="F21" s="420">
        <v>0</v>
      </c>
      <c r="G21" s="420">
        <f>+F21</f>
        <v>0</v>
      </c>
      <c r="H21" s="420">
        <f>+G21</f>
        <v>0</v>
      </c>
      <c r="I21" s="420">
        <f>+H21</f>
        <v>0</v>
      </c>
      <c r="J21" s="420">
        <f>+I21</f>
        <v>0</v>
      </c>
      <c r="K21" s="329">
        <f>+J21</f>
        <v>0</v>
      </c>
      <c r="L21" s="420">
        <v>0</v>
      </c>
      <c r="M21" s="420">
        <f>+L21</f>
        <v>0</v>
      </c>
      <c r="N21" s="420">
        <f>+M21</f>
        <v>0</v>
      </c>
      <c r="O21" s="420">
        <f>+N21</f>
        <v>0</v>
      </c>
      <c r="P21" s="420">
        <f>+O21</f>
        <v>0</v>
      </c>
      <c r="Q21" s="420">
        <f>+P21</f>
        <v>0</v>
      </c>
      <c r="R21" s="420">
        <v>0</v>
      </c>
      <c r="S21" s="420">
        <f t="shared" ref="S21:W22" si="23">+R21</f>
        <v>0</v>
      </c>
      <c r="T21" s="420">
        <f t="shared" si="23"/>
        <v>0</v>
      </c>
      <c r="U21" s="420">
        <f t="shared" si="23"/>
        <v>0</v>
      </c>
      <c r="V21" s="420">
        <f t="shared" si="23"/>
        <v>0</v>
      </c>
      <c r="W21" s="420">
        <f t="shared" si="23"/>
        <v>0</v>
      </c>
      <c r="X21" s="420">
        <v>0</v>
      </c>
      <c r="Y21" s="420">
        <f t="shared" ref="Y21:AC22" si="24">+X21</f>
        <v>0</v>
      </c>
      <c r="Z21" s="420">
        <f t="shared" si="24"/>
        <v>0</v>
      </c>
      <c r="AA21" s="420">
        <f t="shared" si="24"/>
        <v>0</v>
      </c>
      <c r="AB21" s="420">
        <f t="shared" si="24"/>
        <v>0</v>
      </c>
      <c r="AC21" s="420">
        <f t="shared" si="24"/>
        <v>0</v>
      </c>
      <c r="AD21" s="421"/>
      <c r="AE21" s="414">
        <f t="shared" si="1"/>
        <v>0</v>
      </c>
      <c r="AF21" s="2905">
        <f t="shared" si="19"/>
        <v>0</v>
      </c>
      <c r="AG21" s="2911">
        <f t="shared" si="21"/>
        <v>0</v>
      </c>
      <c r="AH21" s="415">
        <f t="shared" si="21"/>
        <v>0</v>
      </c>
      <c r="AI21" s="420">
        <f t="shared" si="18"/>
        <v>0</v>
      </c>
      <c r="AJ21" s="1830"/>
    </row>
    <row r="22" spans="1:36" s="424" customFormat="1" ht="12" customHeight="1" thickBot="1">
      <c r="A22" s="1828"/>
      <c r="B22" s="418" t="s">
        <v>187</v>
      </c>
      <c r="C22" s="419" t="s">
        <v>155</v>
      </c>
      <c r="D22" s="420">
        <v>0</v>
      </c>
      <c r="E22" s="2711">
        <v>0</v>
      </c>
      <c r="F22" s="420">
        <f>+'Bev. PMH-nem része a rend-nek'!K17</f>
        <v>0</v>
      </c>
      <c r="G22" s="420">
        <f>+'Bev. PMH-nem része a rend-nek'!L17</f>
        <v>0</v>
      </c>
      <c r="H22" s="420">
        <f>+'Bev. PMH-nem része a rend-nek'!M17</f>
        <v>0</v>
      </c>
      <c r="I22" s="420">
        <f>+'Bev. PMH-nem része a rend-nek'!N17</f>
        <v>0</v>
      </c>
      <c r="J22" s="420">
        <f>+'Bev. PMH-nem része a rend-nek'!O17</f>
        <v>0</v>
      </c>
      <c r="K22" s="329">
        <f>+'Bev. PMH-nem része a rend-nek'!P17</f>
        <v>0</v>
      </c>
      <c r="L22" s="420">
        <f>+F22</f>
        <v>0</v>
      </c>
      <c r="M22" s="420">
        <f>+G22</f>
        <v>0</v>
      </c>
      <c r="N22" s="420">
        <f>+H22</f>
        <v>0</v>
      </c>
      <c r="O22" s="420">
        <f>+I22</f>
        <v>0</v>
      </c>
      <c r="P22" s="420">
        <f>+J22</f>
        <v>0</v>
      </c>
      <c r="Q22" s="420">
        <v>0</v>
      </c>
      <c r="R22" s="420">
        <v>0</v>
      </c>
      <c r="S22" s="420">
        <f t="shared" si="23"/>
        <v>0</v>
      </c>
      <c r="T22" s="420">
        <f t="shared" si="23"/>
        <v>0</v>
      </c>
      <c r="U22" s="420">
        <f t="shared" si="23"/>
        <v>0</v>
      </c>
      <c r="V22" s="420">
        <f t="shared" si="23"/>
        <v>0</v>
      </c>
      <c r="W22" s="420">
        <f t="shared" si="23"/>
        <v>0</v>
      </c>
      <c r="X22" s="420">
        <v>0</v>
      </c>
      <c r="Y22" s="420">
        <f t="shared" si="24"/>
        <v>0</v>
      </c>
      <c r="Z22" s="420">
        <f t="shared" si="24"/>
        <v>0</v>
      </c>
      <c r="AA22" s="420">
        <f t="shared" si="24"/>
        <v>0</v>
      </c>
      <c r="AB22" s="420">
        <f t="shared" si="24"/>
        <v>0</v>
      </c>
      <c r="AC22" s="420">
        <f t="shared" si="24"/>
        <v>0</v>
      </c>
      <c r="AD22" s="421"/>
      <c r="AE22" s="414">
        <f t="shared" si="1"/>
        <v>0</v>
      </c>
      <c r="AF22" s="2905">
        <f t="shared" si="19"/>
        <v>0</v>
      </c>
      <c r="AG22" s="2911">
        <f t="shared" si="21"/>
        <v>0</v>
      </c>
      <c r="AH22" s="415">
        <f t="shared" si="21"/>
        <v>0</v>
      </c>
      <c r="AI22" s="420">
        <f t="shared" si="18"/>
        <v>0</v>
      </c>
      <c r="AJ22" s="1830"/>
    </row>
    <row r="23" spans="1:36" s="416" customFormat="1" ht="21" customHeight="1" thickBot="1">
      <c r="A23" s="1828" t="s">
        <v>14</v>
      </c>
      <c r="B23" s="410" t="s">
        <v>14</v>
      </c>
      <c r="C23" s="411" t="s">
        <v>1279</v>
      </c>
      <c r="D23" s="412">
        <f t="shared" ref="D23:AC23" si="25">D24+D25</f>
        <v>24773014</v>
      </c>
      <c r="E23" s="2710">
        <f t="shared" si="25"/>
        <v>44159152</v>
      </c>
      <c r="F23" s="412">
        <f t="shared" si="25"/>
        <v>0</v>
      </c>
      <c r="G23" s="412">
        <f t="shared" si="25"/>
        <v>0</v>
      </c>
      <c r="H23" s="412">
        <f t="shared" si="25"/>
        <v>0</v>
      </c>
      <c r="I23" s="412">
        <f t="shared" si="25"/>
        <v>0</v>
      </c>
      <c r="J23" s="412">
        <f t="shared" si="25"/>
        <v>0</v>
      </c>
      <c r="K23" s="322">
        <f t="shared" si="25"/>
        <v>0</v>
      </c>
      <c r="L23" s="412">
        <f t="shared" si="25"/>
        <v>0</v>
      </c>
      <c r="M23" s="412">
        <f t="shared" si="25"/>
        <v>0</v>
      </c>
      <c r="N23" s="412">
        <f t="shared" si="25"/>
        <v>0</v>
      </c>
      <c r="O23" s="412">
        <f t="shared" si="25"/>
        <v>0</v>
      </c>
      <c r="P23" s="412">
        <f t="shared" si="25"/>
        <v>0</v>
      </c>
      <c r="Q23" s="412">
        <f t="shared" si="25"/>
        <v>0</v>
      </c>
      <c r="R23" s="412">
        <f t="shared" si="25"/>
        <v>0</v>
      </c>
      <c r="S23" s="412">
        <f t="shared" si="25"/>
        <v>0</v>
      </c>
      <c r="T23" s="412">
        <f t="shared" si="25"/>
        <v>0</v>
      </c>
      <c r="U23" s="412">
        <f t="shared" si="25"/>
        <v>0</v>
      </c>
      <c r="V23" s="412">
        <f t="shared" si="25"/>
        <v>0</v>
      </c>
      <c r="W23" s="412">
        <f t="shared" si="25"/>
        <v>0</v>
      </c>
      <c r="X23" s="412">
        <f t="shared" si="25"/>
        <v>0</v>
      </c>
      <c r="Y23" s="412">
        <f t="shared" si="25"/>
        <v>0</v>
      </c>
      <c r="Z23" s="412">
        <f t="shared" si="25"/>
        <v>0</v>
      </c>
      <c r="AA23" s="412">
        <f t="shared" si="25"/>
        <v>0</v>
      </c>
      <c r="AB23" s="412">
        <f t="shared" si="25"/>
        <v>0</v>
      </c>
      <c r="AC23" s="412">
        <f t="shared" si="25"/>
        <v>0</v>
      </c>
      <c r="AD23" s="421"/>
      <c r="AE23" s="414">
        <f t="shared" si="1"/>
        <v>0</v>
      </c>
      <c r="AF23" s="2904">
        <f t="shared" si="19"/>
        <v>0</v>
      </c>
      <c r="AG23" s="2911">
        <f t="shared" si="21"/>
        <v>0</v>
      </c>
      <c r="AH23" s="415">
        <f t="shared" si="21"/>
        <v>0</v>
      </c>
      <c r="AI23" s="412">
        <f t="shared" si="18"/>
        <v>-24773014</v>
      </c>
      <c r="AJ23" s="1830"/>
    </row>
    <row r="24" spans="1:36" s="416" customFormat="1" ht="15" customHeight="1" thickBot="1">
      <c r="A24" s="1828"/>
      <c r="B24" s="418" t="s">
        <v>198</v>
      </c>
      <c r="C24" s="425" t="s">
        <v>186</v>
      </c>
      <c r="D24" s="412">
        <v>0</v>
      </c>
      <c r="E24" s="2710">
        <v>0</v>
      </c>
      <c r="F24" s="412">
        <v>0</v>
      </c>
      <c r="G24" s="412">
        <v>0</v>
      </c>
      <c r="H24" s="412">
        <f>+G24</f>
        <v>0</v>
      </c>
      <c r="I24" s="412">
        <f>+H24</f>
        <v>0</v>
      </c>
      <c r="J24" s="412"/>
      <c r="K24" s="322">
        <v>0</v>
      </c>
      <c r="L24" s="412">
        <v>0</v>
      </c>
      <c r="M24" s="412">
        <f t="shared" ref="M24:M31" si="26">+L24</f>
        <v>0</v>
      </c>
      <c r="N24" s="412">
        <f t="shared" ref="N24:N31" si="27">+M24</f>
        <v>0</v>
      </c>
      <c r="O24" s="412">
        <f t="shared" ref="O24:O31" si="28">+N24</f>
        <v>0</v>
      </c>
      <c r="P24" s="412">
        <f t="shared" ref="P24:P31" si="29">+O24</f>
        <v>0</v>
      </c>
      <c r="Q24" s="412">
        <f t="shared" ref="Q24:Q31" si="30">+P24</f>
        <v>0</v>
      </c>
      <c r="R24" s="412">
        <v>0</v>
      </c>
      <c r="S24" s="412">
        <f t="shared" ref="S24:W27" si="31">+R24</f>
        <v>0</v>
      </c>
      <c r="T24" s="412">
        <f t="shared" si="31"/>
        <v>0</v>
      </c>
      <c r="U24" s="412">
        <f t="shared" si="31"/>
        <v>0</v>
      </c>
      <c r="V24" s="412">
        <f t="shared" si="31"/>
        <v>0</v>
      </c>
      <c r="W24" s="412">
        <f t="shared" si="31"/>
        <v>0</v>
      </c>
      <c r="X24" s="412">
        <v>0</v>
      </c>
      <c r="Y24" s="412">
        <f t="shared" ref="Y24:Y31" si="32">+X24</f>
        <v>0</v>
      </c>
      <c r="Z24" s="412">
        <f t="shared" ref="Z24:Z31" si="33">+Y24</f>
        <v>0</v>
      </c>
      <c r="AA24" s="412">
        <f t="shared" ref="AA24:AA31" si="34">+Z24</f>
        <v>0</v>
      </c>
      <c r="AB24" s="412">
        <f t="shared" ref="AB24:AB31" si="35">+AA24</f>
        <v>0</v>
      </c>
      <c r="AC24" s="412">
        <f>+AB24</f>
        <v>0</v>
      </c>
      <c r="AD24" s="413"/>
      <c r="AE24" s="414">
        <f t="shared" si="1"/>
        <v>0</v>
      </c>
      <c r="AF24" s="2904">
        <f t="shared" si="19"/>
        <v>0</v>
      </c>
      <c r="AG24" s="2911">
        <f t="shared" si="21"/>
        <v>0</v>
      </c>
      <c r="AH24" s="415"/>
      <c r="AI24" s="412">
        <f t="shared" si="18"/>
        <v>0</v>
      </c>
      <c r="AJ24" s="1829"/>
    </row>
    <row r="25" spans="1:36" s="424" customFormat="1" ht="15.75" thickBot="1">
      <c r="A25" s="1828"/>
      <c r="B25" s="418" t="s">
        <v>200</v>
      </c>
      <c r="C25" s="419" t="s">
        <v>148</v>
      </c>
      <c r="D25" s="420">
        <f>+'Bev. PMH-nem része a rend-nek'!I15+'Bev. PMH-nem része a rend-nek'!I16+'10. PMH személyi jutt.és jár-ok'!I152+'10. PMH személyi jutt.és jár-ok'!I189</f>
        <v>24773014</v>
      </c>
      <c r="E25" s="2711">
        <f>+'Bev. PMH-nem része a rend-nek'!J16</f>
        <v>44159152</v>
      </c>
      <c r="F25" s="420">
        <f>+'Bev. PMH-nem része a rend-nek'!K15+'Bev. PMH-nem része a rend-nek'!K16+'10. PMH személyi jutt.és jár-ok'!K152+'10. PMH személyi jutt.és jár-ok'!K189</f>
        <v>0</v>
      </c>
      <c r="G25" s="420">
        <f>+'Bev. PMH-nem része a rend-nek'!L15+'Bev. PMH-nem része a rend-nek'!L16+'10. PMH személyi jutt.és jár-ok'!L152+'10. PMH személyi jutt.és jár-ok'!L189</f>
        <v>0</v>
      </c>
      <c r="H25" s="420">
        <f>+'Bev. PMH-nem része a rend-nek'!M15+'Bev. PMH-nem része a rend-nek'!M16+'10. PMH személyi jutt.és jár-ok'!M152+'10. PMH személyi jutt.és jár-ok'!M189</f>
        <v>0</v>
      </c>
      <c r="I25" s="420">
        <f>+'Bev. PMH-nem része a rend-nek'!N15+'Bev. PMH-nem része a rend-nek'!N16+'10. PMH személyi jutt.és jár-ok'!N152+'10. PMH személyi jutt.és jár-ok'!N189</f>
        <v>0</v>
      </c>
      <c r="J25" s="420">
        <f>+'Bev. PMH-nem része a rend-nek'!O15+'Bev. PMH-nem része a rend-nek'!O16+'10. PMH személyi jutt.és jár-ok'!O152+'10. PMH személyi jutt.és jár-ok'!O189</f>
        <v>0</v>
      </c>
      <c r="K25" s="1350">
        <f>+'Bev. PMH-nem része a rend-nek'!P16</f>
        <v>0</v>
      </c>
      <c r="L25" s="420">
        <v>0</v>
      </c>
      <c r="M25" s="420">
        <f t="shared" si="26"/>
        <v>0</v>
      </c>
      <c r="N25" s="420">
        <f t="shared" si="27"/>
        <v>0</v>
      </c>
      <c r="O25" s="420">
        <f t="shared" si="28"/>
        <v>0</v>
      </c>
      <c r="P25" s="420">
        <f t="shared" si="29"/>
        <v>0</v>
      </c>
      <c r="Q25" s="420">
        <f t="shared" si="30"/>
        <v>0</v>
      </c>
      <c r="R25" s="420">
        <v>0</v>
      </c>
      <c r="S25" s="420">
        <f>+R25</f>
        <v>0</v>
      </c>
      <c r="T25" s="420">
        <f>+S25</f>
        <v>0</v>
      </c>
      <c r="U25" s="420">
        <f t="shared" si="31"/>
        <v>0</v>
      </c>
      <c r="V25" s="420">
        <f t="shared" si="31"/>
        <v>0</v>
      </c>
      <c r="W25" s="420">
        <f t="shared" si="31"/>
        <v>0</v>
      </c>
      <c r="X25" s="420">
        <f>+F25</f>
        <v>0</v>
      </c>
      <c r="Y25" s="420">
        <f t="shared" si="32"/>
        <v>0</v>
      </c>
      <c r="Z25" s="420">
        <f t="shared" si="33"/>
        <v>0</v>
      </c>
      <c r="AA25" s="420">
        <f t="shared" si="34"/>
        <v>0</v>
      </c>
      <c r="AB25" s="420">
        <f t="shared" si="35"/>
        <v>0</v>
      </c>
      <c r="AC25" s="420">
        <v>0</v>
      </c>
      <c r="AD25" s="1267"/>
      <c r="AE25" s="414">
        <f t="shared" si="1"/>
        <v>0</v>
      </c>
      <c r="AF25" s="2905">
        <f t="shared" ref="AF25:AF31" si="36">+H25-G25</f>
        <v>0</v>
      </c>
      <c r="AG25" s="2911">
        <f t="shared" si="21"/>
        <v>0</v>
      </c>
      <c r="AH25" s="415">
        <f t="shared" ref="AH25:AH31" si="37">+J25-I25</f>
        <v>0</v>
      </c>
      <c r="AI25" s="420">
        <f t="shared" si="18"/>
        <v>-24773014</v>
      </c>
      <c r="AJ25" s="1830"/>
    </row>
    <row r="26" spans="1:36" s="424" customFormat="1" ht="12" customHeight="1" thickBot="1">
      <c r="A26" s="1828"/>
      <c r="B26" s="418" t="s">
        <v>202</v>
      </c>
      <c r="C26" s="419" t="s">
        <v>1280</v>
      </c>
      <c r="D26" s="420">
        <v>0</v>
      </c>
      <c r="E26" s="2711">
        <v>0</v>
      </c>
      <c r="F26" s="420">
        <v>0</v>
      </c>
      <c r="G26" s="420">
        <f t="shared" ref="G26:K29" si="38">+F26</f>
        <v>0</v>
      </c>
      <c r="H26" s="420">
        <f t="shared" si="38"/>
        <v>0</v>
      </c>
      <c r="I26" s="420">
        <f t="shared" si="38"/>
        <v>0</v>
      </c>
      <c r="J26" s="420">
        <f t="shared" si="38"/>
        <v>0</v>
      </c>
      <c r="K26" s="329">
        <f t="shared" si="38"/>
        <v>0</v>
      </c>
      <c r="L26" s="420">
        <v>0</v>
      </c>
      <c r="M26" s="420">
        <f t="shared" si="26"/>
        <v>0</v>
      </c>
      <c r="N26" s="420">
        <f t="shared" si="27"/>
        <v>0</v>
      </c>
      <c r="O26" s="420">
        <f t="shared" si="28"/>
        <v>0</v>
      </c>
      <c r="P26" s="420">
        <f t="shared" si="29"/>
        <v>0</v>
      </c>
      <c r="Q26" s="420">
        <f t="shared" si="30"/>
        <v>0</v>
      </c>
      <c r="R26" s="420">
        <v>0</v>
      </c>
      <c r="S26" s="420">
        <f t="shared" si="31"/>
        <v>0</v>
      </c>
      <c r="T26" s="420">
        <f t="shared" si="31"/>
        <v>0</v>
      </c>
      <c r="U26" s="420">
        <f t="shared" si="31"/>
        <v>0</v>
      </c>
      <c r="V26" s="420">
        <f t="shared" si="31"/>
        <v>0</v>
      </c>
      <c r="W26" s="420">
        <f t="shared" si="31"/>
        <v>0</v>
      </c>
      <c r="X26" s="420">
        <v>0</v>
      </c>
      <c r="Y26" s="420">
        <f t="shared" si="32"/>
        <v>0</v>
      </c>
      <c r="Z26" s="420">
        <f t="shared" si="33"/>
        <v>0</v>
      </c>
      <c r="AA26" s="420">
        <f t="shared" si="34"/>
        <v>0</v>
      </c>
      <c r="AB26" s="420">
        <f t="shared" si="35"/>
        <v>0</v>
      </c>
      <c r="AC26" s="420">
        <f t="shared" ref="AC26:AC31" si="39">+AB26</f>
        <v>0</v>
      </c>
      <c r="AD26" s="421"/>
      <c r="AE26" s="414">
        <f t="shared" si="1"/>
        <v>0</v>
      </c>
      <c r="AF26" s="2905">
        <f t="shared" si="36"/>
        <v>0</v>
      </c>
      <c r="AG26" s="2911">
        <f t="shared" ref="AG26:AG35" si="40">+I26-H26</f>
        <v>0</v>
      </c>
      <c r="AH26" s="415">
        <f t="shared" si="37"/>
        <v>0</v>
      </c>
      <c r="AI26" s="420">
        <f t="shared" si="18"/>
        <v>0</v>
      </c>
      <c r="AJ26" s="1830"/>
    </row>
    <row r="27" spans="1:36" s="424" customFormat="1" ht="21" customHeight="1" thickBot="1">
      <c r="A27" s="1828" t="s">
        <v>15</v>
      </c>
      <c r="B27" s="410" t="s">
        <v>15</v>
      </c>
      <c r="C27" s="426" t="s">
        <v>150</v>
      </c>
      <c r="D27" s="427">
        <v>0</v>
      </c>
      <c r="E27" s="2712">
        <v>0</v>
      </c>
      <c r="F27" s="427">
        <v>0</v>
      </c>
      <c r="G27" s="427">
        <f t="shared" si="38"/>
        <v>0</v>
      </c>
      <c r="H27" s="427">
        <f t="shared" si="38"/>
        <v>0</v>
      </c>
      <c r="I27" s="427">
        <f t="shared" si="38"/>
        <v>0</v>
      </c>
      <c r="J27" s="427">
        <f t="shared" si="38"/>
        <v>0</v>
      </c>
      <c r="K27" s="336">
        <f t="shared" si="38"/>
        <v>0</v>
      </c>
      <c r="L27" s="427">
        <v>0</v>
      </c>
      <c r="M27" s="427">
        <f t="shared" si="26"/>
        <v>0</v>
      </c>
      <c r="N27" s="427">
        <f t="shared" si="27"/>
        <v>0</v>
      </c>
      <c r="O27" s="427">
        <f t="shared" si="28"/>
        <v>0</v>
      </c>
      <c r="P27" s="427">
        <f t="shared" si="29"/>
        <v>0</v>
      </c>
      <c r="Q27" s="427">
        <f t="shared" si="30"/>
        <v>0</v>
      </c>
      <c r="R27" s="427">
        <f>+P27</f>
        <v>0</v>
      </c>
      <c r="S27" s="427">
        <f t="shared" si="31"/>
        <v>0</v>
      </c>
      <c r="T27" s="427">
        <f t="shared" si="31"/>
        <v>0</v>
      </c>
      <c r="U27" s="427">
        <f t="shared" si="31"/>
        <v>0</v>
      </c>
      <c r="V27" s="427">
        <f t="shared" si="31"/>
        <v>0</v>
      </c>
      <c r="W27" s="427">
        <f t="shared" si="31"/>
        <v>0</v>
      </c>
      <c r="X27" s="427">
        <f>+V27</f>
        <v>0</v>
      </c>
      <c r="Y27" s="427">
        <f t="shared" si="32"/>
        <v>0</v>
      </c>
      <c r="Z27" s="427">
        <f t="shared" si="33"/>
        <v>0</v>
      </c>
      <c r="AA27" s="427">
        <f t="shared" si="34"/>
        <v>0</v>
      </c>
      <c r="AB27" s="427">
        <f t="shared" si="35"/>
        <v>0</v>
      </c>
      <c r="AC27" s="427">
        <f t="shared" si="39"/>
        <v>0</v>
      </c>
      <c r="AD27" s="421"/>
      <c r="AE27" s="414">
        <f t="shared" si="1"/>
        <v>0</v>
      </c>
      <c r="AF27" s="2906">
        <f t="shared" si="36"/>
        <v>0</v>
      </c>
      <c r="AG27" s="2911">
        <f t="shared" si="40"/>
        <v>0</v>
      </c>
      <c r="AH27" s="415">
        <f t="shared" si="37"/>
        <v>0</v>
      </c>
      <c r="AI27" s="427">
        <f t="shared" si="18"/>
        <v>0</v>
      </c>
      <c r="AJ27" s="1831"/>
    </row>
    <row r="28" spans="1:36" s="424" customFormat="1" ht="12" customHeight="1" thickBot="1">
      <c r="A28" s="1828"/>
      <c r="B28" s="418" t="s">
        <v>212</v>
      </c>
      <c r="C28" s="419" t="s">
        <v>1280</v>
      </c>
      <c r="D28" s="420">
        <v>0</v>
      </c>
      <c r="E28" s="2711">
        <v>0</v>
      </c>
      <c r="F28" s="420">
        <v>0</v>
      </c>
      <c r="G28" s="420">
        <f t="shared" si="38"/>
        <v>0</v>
      </c>
      <c r="H28" s="420">
        <f t="shared" si="38"/>
        <v>0</v>
      </c>
      <c r="I28" s="420">
        <f t="shared" si="38"/>
        <v>0</v>
      </c>
      <c r="J28" s="420">
        <f t="shared" si="38"/>
        <v>0</v>
      </c>
      <c r="K28" s="329">
        <f t="shared" si="38"/>
        <v>0</v>
      </c>
      <c r="L28" s="420">
        <v>0</v>
      </c>
      <c r="M28" s="420">
        <f t="shared" si="26"/>
        <v>0</v>
      </c>
      <c r="N28" s="420">
        <f t="shared" si="27"/>
        <v>0</v>
      </c>
      <c r="O28" s="420">
        <f t="shared" si="28"/>
        <v>0</v>
      </c>
      <c r="P28" s="420">
        <f t="shared" si="29"/>
        <v>0</v>
      </c>
      <c r="Q28" s="420">
        <f t="shared" si="30"/>
        <v>0</v>
      </c>
      <c r="R28" s="420">
        <f>+F28</f>
        <v>0</v>
      </c>
      <c r="S28" s="420">
        <f>+R28</f>
        <v>0</v>
      </c>
      <c r="T28" s="420">
        <f>+S28</f>
        <v>0</v>
      </c>
      <c r="U28" s="420">
        <f>+T28</f>
        <v>0</v>
      </c>
      <c r="V28" s="420">
        <f>+U28</f>
        <v>0</v>
      </c>
      <c r="W28" s="420">
        <v>0</v>
      </c>
      <c r="X28" s="420">
        <v>0</v>
      </c>
      <c r="Y28" s="420">
        <f t="shared" si="32"/>
        <v>0</v>
      </c>
      <c r="Z28" s="420">
        <f t="shared" si="33"/>
        <v>0</v>
      </c>
      <c r="AA28" s="420">
        <f t="shared" si="34"/>
        <v>0</v>
      </c>
      <c r="AB28" s="420">
        <f t="shared" si="35"/>
        <v>0</v>
      </c>
      <c r="AC28" s="420">
        <f t="shared" si="39"/>
        <v>0</v>
      </c>
      <c r="AD28" s="421"/>
      <c r="AE28" s="414">
        <f t="shared" si="1"/>
        <v>0</v>
      </c>
      <c r="AF28" s="2905">
        <f t="shared" si="36"/>
        <v>0</v>
      </c>
      <c r="AG28" s="2911">
        <f t="shared" si="40"/>
        <v>0</v>
      </c>
      <c r="AH28" s="415">
        <f t="shared" si="37"/>
        <v>0</v>
      </c>
      <c r="AI28" s="420">
        <f t="shared" si="18"/>
        <v>0</v>
      </c>
      <c r="AJ28" s="1830"/>
    </row>
    <row r="29" spans="1:36" s="424" customFormat="1" ht="12" customHeight="1" thickBot="1">
      <c r="A29" s="1832" t="s">
        <v>17</v>
      </c>
      <c r="B29" s="1449" t="s">
        <v>17</v>
      </c>
      <c r="C29" s="426" t="s">
        <v>153</v>
      </c>
      <c r="D29" s="412">
        <v>0</v>
      </c>
      <c r="E29" s="2710">
        <v>0</v>
      </c>
      <c r="F29" s="412">
        <f>0</f>
        <v>0</v>
      </c>
      <c r="G29" s="412">
        <f>+F29</f>
        <v>0</v>
      </c>
      <c r="H29" s="412">
        <f t="shared" si="38"/>
        <v>0</v>
      </c>
      <c r="I29" s="412">
        <f t="shared" si="38"/>
        <v>0</v>
      </c>
      <c r="J29" s="412">
        <f t="shared" si="38"/>
        <v>0</v>
      </c>
      <c r="K29" s="322">
        <v>0</v>
      </c>
      <c r="L29" s="412">
        <v>0</v>
      </c>
      <c r="M29" s="412">
        <f t="shared" si="26"/>
        <v>0</v>
      </c>
      <c r="N29" s="412">
        <f t="shared" si="27"/>
        <v>0</v>
      </c>
      <c r="O29" s="412">
        <f t="shared" si="28"/>
        <v>0</v>
      </c>
      <c r="P29" s="412">
        <f t="shared" si="29"/>
        <v>0</v>
      </c>
      <c r="Q29" s="412">
        <f t="shared" si="30"/>
        <v>0</v>
      </c>
      <c r="R29" s="412">
        <f>+F29</f>
        <v>0</v>
      </c>
      <c r="S29" s="412">
        <f t="shared" ref="S29:W30" si="41">+R29</f>
        <v>0</v>
      </c>
      <c r="T29" s="412">
        <f t="shared" si="41"/>
        <v>0</v>
      </c>
      <c r="U29" s="412">
        <f t="shared" si="41"/>
        <v>0</v>
      </c>
      <c r="V29" s="412">
        <f t="shared" si="41"/>
        <v>0</v>
      </c>
      <c r="W29" s="412">
        <v>0</v>
      </c>
      <c r="X29" s="412">
        <v>0</v>
      </c>
      <c r="Y29" s="412">
        <f t="shared" si="32"/>
        <v>0</v>
      </c>
      <c r="Z29" s="412">
        <f t="shared" si="33"/>
        <v>0</v>
      </c>
      <c r="AA29" s="412">
        <f t="shared" si="34"/>
        <v>0</v>
      </c>
      <c r="AB29" s="412">
        <f t="shared" si="35"/>
        <v>0</v>
      </c>
      <c r="AC29" s="412">
        <f t="shared" si="39"/>
        <v>0</v>
      </c>
      <c r="AD29" s="413"/>
      <c r="AE29" s="414">
        <f t="shared" si="1"/>
        <v>0</v>
      </c>
      <c r="AF29" s="2904">
        <f t="shared" si="36"/>
        <v>0</v>
      </c>
      <c r="AG29" s="2911">
        <f t="shared" si="40"/>
        <v>0</v>
      </c>
      <c r="AH29" s="415">
        <f t="shared" si="37"/>
        <v>0</v>
      </c>
      <c r="AI29" s="412">
        <f t="shared" si="18"/>
        <v>0</v>
      </c>
      <c r="AJ29" s="1829"/>
    </row>
    <row r="30" spans="1:36" s="424" customFormat="1" ht="12" customHeight="1" thickBot="1">
      <c r="A30" s="1832" t="s">
        <v>19</v>
      </c>
      <c r="B30" s="410" t="s">
        <v>19</v>
      </c>
      <c r="C30" s="426" t="s">
        <v>1281</v>
      </c>
      <c r="D30" s="427">
        <v>0</v>
      </c>
      <c r="E30" s="2712">
        <v>0</v>
      </c>
      <c r="F30" s="427">
        <v>0</v>
      </c>
      <c r="G30" s="427">
        <f>+F30</f>
        <v>0</v>
      </c>
      <c r="H30" s="427">
        <f>+G30</f>
        <v>0</v>
      </c>
      <c r="I30" s="427">
        <f>+H30</f>
        <v>0</v>
      </c>
      <c r="J30" s="427">
        <f>+I30</f>
        <v>0</v>
      </c>
      <c r="K30" s="336">
        <f>+J30</f>
        <v>0</v>
      </c>
      <c r="L30" s="427">
        <v>0</v>
      </c>
      <c r="M30" s="427">
        <f t="shared" si="26"/>
        <v>0</v>
      </c>
      <c r="N30" s="427">
        <f t="shared" si="27"/>
        <v>0</v>
      </c>
      <c r="O30" s="427">
        <f t="shared" si="28"/>
        <v>0</v>
      </c>
      <c r="P30" s="427">
        <f t="shared" si="29"/>
        <v>0</v>
      </c>
      <c r="Q30" s="427">
        <f t="shared" si="30"/>
        <v>0</v>
      </c>
      <c r="R30" s="427">
        <v>0</v>
      </c>
      <c r="S30" s="427">
        <f t="shared" si="41"/>
        <v>0</v>
      </c>
      <c r="T30" s="427">
        <f t="shared" si="41"/>
        <v>0</v>
      </c>
      <c r="U30" s="427">
        <f t="shared" si="41"/>
        <v>0</v>
      </c>
      <c r="V30" s="427">
        <f t="shared" si="41"/>
        <v>0</v>
      </c>
      <c r="W30" s="427">
        <f t="shared" si="41"/>
        <v>0</v>
      </c>
      <c r="X30" s="427">
        <v>0</v>
      </c>
      <c r="Y30" s="427">
        <f t="shared" si="32"/>
        <v>0</v>
      </c>
      <c r="Z30" s="427">
        <f t="shared" si="33"/>
        <v>0</v>
      </c>
      <c r="AA30" s="427">
        <f t="shared" si="34"/>
        <v>0</v>
      </c>
      <c r="AB30" s="427">
        <f t="shared" si="35"/>
        <v>0</v>
      </c>
      <c r="AC30" s="427">
        <f t="shared" si="39"/>
        <v>0</v>
      </c>
      <c r="AD30" s="428"/>
      <c r="AE30" s="414">
        <f t="shared" si="1"/>
        <v>0</v>
      </c>
      <c r="AF30" s="2906">
        <f t="shared" si="36"/>
        <v>0</v>
      </c>
      <c r="AG30" s="2911">
        <f t="shared" si="40"/>
        <v>0</v>
      </c>
      <c r="AH30" s="415">
        <f t="shared" si="37"/>
        <v>0</v>
      </c>
      <c r="AI30" s="427">
        <f t="shared" si="18"/>
        <v>0</v>
      </c>
      <c r="AJ30" s="1831"/>
    </row>
    <row r="31" spans="1:36" s="424" customFormat="1" ht="19.5" customHeight="1" thickBot="1">
      <c r="A31" s="1832" t="s">
        <v>21</v>
      </c>
      <c r="B31" s="1449" t="s">
        <v>21</v>
      </c>
      <c r="C31" s="426" t="s">
        <v>393</v>
      </c>
      <c r="D31" s="427">
        <f>'Bev. PMH-nem része a rend-nek'!I14</f>
        <v>150000</v>
      </c>
      <c r="E31" s="2712">
        <f>'Bev. PMH-nem része a rend-nek'!J14</f>
        <v>1624000</v>
      </c>
      <c r="F31" s="427">
        <f>'Bev. PMH-nem része a rend-nek'!K14</f>
        <v>1601500</v>
      </c>
      <c r="G31" s="427">
        <f>'Bev. PMH-nem része a rend-nek'!L14</f>
        <v>1601500</v>
      </c>
      <c r="H31" s="427">
        <f>'Bev. PMH-nem része a rend-nek'!M14</f>
        <v>1601500</v>
      </c>
      <c r="I31" s="427">
        <f>'Bev. PMH-nem része a rend-nek'!N14</f>
        <v>1461551</v>
      </c>
      <c r="J31" s="427">
        <f>'Bev. PMH-nem része a rend-nek'!O14</f>
        <v>1461551</v>
      </c>
      <c r="K31" s="339">
        <f>+'Bev. PMH-nem része a rend-nek'!P14</f>
        <v>1461551</v>
      </c>
      <c r="L31" s="427">
        <v>0</v>
      </c>
      <c r="M31" s="427">
        <f t="shared" si="26"/>
        <v>0</v>
      </c>
      <c r="N31" s="427">
        <f t="shared" si="27"/>
        <v>0</v>
      </c>
      <c r="O31" s="427">
        <f t="shared" si="28"/>
        <v>0</v>
      </c>
      <c r="P31" s="427">
        <f t="shared" si="29"/>
        <v>0</v>
      </c>
      <c r="Q31" s="427">
        <f t="shared" si="30"/>
        <v>0</v>
      </c>
      <c r="R31" s="427">
        <f>+F31</f>
        <v>1601500</v>
      </c>
      <c r="S31" s="427">
        <f>+R31</f>
        <v>1601500</v>
      </c>
      <c r="T31" s="427">
        <f>+S31</f>
        <v>1601500</v>
      </c>
      <c r="U31" s="427">
        <f>+T31-139949</f>
        <v>1461551</v>
      </c>
      <c r="V31" s="427">
        <f>+U31</f>
        <v>1461551</v>
      </c>
      <c r="W31" s="427">
        <f>+K31</f>
        <v>1461551</v>
      </c>
      <c r="X31" s="427">
        <v>0</v>
      </c>
      <c r="Y31" s="427">
        <f t="shared" si="32"/>
        <v>0</v>
      </c>
      <c r="Z31" s="427">
        <f t="shared" si="33"/>
        <v>0</v>
      </c>
      <c r="AA31" s="427">
        <f t="shared" si="34"/>
        <v>0</v>
      </c>
      <c r="AB31" s="427">
        <f t="shared" si="35"/>
        <v>0</v>
      </c>
      <c r="AC31" s="427">
        <f t="shared" si="39"/>
        <v>0</v>
      </c>
      <c r="AD31" s="428"/>
      <c r="AE31" s="414">
        <f t="shared" si="1"/>
        <v>0</v>
      </c>
      <c r="AF31" s="2906">
        <f t="shared" si="36"/>
        <v>0</v>
      </c>
      <c r="AG31" s="2911">
        <f t="shared" si="40"/>
        <v>-139949</v>
      </c>
      <c r="AH31" s="415">
        <f t="shared" si="37"/>
        <v>0</v>
      </c>
      <c r="AI31" s="427">
        <f t="shared" si="18"/>
        <v>1451500</v>
      </c>
      <c r="AJ31" s="1830">
        <f>+K31/I31</f>
        <v>1</v>
      </c>
    </row>
    <row r="32" spans="1:36" s="416" customFormat="1" ht="12" customHeight="1" thickBot="1">
      <c r="A32" s="1832" t="s">
        <v>23</v>
      </c>
      <c r="B32" s="1449" t="s">
        <v>23</v>
      </c>
      <c r="C32" s="426" t="s">
        <v>1282</v>
      </c>
      <c r="D32" s="412">
        <f t="shared" ref="D32:AC32" si="42">+D8+D20+D23+D27+D29+D30+D31</f>
        <v>43436433</v>
      </c>
      <c r="E32" s="2710">
        <f>+E8+E20+E23+E27+E29+E30+E31</f>
        <v>57609185</v>
      </c>
      <c r="F32" s="412">
        <f t="shared" si="42"/>
        <v>13200390</v>
      </c>
      <c r="G32" s="412">
        <f t="shared" si="42"/>
        <v>13200390</v>
      </c>
      <c r="H32" s="412">
        <f t="shared" si="42"/>
        <v>13200390</v>
      </c>
      <c r="I32" s="412">
        <f t="shared" si="42"/>
        <v>12369827</v>
      </c>
      <c r="J32" s="412">
        <f t="shared" si="42"/>
        <v>12369827</v>
      </c>
      <c r="K32" s="322">
        <f t="shared" si="42"/>
        <v>12369827</v>
      </c>
      <c r="L32" s="412">
        <f t="shared" si="42"/>
        <v>0</v>
      </c>
      <c r="M32" s="412">
        <f t="shared" si="42"/>
        <v>0</v>
      </c>
      <c r="N32" s="412">
        <f t="shared" si="42"/>
        <v>0</v>
      </c>
      <c r="O32" s="412">
        <f t="shared" si="42"/>
        <v>0</v>
      </c>
      <c r="P32" s="412">
        <f t="shared" si="42"/>
        <v>0</v>
      </c>
      <c r="Q32" s="412">
        <f t="shared" si="42"/>
        <v>0</v>
      </c>
      <c r="R32" s="412">
        <f t="shared" si="42"/>
        <v>13200390</v>
      </c>
      <c r="S32" s="412">
        <f t="shared" si="42"/>
        <v>13200390</v>
      </c>
      <c r="T32" s="412">
        <f t="shared" si="42"/>
        <v>13200390</v>
      </c>
      <c r="U32" s="412">
        <f t="shared" si="42"/>
        <v>12369827</v>
      </c>
      <c r="V32" s="412">
        <f t="shared" si="42"/>
        <v>12369827</v>
      </c>
      <c r="W32" s="412">
        <f t="shared" si="42"/>
        <v>12369827</v>
      </c>
      <c r="X32" s="412">
        <f t="shared" si="42"/>
        <v>0</v>
      </c>
      <c r="Y32" s="412">
        <f t="shared" si="42"/>
        <v>0</v>
      </c>
      <c r="Z32" s="412">
        <f t="shared" si="42"/>
        <v>0</v>
      </c>
      <c r="AA32" s="412">
        <f t="shared" si="42"/>
        <v>0</v>
      </c>
      <c r="AB32" s="412">
        <f t="shared" si="42"/>
        <v>0</v>
      </c>
      <c r="AC32" s="412">
        <f t="shared" si="42"/>
        <v>0</v>
      </c>
      <c r="AD32" s="413"/>
      <c r="AE32" s="414">
        <f t="shared" si="1"/>
        <v>0</v>
      </c>
      <c r="AF32" s="2904">
        <f>+AF8+AF20+AF23+AF27+AF29+AF30+AF31</f>
        <v>0</v>
      </c>
      <c r="AG32" s="2911">
        <f t="shared" si="40"/>
        <v>-830563</v>
      </c>
      <c r="AH32" s="414">
        <f>+AH8+AH20+AH23+AH27+AH29+AH30+AH31</f>
        <v>0</v>
      </c>
      <c r="AI32" s="412">
        <f t="shared" si="18"/>
        <v>-30236043</v>
      </c>
      <c r="AJ32" s="1829">
        <f>+K32/I32</f>
        <v>1</v>
      </c>
    </row>
    <row r="33" spans="1:36" s="416" customFormat="1" ht="12" customHeight="1" thickBot="1">
      <c r="A33" s="1833" t="s">
        <v>25</v>
      </c>
      <c r="B33" s="1449" t="s">
        <v>25</v>
      </c>
      <c r="C33" s="426" t="s">
        <v>1305</v>
      </c>
      <c r="D33" s="412">
        <f t="shared" ref="D33:AC33" si="43">+D34+D36</f>
        <v>1932313396</v>
      </c>
      <c r="E33" s="2710">
        <f>+E34+E36</f>
        <v>1849410223</v>
      </c>
      <c r="F33" s="412">
        <f t="shared" si="43"/>
        <v>2173158030</v>
      </c>
      <c r="G33" s="412">
        <f t="shared" si="43"/>
        <v>2167471460</v>
      </c>
      <c r="H33" s="412">
        <f t="shared" si="43"/>
        <v>2175452654</v>
      </c>
      <c r="I33" s="412">
        <f t="shared" si="43"/>
        <v>2188872654</v>
      </c>
      <c r="J33" s="412">
        <f t="shared" si="43"/>
        <v>2188872654</v>
      </c>
      <c r="K33" s="322">
        <f t="shared" si="43"/>
        <v>1988350547</v>
      </c>
      <c r="L33" s="412">
        <f t="shared" si="43"/>
        <v>0</v>
      </c>
      <c r="M33" s="412">
        <f t="shared" si="43"/>
        <v>0</v>
      </c>
      <c r="N33" s="412">
        <f t="shared" si="43"/>
        <v>0</v>
      </c>
      <c r="O33" s="412">
        <f t="shared" si="43"/>
        <v>0</v>
      </c>
      <c r="P33" s="412">
        <f t="shared" si="43"/>
        <v>0</v>
      </c>
      <c r="Q33" s="412">
        <f t="shared" si="43"/>
        <v>0</v>
      </c>
      <c r="R33" s="412">
        <f t="shared" si="43"/>
        <v>2169658030</v>
      </c>
      <c r="S33" s="412">
        <f t="shared" si="43"/>
        <v>2163971460</v>
      </c>
      <c r="T33" s="412">
        <f t="shared" si="43"/>
        <v>2169979190</v>
      </c>
      <c r="U33" s="412">
        <f t="shared" si="43"/>
        <v>2186361014</v>
      </c>
      <c r="V33" s="412">
        <f t="shared" si="43"/>
        <v>2186361014</v>
      </c>
      <c r="W33" s="412">
        <f t="shared" si="43"/>
        <v>1985838907</v>
      </c>
      <c r="X33" s="412">
        <f t="shared" si="43"/>
        <v>3500000</v>
      </c>
      <c r="Y33" s="412">
        <f t="shared" si="43"/>
        <v>3500000</v>
      </c>
      <c r="Z33" s="412">
        <f t="shared" si="43"/>
        <v>5473464</v>
      </c>
      <c r="AA33" s="412">
        <f t="shared" si="43"/>
        <v>2511640</v>
      </c>
      <c r="AB33" s="412">
        <f t="shared" si="43"/>
        <v>2511640</v>
      </c>
      <c r="AC33" s="412">
        <f t="shared" si="43"/>
        <v>2511640</v>
      </c>
      <c r="AD33" s="413"/>
      <c r="AE33" s="414">
        <f t="shared" si="1"/>
        <v>-5686570</v>
      </c>
      <c r="AF33" s="2904">
        <f t="shared" ref="AF33:AH34" si="44">+H33-G33</f>
        <v>7981194</v>
      </c>
      <c r="AG33" s="2911">
        <f t="shared" si="40"/>
        <v>13420000</v>
      </c>
      <c r="AH33" s="415">
        <f t="shared" si="44"/>
        <v>0</v>
      </c>
      <c r="AI33" s="412">
        <f t="shared" si="18"/>
        <v>240844634</v>
      </c>
      <c r="AJ33" s="1829">
        <f>+K33/I33</f>
        <v>0.90839023611832281</v>
      </c>
    </row>
    <row r="34" spans="1:36" s="416" customFormat="1" ht="15.75" thickBot="1">
      <c r="A34" s="1828"/>
      <c r="B34" s="1450" t="s">
        <v>1284</v>
      </c>
      <c r="C34" s="429" t="s">
        <v>1285</v>
      </c>
      <c r="D34" s="430">
        <f>+'Bev. PMH-nem része a rend-nek'!I20</f>
        <v>0</v>
      </c>
      <c r="E34" s="2713">
        <f>+'Bev. PMH-nem része a rend-nek'!J20</f>
        <v>38307171</v>
      </c>
      <c r="F34" s="430">
        <f>+'Bev. PMH-nem része a rend-nek'!K20</f>
        <v>0</v>
      </c>
      <c r="G34" s="430">
        <f>+'Bev. PMH-nem része a rend-nek'!L20</f>
        <v>17313430</v>
      </c>
      <c r="H34" s="430">
        <f>+'Bev. PMH-nem része a rend-nek'!M20</f>
        <v>17313430</v>
      </c>
      <c r="I34" s="430">
        <f>+'Bev. PMH-nem része a rend-nek'!N20</f>
        <v>17313430</v>
      </c>
      <c r="J34" s="430">
        <f>+'Bev. PMH-nem része a rend-nek'!O20</f>
        <v>17313430</v>
      </c>
      <c r="K34" s="339">
        <f>+'Bev. PMH-nem része a rend-nek'!P20</f>
        <v>17313430</v>
      </c>
      <c r="L34" s="430">
        <v>0</v>
      </c>
      <c r="M34" s="430">
        <f t="shared" ref="M34:Q36" si="45">+L34</f>
        <v>0</v>
      </c>
      <c r="N34" s="430">
        <f t="shared" si="45"/>
        <v>0</v>
      </c>
      <c r="O34" s="430">
        <f t="shared" si="45"/>
        <v>0</v>
      </c>
      <c r="P34" s="430">
        <f t="shared" si="45"/>
        <v>0</v>
      </c>
      <c r="Q34" s="430">
        <f t="shared" si="45"/>
        <v>0</v>
      </c>
      <c r="R34" s="430">
        <f>+F34</f>
        <v>0</v>
      </c>
      <c r="S34" s="430">
        <f>+R34+17313430</f>
        <v>17313430</v>
      </c>
      <c r="T34" s="430">
        <f t="shared" ref="S34:V36" si="46">+S34</f>
        <v>17313430</v>
      </c>
      <c r="U34" s="430">
        <f t="shared" si="46"/>
        <v>17313430</v>
      </c>
      <c r="V34" s="430">
        <f t="shared" si="46"/>
        <v>17313430</v>
      </c>
      <c r="W34" s="430">
        <f>+V34</f>
        <v>17313430</v>
      </c>
      <c r="X34" s="430">
        <v>0</v>
      </c>
      <c r="Y34" s="430">
        <f>+X34</f>
        <v>0</v>
      </c>
      <c r="Z34" s="430">
        <f t="shared" ref="Y34:AC35" si="47">+Y34</f>
        <v>0</v>
      </c>
      <c r="AA34" s="430">
        <f t="shared" si="47"/>
        <v>0</v>
      </c>
      <c r="AB34" s="430">
        <f t="shared" si="47"/>
        <v>0</v>
      </c>
      <c r="AC34" s="430">
        <f t="shared" si="47"/>
        <v>0</v>
      </c>
      <c r="AD34" s="1584"/>
      <c r="AE34" s="414">
        <f t="shared" si="1"/>
        <v>17313430</v>
      </c>
      <c r="AF34" s="2907">
        <f t="shared" si="44"/>
        <v>0</v>
      </c>
      <c r="AG34" s="2911">
        <f t="shared" si="40"/>
        <v>0</v>
      </c>
      <c r="AH34" s="415">
        <f t="shared" si="44"/>
        <v>0</v>
      </c>
      <c r="AI34" s="430">
        <f t="shared" si="18"/>
        <v>0</v>
      </c>
      <c r="AJ34" s="1834">
        <f>+K34/I34</f>
        <v>1</v>
      </c>
    </row>
    <row r="35" spans="1:36" s="416" customFormat="1" ht="12" customHeight="1" thickBot="1">
      <c r="A35" s="1828"/>
      <c r="B35" s="1450" t="s">
        <v>1286</v>
      </c>
      <c r="C35" s="429" t="s">
        <v>1287</v>
      </c>
      <c r="D35" s="430">
        <v>0</v>
      </c>
      <c r="E35" s="2713">
        <v>0</v>
      </c>
      <c r="F35" s="430">
        <v>0</v>
      </c>
      <c r="G35" s="430">
        <v>0</v>
      </c>
      <c r="H35" s="430">
        <v>0</v>
      </c>
      <c r="I35" s="430"/>
      <c r="J35" s="430"/>
      <c r="K35" s="339">
        <v>0</v>
      </c>
      <c r="L35" s="430">
        <v>0</v>
      </c>
      <c r="M35" s="430">
        <f t="shared" si="45"/>
        <v>0</v>
      </c>
      <c r="N35" s="430">
        <f t="shared" si="45"/>
        <v>0</v>
      </c>
      <c r="O35" s="430">
        <f t="shared" si="45"/>
        <v>0</v>
      </c>
      <c r="P35" s="430">
        <f t="shared" si="45"/>
        <v>0</v>
      </c>
      <c r="Q35" s="430">
        <f t="shared" si="45"/>
        <v>0</v>
      </c>
      <c r="R35" s="430">
        <v>0</v>
      </c>
      <c r="S35" s="430">
        <f t="shared" si="46"/>
        <v>0</v>
      </c>
      <c r="T35" s="430">
        <f t="shared" si="46"/>
        <v>0</v>
      </c>
      <c r="U35" s="430">
        <f t="shared" si="46"/>
        <v>0</v>
      </c>
      <c r="V35" s="430">
        <f t="shared" si="46"/>
        <v>0</v>
      </c>
      <c r="W35" s="430">
        <f>+V35</f>
        <v>0</v>
      </c>
      <c r="X35" s="430">
        <v>0</v>
      </c>
      <c r="Y35" s="430">
        <f t="shared" si="47"/>
        <v>0</v>
      </c>
      <c r="Z35" s="430">
        <f t="shared" si="47"/>
        <v>0</v>
      </c>
      <c r="AA35" s="430">
        <f t="shared" si="47"/>
        <v>0</v>
      </c>
      <c r="AB35" s="430">
        <f t="shared" si="47"/>
        <v>0</v>
      </c>
      <c r="AC35" s="430">
        <f t="shared" si="47"/>
        <v>0</v>
      </c>
      <c r="AD35" s="428"/>
      <c r="AE35" s="414">
        <f t="shared" si="1"/>
        <v>0</v>
      </c>
      <c r="AF35" s="2907"/>
      <c r="AG35" s="2911">
        <f t="shared" si="40"/>
        <v>0</v>
      </c>
      <c r="AH35" s="415"/>
      <c r="AI35" s="430">
        <f t="shared" si="18"/>
        <v>0</v>
      </c>
      <c r="AJ35" s="1834"/>
    </row>
    <row r="36" spans="1:36" s="424" customFormat="1" ht="15.75" thickBot="1">
      <c r="A36" s="1835"/>
      <c r="B36" s="1451" t="s">
        <v>1288</v>
      </c>
      <c r="C36" s="431" t="s">
        <v>1289</v>
      </c>
      <c r="D36" s="432">
        <f>+'Bev. PMH-nem része a rend-nek'!I18+'Bev. PMH-nem része a rend-nek'!I19</f>
        <v>1932313396</v>
      </c>
      <c r="E36" s="2731">
        <f>+'Bev. PMH-nem része a rend-nek'!J18+'Bev. PMH-nem része a rend-nek'!J19</f>
        <v>1811103052</v>
      </c>
      <c r="F36" s="432">
        <f>+'Bev. PMH-nem része a rend-nek'!K18+'Bev. PMH-nem része a rend-nek'!K19</f>
        <v>2173158030</v>
      </c>
      <c r="G36" s="432">
        <f>+'Bev. PMH-nem része a rend-nek'!L18+'Bev. PMH-nem része a rend-nek'!L19</f>
        <v>2150158030</v>
      </c>
      <c r="H36" s="432">
        <f>+'Bev. PMH-nem része a rend-nek'!M18+'Bev. PMH-nem része a rend-nek'!M19</f>
        <v>2158139224</v>
      </c>
      <c r="I36" s="432">
        <f>+'Bev. PMH-nem része a rend-nek'!N18+'Bev. PMH-nem része a rend-nek'!N19</f>
        <v>2171559224</v>
      </c>
      <c r="J36" s="432">
        <f>+'Bev. PMH-nem része a rend-nek'!O18+'Bev. PMH-nem része a rend-nek'!O19</f>
        <v>2171559224</v>
      </c>
      <c r="K36" s="2255">
        <f>+'Bev. PMH-nem része a rend-nek'!P18+'Bev. PMH-nem része a rend-nek'!P19</f>
        <v>1971037117</v>
      </c>
      <c r="L36" s="433">
        <v>0</v>
      </c>
      <c r="M36" s="433">
        <f t="shared" si="45"/>
        <v>0</v>
      </c>
      <c r="N36" s="433">
        <f t="shared" si="45"/>
        <v>0</v>
      </c>
      <c r="O36" s="433">
        <f t="shared" si="45"/>
        <v>0</v>
      </c>
      <c r="P36" s="433">
        <f t="shared" si="45"/>
        <v>0</v>
      </c>
      <c r="Q36" s="433">
        <f t="shared" si="45"/>
        <v>0</v>
      </c>
      <c r="R36" s="433">
        <f>+F36-X36</f>
        <v>2169658030</v>
      </c>
      <c r="S36" s="433">
        <f>+R36-23000000</f>
        <v>2146658030</v>
      </c>
      <c r="T36" s="433">
        <f>+S36-100000+(3101930-2000000)+5005800</f>
        <v>2152665760</v>
      </c>
      <c r="U36" s="433">
        <f>+T36+3500000+1000000+2600000+4320000+4961824</f>
        <v>2169047584</v>
      </c>
      <c r="V36" s="433">
        <f t="shared" si="46"/>
        <v>2169047584</v>
      </c>
      <c r="W36" s="433">
        <f>+K36-AC36</f>
        <v>1968525477</v>
      </c>
      <c r="X36" s="433">
        <f>+'PMH Dologi(alábontás)-nem része'!K77+'PMH Dologi(alábontás)-nem része'!K78+'PMH Dologi(alábontás)-nem része'!K79+'PMH Dologi(alábontás)-nem része'!K80+'PMH Dologi(alábontás)-nem része'!K81+'10. PMH személyi jutt.és jár-ok'!$K$126+'10. PMH személyi jutt.és jár-ok'!$K$129+'10. PMH személyi jutt.és jár-ok'!$K$132+'10. PMH személyi jutt.és jár-ok'!$K$139+'10. PMH személyi jutt.és jár-ok'!$K$142+'10. PMH személyi jutt.és jár-ok'!$K$149</f>
        <v>3500000</v>
      </c>
      <c r="Y36" s="433">
        <f>+'PMH Dologi(alábontás)-nem része'!L77+'PMH Dologi(alábontás)-nem része'!L78+'PMH Dologi(alábontás)-nem része'!L79+'PMH Dologi(alábontás)-nem része'!L80+'PMH Dologi(alábontás)-nem része'!L81+'10. PMH személyi jutt.és jár-ok'!$K$126+'10. PMH személyi jutt.és jár-ok'!$K$129+'10. PMH személyi jutt.és jár-ok'!$K$132+'10. PMH személyi jutt.és jár-ok'!$K$139+'10. PMH személyi jutt.és jár-ok'!$K$142+'10. PMH személyi jutt.és jár-ok'!$K$149</f>
        <v>3500000</v>
      </c>
      <c r="Z36" s="433">
        <f>+'PMH Dologi(alábontás)-nem része'!M77+'PMH Dologi(alábontás)-nem része'!M78+'PMH Dologi(alábontás)-nem része'!M79+'PMH Dologi(alábontás)-nem része'!M80+'PMH Dologi(alábontás)-nem része'!M81+'10. PMH személyi jutt.és jár-ok'!$K$126+'10. PMH személyi jutt.és jár-ok'!$K$129+'10. PMH személyi jutt.és jár-ok'!$K$132+'10. PMH személyi jutt.és jár-ok'!$K$139+'10. PMH személyi jutt.és jár-ok'!$K$142+'10. PMH személyi jutt.és jár-ok'!$K$149</f>
        <v>5473464</v>
      </c>
      <c r="AA36" s="433">
        <f>+'PMH Dologi(alábontás)-nem része'!N77+'PMH Dologi(alábontás)-nem része'!N78+'PMH Dologi(alábontás)-nem része'!N79+'PMH Dologi(alábontás)-nem része'!N80+'PMH Dologi(alábontás)-nem része'!N81+'10. PMH személyi jutt.és jár-ok'!$K$126+'10. PMH személyi jutt.és jár-ok'!$K$129+'10. PMH személyi jutt.és jár-ok'!$K$132+'10. PMH személyi jutt.és jár-ok'!$K$139+'10. PMH személyi jutt.és jár-ok'!$K$142+'10. PMH személyi jutt.és jár-ok'!$K$149-4961824</f>
        <v>2511640</v>
      </c>
      <c r="AB36" s="433">
        <f>+'PMH Dologi(alábontás)-nem része'!O77+'PMH Dologi(alábontás)-nem része'!O78+'PMH Dologi(alábontás)-nem része'!O79+'PMH Dologi(alábontás)-nem része'!O80+'PMH Dologi(alábontás)-nem része'!O81+'10. PMH személyi jutt.és jár-ok'!$K$126+'10. PMH személyi jutt.és jár-ok'!$K$129+'10. PMH személyi jutt.és jár-ok'!$K$132+'10. PMH személyi jutt.és jár-ok'!$K$139+'10. PMH személyi jutt.és jár-ok'!$K$142+'10. PMH személyi jutt.és jár-ok'!$K$149-4961824</f>
        <v>2511640</v>
      </c>
      <c r="AC36" s="433">
        <f>+AC41-AC25</f>
        <v>2511640</v>
      </c>
      <c r="AD36" s="2542"/>
      <c r="AE36" s="2256">
        <f t="shared" si="1"/>
        <v>-23000000</v>
      </c>
      <c r="AF36" s="2908">
        <f t="shared" ref="AF36:AH37" si="48">+H36-G36</f>
        <v>7981194</v>
      </c>
      <c r="AG36" s="3491">
        <f t="shared" si="48"/>
        <v>13420000</v>
      </c>
      <c r="AH36" s="435">
        <f t="shared" si="48"/>
        <v>0</v>
      </c>
      <c r="AI36" s="433">
        <f t="shared" si="18"/>
        <v>240844634</v>
      </c>
      <c r="AJ36" s="1841">
        <f>+K36/I36</f>
        <v>0.90765984883864259</v>
      </c>
    </row>
    <row r="37" spans="1:36" s="424" customFormat="1" ht="15" customHeight="1" thickBot="1">
      <c r="A37" s="2254" t="s">
        <v>27</v>
      </c>
      <c r="B37" s="3498" t="s">
        <v>27</v>
      </c>
      <c r="C37" s="3499" t="s">
        <v>1290</v>
      </c>
      <c r="D37" s="3500">
        <f t="shared" ref="D37:AC37" si="49">+D32+D33</f>
        <v>1975749829</v>
      </c>
      <c r="E37" s="3501">
        <f t="shared" si="49"/>
        <v>1907019408</v>
      </c>
      <c r="F37" s="3500">
        <f t="shared" si="49"/>
        <v>2186358420</v>
      </c>
      <c r="G37" s="3500">
        <f t="shared" si="49"/>
        <v>2180671850</v>
      </c>
      <c r="H37" s="3500">
        <f t="shared" si="49"/>
        <v>2188653044</v>
      </c>
      <c r="I37" s="3500">
        <f t="shared" si="49"/>
        <v>2201242481</v>
      </c>
      <c r="J37" s="3500">
        <f t="shared" si="49"/>
        <v>2201242481</v>
      </c>
      <c r="K37" s="3502">
        <f t="shared" si="49"/>
        <v>2000720374</v>
      </c>
      <c r="L37" s="3500">
        <f t="shared" si="49"/>
        <v>0</v>
      </c>
      <c r="M37" s="3500">
        <f t="shared" si="49"/>
        <v>0</v>
      </c>
      <c r="N37" s="3500">
        <f t="shared" si="49"/>
        <v>0</v>
      </c>
      <c r="O37" s="3500">
        <f t="shared" si="49"/>
        <v>0</v>
      </c>
      <c r="P37" s="3500">
        <f t="shared" si="49"/>
        <v>0</v>
      </c>
      <c r="Q37" s="3500">
        <f t="shared" si="49"/>
        <v>0</v>
      </c>
      <c r="R37" s="3500">
        <f t="shared" si="49"/>
        <v>2182858420</v>
      </c>
      <c r="S37" s="3500">
        <f t="shared" si="49"/>
        <v>2177171850</v>
      </c>
      <c r="T37" s="3500">
        <f t="shared" si="49"/>
        <v>2183179580</v>
      </c>
      <c r="U37" s="3500">
        <f t="shared" si="49"/>
        <v>2198730841</v>
      </c>
      <c r="V37" s="3500">
        <f t="shared" si="49"/>
        <v>2198730841</v>
      </c>
      <c r="W37" s="3500">
        <f t="shared" si="49"/>
        <v>1998208734</v>
      </c>
      <c r="X37" s="3500">
        <f t="shared" si="49"/>
        <v>3500000</v>
      </c>
      <c r="Y37" s="3500">
        <f t="shared" si="49"/>
        <v>3500000</v>
      </c>
      <c r="Z37" s="3500">
        <f t="shared" si="49"/>
        <v>5473464</v>
      </c>
      <c r="AA37" s="3500">
        <f t="shared" si="49"/>
        <v>2511640</v>
      </c>
      <c r="AB37" s="3500">
        <f t="shared" si="49"/>
        <v>2511640</v>
      </c>
      <c r="AC37" s="3500">
        <f t="shared" si="49"/>
        <v>2511640</v>
      </c>
      <c r="AD37" s="3503"/>
      <c r="AE37" s="3504">
        <f t="shared" si="1"/>
        <v>-5686570</v>
      </c>
      <c r="AF37" s="3500">
        <f t="shared" si="48"/>
        <v>7981194</v>
      </c>
      <c r="AG37" s="3504">
        <f t="shared" si="48"/>
        <v>12589437</v>
      </c>
      <c r="AH37" s="3504">
        <f t="shared" si="48"/>
        <v>0</v>
      </c>
      <c r="AI37" s="3500"/>
      <c r="AJ37" s="3505">
        <f>+K37/I37</f>
        <v>0.90890503489242813</v>
      </c>
    </row>
    <row r="38" spans="1:36" s="424" customFormat="1" ht="15" customHeight="1" thickBot="1">
      <c r="A38" s="1836"/>
      <c r="B38" s="3492"/>
      <c r="C38" s="3493"/>
      <c r="D38" s="3494"/>
      <c r="E38" s="3494"/>
      <c r="F38" s="3494"/>
      <c r="G38" s="3494"/>
      <c r="H38" s="3494"/>
      <c r="I38" s="3494"/>
      <c r="J38" s="3494"/>
      <c r="K38" s="3494"/>
      <c r="L38" s="3495"/>
      <c r="M38" s="3495"/>
      <c r="N38" s="3495"/>
      <c r="O38" s="3495"/>
      <c r="P38" s="3495"/>
      <c r="Q38" s="3495"/>
      <c r="R38" s="3495"/>
      <c r="S38" s="3495"/>
      <c r="T38" s="3495"/>
      <c r="U38" s="3495"/>
      <c r="V38" s="3495"/>
      <c r="W38" s="3495"/>
      <c r="X38" s="3495"/>
      <c r="Y38" s="3495"/>
      <c r="Z38" s="3495"/>
      <c r="AA38" s="3495"/>
      <c r="AB38" s="3495"/>
      <c r="AC38" s="3495"/>
      <c r="AD38" s="3496"/>
      <c r="AE38" s="3494"/>
      <c r="AF38" s="3494"/>
      <c r="AG38" s="3494"/>
      <c r="AH38" s="3494"/>
      <c r="AI38" s="3495"/>
      <c r="AJ38" s="3497"/>
    </row>
    <row r="39" spans="1:36" s="1465" customFormat="1" ht="12">
      <c r="A39" s="1837"/>
      <c r="B39" s="1478"/>
      <c r="C39" s="1478" t="str">
        <f>+C4</f>
        <v>A</v>
      </c>
      <c r="D39" s="1478" t="str">
        <f t="shared" ref="D39:AJ39" si="50">+D4</f>
        <v>B</v>
      </c>
      <c r="E39" s="1478" t="str">
        <f t="shared" si="50"/>
        <v>B</v>
      </c>
      <c r="F39" s="1478" t="str">
        <f t="shared" si="50"/>
        <v>B</v>
      </c>
      <c r="G39" s="1478" t="str">
        <f t="shared" si="50"/>
        <v>D</v>
      </c>
      <c r="H39" s="1478" t="str">
        <f t="shared" si="50"/>
        <v>E</v>
      </c>
      <c r="I39" s="1478" t="str">
        <f t="shared" si="50"/>
        <v>C</v>
      </c>
      <c r="J39" s="1478" t="str">
        <f t="shared" si="50"/>
        <v>F</v>
      </c>
      <c r="K39" s="1478" t="str">
        <f t="shared" si="50"/>
        <v>D</v>
      </c>
      <c r="L39" s="1478" t="str">
        <f t="shared" si="50"/>
        <v>E</v>
      </c>
      <c r="M39" s="1478" t="str">
        <f t="shared" si="50"/>
        <v>F</v>
      </c>
      <c r="N39" s="1478" t="str">
        <f t="shared" si="50"/>
        <v>E</v>
      </c>
      <c r="O39" s="1478" t="str">
        <f t="shared" si="50"/>
        <v>E</v>
      </c>
      <c r="P39" s="1478">
        <f t="shared" si="50"/>
        <v>0</v>
      </c>
      <c r="Q39" s="1478" t="str">
        <f t="shared" si="50"/>
        <v>F</v>
      </c>
      <c r="R39" s="1478" t="str">
        <f t="shared" si="50"/>
        <v>E</v>
      </c>
      <c r="S39" s="1478" t="str">
        <f t="shared" si="50"/>
        <v>E</v>
      </c>
      <c r="T39" s="1478" t="str">
        <f t="shared" si="50"/>
        <v>F</v>
      </c>
      <c r="U39" s="1478" t="str">
        <f t="shared" si="50"/>
        <v>G</v>
      </c>
      <c r="V39" s="1478">
        <f t="shared" si="50"/>
        <v>0</v>
      </c>
      <c r="W39" s="1478" t="str">
        <f t="shared" si="50"/>
        <v>H</v>
      </c>
      <c r="X39" s="1478" t="str">
        <f t="shared" si="50"/>
        <v>F</v>
      </c>
      <c r="Y39" s="1478" t="str">
        <f t="shared" si="50"/>
        <v>F</v>
      </c>
      <c r="Z39" s="1478" t="str">
        <f t="shared" si="50"/>
        <v>G</v>
      </c>
      <c r="AA39" s="1478" t="str">
        <f t="shared" si="50"/>
        <v>I</v>
      </c>
      <c r="AB39" s="1478">
        <f t="shared" si="50"/>
        <v>0</v>
      </c>
      <c r="AC39" s="1478" t="str">
        <f t="shared" si="50"/>
        <v>J</v>
      </c>
      <c r="AD39" s="1478"/>
      <c r="AE39" s="1478">
        <f t="shared" si="50"/>
        <v>0</v>
      </c>
      <c r="AF39" s="1478" t="str">
        <f t="shared" si="50"/>
        <v>H</v>
      </c>
      <c r="AG39" s="1478" t="str">
        <f>+AG4</f>
        <v>J</v>
      </c>
      <c r="AH39" s="1478">
        <f t="shared" si="50"/>
        <v>0</v>
      </c>
      <c r="AI39" s="1478">
        <f t="shared" si="50"/>
        <v>0</v>
      </c>
      <c r="AJ39" s="2460" t="str">
        <f t="shared" si="50"/>
        <v>K</v>
      </c>
    </row>
    <row r="40" spans="1:36" s="405" customFormat="1" ht="70.5" customHeight="1" thickBot="1">
      <c r="A40" s="1828"/>
      <c r="B40" s="1462" t="s">
        <v>6</v>
      </c>
      <c r="C40" s="1460" t="str">
        <f>+C5</f>
        <v>Kiemelt előirányzat, előirányzat megnevezése</v>
      </c>
      <c r="D40" s="1460" t="str">
        <f t="shared" ref="D40:AJ40" si="51">+D5</f>
        <v>2024. évi eredeti előirányzat
forintban</v>
      </c>
      <c r="E40" s="2588" t="str">
        <f t="shared" si="51"/>
        <v>2024. évi teljesítés forintban</v>
      </c>
      <c r="F40" s="1460" t="str">
        <f t="shared" si="51"/>
        <v>2025. évi eredeti előirányzat forintban</v>
      </c>
      <c r="G40" s="1460" t="str">
        <f t="shared" si="51"/>
        <v>2025. évi I. számú módosított előirányzat
forintban</v>
      </c>
      <c r="H40" s="1460" t="str">
        <f t="shared" si="51"/>
        <v>2025. évi II. számú módosított előirányzat forintban</v>
      </c>
      <c r="I40" s="1460" t="str">
        <f t="shared" si="51"/>
        <v>2025. évi III. számú módosított előirányzat forintban</v>
      </c>
      <c r="J40" s="1460" t="str">
        <f t="shared" si="51"/>
        <v>2025. évi IV. számú módosított előirányzat forintban</v>
      </c>
      <c r="K40" s="1460" t="str">
        <f t="shared" si="51"/>
        <v>2025. évi
teljesítés forintban</v>
      </c>
      <c r="L40" s="1460" t="str">
        <f t="shared" si="51"/>
        <v>Önként vállalt feladat forintban</v>
      </c>
      <c r="M40" s="1460" t="str">
        <f t="shared" si="51"/>
        <v>Önként vállalt feladat I. módosítás
forintban</v>
      </c>
      <c r="N40" s="1460" t="str">
        <f t="shared" si="51"/>
        <v>Önként vállalt feladat II. módosítás forintban</v>
      </c>
      <c r="O40" s="1460" t="str">
        <f t="shared" si="51"/>
        <v>Önként vállalt feladat III. módosítás forintban</v>
      </c>
      <c r="P40" s="1460" t="str">
        <f t="shared" si="51"/>
        <v>Önként vállalt feladat IV. módosítás  forintban</v>
      </c>
      <c r="Q40" s="1460" t="str">
        <f t="shared" si="51"/>
        <v>Önként vállalt teljesítés  forintban</v>
      </c>
      <c r="R40" s="1460" t="str">
        <f t="shared" si="51"/>
        <v>Kötelező feladat forintban</v>
      </c>
      <c r="S40" s="1460" t="str">
        <f t="shared" si="51"/>
        <v>Kötelező feladat 
I. módosítás
forintban</v>
      </c>
      <c r="T40" s="1460" t="str">
        <f t="shared" si="51"/>
        <v>Kötelező feladat II. módosítás forintban</v>
      </c>
      <c r="U40" s="1460" t="str">
        <f t="shared" si="51"/>
        <v>Kötelező feladat III. módosítás  forintban</v>
      </c>
      <c r="V40" s="1460" t="str">
        <f t="shared" si="51"/>
        <v>Kötelező feladat IV. módosítás  forintban</v>
      </c>
      <c r="W40" s="1460" t="str">
        <f t="shared" si="51"/>
        <v>Kötelező teljesítés  forintban</v>
      </c>
      <c r="X40" s="1460" t="str">
        <f t="shared" si="51"/>
        <v>Állam-igazgatási feladat forintban</v>
      </c>
      <c r="Y40" s="1460" t="str">
        <f t="shared" si="51"/>
        <v>Államigazgatási feladat 
I. módosítás
forintban</v>
      </c>
      <c r="Z40" s="1460" t="str">
        <f t="shared" si="51"/>
        <v>Államigazga-tási feladat II. módosítás forintban</v>
      </c>
      <c r="AA40" s="1460" t="str">
        <f t="shared" si="51"/>
        <v>Államigazga-tási feladat III. módosítás  forintban</v>
      </c>
      <c r="AB40" s="1460" t="str">
        <f t="shared" si="51"/>
        <v>Államigazga-tási feladat IV. módosítás  forintban</v>
      </c>
      <c r="AC40" s="1460" t="str">
        <f t="shared" si="51"/>
        <v>Államigazgatási teljesítés  forintban</v>
      </c>
      <c r="AD40" s="1460"/>
      <c r="AE40" s="1460" t="str">
        <f t="shared" si="51"/>
        <v>I. változás</v>
      </c>
      <c r="AF40" s="1460" t="str">
        <f t="shared" si="51"/>
        <v>Előirányzat-módosítások, előirányzat-átcsoportosítások összegszerű változásai</v>
      </c>
      <c r="AG40" s="3096" t="str">
        <f t="shared" si="51"/>
        <v>Előirányzat-módosítások, előirányzat-átcsoportosítások összegszerű változásai a III. módosításnál</v>
      </c>
      <c r="AH40" s="1460" t="str">
        <f t="shared" si="51"/>
        <v>IV. változás</v>
      </c>
      <c r="AI40" s="1460" t="str">
        <f t="shared" si="51"/>
        <v>Változás Eredeti előző évhez 
Ft-ban</v>
      </c>
      <c r="AJ40" s="1839" t="str">
        <f t="shared" si="51"/>
        <v xml:space="preserve"> 2025. évi teljesítés / 2025. évi III. számú módosított előirányzat</v>
      </c>
    </row>
    <row r="41" spans="1:36" s="439" customFormat="1" ht="12" customHeight="1" thickBot="1">
      <c r="A41" s="1832" t="s">
        <v>6</v>
      </c>
      <c r="B41" s="1452" t="s">
        <v>3353</v>
      </c>
      <c r="C41" s="426" t="s">
        <v>1291</v>
      </c>
      <c r="D41" s="412">
        <f t="shared" ref="D41:AC41" si="52">SUM(D42:D46)</f>
        <v>1975749829</v>
      </c>
      <c r="E41" s="2710">
        <f t="shared" si="52"/>
        <v>1889629738</v>
      </c>
      <c r="F41" s="412">
        <f t="shared" si="52"/>
        <v>2186358420</v>
      </c>
      <c r="G41" s="412">
        <f t="shared" si="52"/>
        <v>2180671850</v>
      </c>
      <c r="H41" s="412">
        <f t="shared" si="52"/>
        <v>2188653044</v>
      </c>
      <c r="I41" s="412">
        <f t="shared" si="52"/>
        <v>2201242481</v>
      </c>
      <c r="J41" s="412">
        <f t="shared" si="52"/>
        <v>2201242481</v>
      </c>
      <c r="K41" s="322">
        <f t="shared" si="52"/>
        <v>1996580979</v>
      </c>
      <c r="L41" s="412">
        <f t="shared" si="52"/>
        <v>0</v>
      </c>
      <c r="M41" s="412">
        <f t="shared" si="52"/>
        <v>0</v>
      </c>
      <c r="N41" s="412">
        <f t="shared" si="52"/>
        <v>0</v>
      </c>
      <c r="O41" s="412">
        <f t="shared" si="52"/>
        <v>0</v>
      </c>
      <c r="P41" s="412">
        <f t="shared" si="52"/>
        <v>0</v>
      </c>
      <c r="Q41" s="412">
        <f t="shared" si="52"/>
        <v>0</v>
      </c>
      <c r="R41" s="412">
        <f t="shared" si="52"/>
        <v>2182858420</v>
      </c>
      <c r="S41" s="412">
        <f t="shared" si="52"/>
        <v>2177171850</v>
      </c>
      <c r="T41" s="412">
        <f t="shared" si="52"/>
        <v>2183179580</v>
      </c>
      <c r="U41" s="412">
        <f t="shared" si="52"/>
        <v>2198730841</v>
      </c>
      <c r="V41" s="412">
        <f t="shared" si="52"/>
        <v>2198730841</v>
      </c>
      <c r="W41" s="412">
        <f t="shared" si="52"/>
        <v>1994069339</v>
      </c>
      <c r="X41" s="412">
        <f t="shared" si="52"/>
        <v>3500000</v>
      </c>
      <c r="Y41" s="412">
        <f t="shared" si="52"/>
        <v>3500000</v>
      </c>
      <c r="Z41" s="427">
        <f t="shared" si="52"/>
        <v>5473464</v>
      </c>
      <c r="AA41" s="412">
        <f t="shared" si="52"/>
        <v>2511640</v>
      </c>
      <c r="AB41" s="412">
        <f t="shared" si="52"/>
        <v>2511640</v>
      </c>
      <c r="AC41" s="412">
        <f t="shared" si="52"/>
        <v>2511640</v>
      </c>
      <c r="AD41" s="434"/>
      <c r="AE41" s="414">
        <f t="shared" ref="AE41:AE55" si="53">+G41-F41</f>
        <v>-5686570</v>
      </c>
      <c r="AF41" s="412">
        <f t="shared" ref="AF41:AF55" si="54">+H41-G41</f>
        <v>7981194</v>
      </c>
      <c r="AG41" s="2913">
        <f t="shared" ref="AG41:AG55" si="55">+I41-H41</f>
        <v>12589437</v>
      </c>
      <c r="AH41" s="415">
        <f t="shared" ref="AH41:AH55" si="56">+J41-I41</f>
        <v>0</v>
      </c>
      <c r="AI41" s="412">
        <f t="shared" si="18"/>
        <v>210608591</v>
      </c>
      <c r="AJ41" s="1829">
        <f t="shared" ref="AJ41:AJ54" si="57">+K41/I41</f>
        <v>0.90702455373883906</v>
      </c>
    </row>
    <row r="42" spans="1:36" ht="13.5" thickBot="1">
      <c r="A42" s="1832"/>
      <c r="B42" s="1453" t="s">
        <v>176</v>
      </c>
      <c r="C42" s="419" t="s">
        <v>147</v>
      </c>
      <c r="D42" s="430">
        <f>+'10. PMH személyi jutt.és jár-ok'!I75+'10. PMH személyi jutt.és jár-ok'!I134+'10. PMH személyi jutt.és jár-ok'!I171</f>
        <v>1565153100</v>
      </c>
      <c r="E42" s="2713">
        <f>+'10. PMH személyi jutt.és jár-ok'!J75+'10. PMH személyi jutt.és jár-ok'!J134+'10. PMH személyi jutt.és jár-ok'!J171</f>
        <v>1542417258</v>
      </c>
      <c r="F42" s="430">
        <f>+'10. PMH személyi jutt.és jár-ok'!K75+'10. PMH személyi jutt.és jár-ok'!K134+'10. PMH személyi jutt.és jár-ok'!K171</f>
        <v>1773975621</v>
      </c>
      <c r="G42" s="430">
        <f>+'10. PMH személyi jutt.és jár-ok'!L75+'10. PMH személyi jutt.és jár-ok'!L134+'10. PMH személyi jutt.és jár-ok'!L171</f>
        <v>1774035772</v>
      </c>
      <c r="H42" s="430">
        <f>+'10. PMH személyi jutt.és jár-ok'!M75+'10. PMH személyi jutt.és jár-ok'!M134+'10. PMH személyi jutt.és jár-ok'!M171</f>
        <v>1784640366</v>
      </c>
      <c r="I42" s="430">
        <f>+'10. PMH személyi jutt.és jár-ok'!N75+'10. PMH személyi jutt.és jár-ok'!N134+'10. PMH személyi jutt.és jár-ok'!N171</f>
        <v>1793482466</v>
      </c>
      <c r="J42" s="430">
        <f>+'10. PMH személyi jutt.és jár-ok'!O75+'10. PMH személyi jutt.és jár-ok'!O134+'10. PMH személyi jutt.és jár-ok'!O171</f>
        <v>1793482466</v>
      </c>
      <c r="K42" s="1349">
        <f>+'10. PMH személyi jutt.és jár-ok'!P75+'10. PMH személyi jutt.és jár-ok'!P134+'10. PMH személyi jutt.és jár-ok'!P171</f>
        <v>1644445999</v>
      </c>
      <c r="L42" s="430">
        <v>0</v>
      </c>
      <c r="M42" s="430">
        <f t="shared" ref="M42:Q46" si="58">+L42</f>
        <v>0</v>
      </c>
      <c r="N42" s="430">
        <f t="shared" si="58"/>
        <v>0</v>
      </c>
      <c r="O42" s="430">
        <f t="shared" si="58"/>
        <v>0</v>
      </c>
      <c r="P42" s="430">
        <f t="shared" si="58"/>
        <v>0</v>
      </c>
      <c r="Q42" s="430">
        <f t="shared" si="58"/>
        <v>0</v>
      </c>
      <c r="R42" s="430">
        <f>+F42-X42</f>
        <v>1773975621</v>
      </c>
      <c r="S42" s="430">
        <f>+R42+60151</f>
        <v>1774035772</v>
      </c>
      <c r="T42" s="430">
        <f>+S42+1754142+344652+5000000-1500000+5005800</f>
        <v>1784640366</v>
      </c>
      <c r="U42" s="430">
        <f>+T42+2600000+4320000+800000+1122100</f>
        <v>1793482466</v>
      </c>
      <c r="V42" s="430">
        <f t="shared" ref="S42:V46" si="59">+U42</f>
        <v>1793482466</v>
      </c>
      <c r="W42" s="430">
        <f>+K42-AC42</f>
        <v>1644445999</v>
      </c>
      <c r="X42" s="430">
        <f>+'10. PMH személyi jutt.és jár-ok'!K134</f>
        <v>0</v>
      </c>
      <c r="Y42" s="430">
        <f>+'10. PMH személyi jutt.és jár-ok'!L134</f>
        <v>0</v>
      </c>
      <c r="Z42" s="430">
        <f>+'10. PMH személyi jutt.és jár-ok'!M134</f>
        <v>0</v>
      </c>
      <c r="AA42" s="430">
        <f>+'10. PMH személyi jutt.és jár-ok'!N134</f>
        <v>0</v>
      </c>
      <c r="AB42" s="430">
        <f>+'10. PMH személyi jutt.és jár-ok'!O134</f>
        <v>0</v>
      </c>
      <c r="AC42" s="430"/>
      <c r="AD42" s="1021"/>
      <c r="AE42" s="414">
        <f t="shared" si="53"/>
        <v>60151</v>
      </c>
      <c r="AF42" s="430">
        <f t="shared" si="54"/>
        <v>10604594</v>
      </c>
      <c r="AG42" s="2912">
        <f t="shared" si="55"/>
        <v>8842100</v>
      </c>
      <c r="AH42" s="415">
        <f t="shared" si="56"/>
        <v>0</v>
      </c>
      <c r="AI42" s="430">
        <f t="shared" si="18"/>
        <v>208822521</v>
      </c>
      <c r="AJ42" s="1834">
        <f t="shared" si="57"/>
        <v>0.91690107384635</v>
      </c>
    </row>
    <row r="43" spans="1:36" ht="13.5" thickBot="1">
      <c r="A43" s="1832"/>
      <c r="B43" s="1453" t="s">
        <v>178</v>
      </c>
      <c r="C43" s="419" t="s">
        <v>8</v>
      </c>
      <c r="D43" s="430">
        <f>+'10. PMH személyi jutt.és jár-ok'!I113+'10. PMH személyi jutt.és jár-ok'!I144+'10. PMH személyi jutt.és jár-ok'!I181</f>
        <v>229709350</v>
      </c>
      <c r="E43" s="2713">
        <f>+'10. PMH személyi jutt.és jár-ok'!J113+'10. PMH személyi jutt.és jár-ok'!J144+'10. PMH személyi jutt.és jár-ok'!J181</f>
        <v>219695774</v>
      </c>
      <c r="F43" s="430">
        <f>+'10. PMH személyi jutt.és jár-ok'!K113+'10. PMH személyi jutt.és jár-ok'!K144+'10. PMH személyi jutt.és jár-ok'!K181</f>
        <v>258299739</v>
      </c>
      <c r="G43" s="430">
        <f>+'10. PMH személyi jutt.és jár-ok'!L113+'10. PMH személyi jutt.és jár-ok'!L144+'10. PMH személyi jutt.és jár-ok'!L181</f>
        <v>258299739</v>
      </c>
      <c r="H43" s="430">
        <f>+'10. PMH személyi jutt.és jár-ok'!M113+'10. PMH személyi jutt.és jár-ok'!M144+'10. PMH személyi jutt.és jár-ok'!M181</f>
        <v>259799739</v>
      </c>
      <c r="I43" s="430">
        <f>+'10. PMH személyi jutt.és jár-ok'!N113+'10. PMH személyi jutt.és jár-ok'!N144+'10. PMH személyi jutt.és jár-ok'!N181</f>
        <v>258677639</v>
      </c>
      <c r="J43" s="430">
        <f>+'10. PMH személyi jutt.és jár-ok'!O113+'10. PMH személyi jutt.és jár-ok'!O144+'10. PMH személyi jutt.és jár-ok'!O181</f>
        <v>258677639</v>
      </c>
      <c r="K43" s="1349">
        <f>+'10. PMH személyi jutt.és jár-ok'!P113+'10. PMH személyi jutt.és jár-ok'!P144+'10. PMH személyi jutt.és jár-ok'!P181</f>
        <v>234392917</v>
      </c>
      <c r="L43" s="430">
        <v>0</v>
      </c>
      <c r="M43" s="430">
        <f t="shared" si="58"/>
        <v>0</v>
      </c>
      <c r="N43" s="430">
        <f t="shared" si="58"/>
        <v>0</v>
      </c>
      <c r="O43" s="430">
        <f t="shared" si="58"/>
        <v>0</v>
      </c>
      <c r="P43" s="430">
        <f t="shared" si="58"/>
        <v>0</v>
      </c>
      <c r="Q43" s="430">
        <f t="shared" si="58"/>
        <v>0</v>
      </c>
      <c r="R43" s="430">
        <f>+F43-X43</f>
        <v>258299739</v>
      </c>
      <c r="S43" s="430">
        <f>+R43</f>
        <v>258299739</v>
      </c>
      <c r="T43" s="430">
        <f>+S43+1500000</f>
        <v>259799739</v>
      </c>
      <c r="U43" s="430">
        <f>+T43-1122100</f>
        <v>258677639</v>
      </c>
      <c r="V43" s="430">
        <f t="shared" si="59"/>
        <v>258677639</v>
      </c>
      <c r="W43" s="430">
        <f>+K43-AC43</f>
        <v>234392917</v>
      </c>
      <c r="X43" s="430">
        <f>+'10. PMH személyi jutt.és jár-ok'!K144</f>
        <v>0</v>
      </c>
      <c r="Y43" s="430">
        <f>+'10. PMH személyi jutt.és jár-ok'!L144</f>
        <v>0</v>
      </c>
      <c r="Z43" s="430">
        <f>+'10. PMH személyi jutt.és jár-ok'!M144</f>
        <v>0</v>
      </c>
      <c r="AA43" s="430">
        <f>+'10. PMH személyi jutt.és jár-ok'!N144</f>
        <v>0</v>
      </c>
      <c r="AB43" s="430">
        <f>+'10. PMH személyi jutt.és jár-ok'!O144</f>
        <v>0</v>
      </c>
      <c r="AC43" s="430"/>
      <c r="AD43" s="1021"/>
      <c r="AE43" s="414">
        <f t="shared" si="53"/>
        <v>0</v>
      </c>
      <c r="AF43" s="430">
        <f t="shared" si="54"/>
        <v>1500000</v>
      </c>
      <c r="AG43" s="2912">
        <f t="shared" si="55"/>
        <v>-1122100</v>
      </c>
      <c r="AH43" s="415">
        <f t="shared" si="56"/>
        <v>0</v>
      </c>
      <c r="AI43" s="430">
        <f t="shared" si="18"/>
        <v>28590389</v>
      </c>
      <c r="AJ43" s="1834">
        <f t="shared" si="57"/>
        <v>0.90611974775291648</v>
      </c>
    </row>
    <row r="44" spans="1:36" ht="13.5" thickBot="1">
      <c r="A44" s="1832"/>
      <c r="B44" s="1453" t="s">
        <v>179</v>
      </c>
      <c r="C44" s="419" t="s">
        <v>317</v>
      </c>
      <c r="D44" s="430">
        <f>+'11.mell. PMH Dologi'!I89+'10. PMH személyi jutt.és jár-ok'!I148+'10. PMH személyi jutt.és jár-ok'!I149+'10. PMH személyi jutt.és jár-ok'!I185+'10. PMH személyi jutt.és jár-ok'!I186</f>
        <v>180887379</v>
      </c>
      <c r="E44" s="2713">
        <f>+'11.mell. PMH Dologi'!J89+'10. PMH személyi jutt.és jár-ok'!J148+'10. PMH személyi jutt.és jár-ok'!J149+'10. PMH személyi jutt.és jár-ok'!J185+'10. PMH személyi jutt.és jár-ok'!J186</f>
        <v>127516706</v>
      </c>
      <c r="F44" s="430">
        <f>+'11.mell. PMH Dologi'!K89+'10. PMH személyi jutt.és jár-ok'!K148+'10. PMH személyi jutt.és jár-ok'!K149+'10. PMH személyi jutt.és jár-ok'!K185+'10. PMH személyi jutt.és jár-ok'!K186</f>
        <v>154083060</v>
      </c>
      <c r="G44" s="430">
        <f>+'11.mell. PMH Dologi'!L89+'10. PMH személyi jutt.és jár-ok'!L148+'10. PMH személyi jutt.és jár-ok'!L149+'10. PMH személyi jutt.és jár-ok'!L185+'10. PMH személyi jutt.és jár-ok'!L186</f>
        <v>132977236</v>
      </c>
      <c r="H44" s="430">
        <f>+'11.mell. PMH Dologi'!M89+'10. PMH személyi jutt.és jár-ok'!M148+'10. PMH személyi jutt.és jár-ok'!M149+'10. PMH személyi jutt.és jár-ok'!M185+'10. PMH személyi jutt.és jár-ok'!M186</f>
        <v>128853836</v>
      </c>
      <c r="I44" s="430">
        <f>+'11.mell. PMH Dologi'!N89+'10. PMH személyi jutt.és jár-ok'!N148+'10. PMH személyi jutt.és jár-ok'!N149+'10. PMH személyi jutt.és jár-ok'!N185+'10. PMH személyi jutt.és jár-ok'!N186</f>
        <v>133723273</v>
      </c>
      <c r="J44" s="430">
        <f>+'11.mell. PMH Dologi'!O89+'10. PMH személyi jutt.és jár-ok'!O148+'10. PMH személyi jutt.és jár-ok'!O149+'10. PMH személyi jutt.és jár-ok'!O185+'10. PMH személyi jutt.és jár-ok'!O186</f>
        <v>133723273</v>
      </c>
      <c r="K44" s="1349">
        <f>+'11.mell. PMH Dologi'!P89+'10. PMH személyi jutt.és jár-ok'!P148+'10. PMH személyi jutt.és jár-ok'!P149+'10. PMH személyi jutt.és jár-ok'!P185+'10. PMH személyi jutt.és jár-ok'!P186</f>
        <v>102382960</v>
      </c>
      <c r="L44" s="430">
        <v>0</v>
      </c>
      <c r="M44" s="430">
        <f t="shared" si="58"/>
        <v>0</v>
      </c>
      <c r="N44" s="430">
        <f t="shared" si="58"/>
        <v>0</v>
      </c>
      <c r="O44" s="430">
        <f t="shared" si="58"/>
        <v>0</v>
      </c>
      <c r="P44" s="430">
        <f t="shared" si="58"/>
        <v>0</v>
      </c>
      <c r="Q44" s="430">
        <f t="shared" si="58"/>
        <v>0</v>
      </c>
      <c r="R44" s="430">
        <f>+F44-X44</f>
        <v>150583060</v>
      </c>
      <c r="S44" s="430">
        <f>+R44-23000000-60151+1954327</f>
        <v>129477236</v>
      </c>
      <c r="T44" s="430">
        <f>+S44-1754142-344652-5000000-100000+(3101930-2000000)</f>
        <v>123380372</v>
      </c>
      <c r="U44" s="430">
        <f>+T44+3500000+1000000-800000-830563+4961824</f>
        <v>131211633</v>
      </c>
      <c r="V44" s="430">
        <f t="shared" si="59"/>
        <v>131211633</v>
      </c>
      <c r="W44" s="430">
        <f>+K44-AC44</f>
        <v>99871320</v>
      </c>
      <c r="X44" s="430">
        <f>'PMH Dologi(alábontás)-nem része'!K77+'PMH Dologi(alábontás)-nem része'!K78+'PMH Dologi(alábontás)-nem része'!K79+'PMH Dologi(alábontás)-nem része'!K80+'PMH Dologi(alábontás)-nem része'!K81+'10. PMH személyi jutt.és jár-ok'!K148+'10. PMH személyi jutt.és jár-ok'!K149</f>
        <v>3500000</v>
      </c>
      <c r="Y44" s="430">
        <f>'PMH Dologi(alábontás)-nem része'!L77+'PMH Dologi(alábontás)-nem része'!L78+'PMH Dologi(alábontás)-nem része'!L79+'PMH Dologi(alábontás)-nem része'!L80+'PMH Dologi(alábontás)-nem része'!L81+'10. PMH személyi jutt.és jár-ok'!L148+'10. PMH személyi jutt.és jár-ok'!L149</f>
        <v>3500000</v>
      </c>
      <c r="Z44" s="430">
        <f>'PMH Dologi(alábontás)-nem része'!M77+'PMH Dologi(alábontás)-nem része'!M78+'PMH Dologi(alábontás)-nem része'!M79+'PMH Dologi(alábontás)-nem része'!M80+'PMH Dologi(alábontás)-nem része'!M81+'10. PMH személyi jutt.és jár-ok'!M148+'10. PMH személyi jutt.és jár-ok'!M149</f>
        <v>5473464</v>
      </c>
      <c r="AA44" s="430">
        <f>'PMH Dologi(alábontás)-nem része'!N77+'PMH Dologi(alábontás)-nem része'!N78+'PMH Dologi(alábontás)-nem része'!N79+'PMH Dologi(alábontás)-nem része'!N80+'PMH Dologi(alábontás)-nem része'!N81+'10. PMH személyi jutt.és jár-ok'!N148+'10. PMH személyi jutt.és jár-ok'!N149-4961824</f>
        <v>2511640</v>
      </c>
      <c r="AB44" s="430">
        <f>'PMH Dologi(alábontás)-nem része'!O77+'PMH Dologi(alábontás)-nem része'!O78+'PMH Dologi(alábontás)-nem része'!O79+'PMH Dologi(alábontás)-nem része'!O80+'PMH Dologi(alábontás)-nem része'!O81+'10. PMH személyi jutt.és jár-ok'!O148+'10. PMH személyi jutt.és jár-ok'!O149-4961824</f>
        <v>2511640</v>
      </c>
      <c r="AC44" s="430">
        <f>'PMH Dologi(alábontás)-nem része'!P77+'PMH Dologi(alábontás)-nem része'!P78+'PMH Dologi(alábontás)-nem része'!P79+'PMH Dologi(alábontás)-nem része'!P80+'PMH Dologi(alábontás)-nem része'!P81+'10. PMH személyi jutt.és jár-ok'!P148+'10. PMH személyi jutt.és jár-ok'!P149</f>
        <v>2511640</v>
      </c>
      <c r="AD44" s="1021"/>
      <c r="AE44" s="414">
        <f t="shared" si="53"/>
        <v>-21105824</v>
      </c>
      <c r="AF44" s="430">
        <f t="shared" si="54"/>
        <v>-4123400</v>
      </c>
      <c r="AG44" s="2912">
        <f t="shared" si="55"/>
        <v>4869437</v>
      </c>
      <c r="AH44" s="415">
        <f t="shared" si="56"/>
        <v>0</v>
      </c>
      <c r="AI44" s="430">
        <f t="shared" si="18"/>
        <v>-26804319</v>
      </c>
      <c r="AJ44" s="1834">
        <f t="shared" si="57"/>
        <v>0.76563306972003298</v>
      </c>
    </row>
    <row r="45" spans="1:36" ht="12" customHeight="1" thickBot="1">
      <c r="A45" s="1832"/>
      <c r="B45" s="1453" t="s">
        <v>180</v>
      </c>
      <c r="C45" s="419" t="s">
        <v>318</v>
      </c>
      <c r="D45" s="430">
        <v>0</v>
      </c>
      <c r="E45" s="2713">
        <v>0</v>
      </c>
      <c r="F45" s="430">
        <v>0</v>
      </c>
      <c r="G45" s="430">
        <f>+F45</f>
        <v>0</v>
      </c>
      <c r="H45" s="430">
        <f>+G45</f>
        <v>0</v>
      </c>
      <c r="I45" s="430">
        <f>+H45</f>
        <v>0</v>
      </c>
      <c r="J45" s="430">
        <f>+I45</f>
        <v>0</v>
      </c>
      <c r="K45" s="339">
        <f>+J45</f>
        <v>0</v>
      </c>
      <c r="L45" s="430">
        <v>0</v>
      </c>
      <c r="M45" s="430">
        <f t="shared" si="58"/>
        <v>0</v>
      </c>
      <c r="N45" s="430">
        <f t="shared" si="58"/>
        <v>0</v>
      </c>
      <c r="O45" s="430">
        <f t="shared" si="58"/>
        <v>0</v>
      </c>
      <c r="P45" s="430">
        <f t="shared" si="58"/>
        <v>0</v>
      </c>
      <c r="Q45" s="430">
        <f t="shared" si="58"/>
        <v>0</v>
      </c>
      <c r="R45" s="430">
        <v>0</v>
      </c>
      <c r="S45" s="430">
        <f t="shared" si="59"/>
        <v>0</v>
      </c>
      <c r="T45" s="430">
        <f t="shared" si="59"/>
        <v>0</v>
      </c>
      <c r="U45" s="430">
        <f t="shared" si="59"/>
        <v>0</v>
      </c>
      <c r="V45" s="430">
        <f t="shared" si="59"/>
        <v>0</v>
      </c>
      <c r="W45" s="430">
        <f>+V45</f>
        <v>0</v>
      </c>
      <c r="X45" s="430">
        <v>0</v>
      </c>
      <c r="Y45" s="430">
        <f t="shared" ref="Y45:AB46" si="60">+X45</f>
        <v>0</v>
      </c>
      <c r="Z45" s="430">
        <f t="shared" si="60"/>
        <v>0</v>
      </c>
      <c r="AA45" s="430">
        <f t="shared" si="60"/>
        <v>0</v>
      </c>
      <c r="AB45" s="430">
        <f t="shared" si="60"/>
        <v>0</v>
      </c>
      <c r="AC45" s="430">
        <f>+AB45</f>
        <v>0</v>
      </c>
      <c r="AD45" s="428"/>
      <c r="AE45" s="414">
        <f t="shared" si="53"/>
        <v>0</v>
      </c>
      <c r="AF45" s="430">
        <f t="shared" si="54"/>
        <v>0</v>
      </c>
      <c r="AG45" s="2912">
        <f t="shared" si="55"/>
        <v>0</v>
      </c>
      <c r="AH45" s="415">
        <f t="shared" si="56"/>
        <v>0</v>
      </c>
      <c r="AI45" s="430">
        <f t="shared" si="18"/>
        <v>0</v>
      </c>
      <c r="AJ45" s="1834"/>
    </row>
    <row r="46" spans="1:36" ht="13.5" thickBot="1">
      <c r="A46" s="1832"/>
      <c r="B46" s="1453" t="s">
        <v>181</v>
      </c>
      <c r="C46" s="429" t="s">
        <v>3319</v>
      </c>
      <c r="D46" s="430">
        <f>+'PMH Dologi(alábontás)-nem része'!I133</f>
        <v>0</v>
      </c>
      <c r="E46" s="2713">
        <f>+'PMH Dologi(alábontás)-nem része'!J133</f>
        <v>0</v>
      </c>
      <c r="F46" s="430">
        <f>+'PMH Dologi(alábontás)-nem része'!K133</f>
        <v>0</v>
      </c>
      <c r="G46" s="430">
        <f>+'PMH Dologi(alábontás)-nem része'!L133</f>
        <v>15359103</v>
      </c>
      <c r="H46" s="430">
        <f>+'PMH Dologi(alábontás)-nem része'!M133</f>
        <v>15359103</v>
      </c>
      <c r="I46" s="430">
        <f>+'PMH Dologi(alábontás)-nem része'!N133</f>
        <v>15359103</v>
      </c>
      <c r="J46" s="430">
        <f>+'PMH Dologi(alábontás)-nem része'!O133</f>
        <v>15359103</v>
      </c>
      <c r="K46" s="339">
        <f>+'PMH Dologi(alábontás)-nem része'!P133</f>
        <v>15359103</v>
      </c>
      <c r="L46" s="430">
        <v>0</v>
      </c>
      <c r="M46" s="430">
        <f t="shared" si="58"/>
        <v>0</v>
      </c>
      <c r="N46" s="430">
        <f t="shared" si="58"/>
        <v>0</v>
      </c>
      <c r="O46" s="430">
        <f t="shared" si="58"/>
        <v>0</v>
      </c>
      <c r="P46" s="430">
        <f t="shared" si="58"/>
        <v>0</v>
      </c>
      <c r="Q46" s="430">
        <f t="shared" si="58"/>
        <v>0</v>
      </c>
      <c r="R46" s="430">
        <f>+F46</f>
        <v>0</v>
      </c>
      <c r="S46" s="430">
        <f>+R46+15359103</f>
        <v>15359103</v>
      </c>
      <c r="T46" s="430">
        <f t="shared" si="59"/>
        <v>15359103</v>
      </c>
      <c r="U46" s="430">
        <f t="shared" si="59"/>
        <v>15359103</v>
      </c>
      <c r="V46" s="430">
        <f t="shared" si="59"/>
        <v>15359103</v>
      </c>
      <c r="W46" s="430">
        <f>+'PMH Dologi(alábontás)-nem része'!P133</f>
        <v>15359103</v>
      </c>
      <c r="X46" s="430">
        <v>0</v>
      </c>
      <c r="Y46" s="430">
        <f t="shared" si="60"/>
        <v>0</v>
      </c>
      <c r="Z46" s="430">
        <f t="shared" si="60"/>
        <v>0</v>
      </c>
      <c r="AA46" s="430">
        <f t="shared" si="60"/>
        <v>0</v>
      </c>
      <c r="AB46" s="430">
        <f t="shared" si="60"/>
        <v>0</v>
      </c>
      <c r="AC46" s="430">
        <f>+AB46</f>
        <v>0</v>
      </c>
      <c r="AD46" s="1021"/>
      <c r="AE46" s="414">
        <f t="shared" si="53"/>
        <v>15359103</v>
      </c>
      <c r="AF46" s="430">
        <f t="shared" si="54"/>
        <v>0</v>
      </c>
      <c r="AG46" s="2912">
        <f t="shared" si="55"/>
        <v>0</v>
      </c>
      <c r="AH46" s="415">
        <f t="shared" si="56"/>
        <v>0</v>
      </c>
      <c r="AI46" s="430">
        <f t="shared" si="18"/>
        <v>0</v>
      </c>
      <c r="AJ46" s="1834">
        <f t="shared" si="57"/>
        <v>1</v>
      </c>
    </row>
    <row r="47" spans="1:36" ht="12" customHeight="1" thickBot="1">
      <c r="A47" s="1832" t="s">
        <v>12</v>
      </c>
      <c r="B47" s="1452" t="s">
        <v>12</v>
      </c>
      <c r="C47" s="426" t="s">
        <v>1292</v>
      </c>
      <c r="D47" s="412">
        <f t="shared" ref="D47:R47" si="61">SUM(D48:D51)</f>
        <v>0</v>
      </c>
      <c r="E47" s="2710">
        <f t="shared" si="61"/>
        <v>76240</v>
      </c>
      <c r="F47" s="412">
        <f t="shared" si="61"/>
        <v>0</v>
      </c>
      <c r="G47" s="412">
        <f t="shared" si="61"/>
        <v>0</v>
      </c>
      <c r="H47" s="412">
        <f t="shared" si="61"/>
        <v>0</v>
      </c>
      <c r="I47" s="412">
        <f t="shared" si="61"/>
        <v>0</v>
      </c>
      <c r="J47" s="412">
        <f t="shared" si="61"/>
        <v>0</v>
      </c>
      <c r="K47" s="322">
        <f t="shared" si="61"/>
        <v>0</v>
      </c>
      <c r="L47" s="412">
        <f t="shared" si="61"/>
        <v>0</v>
      </c>
      <c r="M47" s="412">
        <f t="shared" si="61"/>
        <v>0</v>
      </c>
      <c r="N47" s="412">
        <f t="shared" si="61"/>
        <v>0</v>
      </c>
      <c r="O47" s="412">
        <f t="shared" si="61"/>
        <v>0</v>
      </c>
      <c r="P47" s="412">
        <f t="shared" si="61"/>
        <v>0</v>
      </c>
      <c r="Q47" s="412">
        <f t="shared" si="61"/>
        <v>0</v>
      </c>
      <c r="R47" s="412">
        <f t="shared" si="61"/>
        <v>0</v>
      </c>
      <c r="S47" s="412">
        <f>SUM(S48:S50)</f>
        <v>0</v>
      </c>
      <c r="T47" s="412">
        <f>SUM(T48:T50)</f>
        <v>0</v>
      </c>
      <c r="U47" s="412">
        <f>SUM(U48:U50)</f>
        <v>0</v>
      </c>
      <c r="V47" s="412">
        <f>SUM(V48:V50)</f>
        <v>0</v>
      </c>
      <c r="W47" s="412">
        <f>SUM(W48:W50)</f>
        <v>0</v>
      </c>
      <c r="X47" s="412">
        <f t="shared" ref="X47:AC47" si="62">SUM(X48:X51)</f>
        <v>0</v>
      </c>
      <c r="Y47" s="412">
        <f t="shared" si="62"/>
        <v>0</v>
      </c>
      <c r="Z47" s="412">
        <f t="shared" si="62"/>
        <v>0</v>
      </c>
      <c r="AA47" s="412">
        <f t="shared" si="62"/>
        <v>0</v>
      </c>
      <c r="AB47" s="412">
        <f t="shared" si="62"/>
        <v>0</v>
      </c>
      <c r="AC47" s="412">
        <f t="shared" si="62"/>
        <v>0</v>
      </c>
      <c r="AD47" s="413"/>
      <c r="AE47" s="414">
        <f t="shared" si="53"/>
        <v>0</v>
      </c>
      <c r="AF47" s="412">
        <f t="shared" si="54"/>
        <v>0</v>
      </c>
      <c r="AG47" s="2912">
        <f t="shared" si="55"/>
        <v>0</v>
      </c>
      <c r="AH47" s="415">
        <f t="shared" si="56"/>
        <v>0</v>
      </c>
      <c r="AI47" s="412">
        <f t="shared" si="18"/>
        <v>0</v>
      </c>
      <c r="AJ47" s="1829"/>
    </row>
    <row r="48" spans="1:36" s="439" customFormat="1" ht="13.5" thickBot="1">
      <c r="A48" s="1832"/>
      <c r="B48" s="1453" t="s">
        <v>185</v>
      </c>
      <c r="C48" s="419" t="s">
        <v>82</v>
      </c>
      <c r="D48" s="430">
        <f>+'PMH Dologi(alábontás)-nem része'!I136</f>
        <v>0</v>
      </c>
      <c r="E48" s="2713">
        <f>+'PMH Dologi(alábontás)-nem része'!J136</f>
        <v>76240</v>
      </c>
      <c r="F48" s="430">
        <f>+'PMH Dologi(alábontás)-nem része'!K136</f>
        <v>0</v>
      </c>
      <c r="G48" s="430">
        <f>+'PMH Dologi(alábontás)-nem része'!L136</f>
        <v>0</v>
      </c>
      <c r="H48" s="430">
        <f>+'PMH Dologi(alábontás)-nem része'!M136</f>
        <v>0</v>
      </c>
      <c r="I48" s="430">
        <f>+'PMH Dologi(alábontás)-nem része'!N136</f>
        <v>0</v>
      </c>
      <c r="J48" s="430">
        <f>+'PMH Dologi(alábontás)-nem része'!O136</f>
        <v>0</v>
      </c>
      <c r="K48" s="339">
        <f>+'PMH Dologi(alábontás)-nem része'!P136</f>
        <v>0</v>
      </c>
      <c r="L48" s="430">
        <v>0</v>
      </c>
      <c r="M48" s="430">
        <f t="shared" ref="M48:Q51" si="63">+L48</f>
        <v>0</v>
      </c>
      <c r="N48" s="430">
        <f t="shared" si="63"/>
        <v>0</v>
      </c>
      <c r="O48" s="430">
        <f t="shared" si="63"/>
        <v>0</v>
      </c>
      <c r="P48" s="430">
        <f t="shared" si="63"/>
        <v>0</v>
      </c>
      <c r="Q48" s="430">
        <f t="shared" si="63"/>
        <v>0</v>
      </c>
      <c r="R48" s="430">
        <f>0</f>
        <v>0</v>
      </c>
      <c r="S48" s="430">
        <f t="shared" ref="S48:W51" si="64">+R48</f>
        <v>0</v>
      </c>
      <c r="T48" s="430">
        <f t="shared" si="64"/>
        <v>0</v>
      </c>
      <c r="U48" s="430">
        <f t="shared" si="64"/>
        <v>0</v>
      </c>
      <c r="V48" s="430">
        <f t="shared" si="64"/>
        <v>0</v>
      </c>
      <c r="W48" s="430">
        <f t="shared" si="64"/>
        <v>0</v>
      </c>
      <c r="X48" s="430">
        <v>0</v>
      </c>
      <c r="Y48" s="430">
        <f t="shared" ref="Y48:AC51" si="65">+X48</f>
        <v>0</v>
      </c>
      <c r="Z48" s="430">
        <f t="shared" si="65"/>
        <v>0</v>
      </c>
      <c r="AA48" s="430">
        <f t="shared" si="65"/>
        <v>0</v>
      </c>
      <c r="AB48" s="430">
        <f t="shared" si="65"/>
        <v>0</v>
      </c>
      <c r="AC48" s="430">
        <f t="shared" si="65"/>
        <v>0</v>
      </c>
      <c r="AD48" s="434"/>
      <c r="AE48" s="414">
        <f t="shared" si="53"/>
        <v>0</v>
      </c>
      <c r="AF48" s="430">
        <f t="shared" si="54"/>
        <v>0</v>
      </c>
      <c r="AG48" s="2912">
        <f t="shared" si="55"/>
        <v>0</v>
      </c>
      <c r="AH48" s="415">
        <f t="shared" si="56"/>
        <v>0</v>
      </c>
      <c r="AI48" s="430">
        <f t="shared" si="18"/>
        <v>0</v>
      </c>
      <c r="AJ48" s="1834"/>
    </row>
    <row r="49" spans="1:36" ht="12" customHeight="1" thickBot="1">
      <c r="A49" s="1832"/>
      <c r="B49" s="1453" t="s">
        <v>187</v>
      </c>
      <c r="C49" s="419" t="s">
        <v>344</v>
      </c>
      <c r="D49" s="430">
        <v>0</v>
      </c>
      <c r="E49" s="2713">
        <v>0</v>
      </c>
      <c r="F49" s="430">
        <v>0</v>
      </c>
      <c r="G49" s="430">
        <f t="shared" ref="G49:K51" si="66">+F49</f>
        <v>0</v>
      </c>
      <c r="H49" s="430">
        <f t="shared" si="66"/>
        <v>0</v>
      </c>
      <c r="I49" s="430">
        <f t="shared" si="66"/>
        <v>0</v>
      </c>
      <c r="J49" s="430">
        <f t="shared" si="66"/>
        <v>0</v>
      </c>
      <c r="K49" s="339">
        <f t="shared" si="66"/>
        <v>0</v>
      </c>
      <c r="L49" s="430">
        <v>0</v>
      </c>
      <c r="M49" s="430">
        <f t="shared" si="63"/>
        <v>0</v>
      </c>
      <c r="N49" s="430">
        <f t="shared" si="63"/>
        <v>0</v>
      </c>
      <c r="O49" s="430">
        <f t="shared" si="63"/>
        <v>0</v>
      </c>
      <c r="P49" s="430">
        <f t="shared" si="63"/>
        <v>0</v>
      </c>
      <c r="Q49" s="430">
        <f t="shared" si="63"/>
        <v>0</v>
      </c>
      <c r="R49" s="430">
        <v>0</v>
      </c>
      <c r="S49" s="430">
        <f t="shared" si="64"/>
        <v>0</v>
      </c>
      <c r="T49" s="430">
        <f t="shared" si="64"/>
        <v>0</v>
      </c>
      <c r="U49" s="430">
        <f t="shared" si="64"/>
        <v>0</v>
      </c>
      <c r="V49" s="430">
        <f t="shared" si="64"/>
        <v>0</v>
      </c>
      <c r="W49" s="430">
        <f t="shared" si="64"/>
        <v>0</v>
      </c>
      <c r="X49" s="430">
        <v>0</v>
      </c>
      <c r="Y49" s="430">
        <f t="shared" si="65"/>
        <v>0</v>
      </c>
      <c r="Z49" s="430">
        <f t="shared" si="65"/>
        <v>0</v>
      </c>
      <c r="AA49" s="430">
        <f t="shared" si="65"/>
        <v>0</v>
      </c>
      <c r="AB49" s="430">
        <f t="shared" si="65"/>
        <v>0</v>
      </c>
      <c r="AC49" s="430">
        <f t="shared" si="65"/>
        <v>0</v>
      </c>
      <c r="AD49" s="428"/>
      <c r="AE49" s="414">
        <f t="shared" si="53"/>
        <v>0</v>
      </c>
      <c r="AF49" s="430">
        <f t="shared" si="54"/>
        <v>0</v>
      </c>
      <c r="AG49" s="2912">
        <f t="shared" si="55"/>
        <v>0</v>
      </c>
      <c r="AH49" s="415">
        <f t="shared" si="56"/>
        <v>0</v>
      </c>
      <c r="AI49" s="430">
        <f t="shared" si="18"/>
        <v>0</v>
      </c>
      <c r="AJ49" s="1834"/>
    </row>
    <row r="50" spans="1:36" ht="12" customHeight="1" thickBot="1">
      <c r="A50" s="1832"/>
      <c r="B50" s="1453" t="s">
        <v>189</v>
      </c>
      <c r="C50" s="419" t="s">
        <v>1293</v>
      </c>
      <c r="D50" s="430">
        <v>0</v>
      </c>
      <c r="E50" s="2713">
        <v>0</v>
      </c>
      <c r="F50" s="430">
        <v>0</v>
      </c>
      <c r="G50" s="430">
        <f t="shared" si="66"/>
        <v>0</v>
      </c>
      <c r="H50" s="430">
        <f t="shared" si="66"/>
        <v>0</v>
      </c>
      <c r="I50" s="430">
        <f t="shared" si="66"/>
        <v>0</v>
      </c>
      <c r="J50" s="430">
        <f t="shared" si="66"/>
        <v>0</v>
      </c>
      <c r="K50" s="339">
        <f t="shared" si="66"/>
        <v>0</v>
      </c>
      <c r="L50" s="430">
        <v>0</v>
      </c>
      <c r="M50" s="430">
        <f t="shared" si="63"/>
        <v>0</v>
      </c>
      <c r="N50" s="430">
        <f t="shared" si="63"/>
        <v>0</v>
      </c>
      <c r="O50" s="430">
        <f t="shared" si="63"/>
        <v>0</v>
      </c>
      <c r="P50" s="430">
        <f t="shared" si="63"/>
        <v>0</v>
      </c>
      <c r="Q50" s="430">
        <f t="shared" si="63"/>
        <v>0</v>
      </c>
      <c r="R50" s="430">
        <v>0</v>
      </c>
      <c r="S50" s="430">
        <f t="shared" si="64"/>
        <v>0</v>
      </c>
      <c r="T50" s="430">
        <f t="shared" si="64"/>
        <v>0</v>
      </c>
      <c r="U50" s="430">
        <f t="shared" si="64"/>
        <v>0</v>
      </c>
      <c r="V50" s="430">
        <f t="shared" si="64"/>
        <v>0</v>
      </c>
      <c r="W50" s="430">
        <f t="shared" si="64"/>
        <v>0</v>
      </c>
      <c r="X50" s="430">
        <v>0</v>
      </c>
      <c r="Y50" s="430">
        <f t="shared" si="65"/>
        <v>0</v>
      </c>
      <c r="Z50" s="430">
        <f t="shared" si="65"/>
        <v>0</v>
      </c>
      <c r="AA50" s="430">
        <f t="shared" si="65"/>
        <v>0</v>
      </c>
      <c r="AB50" s="430">
        <f t="shared" si="65"/>
        <v>0</v>
      </c>
      <c r="AC50" s="430">
        <f t="shared" si="65"/>
        <v>0</v>
      </c>
      <c r="AD50" s="428"/>
      <c r="AE50" s="414">
        <f t="shared" si="53"/>
        <v>0</v>
      </c>
      <c r="AF50" s="430">
        <f t="shared" si="54"/>
        <v>0</v>
      </c>
      <c r="AG50" s="2912">
        <f t="shared" si="55"/>
        <v>0</v>
      </c>
      <c r="AH50" s="415">
        <f t="shared" si="56"/>
        <v>0</v>
      </c>
      <c r="AI50" s="430">
        <f t="shared" si="18"/>
        <v>0</v>
      </c>
      <c r="AJ50" s="1834"/>
    </row>
    <row r="51" spans="1:36" ht="12" customHeight="1" thickBot="1">
      <c r="A51" s="1840"/>
      <c r="B51" s="1454" t="s">
        <v>191</v>
      </c>
      <c r="C51" s="440" t="s">
        <v>1294</v>
      </c>
      <c r="D51" s="433">
        <v>0</v>
      </c>
      <c r="E51" s="2732">
        <v>0</v>
      </c>
      <c r="F51" s="433">
        <v>0</v>
      </c>
      <c r="G51" s="433">
        <f t="shared" si="66"/>
        <v>0</v>
      </c>
      <c r="H51" s="433">
        <f t="shared" si="66"/>
        <v>0</v>
      </c>
      <c r="I51" s="433">
        <f t="shared" si="66"/>
        <v>0</v>
      </c>
      <c r="J51" s="433">
        <f t="shared" si="66"/>
        <v>0</v>
      </c>
      <c r="K51" s="2255">
        <f t="shared" si="66"/>
        <v>0</v>
      </c>
      <c r="L51" s="433">
        <v>0</v>
      </c>
      <c r="M51" s="433">
        <f t="shared" si="63"/>
        <v>0</v>
      </c>
      <c r="N51" s="433">
        <f t="shared" si="63"/>
        <v>0</v>
      </c>
      <c r="O51" s="433">
        <f t="shared" si="63"/>
        <v>0</v>
      </c>
      <c r="P51" s="433">
        <f t="shared" si="63"/>
        <v>0</v>
      </c>
      <c r="Q51" s="433">
        <f t="shared" si="63"/>
        <v>0</v>
      </c>
      <c r="R51" s="433">
        <v>0</v>
      </c>
      <c r="S51" s="433">
        <f t="shared" si="64"/>
        <v>0</v>
      </c>
      <c r="T51" s="433">
        <f t="shared" si="64"/>
        <v>0</v>
      </c>
      <c r="U51" s="433">
        <f t="shared" si="64"/>
        <v>0</v>
      </c>
      <c r="V51" s="433">
        <f t="shared" si="64"/>
        <v>0</v>
      </c>
      <c r="W51" s="433">
        <f t="shared" si="64"/>
        <v>0</v>
      </c>
      <c r="X51" s="433">
        <v>0</v>
      </c>
      <c r="Y51" s="433">
        <f t="shared" si="65"/>
        <v>0</v>
      </c>
      <c r="Z51" s="433">
        <f t="shared" si="65"/>
        <v>0</v>
      </c>
      <c r="AA51" s="433">
        <f t="shared" si="65"/>
        <v>0</v>
      </c>
      <c r="AB51" s="433">
        <f t="shared" si="65"/>
        <v>0</v>
      </c>
      <c r="AC51" s="433">
        <f t="shared" si="65"/>
        <v>0</v>
      </c>
      <c r="AD51" s="441"/>
      <c r="AE51" s="2256">
        <f t="shared" si="53"/>
        <v>0</v>
      </c>
      <c r="AF51" s="433">
        <f t="shared" si="54"/>
        <v>0</v>
      </c>
      <c r="AG51" s="3507">
        <f t="shared" si="55"/>
        <v>0</v>
      </c>
      <c r="AH51" s="435">
        <f t="shared" si="56"/>
        <v>0</v>
      </c>
      <c r="AI51" s="433">
        <f t="shared" si="18"/>
        <v>0</v>
      </c>
      <c r="AJ51" s="1841"/>
    </row>
    <row r="52" spans="1:36" ht="15" customHeight="1" thickBot="1">
      <c r="A52" s="3506" t="s">
        <v>14</v>
      </c>
      <c r="B52" s="3508" t="s">
        <v>14</v>
      </c>
      <c r="C52" s="3509" t="s">
        <v>1295</v>
      </c>
      <c r="D52" s="3500">
        <f t="shared" ref="D52:AC52" si="67">+D41+D47</f>
        <v>1975749829</v>
      </c>
      <c r="E52" s="3501">
        <f t="shared" si="67"/>
        <v>1889705978</v>
      </c>
      <c r="F52" s="3500">
        <f t="shared" si="67"/>
        <v>2186358420</v>
      </c>
      <c r="G52" s="3500">
        <f t="shared" si="67"/>
        <v>2180671850</v>
      </c>
      <c r="H52" s="3500">
        <f t="shared" si="67"/>
        <v>2188653044</v>
      </c>
      <c r="I52" s="3500">
        <f t="shared" si="67"/>
        <v>2201242481</v>
      </c>
      <c r="J52" s="3500">
        <f t="shared" si="67"/>
        <v>2201242481</v>
      </c>
      <c r="K52" s="3502">
        <f t="shared" si="67"/>
        <v>1996580979</v>
      </c>
      <c r="L52" s="3500">
        <f t="shared" si="67"/>
        <v>0</v>
      </c>
      <c r="M52" s="3500">
        <f t="shared" si="67"/>
        <v>0</v>
      </c>
      <c r="N52" s="3500">
        <f t="shared" si="67"/>
        <v>0</v>
      </c>
      <c r="O52" s="3500">
        <f t="shared" si="67"/>
        <v>0</v>
      </c>
      <c r="P52" s="3500">
        <f t="shared" si="67"/>
        <v>0</v>
      </c>
      <c r="Q52" s="3500">
        <f t="shared" si="67"/>
        <v>0</v>
      </c>
      <c r="R52" s="3500">
        <f t="shared" si="67"/>
        <v>2182858420</v>
      </c>
      <c r="S52" s="3500">
        <f t="shared" si="67"/>
        <v>2177171850</v>
      </c>
      <c r="T52" s="3500">
        <f t="shared" si="67"/>
        <v>2183179580</v>
      </c>
      <c r="U52" s="3500">
        <f t="shared" si="67"/>
        <v>2198730841</v>
      </c>
      <c r="V52" s="3500">
        <f t="shared" si="67"/>
        <v>2198730841</v>
      </c>
      <c r="W52" s="3500">
        <f t="shared" si="67"/>
        <v>1994069339</v>
      </c>
      <c r="X52" s="3500">
        <f t="shared" si="67"/>
        <v>3500000</v>
      </c>
      <c r="Y52" s="3500">
        <f t="shared" si="67"/>
        <v>3500000</v>
      </c>
      <c r="Z52" s="3500">
        <f t="shared" si="67"/>
        <v>5473464</v>
      </c>
      <c r="AA52" s="3500">
        <f t="shared" si="67"/>
        <v>2511640</v>
      </c>
      <c r="AB52" s="3500">
        <f t="shared" si="67"/>
        <v>2511640</v>
      </c>
      <c r="AC52" s="3500">
        <f t="shared" si="67"/>
        <v>2511640</v>
      </c>
      <c r="AD52" s="3503"/>
      <c r="AE52" s="3504">
        <f t="shared" si="53"/>
        <v>-5686570</v>
      </c>
      <c r="AF52" s="3500">
        <f t="shared" si="54"/>
        <v>7981194</v>
      </c>
      <c r="AG52" s="3504">
        <f t="shared" si="55"/>
        <v>12589437</v>
      </c>
      <c r="AH52" s="3504">
        <f t="shared" si="56"/>
        <v>0</v>
      </c>
      <c r="AI52" s="3500">
        <f t="shared" si="18"/>
        <v>210608591</v>
      </c>
      <c r="AJ52" s="3510">
        <f t="shared" si="57"/>
        <v>0.90702455373883906</v>
      </c>
    </row>
    <row r="53" spans="1:36" ht="13.5" hidden="1" thickBot="1">
      <c r="A53" s="1842"/>
      <c r="B53" s="1455"/>
      <c r="C53" s="442"/>
      <c r="D53" s="443"/>
      <c r="E53" s="2733"/>
      <c r="F53" s="443"/>
      <c r="G53" s="443"/>
      <c r="H53" s="443"/>
      <c r="I53" s="443"/>
      <c r="J53" s="443"/>
      <c r="K53" s="3512"/>
      <c r="L53" s="442"/>
      <c r="M53" s="442"/>
      <c r="N53" s="442"/>
      <c r="O53" s="442"/>
      <c r="P53" s="442"/>
      <c r="Q53" s="442"/>
      <c r="R53" s="442"/>
      <c r="S53" s="442"/>
      <c r="T53" s="442"/>
      <c r="U53" s="442"/>
      <c r="V53" s="442"/>
      <c r="W53" s="442"/>
      <c r="X53" s="442"/>
      <c r="Y53" s="442"/>
      <c r="Z53" s="442"/>
      <c r="AA53" s="442"/>
      <c r="AB53" s="442"/>
      <c r="AC53" s="442"/>
      <c r="AD53" s="444"/>
      <c r="AE53" s="3513">
        <f t="shared" si="53"/>
        <v>0</v>
      </c>
      <c r="AF53" s="442">
        <f t="shared" si="54"/>
        <v>0</v>
      </c>
      <c r="AG53" s="3514">
        <f t="shared" si="55"/>
        <v>0</v>
      </c>
      <c r="AH53" s="3514">
        <f t="shared" si="56"/>
        <v>0</v>
      </c>
      <c r="AI53" s="442">
        <f t="shared" si="18"/>
        <v>0</v>
      </c>
      <c r="AJ53" s="1843" t="e">
        <f t="shared" si="57"/>
        <v>#DIV/0!</v>
      </c>
    </row>
    <row r="54" spans="1:36" ht="32.25" customHeight="1" thickBot="1">
      <c r="A54" s="3511"/>
      <c r="B54" s="3515" t="s">
        <v>15</v>
      </c>
      <c r="C54" s="3516" t="s">
        <v>4052</v>
      </c>
      <c r="D54" s="3517">
        <v>147.5</v>
      </c>
      <c r="E54" s="3518">
        <v>142</v>
      </c>
      <c r="F54" s="3519">
        <v>147.5</v>
      </c>
      <c r="G54" s="3519">
        <f>+F54</f>
        <v>147.5</v>
      </c>
      <c r="H54" s="3519">
        <f t="shared" ref="G54:J55" si="68">+G54</f>
        <v>147.5</v>
      </c>
      <c r="I54" s="3519">
        <f t="shared" si="68"/>
        <v>147.5</v>
      </c>
      <c r="J54" s="3519">
        <f t="shared" si="68"/>
        <v>147.5</v>
      </c>
      <c r="K54" s="3520">
        <v>144</v>
      </c>
      <c r="L54" s="3519">
        <v>0</v>
      </c>
      <c r="M54" s="3519">
        <f>+L54</f>
        <v>0</v>
      </c>
      <c r="N54" s="3519">
        <f>+M54</f>
        <v>0</v>
      </c>
      <c r="O54" s="3519">
        <f>+N54</f>
        <v>0</v>
      </c>
      <c r="P54" s="3519">
        <f>+O54</f>
        <v>0</v>
      </c>
      <c r="Q54" s="3519">
        <f>+P54</f>
        <v>0</v>
      </c>
      <c r="R54" s="3519">
        <f>F54</f>
        <v>147.5</v>
      </c>
      <c r="S54" s="3519">
        <f>+R54</f>
        <v>147.5</v>
      </c>
      <c r="T54" s="3519">
        <f>+S54</f>
        <v>147.5</v>
      </c>
      <c r="U54" s="3519">
        <f>+T54</f>
        <v>147.5</v>
      </c>
      <c r="V54" s="3519">
        <f>+U54</f>
        <v>147.5</v>
      </c>
      <c r="W54" s="3519">
        <f>+V54</f>
        <v>147.5</v>
      </c>
      <c r="X54" s="3519">
        <v>0</v>
      </c>
      <c r="Y54" s="3519">
        <f>+X54</f>
        <v>0</v>
      </c>
      <c r="Z54" s="3519">
        <f>+Y54</f>
        <v>0</v>
      </c>
      <c r="AA54" s="3519">
        <f>+Z54</f>
        <v>0</v>
      </c>
      <c r="AB54" s="3519">
        <f>+AA54</f>
        <v>0</v>
      </c>
      <c r="AC54" s="3519">
        <f>+AB54</f>
        <v>0</v>
      </c>
      <c r="AD54" s="3521"/>
      <c r="AE54" s="3522">
        <f t="shared" si="53"/>
        <v>0</v>
      </c>
      <c r="AF54" s="3519">
        <f t="shared" si="54"/>
        <v>0</v>
      </c>
      <c r="AG54" s="3504">
        <f t="shared" si="55"/>
        <v>0</v>
      </c>
      <c r="AH54" s="3504">
        <f t="shared" si="56"/>
        <v>0</v>
      </c>
      <c r="AI54" s="3519">
        <f t="shared" si="18"/>
        <v>0</v>
      </c>
      <c r="AJ54" s="3523">
        <f t="shared" si="57"/>
        <v>0.97627118644067801</v>
      </c>
    </row>
    <row r="55" spans="1:36" ht="14.25" hidden="1" customHeight="1" thickBot="1">
      <c r="A55" s="445" t="s">
        <v>1296</v>
      </c>
      <c r="B55" s="1456"/>
      <c r="C55" s="446"/>
      <c r="D55" s="447"/>
      <c r="E55" s="447"/>
      <c r="F55" s="447"/>
      <c r="G55" s="447">
        <f t="shared" si="68"/>
        <v>0</v>
      </c>
      <c r="H55" s="447">
        <f t="shared" si="68"/>
        <v>0</v>
      </c>
      <c r="I55" s="447">
        <f t="shared" si="68"/>
        <v>0</v>
      </c>
      <c r="J55" s="447">
        <f t="shared" si="68"/>
        <v>0</v>
      </c>
      <c r="K55" s="447"/>
      <c r="L55" s="447"/>
      <c r="M55" s="447">
        <f t="shared" ref="M55:P56" si="69">+L55</f>
        <v>0</v>
      </c>
      <c r="N55" s="447">
        <f t="shared" si="69"/>
        <v>0</v>
      </c>
      <c r="O55" s="447">
        <f t="shared" si="69"/>
        <v>0</v>
      </c>
      <c r="P55" s="447">
        <f t="shared" si="69"/>
        <v>0</v>
      </c>
      <c r="Q55" s="447"/>
      <c r="R55" s="447"/>
      <c r="S55" s="447">
        <f t="shared" ref="S55:V56" si="70">+R55</f>
        <v>0</v>
      </c>
      <c r="T55" s="447">
        <f t="shared" si="70"/>
        <v>0</v>
      </c>
      <c r="U55" s="447">
        <f t="shared" si="70"/>
        <v>0</v>
      </c>
      <c r="V55" s="447">
        <f t="shared" si="70"/>
        <v>0</v>
      </c>
      <c r="W55" s="447"/>
      <c r="X55" s="447"/>
      <c r="Y55" s="448">
        <f t="shared" ref="Y55:AB56" si="71">+X55</f>
        <v>0</v>
      </c>
      <c r="Z55" s="449">
        <f t="shared" si="71"/>
        <v>0</v>
      </c>
      <c r="AA55" s="450">
        <f t="shared" si="71"/>
        <v>0</v>
      </c>
      <c r="AB55" s="450">
        <f t="shared" si="71"/>
        <v>0</v>
      </c>
      <c r="AC55" s="450"/>
      <c r="AD55" s="451"/>
      <c r="AE55" s="452">
        <f t="shared" si="53"/>
        <v>0</v>
      </c>
      <c r="AF55" s="437">
        <f t="shared" si="54"/>
        <v>0</v>
      </c>
      <c r="AG55" s="438">
        <f t="shared" si="55"/>
        <v>0</v>
      </c>
      <c r="AH55" s="438">
        <f t="shared" si="56"/>
        <v>0</v>
      </c>
      <c r="AI55" s="417">
        <f>+F55-D55</f>
        <v>0</v>
      </c>
    </row>
    <row r="56" spans="1:36" ht="15.75" hidden="1" thickBot="1">
      <c r="A56" s="453"/>
      <c r="B56" s="1457"/>
      <c r="C56" s="3472"/>
      <c r="D56" s="3472"/>
      <c r="E56" s="3472"/>
      <c r="F56" s="3473"/>
      <c r="G56" s="3473"/>
      <c r="H56" s="3473"/>
      <c r="I56" s="3473"/>
      <c r="J56" s="3473"/>
      <c r="K56" s="3473"/>
      <c r="L56" s="454"/>
      <c r="M56" s="454">
        <f t="shared" si="69"/>
        <v>0</v>
      </c>
      <c r="N56" s="454">
        <f t="shared" si="69"/>
        <v>0</v>
      </c>
      <c r="O56" s="454">
        <f t="shared" si="69"/>
        <v>0</v>
      </c>
      <c r="P56" s="454">
        <f t="shared" si="69"/>
        <v>0</v>
      </c>
      <c r="Q56" s="454"/>
      <c r="R56" s="454"/>
      <c r="S56" s="455">
        <f t="shared" si="70"/>
        <v>0</v>
      </c>
      <c r="T56" s="455">
        <f t="shared" si="70"/>
        <v>0</v>
      </c>
      <c r="U56" s="455">
        <f t="shared" si="70"/>
        <v>0</v>
      </c>
      <c r="V56" s="455">
        <f t="shared" si="70"/>
        <v>0</v>
      </c>
      <c r="W56" s="455"/>
      <c r="X56" s="454"/>
      <c r="Y56" s="456">
        <f t="shared" si="71"/>
        <v>0</v>
      </c>
      <c r="Z56" s="457">
        <f t="shared" si="71"/>
        <v>0</v>
      </c>
      <c r="AA56" s="458">
        <f t="shared" si="71"/>
        <v>0</v>
      </c>
      <c r="AB56" s="458">
        <f t="shared" si="71"/>
        <v>0</v>
      </c>
      <c r="AC56" s="459"/>
      <c r="AE56" s="460"/>
      <c r="AI56" s="417">
        <f>+F56-D56</f>
        <v>0</v>
      </c>
    </row>
    <row r="57" spans="1:36" ht="16.5" thickBot="1">
      <c r="B57" s="3464" t="s">
        <v>17</v>
      </c>
      <c r="C57" s="3468" t="s">
        <v>4053</v>
      </c>
      <c r="D57" s="2708">
        <f>+D37-D52</f>
        <v>0</v>
      </c>
      <c r="E57" s="2729">
        <f>+E37-E52</f>
        <v>17313430</v>
      </c>
      <c r="F57" s="3469">
        <f>+F37-F52</f>
        <v>0</v>
      </c>
      <c r="G57" s="3470">
        <f>+G37-G52</f>
        <v>0</v>
      </c>
      <c r="H57" s="3470">
        <f>+H37-H52</f>
        <v>0</v>
      </c>
      <c r="I57" s="3470"/>
      <c r="J57" s="3470"/>
      <c r="K57" s="3471">
        <f>+K37-K52</f>
        <v>4139395</v>
      </c>
      <c r="L57" s="53"/>
      <c r="M57" s="53"/>
      <c r="N57" s="53"/>
      <c r="O57" s="299"/>
      <c r="P57" s="299"/>
      <c r="Q57" s="299"/>
      <c r="R57" s="376"/>
      <c r="S57" s="299"/>
      <c r="T57" s="299"/>
      <c r="U57" s="299"/>
      <c r="V57" s="299"/>
      <c r="W57" s="299"/>
      <c r="X57" s="299"/>
      <c r="Y57" s="299"/>
      <c r="Z57" s="299"/>
      <c r="AA57" s="299"/>
      <c r="AB57" s="299"/>
      <c r="AC57" s="299"/>
      <c r="AD57" s="299"/>
      <c r="AE57" s="299"/>
      <c r="AF57" s="299"/>
      <c r="AG57" s="299"/>
      <c r="AH57" s="299"/>
      <c r="AI57" s="299"/>
    </row>
    <row r="58" spans="1:36" hidden="1">
      <c r="C58" s="396" t="s">
        <v>3696</v>
      </c>
      <c r="D58" s="396">
        <v>0</v>
      </c>
      <c r="E58" s="396">
        <v>0</v>
      </c>
      <c r="F58" s="396">
        <v>0</v>
      </c>
      <c r="G58" s="396">
        <f>+F58</f>
        <v>0</v>
      </c>
      <c r="H58" s="396">
        <f>+G58</f>
        <v>0</v>
      </c>
      <c r="I58" s="396">
        <f>+H58</f>
        <v>0</v>
      </c>
      <c r="J58" s="396">
        <f>+I58</f>
        <v>0</v>
      </c>
    </row>
    <row r="59" spans="1:36" ht="24" hidden="1" customHeight="1">
      <c r="C59" s="461" t="s">
        <v>1300</v>
      </c>
      <c r="F59" s="3644" t="s">
        <v>1301</v>
      </c>
      <c r="G59" s="3644"/>
    </row>
    <row r="60" spans="1:36" hidden="1">
      <c r="C60" s="460" t="s">
        <v>1302</v>
      </c>
      <c r="D60" s="396">
        <f t="shared" ref="D60:AC60" si="72">+D37-D52</f>
        <v>0</v>
      </c>
      <c r="E60" s="396">
        <f>+E37-E52</f>
        <v>17313430</v>
      </c>
      <c r="F60" s="396">
        <f t="shared" si="72"/>
        <v>0</v>
      </c>
      <c r="G60" s="396">
        <f t="shared" si="72"/>
        <v>0</v>
      </c>
      <c r="H60" s="396">
        <f t="shared" si="72"/>
        <v>0</v>
      </c>
      <c r="I60" s="396">
        <f t="shared" si="72"/>
        <v>0</v>
      </c>
      <c r="J60" s="396">
        <f t="shared" si="72"/>
        <v>0</v>
      </c>
      <c r="K60" s="396">
        <f t="shared" si="72"/>
        <v>4139395</v>
      </c>
      <c r="L60" s="396">
        <f t="shared" si="72"/>
        <v>0</v>
      </c>
      <c r="M60" s="396">
        <f t="shared" si="72"/>
        <v>0</v>
      </c>
      <c r="N60" s="396">
        <f t="shared" si="72"/>
        <v>0</v>
      </c>
      <c r="O60" s="396">
        <f t="shared" si="72"/>
        <v>0</v>
      </c>
      <c r="P60" s="396">
        <f t="shared" si="72"/>
        <v>0</v>
      </c>
      <c r="Q60" s="396">
        <f t="shared" si="72"/>
        <v>0</v>
      </c>
      <c r="R60" s="396">
        <f t="shared" si="72"/>
        <v>0</v>
      </c>
      <c r="S60" s="396">
        <f t="shared" si="72"/>
        <v>0</v>
      </c>
      <c r="T60" s="396">
        <f t="shared" si="72"/>
        <v>0</v>
      </c>
      <c r="U60" s="396">
        <f t="shared" si="72"/>
        <v>0</v>
      </c>
      <c r="V60" s="396">
        <f t="shared" si="72"/>
        <v>0</v>
      </c>
      <c r="W60" s="396">
        <f t="shared" si="72"/>
        <v>4139395</v>
      </c>
      <c r="X60" s="396">
        <f t="shared" si="72"/>
        <v>0</v>
      </c>
      <c r="Y60" s="396">
        <f t="shared" si="72"/>
        <v>0</v>
      </c>
      <c r="Z60" s="396">
        <f t="shared" si="72"/>
        <v>0</v>
      </c>
      <c r="AA60" s="396">
        <f t="shared" si="72"/>
        <v>0</v>
      </c>
      <c r="AB60" s="396">
        <f t="shared" si="72"/>
        <v>0</v>
      </c>
      <c r="AC60" s="396">
        <f t="shared" si="72"/>
        <v>0</v>
      </c>
    </row>
    <row r="61" spans="1:36" ht="25.5" hidden="1">
      <c r="C61" s="460" t="s">
        <v>1303</v>
      </c>
      <c r="F61" s="396">
        <f>+F37-L37-R37-X37</f>
        <v>0</v>
      </c>
      <c r="G61" s="396">
        <f>+G37-M37-S37-Y37</f>
        <v>0</v>
      </c>
      <c r="H61" s="396">
        <f>+H37-N37-T37-Z37</f>
        <v>0</v>
      </c>
      <c r="I61" s="396">
        <f>+I37-O37-U37-AA37</f>
        <v>0</v>
      </c>
      <c r="J61" s="396">
        <f>+J37-P37-V37-AB37</f>
        <v>0</v>
      </c>
    </row>
    <row r="62" spans="1:36" ht="25.5" hidden="1">
      <c r="C62" s="460" t="s">
        <v>1304</v>
      </c>
      <c r="F62" s="396">
        <f>+F52-L52-R52-X52</f>
        <v>0</v>
      </c>
      <c r="G62" s="396">
        <f>+G52-M52-S52-Y52</f>
        <v>0</v>
      </c>
      <c r="H62" s="396">
        <f>+H52-N52-T52-Z52</f>
        <v>0</v>
      </c>
      <c r="I62" s="396">
        <f>+I52-O52-U52-AA52</f>
        <v>0</v>
      </c>
      <c r="J62" s="396">
        <f>+J52-P52-V52-AB52</f>
        <v>0</v>
      </c>
      <c r="AA62" s="396">
        <f>+AA44-AC44</f>
        <v>0</v>
      </c>
    </row>
    <row r="63" spans="1:36" hidden="1">
      <c r="G63" s="396" t="s">
        <v>271</v>
      </c>
      <c r="H63" s="396" t="s">
        <v>3068</v>
      </c>
      <c r="K63" s="1075">
        <f>+K37</f>
        <v>2000720374</v>
      </c>
      <c r="N63" s="1075"/>
      <c r="O63" s="1075"/>
      <c r="R63" s="1075"/>
      <c r="S63" s="1075"/>
      <c r="T63" s="1075"/>
    </row>
    <row r="64" spans="1:36" hidden="1">
      <c r="K64" s="1075">
        <f>+'Bev. PMH-nem része a rend-nek'!P22</f>
        <v>2000720374</v>
      </c>
      <c r="N64" s="1075"/>
      <c r="O64" s="1075"/>
      <c r="R64" s="1075"/>
      <c r="S64" s="1075"/>
      <c r="T64" s="1075"/>
    </row>
    <row r="65" spans="6:26" hidden="1">
      <c r="G65" s="396" t="s">
        <v>271</v>
      </c>
      <c r="H65" s="396" t="s">
        <v>3069</v>
      </c>
      <c r="K65" s="1075">
        <f>+K64-I65</f>
        <v>2000720374</v>
      </c>
      <c r="N65" s="1075"/>
      <c r="O65" s="1075"/>
      <c r="R65" s="1075"/>
      <c r="S65" s="1075"/>
      <c r="T65" s="1075"/>
    </row>
    <row r="66" spans="6:26" ht="25.5" hidden="1">
      <c r="K66" s="396" t="s">
        <v>3122</v>
      </c>
      <c r="L66" s="396" t="s">
        <v>3582</v>
      </c>
      <c r="O66" s="547" t="s">
        <v>3294</v>
      </c>
      <c r="R66" s="396" t="s">
        <v>3059</v>
      </c>
      <c r="T66" s="1075"/>
    </row>
    <row r="67" spans="6:26" hidden="1">
      <c r="H67" s="1075">
        <f>+K42</f>
        <v>1644445999</v>
      </c>
      <c r="K67" s="1075">
        <v>1644445999</v>
      </c>
      <c r="L67" s="396">
        <f>+K42</f>
        <v>1644445999</v>
      </c>
      <c r="O67" s="396">
        <f>+H67-K67</f>
        <v>0</v>
      </c>
      <c r="R67" s="396">
        <f>+K67-L67</f>
        <v>0</v>
      </c>
      <c r="T67" s="1075"/>
      <c r="U67" s="1075"/>
      <c r="V67" s="1075"/>
      <c r="W67" s="1075"/>
      <c r="X67" s="1075"/>
      <c r="Y67" s="1075"/>
      <c r="Z67" s="1075"/>
    </row>
    <row r="68" spans="6:26" hidden="1">
      <c r="H68" s="1075">
        <f>+K43</f>
        <v>234392917</v>
      </c>
      <c r="K68" s="1075">
        <v>234392917</v>
      </c>
      <c r="L68" s="396">
        <f>+K43</f>
        <v>234392917</v>
      </c>
      <c r="O68" s="396">
        <f>+H68-K68</f>
        <v>0</v>
      </c>
      <c r="R68" s="396">
        <f>+K68-L68</f>
        <v>0</v>
      </c>
    </row>
    <row r="69" spans="6:26" hidden="1">
      <c r="H69" s="1075">
        <f>+K44</f>
        <v>102382960</v>
      </c>
      <c r="K69" s="1075">
        <v>102382960</v>
      </c>
      <c r="L69" s="396">
        <f>+K44</f>
        <v>102382960</v>
      </c>
      <c r="O69" s="396">
        <f>+H69-K69</f>
        <v>0</v>
      </c>
      <c r="R69" s="396">
        <f>+K69-L69</f>
        <v>0</v>
      </c>
    </row>
    <row r="70" spans="6:26" hidden="1">
      <c r="H70" s="1075">
        <f>+K46</f>
        <v>15359103</v>
      </c>
      <c r="K70" s="1075">
        <v>15359103</v>
      </c>
      <c r="L70" s="396">
        <f>+K46</f>
        <v>15359103</v>
      </c>
      <c r="O70" s="396">
        <f>+H70-K70</f>
        <v>0</v>
      </c>
      <c r="R70" s="396">
        <f>+K70-L70</f>
        <v>0</v>
      </c>
      <c r="T70" s="1075"/>
      <c r="U70" s="1075"/>
      <c r="V70" s="1075"/>
      <c r="W70" s="1075"/>
      <c r="X70" s="1075"/>
      <c r="Y70" s="1075"/>
      <c r="Z70" s="1075"/>
    </row>
    <row r="71" spans="6:26" hidden="1">
      <c r="H71" s="1075">
        <f>SUM(H67:H70)</f>
        <v>1996580979</v>
      </c>
      <c r="I71" s="1075">
        <f>SUM(I67:I70)</f>
        <v>0</v>
      </c>
      <c r="J71" s="1075">
        <f>SUM(J67:J70)</f>
        <v>0</v>
      </c>
      <c r="K71" s="1075">
        <f>SUM(K67:K70)</f>
        <v>1996580979</v>
      </c>
      <c r="L71" s="1075">
        <f>SUM(L67:L70)</f>
        <v>1996580979</v>
      </c>
      <c r="M71" s="1075"/>
      <c r="N71" s="1075"/>
      <c r="O71" s="396">
        <f>+H71-K71</f>
        <v>0</v>
      </c>
      <c r="P71" s="1075"/>
      <c r="Q71" s="1075"/>
      <c r="R71" s="396">
        <f>+K71-L71</f>
        <v>0</v>
      </c>
      <c r="T71" s="1075"/>
      <c r="U71" s="1075"/>
      <c r="V71" s="1075"/>
      <c r="W71" s="1075"/>
      <c r="X71" s="1075"/>
      <c r="Y71" s="1075"/>
      <c r="Z71" s="1075"/>
    </row>
    <row r="72" spans="6:26">
      <c r="I72" s="460"/>
      <c r="K72" s="1075"/>
      <c r="T72" s="1075"/>
      <c r="U72" s="1075"/>
      <c r="V72" s="1075"/>
      <c r="W72" s="1075"/>
      <c r="X72" s="1075"/>
      <c r="Y72" s="1075"/>
      <c r="Z72" s="1075"/>
    </row>
    <row r="73" spans="6:26">
      <c r="T73" s="1075"/>
      <c r="U73" s="1075"/>
      <c r="V73" s="1075"/>
      <c r="W73" s="1075"/>
      <c r="X73" s="1075"/>
      <c r="Y73" s="1075"/>
      <c r="Z73" s="1075">
        <f>SUM(Z70:Z72)</f>
        <v>0</v>
      </c>
    </row>
    <row r="77" spans="6:26">
      <c r="F77" s="1075"/>
      <c r="G77" s="1075"/>
      <c r="H77" s="1075"/>
      <c r="I77" s="1075"/>
      <c r="J77" s="1075"/>
    </row>
    <row r="78" spans="6:26">
      <c r="F78" s="1075"/>
    </row>
    <row r="79" spans="6:26">
      <c r="F79" s="1075"/>
    </row>
    <row r="80" spans="6:26">
      <c r="F80" s="1075"/>
    </row>
  </sheetData>
  <sheetProtection algorithmName="SHA-512" hashValue="Tg/CkP8LTlorLzeoZMzZggNM/UkcjEcKU+q7wBhJzqYlbS2Lky/JKJDYdMU2cUxhvzFS/HY1AZM4aZc8k8OVKg==" saltValue="tDYE9dDt/LMkVaXFL2EiIg==" spinCount="100000" sheet="1" selectLockedCells="1" selectUnlockedCells="1"/>
  <mergeCells count="4">
    <mergeCell ref="F59:G59"/>
    <mergeCell ref="A1:AJ1"/>
    <mergeCell ref="A3:B3"/>
    <mergeCell ref="A2:AJ2"/>
  </mergeCells>
  <printOptions horizontalCentered="1"/>
  <pageMargins left="0.15748031496062992" right="0.19685039370078741" top="0.55118110236220474" bottom="0.98425196850393704" header="0.51181102362204722" footer="0.78740157480314965"/>
  <pageSetup paperSize="9" scale="57" firstPageNumber="0" orientation="portrait" r:id="rId1"/>
  <headerFooter alignWithMargins="0">
    <oddFooter>&amp;C&amp;"Arial CE,Félkövér"&amp;14&amp;P/&amp;N</oddFooter>
  </headerFooter>
  <colBreaks count="1" manualBreakCount="1">
    <brk id="26"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0BFE-A138-466A-AAEE-2C9D42F94DB8}">
  <sheetPr>
    <tabColor theme="5" tint="0.39997558519241921"/>
    <pageSetUpPr fitToPage="1"/>
  </sheetPr>
  <dimension ref="A1:AA31"/>
  <sheetViews>
    <sheetView view="pageBreakPreview" zoomScale="90" zoomScaleNormal="85" zoomScaleSheetLayoutView="90" workbookViewId="0">
      <pane xSplit="2" ySplit="1" topLeftCell="C2" activePane="bottomRight" state="frozen"/>
      <selection sqref="A1:Q1"/>
      <selection pane="topRight" sqref="A1:Q1"/>
      <selection pane="bottomLeft" sqref="A1:Q1"/>
      <selection pane="bottomRight" activeCell="P1" sqref="P1"/>
    </sheetView>
  </sheetViews>
  <sheetFormatPr defaultRowHeight="12.75"/>
  <cols>
    <col min="1" max="1" width="6.28515625" style="95" customWidth="1"/>
    <col min="2" max="2" width="40.140625" style="95" customWidth="1"/>
    <col min="3" max="3" width="6" style="462" hidden="1" customWidth="1"/>
    <col min="4" max="4" width="11.85546875" style="95" hidden="1" customWidth="1"/>
    <col min="5" max="5" width="4" style="95" hidden="1" customWidth="1"/>
    <col min="6" max="6" width="11.85546875" style="463" hidden="1" customWidth="1"/>
    <col min="7" max="7" width="13.42578125" style="95" hidden="1" customWidth="1"/>
    <col min="8" max="8" width="11.85546875" style="95" hidden="1" customWidth="1"/>
    <col min="9" max="9" width="13.5703125" style="464" hidden="1" customWidth="1"/>
    <col min="10" max="10" width="13.5703125" style="464" bestFit="1" customWidth="1"/>
    <col min="11" max="11" width="13.5703125" style="304" bestFit="1" customWidth="1"/>
    <col min="12" max="14" width="15.85546875" style="95" bestFit="1" customWidth="1"/>
    <col min="15" max="15" width="15.85546875" style="304" hidden="1" customWidth="1"/>
    <col min="16" max="16" width="13.7109375" style="465" customWidth="1"/>
    <col min="17" max="17" width="13.5703125" style="465" hidden="1" customWidth="1"/>
    <col min="18" max="18" width="11.5703125" style="466" hidden="1" customWidth="1"/>
    <col min="19" max="19" width="10.42578125" style="95" hidden="1" customWidth="1"/>
    <col min="20" max="20" width="11" style="95" customWidth="1"/>
    <col min="21" max="21" width="8.5703125" style="95" hidden="1" customWidth="1"/>
    <col min="22" max="22" width="11.7109375" style="304" hidden="1" customWidth="1"/>
    <col min="23" max="23" width="10.140625" style="95" hidden="1" customWidth="1"/>
    <col min="24" max="24" width="2.85546875" style="95" customWidth="1"/>
    <col min="25" max="25" width="13.7109375" style="95" customWidth="1"/>
    <col min="26" max="16384" width="9.140625" style="95"/>
  </cols>
  <sheetData>
    <row r="1" spans="1:27" s="467" customFormat="1" ht="57.75" customHeight="1">
      <c r="A1" s="467" t="s">
        <v>1306</v>
      </c>
      <c r="B1" s="468" t="s">
        <v>136</v>
      </c>
      <c r="C1" s="469" t="s">
        <v>504</v>
      </c>
      <c r="D1" s="470" t="s">
        <v>505</v>
      </c>
      <c r="E1" s="471" t="s">
        <v>506</v>
      </c>
      <c r="F1" s="471" t="s">
        <v>1187</v>
      </c>
      <c r="G1" s="471" t="s">
        <v>508</v>
      </c>
      <c r="H1" s="471" t="s">
        <v>509</v>
      </c>
      <c r="I1" s="472" t="str">
        <f>+'1. mell.ÖSSZEVONT_MÉRLEG'!C5</f>
        <v>2024. évi eredeti előirányzat
forintban</v>
      </c>
      <c r="J1" s="2590" t="s">
        <v>3813</v>
      </c>
      <c r="K1" s="42" t="str">
        <f>+'1. mell.ÖSSZEVONT_MÉRLEG'!E5</f>
        <v>2025. évi eredeti előirányzat forintban</v>
      </c>
      <c r="L1" s="42" t="str">
        <f>+'1. mell.ÖSSZEVONT_MÉRLEG'!F5</f>
        <v>2025. évi I. számú módosított előirányzat
forintban</v>
      </c>
      <c r="M1" s="42" t="str">
        <f>+'1. mell.ÖSSZEVONT_MÉRLEG'!G5</f>
        <v>2025. évi II. számú módosított előirányzat forintban</v>
      </c>
      <c r="N1" s="42" t="str">
        <f>+'1. mell.ÖSSZEVONT_MÉRLEG'!H5</f>
        <v>2025. évi III. számú módosított előirányzat forintban</v>
      </c>
      <c r="O1" s="42" t="str">
        <f>+'1. mell.ÖSSZEVONT_MÉRLEG'!I5</f>
        <v>2025. évi IV. számú módosított előirányzat forintban</v>
      </c>
      <c r="P1" s="473" t="str">
        <f>+'10. PMH személyi jutt.és jár-ok'!P4</f>
        <v>2025. évi
teljesítés forintban</v>
      </c>
      <c r="Q1" s="473" t="s">
        <v>3699</v>
      </c>
      <c r="R1" s="1250" t="s">
        <v>1307</v>
      </c>
      <c r="S1" s="1250" t="s">
        <v>1308</v>
      </c>
      <c r="T1" s="1250" t="s">
        <v>1309</v>
      </c>
      <c r="U1" s="1250" t="s">
        <v>3290</v>
      </c>
      <c r="V1" s="474" t="s">
        <v>510</v>
      </c>
      <c r="W1" s="475" t="s">
        <v>511</v>
      </c>
      <c r="Y1" s="3010" t="s">
        <v>3984</v>
      </c>
    </row>
    <row r="2" spans="1:27" s="467" customFormat="1" ht="30" customHeight="1">
      <c r="B2" s="476" t="s">
        <v>1310</v>
      </c>
      <c r="C2" s="471" t="s">
        <v>656</v>
      </c>
      <c r="D2" s="477" t="s">
        <v>1311</v>
      </c>
      <c r="E2" s="478">
        <v>2</v>
      </c>
      <c r="F2" s="479" t="s">
        <v>1312</v>
      </c>
      <c r="G2" s="480" t="s">
        <v>1313</v>
      </c>
      <c r="H2" s="481" t="s">
        <v>744</v>
      </c>
      <c r="I2" s="482">
        <f>6500000</f>
        <v>6500000</v>
      </c>
      <c r="J2" s="2734">
        <v>3944114</v>
      </c>
      <c r="K2" s="482">
        <v>4155400</v>
      </c>
      <c r="L2" s="482">
        <f t="shared" ref="L2:O3" si="0">+K2</f>
        <v>4155400</v>
      </c>
      <c r="M2" s="482">
        <f t="shared" si="0"/>
        <v>4155400</v>
      </c>
      <c r="N2" s="482">
        <f>+M2+1034639</f>
        <v>5190039</v>
      </c>
      <c r="O2" s="482">
        <f t="shared" si="0"/>
        <v>5190039</v>
      </c>
      <c r="P2" s="2224">
        <v>5190039</v>
      </c>
      <c r="Q2" s="465">
        <f>+K2-I2</f>
        <v>-2344600</v>
      </c>
      <c r="R2" s="466">
        <f>+L2-K2</f>
        <v>0</v>
      </c>
      <c r="S2" s="466">
        <f t="shared" ref="S2:S24" si="1">+M2-L2</f>
        <v>0</v>
      </c>
      <c r="T2" s="466">
        <f t="shared" ref="T2:T24" si="2">+N2-M2</f>
        <v>1034639</v>
      </c>
      <c r="U2" s="466">
        <f t="shared" ref="U2:U24" si="3">+O2-N2</f>
        <v>0</v>
      </c>
      <c r="V2" s="484"/>
      <c r="W2" s="475"/>
      <c r="X2" s="29"/>
      <c r="Y2" s="1270">
        <f>+N2-P2</f>
        <v>0</v>
      </c>
    </row>
    <row r="3" spans="1:27" s="467" customFormat="1" ht="25.5">
      <c r="B3" s="476" t="s">
        <v>1314</v>
      </c>
      <c r="C3" s="479" t="s">
        <v>512</v>
      </c>
      <c r="D3" s="478" t="s">
        <v>1315</v>
      </c>
      <c r="E3" s="478">
        <v>2</v>
      </c>
      <c r="F3" s="479" t="s">
        <v>534</v>
      </c>
      <c r="G3" s="480" t="s">
        <v>1316</v>
      </c>
      <c r="H3" s="470" t="s">
        <v>940</v>
      </c>
      <c r="I3" s="482">
        <f>400000</f>
        <v>400000</v>
      </c>
      <c r="J3" s="2734"/>
      <c r="K3" s="482">
        <v>0</v>
      </c>
      <c r="L3" s="482">
        <f t="shared" si="0"/>
        <v>0</v>
      </c>
      <c r="M3" s="482">
        <f t="shared" si="0"/>
        <v>0</v>
      </c>
      <c r="N3" s="482">
        <f t="shared" si="0"/>
        <v>0</v>
      </c>
      <c r="O3" s="482">
        <f t="shared" si="0"/>
        <v>0</v>
      </c>
      <c r="P3" s="483"/>
      <c r="Q3" s="465">
        <f t="shared" ref="Q3:Q25" si="4">+K3-I3</f>
        <v>-400000</v>
      </c>
      <c r="R3" s="466">
        <f>+L3-K3</f>
        <v>0</v>
      </c>
      <c r="S3" s="466">
        <f t="shared" si="1"/>
        <v>0</v>
      </c>
      <c r="T3" s="466">
        <f t="shared" si="2"/>
        <v>0</v>
      </c>
      <c r="U3" s="466">
        <f t="shared" si="3"/>
        <v>0</v>
      </c>
      <c r="V3" s="484"/>
      <c r="W3" s="475"/>
      <c r="X3" s="29"/>
      <c r="Y3" s="483">
        <f t="shared" ref="Y3:Y20" si="5">+N3-P3</f>
        <v>0</v>
      </c>
    </row>
    <row r="4" spans="1:27" ht="12.75" customHeight="1">
      <c r="B4" s="485" t="s">
        <v>228</v>
      </c>
      <c r="C4" s="479"/>
      <c r="D4" s="478"/>
      <c r="E4" s="478"/>
      <c r="F4" s="479"/>
      <c r="G4" s="480"/>
      <c r="H4" s="470"/>
      <c r="I4" s="486">
        <f t="shared" ref="I4:P4" si="6">SUM(I2:I3)</f>
        <v>6900000</v>
      </c>
      <c r="J4" s="2735">
        <f t="shared" si="6"/>
        <v>3944114</v>
      </c>
      <c r="K4" s="486">
        <f t="shared" si="6"/>
        <v>4155400</v>
      </c>
      <c r="L4" s="486">
        <f t="shared" si="6"/>
        <v>4155400</v>
      </c>
      <c r="M4" s="486">
        <f t="shared" si="6"/>
        <v>4155400</v>
      </c>
      <c r="N4" s="486">
        <f t="shared" si="6"/>
        <v>5190039</v>
      </c>
      <c r="O4" s="486">
        <f t="shared" si="6"/>
        <v>5190039</v>
      </c>
      <c r="P4" s="487">
        <f t="shared" si="6"/>
        <v>5190039</v>
      </c>
      <c r="Q4" s="465">
        <f t="shared" si="4"/>
        <v>-2744600</v>
      </c>
      <c r="R4" s="466">
        <f>+L4-K4</f>
        <v>0</v>
      </c>
      <c r="S4" s="466">
        <f t="shared" si="1"/>
        <v>0</v>
      </c>
      <c r="T4" s="466">
        <f t="shared" si="2"/>
        <v>1034639</v>
      </c>
      <c r="U4" s="466">
        <f t="shared" si="3"/>
        <v>0</v>
      </c>
      <c r="V4" s="488">
        <f>+K4/1.27</f>
        <v>3271968.5039370079</v>
      </c>
      <c r="W4" s="489">
        <f>+V4*0.27</f>
        <v>883431.49606299214</v>
      </c>
      <c r="X4" s="29"/>
      <c r="Y4" s="487">
        <f t="shared" si="5"/>
        <v>0</v>
      </c>
    </row>
    <row r="5" spans="1:27" ht="12.75" customHeight="1">
      <c r="B5" s="476" t="s">
        <v>1317</v>
      </c>
      <c r="C5" s="479" t="s">
        <v>512</v>
      </c>
      <c r="D5" s="478" t="s">
        <v>890</v>
      </c>
      <c r="E5" s="478">
        <v>2</v>
      </c>
      <c r="F5" s="479" t="s">
        <v>534</v>
      </c>
      <c r="G5" s="480" t="s">
        <v>1316</v>
      </c>
      <c r="H5" s="490" t="s">
        <v>891</v>
      </c>
      <c r="I5" s="482">
        <v>2000000</v>
      </c>
      <c r="J5" s="2734">
        <v>324000</v>
      </c>
      <c r="K5" s="482">
        <v>336000</v>
      </c>
      <c r="L5" s="482">
        <f t="shared" ref="L5:L12" si="7">+K5</f>
        <v>336000</v>
      </c>
      <c r="M5" s="482">
        <f t="shared" ref="M5:M12" si="8">+L5</f>
        <v>336000</v>
      </c>
      <c r="N5" s="482">
        <f>+M5-64000</f>
        <v>272000</v>
      </c>
      <c r="O5" s="482">
        <f t="shared" ref="O5:O12" si="9">+N5</f>
        <v>272000</v>
      </c>
      <c r="P5" s="2224">
        <v>272000</v>
      </c>
      <c r="Q5" s="465">
        <f t="shared" si="4"/>
        <v>-1664000</v>
      </c>
      <c r="R5" s="466">
        <f>+L5-K5</f>
        <v>0</v>
      </c>
      <c r="S5" s="466">
        <f t="shared" si="1"/>
        <v>0</v>
      </c>
      <c r="T5" s="466">
        <f t="shared" si="2"/>
        <v>-64000</v>
      </c>
      <c r="U5" s="466">
        <f t="shared" si="3"/>
        <v>0</v>
      </c>
      <c r="V5" s="488"/>
      <c r="W5" s="476"/>
      <c r="Y5" s="1270">
        <f t="shared" si="5"/>
        <v>0</v>
      </c>
    </row>
    <row r="6" spans="1:27" ht="12.75" customHeight="1">
      <c r="B6" s="476" t="s">
        <v>1277</v>
      </c>
      <c r="C6" s="479" t="s">
        <v>512</v>
      </c>
      <c r="D6" s="478" t="s">
        <v>1318</v>
      </c>
      <c r="E6" s="478">
        <v>2</v>
      </c>
      <c r="F6" s="479" t="s">
        <v>534</v>
      </c>
      <c r="G6" s="480" t="s">
        <v>1316</v>
      </c>
      <c r="H6" s="490" t="s">
        <v>900</v>
      </c>
      <c r="I6" s="482">
        <f>0+3443419</f>
        <v>3443419</v>
      </c>
      <c r="J6" s="2734">
        <v>1876463</v>
      </c>
      <c r="K6" s="482">
        <v>1172000</v>
      </c>
      <c r="L6" s="482">
        <f t="shared" si="7"/>
        <v>1172000</v>
      </c>
      <c r="M6" s="482">
        <f>+L6</f>
        <v>1172000</v>
      </c>
      <c r="N6" s="482">
        <f>+M6-279448</f>
        <v>892552</v>
      </c>
      <c r="O6" s="482">
        <f t="shared" si="9"/>
        <v>892552</v>
      </c>
      <c r="P6" s="2224">
        <v>892552</v>
      </c>
      <c r="Q6" s="465">
        <f t="shared" si="4"/>
        <v>-2271419</v>
      </c>
      <c r="R6" s="466">
        <f t="shared" ref="R6:R24" si="10">+L6-K6</f>
        <v>0</v>
      </c>
      <c r="S6" s="466">
        <f t="shared" si="1"/>
        <v>0</v>
      </c>
      <c r="T6" s="466">
        <f t="shared" si="2"/>
        <v>-279448</v>
      </c>
      <c r="U6" s="466">
        <f t="shared" si="3"/>
        <v>0</v>
      </c>
      <c r="V6" s="488"/>
      <c r="W6" s="476"/>
      <c r="Y6" s="1270">
        <f t="shared" si="5"/>
        <v>0</v>
      </c>
    </row>
    <row r="7" spans="1:27" ht="13.5" customHeight="1">
      <c r="B7" s="476" t="s">
        <v>3185</v>
      </c>
      <c r="C7" s="479"/>
      <c r="D7" s="476"/>
      <c r="E7" s="476"/>
      <c r="F7" s="491"/>
      <c r="G7" s="476"/>
      <c r="H7" s="476"/>
      <c r="I7" s="482">
        <f>2720000</f>
        <v>2720000</v>
      </c>
      <c r="J7" s="2734">
        <v>1848838</v>
      </c>
      <c r="K7" s="482">
        <v>1936700</v>
      </c>
      <c r="L7" s="482">
        <f t="shared" si="7"/>
        <v>1936700</v>
      </c>
      <c r="M7" s="482">
        <f t="shared" si="8"/>
        <v>1936700</v>
      </c>
      <c r="N7" s="482">
        <f>+M7+29989</f>
        <v>1966689</v>
      </c>
      <c r="O7" s="482">
        <f t="shared" si="9"/>
        <v>1966689</v>
      </c>
      <c r="P7" s="2224">
        <f>8229+557149+1401311</f>
        <v>1966689</v>
      </c>
      <c r="Q7" s="465">
        <f t="shared" si="4"/>
        <v>-783300</v>
      </c>
      <c r="R7" s="466">
        <f t="shared" si="10"/>
        <v>0</v>
      </c>
      <c r="S7" s="466">
        <f t="shared" si="1"/>
        <v>0</v>
      </c>
      <c r="T7" s="466">
        <f t="shared" si="2"/>
        <v>29989</v>
      </c>
      <c r="U7" s="466">
        <f t="shared" si="3"/>
        <v>0</v>
      </c>
      <c r="V7" s="488"/>
      <c r="W7" s="476"/>
      <c r="Y7" s="2224">
        <f t="shared" si="5"/>
        <v>0</v>
      </c>
    </row>
    <row r="8" spans="1:27" ht="13.5" customHeight="1">
      <c r="B8" s="476" t="s">
        <v>1319</v>
      </c>
      <c r="C8" s="479"/>
      <c r="D8" s="476"/>
      <c r="E8" s="476"/>
      <c r="F8" s="491"/>
      <c r="G8" s="476"/>
      <c r="H8" s="476"/>
      <c r="I8" s="482">
        <v>0</v>
      </c>
      <c r="J8" s="2734"/>
      <c r="K8" s="482">
        <v>0</v>
      </c>
      <c r="L8" s="482">
        <f t="shared" si="7"/>
        <v>0</v>
      </c>
      <c r="M8" s="482">
        <f t="shared" si="8"/>
        <v>0</v>
      </c>
      <c r="N8" s="482">
        <f>+M8</f>
        <v>0</v>
      </c>
      <c r="O8" s="482">
        <f t="shared" si="9"/>
        <v>0</v>
      </c>
      <c r="P8" s="2224"/>
      <c r="Q8" s="465">
        <f t="shared" si="4"/>
        <v>0</v>
      </c>
      <c r="R8" s="466">
        <f t="shared" si="10"/>
        <v>0</v>
      </c>
      <c r="S8" s="466">
        <f t="shared" si="1"/>
        <v>0</v>
      </c>
      <c r="T8" s="466">
        <f t="shared" si="2"/>
        <v>0</v>
      </c>
      <c r="U8" s="466">
        <f t="shared" si="3"/>
        <v>0</v>
      </c>
      <c r="V8" s="488"/>
      <c r="W8" s="476"/>
      <c r="Y8" s="2224">
        <f t="shared" si="5"/>
        <v>0</v>
      </c>
    </row>
    <row r="9" spans="1:27" ht="13.5" customHeight="1">
      <c r="B9" s="476" t="s">
        <v>1320</v>
      </c>
      <c r="C9" s="479"/>
      <c r="D9" s="476"/>
      <c r="E9" s="476"/>
      <c r="F9" s="491"/>
      <c r="G9" s="476"/>
      <c r="H9" s="476"/>
      <c r="I9" s="482">
        <v>0</v>
      </c>
      <c r="J9" s="2734">
        <v>0</v>
      </c>
      <c r="K9" s="482">
        <v>0</v>
      </c>
      <c r="L9" s="482">
        <f t="shared" si="7"/>
        <v>0</v>
      </c>
      <c r="M9" s="482">
        <f t="shared" si="8"/>
        <v>0</v>
      </c>
      <c r="N9" s="482">
        <f>+M9</f>
        <v>0</v>
      </c>
      <c r="O9" s="482">
        <f t="shared" si="9"/>
        <v>0</v>
      </c>
      <c r="P9" s="483">
        <f>+O9</f>
        <v>0</v>
      </c>
      <c r="Q9" s="465">
        <f t="shared" si="4"/>
        <v>0</v>
      </c>
      <c r="R9" s="466">
        <f t="shared" si="10"/>
        <v>0</v>
      </c>
      <c r="S9" s="466">
        <f t="shared" si="1"/>
        <v>0</v>
      </c>
      <c r="T9" s="466">
        <f t="shared" si="2"/>
        <v>0</v>
      </c>
      <c r="U9" s="466">
        <f t="shared" si="3"/>
        <v>0</v>
      </c>
      <c r="V9" s="488"/>
      <c r="W9" s="476"/>
      <c r="Y9" s="483">
        <f t="shared" si="5"/>
        <v>0</v>
      </c>
    </row>
    <row r="10" spans="1:27" ht="13.5" customHeight="1">
      <c r="B10" s="476" t="str">
        <f>+'9. mell. PMH'!C19</f>
        <v>Egyéb működési bevételek</v>
      </c>
      <c r="C10" s="479" t="s">
        <v>512</v>
      </c>
      <c r="D10" s="478" t="s">
        <v>1315</v>
      </c>
      <c r="E10" s="478">
        <v>2</v>
      </c>
      <c r="F10" s="479" t="s">
        <v>534</v>
      </c>
      <c r="G10" s="480" t="s">
        <v>763</v>
      </c>
      <c r="H10" s="470" t="s">
        <v>940</v>
      </c>
      <c r="I10" s="482">
        <v>0</v>
      </c>
      <c r="J10" s="2734">
        <v>916157</v>
      </c>
      <c r="K10" s="482">
        <v>968000</v>
      </c>
      <c r="L10" s="482">
        <f t="shared" si="7"/>
        <v>968000</v>
      </c>
      <c r="M10" s="482">
        <f t="shared" si="8"/>
        <v>968000</v>
      </c>
      <c r="N10" s="482">
        <f>+M10-482995</f>
        <v>485005</v>
      </c>
      <c r="O10" s="482">
        <f t="shared" si="9"/>
        <v>485005</v>
      </c>
      <c r="P10" s="2224">
        <f>2500+482505</f>
        <v>485005</v>
      </c>
      <c r="Q10" s="465">
        <f t="shared" si="4"/>
        <v>968000</v>
      </c>
      <c r="R10" s="466">
        <f t="shared" si="10"/>
        <v>0</v>
      </c>
      <c r="S10" s="466">
        <f t="shared" si="1"/>
        <v>0</v>
      </c>
      <c r="T10" s="466">
        <f t="shared" si="2"/>
        <v>-482995</v>
      </c>
      <c r="U10" s="466">
        <f t="shared" si="3"/>
        <v>0</v>
      </c>
      <c r="V10" s="488"/>
      <c r="W10" s="476"/>
      <c r="Y10" s="1270">
        <f t="shared" si="5"/>
        <v>0</v>
      </c>
    </row>
    <row r="11" spans="1:27" ht="13.5" customHeight="1">
      <c r="B11" s="476" t="s">
        <v>1321</v>
      </c>
      <c r="C11" s="479" t="s">
        <v>512</v>
      </c>
      <c r="D11" s="478" t="s">
        <v>771</v>
      </c>
      <c r="E11" s="478">
        <v>2</v>
      </c>
      <c r="F11" s="479" t="s">
        <v>534</v>
      </c>
      <c r="G11" s="478">
        <v>9990001</v>
      </c>
      <c r="H11" s="478" t="s">
        <v>767</v>
      </c>
      <c r="I11" s="482">
        <f>850000</f>
        <v>850000</v>
      </c>
      <c r="J11" s="2734">
        <v>364603</v>
      </c>
      <c r="K11" s="482">
        <v>395100</v>
      </c>
      <c r="L11" s="482">
        <f t="shared" si="7"/>
        <v>395100</v>
      </c>
      <c r="M11" s="482">
        <f t="shared" si="8"/>
        <v>395100</v>
      </c>
      <c r="N11" s="482">
        <f>+M11-356622</f>
        <v>38478</v>
      </c>
      <c r="O11" s="482">
        <f t="shared" si="9"/>
        <v>38478</v>
      </c>
      <c r="P11" s="2224">
        <v>38478</v>
      </c>
      <c r="Q11" s="465">
        <f t="shared" si="4"/>
        <v>-454900</v>
      </c>
      <c r="R11" s="466">
        <f t="shared" si="10"/>
        <v>0</v>
      </c>
      <c r="S11" s="466">
        <f t="shared" si="1"/>
        <v>0</v>
      </c>
      <c r="T11" s="466">
        <f t="shared" si="2"/>
        <v>-356622</v>
      </c>
      <c r="U11" s="466">
        <f t="shared" si="3"/>
        <v>0</v>
      </c>
      <c r="V11" s="488">
        <f>+K11/1.27</f>
        <v>311102.3622047244</v>
      </c>
      <c r="W11" s="489">
        <f>+V11*0.27</f>
        <v>83997.637795275587</v>
      </c>
      <c r="X11" s="29"/>
      <c r="Y11" s="1270">
        <f t="shared" si="5"/>
        <v>0</v>
      </c>
    </row>
    <row r="12" spans="1:27" ht="13.5" customHeight="1">
      <c r="B12" s="476" t="s">
        <v>1322</v>
      </c>
      <c r="C12" s="479" t="s">
        <v>736</v>
      </c>
      <c r="D12" s="478" t="s">
        <v>846</v>
      </c>
      <c r="E12" s="478"/>
      <c r="F12" s="479" t="s">
        <v>751</v>
      </c>
      <c r="G12" s="478">
        <v>680002</v>
      </c>
      <c r="H12" s="470" t="s">
        <v>723</v>
      </c>
      <c r="I12" s="482">
        <f>2600000</f>
        <v>2600000</v>
      </c>
      <c r="J12" s="2734">
        <v>2551858</v>
      </c>
      <c r="K12" s="482">
        <v>2635690</v>
      </c>
      <c r="L12" s="482">
        <f t="shared" si="7"/>
        <v>2635690</v>
      </c>
      <c r="M12" s="482">
        <f t="shared" si="8"/>
        <v>2635690</v>
      </c>
      <c r="N12" s="482">
        <f>+M12-572177</f>
        <v>2063513</v>
      </c>
      <c r="O12" s="482">
        <f t="shared" si="9"/>
        <v>2063513</v>
      </c>
      <c r="P12" s="2224">
        <v>2063513</v>
      </c>
      <c r="Q12" s="465">
        <f t="shared" si="4"/>
        <v>35690</v>
      </c>
      <c r="R12" s="466">
        <f t="shared" si="10"/>
        <v>0</v>
      </c>
      <c r="S12" s="466">
        <f t="shared" si="1"/>
        <v>0</v>
      </c>
      <c r="T12" s="466">
        <f t="shared" si="2"/>
        <v>-572177</v>
      </c>
      <c r="U12" s="466">
        <f t="shared" si="3"/>
        <v>0</v>
      </c>
      <c r="V12" s="488">
        <f>+K12/1.27</f>
        <v>2075346.4566929133</v>
      </c>
      <c r="W12" s="489">
        <f>+V12*0.27</f>
        <v>560343.54330708669</v>
      </c>
      <c r="X12" s="29"/>
      <c r="Y12" s="1270">
        <f t="shared" si="5"/>
        <v>0</v>
      </c>
    </row>
    <row r="13" spans="1:27" s="492" customFormat="1">
      <c r="B13" s="493" t="s">
        <v>1323</v>
      </c>
      <c r="C13" s="494"/>
      <c r="D13" s="478"/>
      <c r="E13" s="493"/>
      <c r="F13" s="495"/>
      <c r="G13" s="493"/>
      <c r="H13" s="493"/>
      <c r="I13" s="496">
        <f t="shared" ref="I13:P13" si="11">SUM(I4:I12)</f>
        <v>18513419</v>
      </c>
      <c r="J13" s="2736">
        <f t="shared" si="11"/>
        <v>11826033</v>
      </c>
      <c r="K13" s="496">
        <f t="shared" si="11"/>
        <v>11598890</v>
      </c>
      <c r="L13" s="496">
        <f t="shared" si="11"/>
        <v>11598890</v>
      </c>
      <c r="M13" s="496">
        <f t="shared" si="11"/>
        <v>11598890</v>
      </c>
      <c r="N13" s="496">
        <f t="shared" si="11"/>
        <v>10908276</v>
      </c>
      <c r="O13" s="496">
        <f t="shared" si="11"/>
        <v>10908276</v>
      </c>
      <c r="P13" s="497">
        <f t="shared" si="11"/>
        <v>10908276</v>
      </c>
      <c r="Q13" s="465">
        <f t="shared" si="4"/>
        <v>-6914529</v>
      </c>
      <c r="R13" s="466">
        <f t="shared" si="10"/>
        <v>0</v>
      </c>
      <c r="S13" s="466">
        <f t="shared" si="1"/>
        <v>0</v>
      </c>
      <c r="T13" s="466">
        <f t="shared" si="2"/>
        <v>-690614</v>
      </c>
      <c r="U13" s="466">
        <f t="shared" si="3"/>
        <v>0</v>
      </c>
      <c r="V13" s="498"/>
      <c r="W13" s="485"/>
      <c r="Y13" s="497">
        <f t="shared" si="5"/>
        <v>0</v>
      </c>
    </row>
    <row r="14" spans="1:27" s="492" customFormat="1">
      <c r="B14" s="493" t="s">
        <v>393</v>
      </c>
      <c r="C14" s="499" t="s">
        <v>512</v>
      </c>
      <c r="D14" s="478" t="s">
        <v>1324</v>
      </c>
      <c r="E14" s="478">
        <v>2</v>
      </c>
      <c r="F14" s="479" t="s">
        <v>534</v>
      </c>
      <c r="G14" s="478">
        <v>9990001</v>
      </c>
      <c r="H14" s="500" t="s">
        <v>658</v>
      </c>
      <c r="I14" s="496">
        <f>150000</f>
        <v>150000</v>
      </c>
      <c r="J14" s="2736">
        <v>1624000</v>
      </c>
      <c r="K14" s="496">
        <v>1601500</v>
      </c>
      <c r="L14" s="496">
        <f t="shared" ref="L14:O17" si="12">+K14</f>
        <v>1601500</v>
      </c>
      <c r="M14" s="496">
        <f t="shared" si="12"/>
        <v>1601500</v>
      </c>
      <c r="N14" s="496">
        <f>+M14-139949</f>
        <v>1461551</v>
      </c>
      <c r="O14" s="496">
        <f t="shared" si="12"/>
        <v>1461551</v>
      </c>
      <c r="P14" s="497">
        <v>1461551</v>
      </c>
      <c r="Q14" s="465">
        <f t="shared" si="4"/>
        <v>1451500</v>
      </c>
      <c r="R14" s="466">
        <f t="shared" si="10"/>
        <v>0</v>
      </c>
      <c r="S14" s="466">
        <f t="shared" si="1"/>
        <v>0</v>
      </c>
      <c r="T14" s="466">
        <f t="shared" si="2"/>
        <v>-139949</v>
      </c>
      <c r="U14" s="466">
        <f t="shared" si="3"/>
        <v>0</v>
      </c>
      <c r="V14" s="498"/>
      <c r="W14" s="485"/>
      <c r="Y14" s="497">
        <f t="shared" si="5"/>
        <v>0</v>
      </c>
      <c r="Z14" s="504">
        <f>+(N13+N14)-(P13+P14)</f>
        <v>0</v>
      </c>
      <c r="AA14" s="504">
        <v>830563</v>
      </c>
    </row>
    <row r="15" spans="1:27" ht="38.25">
      <c r="B15" s="1093" t="s">
        <v>3622</v>
      </c>
      <c r="C15" s="479" t="s">
        <v>512</v>
      </c>
      <c r="D15" s="478" t="s">
        <v>1325</v>
      </c>
      <c r="E15" s="478">
        <v>2</v>
      </c>
      <c r="F15" s="479" t="s">
        <v>534</v>
      </c>
      <c r="G15" s="478">
        <v>9990001</v>
      </c>
      <c r="H15" s="478" t="s">
        <v>1326</v>
      </c>
      <c r="I15" s="482">
        <v>0</v>
      </c>
      <c r="J15" s="2734">
        <v>0</v>
      </c>
      <c r="K15" s="482">
        <f>0</f>
        <v>0</v>
      </c>
      <c r="L15" s="482">
        <f t="shared" si="12"/>
        <v>0</v>
      </c>
      <c r="M15" s="482">
        <f t="shared" si="12"/>
        <v>0</v>
      </c>
      <c r="N15" s="482">
        <f t="shared" si="12"/>
        <v>0</v>
      </c>
      <c r="O15" s="482">
        <f t="shared" si="12"/>
        <v>0</v>
      </c>
      <c r="P15" s="483">
        <v>0</v>
      </c>
      <c r="Q15" s="465">
        <f t="shared" si="4"/>
        <v>0</v>
      </c>
      <c r="R15" s="466">
        <f t="shared" si="10"/>
        <v>0</v>
      </c>
      <c r="S15" s="466">
        <f t="shared" si="1"/>
        <v>0</v>
      </c>
      <c r="T15" s="466">
        <f t="shared" si="2"/>
        <v>0</v>
      </c>
      <c r="U15" s="466">
        <f t="shared" si="3"/>
        <v>0</v>
      </c>
      <c r="V15" s="488"/>
      <c r="W15" s="476"/>
      <c r="Y15" s="483">
        <f t="shared" si="5"/>
        <v>0</v>
      </c>
    </row>
    <row r="16" spans="1:27">
      <c r="B16" s="501"/>
      <c r="C16" s="479" t="s">
        <v>512</v>
      </c>
      <c r="D16" s="478" t="s">
        <v>3144</v>
      </c>
      <c r="E16" s="478">
        <v>2</v>
      </c>
      <c r="F16" s="479" t="s">
        <v>1239</v>
      </c>
      <c r="G16" s="478">
        <v>9990001</v>
      </c>
      <c r="H16" s="478"/>
      <c r="I16" s="482">
        <v>0</v>
      </c>
      <c r="J16" s="2734">
        <v>44159152</v>
      </c>
      <c r="K16" s="482">
        <v>0</v>
      </c>
      <c r="L16" s="482">
        <f>+K16</f>
        <v>0</v>
      </c>
      <c r="M16" s="482">
        <f t="shared" si="12"/>
        <v>0</v>
      </c>
      <c r="N16" s="482">
        <f t="shared" si="12"/>
        <v>0</v>
      </c>
      <c r="O16" s="482">
        <f t="shared" si="12"/>
        <v>0</v>
      </c>
      <c r="P16" s="483"/>
      <c r="Q16" s="465">
        <f t="shared" si="4"/>
        <v>0</v>
      </c>
      <c r="R16" s="466">
        <f t="shared" si="10"/>
        <v>0</v>
      </c>
      <c r="S16" s="466">
        <f t="shared" si="1"/>
        <v>0</v>
      </c>
      <c r="T16" s="466">
        <f t="shared" si="2"/>
        <v>0</v>
      </c>
      <c r="U16" s="466">
        <f t="shared" si="3"/>
        <v>0</v>
      </c>
      <c r="V16" s="488"/>
      <c r="W16" s="476"/>
      <c r="Y16" s="483">
        <f t="shared" si="5"/>
        <v>0</v>
      </c>
    </row>
    <row r="17" spans="2:25">
      <c r="B17" s="502" t="s">
        <v>1327</v>
      </c>
      <c r="C17" s="479" t="s">
        <v>512</v>
      </c>
      <c r="D17" s="478" t="s">
        <v>1090</v>
      </c>
      <c r="E17" s="478">
        <v>3</v>
      </c>
      <c r="F17" s="479" t="s">
        <v>534</v>
      </c>
      <c r="G17" s="478">
        <v>9990001</v>
      </c>
      <c r="H17" s="478" t="s">
        <v>1328</v>
      </c>
      <c r="I17" s="482">
        <v>0</v>
      </c>
      <c r="J17" s="2734">
        <v>0</v>
      </c>
      <c r="K17" s="482">
        <v>0</v>
      </c>
      <c r="L17" s="482">
        <f t="shared" si="12"/>
        <v>0</v>
      </c>
      <c r="M17" s="482">
        <f t="shared" si="12"/>
        <v>0</v>
      </c>
      <c r="N17" s="482">
        <f t="shared" si="12"/>
        <v>0</v>
      </c>
      <c r="O17" s="482">
        <f t="shared" si="12"/>
        <v>0</v>
      </c>
      <c r="P17" s="483">
        <v>0</v>
      </c>
      <c r="Q17" s="465">
        <f t="shared" si="4"/>
        <v>0</v>
      </c>
      <c r="R17" s="466">
        <f t="shared" si="10"/>
        <v>0</v>
      </c>
      <c r="S17" s="466">
        <f t="shared" si="1"/>
        <v>0</v>
      </c>
      <c r="T17" s="466">
        <f t="shared" si="2"/>
        <v>0</v>
      </c>
      <c r="U17" s="466">
        <f t="shared" si="3"/>
        <v>0</v>
      </c>
      <c r="V17" s="488"/>
      <c r="W17" s="476"/>
      <c r="Y17" s="483">
        <f t="shared" si="5"/>
        <v>0</v>
      </c>
    </row>
    <row r="18" spans="2:25">
      <c r="B18" s="476" t="s">
        <v>1329</v>
      </c>
      <c r="C18" s="479" t="s">
        <v>512</v>
      </c>
      <c r="D18" s="478" t="s">
        <v>1330</v>
      </c>
      <c r="E18" s="478">
        <v>2</v>
      </c>
      <c r="F18" s="479" t="s">
        <v>1239</v>
      </c>
      <c r="G18" s="478">
        <v>9990001</v>
      </c>
      <c r="H18" s="478" t="s">
        <v>1249</v>
      </c>
      <c r="I18" s="482">
        <v>1932313396</v>
      </c>
      <c r="J18" s="2734">
        <v>1811103052</v>
      </c>
      <c r="K18" s="482">
        <f>+'10. PMH személyi jutt.és jár-ok'!K75+'10. PMH személyi jutt.és jár-ok'!K113+'10. PMH személyi jutt.és jár-ok'!K153+'10. PMH személyi jutt.és jár-ok'!K190+'11.mell. PMH Dologi'!K89+'PMH Dologi(alábontás)-nem része'!K133+'9. mell. PMH'!F48-K13-K14-K15-K16-K20</f>
        <v>2173158030</v>
      </c>
      <c r="L18" s="482">
        <f>+'10. PMH személyi jutt.és jár-ok'!L75+'10. PMH személyi jutt.és jár-ok'!L113+'10. PMH személyi jutt.és jár-ok'!L153+'10. PMH személyi jutt.és jár-ok'!L190+'11.mell. PMH Dologi'!L89+'PMH Dologi(alábontás)-nem része'!L133+'9. mell. PMH'!G48-L13-L14-L15-L16-L20</f>
        <v>2150158030</v>
      </c>
      <c r="M18" s="482">
        <f>+'10. PMH személyi jutt.és jár-ok'!M75+'10. PMH személyi jutt.és jár-ok'!M113+'10. PMH személyi jutt.és jár-ok'!M153+'10. PMH személyi jutt.és jár-ok'!M190+'11.mell. PMH Dologi'!M89+'PMH Dologi(alábontás)-nem része'!M133+'9. mell. PMH'!H48-M13-M14-M15-M16-M20</f>
        <v>2158139224</v>
      </c>
      <c r="N18" s="482">
        <f>+'10. PMH személyi jutt.és jár-ok'!N75+'10. PMH személyi jutt.és jár-ok'!N113+'10. PMH személyi jutt.és jár-ok'!N153+'10. PMH személyi jutt.és jár-ok'!N190+'11.mell. PMH Dologi'!N89+'PMH Dologi(alábontás)-nem része'!N133+'9. mell. PMH'!I48-N13-N14-N15-N16-N20</f>
        <v>2171559224</v>
      </c>
      <c r="O18" s="482">
        <f>+'10. PMH személyi jutt.és jár-ok'!O75+'10. PMH személyi jutt.és jár-ok'!O113+'10. PMH személyi jutt.és jár-ok'!O153+'10. PMH személyi jutt.és jár-ok'!O190+'11.mell. PMH Dologi'!O89+'PMH Dologi(alábontás)-nem része'!O133+'9. mell. PMH'!J48-O13-O14-O15-O16-O20</f>
        <v>2171559224</v>
      </c>
      <c r="P18" s="1270">
        <v>1971037117</v>
      </c>
      <c r="Q18" s="465">
        <f t="shared" si="4"/>
        <v>240844634</v>
      </c>
      <c r="R18" s="466">
        <f t="shared" si="10"/>
        <v>-23000000</v>
      </c>
      <c r="S18" s="466">
        <f t="shared" si="1"/>
        <v>7981194</v>
      </c>
      <c r="T18" s="466">
        <f t="shared" si="2"/>
        <v>13420000</v>
      </c>
      <c r="U18" s="466">
        <f t="shared" si="3"/>
        <v>0</v>
      </c>
      <c r="V18" s="488"/>
      <c r="W18" s="476"/>
      <c r="Y18" s="1270">
        <f t="shared" si="5"/>
        <v>200522107</v>
      </c>
    </row>
    <row r="19" spans="2:25">
      <c r="B19" s="476" t="s">
        <v>1331</v>
      </c>
      <c r="C19" s="479" t="s">
        <v>512</v>
      </c>
      <c r="D19" s="478" t="s">
        <v>1330</v>
      </c>
      <c r="E19" s="478">
        <v>4</v>
      </c>
      <c r="F19" s="479" t="s">
        <v>1239</v>
      </c>
      <c r="G19" s="478">
        <v>9990001</v>
      </c>
      <c r="H19" s="478" t="s">
        <v>1249</v>
      </c>
      <c r="I19" s="482"/>
      <c r="J19" s="2734">
        <v>0</v>
      </c>
      <c r="K19" s="482"/>
      <c r="L19" s="482">
        <f>+K19</f>
        <v>0</v>
      </c>
      <c r="M19" s="482">
        <f>+L19</f>
        <v>0</v>
      </c>
      <c r="N19" s="482">
        <f>+M19</f>
        <v>0</v>
      </c>
      <c r="O19" s="482">
        <f>+N19</f>
        <v>0</v>
      </c>
      <c r="P19" s="1136">
        <f>+O19</f>
        <v>0</v>
      </c>
      <c r="Q19" s="465">
        <f t="shared" si="4"/>
        <v>0</v>
      </c>
      <c r="R19" s="466">
        <f t="shared" si="10"/>
        <v>0</v>
      </c>
      <c r="S19" s="466">
        <f t="shared" si="1"/>
        <v>0</v>
      </c>
      <c r="T19" s="466">
        <f t="shared" si="2"/>
        <v>0</v>
      </c>
      <c r="U19" s="466">
        <f t="shared" si="3"/>
        <v>0</v>
      </c>
      <c r="V19" s="488"/>
      <c r="W19" s="476"/>
      <c r="Y19" s="1136">
        <f t="shared" si="5"/>
        <v>0</v>
      </c>
    </row>
    <row r="20" spans="2:25">
      <c r="B20" s="476" t="s">
        <v>1285</v>
      </c>
      <c r="C20" s="479" t="s">
        <v>512</v>
      </c>
      <c r="D20" s="478" t="s">
        <v>1181</v>
      </c>
      <c r="E20" s="478">
        <v>2</v>
      </c>
      <c r="F20" s="479" t="s">
        <v>1239</v>
      </c>
      <c r="G20" s="478">
        <v>9990001</v>
      </c>
      <c r="H20" s="478" t="s">
        <v>1182</v>
      </c>
      <c r="I20" s="482">
        <v>0</v>
      </c>
      <c r="J20" s="2734">
        <v>38307171</v>
      </c>
      <c r="K20" s="482">
        <v>0</v>
      </c>
      <c r="L20" s="482">
        <f>+K20+17313430</f>
        <v>17313430</v>
      </c>
      <c r="M20" s="482">
        <f>+L20</f>
        <v>17313430</v>
      </c>
      <c r="N20" s="304">
        <f>+M20</f>
        <v>17313430</v>
      </c>
      <c r="O20" s="304">
        <f>+N20</f>
        <v>17313430</v>
      </c>
      <c r="P20" s="1271">
        <v>17313430</v>
      </c>
      <c r="Q20" s="465">
        <f t="shared" si="4"/>
        <v>0</v>
      </c>
      <c r="R20" s="466">
        <f t="shared" si="10"/>
        <v>17313430</v>
      </c>
      <c r="S20" s="466">
        <f t="shared" si="1"/>
        <v>0</v>
      </c>
      <c r="T20" s="466">
        <f t="shared" si="2"/>
        <v>0</v>
      </c>
      <c r="U20" s="466">
        <f t="shared" si="3"/>
        <v>0</v>
      </c>
      <c r="X20" s="304"/>
      <c r="Y20" s="1271">
        <f t="shared" si="5"/>
        <v>0</v>
      </c>
    </row>
    <row r="21" spans="2:25">
      <c r="D21" s="503"/>
      <c r="E21" s="503"/>
      <c r="F21" s="462"/>
      <c r="G21" s="503"/>
      <c r="H21" s="503"/>
      <c r="I21" s="304"/>
      <c r="J21" s="2737"/>
      <c r="L21" s="304"/>
      <c r="M21" s="304"/>
      <c r="N21" s="304"/>
      <c r="Q21" s="465">
        <f t="shared" si="4"/>
        <v>0</v>
      </c>
      <c r="R21" s="466">
        <f t="shared" si="10"/>
        <v>0</v>
      </c>
      <c r="S21" s="466">
        <f t="shared" si="1"/>
        <v>0</v>
      </c>
      <c r="T21" s="466">
        <f t="shared" si="2"/>
        <v>0</v>
      </c>
      <c r="U21" s="466">
        <f t="shared" si="3"/>
        <v>0</v>
      </c>
      <c r="Y21" s="465"/>
    </row>
    <row r="22" spans="2:25">
      <c r="I22" s="504">
        <f t="shared" ref="I22:P22" si="13">SUM(I4:I19)-I13+I20</f>
        <v>1950976815</v>
      </c>
      <c r="J22" s="2738">
        <v>1907019408</v>
      </c>
      <c r="K22" s="504">
        <f t="shared" si="13"/>
        <v>2186358420</v>
      </c>
      <c r="L22" s="504">
        <f t="shared" si="13"/>
        <v>2180671850</v>
      </c>
      <c r="M22" s="504">
        <f t="shared" si="13"/>
        <v>2188653044</v>
      </c>
      <c r="N22" s="504">
        <f t="shared" si="13"/>
        <v>2201242481</v>
      </c>
      <c r="O22" s="504">
        <f t="shared" si="13"/>
        <v>2201242481</v>
      </c>
      <c r="P22" s="1272">
        <f t="shared" si="13"/>
        <v>2000720374</v>
      </c>
      <c r="Q22" s="465">
        <f t="shared" si="4"/>
        <v>235381605</v>
      </c>
      <c r="R22" s="466">
        <f t="shared" si="10"/>
        <v>-5686570</v>
      </c>
      <c r="S22" s="466">
        <f t="shared" si="1"/>
        <v>7981194</v>
      </c>
      <c r="T22" s="466">
        <f t="shared" si="2"/>
        <v>12589437</v>
      </c>
      <c r="U22" s="466">
        <f t="shared" si="3"/>
        <v>0</v>
      </c>
      <c r="X22" s="1272"/>
      <c r="Y22" s="1272"/>
    </row>
    <row r="23" spans="2:25">
      <c r="I23" s="1359">
        <f>+'9. mell. PMH'!D37</f>
        <v>1975749829</v>
      </c>
      <c r="J23" s="2739">
        <v>1907019408</v>
      </c>
      <c r="K23" s="1359">
        <f>+'9. mell. PMH'!F37</f>
        <v>2186358420</v>
      </c>
      <c r="L23" s="1359">
        <f>+'9. mell. PMH'!G37</f>
        <v>2180671850</v>
      </c>
      <c r="M23" s="1359">
        <f>+'9. mell. PMH'!H37</f>
        <v>2188653044</v>
      </c>
      <c r="N23" s="1359">
        <f>+'9. mell. PMH'!I37</f>
        <v>2201242481</v>
      </c>
      <c r="O23" s="1359">
        <f>+'9. mell. PMH'!J37</f>
        <v>2201242481</v>
      </c>
      <c r="P23" s="1272">
        <f>+'9. mell. PMH'!K37</f>
        <v>2000720374</v>
      </c>
      <c r="Q23" s="465">
        <f t="shared" si="4"/>
        <v>210608591</v>
      </c>
      <c r="R23" s="466">
        <f t="shared" si="10"/>
        <v>-5686570</v>
      </c>
      <c r="S23" s="466">
        <f t="shared" si="1"/>
        <v>7981194</v>
      </c>
      <c r="T23" s="466">
        <f t="shared" si="2"/>
        <v>12589437</v>
      </c>
      <c r="U23" s="466">
        <f t="shared" si="3"/>
        <v>0</v>
      </c>
      <c r="Y23" s="1272"/>
    </row>
    <row r="24" spans="2:25">
      <c r="I24" s="304">
        <f t="shared" ref="I24:P24" si="14">+I23-I22</f>
        <v>24773014</v>
      </c>
      <c r="J24" s="2737">
        <v>0</v>
      </c>
      <c r="K24" s="304">
        <f t="shared" si="14"/>
        <v>0</v>
      </c>
      <c r="L24" s="304">
        <f t="shared" si="14"/>
        <v>0</v>
      </c>
      <c r="M24" s="304">
        <f t="shared" si="14"/>
        <v>0</v>
      </c>
      <c r="N24" s="304">
        <f t="shared" si="14"/>
        <v>0</v>
      </c>
      <c r="O24" s="304">
        <f t="shared" si="14"/>
        <v>0</v>
      </c>
      <c r="P24" s="465">
        <f t="shared" si="14"/>
        <v>0</v>
      </c>
      <c r="Q24" s="465">
        <f t="shared" si="4"/>
        <v>-24773014</v>
      </c>
      <c r="R24" s="466">
        <f t="shared" si="10"/>
        <v>0</v>
      </c>
      <c r="S24" s="466">
        <f t="shared" si="1"/>
        <v>0</v>
      </c>
      <c r="T24" s="466">
        <f t="shared" si="2"/>
        <v>0</v>
      </c>
      <c r="U24" s="466">
        <f t="shared" si="3"/>
        <v>0</v>
      </c>
      <c r="Y24" s="465"/>
    </row>
    <row r="25" spans="2:25">
      <c r="I25" s="304">
        <f>+'10. PMH személyi jutt.és jár-ok'!I155</f>
        <v>42860032</v>
      </c>
      <c r="J25" s="2737">
        <v>62246170</v>
      </c>
      <c r="K25" s="304">
        <f>+'10. PMH személyi jutt.és jár-ok'!K155</f>
        <v>0</v>
      </c>
      <c r="L25" s="304">
        <f>+'10. PMH személyi jutt.és jár-ok'!L155</f>
        <v>0</v>
      </c>
      <c r="M25" s="304">
        <f>+'10. PMH személyi jutt.és jár-ok'!M155</f>
        <v>0</v>
      </c>
      <c r="N25" s="304">
        <f>+'10. PMH személyi jutt.és jár-ok'!N155</f>
        <v>0</v>
      </c>
      <c r="O25" s="304">
        <f>+'10. PMH személyi jutt.és jár-ok'!O155</f>
        <v>0</v>
      </c>
      <c r="P25" s="465">
        <f>+'10. PMH személyi jutt.és jár-ok'!P155</f>
        <v>0</v>
      </c>
      <c r="Q25" s="465">
        <f t="shared" si="4"/>
        <v>-42860032</v>
      </c>
      <c r="Y25" s="465"/>
    </row>
    <row r="26" spans="2:25">
      <c r="Y26" s="465"/>
    </row>
    <row r="27" spans="2:25" ht="26.25">
      <c r="B27" s="1191" t="s">
        <v>3173</v>
      </c>
      <c r="K27" s="304" t="s">
        <v>271</v>
      </c>
      <c r="P27" s="1275">
        <f>16881808+115000</f>
        <v>16996808</v>
      </c>
      <c r="Y27" s="1275"/>
    </row>
    <row r="28" spans="2:25">
      <c r="K28" s="304" t="s">
        <v>3202</v>
      </c>
      <c r="P28" s="465">
        <f>16881808+115000</f>
        <v>16996808</v>
      </c>
      <c r="Y28" s="465"/>
    </row>
    <row r="29" spans="2:25">
      <c r="K29" s="304" t="s">
        <v>271</v>
      </c>
      <c r="P29" s="465">
        <f>+P18+P20</f>
        <v>1988350547</v>
      </c>
      <c r="Y29" s="465"/>
    </row>
    <row r="30" spans="2:25">
      <c r="K30" s="304" t="s">
        <v>3202</v>
      </c>
      <c r="P30" s="465">
        <v>1742435064</v>
      </c>
      <c r="Y30" s="465"/>
    </row>
    <row r="31" spans="2:25">
      <c r="P31" s="465">
        <f>+P27+P29</f>
        <v>2005347355</v>
      </c>
      <c r="Y31" s="465"/>
    </row>
  </sheetData>
  <sheetProtection selectLockedCells="1" selectUnlockedCells="1"/>
  <printOptions horizontalCentered="1"/>
  <pageMargins left="0.78740157480314965" right="0.78740157480314965" top="0.98425196850393704" bottom="0.98425196850393704" header="0.51181102362204722" footer="0.51181102362204722"/>
  <pageSetup paperSize="9" scale="96" firstPageNumber="0" orientation="landscape" cellComments="atEnd" horizontalDpi="300" verticalDpi="300" r:id="rId1"/>
  <headerFooter alignWithMargins="0">
    <oddHeader>&amp;CPolgármesteri Hivatal bevételei</oddHead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90BC4-277A-4A90-944E-FD5B2325D79F}">
  <sheetPr>
    <tabColor rgb="FF0070C0"/>
    <pageSetUpPr fitToPage="1"/>
  </sheetPr>
  <dimension ref="A1:X193"/>
  <sheetViews>
    <sheetView view="pageBreakPreview" zoomScaleSheetLayoutView="100" workbookViewId="0">
      <pane xSplit="8" ySplit="4" topLeftCell="J5" activePane="bottomRight" state="frozen"/>
      <selection sqref="A1:AC1"/>
      <selection pane="topRight" sqref="A1:AC1"/>
      <selection pane="bottomLeft" sqref="A1:AC1"/>
      <selection pane="bottomRight" sqref="A1:AC1"/>
    </sheetView>
  </sheetViews>
  <sheetFormatPr defaultRowHeight="12.75"/>
  <cols>
    <col min="1" max="1" width="7.28515625" style="164" customWidth="1"/>
    <col min="2" max="2" width="65.42578125" style="165" customWidth="1"/>
    <col min="3" max="3" width="5.42578125" style="166" hidden="1" customWidth="1"/>
    <col min="4" max="4" width="8.85546875" style="165" hidden="1" customWidth="1"/>
    <col min="5" max="5" width="3.28515625" style="167" hidden="1" customWidth="1"/>
    <col min="6" max="6" width="7.140625" style="165" hidden="1" customWidth="1"/>
    <col min="7" max="7" width="11.5703125" style="165" hidden="1" customWidth="1"/>
    <col min="8" max="8" width="9.85546875" style="168" hidden="1" customWidth="1"/>
    <col min="9" max="9" width="19.28515625" style="169" hidden="1" customWidth="1"/>
    <col min="10" max="10" width="18.28515625" style="169" hidden="1" customWidth="1"/>
    <col min="11" max="11" width="18" style="169" customWidth="1"/>
    <col min="12" max="13" width="18" style="169" hidden="1" customWidth="1"/>
    <col min="14" max="14" width="18.7109375" style="169" customWidth="1"/>
    <col min="15" max="15" width="18" style="169" hidden="1" customWidth="1"/>
    <col min="16" max="16" width="18" style="169" customWidth="1"/>
    <col min="17" max="17" width="15.140625" style="3455" customWidth="1"/>
    <col min="18" max="18" width="14.42578125" style="169" hidden="1" customWidth="1"/>
    <col min="19" max="19" width="15.7109375" style="169" hidden="1" customWidth="1"/>
    <col min="20" max="21" width="16.7109375" style="169" hidden="1" customWidth="1"/>
    <col min="22" max="22" width="18" style="171" hidden="1" customWidth="1"/>
    <col min="23" max="23" width="9.140625" style="171" customWidth="1"/>
    <col min="24" max="24" width="9.140625" style="171"/>
    <col min="25" max="16384" width="9.140625" style="247"/>
  </cols>
  <sheetData>
    <row r="1" spans="1:24" s="252" customFormat="1" ht="30" customHeight="1">
      <c r="A1" s="3602" t="s">
        <v>4264</v>
      </c>
      <c r="B1" s="3602"/>
      <c r="C1" s="3602"/>
      <c r="D1" s="3602"/>
      <c r="E1" s="3602"/>
      <c r="F1" s="3602"/>
      <c r="G1" s="3602"/>
      <c r="H1" s="3602"/>
      <c r="I1" s="3602"/>
      <c r="J1" s="3602"/>
      <c r="K1" s="3602"/>
      <c r="L1" s="3602"/>
      <c r="M1" s="3602"/>
      <c r="N1" s="3602"/>
      <c r="O1" s="3602"/>
      <c r="P1" s="3602"/>
      <c r="Q1" s="3602"/>
      <c r="R1" s="3653"/>
      <c r="S1" s="3653"/>
      <c r="T1" s="3653"/>
      <c r="U1" s="3653"/>
      <c r="V1" s="174"/>
      <c r="W1" s="174"/>
      <c r="X1" s="174"/>
    </row>
    <row r="2" spans="1:24" s="252" customFormat="1" ht="17.25" customHeight="1">
      <c r="A2" s="3601" t="s">
        <v>1332</v>
      </c>
      <c r="B2" s="3601"/>
      <c r="C2" s="3601"/>
      <c r="D2" s="3601"/>
      <c r="E2" s="3601"/>
      <c r="F2" s="3601"/>
      <c r="G2" s="3601"/>
      <c r="H2" s="3601"/>
      <c r="I2" s="3601"/>
      <c r="J2" s="3601"/>
      <c r="K2" s="3601"/>
      <c r="L2" s="3601"/>
      <c r="M2" s="3601"/>
      <c r="N2" s="3601"/>
      <c r="O2" s="3601"/>
      <c r="P2" s="3601"/>
      <c r="Q2" s="3601"/>
      <c r="R2" s="3652"/>
      <c r="S2" s="3652"/>
      <c r="T2" s="3652"/>
      <c r="U2" s="3652"/>
      <c r="V2" s="174"/>
      <c r="W2" s="174"/>
      <c r="X2" s="174"/>
    </row>
    <row r="3" spans="1:24" s="252" customFormat="1" ht="13.5" customHeight="1">
      <c r="A3" s="1423"/>
      <c r="B3" s="1538" t="str">
        <f>+'7. mell. Önk.összes.bevétele'!B3</f>
        <v>A</v>
      </c>
      <c r="C3" s="1539"/>
      <c r="D3" s="1538"/>
      <c r="E3" s="1538"/>
      <c r="F3" s="3436"/>
      <c r="G3" s="3436"/>
      <c r="H3" s="3436"/>
      <c r="I3" s="1428" t="str">
        <f>+'7. mell. Önk.összes.bevétele'!I3</f>
        <v>B</v>
      </c>
      <c r="J3" s="1428" t="str">
        <f>+'7. mell. Önk.összes.bevétele'!J3</f>
        <v>B</v>
      </c>
      <c r="K3" s="1428" t="str">
        <f>+'7. mell. Önk.összes.bevétele'!K3</f>
        <v>B</v>
      </c>
      <c r="L3" s="1428" t="str">
        <f>+'7. mell. Önk.összes.bevétele'!L3</f>
        <v>D</v>
      </c>
      <c r="M3" s="1428" t="str">
        <f>+'7. mell. Önk.összes.bevétele'!M3</f>
        <v>E</v>
      </c>
      <c r="N3" s="1428" t="str">
        <f>+'7. mell. Önk.összes.bevétele'!N3</f>
        <v>C</v>
      </c>
      <c r="O3" s="1428" t="str">
        <f>+'7. mell. Önk.összes.bevétele'!O3</f>
        <v>F</v>
      </c>
      <c r="P3" s="1428" t="str">
        <f>+'7. mell. Önk.összes.bevétele'!P3</f>
        <v>D</v>
      </c>
      <c r="Q3" s="1428" t="str">
        <f>+'7. mell. Önk.összes.bevétele'!Q3</f>
        <v>E</v>
      </c>
      <c r="R3" s="1428">
        <f>+'7. mell. Önk.összes.bevétele'!R3</f>
        <v>0</v>
      </c>
      <c r="S3" s="1428" t="str">
        <f>+'7. mell. Önk.összes.bevétele'!S3</f>
        <v>F</v>
      </c>
      <c r="T3" s="1428" t="str">
        <f>+'7. mell. Önk.összes.bevétele'!T3</f>
        <v>G</v>
      </c>
      <c r="U3" s="173"/>
      <c r="V3" s="174"/>
      <c r="W3" s="174"/>
      <c r="X3" s="174"/>
    </row>
    <row r="4" spans="1:24" ht="75.599999999999994" customHeight="1">
      <c r="A4" s="659" t="s">
        <v>6</v>
      </c>
      <c r="B4" s="1420" t="s">
        <v>3641</v>
      </c>
      <c r="C4" s="662" t="s">
        <v>504</v>
      </c>
      <c r="D4" s="1421" t="s">
        <v>505</v>
      </c>
      <c r="E4" s="662" t="s">
        <v>506</v>
      </c>
      <c r="F4" s="662" t="s">
        <v>1334</v>
      </c>
      <c r="G4" s="662" t="s">
        <v>508</v>
      </c>
      <c r="H4" s="662" t="s">
        <v>509</v>
      </c>
      <c r="I4" s="1422" t="str">
        <f>+'1. mell.ÖSSZEVONT_MÉRLEG'!C5</f>
        <v>2024. évi eredeti előirányzat
forintban</v>
      </c>
      <c r="J4" s="2591" t="str">
        <f>+'1. mell.ÖSSZEVONT_MÉRLEG'!D5</f>
        <v>2024. évi teljesítés forintban</v>
      </c>
      <c r="K4" s="1422" t="str">
        <f>+'1. mell.ÖSSZEVONT_MÉRLEG'!E5</f>
        <v>2025. évi eredeti előirányzat forintban</v>
      </c>
      <c r="L4" s="182" t="str">
        <f>+'1. mell.ÖSSZEVONT_MÉRLEG'!F5</f>
        <v>2025. évi I. számú módosított előirányzat
forintban</v>
      </c>
      <c r="M4" s="182" t="str">
        <f>+'1. mell.ÖSSZEVONT_MÉRLEG'!G5</f>
        <v>2025. évi II. számú módosított előirányzat forintban</v>
      </c>
      <c r="N4" s="182" t="str">
        <f>+'1. mell.ÖSSZEVONT_MÉRLEG'!H5</f>
        <v>2025. évi III. számú módosított előirányzat forintban</v>
      </c>
      <c r="O4" s="182" t="str">
        <f>+'1. mell.ÖSSZEVONT_MÉRLEG'!I5</f>
        <v>2025. évi IV. számú módosított előirányzat forintban</v>
      </c>
      <c r="P4" s="3191" t="str">
        <f>+'1. mell.ÖSSZEVONT_MÉRLEG'!J5</f>
        <v>2025. évi
teljesítés forintban</v>
      </c>
      <c r="Q4" s="182" t="str">
        <f>+'1. mell.ÖSSZEVONT_MÉRLEG'!K5</f>
        <v xml:space="preserve"> 2025. évi teljesítés / 2025. évi III. számú módosított előirányzat</v>
      </c>
      <c r="R4" s="182" t="str">
        <f>+'1. mell.ÖSSZEVONT_MÉRLEG'!L5</f>
        <v>Változás I. módosításnál</v>
      </c>
      <c r="S4" s="1360" t="str">
        <f>+'1. mell.ÖSSZEVONT_MÉRLEG'!M5</f>
        <v>Előirányzat-módosítások, előirányzat-átcsoportosítások összegszerű változásai</v>
      </c>
      <c r="T4" s="1360" t="str">
        <f>+'1. mell.ÖSSZEVONT_MÉRLEG'!N5</f>
        <v>Előirányzat-módosítások, előirányzat-átcsoportosítások összegszerű változásai a III. módosításnál</v>
      </c>
      <c r="U4" s="182" t="s">
        <v>175</v>
      </c>
      <c r="V4" s="1076" t="s">
        <v>3984</v>
      </c>
    </row>
    <row r="5" spans="1:24" hidden="1">
      <c r="A5" s="179">
        <v>1</v>
      </c>
      <c r="B5" s="179">
        <v>2</v>
      </c>
      <c r="C5" s="184"/>
      <c r="D5" s="179"/>
      <c r="E5" s="179"/>
      <c r="F5" s="179"/>
      <c r="G5" s="179"/>
      <c r="H5" s="179"/>
      <c r="I5" s="186">
        <f>+'1. mell.ÖSSZEVONT_MÉRLEG'!C6</f>
        <v>3</v>
      </c>
      <c r="J5" s="2606"/>
      <c r="K5" s="186">
        <f>+'1. mell.ÖSSZEVONT_MÉRLEG'!E6</f>
        <v>3</v>
      </c>
      <c r="L5" s="186">
        <f>+'1. mell.ÖSSZEVONT_MÉRLEG'!F6</f>
        <v>4</v>
      </c>
      <c r="M5" s="186">
        <f>+'1. mell.ÖSSZEVONT_MÉRLEG'!G6</f>
        <v>5</v>
      </c>
      <c r="N5" s="186">
        <f>+'1. mell.ÖSSZEVONT_MÉRLEG'!H6</f>
        <v>6</v>
      </c>
      <c r="O5" s="186">
        <f>+'1. mell.ÖSSZEVONT_MÉRLEG'!I6</f>
        <v>7</v>
      </c>
      <c r="P5" s="1077">
        <f>+'1. mell.ÖSSZEVONT_MÉRLEG'!J6</f>
        <v>0</v>
      </c>
      <c r="Q5" s="186">
        <f>+'1. mell.ÖSSZEVONT_MÉRLEG'!K6</f>
        <v>5</v>
      </c>
      <c r="R5" s="179"/>
      <c r="S5" s="616"/>
      <c r="T5" s="179"/>
      <c r="U5" s="179"/>
      <c r="V5" s="1077">
        <v>0</v>
      </c>
    </row>
    <row r="6" spans="1:24" ht="26.25" hidden="1" customHeight="1">
      <c r="A6" s="184"/>
      <c r="B6" s="179"/>
      <c r="C6" s="184"/>
      <c r="D6" s="179"/>
      <c r="E6" s="179"/>
      <c r="F6" s="179"/>
      <c r="G6" s="179"/>
      <c r="H6" s="184"/>
      <c r="I6" s="184"/>
      <c r="J6" s="2606"/>
      <c r="K6" s="184"/>
      <c r="L6" s="184"/>
      <c r="M6" s="184"/>
      <c r="N6" s="184"/>
      <c r="O6" s="184"/>
      <c r="P6" s="1095"/>
      <c r="Q6" s="3437"/>
      <c r="R6" s="184"/>
      <c r="S6" s="617"/>
      <c r="T6" s="184"/>
      <c r="U6" s="184"/>
      <c r="V6" s="1095"/>
    </row>
    <row r="7" spans="1:24" ht="12.75" hidden="1" customHeight="1">
      <c r="A7" s="3654" t="s">
        <v>3210</v>
      </c>
      <c r="B7" s="644" t="s">
        <v>84</v>
      </c>
      <c r="C7" s="191" t="s">
        <v>512</v>
      </c>
      <c r="D7" s="187" t="s">
        <v>1336</v>
      </c>
      <c r="E7" s="187">
        <v>2</v>
      </c>
      <c r="F7" s="507" t="s">
        <v>534</v>
      </c>
      <c r="G7" s="190">
        <v>9990001</v>
      </c>
      <c r="H7" s="191" t="s">
        <v>1337</v>
      </c>
      <c r="I7" s="532">
        <v>857926567</v>
      </c>
      <c r="J7" s="2554">
        <v>743655610</v>
      </c>
      <c r="K7" s="532">
        <f>960185483+93414547-14242844</f>
        <v>1039357186</v>
      </c>
      <c r="L7" s="532">
        <f>+K7</f>
        <v>1039357186</v>
      </c>
      <c r="M7" s="532">
        <f>+L7-5000000</f>
        <v>1034357186</v>
      </c>
      <c r="N7" s="532">
        <f>+M7-94530804</f>
        <v>939826382</v>
      </c>
      <c r="O7" s="532">
        <f t="shared" ref="O7:O12" si="0">+N7</f>
        <v>939826382</v>
      </c>
      <c r="P7" s="2634">
        <v>888900094</v>
      </c>
      <c r="Q7" s="533">
        <f>+P7/N7</f>
        <v>0.94581308954998033</v>
      </c>
      <c r="R7" s="532">
        <f t="shared" ref="R7:R108" si="1">+L7-K7</f>
        <v>0</v>
      </c>
      <c r="S7" s="532">
        <f t="shared" ref="S7:S94" si="2">+M7-L7</f>
        <v>-5000000</v>
      </c>
      <c r="T7" s="532">
        <f t="shared" ref="T7:T108" si="3">+N7-M7</f>
        <v>-94530804</v>
      </c>
      <c r="U7" s="532">
        <f t="shared" ref="U7:U94" si="4">+O7-N7</f>
        <v>0</v>
      </c>
      <c r="V7" s="2634">
        <f>+N7-P7</f>
        <v>50926288</v>
      </c>
    </row>
    <row r="8" spans="1:24" ht="12.75" hidden="1" customHeight="1">
      <c r="A8" s="3655"/>
      <c r="B8" s="644" t="s">
        <v>1338</v>
      </c>
      <c r="C8" s="191" t="s">
        <v>512</v>
      </c>
      <c r="D8" s="187" t="s">
        <v>1336</v>
      </c>
      <c r="E8" s="187">
        <v>2</v>
      </c>
      <c r="F8" s="507" t="s">
        <v>534</v>
      </c>
      <c r="G8" s="190">
        <v>9990001</v>
      </c>
      <c r="H8" s="191" t="s">
        <v>1339</v>
      </c>
      <c r="I8" s="192">
        <v>210668257</v>
      </c>
      <c r="J8" s="2554">
        <v>191562137</v>
      </c>
      <c r="K8" s="192">
        <f>226563579-18497351+3270883</f>
        <v>211337111</v>
      </c>
      <c r="L8" s="532">
        <f t="shared" ref="L8:M12" si="5">+K8</f>
        <v>211337111</v>
      </c>
      <c r="M8" s="532">
        <f>+L8-1500000</f>
        <v>209837111</v>
      </c>
      <c r="N8" s="532">
        <f>+M8</f>
        <v>209837111</v>
      </c>
      <c r="O8" s="532">
        <f t="shared" si="0"/>
        <v>209837111</v>
      </c>
      <c r="P8" s="2634">
        <v>193826469</v>
      </c>
      <c r="Q8" s="193">
        <f t="shared" ref="Q8:Q71" si="6">+P8/N8</f>
        <v>0.92369966435536754</v>
      </c>
      <c r="R8" s="532">
        <f t="shared" si="1"/>
        <v>0</v>
      </c>
      <c r="S8" s="532">
        <f t="shared" si="2"/>
        <v>-1500000</v>
      </c>
      <c r="T8" s="532">
        <f t="shared" si="3"/>
        <v>0</v>
      </c>
      <c r="U8" s="532">
        <f t="shared" si="4"/>
        <v>0</v>
      </c>
      <c r="V8" s="2634">
        <f t="shared" ref="V8:V71" si="7">+N8-P8</f>
        <v>16010642</v>
      </c>
    </row>
    <row r="9" spans="1:24" ht="12.75" hidden="1" customHeight="1">
      <c r="A9" s="3655"/>
      <c r="B9" s="644" t="s">
        <v>1340</v>
      </c>
      <c r="C9" s="191" t="s">
        <v>512</v>
      </c>
      <c r="D9" s="187" t="s">
        <v>1336</v>
      </c>
      <c r="E9" s="187">
        <v>2</v>
      </c>
      <c r="F9" s="507" t="s">
        <v>534</v>
      </c>
      <c r="G9" s="190">
        <v>9990001</v>
      </c>
      <c r="H9" s="191" t="s">
        <v>1341</v>
      </c>
      <c r="I9" s="192">
        <v>29624484</v>
      </c>
      <c r="J9" s="2554">
        <v>25197204</v>
      </c>
      <c r="K9" s="192">
        <f>30794855-2426760+494340</f>
        <v>28862435</v>
      </c>
      <c r="L9" s="532">
        <f t="shared" si="5"/>
        <v>28862435</v>
      </c>
      <c r="M9" s="532">
        <f t="shared" si="5"/>
        <v>28862435</v>
      </c>
      <c r="N9" s="532">
        <f>+M9</f>
        <v>28862435</v>
      </c>
      <c r="O9" s="532">
        <f t="shared" si="0"/>
        <v>28862435</v>
      </c>
      <c r="P9" s="2634">
        <v>27490416</v>
      </c>
      <c r="Q9" s="193">
        <f t="shared" si="6"/>
        <v>0.95246350489832199</v>
      </c>
      <c r="R9" s="532">
        <f t="shared" si="1"/>
        <v>0</v>
      </c>
      <c r="S9" s="532">
        <f t="shared" si="2"/>
        <v>0</v>
      </c>
      <c r="T9" s="532">
        <f t="shared" si="3"/>
        <v>0</v>
      </c>
      <c r="U9" s="532">
        <f t="shared" si="4"/>
        <v>0</v>
      </c>
      <c r="V9" s="2634">
        <f t="shared" si="7"/>
        <v>1372019</v>
      </c>
    </row>
    <row r="10" spans="1:24" ht="12.75" hidden="1" customHeight="1">
      <c r="A10" s="3655"/>
      <c r="B10" s="644" t="s">
        <v>1342</v>
      </c>
      <c r="C10" s="191" t="s">
        <v>512</v>
      </c>
      <c r="D10" s="187" t="s">
        <v>1336</v>
      </c>
      <c r="E10" s="187">
        <v>2</v>
      </c>
      <c r="F10" s="507" t="s">
        <v>534</v>
      </c>
      <c r="G10" s="190">
        <v>9990001</v>
      </c>
      <c r="H10" s="191" t="s">
        <v>1343</v>
      </c>
      <c r="I10" s="532">
        <v>24817904</v>
      </c>
      <c r="J10" s="2554">
        <v>126191229</v>
      </c>
      <c r="K10" s="532">
        <f>31583376-6575088+10899789</f>
        <v>35908077</v>
      </c>
      <c r="L10" s="532">
        <f t="shared" si="5"/>
        <v>35908077</v>
      </c>
      <c r="M10" s="532">
        <f t="shared" si="5"/>
        <v>35908077</v>
      </c>
      <c r="N10" s="532">
        <f>+M10+94530804</f>
        <v>130438881</v>
      </c>
      <c r="O10" s="532">
        <f t="shared" si="0"/>
        <v>130438881</v>
      </c>
      <c r="P10" s="2634">
        <v>130438881</v>
      </c>
      <c r="Q10" s="533">
        <f t="shared" si="6"/>
        <v>1</v>
      </c>
      <c r="R10" s="532">
        <f t="shared" si="1"/>
        <v>0</v>
      </c>
      <c r="S10" s="532">
        <f t="shared" si="2"/>
        <v>0</v>
      </c>
      <c r="T10" s="532">
        <f t="shared" si="3"/>
        <v>94530804</v>
      </c>
      <c r="U10" s="532">
        <f t="shared" si="4"/>
        <v>0</v>
      </c>
      <c r="V10" s="2634">
        <f t="shared" si="7"/>
        <v>0</v>
      </c>
    </row>
    <row r="11" spans="1:24" hidden="1">
      <c r="A11" s="3655"/>
      <c r="B11" s="3438" t="s">
        <v>3201</v>
      </c>
      <c r="C11" s="191"/>
      <c r="D11" s="644"/>
      <c r="E11" s="187"/>
      <c r="F11" s="644"/>
      <c r="G11" s="644"/>
      <c r="H11" s="191" t="s">
        <v>1344</v>
      </c>
      <c r="I11" s="532">
        <v>18696000</v>
      </c>
      <c r="J11" s="2554">
        <v>791252</v>
      </c>
      <c r="K11" s="532">
        <f>19768000-1104000+144000</f>
        <v>18808000</v>
      </c>
      <c r="L11" s="532">
        <f t="shared" si="5"/>
        <v>18808000</v>
      </c>
      <c r="M11" s="532">
        <f t="shared" si="5"/>
        <v>18808000</v>
      </c>
      <c r="N11" s="532">
        <f>+M11</f>
        <v>18808000</v>
      </c>
      <c r="O11" s="532">
        <f t="shared" si="0"/>
        <v>18808000</v>
      </c>
      <c r="P11" s="2634">
        <v>245700</v>
      </c>
      <c r="Q11" s="533">
        <f t="shared" si="6"/>
        <v>1.3063589961718417E-2</v>
      </c>
      <c r="R11" s="532">
        <f t="shared" si="1"/>
        <v>0</v>
      </c>
      <c r="S11" s="532">
        <f t="shared" si="2"/>
        <v>0</v>
      </c>
      <c r="T11" s="532">
        <f t="shared" si="3"/>
        <v>0</v>
      </c>
      <c r="U11" s="532">
        <f t="shared" si="4"/>
        <v>0</v>
      </c>
      <c r="V11" s="2634">
        <f t="shared" si="7"/>
        <v>18562300</v>
      </c>
    </row>
    <row r="12" spans="1:24" hidden="1">
      <c r="A12" s="3656"/>
      <c r="B12" s="644" t="s">
        <v>1345</v>
      </c>
      <c r="C12" s="191" t="s">
        <v>512</v>
      </c>
      <c r="D12" s="187" t="s">
        <v>1336</v>
      </c>
      <c r="E12" s="187">
        <v>2</v>
      </c>
      <c r="F12" s="507" t="s">
        <v>534</v>
      </c>
      <c r="G12" s="190">
        <v>9990001</v>
      </c>
      <c r="H12" s="191" t="s">
        <v>1346</v>
      </c>
      <c r="I12" s="192">
        <v>30000000</v>
      </c>
      <c r="J12" s="2554">
        <v>106146</v>
      </c>
      <c r="K12" s="532">
        <v>50000000</v>
      </c>
      <c r="L12" s="532">
        <f>+K12</f>
        <v>50000000</v>
      </c>
      <c r="M12" s="532">
        <f t="shared" si="5"/>
        <v>50000000</v>
      </c>
      <c r="N12" s="532">
        <f>+M12</f>
        <v>50000000</v>
      </c>
      <c r="O12" s="532">
        <f t="shared" si="0"/>
        <v>50000000</v>
      </c>
      <c r="P12" s="2634">
        <v>2731083</v>
      </c>
      <c r="Q12" s="193">
        <f t="shared" si="6"/>
        <v>5.4621660000000002E-2</v>
      </c>
      <c r="R12" s="532">
        <f t="shared" si="1"/>
        <v>0</v>
      </c>
      <c r="S12" s="532">
        <f t="shared" si="2"/>
        <v>0</v>
      </c>
      <c r="T12" s="532">
        <f t="shared" si="3"/>
        <v>0</v>
      </c>
      <c r="U12" s="532">
        <f t="shared" si="4"/>
        <v>0</v>
      </c>
      <c r="V12" s="2634">
        <f t="shared" si="7"/>
        <v>47268917</v>
      </c>
    </row>
    <row r="13" spans="1:24">
      <c r="A13" s="3439" t="s">
        <v>12</v>
      </c>
      <c r="B13" s="214" t="s">
        <v>3209</v>
      </c>
      <c r="C13" s="180"/>
      <c r="D13" s="214"/>
      <c r="E13" s="190"/>
      <c r="F13" s="214"/>
      <c r="G13" s="214"/>
      <c r="H13" s="191" t="s">
        <v>1347</v>
      </c>
      <c r="I13" s="2335">
        <f>SUM(I7:I12)</f>
        <v>1171733212</v>
      </c>
      <c r="J13" s="2740">
        <f t="shared" ref="J13:P13" si="8">SUM(J7:J12)</f>
        <v>1087503578</v>
      </c>
      <c r="K13" s="2335">
        <f t="shared" si="8"/>
        <v>1384272809</v>
      </c>
      <c r="L13" s="2335">
        <f t="shared" si="8"/>
        <v>1384272809</v>
      </c>
      <c r="M13" s="2335">
        <f t="shared" si="8"/>
        <v>1377772809</v>
      </c>
      <c r="N13" s="2335">
        <f t="shared" si="8"/>
        <v>1377772809</v>
      </c>
      <c r="O13" s="2335">
        <f t="shared" si="8"/>
        <v>1377772809</v>
      </c>
      <c r="P13" s="1273">
        <f t="shared" si="8"/>
        <v>1243632643</v>
      </c>
      <c r="Q13" s="3440">
        <f t="shared" si="6"/>
        <v>0.90263985097995936</v>
      </c>
      <c r="R13" s="532">
        <f t="shared" si="1"/>
        <v>0</v>
      </c>
      <c r="S13" s="2335">
        <f t="shared" si="2"/>
        <v>-6500000</v>
      </c>
      <c r="T13" s="532">
        <f t="shared" si="3"/>
        <v>0</v>
      </c>
      <c r="U13" s="532">
        <f t="shared" si="4"/>
        <v>0</v>
      </c>
      <c r="V13" s="1273">
        <f t="shared" si="7"/>
        <v>134140166</v>
      </c>
    </row>
    <row r="14" spans="1:24" ht="12.75" customHeight="1">
      <c r="A14" s="187" t="s">
        <v>14</v>
      </c>
      <c r="B14" s="214" t="s">
        <v>1348</v>
      </c>
      <c r="C14" s="191" t="s">
        <v>512</v>
      </c>
      <c r="D14" s="187" t="s">
        <v>1336</v>
      </c>
      <c r="E14" s="187">
        <v>2</v>
      </c>
      <c r="F14" s="507" t="s">
        <v>534</v>
      </c>
      <c r="G14" s="190">
        <v>9990001</v>
      </c>
      <c r="H14" s="191" t="s">
        <v>1349</v>
      </c>
      <c r="I14" s="192">
        <f>50000000-25000000</f>
        <v>25000000</v>
      </c>
      <c r="J14" s="2554">
        <v>55414200</v>
      </c>
      <c r="K14" s="192">
        <v>54215400</v>
      </c>
      <c r="L14" s="532">
        <f>+K14</f>
        <v>54215400</v>
      </c>
      <c r="M14" s="532">
        <f>+L14</f>
        <v>54215400</v>
      </c>
      <c r="N14" s="532">
        <f>+M14+800000</f>
        <v>55015400</v>
      </c>
      <c r="O14" s="532">
        <f t="shared" ref="O14:O37" si="9">+N14</f>
        <v>55015400</v>
      </c>
      <c r="P14" s="2634">
        <v>54851535</v>
      </c>
      <c r="Q14" s="193">
        <f t="shared" si="6"/>
        <v>0.99702147035193778</v>
      </c>
      <c r="R14" s="532">
        <f t="shared" si="1"/>
        <v>0</v>
      </c>
      <c r="S14" s="532">
        <f t="shared" si="2"/>
        <v>0</v>
      </c>
      <c r="T14" s="532">
        <f t="shared" si="3"/>
        <v>800000</v>
      </c>
      <c r="U14" s="532">
        <f t="shared" si="4"/>
        <v>0</v>
      </c>
      <c r="V14" s="2634">
        <f t="shared" si="7"/>
        <v>163865</v>
      </c>
    </row>
    <row r="15" spans="1:24" ht="12.75" hidden="1" customHeight="1">
      <c r="A15" s="187" t="s">
        <v>25</v>
      </c>
      <c r="B15" s="644" t="s">
        <v>3072</v>
      </c>
      <c r="C15" s="191" t="s">
        <v>512</v>
      </c>
      <c r="D15" s="187" t="s">
        <v>1350</v>
      </c>
      <c r="E15" s="187">
        <v>4</v>
      </c>
      <c r="F15" s="191" t="s">
        <v>1351</v>
      </c>
      <c r="G15" s="190">
        <v>9990001</v>
      </c>
      <c r="H15" s="191" t="s">
        <v>1352</v>
      </c>
      <c r="I15" s="192">
        <v>0</v>
      </c>
      <c r="J15" s="2554">
        <v>0</v>
      </c>
      <c r="K15" s="192">
        <v>0</v>
      </c>
      <c r="L15" s="532">
        <f t="shared" ref="L15:L37" si="10">+K15</f>
        <v>0</v>
      </c>
      <c r="M15" s="532">
        <f t="shared" ref="M15:N24" si="11">+L15</f>
        <v>0</v>
      </c>
      <c r="N15" s="532">
        <f t="shared" si="11"/>
        <v>0</v>
      </c>
      <c r="O15" s="532">
        <f t="shared" si="9"/>
        <v>0</v>
      </c>
      <c r="P15" s="2634"/>
      <c r="Q15" s="193" t="e">
        <f t="shared" si="6"/>
        <v>#DIV/0!</v>
      </c>
      <c r="R15" s="532">
        <f t="shared" si="1"/>
        <v>0</v>
      </c>
      <c r="S15" s="532">
        <f t="shared" si="2"/>
        <v>0</v>
      </c>
      <c r="T15" s="532">
        <f t="shared" si="3"/>
        <v>0</v>
      </c>
      <c r="U15" s="532">
        <f t="shared" si="4"/>
        <v>0</v>
      </c>
      <c r="V15" s="2634">
        <f t="shared" si="7"/>
        <v>0</v>
      </c>
    </row>
    <row r="16" spans="1:24" ht="12.75" hidden="1" customHeight="1">
      <c r="A16" s="187" t="s">
        <v>27</v>
      </c>
      <c r="B16" s="644" t="s">
        <v>3073</v>
      </c>
      <c r="C16" s="191" t="s">
        <v>512</v>
      </c>
      <c r="D16" s="187" t="s">
        <v>1353</v>
      </c>
      <c r="E16" s="187">
        <v>4</v>
      </c>
      <c r="F16" s="191" t="s">
        <v>1351</v>
      </c>
      <c r="G16" s="190">
        <v>9990001</v>
      </c>
      <c r="H16" s="191" t="s">
        <v>1352</v>
      </c>
      <c r="I16" s="192">
        <v>0</v>
      </c>
      <c r="J16" s="2554">
        <v>0</v>
      </c>
      <c r="K16" s="192">
        <v>0</v>
      </c>
      <c r="L16" s="532">
        <f t="shared" si="10"/>
        <v>0</v>
      </c>
      <c r="M16" s="532">
        <f t="shared" si="11"/>
        <v>0</v>
      </c>
      <c r="N16" s="532">
        <f t="shared" si="11"/>
        <v>0</v>
      </c>
      <c r="O16" s="532">
        <f t="shared" si="9"/>
        <v>0</v>
      </c>
      <c r="P16" s="2634"/>
      <c r="Q16" s="193" t="e">
        <f t="shared" si="6"/>
        <v>#DIV/0!</v>
      </c>
      <c r="R16" s="532">
        <f t="shared" si="1"/>
        <v>0</v>
      </c>
      <c r="S16" s="532">
        <f t="shared" si="2"/>
        <v>0</v>
      </c>
      <c r="T16" s="532">
        <f t="shared" si="3"/>
        <v>0</v>
      </c>
      <c r="U16" s="532">
        <f t="shared" si="4"/>
        <v>0</v>
      </c>
      <c r="V16" s="2634">
        <f t="shared" si="7"/>
        <v>0</v>
      </c>
    </row>
    <row r="17" spans="1:24" ht="12.75" hidden="1" customHeight="1">
      <c r="A17" s="187" t="s">
        <v>29</v>
      </c>
      <c r="B17" s="644" t="s">
        <v>3074</v>
      </c>
      <c r="C17" s="191" t="s">
        <v>512</v>
      </c>
      <c r="D17" s="187" t="s">
        <v>1354</v>
      </c>
      <c r="E17" s="187">
        <v>4</v>
      </c>
      <c r="F17" s="191" t="s">
        <v>1351</v>
      </c>
      <c r="G17" s="190">
        <v>9990001</v>
      </c>
      <c r="H17" s="191" t="s">
        <v>1352</v>
      </c>
      <c r="I17" s="192">
        <v>0</v>
      </c>
      <c r="J17" s="2554">
        <v>0</v>
      </c>
      <c r="K17" s="192">
        <v>0</v>
      </c>
      <c r="L17" s="532">
        <f t="shared" si="10"/>
        <v>0</v>
      </c>
      <c r="M17" s="532">
        <f t="shared" si="11"/>
        <v>0</v>
      </c>
      <c r="N17" s="532">
        <f t="shared" si="11"/>
        <v>0</v>
      </c>
      <c r="O17" s="532">
        <f t="shared" si="9"/>
        <v>0</v>
      </c>
      <c r="P17" s="2634"/>
      <c r="Q17" s="193" t="e">
        <f t="shared" si="6"/>
        <v>#DIV/0!</v>
      </c>
      <c r="R17" s="532">
        <f t="shared" si="1"/>
        <v>0</v>
      </c>
      <c r="S17" s="532">
        <f t="shared" si="2"/>
        <v>0</v>
      </c>
      <c r="T17" s="532">
        <f t="shared" si="3"/>
        <v>0</v>
      </c>
      <c r="U17" s="532">
        <f t="shared" si="4"/>
        <v>0</v>
      </c>
      <c r="V17" s="2634">
        <f t="shared" si="7"/>
        <v>0</v>
      </c>
    </row>
    <row r="18" spans="1:24" ht="12.75" hidden="1" customHeight="1">
      <c r="A18" s="187" t="s">
        <v>31</v>
      </c>
      <c r="B18" s="644" t="s">
        <v>3075</v>
      </c>
      <c r="C18" s="191" t="s">
        <v>512</v>
      </c>
      <c r="D18" s="187" t="s">
        <v>1355</v>
      </c>
      <c r="E18" s="187">
        <v>4</v>
      </c>
      <c r="F18" s="191" t="s">
        <v>1351</v>
      </c>
      <c r="G18" s="190">
        <v>9990001</v>
      </c>
      <c r="H18" s="191" t="s">
        <v>1352</v>
      </c>
      <c r="I18" s="192">
        <v>0</v>
      </c>
      <c r="J18" s="2554">
        <v>0</v>
      </c>
      <c r="K18" s="192">
        <v>0</v>
      </c>
      <c r="L18" s="532">
        <f t="shared" si="10"/>
        <v>0</v>
      </c>
      <c r="M18" s="532">
        <f t="shared" si="11"/>
        <v>0</v>
      </c>
      <c r="N18" s="532">
        <f t="shared" si="11"/>
        <v>0</v>
      </c>
      <c r="O18" s="532">
        <f t="shared" si="9"/>
        <v>0</v>
      </c>
      <c r="P18" s="2634"/>
      <c r="Q18" s="193" t="e">
        <f t="shared" si="6"/>
        <v>#DIV/0!</v>
      </c>
      <c r="R18" s="532">
        <f t="shared" si="1"/>
        <v>0</v>
      </c>
      <c r="S18" s="532">
        <f t="shared" si="2"/>
        <v>0</v>
      </c>
      <c r="T18" s="532">
        <f t="shared" si="3"/>
        <v>0</v>
      </c>
      <c r="U18" s="532">
        <f t="shared" si="4"/>
        <v>0</v>
      </c>
      <c r="V18" s="2634">
        <f t="shared" si="7"/>
        <v>0</v>
      </c>
    </row>
    <row r="19" spans="1:24" hidden="1">
      <c r="A19" s="187" t="s">
        <v>33</v>
      </c>
      <c r="B19" s="644" t="s">
        <v>3076</v>
      </c>
      <c r="C19" s="191" t="s">
        <v>512</v>
      </c>
      <c r="D19" s="187" t="s">
        <v>1356</v>
      </c>
      <c r="E19" s="187">
        <v>4</v>
      </c>
      <c r="F19" s="191" t="s">
        <v>1351</v>
      </c>
      <c r="G19" s="190">
        <v>9990001</v>
      </c>
      <c r="H19" s="191" t="s">
        <v>1352</v>
      </c>
      <c r="I19" s="192">
        <v>0</v>
      </c>
      <c r="J19" s="2554">
        <v>0</v>
      </c>
      <c r="K19" s="192">
        <v>0</v>
      </c>
      <c r="L19" s="532">
        <f t="shared" si="10"/>
        <v>0</v>
      </c>
      <c r="M19" s="532">
        <f t="shared" si="11"/>
        <v>0</v>
      </c>
      <c r="N19" s="532">
        <f t="shared" si="11"/>
        <v>0</v>
      </c>
      <c r="O19" s="532">
        <f t="shared" si="9"/>
        <v>0</v>
      </c>
      <c r="P19" s="2634"/>
      <c r="Q19" s="193" t="e">
        <f t="shared" si="6"/>
        <v>#DIV/0!</v>
      </c>
      <c r="R19" s="532">
        <f t="shared" si="1"/>
        <v>0</v>
      </c>
      <c r="S19" s="532">
        <f t="shared" si="2"/>
        <v>0</v>
      </c>
      <c r="T19" s="532">
        <f t="shared" si="3"/>
        <v>0</v>
      </c>
      <c r="U19" s="532">
        <f t="shared" si="4"/>
        <v>0</v>
      </c>
      <c r="V19" s="2634">
        <f t="shared" si="7"/>
        <v>0</v>
      </c>
    </row>
    <row r="20" spans="1:24" hidden="1">
      <c r="A20" s="187" t="s">
        <v>35</v>
      </c>
      <c r="B20" s="644" t="s">
        <v>3077</v>
      </c>
      <c r="C20" s="191" t="s">
        <v>512</v>
      </c>
      <c r="D20" s="187" t="s">
        <v>1357</v>
      </c>
      <c r="E20" s="187">
        <v>4</v>
      </c>
      <c r="F20" s="191" t="s">
        <v>1351</v>
      </c>
      <c r="G20" s="190">
        <v>9990001</v>
      </c>
      <c r="H20" s="191" t="s">
        <v>1352</v>
      </c>
      <c r="I20" s="192">
        <v>0</v>
      </c>
      <c r="J20" s="2554">
        <v>0</v>
      </c>
      <c r="K20" s="192">
        <v>0</v>
      </c>
      <c r="L20" s="532">
        <f t="shared" si="10"/>
        <v>0</v>
      </c>
      <c r="M20" s="532">
        <f t="shared" si="11"/>
        <v>0</v>
      </c>
      <c r="N20" s="532">
        <f t="shared" si="11"/>
        <v>0</v>
      </c>
      <c r="O20" s="532">
        <f t="shared" si="9"/>
        <v>0</v>
      </c>
      <c r="P20" s="2634"/>
      <c r="Q20" s="193" t="e">
        <f t="shared" si="6"/>
        <v>#DIV/0!</v>
      </c>
      <c r="R20" s="532">
        <f t="shared" si="1"/>
        <v>0</v>
      </c>
      <c r="S20" s="532">
        <f t="shared" si="2"/>
        <v>0</v>
      </c>
      <c r="T20" s="532">
        <f t="shared" si="3"/>
        <v>0</v>
      </c>
      <c r="U20" s="532">
        <f t="shared" si="4"/>
        <v>0</v>
      </c>
      <c r="V20" s="2634">
        <f t="shared" si="7"/>
        <v>0</v>
      </c>
    </row>
    <row r="21" spans="1:24" hidden="1">
      <c r="A21" s="187" t="s">
        <v>37</v>
      </c>
      <c r="B21" s="214" t="s">
        <v>3078</v>
      </c>
      <c r="C21" s="191" t="s">
        <v>512</v>
      </c>
      <c r="D21" s="187" t="s">
        <v>1358</v>
      </c>
      <c r="E21" s="187">
        <v>4</v>
      </c>
      <c r="F21" s="191" t="s">
        <v>1351</v>
      </c>
      <c r="G21" s="190">
        <v>9990001</v>
      </c>
      <c r="H21" s="191" t="s">
        <v>1352</v>
      </c>
      <c r="I21" s="192">
        <v>0</v>
      </c>
      <c r="J21" s="2554">
        <v>0</v>
      </c>
      <c r="K21" s="192">
        <v>0</v>
      </c>
      <c r="L21" s="532">
        <f t="shared" si="10"/>
        <v>0</v>
      </c>
      <c r="M21" s="532">
        <f t="shared" si="11"/>
        <v>0</v>
      </c>
      <c r="N21" s="532">
        <f t="shared" si="11"/>
        <v>0</v>
      </c>
      <c r="O21" s="532">
        <f t="shared" si="9"/>
        <v>0</v>
      </c>
      <c r="P21" s="2634"/>
      <c r="Q21" s="193" t="e">
        <f t="shared" si="6"/>
        <v>#DIV/0!</v>
      </c>
      <c r="R21" s="532">
        <f t="shared" si="1"/>
        <v>0</v>
      </c>
      <c r="S21" s="532">
        <f t="shared" si="2"/>
        <v>0</v>
      </c>
      <c r="T21" s="532">
        <f t="shared" si="3"/>
        <v>0</v>
      </c>
      <c r="U21" s="532">
        <f t="shared" si="4"/>
        <v>0</v>
      </c>
      <c r="V21" s="2634">
        <f t="shared" si="7"/>
        <v>0</v>
      </c>
    </row>
    <row r="22" spans="1:24" hidden="1">
      <c r="A22" s="187" t="s">
        <v>39</v>
      </c>
      <c r="B22" s="214" t="s">
        <v>3079</v>
      </c>
      <c r="C22" s="191" t="s">
        <v>512</v>
      </c>
      <c r="D22" s="187" t="s">
        <v>1359</v>
      </c>
      <c r="E22" s="187">
        <v>4</v>
      </c>
      <c r="F22" s="191" t="s">
        <v>1351</v>
      </c>
      <c r="G22" s="190">
        <v>9990001</v>
      </c>
      <c r="H22" s="191" t="s">
        <v>1352</v>
      </c>
      <c r="I22" s="192">
        <v>0</v>
      </c>
      <c r="J22" s="2554">
        <v>0</v>
      </c>
      <c r="K22" s="192">
        <v>0</v>
      </c>
      <c r="L22" s="532">
        <f t="shared" si="10"/>
        <v>0</v>
      </c>
      <c r="M22" s="532">
        <f t="shared" si="11"/>
        <v>0</v>
      </c>
      <c r="N22" s="532">
        <f t="shared" si="11"/>
        <v>0</v>
      </c>
      <c r="O22" s="532">
        <f t="shared" si="9"/>
        <v>0</v>
      </c>
      <c r="P22" s="2634"/>
      <c r="Q22" s="193" t="e">
        <f t="shared" si="6"/>
        <v>#DIV/0!</v>
      </c>
      <c r="R22" s="532">
        <f t="shared" si="1"/>
        <v>0</v>
      </c>
      <c r="S22" s="532">
        <f t="shared" si="2"/>
        <v>0</v>
      </c>
      <c r="T22" s="532">
        <f t="shared" si="3"/>
        <v>0</v>
      </c>
      <c r="U22" s="532">
        <f t="shared" si="4"/>
        <v>0</v>
      </c>
      <c r="V22" s="2634">
        <f t="shared" si="7"/>
        <v>0</v>
      </c>
    </row>
    <row r="23" spans="1:24" hidden="1">
      <c r="A23" s="187" t="s">
        <v>41</v>
      </c>
      <c r="B23" s="644" t="s">
        <v>3080</v>
      </c>
      <c r="C23" s="191"/>
      <c r="D23" s="187"/>
      <c r="E23" s="187"/>
      <c r="F23" s="191"/>
      <c r="G23" s="190"/>
      <c r="H23" s="191"/>
      <c r="I23" s="192">
        <v>0</v>
      </c>
      <c r="J23" s="2554">
        <v>0</v>
      </c>
      <c r="K23" s="192">
        <v>0</v>
      </c>
      <c r="L23" s="532">
        <f t="shared" si="10"/>
        <v>0</v>
      </c>
      <c r="M23" s="532">
        <f t="shared" si="11"/>
        <v>0</v>
      </c>
      <c r="N23" s="532">
        <f t="shared" si="11"/>
        <v>0</v>
      </c>
      <c r="O23" s="532">
        <f t="shared" si="9"/>
        <v>0</v>
      </c>
      <c r="P23" s="2634"/>
      <c r="Q23" s="193" t="e">
        <f t="shared" si="6"/>
        <v>#DIV/0!</v>
      </c>
      <c r="R23" s="532">
        <f t="shared" si="1"/>
        <v>0</v>
      </c>
      <c r="S23" s="532">
        <f t="shared" si="2"/>
        <v>0</v>
      </c>
      <c r="T23" s="532">
        <f t="shared" si="3"/>
        <v>0</v>
      </c>
      <c r="U23" s="532">
        <f t="shared" si="4"/>
        <v>0</v>
      </c>
      <c r="V23" s="2634">
        <f t="shared" si="7"/>
        <v>0</v>
      </c>
    </row>
    <row r="24" spans="1:24" hidden="1">
      <c r="A24" s="187" t="s">
        <v>314</v>
      </c>
      <c r="B24" s="644" t="s">
        <v>3081</v>
      </c>
      <c r="C24" s="191"/>
      <c r="D24" s="187"/>
      <c r="E24" s="187"/>
      <c r="F24" s="191"/>
      <c r="G24" s="190"/>
      <c r="H24" s="191"/>
      <c r="I24" s="192">
        <v>0</v>
      </c>
      <c r="J24" s="2554">
        <v>0</v>
      </c>
      <c r="K24" s="192">
        <v>0</v>
      </c>
      <c r="L24" s="532">
        <f t="shared" si="10"/>
        <v>0</v>
      </c>
      <c r="M24" s="532">
        <f t="shared" si="11"/>
        <v>0</v>
      </c>
      <c r="N24" s="532">
        <f t="shared" si="11"/>
        <v>0</v>
      </c>
      <c r="O24" s="532">
        <f t="shared" si="9"/>
        <v>0</v>
      </c>
      <c r="P24" s="2634"/>
      <c r="Q24" s="193" t="e">
        <f t="shared" si="6"/>
        <v>#DIV/0!</v>
      </c>
      <c r="R24" s="532">
        <f t="shared" si="1"/>
        <v>0</v>
      </c>
      <c r="S24" s="532">
        <f t="shared" si="2"/>
        <v>0</v>
      </c>
      <c r="T24" s="532">
        <f t="shared" si="3"/>
        <v>0</v>
      </c>
      <c r="U24" s="532">
        <f t="shared" si="4"/>
        <v>0</v>
      </c>
      <c r="V24" s="2634">
        <f t="shared" si="7"/>
        <v>0</v>
      </c>
    </row>
    <row r="25" spans="1:24" ht="12.75" customHeight="1">
      <c r="A25" s="187" t="s">
        <v>15</v>
      </c>
      <c r="B25" s="214" t="s">
        <v>1360</v>
      </c>
      <c r="C25" s="191" t="s">
        <v>512</v>
      </c>
      <c r="D25" s="187" t="s">
        <v>1336</v>
      </c>
      <c r="E25" s="187">
        <v>2</v>
      </c>
      <c r="F25" s="191" t="s">
        <v>534</v>
      </c>
      <c r="G25" s="190">
        <v>9990001</v>
      </c>
      <c r="H25" s="191" t="s">
        <v>1352</v>
      </c>
      <c r="I25" s="192">
        <v>26000000</v>
      </c>
      <c r="J25" s="2554">
        <v>34434970</v>
      </c>
      <c r="K25" s="192">
        <v>24600000</v>
      </c>
      <c r="L25" s="532">
        <f>+K25</f>
        <v>24600000</v>
      </c>
      <c r="M25" s="532">
        <f>+L25+5000000+5005800</f>
        <v>34605800</v>
      </c>
      <c r="N25" s="532">
        <f>+M25+2600000+4320000</f>
        <v>41525800</v>
      </c>
      <c r="O25" s="532">
        <f t="shared" si="9"/>
        <v>41525800</v>
      </c>
      <c r="P25" s="2634">
        <v>39507712</v>
      </c>
      <c r="Q25" s="193">
        <f t="shared" si="6"/>
        <v>0.95140158648358375</v>
      </c>
      <c r="R25" s="532">
        <f t="shared" si="1"/>
        <v>0</v>
      </c>
      <c r="S25" s="532">
        <f t="shared" si="2"/>
        <v>10005800</v>
      </c>
      <c r="T25" s="532">
        <f t="shared" si="3"/>
        <v>6920000</v>
      </c>
      <c r="U25" s="532">
        <f t="shared" si="4"/>
        <v>0</v>
      </c>
      <c r="V25" s="2634">
        <f t="shared" si="7"/>
        <v>2018088</v>
      </c>
    </row>
    <row r="26" spans="1:24" s="510" customFormat="1" ht="12.75" hidden="1" customHeight="1">
      <c r="A26" s="3441" t="s">
        <v>212</v>
      </c>
      <c r="B26" s="3442" t="s">
        <v>3138</v>
      </c>
      <c r="C26" s="204"/>
      <c r="D26" s="196"/>
      <c r="E26" s="239">
        <v>2</v>
      </c>
      <c r="F26" s="191" t="s">
        <v>3280</v>
      </c>
      <c r="G26" s="198"/>
      <c r="H26" s="204"/>
      <c r="I26" s="199">
        <v>0</v>
      </c>
      <c r="J26" s="2604">
        <v>0</v>
      </c>
      <c r="K26" s="199">
        <v>0</v>
      </c>
      <c r="L26" s="535">
        <f>+K26</f>
        <v>0</v>
      </c>
      <c r="M26" s="535">
        <f t="shared" ref="M26:M37" si="12">+L26</f>
        <v>0</v>
      </c>
      <c r="N26" s="535">
        <f t="shared" ref="N26:N37" si="13">+M26</f>
        <v>0</v>
      </c>
      <c r="O26" s="535">
        <f t="shared" si="9"/>
        <v>0</v>
      </c>
      <c r="P26" s="2635"/>
      <c r="Q26" s="200" t="e">
        <f t="shared" si="6"/>
        <v>#DIV/0!</v>
      </c>
      <c r="R26" s="535">
        <f t="shared" si="1"/>
        <v>0</v>
      </c>
      <c r="S26" s="535">
        <f t="shared" si="2"/>
        <v>0</v>
      </c>
      <c r="T26" s="535">
        <f t="shared" si="3"/>
        <v>0</v>
      </c>
      <c r="U26" s="535">
        <f t="shared" si="4"/>
        <v>0</v>
      </c>
      <c r="V26" s="2635">
        <f t="shared" si="7"/>
        <v>0</v>
      </c>
      <c r="W26" s="203"/>
      <c r="X26" s="203"/>
    </row>
    <row r="27" spans="1:24">
      <c r="A27" s="187" t="s">
        <v>17</v>
      </c>
      <c r="B27" s="214" t="s">
        <v>85</v>
      </c>
      <c r="C27" s="191" t="s">
        <v>512</v>
      </c>
      <c r="D27" s="187" t="s">
        <v>1336</v>
      </c>
      <c r="E27" s="187">
        <v>2</v>
      </c>
      <c r="F27" s="191" t="s">
        <v>534</v>
      </c>
      <c r="G27" s="190">
        <v>9990001</v>
      </c>
      <c r="H27" s="191" t="s">
        <v>1361</v>
      </c>
      <c r="I27" s="2336">
        <v>0</v>
      </c>
      <c r="J27" s="2554">
        <v>14916055</v>
      </c>
      <c r="K27" s="2336">
        <v>0</v>
      </c>
      <c r="L27" s="532">
        <f>+K27</f>
        <v>0</v>
      </c>
      <c r="M27" s="532">
        <f>+L27+5000000</f>
        <v>5000000</v>
      </c>
      <c r="N27" s="532">
        <f t="shared" si="13"/>
        <v>5000000</v>
      </c>
      <c r="O27" s="532">
        <f t="shared" si="9"/>
        <v>5000000</v>
      </c>
      <c r="P27" s="2634">
        <v>4681100</v>
      </c>
      <c r="Q27" s="3443">
        <f t="shared" si="6"/>
        <v>0.93622000000000005</v>
      </c>
      <c r="R27" s="532">
        <f t="shared" si="1"/>
        <v>0</v>
      </c>
      <c r="S27" s="532">
        <f t="shared" si="2"/>
        <v>5000000</v>
      </c>
      <c r="T27" s="532">
        <f t="shared" si="3"/>
        <v>0</v>
      </c>
      <c r="U27" s="532">
        <f t="shared" si="4"/>
        <v>0</v>
      </c>
      <c r="V27" s="2634">
        <f t="shared" si="7"/>
        <v>318900</v>
      </c>
    </row>
    <row r="28" spans="1:24">
      <c r="A28" s="187" t="s">
        <v>19</v>
      </c>
      <c r="B28" s="214" t="s">
        <v>1362</v>
      </c>
      <c r="C28" s="180"/>
      <c r="D28" s="214"/>
      <c r="E28" s="190"/>
      <c r="F28" s="214"/>
      <c r="G28" s="214"/>
      <c r="H28" s="191" t="s">
        <v>1363</v>
      </c>
      <c r="I28" s="536">
        <v>2000000</v>
      </c>
      <c r="J28" s="2554">
        <v>0</v>
      </c>
      <c r="K28" s="536">
        <v>1000000</v>
      </c>
      <c r="L28" s="532">
        <f t="shared" si="10"/>
        <v>1000000</v>
      </c>
      <c r="M28" s="532">
        <f t="shared" si="12"/>
        <v>1000000</v>
      </c>
      <c r="N28" s="532">
        <f>+M28-10</f>
        <v>999990</v>
      </c>
      <c r="O28" s="532">
        <f t="shared" si="9"/>
        <v>999990</v>
      </c>
      <c r="P28" s="2635">
        <v>0</v>
      </c>
      <c r="Q28" s="537">
        <f t="shared" si="6"/>
        <v>0</v>
      </c>
      <c r="R28" s="532">
        <f t="shared" si="1"/>
        <v>0</v>
      </c>
      <c r="S28" s="532">
        <f t="shared" si="2"/>
        <v>0</v>
      </c>
      <c r="T28" s="532">
        <f t="shared" si="3"/>
        <v>-10</v>
      </c>
      <c r="U28" s="532">
        <f t="shared" si="4"/>
        <v>0</v>
      </c>
      <c r="V28" s="2635">
        <f t="shared" si="7"/>
        <v>999990</v>
      </c>
    </row>
    <row r="29" spans="1:24">
      <c r="A29" s="187" t="s">
        <v>21</v>
      </c>
      <c r="B29" s="214" t="s">
        <v>1364</v>
      </c>
      <c r="C29" s="180"/>
      <c r="D29" s="214"/>
      <c r="E29" s="190"/>
      <c r="F29" s="214"/>
      <c r="G29" s="214"/>
      <c r="H29" s="191" t="s">
        <v>1365</v>
      </c>
      <c r="I29" s="536">
        <f>0</f>
        <v>0</v>
      </c>
      <c r="J29" s="2554">
        <v>0</v>
      </c>
      <c r="K29" s="536">
        <v>0</v>
      </c>
      <c r="L29" s="532">
        <f t="shared" si="10"/>
        <v>0</v>
      </c>
      <c r="M29" s="532">
        <f t="shared" si="12"/>
        <v>0</v>
      </c>
      <c r="N29" s="532">
        <f t="shared" si="13"/>
        <v>0</v>
      </c>
      <c r="O29" s="532">
        <f t="shared" si="9"/>
        <v>0</v>
      </c>
      <c r="P29" s="2634">
        <v>0</v>
      </c>
      <c r="Q29" s="537"/>
      <c r="R29" s="532">
        <f t="shared" si="1"/>
        <v>0</v>
      </c>
      <c r="S29" s="532">
        <f t="shared" si="2"/>
        <v>0</v>
      </c>
      <c r="T29" s="532">
        <f t="shared" si="3"/>
        <v>0</v>
      </c>
      <c r="U29" s="532">
        <f t="shared" si="4"/>
        <v>0</v>
      </c>
      <c r="V29" s="2634">
        <f t="shared" si="7"/>
        <v>0</v>
      </c>
    </row>
    <row r="30" spans="1:24" ht="12.75" customHeight="1">
      <c r="A30" s="187" t="s">
        <v>23</v>
      </c>
      <c r="B30" s="214" t="s">
        <v>73</v>
      </c>
      <c r="C30" s="191" t="s">
        <v>512</v>
      </c>
      <c r="D30" s="187" t="s">
        <v>1336</v>
      </c>
      <c r="E30" s="187">
        <v>2</v>
      </c>
      <c r="F30" s="191" t="s">
        <v>534</v>
      </c>
      <c r="G30" s="190">
        <v>9990001</v>
      </c>
      <c r="H30" s="191" t="s">
        <v>1366</v>
      </c>
      <c r="I30" s="532">
        <v>14916340</v>
      </c>
      <c r="J30" s="2554">
        <v>17716500</v>
      </c>
      <c r="K30" s="532">
        <f>14828886+2308204</f>
        <v>17137090</v>
      </c>
      <c r="L30" s="532">
        <f>+K30</f>
        <v>17137090</v>
      </c>
      <c r="M30" s="532">
        <f>+L30</f>
        <v>17137090</v>
      </c>
      <c r="N30" s="532">
        <f>+M30+10</f>
        <v>17137100</v>
      </c>
      <c r="O30" s="532">
        <f t="shared" si="9"/>
        <v>17137100</v>
      </c>
      <c r="P30" s="2634">
        <v>17137100</v>
      </c>
      <c r="Q30" s="533">
        <f t="shared" si="6"/>
        <v>1</v>
      </c>
      <c r="R30" s="532">
        <f t="shared" si="1"/>
        <v>0</v>
      </c>
      <c r="S30" s="532">
        <f t="shared" si="2"/>
        <v>0</v>
      </c>
      <c r="T30" s="532">
        <f t="shared" si="3"/>
        <v>10</v>
      </c>
      <c r="U30" s="532">
        <f t="shared" si="4"/>
        <v>0</v>
      </c>
      <c r="V30" s="2634">
        <f t="shared" si="7"/>
        <v>0</v>
      </c>
    </row>
    <row r="31" spans="1:24" s="252" customFormat="1">
      <c r="A31" s="187" t="s">
        <v>25</v>
      </c>
      <c r="B31" s="214" t="s">
        <v>3082</v>
      </c>
      <c r="C31" s="180"/>
      <c r="D31" s="214"/>
      <c r="E31" s="190"/>
      <c r="F31" s="214"/>
      <c r="G31" s="214"/>
      <c r="H31" s="191" t="s">
        <v>1368</v>
      </c>
      <c r="I31" s="536">
        <v>67500000</v>
      </c>
      <c r="J31" s="2741">
        <v>61818442</v>
      </c>
      <c r="K31" s="532">
        <v>67500000</v>
      </c>
      <c r="L31" s="536">
        <f t="shared" si="10"/>
        <v>67500000</v>
      </c>
      <c r="M31" s="536">
        <f t="shared" si="12"/>
        <v>67500000</v>
      </c>
      <c r="N31" s="536">
        <f t="shared" si="13"/>
        <v>67500000</v>
      </c>
      <c r="O31" s="536">
        <f t="shared" si="9"/>
        <v>67500000</v>
      </c>
      <c r="P31" s="2636">
        <v>62499183</v>
      </c>
      <c r="Q31" s="537">
        <f t="shared" si="6"/>
        <v>0.92591382222222218</v>
      </c>
      <c r="R31" s="532">
        <f t="shared" si="1"/>
        <v>0</v>
      </c>
      <c r="S31" s="536">
        <f t="shared" si="2"/>
        <v>0</v>
      </c>
      <c r="T31" s="532">
        <f t="shared" si="3"/>
        <v>0</v>
      </c>
      <c r="U31" s="532">
        <f t="shared" si="4"/>
        <v>0</v>
      </c>
      <c r="V31" s="2636">
        <f t="shared" si="7"/>
        <v>5000817</v>
      </c>
      <c r="W31" s="174"/>
      <c r="X31" s="174"/>
    </row>
    <row r="32" spans="1:24" s="252" customFormat="1" ht="38.25">
      <c r="A32" s="187" t="s">
        <v>27</v>
      </c>
      <c r="B32" s="2249" t="s">
        <v>3961</v>
      </c>
      <c r="C32" s="180"/>
      <c r="D32" s="214"/>
      <c r="E32" s="190"/>
      <c r="F32" s="214"/>
      <c r="G32" s="214"/>
      <c r="H32" s="191"/>
      <c r="I32" s="536">
        <v>196845233</v>
      </c>
      <c r="J32" s="2741">
        <v>194079514</v>
      </c>
      <c r="K32" s="536">
        <f>204031990-5587999</f>
        <v>198443991</v>
      </c>
      <c r="L32" s="536">
        <f>+K32</f>
        <v>198443991</v>
      </c>
      <c r="M32" s="536">
        <f t="shared" si="12"/>
        <v>198443991</v>
      </c>
      <c r="N32" s="536">
        <f t="shared" si="13"/>
        <v>198443991</v>
      </c>
      <c r="O32" s="536">
        <f t="shared" si="9"/>
        <v>198443991</v>
      </c>
      <c r="P32" s="2636">
        <f>40039485+10408886-330828+147911212-1934888-2264076</f>
        <v>193829791</v>
      </c>
      <c r="Q32" s="537">
        <f t="shared" si="6"/>
        <v>0.97674809916516947</v>
      </c>
      <c r="R32" s="532">
        <f t="shared" si="1"/>
        <v>0</v>
      </c>
      <c r="S32" s="536">
        <f t="shared" si="2"/>
        <v>0</v>
      </c>
      <c r="T32" s="532">
        <f t="shared" si="3"/>
        <v>0</v>
      </c>
      <c r="U32" s="532">
        <f t="shared" si="4"/>
        <v>0</v>
      </c>
      <c r="V32" s="2636">
        <f t="shared" si="7"/>
        <v>4614200</v>
      </c>
      <c r="W32" s="174"/>
      <c r="X32" s="174"/>
    </row>
    <row r="33" spans="1:24" ht="27" customHeight="1">
      <c r="A33" s="187" t="s">
        <v>29</v>
      </c>
      <c r="B33" s="214" t="s">
        <v>3884</v>
      </c>
      <c r="C33" s="191" t="s">
        <v>512</v>
      </c>
      <c r="D33" s="187" t="s">
        <v>1336</v>
      </c>
      <c r="E33" s="187">
        <v>2</v>
      </c>
      <c r="F33" s="191" t="s">
        <v>534</v>
      </c>
      <c r="G33" s="190">
        <v>9990001</v>
      </c>
      <c r="H33" s="191" t="s">
        <v>1369</v>
      </c>
      <c r="I33" s="192">
        <f>270677</f>
        <v>270677</v>
      </c>
      <c r="J33" s="2554">
        <v>180452</v>
      </c>
      <c r="K33" s="192">
        <v>270677</v>
      </c>
      <c r="L33" s="532">
        <f>+K33+60150+1</f>
        <v>330828</v>
      </c>
      <c r="M33" s="532">
        <f t="shared" si="12"/>
        <v>330828</v>
      </c>
      <c r="N33" s="532">
        <f t="shared" si="13"/>
        <v>330828</v>
      </c>
      <c r="O33" s="532">
        <f t="shared" si="9"/>
        <v>330828</v>
      </c>
      <c r="P33" s="2634">
        <f>0+330828</f>
        <v>330828</v>
      </c>
      <c r="Q33" s="193">
        <f t="shared" si="6"/>
        <v>1</v>
      </c>
      <c r="R33" s="532">
        <f t="shared" si="1"/>
        <v>60151</v>
      </c>
      <c r="S33" s="532">
        <f t="shared" si="2"/>
        <v>0</v>
      </c>
      <c r="T33" s="532">
        <f t="shared" si="3"/>
        <v>0</v>
      </c>
      <c r="U33" s="532">
        <f t="shared" si="4"/>
        <v>0</v>
      </c>
      <c r="V33" s="2634">
        <f t="shared" si="7"/>
        <v>0</v>
      </c>
    </row>
    <row r="34" spans="1:24" ht="12.75" customHeight="1">
      <c r="A34" s="187" t="s">
        <v>31</v>
      </c>
      <c r="B34" s="214" t="s">
        <v>1370</v>
      </c>
      <c r="C34" s="191" t="s">
        <v>512</v>
      </c>
      <c r="D34" s="187" t="s">
        <v>1336</v>
      </c>
      <c r="E34" s="187">
        <v>2</v>
      </c>
      <c r="F34" s="191" t="s">
        <v>534</v>
      </c>
      <c r="G34" s="190">
        <v>9990001</v>
      </c>
      <c r="H34" s="191" t="s">
        <v>1371</v>
      </c>
      <c r="I34" s="536">
        <v>3742342</v>
      </c>
      <c r="J34" s="2554">
        <v>2807295</v>
      </c>
      <c r="K34" s="536">
        <v>2750000</v>
      </c>
      <c r="L34" s="532">
        <f>+K34</f>
        <v>2750000</v>
      </c>
      <c r="M34" s="532">
        <f>+L34</f>
        <v>2750000</v>
      </c>
      <c r="N34" s="532">
        <f>+M34-96260</f>
        <v>2653740</v>
      </c>
      <c r="O34" s="532">
        <f t="shared" si="9"/>
        <v>2653740</v>
      </c>
      <c r="P34" s="2634">
        <v>2634348</v>
      </c>
      <c r="Q34" s="537">
        <f t="shared" si="6"/>
        <v>0.99269257726830817</v>
      </c>
      <c r="R34" s="532">
        <f t="shared" si="1"/>
        <v>0</v>
      </c>
      <c r="S34" s="532">
        <f t="shared" si="2"/>
        <v>0</v>
      </c>
      <c r="T34" s="532">
        <f t="shared" si="3"/>
        <v>-96260</v>
      </c>
      <c r="U34" s="532">
        <f t="shared" si="4"/>
        <v>0</v>
      </c>
      <c r="V34" s="2634">
        <f t="shared" si="7"/>
        <v>19392</v>
      </c>
    </row>
    <row r="35" spans="1:24" ht="12.75" customHeight="1">
      <c r="A35" s="187" t="s">
        <v>33</v>
      </c>
      <c r="B35" s="214" t="s">
        <v>76</v>
      </c>
      <c r="C35" s="191" t="s">
        <v>512</v>
      </c>
      <c r="D35" s="187" t="s">
        <v>1336</v>
      </c>
      <c r="E35" s="187">
        <v>2</v>
      </c>
      <c r="F35" s="191" t="s">
        <v>534</v>
      </c>
      <c r="G35" s="190">
        <v>9990001</v>
      </c>
      <c r="H35" s="191" t="s">
        <v>1372</v>
      </c>
      <c r="I35" s="536">
        <f>5126106-842106</f>
        <v>4284000</v>
      </c>
      <c r="J35" s="2554">
        <f>+I35</f>
        <v>4284000</v>
      </c>
      <c r="K35" s="536">
        <v>4284000</v>
      </c>
      <c r="L35" s="532">
        <f>+K35</f>
        <v>4284000</v>
      </c>
      <c r="M35" s="532">
        <f t="shared" si="12"/>
        <v>4284000</v>
      </c>
      <c r="N35" s="532">
        <f>+M35+96260</f>
        <v>4380260</v>
      </c>
      <c r="O35" s="532">
        <f t="shared" si="9"/>
        <v>4380260</v>
      </c>
      <c r="P35" s="2634">
        <v>4380260</v>
      </c>
      <c r="Q35" s="537">
        <f t="shared" si="6"/>
        <v>1</v>
      </c>
      <c r="R35" s="532">
        <f t="shared" si="1"/>
        <v>0</v>
      </c>
      <c r="S35" s="532">
        <f t="shared" si="2"/>
        <v>0</v>
      </c>
      <c r="T35" s="532">
        <f t="shared" si="3"/>
        <v>96260</v>
      </c>
      <c r="U35" s="532">
        <f t="shared" si="4"/>
        <v>0</v>
      </c>
      <c r="V35" s="2634">
        <f t="shared" si="7"/>
        <v>0</v>
      </c>
    </row>
    <row r="36" spans="1:24" s="510" customFormat="1" hidden="1">
      <c r="A36" s="196" t="s">
        <v>880</v>
      </c>
      <c r="B36" s="530" t="s">
        <v>1373</v>
      </c>
      <c r="C36" s="204" t="s">
        <v>512</v>
      </c>
      <c r="D36" s="196" t="s">
        <v>1336</v>
      </c>
      <c r="E36" s="196">
        <v>2</v>
      </c>
      <c r="F36" s="204" t="s">
        <v>534</v>
      </c>
      <c r="G36" s="198">
        <v>9990001</v>
      </c>
      <c r="H36" s="204" t="s">
        <v>1374</v>
      </c>
      <c r="I36" s="2337">
        <v>4700000</v>
      </c>
      <c r="J36" s="2604">
        <v>3963996</v>
      </c>
      <c r="K36" s="2337">
        <v>4400000</v>
      </c>
      <c r="L36" s="535">
        <f>+K36</f>
        <v>4400000</v>
      </c>
      <c r="M36" s="532">
        <f>+L36</f>
        <v>4400000</v>
      </c>
      <c r="N36" s="535">
        <f>+M36</f>
        <v>4400000</v>
      </c>
      <c r="O36" s="535">
        <f t="shared" si="9"/>
        <v>4400000</v>
      </c>
      <c r="P36" s="2634">
        <v>4057374</v>
      </c>
      <c r="Q36" s="3444">
        <f t="shared" si="6"/>
        <v>0.9221304545454545</v>
      </c>
      <c r="R36" s="535">
        <f t="shared" si="1"/>
        <v>0</v>
      </c>
      <c r="S36" s="532">
        <f t="shared" si="2"/>
        <v>0</v>
      </c>
      <c r="T36" s="535">
        <f t="shared" si="3"/>
        <v>0</v>
      </c>
      <c r="U36" s="535">
        <f t="shared" si="4"/>
        <v>0</v>
      </c>
      <c r="V36" s="2634">
        <f t="shared" si="7"/>
        <v>342626</v>
      </c>
      <c r="W36" s="203"/>
      <c r="X36" s="203"/>
    </row>
    <row r="37" spans="1:24" s="510" customFormat="1" hidden="1">
      <c r="A37" s="196" t="s">
        <v>880</v>
      </c>
      <c r="B37" s="530" t="s">
        <v>3083</v>
      </c>
      <c r="C37" s="204" t="s">
        <v>512</v>
      </c>
      <c r="D37" s="196" t="s">
        <v>1336</v>
      </c>
      <c r="E37" s="196">
        <v>2</v>
      </c>
      <c r="F37" s="204" t="s">
        <v>534</v>
      </c>
      <c r="G37" s="198">
        <v>9990001</v>
      </c>
      <c r="H37" s="204" t="s">
        <v>1376</v>
      </c>
      <c r="I37" s="2337">
        <v>0</v>
      </c>
      <c r="J37" s="2604">
        <v>0</v>
      </c>
      <c r="K37" s="2337">
        <v>0</v>
      </c>
      <c r="L37" s="535">
        <f t="shared" si="10"/>
        <v>0</v>
      </c>
      <c r="M37" s="535">
        <f t="shared" si="12"/>
        <v>0</v>
      </c>
      <c r="N37" s="535">
        <f t="shared" si="13"/>
        <v>0</v>
      </c>
      <c r="O37" s="535">
        <f t="shared" si="9"/>
        <v>0</v>
      </c>
      <c r="P37" s="2635">
        <v>0</v>
      </c>
      <c r="Q37" s="3444" t="e">
        <f t="shared" si="6"/>
        <v>#DIV/0!</v>
      </c>
      <c r="R37" s="535">
        <f t="shared" si="1"/>
        <v>0</v>
      </c>
      <c r="S37" s="535">
        <f t="shared" si="2"/>
        <v>0</v>
      </c>
      <c r="T37" s="535">
        <f t="shared" si="3"/>
        <v>0</v>
      </c>
      <c r="U37" s="535">
        <f t="shared" si="4"/>
        <v>0</v>
      </c>
      <c r="V37" s="2635">
        <f t="shared" si="7"/>
        <v>0</v>
      </c>
      <c r="W37" s="203"/>
      <c r="X37" s="203"/>
    </row>
    <row r="38" spans="1:24">
      <c r="A38" s="187" t="s">
        <v>35</v>
      </c>
      <c r="B38" s="214" t="s">
        <v>3084</v>
      </c>
      <c r="C38" s="180"/>
      <c r="D38" s="214"/>
      <c r="E38" s="190"/>
      <c r="F38" s="214"/>
      <c r="G38" s="190"/>
      <c r="H38" s="191" t="s">
        <v>1377</v>
      </c>
      <c r="I38" s="2336">
        <f>I36</f>
        <v>4700000</v>
      </c>
      <c r="J38" s="2742">
        <f t="shared" ref="J38:P38" si="14">J36</f>
        <v>3963996</v>
      </c>
      <c r="K38" s="2336">
        <f>K36</f>
        <v>4400000</v>
      </c>
      <c r="L38" s="2336">
        <f t="shared" si="14"/>
        <v>4400000</v>
      </c>
      <c r="M38" s="2336">
        <f t="shared" si="14"/>
        <v>4400000</v>
      </c>
      <c r="N38" s="2336">
        <f>N36</f>
        <v>4400000</v>
      </c>
      <c r="O38" s="2336">
        <f t="shared" si="14"/>
        <v>4400000</v>
      </c>
      <c r="P38" s="3445">
        <f t="shared" si="14"/>
        <v>4057374</v>
      </c>
      <c r="Q38" s="3443">
        <f t="shared" si="6"/>
        <v>0.9221304545454545</v>
      </c>
      <c r="R38" s="532">
        <f t="shared" si="1"/>
        <v>0</v>
      </c>
      <c r="S38" s="2336">
        <f t="shared" si="2"/>
        <v>0</v>
      </c>
      <c r="T38" s="532">
        <f t="shared" si="3"/>
        <v>0</v>
      </c>
      <c r="U38" s="532">
        <f t="shared" si="4"/>
        <v>0</v>
      </c>
      <c r="V38" s="1273">
        <f t="shared" si="7"/>
        <v>342626</v>
      </c>
    </row>
    <row r="39" spans="1:24" s="252" customFormat="1" ht="12.75" customHeight="1">
      <c r="A39" s="187" t="s">
        <v>37</v>
      </c>
      <c r="B39" s="214" t="s">
        <v>3085</v>
      </c>
      <c r="C39" s="191" t="s">
        <v>512</v>
      </c>
      <c r="D39" s="187" t="s">
        <v>1336</v>
      </c>
      <c r="E39" s="187">
        <v>2</v>
      </c>
      <c r="F39" s="191" t="s">
        <v>534</v>
      </c>
      <c r="G39" s="190">
        <v>9990001</v>
      </c>
      <c r="H39" s="191" t="s">
        <v>1378</v>
      </c>
      <c r="I39" s="2336">
        <f>360000</f>
        <v>360000</v>
      </c>
      <c r="J39" s="2554">
        <v>360000</v>
      </c>
      <c r="K39" s="2336">
        <v>360000</v>
      </c>
      <c r="L39" s="532">
        <f t="shared" ref="L39:L44" si="15">+K39</f>
        <v>360000</v>
      </c>
      <c r="M39" s="532">
        <f t="shared" ref="M39:M44" si="16">+L39</f>
        <v>360000</v>
      </c>
      <c r="N39" s="532">
        <f t="shared" ref="N39:N44" si="17">+M39</f>
        <v>360000</v>
      </c>
      <c r="O39" s="532">
        <f t="shared" ref="O39:O44" si="18">+N39</f>
        <v>360000</v>
      </c>
      <c r="P39" s="2634">
        <v>280000</v>
      </c>
      <c r="Q39" s="3443">
        <f t="shared" si="6"/>
        <v>0.77777777777777779</v>
      </c>
      <c r="R39" s="532">
        <f t="shared" si="1"/>
        <v>0</v>
      </c>
      <c r="S39" s="532">
        <f t="shared" si="2"/>
        <v>0</v>
      </c>
      <c r="T39" s="532">
        <f t="shared" si="3"/>
        <v>0</v>
      </c>
      <c r="U39" s="532">
        <f t="shared" si="4"/>
        <v>0</v>
      </c>
      <c r="V39" s="2634">
        <f t="shared" si="7"/>
        <v>80000</v>
      </c>
      <c r="W39" s="174"/>
      <c r="X39" s="174"/>
    </row>
    <row r="40" spans="1:24">
      <c r="A40" s="187" t="s">
        <v>39</v>
      </c>
      <c r="B40" s="214" t="s">
        <v>1380</v>
      </c>
      <c r="C40" s="180"/>
      <c r="D40" s="214"/>
      <c r="E40" s="190"/>
      <c r="F40" s="214"/>
      <c r="G40" s="190"/>
      <c r="H40" s="191" t="s">
        <v>1381</v>
      </c>
      <c r="I40" s="2336">
        <v>0</v>
      </c>
      <c r="J40" s="2554">
        <v>0</v>
      </c>
      <c r="K40" s="2336">
        <v>0</v>
      </c>
      <c r="L40" s="532">
        <f t="shared" si="15"/>
        <v>0</v>
      </c>
      <c r="M40" s="532">
        <f t="shared" si="16"/>
        <v>0</v>
      </c>
      <c r="N40" s="532">
        <f t="shared" si="17"/>
        <v>0</v>
      </c>
      <c r="O40" s="532">
        <f t="shared" si="18"/>
        <v>0</v>
      </c>
      <c r="P40" s="2634">
        <v>0</v>
      </c>
      <c r="Q40" s="3440"/>
      <c r="R40" s="532">
        <f t="shared" si="1"/>
        <v>0</v>
      </c>
      <c r="S40" s="532">
        <f t="shared" si="2"/>
        <v>0</v>
      </c>
      <c r="T40" s="532">
        <f t="shared" si="3"/>
        <v>0</v>
      </c>
      <c r="U40" s="532">
        <f t="shared" si="4"/>
        <v>0</v>
      </c>
      <c r="V40" s="2634">
        <f t="shared" si="7"/>
        <v>0</v>
      </c>
    </row>
    <row r="41" spans="1:24">
      <c r="A41" s="187" t="s">
        <v>41</v>
      </c>
      <c r="B41" s="214" t="s">
        <v>1382</v>
      </c>
      <c r="C41" s="180"/>
      <c r="D41" s="214"/>
      <c r="E41" s="190"/>
      <c r="F41" s="214"/>
      <c r="G41" s="190"/>
      <c r="H41" s="191" t="s">
        <v>1383</v>
      </c>
      <c r="I41" s="192">
        <v>0</v>
      </c>
      <c r="J41" s="2554">
        <v>0</v>
      </c>
      <c r="K41" s="192">
        <v>0</v>
      </c>
      <c r="L41" s="532">
        <f t="shared" si="15"/>
        <v>0</v>
      </c>
      <c r="M41" s="532">
        <f t="shared" si="16"/>
        <v>0</v>
      </c>
      <c r="N41" s="532">
        <f t="shared" si="17"/>
        <v>0</v>
      </c>
      <c r="O41" s="532">
        <f t="shared" si="18"/>
        <v>0</v>
      </c>
      <c r="P41" s="2634">
        <v>0</v>
      </c>
      <c r="Q41" s="193"/>
      <c r="R41" s="532">
        <f t="shared" si="1"/>
        <v>0</v>
      </c>
      <c r="S41" s="532">
        <f t="shared" si="2"/>
        <v>0</v>
      </c>
      <c r="T41" s="532">
        <f t="shared" si="3"/>
        <v>0</v>
      </c>
      <c r="U41" s="532">
        <f t="shared" si="4"/>
        <v>0</v>
      </c>
      <c r="V41" s="2634">
        <f t="shared" si="7"/>
        <v>0</v>
      </c>
    </row>
    <row r="42" spans="1:24">
      <c r="A42" s="187" t="s">
        <v>314</v>
      </c>
      <c r="B42" s="214" t="s">
        <v>1384</v>
      </c>
      <c r="C42" s="180"/>
      <c r="D42" s="214"/>
      <c r="E42" s="190"/>
      <c r="F42" s="171"/>
      <c r="G42" s="190"/>
      <c r="H42" s="191" t="s">
        <v>1385</v>
      </c>
      <c r="I42" s="536">
        <v>0</v>
      </c>
      <c r="J42" s="2554">
        <v>0</v>
      </c>
      <c r="K42" s="536">
        <v>0</v>
      </c>
      <c r="L42" s="532">
        <f t="shared" si="15"/>
        <v>0</v>
      </c>
      <c r="M42" s="532">
        <f t="shared" si="16"/>
        <v>0</v>
      </c>
      <c r="N42" s="532">
        <f t="shared" si="17"/>
        <v>0</v>
      </c>
      <c r="O42" s="532">
        <f t="shared" si="18"/>
        <v>0</v>
      </c>
      <c r="P42" s="2634">
        <v>0</v>
      </c>
      <c r="Q42" s="537"/>
      <c r="R42" s="532">
        <f t="shared" si="1"/>
        <v>0</v>
      </c>
      <c r="S42" s="532">
        <f t="shared" si="2"/>
        <v>0</v>
      </c>
      <c r="T42" s="532">
        <f t="shared" si="3"/>
        <v>0</v>
      </c>
      <c r="U42" s="532">
        <f t="shared" si="4"/>
        <v>0</v>
      </c>
      <c r="V42" s="2634">
        <f t="shared" si="7"/>
        <v>0</v>
      </c>
    </row>
    <row r="43" spans="1:24">
      <c r="A43" s="187" t="s">
        <v>402</v>
      </c>
      <c r="B43" s="214" t="s">
        <v>1386</v>
      </c>
      <c r="C43" s="180"/>
      <c r="D43" s="214"/>
      <c r="E43" s="190"/>
      <c r="F43" s="214"/>
      <c r="G43" s="214"/>
      <c r="H43" s="191" t="s">
        <v>1387</v>
      </c>
      <c r="I43" s="192">
        <f>2661654</f>
        <v>2661654</v>
      </c>
      <c r="J43" s="2554">
        <v>2273342</v>
      </c>
      <c r="K43" s="192">
        <v>2661654</v>
      </c>
      <c r="L43" s="532">
        <f t="shared" si="15"/>
        <v>2661654</v>
      </c>
      <c r="M43" s="532">
        <f t="shared" si="16"/>
        <v>2661654</v>
      </c>
      <c r="N43" s="532">
        <f t="shared" si="17"/>
        <v>2661654</v>
      </c>
      <c r="O43" s="532">
        <f t="shared" si="18"/>
        <v>2661654</v>
      </c>
      <c r="P43" s="2634">
        <f>0+2264076</f>
        <v>2264076</v>
      </c>
      <c r="Q43" s="3443">
        <f t="shared" si="6"/>
        <v>0.85062746698105762</v>
      </c>
      <c r="R43" s="532">
        <f t="shared" si="1"/>
        <v>0</v>
      </c>
      <c r="S43" s="532">
        <f t="shared" si="2"/>
        <v>0</v>
      </c>
      <c r="T43" s="532">
        <f t="shared" si="3"/>
        <v>0</v>
      </c>
      <c r="U43" s="532">
        <f t="shared" si="4"/>
        <v>0</v>
      </c>
      <c r="V43" s="2634">
        <f t="shared" si="7"/>
        <v>397578</v>
      </c>
    </row>
    <row r="44" spans="1:24">
      <c r="A44" s="187" t="s">
        <v>404</v>
      </c>
      <c r="B44" s="3446" t="s">
        <v>3981</v>
      </c>
      <c r="C44" s="191" t="s">
        <v>512</v>
      </c>
      <c r="D44" s="187" t="s">
        <v>1336</v>
      </c>
      <c r="E44" s="187">
        <v>2</v>
      </c>
      <c r="F44" s="191" t="s">
        <v>534</v>
      </c>
      <c r="G44" s="190">
        <v>9990001</v>
      </c>
      <c r="H44" s="191" t="s">
        <v>1388</v>
      </c>
      <c r="I44" s="2336">
        <v>3880000</v>
      </c>
      <c r="J44" s="2554">
        <v>3268275</v>
      </c>
      <c r="K44" s="192">
        <v>3880000</v>
      </c>
      <c r="L44" s="532">
        <f t="shared" si="15"/>
        <v>3880000</v>
      </c>
      <c r="M44" s="532">
        <f t="shared" si="16"/>
        <v>3880000</v>
      </c>
      <c r="N44" s="532">
        <f t="shared" si="17"/>
        <v>3880000</v>
      </c>
      <c r="O44" s="532">
        <f t="shared" si="18"/>
        <v>3880000</v>
      </c>
      <c r="P44" s="2634">
        <f>1171553+1934888</f>
        <v>3106441</v>
      </c>
      <c r="Q44" s="3443">
        <f t="shared" si="6"/>
        <v>0.80062912371134021</v>
      </c>
      <c r="R44" s="532">
        <f t="shared" si="1"/>
        <v>0</v>
      </c>
      <c r="S44" s="532">
        <f t="shared" si="2"/>
        <v>0</v>
      </c>
      <c r="T44" s="532">
        <f t="shared" si="3"/>
        <v>0</v>
      </c>
      <c r="U44" s="532">
        <f t="shared" si="4"/>
        <v>0</v>
      </c>
      <c r="V44" s="2634">
        <f t="shared" si="7"/>
        <v>773559</v>
      </c>
    </row>
    <row r="45" spans="1:24">
      <c r="A45" s="179" t="s">
        <v>407</v>
      </c>
      <c r="B45" s="213" t="s">
        <v>3418</v>
      </c>
      <c r="C45" s="205"/>
      <c r="D45" s="213"/>
      <c r="E45" s="207"/>
      <c r="F45" s="213"/>
      <c r="G45" s="213"/>
      <c r="H45" s="184" t="s">
        <v>1390</v>
      </c>
      <c r="I45" s="2338">
        <f>SUM(I40:I44)</f>
        <v>6541654</v>
      </c>
      <c r="J45" s="2743">
        <f t="shared" ref="J45:P45" si="19">SUM(J40:J44)</f>
        <v>5541617</v>
      </c>
      <c r="K45" s="2338">
        <f t="shared" si="19"/>
        <v>6541654</v>
      </c>
      <c r="L45" s="2338">
        <f t="shared" si="19"/>
        <v>6541654</v>
      </c>
      <c r="M45" s="2338">
        <f t="shared" si="19"/>
        <v>6541654</v>
      </c>
      <c r="N45" s="2338">
        <f t="shared" si="19"/>
        <v>6541654</v>
      </c>
      <c r="O45" s="2338">
        <f t="shared" si="19"/>
        <v>6541654</v>
      </c>
      <c r="P45" s="2637">
        <f t="shared" si="19"/>
        <v>5370517</v>
      </c>
      <c r="Q45" s="658">
        <f t="shared" si="6"/>
        <v>0.8209723412458072</v>
      </c>
      <c r="R45" s="532">
        <f t="shared" si="1"/>
        <v>0</v>
      </c>
      <c r="S45" s="2338">
        <f t="shared" si="2"/>
        <v>0</v>
      </c>
      <c r="T45" s="532">
        <f t="shared" si="3"/>
        <v>0</v>
      </c>
      <c r="U45" s="532">
        <f t="shared" si="4"/>
        <v>0</v>
      </c>
      <c r="V45" s="2637">
        <f t="shared" si="7"/>
        <v>1171137</v>
      </c>
    </row>
    <row r="46" spans="1:24" ht="19.5" customHeight="1">
      <c r="A46" s="179" t="s">
        <v>409</v>
      </c>
      <c r="B46" s="208" t="s">
        <v>3415</v>
      </c>
      <c r="C46" s="205"/>
      <c r="D46" s="208"/>
      <c r="E46" s="207"/>
      <c r="F46" s="695"/>
      <c r="G46" s="695"/>
      <c r="H46" s="184" t="s">
        <v>531</v>
      </c>
      <c r="I46" s="209">
        <f>SUM(I13:I45)-I26-I38-I45</f>
        <v>1523893458</v>
      </c>
      <c r="J46" s="2549">
        <f t="shared" ref="J46:P46" si="20">SUM(J13:J45)-J26-J38-J45</f>
        <v>1483020619</v>
      </c>
      <c r="K46" s="209">
        <f t="shared" si="20"/>
        <v>1765775621</v>
      </c>
      <c r="L46" s="209">
        <f t="shared" si="20"/>
        <v>1765835772</v>
      </c>
      <c r="M46" s="209">
        <f t="shared" si="20"/>
        <v>1774341572</v>
      </c>
      <c r="N46" s="209">
        <f t="shared" si="20"/>
        <v>1782061572</v>
      </c>
      <c r="O46" s="209">
        <f t="shared" si="20"/>
        <v>1782061572</v>
      </c>
      <c r="P46" s="1025">
        <f t="shared" si="20"/>
        <v>1633192391</v>
      </c>
      <c r="Q46" s="210">
        <f t="shared" si="6"/>
        <v>0.9164623807958977</v>
      </c>
      <c r="R46" s="532">
        <f t="shared" si="1"/>
        <v>60151</v>
      </c>
      <c r="S46" s="209">
        <f t="shared" si="2"/>
        <v>8505800</v>
      </c>
      <c r="T46" s="532">
        <f t="shared" si="3"/>
        <v>7720000</v>
      </c>
      <c r="U46" s="532">
        <f t="shared" si="4"/>
        <v>0</v>
      </c>
      <c r="V46" s="1025">
        <f t="shared" si="7"/>
        <v>148869181</v>
      </c>
    </row>
    <row r="47" spans="1:24" s="252" customFormat="1">
      <c r="A47" s="179" t="s">
        <v>410</v>
      </c>
      <c r="B47" s="213" t="s">
        <v>1391</v>
      </c>
      <c r="C47" s="184" t="s">
        <v>512</v>
      </c>
      <c r="D47" s="207" t="s">
        <v>1336</v>
      </c>
      <c r="E47" s="207">
        <v>2</v>
      </c>
      <c r="F47" s="184" t="s">
        <v>534</v>
      </c>
      <c r="G47" s="207">
        <v>9990001</v>
      </c>
      <c r="H47" s="184" t="s">
        <v>1392</v>
      </c>
      <c r="I47" s="209">
        <v>7860010</v>
      </c>
      <c r="J47" s="2744">
        <v>8837867</v>
      </c>
      <c r="K47" s="209">
        <v>8000000</v>
      </c>
      <c r="L47" s="2914">
        <f>+K47</f>
        <v>8000000</v>
      </c>
      <c r="M47" s="2914">
        <f>+L47+1754142+344652</f>
        <v>10098794</v>
      </c>
      <c r="N47" s="2914">
        <f>+M47+1122100</f>
        <v>11220894</v>
      </c>
      <c r="O47" s="2914">
        <f t="shared" ref="O47:O57" si="21">+N47</f>
        <v>11220894</v>
      </c>
      <c r="P47" s="2638">
        <v>11220894</v>
      </c>
      <c r="Q47" s="210">
        <f t="shared" si="6"/>
        <v>1</v>
      </c>
      <c r="R47" s="2914">
        <f t="shared" si="1"/>
        <v>0</v>
      </c>
      <c r="S47" s="2914">
        <f t="shared" si="2"/>
        <v>2098794</v>
      </c>
      <c r="T47" s="2914">
        <f t="shared" si="3"/>
        <v>1122100</v>
      </c>
      <c r="U47" s="2914">
        <f t="shared" si="4"/>
        <v>0</v>
      </c>
      <c r="V47" s="2638">
        <f t="shared" si="7"/>
        <v>0</v>
      </c>
      <c r="W47" s="174"/>
      <c r="X47" s="174"/>
    </row>
    <row r="48" spans="1:24" ht="25.5" hidden="1">
      <c r="A48" s="187" t="s">
        <v>662</v>
      </c>
      <c r="B48" s="539" t="s">
        <v>3086</v>
      </c>
      <c r="C48" s="191" t="s">
        <v>512</v>
      </c>
      <c r="D48" s="187" t="s">
        <v>1350</v>
      </c>
      <c r="E48" s="187">
        <v>4</v>
      </c>
      <c r="F48" s="191" t="s">
        <v>1351</v>
      </c>
      <c r="G48" s="190">
        <v>9990001</v>
      </c>
      <c r="H48" s="191" t="s">
        <v>1392</v>
      </c>
      <c r="I48" s="192">
        <v>0</v>
      </c>
      <c r="J48" s="2554">
        <v>0</v>
      </c>
      <c r="K48" s="192">
        <v>0</v>
      </c>
      <c r="L48" s="532">
        <f t="shared" ref="L48:L57" si="22">+K48</f>
        <v>0</v>
      </c>
      <c r="M48" s="532">
        <f t="shared" ref="M48:M57" si="23">+L48</f>
        <v>0</v>
      </c>
      <c r="N48" s="532">
        <f t="shared" ref="N48:N57" si="24">+M48</f>
        <v>0</v>
      </c>
      <c r="O48" s="532">
        <f t="shared" si="21"/>
        <v>0</v>
      </c>
      <c r="P48" s="2634">
        <v>0</v>
      </c>
      <c r="Q48" s="193" t="e">
        <f t="shared" si="6"/>
        <v>#DIV/0!</v>
      </c>
      <c r="R48" s="532">
        <f t="shared" si="1"/>
        <v>0</v>
      </c>
      <c r="S48" s="532">
        <f t="shared" si="2"/>
        <v>0</v>
      </c>
      <c r="T48" s="532">
        <f t="shared" si="3"/>
        <v>0</v>
      </c>
      <c r="U48" s="532">
        <f t="shared" si="4"/>
        <v>0</v>
      </c>
      <c r="V48" s="2634">
        <f t="shared" si="7"/>
        <v>0</v>
      </c>
    </row>
    <row r="49" spans="1:24" ht="25.5" hidden="1">
      <c r="A49" s="187" t="s">
        <v>665</v>
      </c>
      <c r="B49" s="539" t="s">
        <v>3087</v>
      </c>
      <c r="C49" s="191" t="s">
        <v>512</v>
      </c>
      <c r="D49" s="187" t="s">
        <v>1353</v>
      </c>
      <c r="E49" s="187">
        <v>4</v>
      </c>
      <c r="F49" s="191" t="s">
        <v>1351</v>
      </c>
      <c r="G49" s="190">
        <v>9990001</v>
      </c>
      <c r="H49" s="191" t="s">
        <v>1392</v>
      </c>
      <c r="I49" s="192">
        <v>0</v>
      </c>
      <c r="J49" s="2554">
        <v>0</v>
      </c>
      <c r="K49" s="192">
        <v>0</v>
      </c>
      <c r="L49" s="532">
        <f t="shared" si="22"/>
        <v>0</v>
      </c>
      <c r="M49" s="532">
        <f t="shared" si="23"/>
        <v>0</v>
      </c>
      <c r="N49" s="532">
        <f t="shared" si="24"/>
        <v>0</v>
      </c>
      <c r="O49" s="532">
        <f t="shared" si="21"/>
        <v>0</v>
      </c>
      <c r="P49" s="2634">
        <v>0</v>
      </c>
      <c r="Q49" s="193" t="e">
        <f t="shared" si="6"/>
        <v>#DIV/0!</v>
      </c>
      <c r="R49" s="532">
        <f t="shared" si="1"/>
        <v>0</v>
      </c>
      <c r="S49" s="532">
        <f t="shared" si="2"/>
        <v>0</v>
      </c>
      <c r="T49" s="532">
        <f t="shared" si="3"/>
        <v>0</v>
      </c>
      <c r="U49" s="532">
        <f t="shared" si="4"/>
        <v>0</v>
      </c>
      <c r="V49" s="2634">
        <f t="shared" si="7"/>
        <v>0</v>
      </c>
    </row>
    <row r="50" spans="1:24" ht="25.5" hidden="1">
      <c r="A50" s="187" t="s">
        <v>676</v>
      </c>
      <c r="B50" s="539" t="s">
        <v>3088</v>
      </c>
      <c r="C50" s="191" t="s">
        <v>512</v>
      </c>
      <c r="D50" s="187" t="s">
        <v>1393</v>
      </c>
      <c r="E50" s="187">
        <v>4</v>
      </c>
      <c r="F50" s="191" t="s">
        <v>1351</v>
      </c>
      <c r="G50" s="190">
        <v>9990001</v>
      </c>
      <c r="H50" s="191" t="s">
        <v>1392</v>
      </c>
      <c r="I50" s="192">
        <v>0</v>
      </c>
      <c r="J50" s="2554">
        <v>0</v>
      </c>
      <c r="K50" s="192">
        <v>0</v>
      </c>
      <c r="L50" s="532">
        <f t="shared" si="22"/>
        <v>0</v>
      </c>
      <c r="M50" s="532">
        <f t="shared" si="23"/>
        <v>0</v>
      </c>
      <c r="N50" s="532">
        <f t="shared" si="24"/>
        <v>0</v>
      </c>
      <c r="O50" s="532">
        <f t="shared" si="21"/>
        <v>0</v>
      </c>
      <c r="P50" s="2634">
        <v>0</v>
      </c>
      <c r="Q50" s="193" t="e">
        <f t="shared" si="6"/>
        <v>#DIV/0!</v>
      </c>
      <c r="R50" s="532">
        <f t="shared" si="1"/>
        <v>0</v>
      </c>
      <c r="S50" s="532">
        <f t="shared" si="2"/>
        <v>0</v>
      </c>
      <c r="T50" s="532">
        <f t="shared" si="3"/>
        <v>0</v>
      </c>
      <c r="U50" s="532">
        <f t="shared" si="4"/>
        <v>0</v>
      </c>
      <c r="V50" s="2634">
        <f t="shared" si="7"/>
        <v>0</v>
      </c>
    </row>
    <row r="51" spans="1:24" ht="25.5" hidden="1">
      <c r="A51" s="187" t="s">
        <v>686</v>
      </c>
      <c r="B51" s="539" t="s">
        <v>3089</v>
      </c>
      <c r="C51" s="191" t="s">
        <v>512</v>
      </c>
      <c r="D51" s="187" t="s">
        <v>1394</v>
      </c>
      <c r="E51" s="187">
        <v>4</v>
      </c>
      <c r="F51" s="191" t="s">
        <v>1351</v>
      </c>
      <c r="G51" s="190">
        <v>9990001</v>
      </c>
      <c r="H51" s="191" t="s">
        <v>1392</v>
      </c>
      <c r="I51" s="192">
        <v>0</v>
      </c>
      <c r="J51" s="2554">
        <v>0</v>
      </c>
      <c r="K51" s="192">
        <v>0</v>
      </c>
      <c r="L51" s="532">
        <f t="shared" si="22"/>
        <v>0</v>
      </c>
      <c r="M51" s="532">
        <f t="shared" si="23"/>
        <v>0</v>
      </c>
      <c r="N51" s="532">
        <f t="shared" si="24"/>
        <v>0</v>
      </c>
      <c r="O51" s="532">
        <f t="shared" si="21"/>
        <v>0</v>
      </c>
      <c r="P51" s="2634">
        <v>0</v>
      </c>
      <c r="Q51" s="193" t="e">
        <f t="shared" si="6"/>
        <v>#DIV/0!</v>
      </c>
      <c r="R51" s="532">
        <f t="shared" si="1"/>
        <v>0</v>
      </c>
      <c r="S51" s="532">
        <f t="shared" si="2"/>
        <v>0</v>
      </c>
      <c r="T51" s="532">
        <f t="shared" si="3"/>
        <v>0</v>
      </c>
      <c r="U51" s="532">
        <f t="shared" si="4"/>
        <v>0</v>
      </c>
      <c r="V51" s="2634">
        <f t="shared" si="7"/>
        <v>0</v>
      </c>
    </row>
    <row r="52" spans="1:24" ht="25.5" hidden="1">
      <c r="A52" s="187" t="s">
        <v>704</v>
      </c>
      <c r="B52" s="539" t="s">
        <v>3090</v>
      </c>
      <c r="C52" s="191" t="s">
        <v>512</v>
      </c>
      <c r="D52" s="187" t="s">
        <v>1356</v>
      </c>
      <c r="E52" s="187">
        <v>4</v>
      </c>
      <c r="F52" s="191" t="s">
        <v>1351</v>
      </c>
      <c r="G52" s="190">
        <v>9990001</v>
      </c>
      <c r="H52" s="191" t="s">
        <v>1392</v>
      </c>
      <c r="I52" s="192">
        <v>0</v>
      </c>
      <c r="J52" s="2554">
        <v>0</v>
      </c>
      <c r="K52" s="192">
        <v>0</v>
      </c>
      <c r="L52" s="532">
        <f t="shared" si="22"/>
        <v>0</v>
      </c>
      <c r="M52" s="532">
        <f t="shared" si="23"/>
        <v>0</v>
      </c>
      <c r="N52" s="532">
        <f t="shared" si="24"/>
        <v>0</v>
      </c>
      <c r="O52" s="532">
        <f t="shared" si="21"/>
        <v>0</v>
      </c>
      <c r="P52" s="2634">
        <v>0</v>
      </c>
      <c r="Q52" s="193" t="e">
        <f t="shared" si="6"/>
        <v>#DIV/0!</v>
      </c>
      <c r="R52" s="532">
        <f t="shared" si="1"/>
        <v>0</v>
      </c>
      <c r="S52" s="532">
        <f t="shared" si="2"/>
        <v>0</v>
      </c>
      <c r="T52" s="532">
        <f t="shared" si="3"/>
        <v>0</v>
      </c>
      <c r="U52" s="532">
        <f t="shared" si="4"/>
        <v>0</v>
      </c>
      <c r="V52" s="2634">
        <f t="shared" si="7"/>
        <v>0</v>
      </c>
    </row>
    <row r="53" spans="1:24" ht="25.5" hidden="1">
      <c r="A53" s="187" t="s">
        <v>706</v>
      </c>
      <c r="B53" s="539" t="s">
        <v>3091</v>
      </c>
      <c r="C53" s="191" t="s">
        <v>512</v>
      </c>
      <c r="D53" s="187" t="s">
        <v>1357</v>
      </c>
      <c r="E53" s="187">
        <v>4</v>
      </c>
      <c r="F53" s="191" t="s">
        <v>1351</v>
      </c>
      <c r="G53" s="190">
        <v>9990001</v>
      </c>
      <c r="H53" s="191" t="s">
        <v>1392</v>
      </c>
      <c r="I53" s="192">
        <v>0</v>
      </c>
      <c r="J53" s="2554">
        <v>0</v>
      </c>
      <c r="K53" s="192">
        <v>0</v>
      </c>
      <c r="L53" s="532">
        <f t="shared" si="22"/>
        <v>0</v>
      </c>
      <c r="M53" s="532">
        <f t="shared" si="23"/>
        <v>0</v>
      </c>
      <c r="N53" s="532">
        <f t="shared" si="24"/>
        <v>0</v>
      </c>
      <c r="O53" s="532">
        <f t="shared" si="21"/>
        <v>0</v>
      </c>
      <c r="P53" s="2634">
        <v>0</v>
      </c>
      <c r="Q53" s="193" t="e">
        <f t="shared" si="6"/>
        <v>#DIV/0!</v>
      </c>
      <c r="R53" s="532">
        <f t="shared" si="1"/>
        <v>0</v>
      </c>
      <c r="S53" s="532">
        <f t="shared" si="2"/>
        <v>0</v>
      </c>
      <c r="T53" s="532">
        <f t="shared" si="3"/>
        <v>0</v>
      </c>
      <c r="U53" s="532">
        <f t="shared" si="4"/>
        <v>0</v>
      </c>
      <c r="V53" s="2634">
        <f t="shared" si="7"/>
        <v>0</v>
      </c>
    </row>
    <row r="54" spans="1:24" ht="25.5" hidden="1">
      <c r="A54" s="187" t="s">
        <v>710</v>
      </c>
      <c r="B54" s="213" t="s">
        <v>3092</v>
      </c>
      <c r="C54" s="191" t="s">
        <v>512</v>
      </c>
      <c r="D54" s="187" t="s">
        <v>1358</v>
      </c>
      <c r="E54" s="187">
        <v>4</v>
      </c>
      <c r="F54" s="191" t="s">
        <v>1351</v>
      </c>
      <c r="G54" s="190">
        <v>9990001</v>
      </c>
      <c r="H54" s="191" t="s">
        <v>1392</v>
      </c>
      <c r="I54" s="192">
        <v>0</v>
      </c>
      <c r="J54" s="2554">
        <v>0</v>
      </c>
      <c r="K54" s="192">
        <v>0</v>
      </c>
      <c r="L54" s="532">
        <f t="shared" si="22"/>
        <v>0</v>
      </c>
      <c r="M54" s="532">
        <f t="shared" si="23"/>
        <v>0</v>
      </c>
      <c r="N54" s="532">
        <f t="shared" si="24"/>
        <v>0</v>
      </c>
      <c r="O54" s="532">
        <f t="shared" si="21"/>
        <v>0</v>
      </c>
      <c r="P54" s="2634">
        <v>0</v>
      </c>
      <c r="Q54" s="193" t="e">
        <f t="shared" si="6"/>
        <v>#DIV/0!</v>
      </c>
      <c r="R54" s="532">
        <f t="shared" si="1"/>
        <v>0</v>
      </c>
      <c r="S54" s="532">
        <f t="shared" si="2"/>
        <v>0</v>
      </c>
      <c r="T54" s="532">
        <f t="shared" si="3"/>
        <v>0</v>
      </c>
      <c r="U54" s="532">
        <f t="shared" si="4"/>
        <v>0</v>
      </c>
      <c r="V54" s="2634">
        <f t="shared" si="7"/>
        <v>0</v>
      </c>
    </row>
    <row r="55" spans="1:24" ht="25.5" hidden="1">
      <c r="A55" s="187" t="s">
        <v>712</v>
      </c>
      <c r="B55" s="213" t="s">
        <v>3093</v>
      </c>
      <c r="C55" s="191" t="s">
        <v>512</v>
      </c>
      <c r="D55" s="187" t="s">
        <v>1359</v>
      </c>
      <c r="E55" s="187">
        <v>4</v>
      </c>
      <c r="F55" s="191" t="s">
        <v>1351</v>
      </c>
      <c r="G55" s="190">
        <v>9990001</v>
      </c>
      <c r="H55" s="191" t="s">
        <v>1392</v>
      </c>
      <c r="I55" s="192">
        <v>0</v>
      </c>
      <c r="J55" s="2554">
        <v>0</v>
      </c>
      <c r="K55" s="192">
        <v>0</v>
      </c>
      <c r="L55" s="532">
        <f t="shared" si="22"/>
        <v>0</v>
      </c>
      <c r="M55" s="532">
        <f t="shared" si="23"/>
        <v>0</v>
      </c>
      <c r="N55" s="532">
        <f t="shared" si="24"/>
        <v>0</v>
      </c>
      <c r="O55" s="532">
        <f t="shared" si="21"/>
        <v>0</v>
      </c>
      <c r="P55" s="2634">
        <v>0</v>
      </c>
      <c r="Q55" s="193" t="e">
        <f t="shared" si="6"/>
        <v>#DIV/0!</v>
      </c>
      <c r="R55" s="532">
        <f t="shared" si="1"/>
        <v>0</v>
      </c>
      <c r="S55" s="532">
        <f t="shared" si="2"/>
        <v>0</v>
      </c>
      <c r="T55" s="532">
        <f t="shared" si="3"/>
        <v>0</v>
      </c>
      <c r="U55" s="532">
        <f t="shared" si="4"/>
        <v>0</v>
      </c>
      <c r="V55" s="2634">
        <f t="shared" si="7"/>
        <v>0</v>
      </c>
    </row>
    <row r="56" spans="1:24" hidden="1">
      <c r="A56" s="187" t="s">
        <v>715</v>
      </c>
      <c r="B56" s="539" t="s">
        <v>3094</v>
      </c>
      <c r="C56" s="191" t="s">
        <v>512</v>
      </c>
      <c r="D56" s="187" t="s">
        <v>1395</v>
      </c>
      <c r="E56" s="187">
        <v>4</v>
      </c>
      <c r="F56" s="191" t="s">
        <v>1396</v>
      </c>
      <c r="G56" s="190">
        <v>9990001</v>
      </c>
      <c r="H56" s="191" t="s">
        <v>1397</v>
      </c>
      <c r="I56" s="192">
        <v>0</v>
      </c>
      <c r="J56" s="2554">
        <v>0</v>
      </c>
      <c r="K56" s="192">
        <v>0</v>
      </c>
      <c r="L56" s="532">
        <f t="shared" si="22"/>
        <v>0</v>
      </c>
      <c r="M56" s="532">
        <f t="shared" si="23"/>
        <v>0</v>
      </c>
      <c r="N56" s="532">
        <f t="shared" si="24"/>
        <v>0</v>
      </c>
      <c r="O56" s="532">
        <f t="shared" si="21"/>
        <v>0</v>
      </c>
      <c r="P56" s="2634">
        <f>+O56</f>
        <v>0</v>
      </c>
      <c r="Q56" s="193" t="e">
        <f t="shared" si="6"/>
        <v>#DIV/0!</v>
      </c>
      <c r="R56" s="532">
        <f t="shared" si="1"/>
        <v>0</v>
      </c>
      <c r="S56" s="532">
        <f t="shared" si="2"/>
        <v>0</v>
      </c>
      <c r="T56" s="532">
        <f t="shared" si="3"/>
        <v>0</v>
      </c>
      <c r="U56" s="532">
        <f t="shared" si="4"/>
        <v>0</v>
      </c>
      <c r="V56" s="2634">
        <f t="shared" si="7"/>
        <v>0</v>
      </c>
    </row>
    <row r="57" spans="1:24" hidden="1">
      <c r="A57" s="187" t="s">
        <v>716</v>
      </c>
      <c r="B57" s="539" t="s">
        <v>3095</v>
      </c>
      <c r="C57" s="191" t="s">
        <v>512</v>
      </c>
      <c r="D57" s="187" t="s">
        <v>1398</v>
      </c>
      <c r="E57" s="187">
        <v>4</v>
      </c>
      <c r="F57" s="191" t="s">
        <v>1396</v>
      </c>
      <c r="G57" s="190">
        <v>9990001</v>
      </c>
      <c r="H57" s="191" t="s">
        <v>1399</v>
      </c>
      <c r="I57" s="192">
        <v>0</v>
      </c>
      <c r="J57" s="2554">
        <v>0</v>
      </c>
      <c r="K57" s="192">
        <v>0</v>
      </c>
      <c r="L57" s="532">
        <f t="shared" si="22"/>
        <v>0</v>
      </c>
      <c r="M57" s="532">
        <f t="shared" si="23"/>
        <v>0</v>
      </c>
      <c r="N57" s="532">
        <f t="shared" si="24"/>
        <v>0</v>
      </c>
      <c r="O57" s="532">
        <f t="shared" si="21"/>
        <v>0</v>
      </c>
      <c r="P57" s="2634">
        <f>+O57</f>
        <v>0</v>
      </c>
      <c r="Q57" s="193" t="e">
        <f t="shared" si="6"/>
        <v>#DIV/0!</v>
      </c>
      <c r="R57" s="532">
        <f t="shared" si="1"/>
        <v>0</v>
      </c>
      <c r="S57" s="532">
        <f t="shared" si="2"/>
        <v>0</v>
      </c>
      <c r="T57" s="532">
        <f t="shared" si="3"/>
        <v>0</v>
      </c>
      <c r="U57" s="532">
        <f t="shared" si="4"/>
        <v>0</v>
      </c>
      <c r="V57" s="2634">
        <f t="shared" si="7"/>
        <v>0</v>
      </c>
    </row>
    <row r="58" spans="1:24" ht="25.5" hidden="1">
      <c r="A58" s="187" t="s">
        <v>1379</v>
      </c>
      <c r="B58" s="213" t="s">
        <v>3096</v>
      </c>
      <c r="C58" s="205"/>
      <c r="D58" s="213"/>
      <c r="E58" s="207"/>
      <c r="F58" s="213"/>
      <c r="G58" s="213"/>
      <c r="H58" s="184" t="s">
        <v>1400</v>
      </c>
      <c r="I58" s="2338">
        <f>SUM(I47:I57)</f>
        <v>7860010</v>
      </c>
      <c r="J58" s="2743">
        <f t="shared" ref="J58:O58" si="25">SUM(J47:J57)</f>
        <v>8837867</v>
      </c>
      <c r="K58" s="2338">
        <f t="shared" si="25"/>
        <v>8000000</v>
      </c>
      <c r="L58" s="2338">
        <f t="shared" si="25"/>
        <v>8000000</v>
      </c>
      <c r="M58" s="2338">
        <f t="shared" si="25"/>
        <v>10098794</v>
      </c>
      <c r="N58" s="2338">
        <f t="shared" si="25"/>
        <v>11220894</v>
      </c>
      <c r="O58" s="2338">
        <f t="shared" si="25"/>
        <v>11220894</v>
      </c>
      <c r="P58" s="2637">
        <f>SUM(P47:P57)</f>
        <v>11220894</v>
      </c>
      <c r="Q58" s="658">
        <f t="shared" si="6"/>
        <v>1</v>
      </c>
      <c r="R58" s="532">
        <f t="shared" si="1"/>
        <v>0</v>
      </c>
      <c r="S58" s="2338">
        <f t="shared" si="2"/>
        <v>2098794</v>
      </c>
      <c r="T58" s="532">
        <f t="shared" si="3"/>
        <v>1122100</v>
      </c>
      <c r="U58" s="532">
        <f t="shared" si="4"/>
        <v>0</v>
      </c>
      <c r="V58" s="2637">
        <f t="shared" si="7"/>
        <v>0</v>
      </c>
    </row>
    <row r="59" spans="1:24" s="510" customFormat="1" hidden="1">
      <c r="A59" s="3447" t="s">
        <v>3485</v>
      </c>
      <c r="B59" s="3442" t="s">
        <v>3138</v>
      </c>
      <c r="C59" s="3448"/>
      <c r="D59" s="191"/>
      <c r="E59" s="190">
        <v>2</v>
      </c>
      <c r="F59" s="190" t="s">
        <v>3280</v>
      </c>
      <c r="G59" s="191"/>
      <c r="H59" s="204"/>
      <c r="I59" s="2337">
        <f>0</f>
        <v>0</v>
      </c>
      <c r="J59" s="2745"/>
      <c r="K59" s="2337">
        <f>0</f>
        <v>0</v>
      </c>
      <c r="L59" s="2337">
        <f>+K59</f>
        <v>0</v>
      </c>
      <c r="M59" s="2337">
        <f>+L59</f>
        <v>0</v>
      </c>
      <c r="N59" s="2337">
        <f>+M59</f>
        <v>0</v>
      </c>
      <c r="O59" s="2337">
        <f>+N59</f>
        <v>0</v>
      </c>
      <c r="P59" s="2639"/>
      <c r="Q59" s="3444" t="e">
        <f t="shared" si="6"/>
        <v>#DIV/0!</v>
      </c>
      <c r="R59" s="535">
        <f t="shared" si="1"/>
        <v>0</v>
      </c>
      <c r="S59" s="2337">
        <f t="shared" si="2"/>
        <v>0</v>
      </c>
      <c r="T59" s="535"/>
      <c r="U59" s="535"/>
      <c r="V59" s="2639">
        <f t="shared" si="7"/>
        <v>0</v>
      </c>
      <c r="W59" s="203"/>
      <c r="X59" s="203"/>
    </row>
    <row r="60" spans="1:24">
      <c r="A60" s="187" t="s">
        <v>411</v>
      </c>
      <c r="B60" s="214" t="s">
        <v>1401</v>
      </c>
      <c r="C60" s="3449"/>
      <c r="D60" s="191"/>
      <c r="E60" s="190"/>
      <c r="F60" s="190"/>
      <c r="G60" s="191"/>
      <c r="H60" s="191" t="s">
        <v>1402</v>
      </c>
      <c r="I60" s="192">
        <v>0</v>
      </c>
      <c r="J60" s="2554">
        <v>0</v>
      </c>
      <c r="K60" s="192">
        <v>0</v>
      </c>
      <c r="L60" s="532">
        <f t="shared" ref="L60:L72" si="26">+K60</f>
        <v>0</v>
      </c>
      <c r="M60" s="532">
        <f t="shared" ref="M60:M72" si="27">+L60</f>
        <v>0</v>
      </c>
      <c r="N60" s="532">
        <f t="shared" ref="N60:N72" si="28">+M60</f>
        <v>0</v>
      </c>
      <c r="O60" s="532">
        <f t="shared" ref="O60:O72" si="29">+N60</f>
        <v>0</v>
      </c>
      <c r="P60" s="2634">
        <v>0</v>
      </c>
      <c r="Q60" s="193"/>
      <c r="R60" s="532">
        <f t="shared" si="1"/>
        <v>0</v>
      </c>
      <c r="S60" s="532">
        <f t="shared" si="2"/>
        <v>0</v>
      </c>
      <c r="T60" s="532">
        <f t="shared" si="3"/>
        <v>0</v>
      </c>
      <c r="U60" s="532">
        <f t="shared" si="4"/>
        <v>0</v>
      </c>
      <c r="V60" s="2634">
        <f t="shared" si="7"/>
        <v>0</v>
      </c>
    </row>
    <row r="61" spans="1:24">
      <c r="A61" s="187" t="s">
        <v>412</v>
      </c>
      <c r="B61" s="214" t="s">
        <v>1403</v>
      </c>
      <c r="C61" s="180" t="s">
        <v>512</v>
      </c>
      <c r="D61" s="190" t="s">
        <v>1336</v>
      </c>
      <c r="E61" s="190">
        <v>2</v>
      </c>
      <c r="F61" s="191" t="s">
        <v>534</v>
      </c>
      <c r="G61" s="190">
        <v>9990001</v>
      </c>
      <c r="H61" s="191" t="s">
        <v>1402</v>
      </c>
      <c r="I61" s="192">
        <v>0</v>
      </c>
      <c r="J61" s="2554">
        <v>0</v>
      </c>
      <c r="K61" s="192">
        <v>0</v>
      </c>
      <c r="L61" s="532">
        <f t="shared" si="26"/>
        <v>0</v>
      </c>
      <c r="M61" s="532">
        <f t="shared" si="27"/>
        <v>0</v>
      </c>
      <c r="N61" s="532">
        <f t="shared" si="28"/>
        <v>0</v>
      </c>
      <c r="O61" s="532">
        <f t="shared" si="29"/>
        <v>0</v>
      </c>
      <c r="P61" s="2634">
        <v>0</v>
      </c>
      <c r="Q61" s="193"/>
      <c r="R61" s="532">
        <f t="shared" si="1"/>
        <v>0</v>
      </c>
      <c r="S61" s="532">
        <f t="shared" si="2"/>
        <v>0</v>
      </c>
      <c r="T61" s="532">
        <f t="shared" si="3"/>
        <v>0</v>
      </c>
      <c r="U61" s="532">
        <f t="shared" si="4"/>
        <v>0</v>
      </c>
      <c r="V61" s="2634">
        <f t="shared" si="7"/>
        <v>0</v>
      </c>
    </row>
    <row r="62" spans="1:24">
      <c r="A62" s="187" t="s">
        <v>413</v>
      </c>
      <c r="B62" s="214" t="s">
        <v>75</v>
      </c>
      <c r="C62" s="180" t="s">
        <v>512</v>
      </c>
      <c r="D62" s="187" t="s">
        <v>1336</v>
      </c>
      <c r="E62" s="190">
        <v>2</v>
      </c>
      <c r="F62" s="191" t="s">
        <v>534</v>
      </c>
      <c r="G62" s="190">
        <v>9990001</v>
      </c>
      <c r="H62" s="191" t="s">
        <v>1404</v>
      </c>
      <c r="I62" s="192">
        <f>200000</f>
        <v>200000</v>
      </c>
      <c r="J62" s="2554">
        <v>119911</v>
      </c>
      <c r="K62" s="192">
        <v>200000</v>
      </c>
      <c r="L62" s="532">
        <f t="shared" si="26"/>
        <v>200000</v>
      </c>
      <c r="M62" s="532">
        <f t="shared" si="27"/>
        <v>200000</v>
      </c>
      <c r="N62" s="532">
        <f t="shared" si="28"/>
        <v>200000</v>
      </c>
      <c r="O62" s="532">
        <f t="shared" si="29"/>
        <v>200000</v>
      </c>
      <c r="P62" s="2634">
        <f>0+32714</f>
        <v>32714</v>
      </c>
      <c r="Q62" s="193">
        <f t="shared" si="6"/>
        <v>0.16356999999999999</v>
      </c>
      <c r="R62" s="532">
        <f t="shared" si="1"/>
        <v>0</v>
      </c>
      <c r="S62" s="532">
        <f t="shared" si="2"/>
        <v>0</v>
      </c>
      <c r="T62" s="532">
        <f t="shared" si="3"/>
        <v>0</v>
      </c>
      <c r="U62" s="532">
        <f t="shared" si="4"/>
        <v>0</v>
      </c>
      <c r="V62" s="2634">
        <f t="shared" si="7"/>
        <v>167286</v>
      </c>
    </row>
    <row r="63" spans="1:24" hidden="1">
      <c r="A63" s="187" t="s">
        <v>776</v>
      </c>
      <c r="B63" s="214" t="s">
        <v>3097</v>
      </c>
      <c r="C63" s="180" t="s">
        <v>512</v>
      </c>
      <c r="D63" s="187" t="s">
        <v>1350</v>
      </c>
      <c r="E63" s="190">
        <v>4</v>
      </c>
      <c r="F63" s="191" t="s">
        <v>1351</v>
      </c>
      <c r="G63" s="190">
        <v>9990001</v>
      </c>
      <c r="H63" s="191" t="s">
        <v>1404</v>
      </c>
      <c r="I63" s="192">
        <v>0</v>
      </c>
      <c r="J63" s="2554">
        <v>0</v>
      </c>
      <c r="K63" s="192">
        <v>0</v>
      </c>
      <c r="L63" s="532">
        <f t="shared" si="26"/>
        <v>0</v>
      </c>
      <c r="M63" s="532">
        <f t="shared" si="27"/>
        <v>0</v>
      </c>
      <c r="N63" s="532">
        <f t="shared" si="28"/>
        <v>0</v>
      </c>
      <c r="O63" s="532">
        <f t="shared" si="29"/>
        <v>0</v>
      </c>
      <c r="P63" s="2634">
        <v>0</v>
      </c>
      <c r="Q63" s="193" t="e">
        <f t="shared" si="6"/>
        <v>#DIV/0!</v>
      </c>
      <c r="R63" s="532">
        <f t="shared" si="1"/>
        <v>0</v>
      </c>
      <c r="S63" s="532">
        <f t="shared" si="2"/>
        <v>0</v>
      </c>
      <c r="T63" s="532">
        <f t="shared" si="3"/>
        <v>0</v>
      </c>
      <c r="U63" s="532">
        <f t="shared" si="4"/>
        <v>0</v>
      </c>
      <c r="V63" s="2634">
        <f t="shared" si="7"/>
        <v>0</v>
      </c>
    </row>
    <row r="64" spans="1:24" hidden="1">
      <c r="A64" s="187" t="s">
        <v>834</v>
      </c>
      <c r="B64" s="214" t="s">
        <v>3098</v>
      </c>
      <c r="C64" s="180"/>
      <c r="D64" s="187"/>
      <c r="E64" s="190"/>
      <c r="F64" s="191"/>
      <c r="G64" s="190"/>
      <c r="H64" s="191"/>
      <c r="I64" s="192">
        <v>0</v>
      </c>
      <c r="J64" s="2554">
        <v>0</v>
      </c>
      <c r="K64" s="192">
        <v>0</v>
      </c>
      <c r="L64" s="532">
        <f t="shared" si="26"/>
        <v>0</v>
      </c>
      <c r="M64" s="532">
        <f t="shared" si="27"/>
        <v>0</v>
      </c>
      <c r="N64" s="532">
        <f t="shared" si="28"/>
        <v>0</v>
      </c>
      <c r="O64" s="532">
        <f t="shared" si="29"/>
        <v>0</v>
      </c>
      <c r="P64" s="2634">
        <v>0</v>
      </c>
      <c r="Q64" s="193" t="e">
        <f t="shared" si="6"/>
        <v>#DIV/0!</v>
      </c>
      <c r="R64" s="532">
        <f t="shared" si="1"/>
        <v>0</v>
      </c>
      <c r="S64" s="532">
        <f t="shared" si="2"/>
        <v>0</v>
      </c>
      <c r="T64" s="532">
        <f t="shared" si="3"/>
        <v>0</v>
      </c>
      <c r="U64" s="532">
        <f t="shared" si="4"/>
        <v>0</v>
      </c>
      <c r="V64" s="2634">
        <f t="shared" si="7"/>
        <v>0</v>
      </c>
    </row>
    <row r="65" spans="1:22" hidden="1">
      <c r="A65" s="187" t="s">
        <v>862</v>
      </c>
      <c r="B65" s="214" t="s">
        <v>3099</v>
      </c>
      <c r="C65" s="180" t="s">
        <v>512</v>
      </c>
      <c r="D65" s="187" t="s">
        <v>1354</v>
      </c>
      <c r="E65" s="190">
        <v>4</v>
      </c>
      <c r="F65" s="191" t="s">
        <v>1351</v>
      </c>
      <c r="G65" s="190">
        <v>9990001</v>
      </c>
      <c r="H65" s="191" t="s">
        <v>1404</v>
      </c>
      <c r="I65" s="192">
        <v>0</v>
      </c>
      <c r="J65" s="2550">
        <v>0</v>
      </c>
      <c r="K65" s="192">
        <v>0</v>
      </c>
      <c r="L65" s="192">
        <f t="shared" si="26"/>
        <v>0</v>
      </c>
      <c r="M65" s="532">
        <f t="shared" si="27"/>
        <v>0</v>
      </c>
      <c r="N65" s="532">
        <f t="shared" si="28"/>
        <v>0</v>
      </c>
      <c r="O65" s="532">
        <f t="shared" si="29"/>
        <v>0</v>
      </c>
      <c r="P65" s="2634">
        <v>0</v>
      </c>
      <c r="Q65" s="193" t="e">
        <f t="shared" si="6"/>
        <v>#DIV/0!</v>
      </c>
      <c r="R65" s="532">
        <f t="shared" si="1"/>
        <v>0</v>
      </c>
      <c r="S65" s="532">
        <f t="shared" si="2"/>
        <v>0</v>
      </c>
      <c r="T65" s="532">
        <f t="shared" si="3"/>
        <v>0</v>
      </c>
      <c r="U65" s="532">
        <f t="shared" si="4"/>
        <v>0</v>
      </c>
      <c r="V65" s="2634">
        <f t="shared" si="7"/>
        <v>0</v>
      </c>
    </row>
    <row r="66" spans="1:22" hidden="1">
      <c r="A66" s="187" t="s">
        <v>870</v>
      </c>
      <c r="B66" s="214" t="s">
        <v>3100</v>
      </c>
      <c r="C66" s="180"/>
      <c r="D66" s="187"/>
      <c r="E66" s="190"/>
      <c r="F66" s="191"/>
      <c r="G66" s="190"/>
      <c r="H66" s="191"/>
      <c r="I66" s="192">
        <v>0</v>
      </c>
      <c r="J66" s="2550">
        <v>0</v>
      </c>
      <c r="K66" s="192">
        <v>0</v>
      </c>
      <c r="L66" s="192">
        <f t="shared" si="26"/>
        <v>0</v>
      </c>
      <c r="M66" s="532">
        <f t="shared" si="27"/>
        <v>0</v>
      </c>
      <c r="N66" s="532">
        <f t="shared" si="28"/>
        <v>0</v>
      </c>
      <c r="O66" s="532">
        <f t="shared" si="29"/>
        <v>0</v>
      </c>
      <c r="P66" s="2634">
        <v>0</v>
      </c>
      <c r="Q66" s="193" t="e">
        <f t="shared" si="6"/>
        <v>#DIV/0!</v>
      </c>
      <c r="R66" s="532">
        <f t="shared" si="1"/>
        <v>0</v>
      </c>
      <c r="S66" s="532">
        <f t="shared" si="2"/>
        <v>0</v>
      </c>
      <c r="T66" s="532">
        <f t="shared" si="3"/>
        <v>0</v>
      </c>
      <c r="U66" s="532">
        <f t="shared" si="4"/>
        <v>0</v>
      </c>
      <c r="V66" s="2634">
        <f t="shared" si="7"/>
        <v>0</v>
      </c>
    </row>
    <row r="67" spans="1:22" ht="25.5" hidden="1">
      <c r="A67" s="187" t="s">
        <v>889</v>
      </c>
      <c r="B67" s="214" t="s">
        <v>3101</v>
      </c>
      <c r="C67" s="180" t="s">
        <v>512</v>
      </c>
      <c r="D67" s="187" t="s">
        <v>1356</v>
      </c>
      <c r="E67" s="190">
        <v>4</v>
      </c>
      <c r="F67" s="191" t="s">
        <v>1351</v>
      </c>
      <c r="G67" s="190">
        <v>9990001</v>
      </c>
      <c r="H67" s="191" t="s">
        <v>1404</v>
      </c>
      <c r="I67" s="192">
        <v>0</v>
      </c>
      <c r="J67" s="2550">
        <v>0</v>
      </c>
      <c r="K67" s="192">
        <v>0</v>
      </c>
      <c r="L67" s="192">
        <f t="shared" si="26"/>
        <v>0</v>
      </c>
      <c r="M67" s="532">
        <f t="shared" si="27"/>
        <v>0</v>
      </c>
      <c r="N67" s="532">
        <f t="shared" si="28"/>
        <v>0</v>
      </c>
      <c r="O67" s="532">
        <f t="shared" si="29"/>
        <v>0</v>
      </c>
      <c r="P67" s="2634">
        <v>0</v>
      </c>
      <c r="Q67" s="193" t="e">
        <f t="shared" si="6"/>
        <v>#DIV/0!</v>
      </c>
      <c r="R67" s="532">
        <f t="shared" si="1"/>
        <v>0</v>
      </c>
      <c r="S67" s="532">
        <f t="shared" si="2"/>
        <v>0</v>
      </c>
      <c r="T67" s="532">
        <f t="shared" si="3"/>
        <v>0</v>
      </c>
      <c r="U67" s="532">
        <f t="shared" si="4"/>
        <v>0</v>
      </c>
      <c r="V67" s="2634">
        <f t="shared" si="7"/>
        <v>0</v>
      </c>
    </row>
    <row r="68" spans="1:22" ht="25.5" hidden="1">
      <c r="A68" s="187" t="s">
        <v>911</v>
      </c>
      <c r="B68" s="214" t="s">
        <v>3102</v>
      </c>
      <c r="C68" s="180"/>
      <c r="D68" s="187"/>
      <c r="E68" s="190"/>
      <c r="F68" s="191"/>
      <c r="G68" s="190"/>
      <c r="H68" s="191"/>
      <c r="I68" s="192">
        <v>0</v>
      </c>
      <c r="J68" s="2550">
        <v>0</v>
      </c>
      <c r="K68" s="192">
        <v>0</v>
      </c>
      <c r="L68" s="192">
        <f t="shared" si="26"/>
        <v>0</v>
      </c>
      <c r="M68" s="192">
        <f t="shared" si="27"/>
        <v>0</v>
      </c>
      <c r="N68" s="532">
        <f t="shared" si="28"/>
        <v>0</v>
      </c>
      <c r="O68" s="532">
        <f t="shared" si="29"/>
        <v>0</v>
      </c>
      <c r="P68" s="2634">
        <v>0</v>
      </c>
      <c r="Q68" s="193" t="e">
        <f t="shared" si="6"/>
        <v>#DIV/0!</v>
      </c>
      <c r="R68" s="532">
        <f t="shared" si="1"/>
        <v>0</v>
      </c>
      <c r="S68" s="192">
        <f t="shared" si="2"/>
        <v>0</v>
      </c>
      <c r="T68" s="532">
        <f t="shared" si="3"/>
        <v>0</v>
      </c>
      <c r="U68" s="532">
        <f t="shared" si="4"/>
        <v>0</v>
      </c>
      <c r="V68" s="2634">
        <f t="shared" si="7"/>
        <v>0</v>
      </c>
    </row>
    <row r="69" spans="1:22" ht="25.5" hidden="1">
      <c r="A69" s="187" t="s">
        <v>1405</v>
      </c>
      <c r="B69" s="214" t="s">
        <v>3103</v>
      </c>
      <c r="C69" s="180" t="s">
        <v>512</v>
      </c>
      <c r="D69" s="187" t="s">
        <v>1358</v>
      </c>
      <c r="E69" s="190">
        <v>4</v>
      </c>
      <c r="F69" s="191" t="s">
        <v>1351</v>
      </c>
      <c r="G69" s="190">
        <v>9990001</v>
      </c>
      <c r="H69" s="191" t="s">
        <v>1404</v>
      </c>
      <c r="I69" s="192">
        <v>0</v>
      </c>
      <c r="J69" s="2550">
        <v>0</v>
      </c>
      <c r="K69" s="192">
        <v>0</v>
      </c>
      <c r="L69" s="192">
        <f t="shared" si="26"/>
        <v>0</v>
      </c>
      <c r="M69" s="192">
        <f t="shared" si="27"/>
        <v>0</v>
      </c>
      <c r="N69" s="532">
        <f t="shared" si="28"/>
        <v>0</v>
      </c>
      <c r="O69" s="532">
        <f t="shared" si="29"/>
        <v>0</v>
      </c>
      <c r="P69" s="2634">
        <v>0</v>
      </c>
      <c r="Q69" s="193" t="e">
        <f t="shared" si="6"/>
        <v>#DIV/0!</v>
      </c>
      <c r="R69" s="532">
        <f t="shared" si="1"/>
        <v>0</v>
      </c>
      <c r="S69" s="192">
        <f t="shared" si="2"/>
        <v>0</v>
      </c>
      <c r="T69" s="532">
        <f t="shared" si="3"/>
        <v>0</v>
      </c>
      <c r="U69" s="532">
        <f t="shared" si="4"/>
        <v>0</v>
      </c>
      <c r="V69" s="2634">
        <f t="shared" si="7"/>
        <v>0</v>
      </c>
    </row>
    <row r="70" spans="1:22" ht="25.5" hidden="1">
      <c r="A70" s="187" t="s">
        <v>942</v>
      </c>
      <c r="B70" s="214" t="s">
        <v>3104</v>
      </c>
      <c r="C70" s="180" t="s">
        <v>512</v>
      </c>
      <c r="D70" s="187" t="s">
        <v>1359</v>
      </c>
      <c r="E70" s="190">
        <v>4</v>
      </c>
      <c r="F70" s="191" t="s">
        <v>1351</v>
      </c>
      <c r="G70" s="190">
        <v>9990001</v>
      </c>
      <c r="H70" s="191" t="s">
        <v>1404</v>
      </c>
      <c r="I70" s="192">
        <v>0</v>
      </c>
      <c r="J70" s="2550">
        <v>0</v>
      </c>
      <c r="K70" s="192">
        <v>0</v>
      </c>
      <c r="L70" s="192">
        <f t="shared" si="26"/>
        <v>0</v>
      </c>
      <c r="M70" s="192">
        <f t="shared" si="27"/>
        <v>0</v>
      </c>
      <c r="N70" s="532">
        <f t="shared" si="28"/>
        <v>0</v>
      </c>
      <c r="O70" s="532">
        <f t="shared" si="29"/>
        <v>0</v>
      </c>
      <c r="P70" s="2634">
        <v>0</v>
      </c>
      <c r="Q70" s="193" t="e">
        <f t="shared" si="6"/>
        <v>#DIV/0!</v>
      </c>
      <c r="R70" s="532">
        <f t="shared" si="1"/>
        <v>0</v>
      </c>
      <c r="S70" s="192">
        <f t="shared" si="2"/>
        <v>0</v>
      </c>
      <c r="T70" s="532">
        <f t="shared" si="3"/>
        <v>0</v>
      </c>
      <c r="U70" s="532">
        <f t="shared" si="4"/>
        <v>0</v>
      </c>
      <c r="V70" s="2634">
        <f t="shared" si="7"/>
        <v>0</v>
      </c>
    </row>
    <row r="71" spans="1:22" hidden="1">
      <c r="A71" s="187" t="s">
        <v>944</v>
      </c>
      <c r="B71" s="214" t="s">
        <v>1406</v>
      </c>
      <c r="C71" s="180"/>
      <c r="D71" s="187"/>
      <c r="E71" s="190"/>
      <c r="F71" s="191"/>
      <c r="G71" s="190"/>
      <c r="H71" s="191"/>
      <c r="I71" s="192">
        <v>0</v>
      </c>
      <c r="J71" s="2554">
        <v>0</v>
      </c>
      <c r="K71" s="192">
        <v>0</v>
      </c>
      <c r="L71" s="192">
        <f t="shared" si="26"/>
        <v>0</v>
      </c>
      <c r="M71" s="192">
        <f t="shared" si="27"/>
        <v>0</v>
      </c>
      <c r="N71" s="532">
        <f t="shared" si="28"/>
        <v>0</v>
      </c>
      <c r="O71" s="532">
        <f t="shared" si="29"/>
        <v>0</v>
      </c>
      <c r="P71" s="2634">
        <f>+O71</f>
        <v>0</v>
      </c>
      <c r="Q71" s="193" t="e">
        <f t="shared" si="6"/>
        <v>#DIV/0!</v>
      </c>
      <c r="R71" s="532">
        <f t="shared" si="1"/>
        <v>0</v>
      </c>
      <c r="S71" s="192">
        <f t="shared" si="2"/>
        <v>0</v>
      </c>
      <c r="T71" s="532">
        <f t="shared" si="3"/>
        <v>0</v>
      </c>
      <c r="U71" s="532">
        <f t="shared" si="4"/>
        <v>0</v>
      </c>
      <c r="V71" s="2634">
        <f t="shared" si="7"/>
        <v>0</v>
      </c>
    </row>
    <row r="72" spans="1:22" hidden="1">
      <c r="A72" s="187" t="s">
        <v>947</v>
      </c>
      <c r="B72" s="214" t="s">
        <v>1407</v>
      </c>
      <c r="C72" s="180"/>
      <c r="D72" s="187"/>
      <c r="E72" s="190"/>
      <c r="F72" s="191"/>
      <c r="G72" s="190"/>
      <c r="H72" s="191"/>
      <c r="I72" s="192">
        <v>0</v>
      </c>
      <c r="J72" s="2554">
        <v>0</v>
      </c>
      <c r="K72" s="192">
        <v>0</v>
      </c>
      <c r="L72" s="192">
        <f t="shared" si="26"/>
        <v>0</v>
      </c>
      <c r="M72" s="192">
        <f t="shared" si="27"/>
        <v>0</v>
      </c>
      <c r="N72" s="532">
        <f t="shared" si="28"/>
        <v>0</v>
      </c>
      <c r="O72" s="532">
        <f t="shared" si="29"/>
        <v>0</v>
      </c>
      <c r="P72" s="2634">
        <f>+O72</f>
        <v>0</v>
      </c>
      <c r="Q72" s="193" t="e">
        <f t="shared" ref="Q72:Q113" si="30">+P72/N72</f>
        <v>#DIV/0!</v>
      </c>
      <c r="R72" s="532">
        <f t="shared" si="1"/>
        <v>0</v>
      </c>
      <c r="S72" s="192">
        <f t="shared" si="2"/>
        <v>0</v>
      </c>
      <c r="T72" s="532">
        <f t="shared" si="3"/>
        <v>0</v>
      </c>
      <c r="U72" s="532">
        <f t="shared" si="4"/>
        <v>0</v>
      </c>
      <c r="V72" s="2634">
        <f t="shared" ref="V72:V113" si="31">+N72-P72</f>
        <v>0</v>
      </c>
    </row>
    <row r="73" spans="1:22" ht="14.25" customHeight="1">
      <c r="A73" s="187" t="s">
        <v>417</v>
      </c>
      <c r="B73" s="213" t="s">
        <v>3416</v>
      </c>
      <c r="C73" s="205"/>
      <c r="D73" s="213"/>
      <c r="E73" s="207"/>
      <c r="F73" s="213"/>
      <c r="G73" s="213"/>
      <c r="H73" s="184" t="s">
        <v>1402</v>
      </c>
      <c r="I73" s="2338">
        <f>SUM(I60:I72)</f>
        <v>200000</v>
      </c>
      <c r="J73" s="2743">
        <f t="shared" ref="J73:P73" si="32">SUM(J60:J72)</f>
        <v>119911</v>
      </c>
      <c r="K73" s="2338">
        <f t="shared" si="32"/>
        <v>200000</v>
      </c>
      <c r="L73" s="2338">
        <f t="shared" si="32"/>
        <v>200000</v>
      </c>
      <c r="M73" s="2338">
        <f t="shared" si="32"/>
        <v>200000</v>
      </c>
      <c r="N73" s="2338">
        <f t="shared" si="32"/>
        <v>200000</v>
      </c>
      <c r="O73" s="2338">
        <f t="shared" si="32"/>
        <v>200000</v>
      </c>
      <c r="P73" s="2637">
        <f t="shared" si="32"/>
        <v>32714</v>
      </c>
      <c r="Q73" s="658">
        <f t="shared" si="30"/>
        <v>0.16356999999999999</v>
      </c>
      <c r="R73" s="532">
        <f t="shared" si="1"/>
        <v>0</v>
      </c>
      <c r="S73" s="2338">
        <f t="shared" si="2"/>
        <v>0</v>
      </c>
      <c r="T73" s="532">
        <f t="shared" si="3"/>
        <v>0</v>
      </c>
      <c r="U73" s="532">
        <f t="shared" si="4"/>
        <v>0</v>
      </c>
      <c r="V73" s="2637">
        <f t="shared" si="31"/>
        <v>167286</v>
      </c>
    </row>
    <row r="74" spans="1:22">
      <c r="A74" s="187" t="s">
        <v>450</v>
      </c>
      <c r="B74" s="695" t="s">
        <v>3917</v>
      </c>
      <c r="C74" s="184"/>
      <c r="D74" s="695"/>
      <c r="E74" s="179"/>
      <c r="F74" s="695"/>
      <c r="G74" s="695"/>
      <c r="H74" s="184" t="s">
        <v>1408</v>
      </c>
      <c r="I74" s="209">
        <f t="shared" ref="I74:P74" si="33">+I58+I73</f>
        <v>8060010</v>
      </c>
      <c r="J74" s="2549">
        <f t="shared" si="33"/>
        <v>8957778</v>
      </c>
      <c r="K74" s="209">
        <f t="shared" si="33"/>
        <v>8200000</v>
      </c>
      <c r="L74" s="209">
        <f t="shared" si="33"/>
        <v>8200000</v>
      </c>
      <c r="M74" s="209">
        <f t="shared" si="33"/>
        <v>10298794</v>
      </c>
      <c r="N74" s="209">
        <f t="shared" si="33"/>
        <v>11420894</v>
      </c>
      <c r="O74" s="209">
        <f t="shared" si="33"/>
        <v>11420894</v>
      </c>
      <c r="P74" s="1025">
        <f t="shared" si="33"/>
        <v>11253608</v>
      </c>
      <c r="Q74" s="210">
        <f t="shared" si="30"/>
        <v>0.98535263526655614</v>
      </c>
      <c r="R74" s="532">
        <f t="shared" si="1"/>
        <v>0</v>
      </c>
      <c r="S74" s="209">
        <f t="shared" si="2"/>
        <v>2098794</v>
      </c>
      <c r="T74" s="532">
        <f t="shared" si="3"/>
        <v>1122100</v>
      </c>
      <c r="U74" s="532">
        <f t="shared" si="4"/>
        <v>0</v>
      </c>
      <c r="V74" s="1025">
        <f t="shared" si="31"/>
        <v>167286</v>
      </c>
    </row>
    <row r="75" spans="1:22" ht="18.75">
      <c r="A75" s="187" t="s">
        <v>1379</v>
      </c>
      <c r="B75" s="218" t="s">
        <v>3417</v>
      </c>
      <c r="C75" s="219"/>
      <c r="D75" s="218"/>
      <c r="E75" s="220"/>
      <c r="F75" s="218"/>
      <c r="G75" s="218"/>
      <c r="H75" s="219" t="s">
        <v>1409</v>
      </c>
      <c r="I75" s="221">
        <f t="shared" ref="I75:P75" si="34">+I46+I74</f>
        <v>1531953468</v>
      </c>
      <c r="J75" s="2605">
        <f t="shared" si="34"/>
        <v>1491978397</v>
      </c>
      <c r="K75" s="221">
        <f t="shared" si="34"/>
        <v>1773975621</v>
      </c>
      <c r="L75" s="221">
        <f t="shared" si="34"/>
        <v>1774035772</v>
      </c>
      <c r="M75" s="221">
        <f t="shared" si="34"/>
        <v>1784640366</v>
      </c>
      <c r="N75" s="221">
        <f t="shared" si="34"/>
        <v>1793482466</v>
      </c>
      <c r="O75" s="221">
        <f t="shared" si="34"/>
        <v>1793482466</v>
      </c>
      <c r="P75" s="1096">
        <f t="shared" si="34"/>
        <v>1644445999</v>
      </c>
      <c r="Q75" s="223">
        <f t="shared" si="30"/>
        <v>0.91690107384635</v>
      </c>
      <c r="R75" s="532">
        <f t="shared" si="1"/>
        <v>60151</v>
      </c>
      <c r="S75" s="221">
        <f t="shared" si="2"/>
        <v>10604594</v>
      </c>
      <c r="T75" s="532">
        <f t="shared" si="3"/>
        <v>8842100</v>
      </c>
      <c r="U75" s="532">
        <f t="shared" si="4"/>
        <v>0</v>
      </c>
      <c r="V75" s="1096">
        <f t="shared" si="31"/>
        <v>149036467</v>
      </c>
    </row>
    <row r="76" spans="1:22" ht="24.75" hidden="1" customHeight="1">
      <c r="A76" s="187"/>
      <c r="B76" s="695"/>
      <c r="C76" s="184"/>
      <c r="D76" s="695"/>
      <c r="E76" s="179"/>
      <c r="F76" s="179"/>
      <c r="G76" s="179"/>
      <c r="H76" s="179"/>
      <c r="I76" s="617"/>
      <c r="J76" s="2548"/>
      <c r="K76" s="617"/>
      <c r="L76" s="617"/>
      <c r="M76" s="617"/>
      <c r="N76" s="617"/>
      <c r="O76" s="617"/>
      <c r="P76" s="2640"/>
      <c r="Q76" s="210"/>
      <c r="R76" s="532">
        <f t="shared" si="1"/>
        <v>0</v>
      </c>
      <c r="S76" s="617">
        <f t="shared" si="2"/>
        <v>0</v>
      </c>
      <c r="T76" s="532">
        <f t="shared" si="3"/>
        <v>0</v>
      </c>
      <c r="U76" s="532">
        <f t="shared" si="4"/>
        <v>0</v>
      </c>
      <c r="V76" s="2640">
        <f t="shared" si="31"/>
        <v>0</v>
      </c>
    </row>
    <row r="77" spans="1:22" ht="12.75" customHeight="1">
      <c r="A77" s="187" t="s">
        <v>619</v>
      </c>
      <c r="B77" s="3446" t="s">
        <v>3323</v>
      </c>
      <c r="C77" s="191" t="s">
        <v>512</v>
      </c>
      <c r="D77" s="187" t="s">
        <v>1336</v>
      </c>
      <c r="E77" s="187">
        <v>2</v>
      </c>
      <c r="F77" s="191" t="s">
        <v>534</v>
      </c>
      <c r="G77" s="190">
        <v>9990001</v>
      </c>
      <c r="H77" s="191" t="s">
        <v>1411</v>
      </c>
      <c r="I77" s="2339">
        <v>199123479</v>
      </c>
      <c r="J77" s="2554">
        <v>190056115</v>
      </c>
      <c r="K77" s="2339">
        <f>222511835-726440+8725542+73602</f>
        <v>230584539</v>
      </c>
      <c r="L77" s="532">
        <f t="shared" ref="L77:L88" si="35">+K77</f>
        <v>230584539</v>
      </c>
      <c r="M77" s="532">
        <f>+L77</f>
        <v>230584539</v>
      </c>
      <c r="N77" s="532">
        <f>+M77-1122100-892307</f>
        <v>228570132</v>
      </c>
      <c r="O77" s="532">
        <f t="shared" ref="O77:O112" si="36">+N77</f>
        <v>228570132</v>
      </c>
      <c r="P77" s="2634">
        <v>208616986</v>
      </c>
      <c r="Q77" s="3450">
        <f t="shared" si="30"/>
        <v>0.91270449106622553</v>
      </c>
      <c r="R77" s="532">
        <f t="shared" si="1"/>
        <v>0</v>
      </c>
      <c r="S77" s="532">
        <f t="shared" si="2"/>
        <v>0</v>
      </c>
      <c r="T77" s="532">
        <f t="shared" si="3"/>
        <v>-2014407</v>
      </c>
      <c r="U77" s="532">
        <f t="shared" si="4"/>
        <v>0</v>
      </c>
      <c r="V77" s="2634">
        <f t="shared" si="31"/>
        <v>19953146</v>
      </c>
    </row>
    <row r="78" spans="1:22" hidden="1">
      <c r="A78" s="187" t="s">
        <v>1000</v>
      </c>
      <c r="B78" s="644" t="s">
        <v>3105</v>
      </c>
      <c r="C78" s="191" t="s">
        <v>512</v>
      </c>
      <c r="D78" s="187" t="s">
        <v>1350</v>
      </c>
      <c r="E78" s="187">
        <v>4</v>
      </c>
      <c r="F78" s="191" t="s">
        <v>1351</v>
      </c>
      <c r="G78" s="190">
        <v>9990001</v>
      </c>
      <c r="H78" s="191" t="s">
        <v>1411</v>
      </c>
      <c r="I78" s="2339">
        <v>0</v>
      </c>
      <c r="J78" s="2554">
        <v>0</v>
      </c>
      <c r="K78" s="2339">
        <v>0</v>
      </c>
      <c r="L78" s="532">
        <f t="shared" si="35"/>
        <v>0</v>
      </c>
      <c r="M78" s="532">
        <f t="shared" ref="M78:M88" si="37">+L78</f>
        <v>0</v>
      </c>
      <c r="N78" s="532">
        <f t="shared" ref="N78:N88" si="38">+M78</f>
        <v>0</v>
      </c>
      <c r="O78" s="532">
        <f t="shared" ref="O78:O88" si="39">+N78</f>
        <v>0</v>
      </c>
      <c r="P78" s="2634">
        <v>0</v>
      </c>
      <c r="Q78" s="3450" t="e">
        <f t="shared" si="30"/>
        <v>#DIV/0!</v>
      </c>
      <c r="R78" s="532">
        <f t="shared" si="1"/>
        <v>0</v>
      </c>
      <c r="S78" s="532">
        <f t="shared" si="2"/>
        <v>0</v>
      </c>
      <c r="T78" s="532">
        <f t="shared" si="3"/>
        <v>0</v>
      </c>
      <c r="U78" s="532">
        <f t="shared" si="4"/>
        <v>0</v>
      </c>
      <c r="V78" s="2634">
        <f t="shared" si="31"/>
        <v>0</v>
      </c>
    </row>
    <row r="79" spans="1:22" hidden="1">
      <c r="A79" s="187" t="s">
        <v>1002</v>
      </c>
      <c r="B79" s="644" t="s">
        <v>3106</v>
      </c>
      <c r="C79" s="191" t="s">
        <v>512</v>
      </c>
      <c r="D79" s="187" t="s">
        <v>1353</v>
      </c>
      <c r="E79" s="187">
        <v>4</v>
      </c>
      <c r="F79" s="191" t="s">
        <v>1351</v>
      </c>
      <c r="G79" s="190">
        <v>9990001</v>
      </c>
      <c r="H79" s="191" t="s">
        <v>1411</v>
      </c>
      <c r="I79" s="2339">
        <v>0</v>
      </c>
      <c r="J79" s="2554">
        <v>0</v>
      </c>
      <c r="K79" s="2339">
        <v>0</v>
      </c>
      <c r="L79" s="532">
        <f t="shared" si="35"/>
        <v>0</v>
      </c>
      <c r="M79" s="532">
        <f t="shared" si="37"/>
        <v>0</v>
      </c>
      <c r="N79" s="532">
        <f t="shared" si="38"/>
        <v>0</v>
      </c>
      <c r="O79" s="532">
        <f t="shared" si="39"/>
        <v>0</v>
      </c>
      <c r="P79" s="2634">
        <v>0</v>
      </c>
      <c r="Q79" s="3450" t="e">
        <f t="shared" si="30"/>
        <v>#DIV/0!</v>
      </c>
      <c r="R79" s="532">
        <f t="shared" si="1"/>
        <v>0</v>
      </c>
      <c r="S79" s="532">
        <f t="shared" si="2"/>
        <v>0</v>
      </c>
      <c r="T79" s="532">
        <f t="shared" si="3"/>
        <v>0</v>
      </c>
      <c r="U79" s="532">
        <f t="shared" si="4"/>
        <v>0</v>
      </c>
      <c r="V79" s="2634">
        <f t="shared" si="31"/>
        <v>0</v>
      </c>
    </row>
    <row r="80" spans="1:22" ht="12.75" hidden="1" customHeight="1">
      <c r="A80" s="187" t="s">
        <v>1008</v>
      </c>
      <c r="B80" s="644" t="s">
        <v>3107</v>
      </c>
      <c r="C80" s="191" t="s">
        <v>512</v>
      </c>
      <c r="D80" s="187" t="s">
        <v>1354</v>
      </c>
      <c r="E80" s="187">
        <v>4</v>
      </c>
      <c r="F80" s="191" t="s">
        <v>1351</v>
      </c>
      <c r="G80" s="190">
        <v>9990001</v>
      </c>
      <c r="H80" s="191" t="s">
        <v>1411</v>
      </c>
      <c r="I80" s="2339">
        <v>0</v>
      </c>
      <c r="J80" s="2554">
        <v>0</v>
      </c>
      <c r="K80" s="2339">
        <v>0</v>
      </c>
      <c r="L80" s="532">
        <f t="shared" si="35"/>
        <v>0</v>
      </c>
      <c r="M80" s="532">
        <f t="shared" si="37"/>
        <v>0</v>
      </c>
      <c r="N80" s="532">
        <f t="shared" si="38"/>
        <v>0</v>
      </c>
      <c r="O80" s="532">
        <f t="shared" si="39"/>
        <v>0</v>
      </c>
      <c r="P80" s="2634">
        <v>0</v>
      </c>
      <c r="Q80" s="3450" t="e">
        <f t="shared" si="30"/>
        <v>#DIV/0!</v>
      </c>
      <c r="R80" s="532">
        <f t="shared" si="1"/>
        <v>0</v>
      </c>
      <c r="S80" s="532">
        <f t="shared" si="2"/>
        <v>0</v>
      </c>
      <c r="T80" s="532">
        <f t="shared" si="3"/>
        <v>0</v>
      </c>
      <c r="U80" s="532">
        <f t="shared" si="4"/>
        <v>0</v>
      </c>
      <c r="V80" s="2634">
        <f t="shared" si="31"/>
        <v>0</v>
      </c>
    </row>
    <row r="81" spans="1:24" ht="12.75" hidden="1" customHeight="1">
      <c r="A81" s="187" t="s">
        <v>1016</v>
      </c>
      <c r="B81" s="644" t="s">
        <v>3108</v>
      </c>
      <c r="C81" s="191" t="s">
        <v>512</v>
      </c>
      <c r="D81" s="187" t="s">
        <v>1355</v>
      </c>
      <c r="E81" s="187">
        <v>4</v>
      </c>
      <c r="F81" s="191" t="s">
        <v>1351</v>
      </c>
      <c r="G81" s="190">
        <v>9990001</v>
      </c>
      <c r="H81" s="191" t="s">
        <v>1411</v>
      </c>
      <c r="I81" s="2339">
        <v>0</v>
      </c>
      <c r="J81" s="2554">
        <v>0</v>
      </c>
      <c r="K81" s="2339">
        <v>0</v>
      </c>
      <c r="L81" s="532">
        <f t="shared" si="35"/>
        <v>0</v>
      </c>
      <c r="M81" s="532">
        <f t="shared" si="37"/>
        <v>0</v>
      </c>
      <c r="N81" s="532">
        <f t="shared" si="38"/>
        <v>0</v>
      </c>
      <c r="O81" s="532">
        <f t="shared" si="39"/>
        <v>0</v>
      </c>
      <c r="P81" s="2634">
        <v>0</v>
      </c>
      <c r="Q81" s="3450" t="e">
        <f t="shared" si="30"/>
        <v>#DIV/0!</v>
      </c>
      <c r="R81" s="532">
        <f t="shared" si="1"/>
        <v>0</v>
      </c>
      <c r="S81" s="532">
        <f t="shared" si="2"/>
        <v>0</v>
      </c>
      <c r="T81" s="532">
        <f t="shared" si="3"/>
        <v>0</v>
      </c>
      <c r="U81" s="532">
        <f t="shared" si="4"/>
        <v>0</v>
      </c>
      <c r="V81" s="2634">
        <f t="shared" si="31"/>
        <v>0</v>
      </c>
    </row>
    <row r="82" spans="1:24" ht="24.75" hidden="1" customHeight="1">
      <c r="A82" s="187" t="s">
        <v>1017</v>
      </c>
      <c r="B82" s="644" t="s">
        <v>3109</v>
      </c>
      <c r="C82" s="191" t="s">
        <v>512</v>
      </c>
      <c r="D82" s="187" t="s">
        <v>1356</v>
      </c>
      <c r="E82" s="187">
        <v>4</v>
      </c>
      <c r="F82" s="191" t="s">
        <v>1351</v>
      </c>
      <c r="G82" s="190">
        <v>9990001</v>
      </c>
      <c r="H82" s="191" t="s">
        <v>1411</v>
      </c>
      <c r="I82" s="192">
        <v>0</v>
      </c>
      <c r="J82" s="2554">
        <v>0</v>
      </c>
      <c r="K82" s="192">
        <v>0</v>
      </c>
      <c r="L82" s="532">
        <f t="shared" si="35"/>
        <v>0</v>
      </c>
      <c r="M82" s="532">
        <f t="shared" si="37"/>
        <v>0</v>
      </c>
      <c r="N82" s="532">
        <f t="shared" si="38"/>
        <v>0</v>
      </c>
      <c r="O82" s="532">
        <f t="shared" si="39"/>
        <v>0</v>
      </c>
      <c r="P82" s="2634">
        <v>0</v>
      </c>
      <c r="Q82" s="3450" t="e">
        <f t="shared" si="30"/>
        <v>#DIV/0!</v>
      </c>
      <c r="R82" s="532">
        <f t="shared" si="1"/>
        <v>0</v>
      </c>
      <c r="S82" s="532">
        <f t="shared" si="2"/>
        <v>0</v>
      </c>
      <c r="T82" s="532">
        <f t="shared" si="3"/>
        <v>0</v>
      </c>
      <c r="U82" s="532">
        <f t="shared" si="4"/>
        <v>0</v>
      </c>
      <c r="V82" s="2634">
        <f t="shared" si="31"/>
        <v>0</v>
      </c>
    </row>
    <row r="83" spans="1:24" ht="24.75" hidden="1" customHeight="1">
      <c r="A83" s="187" t="s">
        <v>1022</v>
      </c>
      <c r="B83" s="644" t="s">
        <v>3110</v>
      </c>
      <c r="C83" s="191" t="s">
        <v>512</v>
      </c>
      <c r="D83" s="187" t="s">
        <v>1357</v>
      </c>
      <c r="E83" s="187">
        <v>4</v>
      </c>
      <c r="F83" s="191" t="s">
        <v>1351</v>
      </c>
      <c r="G83" s="190">
        <v>9990001</v>
      </c>
      <c r="H83" s="191" t="s">
        <v>1411</v>
      </c>
      <c r="I83" s="192">
        <v>0</v>
      </c>
      <c r="J83" s="2554">
        <v>0</v>
      </c>
      <c r="K83" s="192">
        <v>0</v>
      </c>
      <c r="L83" s="532">
        <f t="shared" si="35"/>
        <v>0</v>
      </c>
      <c r="M83" s="532">
        <f t="shared" si="37"/>
        <v>0</v>
      </c>
      <c r="N83" s="532">
        <f t="shared" si="38"/>
        <v>0</v>
      </c>
      <c r="O83" s="532">
        <f t="shared" si="39"/>
        <v>0</v>
      </c>
      <c r="P83" s="2634">
        <v>0</v>
      </c>
      <c r="Q83" s="3450" t="e">
        <f t="shared" si="30"/>
        <v>#DIV/0!</v>
      </c>
      <c r="R83" s="532">
        <f t="shared" si="1"/>
        <v>0</v>
      </c>
      <c r="S83" s="532">
        <f t="shared" si="2"/>
        <v>0</v>
      </c>
      <c r="T83" s="532">
        <f t="shared" si="3"/>
        <v>0</v>
      </c>
      <c r="U83" s="532">
        <f t="shared" si="4"/>
        <v>0</v>
      </c>
      <c r="V83" s="2634">
        <f t="shared" si="31"/>
        <v>0</v>
      </c>
    </row>
    <row r="84" spans="1:24" ht="24.75" hidden="1" customHeight="1">
      <c r="A84" s="187" t="s">
        <v>1045</v>
      </c>
      <c r="B84" s="214" t="s">
        <v>3111</v>
      </c>
      <c r="C84" s="191" t="s">
        <v>512</v>
      </c>
      <c r="D84" s="187" t="s">
        <v>1358</v>
      </c>
      <c r="E84" s="187">
        <v>4</v>
      </c>
      <c r="F84" s="191" t="s">
        <v>1351</v>
      </c>
      <c r="G84" s="190">
        <v>9990001</v>
      </c>
      <c r="H84" s="191" t="s">
        <v>1411</v>
      </c>
      <c r="I84" s="2339">
        <v>0</v>
      </c>
      <c r="J84" s="2554">
        <v>0</v>
      </c>
      <c r="K84" s="2339">
        <v>0</v>
      </c>
      <c r="L84" s="532">
        <f t="shared" si="35"/>
        <v>0</v>
      </c>
      <c r="M84" s="532">
        <f t="shared" si="37"/>
        <v>0</v>
      </c>
      <c r="N84" s="532">
        <f t="shared" si="38"/>
        <v>0</v>
      </c>
      <c r="O84" s="532">
        <f t="shared" si="39"/>
        <v>0</v>
      </c>
      <c r="P84" s="2634">
        <v>0</v>
      </c>
      <c r="Q84" s="3450" t="e">
        <f t="shared" si="30"/>
        <v>#DIV/0!</v>
      </c>
      <c r="R84" s="532">
        <f t="shared" si="1"/>
        <v>0</v>
      </c>
      <c r="S84" s="532">
        <f t="shared" si="2"/>
        <v>0</v>
      </c>
      <c r="T84" s="532">
        <f t="shared" si="3"/>
        <v>0</v>
      </c>
      <c r="U84" s="532">
        <f t="shared" si="4"/>
        <v>0</v>
      </c>
      <c r="V84" s="2634">
        <f t="shared" si="31"/>
        <v>0</v>
      </c>
    </row>
    <row r="85" spans="1:24" ht="24.75" hidden="1" customHeight="1">
      <c r="A85" s="187" t="s">
        <v>1055</v>
      </c>
      <c r="B85" s="214" t="s">
        <v>3112</v>
      </c>
      <c r="C85" s="191" t="s">
        <v>512</v>
      </c>
      <c r="D85" s="187" t="s">
        <v>1359</v>
      </c>
      <c r="E85" s="187">
        <v>4</v>
      </c>
      <c r="F85" s="191" t="s">
        <v>1351</v>
      </c>
      <c r="G85" s="190">
        <v>9990001</v>
      </c>
      <c r="H85" s="191" t="s">
        <v>1411</v>
      </c>
      <c r="I85" s="2339">
        <v>0</v>
      </c>
      <c r="J85" s="2554">
        <v>0</v>
      </c>
      <c r="K85" s="2339">
        <v>0</v>
      </c>
      <c r="L85" s="532">
        <f t="shared" si="35"/>
        <v>0</v>
      </c>
      <c r="M85" s="532">
        <f t="shared" si="37"/>
        <v>0</v>
      </c>
      <c r="N85" s="532">
        <f t="shared" si="38"/>
        <v>0</v>
      </c>
      <c r="O85" s="532">
        <f t="shared" si="39"/>
        <v>0</v>
      </c>
      <c r="P85" s="2634">
        <v>0</v>
      </c>
      <c r="Q85" s="3450" t="e">
        <f t="shared" si="30"/>
        <v>#DIV/0!</v>
      </c>
      <c r="R85" s="532">
        <f t="shared" si="1"/>
        <v>0</v>
      </c>
      <c r="S85" s="532">
        <f t="shared" si="2"/>
        <v>0</v>
      </c>
      <c r="T85" s="532">
        <f t="shared" si="3"/>
        <v>0</v>
      </c>
      <c r="U85" s="532">
        <f t="shared" si="4"/>
        <v>0</v>
      </c>
      <c r="V85" s="2634">
        <f t="shared" si="31"/>
        <v>0</v>
      </c>
    </row>
    <row r="86" spans="1:24" hidden="1">
      <c r="A86" s="187" t="s">
        <v>1058</v>
      </c>
      <c r="B86" s="214" t="s">
        <v>1412</v>
      </c>
      <c r="C86" s="191"/>
      <c r="D86" s="187"/>
      <c r="E86" s="187"/>
      <c r="F86" s="191"/>
      <c r="G86" s="190"/>
      <c r="H86" s="191"/>
      <c r="I86" s="2339">
        <v>0</v>
      </c>
      <c r="J86" s="2554">
        <v>0</v>
      </c>
      <c r="K86" s="2339">
        <v>0</v>
      </c>
      <c r="L86" s="532">
        <f t="shared" si="35"/>
        <v>0</v>
      </c>
      <c r="M86" s="532">
        <f t="shared" si="37"/>
        <v>0</v>
      </c>
      <c r="N86" s="532">
        <f t="shared" si="38"/>
        <v>0</v>
      </c>
      <c r="O86" s="532">
        <f t="shared" si="39"/>
        <v>0</v>
      </c>
      <c r="P86" s="2634"/>
      <c r="Q86" s="3450" t="e">
        <f t="shared" si="30"/>
        <v>#DIV/0!</v>
      </c>
      <c r="R86" s="532">
        <f t="shared" si="1"/>
        <v>0</v>
      </c>
      <c r="S86" s="532">
        <f t="shared" si="2"/>
        <v>0</v>
      </c>
      <c r="T86" s="532">
        <f t="shared" si="3"/>
        <v>0</v>
      </c>
      <c r="U86" s="532">
        <f t="shared" si="4"/>
        <v>0</v>
      </c>
      <c r="V86" s="2634">
        <f t="shared" si="31"/>
        <v>0</v>
      </c>
    </row>
    <row r="87" spans="1:24" hidden="1">
      <c r="A87" s="187" t="s">
        <v>1060</v>
      </c>
      <c r="B87" s="214" t="s">
        <v>1413</v>
      </c>
      <c r="C87" s="191"/>
      <c r="D87" s="187"/>
      <c r="E87" s="187"/>
      <c r="F87" s="191"/>
      <c r="G87" s="190"/>
      <c r="H87" s="191"/>
      <c r="I87" s="2339">
        <v>0</v>
      </c>
      <c r="J87" s="2554">
        <v>0</v>
      </c>
      <c r="K87" s="2339">
        <v>0</v>
      </c>
      <c r="L87" s="532">
        <f t="shared" si="35"/>
        <v>0</v>
      </c>
      <c r="M87" s="532">
        <f t="shared" si="37"/>
        <v>0</v>
      </c>
      <c r="N87" s="532">
        <f t="shared" si="38"/>
        <v>0</v>
      </c>
      <c r="O87" s="532">
        <f t="shared" si="39"/>
        <v>0</v>
      </c>
      <c r="P87" s="2634"/>
      <c r="Q87" s="3450" t="e">
        <f t="shared" si="30"/>
        <v>#DIV/0!</v>
      </c>
      <c r="R87" s="532">
        <f t="shared" si="1"/>
        <v>0</v>
      </c>
      <c r="S87" s="532">
        <f t="shared" si="2"/>
        <v>0</v>
      </c>
      <c r="T87" s="532">
        <f t="shared" si="3"/>
        <v>0</v>
      </c>
      <c r="U87" s="532">
        <f t="shared" si="4"/>
        <v>0</v>
      </c>
      <c r="V87" s="2634">
        <f t="shared" si="31"/>
        <v>0</v>
      </c>
    </row>
    <row r="88" spans="1:24" s="510" customFormat="1" hidden="1">
      <c r="A88" s="3447" t="s">
        <v>3484</v>
      </c>
      <c r="B88" s="3442" t="s">
        <v>3138</v>
      </c>
      <c r="C88" s="204"/>
      <c r="D88" s="196"/>
      <c r="E88" s="243">
        <v>2</v>
      </c>
      <c r="F88" s="204" t="s">
        <v>3280</v>
      </c>
      <c r="G88" s="198"/>
      <c r="H88" s="204"/>
      <c r="I88" s="2340">
        <v>0</v>
      </c>
      <c r="J88" s="2604">
        <v>0</v>
      </c>
      <c r="K88" s="2340">
        <v>0</v>
      </c>
      <c r="L88" s="532">
        <f t="shared" si="35"/>
        <v>0</v>
      </c>
      <c r="M88" s="535">
        <f t="shared" si="37"/>
        <v>0</v>
      </c>
      <c r="N88" s="535">
        <f t="shared" si="38"/>
        <v>0</v>
      </c>
      <c r="O88" s="535">
        <f t="shared" si="39"/>
        <v>0</v>
      </c>
      <c r="P88" s="2635">
        <v>4419438</v>
      </c>
      <c r="Q88" s="3451" t="e">
        <f t="shared" si="30"/>
        <v>#DIV/0!</v>
      </c>
      <c r="R88" s="535">
        <f t="shared" si="1"/>
        <v>0</v>
      </c>
      <c r="S88" s="535">
        <f t="shared" si="2"/>
        <v>0</v>
      </c>
      <c r="T88" s="535"/>
      <c r="U88" s="535"/>
      <c r="V88" s="2635">
        <f t="shared" si="31"/>
        <v>-4419438</v>
      </c>
      <c r="W88" s="203"/>
      <c r="X88" s="203"/>
    </row>
    <row r="89" spans="1:24" ht="12.75" customHeight="1">
      <c r="A89" s="187" t="s">
        <v>629</v>
      </c>
      <c r="B89" s="214" t="s">
        <v>1414</v>
      </c>
      <c r="C89" s="191" t="s">
        <v>512</v>
      </c>
      <c r="D89" s="187"/>
      <c r="E89" s="187"/>
      <c r="F89" s="191"/>
      <c r="G89" s="513"/>
      <c r="H89" s="191" t="s">
        <v>1415</v>
      </c>
      <c r="I89" s="2336">
        <v>0</v>
      </c>
      <c r="J89" s="2554">
        <v>0</v>
      </c>
      <c r="K89" s="2336">
        <v>0</v>
      </c>
      <c r="L89" s="532">
        <f t="shared" ref="L89:L112" si="40">+K89</f>
        <v>0</v>
      </c>
      <c r="M89" s="532">
        <f t="shared" ref="M89:M112" si="41">+L89</f>
        <v>0</v>
      </c>
      <c r="N89" s="532">
        <f t="shared" ref="N89:N112" si="42">+M89</f>
        <v>0</v>
      </c>
      <c r="O89" s="532">
        <f t="shared" si="36"/>
        <v>0</v>
      </c>
      <c r="P89" s="2634">
        <v>0</v>
      </c>
      <c r="Q89" s="3443"/>
      <c r="R89" s="532">
        <f t="shared" si="1"/>
        <v>0</v>
      </c>
      <c r="S89" s="532">
        <f t="shared" si="2"/>
        <v>0</v>
      </c>
      <c r="T89" s="532">
        <f t="shared" si="3"/>
        <v>0</v>
      </c>
      <c r="U89" s="532">
        <f t="shared" si="4"/>
        <v>0</v>
      </c>
      <c r="V89" s="2634">
        <f t="shared" si="31"/>
        <v>0</v>
      </c>
    </row>
    <row r="90" spans="1:24" ht="12.75" hidden="1" customHeight="1">
      <c r="A90" s="187"/>
      <c r="B90" s="214" t="s">
        <v>3113</v>
      </c>
      <c r="C90" s="191" t="s">
        <v>512</v>
      </c>
      <c r="D90" s="187" t="s">
        <v>1336</v>
      </c>
      <c r="E90" s="187">
        <v>2</v>
      </c>
      <c r="F90" s="191" t="s">
        <v>534</v>
      </c>
      <c r="G90" s="190">
        <v>9990001</v>
      </c>
      <c r="H90" s="191" t="s">
        <v>1416</v>
      </c>
      <c r="I90" s="2339">
        <v>0</v>
      </c>
      <c r="J90" s="2554">
        <v>0</v>
      </c>
      <c r="K90" s="2339">
        <v>0</v>
      </c>
      <c r="L90" s="532">
        <f t="shared" si="40"/>
        <v>0</v>
      </c>
      <c r="M90" s="532">
        <f t="shared" si="41"/>
        <v>0</v>
      </c>
      <c r="N90" s="532">
        <f t="shared" si="42"/>
        <v>0</v>
      </c>
      <c r="O90" s="532">
        <f t="shared" si="36"/>
        <v>0</v>
      </c>
      <c r="P90" s="2634"/>
      <c r="Q90" s="3450" t="e">
        <f t="shared" si="30"/>
        <v>#DIV/0!</v>
      </c>
      <c r="R90" s="532">
        <f t="shared" si="1"/>
        <v>0</v>
      </c>
      <c r="S90" s="532">
        <f t="shared" si="2"/>
        <v>0</v>
      </c>
      <c r="T90" s="532">
        <f t="shared" si="3"/>
        <v>0</v>
      </c>
      <c r="U90" s="532">
        <f t="shared" si="4"/>
        <v>0</v>
      </c>
      <c r="V90" s="2634">
        <f t="shared" si="31"/>
        <v>0</v>
      </c>
    </row>
    <row r="91" spans="1:24" ht="12.75" hidden="1" customHeight="1">
      <c r="A91" s="187"/>
      <c r="B91" s="214" t="s">
        <v>1417</v>
      </c>
      <c r="C91" s="191"/>
      <c r="D91" s="187"/>
      <c r="E91" s="187"/>
      <c r="F91" s="191"/>
      <c r="G91" s="190"/>
      <c r="H91" s="191"/>
      <c r="I91" s="2339">
        <v>0</v>
      </c>
      <c r="J91" s="2554">
        <v>0</v>
      </c>
      <c r="K91" s="2339"/>
      <c r="L91" s="532">
        <f t="shared" si="40"/>
        <v>0</v>
      </c>
      <c r="M91" s="532">
        <f t="shared" si="41"/>
        <v>0</v>
      </c>
      <c r="N91" s="532">
        <f t="shared" si="42"/>
        <v>0</v>
      </c>
      <c r="O91" s="532">
        <f t="shared" si="36"/>
        <v>0</v>
      </c>
      <c r="P91" s="2634"/>
      <c r="Q91" s="3450" t="e">
        <f t="shared" si="30"/>
        <v>#DIV/0!</v>
      </c>
      <c r="R91" s="532">
        <f t="shared" si="1"/>
        <v>0</v>
      </c>
      <c r="S91" s="532">
        <f t="shared" si="2"/>
        <v>0</v>
      </c>
      <c r="T91" s="532">
        <f t="shared" si="3"/>
        <v>0</v>
      </c>
      <c r="U91" s="532">
        <f t="shared" si="4"/>
        <v>0</v>
      </c>
      <c r="V91" s="2634">
        <f t="shared" si="31"/>
        <v>0</v>
      </c>
    </row>
    <row r="92" spans="1:24" ht="12.75" hidden="1" customHeight="1">
      <c r="A92" s="187"/>
      <c r="B92" s="214" t="s">
        <v>1418</v>
      </c>
      <c r="C92" s="191"/>
      <c r="D92" s="187"/>
      <c r="E92" s="187"/>
      <c r="F92" s="191"/>
      <c r="G92" s="190"/>
      <c r="H92" s="191"/>
      <c r="I92" s="2339">
        <v>0</v>
      </c>
      <c r="J92" s="2554">
        <v>0</v>
      </c>
      <c r="K92" s="2339"/>
      <c r="L92" s="532">
        <f t="shared" si="40"/>
        <v>0</v>
      </c>
      <c r="M92" s="532">
        <f t="shared" si="41"/>
        <v>0</v>
      </c>
      <c r="N92" s="532">
        <f t="shared" si="42"/>
        <v>0</v>
      </c>
      <c r="O92" s="532">
        <f t="shared" si="36"/>
        <v>0</v>
      </c>
      <c r="P92" s="2634"/>
      <c r="Q92" s="3450" t="e">
        <f t="shared" si="30"/>
        <v>#DIV/0!</v>
      </c>
      <c r="R92" s="532">
        <f t="shared" si="1"/>
        <v>0</v>
      </c>
      <c r="S92" s="532">
        <f t="shared" si="2"/>
        <v>0</v>
      </c>
      <c r="T92" s="532">
        <f t="shared" si="3"/>
        <v>0</v>
      </c>
      <c r="U92" s="532">
        <f t="shared" si="4"/>
        <v>0</v>
      </c>
      <c r="V92" s="2634">
        <f t="shared" si="31"/>
        <v>0</v>
      </c>
    </row>
    <row r="93" spans="1:24" ht="25.5" hidden="1">
      <c r="A93" s="187"/>
      <c r="B93" s="214" t="s">
        <v>1419</v>
      </c>
      <c r="C93" s="191"/>
      <c r="D93" s="187"/>
      <c r="E93" s="187"/>
      <c r="F93" s="191"/>
      <c r="G93" s="190"/>
      <c r="H93" s="191"/>
      <c r="I93" s="2339">
        <v>0</v>
      </c>
      <c r="J93" s="2554">
        <v>0</v>
      </c>
      <c r="K93" s="2339">
        <v>0</v>
      </c>
      <c r="L93" s="532">
        <f t="shared" si="40"/>
        <v>0</v>
      </c>
      <c r="M93" s="532">
        <f t="shared" si="41"/>
        <v>0</v>
      </c>
      <c r="N93" s="532">
        <f t="shared" si="42"/>
        <v>0</v>
      </c>
      <c r="O93" s="532">
        <f t="shared" si="36"/>
        <v>0</v>
      </c>
      <c r="P93" s="2634">
        <v>0</v>
      </c>
      <c r="Q93" s="3450" t="e">
        <f t="shared" si="30"/>
        <v>#DIV/0!</v>
      </c>
      <c r="R93" s="532">
        <f t="shared" si="1"/>
        <v>0</v>
      </c>
      <c r="S93" s="532">
        <f t="shared" si="2"/>
        <v>0</v>
      </c>
      <c r="T93" s="532">
        <f t="shared" si="3"/>
        <v>0</v>
      </c>
      <c r="U93" s="532">
        <f t="shared" si="4"/>
        <v>0</v>
      </c>
      <c r="V93" s="2634">
        <f t="shared" si="31"/>
        <v>0</v>
      </c>
    </row>
    <row r="94" spans="1:24" ht="25.5" hidden="1">
      <c r="A94" s="187"/>
      <c r="B94" s="214" t="s">
        <v>1420</v>
      </c>
      <c r="C94" s="191"/>
      <c r="D94" s="187"/>
      <c r="E94" s="187"/>
      <c r="F94" s="191"/>
      <c r="G94" s="190"/>
      <c r="H94" s="191"/>
      <c r="I94" s="2339">
        <v>0</v>
      </c>
      <c r="J94" s="2554">
        <v>0</v>
      </c>
      <c r="K94" s="2339"/>
      <c r="L94" s="532">
        <f t="shared" si="40"/>
        <v>0</v>
      </c>
      <c r="M94" s="532">
        <f t="shared" si="41"/>
        <v>0</v>
      </c>
      <c r="N94" s="532">
        <f t="shared" si="42"/>
        <v>0</v>
      </c>
      <c r="O94" s="532">
        <f t="shared" si="36"/>
        <v>0</v>
      </c>
      <c r="P94" s="2634">
        <v>0</v>
      </c>
      <c r="Q94" s="3450" t="e">
        <f t="shared" si="30"/>
        <v>#DIV/0!</v>
      </c>
      <c r="R94" s="532">
        <f t="shared" si="1"/>
        <v>0</v>
      </c>
      <c r="S94" s="532">
        <f t="shared" si="2"/>
        <v>0</v>
      </c>
      <c r="T94" s="532">
        <f t="shared" si="3"/>
        <v>0</v>
      </c>
      <c r="U94" s="532">
        <f t="shared" si="4"/>
        <v>0</v>
      </c>
      <c r="V94" s="2634">
        <f t="shared" si="31"/>
        <v>0</v>
      </c>
    </row>
    <row r="95" spans="1:24" hidden="1">
      <c r="A95" s="187" t="s">
        <v>1083</v>
      </c>
      <c r="B95" s="214" t="s">
        <v>1421</v>
      </c>
      <c r="C95" s="191"/>
      <c r="D95" s="187"/>
      <c r="E95" s="187"/>
      <c r="F95" s="191"/>
      <c r="G95" s="190"/>
      <c r="H95" s="191"/>
      <c r="I95" s="2339">
        <v>0</v>
      </c>
      <c r="J95" s="2554">
        <v>0</v>
      </c>
      <c r="K95" s="2339">
        <v>0</v>
      </c>
      <c r="L95" s="532">
        <f t="shared" si="40"/>
        <v>0</v>
      </c>
      <c r="M95" s="532">
        <f t="shared" si="41"/>
        <v>0</v>
      </c>
      <c r="N95" s="532">
        <f t="shared" si="42"/>
        <v>0</v>
      </c>
      <c r="O95" s="532">
        <f t="shared" si="36"/>
        <v>0</v>
      </c>
      <c r="P95" s="2634"/>
      <c r="Q95" s="3450" t="e">
        <f t="shared" si="30"/>
        <v>#DIV/0!</v>
      </c>
      <c r="R95" s="532">
        <f t="shared" si="1"/>
        <v>0</v>
      </c>
      <c r="S95" s="532"/>
      <c r="T95" s="532">
        <f t="shared" si="3"/>
        <v>0</v>
      </c>
      <c r="U95" s="532"/>
      <c r="V95" s="2634">
        <f t="shared" si="31"/>
        <v>0</v>
      </c>
    </row>
    <row r="96" spans="1:24" hidden="1">
      <c r="A96" s="187" t="s">
        <v>1085</v>
      </c>
      <c r="B96" s="214" t="s">
        <v>1421</v>
      </c>
      <c r="C96" s="191"/>
      <c r="D96" s="187"/>
      <c r="E96" s="187"/>
      <c r="F96" s="191"/>
      <c r="G96" s="190"/>
      <c r="H96" s="191"/>
      <c r="I96" s="2339">
        <v>0</v>
      </c>
      <c r="J96" s="2554">
        <v>0</v>
      </c>
      <c r="K96" s="2339">
        <v>0</v>
      </c>
      <c r="L96" s="532">
        <f t="shared" si="40"/>
        <v>0</v>
      </c>
      <c r="M96" s="532">
        <f t="shared" si="41"/>
        <v>0</v>
      </c>
      <c r="N96" s="532">
        <f t="shared" si="42"/>
        <v>0</v>
      </c>
      <c r="O96" s="532">
        <f t="shared" si="36"/>
        <v>0</v>
      </c>
      <c r="P96" s="2634"/>
      <c r="Q96" s="3450" t="e">
        <f t="shared" si="30"/>
        <v>#DIV/0!</v>
      </c>
      <c r="R96" s="532">
        <f t="shared" si="1"/>
        <v>0</v>
      </c>
      <c r="S96" s="532"/>
      <c r="T96" s="532">
        <f t="shared" si="3"/>
        <v>0</v>
      </c>
      <c r="U96" s="532"/>
      <c r="V96" s="2634">
        <f t="shared" si="31"/>
        <v>0</v>
      </c>
    </row>
    <row r="97" spans="1:22" ht="12.75" customHeight="1">
      <c r="A97" s="187" t="s">
        <v>636</v>
      </c>
      <c r="B97" s="214" t="s">
        <v>1422</v>
      </c>
      <c r="C97" s="191" t="s">
        <v>512</v>
      </c>
      <c r="D97" s="187" t="s">
        <v>1336</v>
      </c>
      <c r="E97" s="187">
        <v>2</v>
      </c>
      <c r="F97" s="191" t="s">
        <v>534</v>
      </c>
      <c r="G97" s="190">
        <v>9990001</v>
      </c>
      <c r="H97" s="191" t="s">
        <v>1423</v>
      </c>
      <c r="I97" s="2339">
        <v>600000</v>
      </c>
      <c r="J97" s="2554">
        <v>1206869</v>
      </c>
      <c r="K97" s="2339">
        <v>720150</v>
      </c>
      <c r="L97" s="532">
        <f t="shared" si="40"/>
        <v>720150</v>
      </c>
      <c r="M97" s="532">
        <f>+L97+1500000</f>
        <v>2220150</v>
      </c>
      <c r="N97" s="532">
        <f>+M97+892307</f>
        <v>3112457</v>
      </c>
      <c r="O97" s="532">
        <f t="shared" si="36"/>
        <v>3112457</v>
      </c>
      <c r="P97" s="2634">
        <v>3112457</v>
      </c>
      <c r="Q97" s="3450">
        <f t="shared" si="30"/>
        <v>1</v>
      </c>
      <c r="R97" s="532">
        <f t="shared" si="1"/>
        <v>0</v>
      </c>
      <c r="S97" s="532">
        <f t="shared" ref="S97:S106" si="43">+M97-L97</f>
        <v>1500000</v>
      </c>
      <c r="T97" s="532">
        <f t="shared" si="3"/>
        <v>892307</v>
      </c>
      <c r="U97" s="532">
        <f t="shared" ref="U97:U106" si="44">+O97-N97</f>
        <v>0</v>
      </c>
      <c r="V97" s="2634">
        <f t="shared" si="31"/>
        <v>0</v>
      </c>
    </row>
    <row r="98" spans="1:22" ht="12.75" customHeight="1">
      <c r="A98" s="187" t="s">
        <v>638</v>
      </c>
      <c r="B98" s="214" t="s">
        <v>1424</v>
      </c>
      <c r="C98" s="191" t="s">
        <v>512</v>
      </c>
      <c r="D98" s="187"/>
      <c r="E98" s="187"/>
      <c r="F98" s="191"/>
      <c r="G98" s="513"/>
      <c r="H98" s="191" t="s">
        <v>1425</v>
      </c>
      <c r="I98" s="2341">
        <v>0</v>
      </c>
      <c r="J98" s="2554">
        <v>0</v>
      </c>
      <c r="K98" s="2341">
        <v>0</v>
      </c>
      <c r="L98" s="532">
        <f t="shared" si="40"/>
        <v>0</v>
      </c>
      <c r="M98" s="532">
        <f t="shared" si="41"/>
        <v>0</v>
      </c>
      <c r="N98" s="532">
        <f t="shared" si="42"/>
        <v>0</v>
      </c>
      <c r="O98" s="532">
        <f t="shared" si="36"/>
        <v>0</v>
      </c>
      <c r="P98" s="2634">
        <v>0</v>
      </c>
      <c r="Q98" s="3452"/>
      <c r="R98" s="532">
        <f t="shared" si="1"/>
        <v>0</v>
      </c>
      <c r="S98" s="532">
        <f t="shared" si="43"/>
        <v>0</v>
      </c>
      <c r="T98" s="532">
        <f t="shared" si="3"/>
        <v>0</v>
      </c>
      <c r="U98" s="532">
        <f t="shared" si="44"/>
        <v>0</v>
      </c>
      <c r="V98" s="2634">
        <f t="shared" si="31"/>
        <v>0</v>
      </c>
    </row>
    <row r="99" spans="1:22" ht="12.75" customHeight="1">
      <c r="A99" s="187" t="s">
        <v>1389</v>
      </c>
      <c r="B99" s="214" t="s">
        <v>1426</v>
      </c>
      <c r="C99" s="191" t="s">
        <v>512</v>
      </c>
      <c r="D99" s="187" t="s">
        <v>1336</v>
      </c>
      <c r="E99" s="187">
        <v>2</v>
      </c>
      <c r="F99" s="191" t="s">
        <v>534</v>
      </c>
      <c r="G99" s="190">
        <v>9990001</v>
      </c>
      <c r="H99" s="191" t="s">
        <v>1427</v>
      </c>
      <c r="I99" s="2342">
        <v>14963400</v>
      </c>
      <c r="J99" s="2554">
        <v>12006000</v>
      </c>
      <c r="K99" s="2342">
        <v>16684650</v>
      </c>
      <c r="L99" s="532">
        <f t="shared" si="40"/>
        <v>16684650</v>
      </c>
      <c r="M99" s="532">
        <f>+L99</f>
        <v>16684650</v>
      </c>
      <c r="N99" s="532">
        <f t="shared" si="42"/>
        <v>16684650</v>
      </c>
      <c r="O99" s="532">
        <f t="shared" si="36"/>
        <v>16684650</v>
      </c>
      <c r="P99" s="2634">
        <v>13086000</v>
      </c>
      <c r="Q99" s="3453">
        <f t="shared" si="30"/>
        <v>0.78431372549019607</v>
      </c>
      <c r="R99" s="532">
        <f t="shared" si="1"/>
        <v>0</v>
      </c>
      <c r="S99" s="532">
        <f t="shared" si="43"/>
        <v>0</v>
      </c>
      <c r="T99" s="532">
        <f t="shared" si="3"/>
        <v>0</v>
      </c>
      <c r="U99" s="532">
        <f t="shared" si="44"/>
        <v>0</v>
      </c>
      <c r="V99" s="2634">
        <f t="shared" si="31"/>
        <v>3598650</v>
      </c>
    </row>
    <row r="100" spans="1:22" ht="12.75" customHeight="1">
      <c r="A100" s="187" t="s">
        <v>646</v>
      </c>
      <c r="B100" s="214" t="s">
        <v>3322</v>
      </c>
      <c r="C100" s="191" t="s">
        <v>512</v>
      </c>
      <c r="D100" s="187" t="s">
        <v>1336</v>
      </c>
      <c r="E100" s="187">
        <v>2</v>
      </c>
      <c r="F100" s="191" t="s">
        <v>534</v>
      </c>
      <c r="G100" s="190">
        <v>9990001</v>
      </c>
      <c r="H100" s="191" t="s">
        <v>1428</v>
      </c>
      <c r="I100" s="2339">
        <v>10310400</v>
      </c>
      <c r="J100" s="2554">
        <v>9541250</v>
      </c>
      <c r="K100" s="2339">
        <v>10310400</v>
      </c>
      <c r="L100" s="532">
        <f t="shared" si="40"/>
        <v>10310400</v>
      </c>
      <c r="M100" s="532">
        <f t="shared" si="41"/>
        <v>10310400</v>
      </c>
      <c r="N100" s="532">
        <f t="shared" si="42"/>
        <v>10310400</v>
      </c>
      <c r="O100" s="532">
        <f t="shared" si="36"/>
        <v>10310400</v>
      </c>
      <c r="P100" s="2634">
        <v>9577474</v>
      </c>
      <c r="Q100" s="3450">
        <f t="shared" si="30"/>
        <v>0.92891391216635633</v>
      </c>
      <c r="R100" s="532">
        <f t="shared" si="1"/>
        <v>0</v>
      </c>
      <c r="S100" s="532">
        <f t="shared" si="43"/>
        <v>0</v>
      </c>
      <c r="T100" s="532">
        <f t="shared" si="3"/>
        <v>0</v>
      </c>
      <c r="U100" s="532">
        <f t="shared" si="44"/>
        <v>0</v>
      </c>
      <c r="V100" s="2634">
        <f t="shared" si="31"/>
        <v>732926</v>
      </c>
    </row>
    <row r="101" spans="1:22" ht="24" hidden="1" customHeight="1">
      <c r="A101" s="187" t="s">
        <v>1078</v>
      </c>
      <c r="B101" s="214" t="s">
        <v>1429</v>
      </c>
      <c r="C101" s="191"/>
      <c r="D101" s="187"/>
      <c r="E101" s="187"/>
      <c r="F101" s="191"/>
      <c r="G101" s="190"/>
      <c r="H101" s="191"/>
      <c r="I101" s="2339">
        <v>0</v>
      </c>
      <c r="J101" s="2554">
        <v>0</v>
      </c>
      <c r="K101" s="2339">
        <v>0</v>
      </c>
      <c r="L101" s="532">
        <f t="shared" si="40"/>
        <v>0</v>
      </c>
      <c r="M101" s="532">
        <f t="shared" si="41"/>
        <v>0</v>
      </c>
      <c r="N101" s="532">
        <f t="shared" si="42"/>
        <v>0</v>
      </c>
      <c r="O101" s="532">
        <f t="shared" si="36"/>
        <v>0</v>
      </c>
      <c r="P101" s="2634">
        <f>+O101</f>
        <v>0</v>
      </c>
      <c r="Q101" s="3450" t="e">
        <f t="shared" si="30"/>
        <v>#DIV/0!</v>
      </c>
      <c r="R101" s="532">
        <f t="shared" si="1"/>
        <v>0</v>
      </c>
      <c r="S101" s="532">
        <f t="shared" si="43"/>
        <v>0</v>
      </c>
      <c r="T101" s="532">
        <f t="shared" si="3"/>
        <v>0</v>
      </c>
      <c r="U101" s="532">
        <f t="shared" si="44"/>
        <v>0</v>
      </c>
      <c r="V101" s="2634">
        <f t="shared" si="31"/>
        <v>0</v>
      </c>
    </row>
    <row r="102" spans="1:22" ht="24" hidden="1" customHeight="1">
      <c r="A102" s="187" t="s">
        <v>1080</v>
      </c>
      <c r="B102" s="214" t="s">
        <v>1430</v>
      </c>
      <c r="C102" s="191"/>
      <c r="D102" s="187"/>
      <c r="E102" s="187"/>
      <c r="F102" s="191"/>
      <c r="G102" s="190"/>
      <c r="H102" s="191"/>
      <c r="I102" s="2339">
        <v>0</v>
      </c>
      <c r="J102" s="2554">
        <v>0</v>
      </c>
      <c r="K102" s="2339">
        <v>0</v>
      </c>
      <c r="L102" s="532">
        <f t="shared" si="40"/>
        <v>0</v>
      </c>
      <c r="M102" s="532">
        <f t="shared" si="41"/>
        <v>0</v>
      </c>
      <c r="N102" s="532">
        <f t="shared" si="42"/>
        <v>0</v>
      </c>
      <c r="O102" s="532">
        <f t="shared" si="36"/>
        <v>0</v>
      </c>
      <c r="P102" s="2634">
        <f>+O102</f>
        <v>0</v>
      </c>
      <c r="Q102" s="3450" t="e">
        <f t="shared" si="30"/>
        <v>#DIV/0!</v>
      </c>
      <c r="R102" s="532">
        <f t="shared" si="1"/>
        <v>0</v>
      </c>
      <c r="S102" s="532">
        <f t="shared" si="43"/>
        <v>0</v>
      </c>
      <c r="T102" s="532">
        <f t="shared" si="3"/>
        <v>0</v>
      </c>
      <c r="U102" s="532">
        <f t="shared" si="44"/>
        <v>0</v>
      </c>
      <c r="V102" s="2634">
        <f t="shared" si="31"/>
        <v>0</v>
      </c>
    </row>
    <row r="103" spans="1:22" ht="25.5" hidden="1">
      <c r="A103" s="187" t="s">
        <v>1078</v>
      </c>
      <c r="B103" s="214" t="s">
        <v>3114</v>
      </c>
      <c r="C103" s="191"/>
      <c r="D103" s="187"/>
      <c r="E103" s="187"/>
      <c r="F103" s="191"/>
      <c r="G103" s="190"/>
      <c r="H103" s="191"/>
      <c r="I103" s="2339">
        <v>0</v>
      </c>
      <c r="J103" s="2554">
        <v>0</v>
      </c>
      <c r="K103" s="2339">
        <v>0</v>
      </c>
      <c r="L103" s="532">
        <f t="shared" si="40"/>
        <v>0</v>
      </c>
      <c r="M103" s="532">
        <f t="shared" si="41"/>
        <v>0</v>
      </c>
      <c r="N103" s="532">
        <f t="shared" si="42"/>
        <v>0</v>
      </c>
      <c r="O103" s="532">
        <f t="shared" si="36"/>
        <v>0</v>
      </c>
      <c r="P103" s="2634">
        <v>0</v>
      </c>
      <c r="Q103" s="3450" t="e">
        <f t="shared" si="30"/>
        <v>#DIV/0!</v>
      </c>
      <c r="R103" s="532">
        <f t="shared" si="1"/>
        <v>0</v>
      </c>
      <c r="S103" s="532">
        <f t="shared" si="43"/>
        <v>0</v>
      </c>
      <c r="T103" s="532">
        <f t="shared" si="3"/>
        <v>0</v>
      </c>
      <c r="U103" s="532">
        <f t="shared" si="44"/>
        <v>0</v>
      </c>
      <c r="V103" s="2634">
        <f t="shared" si="31"/>
        <v>0</v>
      </c>
    </row>
    <row r="104" spans="1:22" ht="25.5" hidden="1">
      <c r="A104" s="187" t="s">
        <v>1080</v>
      </c>
      <c r="B104" s="214" t="s">
        <v>3115</v>
      </c>
      <c r="C104" s="191"/>
      <c r="D104" s="187"/>
      <c r="E104" s="187"/>
      <c r="F104" s="191"/>
      <c r="G104" s="190"/>
      <c r="H104" s="191"/>
      <c r="I104" s="2339">
        <v>0</v>
      </c>
      <c r="J104" s="2554">
        <v>0</v>
      </c>
      <c r="K104" s="2339">
        <v>0</v>
      </c>
      <c r="L104" s="532">
        <f t="shared" si="40"/>
        <v>0</v>
      </c>
      <c r="M104" s="532">
        <f t="shared" si="41"/>
        <v>0</v>
      </c>
      <c r="N104" s="532">
        <f t="shared" si="42"/>
        <v>0</v>
      </c>
      <c r="O104" s="532">
        <f t="shared" si="36"/>
        <v>0</v>
      </c>
      <c r="P104" s="2634">
        <v>0</v>
      </c>
      <c r="Q104" s="3450" t="e">
        <f t="shared" si="30"/>
        <v>#DIV/0!</v>
      </c>
      <c r="R104" s="532">
        <f t="shared" si="1"/>
        <v>0</v>
      </c>
      <c r="S104" s="532">
        <f t="shared" si="43"/>
        <v>0</v>
      </c>
      <c r="T104" s="532">
        <f t="shared" si="3"/>
        <v>0</v>
      </c>
      <c r="U104" s="532">
        <f t="shared" si="44"/>
        <v>0</v>
      </c>
      <c r="V104" s="2634">
        <f t="shared" si="31"/>
        <v>0</v>
      </c>
    </row>
    <row r="105" spans="1:22" ht="25.5" hidden="1">
      <c r="A105" s="187" t="s">
        <v>1083</v>
      </c>
      <c r="B105" s="644" t="s">
        <v>3116</v>
      </c>
      <c r="C105" s="191"/>
      <c r="D105" s="187"/>
      <c r="E105" s="187"/>
      <c r="F105" s="191"/>
      <c r="G105" s="190"/>
      <c r="H105" s="191"/>
      <c r="I105" s="2339">
        <v>0</v>
      </c>
      <c r="J105" s="2554">
        <v>0</v>
      </c>
      <c r="K105" s="2339">
        <v>0</v>
      </c>
      <c r="L105" s="532">
        <f t="shared" si="40"/>
        <v>0</v>
      </c>
      <c r="M105" s="532">
        <f t="shared" si="41"/>
        <v>0</v>
      </c>
      <c r="N105" s="532">
        <f t="shared" si="42"/>
        <v>0</v>
      </c>
      <c r="O105" s="532">
        <f t="shared" si="36"/>
        <v>0</v>
      </c>
      <c r="P105" s="2634">
        <v>0</v>
      </c>
      <c r="Q105" s="3450" t="e">
        <f t="shared" si="30"/>
        <v>#DIV/0!</v>
      </c>
      <c r="R105" s="532">
        <f t="shared" si="1"/>
        <v>0</v>
      </c>
      <c r="S105" s="532">
        <f t="shared" si="43"/>
        <v>0</v>
      </c>
      <c r="T105" s="532">
        <f t="shared" si="3"/>
        <v>0</v>
      </c>
      <c r="U105" s="532">
        <f t="shared" si="44"/>
        <v>0</v>
      </c>
      <c r="V105" s="2634">
        <f t="shared" si="31"/>
        <v>0</v>
      </c>
    </row>
    <row r="106" spans="1:22" ht="25.5" hidden="1">
      <c r="A106" s="187" t="s">
        <v>1085</v>
      </c>
      <c r="B106" s="644" t="s">
        <v>3117</v>
      </c>
      <c r="C106" s="191"/>
      <c r="D106" s="187"/>
      <c r="E106" s="187"/>
      <c r="F106" s="191"/>
      <c r="G106" s="190"/>
      <c r="H106" s="191"/>
      <c r="I106" s="2339">
        <v>0</v>
      </c>
      <c r="J106" s="2554">
        <v>0</v>
      </c>
      <c r="K106" s="2339">
        <v>0</v>
      </c>
      <c r="L106" s="532">
        <f t="shared" si="40"/>
        <v>0</v>
      </c>
      <c r="M106" s="532">
        <f t="shared" si="41"/>
        <v>0</v>
      </c>
      <c r="N106" s="532">
        <f t="shared" si="42"/>
        <v>0</v>
      </c>
      <c r="O106" s="532">
        <f t="shared" si="36"/>
        <v>0</v>
      </c>
      <c r="P106" s="2634">
        <v>0</v>
      </c>
      <c r="Q106" s="3450" t="e">
        <f t="shared" si="30"/>
        <v>#DIV/0!</v>
      </c>
      <c r="R106" s="532">
        <f t="shared" si="1"/>
        <v>0</v>
      </c>
      <c r="S106" s="532">
        <f t="shared" si="43"/>
        <v>0</v>
      </c>
      <c r="T106" s="532">
        <f t="shared" si="3"/>
        <v>0</v>
      </c>
      <c r="U106" s="532">
        <f t="shared" si="44"/>
        <v>0</v>
      </c>
      <c r="V106" s="2634">
        <f t="shared" si="31"/>
        <v>0</v>
      </c>
    </row>
    <row r="107" spans="1:22" ht="25.5" hidden="1">
      <c r="A107" s="187" t="s">
        <v>1088</v>
      </c>
      <c r="B107" s="214" t="s">
        <v>3118</v>
      </c>
      <c r="C107" s="191"/>
      <c r="D107" s="187"/>
      <c r="E107" s="187"/>
      <c r="F107" s="191"/>
      <c r="G107" s="190"/>
      <c r="H107" s="191"/>
      <c r="I107" s="192">
        <v>0</v>
      </c>
      <c r="J107" s="2554">
        <v>0</v>
      </c>
      <c r="K107" s="192">
        <v>0</v>
      </c>
      <c r="L107" s="532">
        <f t="shared" si="40"/>
        <v>0</v>
      </c>
      <c r="M107" s="532">
        <f t="shared" si="41"/>
        <v>0</v>
      </c>
      <c r="N107" s="532">
        <f t="shared" si="42"/>
        <v>0</v>
      </c>
      <c r="O107" s="532">
        <f t="shared" si="36"/>
        <v>0</v>
      </c>
      <c r="P107" s="2634">
        <v>0</v>
      </c>
      <c r="Q107" s="3450" t="e">
        <f t="shared" si="30"/>
        <v>#DIV/0!</v>
      </c>
      <c r="R107" s="532">
        <f t="shared" si="1"/>
        <v>0</v>
      </c>
      <c r="S107" s="532"/>
      <c r="T107" s="532">
        <f t="shared" si="3"/>
        <v>0</v>
      </c>
      <c r="U107" s="532"/>
      <c r="V107" s="2634">
        <f t="shared" si="31"/>
        <v>0</v>
      </c>
    </row>
    <row r="108" spans="1:22" ht="25.5" hidden="1">
      <c r="A108" s="187" t="s">
        <v>1092</v>
      </c>
      <c r="B108" s="214" t="s">
        <v>3119</v>
      </c>
      <c r="C108" s="191"/>
      <c r="D108" s="187"/>
      <c r="E108" s="187"/>
      <c r="F108" s="191"/>
      <c r="G108" s="190"/>
      <c r="H108" s="191"/>
      <c r="I108" s="192">
        <v>0</v>
      </c>
      <c r="J108" s="2554">
        <v>0</v>
      </c>
      <c r="K108" s="192">
        <v>0</v>
      </c>
      <c r="L108" s="532">
        <f t="shared" si="40"/>
        <v>0</v>
      </c>
      <c r="M108" s="532">
        <f t="shared" si="41"/>
        <v>0</v>
      </c>
      <c r="N108" s="532">
        <f t="shared" si="42"/>
        <v>0</v>
      </c>
      <c r="O108" s="532">
        <f t="shared" si="36"/>
        <v>0</v>
      </c>
      <c r="P108" s="2634">
        <v>0</v>
      </c>
      <c r="Q108" s="3450" t="e">
        <f t="shared" si="30"/>
        <v>#DIV/0!</v>
      </c>
      <c r="R108" s="532">
        <f t="shared" si="1"/>
        <v>0</v>
      </c>
      <c r="S108" s="532"/>
      <c r="T108" s="532">
        <f t="shared" si="3"/>
        <v>0</v>
      </c>
      <c r="U108" s="532"/>
      <c r="V108" s="2634">
        <f t="shared" si="31"/>
        <v>0</v>
      </c>
    </row>
    <row r="109" spans="1:22" ht="25.5" hidden="1">
      <c r="A109" s="187" t="s">
        <v>1095</v>
      </c>
      <c r="B109" s="214" t="s">
        <v>3120</v>
      </c>
      <c r="C109" s="191"/>
      <c r="D109" s="187"/>
      <c r="E109" s="187"/>
      <c r="F109" s="191"/>
      <c r="G109" s="190"/>
      <c r="H109" s="191"/>
      <c r="I109" s="2339">
        <v>0</v>
      </c>
      <c r="J109" s="2554">
        <v>0</v>
      </c>
      <c r="K109" s="2339">
        <v>0</v>
      </c>
      <c r="L109" s="532">
        <f t="shared" si="40"/>
        <v>0</v>
      </c>
      <c r="M109" s="532">
        <f t="shared" si="41"/>
        <v>0</v>
      </c>
      <c r="N109" s="532">
        <f t="shared" si="42"/>
        <v>0</v>
      </c>
      <c r="O109" s="532">
        <f t="shared" si="36"/>
        <v>0</v>
      </c>
      <c r="P109" s="2634">
        <v>0</v>
      </c>
      <c r="Q109" s="3450" t="e">
        <f t="shared" si="30"/>
        <v>#DIV/0!</v>
      </c>
      <c r="R109" s="532"/>
      <c r="S109" s="532"/>
      <c r="T109" s="532"/>
      <c r="U109" s="532"/>
      <c r="V109" s="2634">
        <f t="shared" si="31"/>
        <v>0</v>
      </c>
    </row>
    <row r="110" spans="1:22" ht="25.5" hidden="1">
      <c r="A110" s="187" t="s">
        <v>1097</v>
      </c>
      <c r="B110" s="214" t="s">
        <v>3121</v>
      </c>
      <c r="C110" s="191"/>
      <c r="D110" s="187"/>
      <c r="E110" s="187"/>
      <c r="F110" s="191"/>
      <c r="G110" s="190"/>
      <c r="H110" s="191"/>
      <c r="I110" s="2339">
        <v>0</v>
      </c>
      <c r="J110" s="2554">
        <v>0</v>
      </c>
      <c r="K110" s="2339">
        <v>0</v>
      </c>
      <c r="L110" s="532">
        <f t="shared" si="40"/>
        <v>0</v>
      </c>
      <c r="M110" s="532">
        <f t="shared" si="41"/>
        <v>0</v>
      </c>
      <c r="N110" s="532">
        <f t="shared" si="42"/>
        <v>0</v>
      </c>
      <c r="O110" s="532">
        <f t="shared" si="36"/>
        <v>0</v>
      </c>
      <c r="P110" s="2634">
        <v>0</v>
      </c>
      <c r="Q110" s="3450" t="e">
        <f t="shared" si="30"/>
        <v>#DIV/0!</v>
      </c>
      <c r="R110" s="532"/>
      <c r="S110" s="532"/>
      <c r="T110" s="532"/>
      <c r="U110" s="532"/>
      <c r="V110" s="2634">
        <f t="shared" si="31"/>
        <v>0</v>
      </c>
    </row>
    <row r="111" spans="1:22" ht="12.75" customHeight="1">
      <c r="A111" s="187" t="s">
        <v>648</v>
      </c>
      <c r="B111" s="214" t="s">
        <v>1431</v>
      </c>
      <c r="C111" s="180"/>
      <c r="D111" s="214"/>
      <c r="E111" s="190"/>
      <c r="F111" s="214"/>
      <c r="G111" s="214"/>
      <c r="H111" s="191" t="s">
        <v>1432</v>
      </c>
      <c r="I111" s="192">
        <v>0</v>
      </c>
      <c r="J111" s="2554">
        <v>0</v>
      </c>
      <c r="K111" s="192">
        <v>0</v>
      </c>
      <c r="L111" s="532">
        <f t="shared" si="40"/>
        <v>0</v>
      </c>
      <c r="M111" s="532">
        <f t="shared" si="41"/>
        <v>0</v>
      </c>
      <c r="N111" s="532">
        <f t="shared" si="42"/>
        <v>0</v>
      </c>
      <c r="O111" s="532">
        <f t="shared" si="36"/>
        <v>0</v>
      </c>
      <c r="P111" s="2634">
        <v>0</v>
      </c>
      <c r="Q111" s="193"/>
      <c r="R111" s="532">
        <f t="shared" ref="R111:U114" si="45">+L111-K111</f>
        <v>0</v>
      </c>
      <c r="S111" s="532">
        <f t="shared" si="45"/>
        <v>0</v>
      </c>
      <c r="T111" s="532">
        <f t="shared" si="45"/>
        <v>0</v>
      </c>
      <c r="U111" s="532">
        <f t="shared" si="45"/>
        <v>0</v>
      </c>
      <c r="V111" s="2634">
        <f t="shared" si="31"/>
        <v>0</v>
      </c>
    </row>
    <row r="112" spans="1:22" ht="12.75" hidden="1" customHeight="1">
      <c r="A112" s="187"/>
      <c r="B112" s="214" t="s">
        <v>1433</v>
      </c>
      <c r="C112" s="180"/>
      <c r="D112" s="214"/>
      <c r="E112" s="190"/>
      <c r="F112" s="214"/>
      <c r="G112" s="214"/>
      <c r="H112" s="191"/>
      <c r="I112" s="192">
        <v>0</v>
      </c>
      <c r="J112" s="2554">
        <v>0</v>
      </c>
      <c r="K112" s="192">
        <v>0</v>
      </c>
      <c r="L112" s="532">
        <f t="shared" si="40"/>
        <v>0</v>
      </c>
      <c r="M112" s="532">
        <f t="shared" si="41"/>
        <v>0</v>
      </c>
      <c r="N112" s="532">
        <f t="shared" si="42"/>
        <v>0</v>
      </c>
      <c r="O112" s="532">
        <f t="shared" si="36"/>
        <v>0</v>
      </c>
      <c r="P112" s="2634"/>
      <c r="Q112" s="193" t="e">
        <f t="shared" si="30"/>
        <v>#DIV/0!</v>
      </c>
      <c r="R112" s="532">
        <f t="shared" si="45"/>
        <v>0</v>
      </c>
      <c r="S112" s="532">
        <f t="shared" si="45"/>
        <v>0</v>
      </c>
      <c r="T112" s="532">
        <f t="shared" si="45"/>
        <v>0</v>
      </c>
      <c r="U112" s="532">
        <f t="shared" si="45"/>
        <v>0</v>
      </c>
      <c r="V112" s="2634">
        <f t="shared" si="31"/>
        <v>0</v>
      </c>
    </row>
    <row r="113" spans="1:22" ht="35.25" customHeight="1">
      <c r="A113" s="187" t="s">
        <v>662</v>
      </c>
      <c r="B113" s="642" t="s">
        <v>3211</v>
      </c>
      <c r="C113" s="3454"/>
      <c r="D113" s="642"/>
      <c r="E113" s="669"/>
      <c r="F113" s="642"/>
      <c r="G113" s="642"/>
      <c r="H113" s="219" t="s">
        <v>1434</v>
      </c>
      <c r="I113" s="221">
        <f t="shared" ref="I113:P113" si="46">SUM(I77:I112)-I88</f>
        <v>224997279</v>
      </c>
      <c r="J113" s="2605">
        <f t="shared" si="46"/>
        <v>212810234</v>
      </c>
      <c r="K113" s="221">
        <f t="shared" si="46"/>
        <v>258299739</v>
      </c>
      <c r="L113" s="221">
        <f t="shared" si="46"/>
        <v>258299739</v>
      </c>
      <c r="M113" s="221">
        <f t="shared" si="46"/>
        <v>259799739</v>
      </c>
      <c r="N113" s="221">
        <f t="shared" si="46"/>
        <v>258677639</v>
      </c>
      <c r="O113" s="221">
        <f t="shared" si="46"/>
        <v>258677639</v>
      </c>
      <c r="P113" s="1096">
        <f t="shared" si="46"/>
        <v>234392917</v>
      </c>
      <c r="Q113" s="223">
        <f t="shared" si="30"/>
        <v>0.90611974775291648</v>
      </c>
      <c r="R113" s="532">
        <f t="shared" si="45"/>
        <v>0</v>
      </c>
      <c r="S113" s="221">
        <f t="shared" si="45"/>
        <v>1500000</v>
      </c>
      <c r="T113" s="532">
        <f t="shared" si="45"/>
        <v>-1122100</v>
      </c>
      <c r="U113" s="532">
        <f t="shared" si="45"/>
        <v>0</v>
      </c>
      <c r="V113" s="1096">
        <f t="shared" si="31"/>
        <v>24284722</v>
      </c>
    </row>
    <row r="114" spans="1:22" hidden="1">
      <c r="R114" s="532">
        <f>+L114-K114</f>
        <v>0</v>
      </c>
      <c r="S114" s="532">
        <f t="shared" si="45"/>
        <v>0</v>
      </c>
      <c r="T114" s="532">
        <f t="shared" si="45"/>
        <v>0</v>
      </c>
      <c r="U114" s="532">
        <f t="shared" si="45"/>
        <v>0</v>
      </c>
    </row>
    <row r="115" spans="1:22" hidden="1">
      <c r="R115" s="532">
        <f>+L115-K115</f>
        <v>0</v>
      </c>
    </row>
    <row r="116" spans="1:22" hidden="1">
      <c r="P116" s="169">
        <f>1670838694+13086000</f>
        <v>1683924694</v>
      </c>
      <c r="R116" s="532">
        <f>+L116-K116</f>
        <v>0</v>
      </c>
    </row>
    <row r="117" spans="1:22" hidden="1">
      <c r="B117" s="165" t="s">
        <v>3197</v>
      </c>
      <c r="I117" s="212">
        <f t="shared" ref="I117:P117" si="47">+I75+I113</f>
        <v>1756950747</v>
      </c>
      <c r="J117" s="212">
        <f t="shared" si="47"/>
        <v>1704788631</v>
      </c>
      <c r="K117" s="212">
        <f t="shared" si="47"/>
        <v>2032275360</v>
      </c>
      <c r="L117" s="212">
        <f t="shared" si="47"/>
        <v>2032335511</v>
      </c>
      <c r="M117" s="212">
        <f t="shared" si="47"/>
        <v>2044440105</v>
      </c>
      <c r="N117" s="212">
        <f t="shared" si="47"/>
        <v>2052160105</v>
      </c>
      <c r="O117" s="212">
        <f t="shared" si="47"/>
        <v>2052160105</v>
      </c>
      <c r="P117" s="212">
        <f t="shared" si="47"/>
        <v>1878838916</v>
      </c>
      <c r="Q117" s="212">
        <f>1297634515+10440000</f>
        <v>1308074515</v>
      </c>
      <c r="R117" s="532">
        <f>+L117-K117</f>
        <v>60151</v>
      </c>
      <c r="S117" s="212">
        <f>+M117-L117</f>
        <v>12104594</v>
      </c>
      <c r="T117" s="212"/>
      <c r="U117" s="212"/>
      <c r="V117" s="212">
        <f>+N117-P117</f>
        <v>173321189</v>
      </c>
    </row>
    <row r="118" spans="1:22" hidden="1">
      <c r="R118" s="532">
        <f>+L118-K118</f>
        <v>0</v>
      </c>
    </row>
    <row r="119" spans="1:22" ht="26.25" customHeight="1">
      <c r="A119" s="3602" t="str">
        <f>+A1</f>
        <v>10. melléklet a 11/2026. (V. 7.) önkormányzati rendelethez</v>
      </c>
      <c r="B119" s="3602"/>
      <c r="C119" s="3602"/>
      <c r="D119" s="3602"/>
      <c r="E119" s="3602"/>
      <c r="F119" s="3602"/>
      <c r="G119" s="3602"/>
      <c r="H119" s="3602"/>
      <c r="I119" s="3602"/>
      <c r="J119" s="3602"/>
      <c r="K119" s="3602"/>
      <c r="L119" s="3602"/>
      <c r="M119" s="3602"/>
      <c r="N119" s="3602"/>
      <c r="O119" s="3602"/>
      <c r="P119" s="3602"/>
      <c r="Q119" s="3602"/>
      <c r="R119" s="3653"/>
      <c r="S119" s="3653"/>
      <c r="T119" s="3653"/>
      <c r="U119" s="3653"/>
    </row>
    <row r="120" spans="1:22" ht="7.5" customHeight="1">
      <c r="A120" s="3650"/>
      <c r="B120" s="3650"/>
      <c r="C120" s="3650"/>
      <c r="D120" s="3650"/>
      <c r="E120" s="3650"/>
      <c r="F120" s="3650"/>
      <c r="G120" s="3650"/>
      <c r="H120" s="3650"/>
      <c r="I120" s="3650"/>
      <c r="J120" s="3650"/>
      <c r="K120" s="3650"/>
      <c r="L120" s="3650"/>
      <c r="M120" s="3650"/>
      <c r="N120" s="3650"/>
      <c r="O120" s="3650"/>
      <c r="P120" s="3650"/>
      <c r="Q120" s="3650"/>
      <c r="R120" s="3651"/>
      <c r="S120" s="3651"/>
      <c r="T120" s="3651"/>
      <c r="U120" s="3651"/>
    </row>
    <row r="121" spans="1:22" ht="15.75">
      <c r="A121" s="1423"/>
      <c r="B121" s="1538" t="str">
        <f>+B3</f>
        <v>A</v>
      </c>
      <c r="C121" s="1539"/>
      <c r="D121" s="1538"/>
      <c r="E121" s="1538"/>
      <c r="F121" s="3436"/>
      <c r="G121" s="3436"/>
      <c r="H121" s="3436"/>
      <c r="I121" s="1428" t="str">
        <f>+I3</f>
        <v>B</v>
      </c>
      <c r="J121" s="1428" t="str">
        <f t="shared" ref="J121:T121" si="48">+J3</f>
        <v>B</v>
      </c>
      <c r="K121" s="1428" t="str">
        <f t="shared" si="48"/>
        <v>B</v>
      </c>
      <c r="L121" s="1428" t="str">
        <f t="shared" si="48"/>
        <v>D</v>
      </c>
      <c r="M121" s="1428" t="str">
        <f t="shared" si="48"/>
        <v>E</v>
      </c>
      <c r="N121" s="1428" t="str">
        <f t="shared" si="48"/>
        <v>C</v>
      </c>
      <c r="O121" s="1428" t="str">
        <f t="shared" si="48"/>
        <v>F</v>
      </c>
      <c r="P121" s="1428" t="str">
        <f t="shared" si="48"/>
        <v>D</v>
      </c>
      <c r="Q121" s="1428" t="str">
        <f t="shared" si="48"/>
        <v>E</v>
      </c>
      <c r="R121" s="1428">
        <f t="shared" si="48"/>
        <v>0</v>
      </c>
      <c r="S121" s="1428" t="str">
        <f t="shared" si="48"/>
        <v>F</v>
      </c>
      <c r="T121" s="1428" t="str">
        <f t="shared" si="48"/>
        <v>G</v>
      </c>
    </row>
    <row r="122" spans="1:22" ht="65.25" customHeight="1">
      <c r="A122" s="3456" t="s">
        <v>6</v>
      </c>
      <c r="B122" s="3457" t="s">
        <v>4254</v>
      </c>
      <c r="C122" s="2099"/>
      <c r="D122" s="2130"/>
      <c r="E122" s="1542"/>
      <c r="F122" s="2130"/>
      <c r="G122" s="2130"/>
      <c r="H122" s="2131"/>
      <c r="I122" s="1422" t="str">
        <f>+I4</f>
        <v>2024. évi eredeti előirányzat
forintban</v>
      </c>
      <c r="J122" s="2591" t="str">
        <f>+J4</f>
        <v>2024. évi teljesítés forintban</v>
      </c>
      <c r="K122" s="1422" t="str">
        <f t="shared" ref="K122:U122" si="49">+K4</f>
        <v>2025. évi eredeti előirányzat forintban</v>
      </c>
      <c r="L122" s="1422" t="str">
        <f t="shared" si="49"/>
        <v>2025. évi I. számú módosított előirányzat
forintban</v>
      </c>
      <c r="M122" s="1422" t="str">
        <f t="shared" si="49"/>
        <v>2025. évi II. számú módosított előirányzat forintban</v>
      </c>
      <c r="N122" s="1422" t="str">
        <f t="shared" si="49"/>
        <v>2025. évi III. számú módosított előirányzat forintban</v>
      </c>
      <c r="O122" s="1422" t="str">
        <f t="shared" si="49"/>
        <v>2025. évi IV. számú módosított előirányzat forintban</v>
      </c>
      <c r="P122" s="1422" t="str">
        <f t="shared" si="49"/>
        <v>2025. évi
teljesítés forintban</v>
      </c>
      <c r="Q122" s="3458" t="str">
        <f t="shared" si="49"/>
        <v xml:space="preserve"> 2025. évi teljesítés / 2025. évi III. számú módosított előirányzat</v>
      </c>
      <c r="R122" s="182" t="str">
        <f t="shared" si="49"/>
        <v>Változás I. módosításnál</v>
      </c>
      <c r="S122" s="1360" t="str">
        <f t="shared" si="49"/>
        <v>Előirányzat-módosítások, előirányzat-átcsoportosítások összegszerű változásai</v>
      </c>
      <c r="T122" s="1360" t="str">
        <f t="shared" si="49"/>
        <v>Előirányzat-módosítások, előirányzat-átcsoportosítások összegszerű változásai a III. módosításnál</v>
      </c>
      <c r="U122" s="182" t="str">
        <f t="shared" si="49"/>
        <v>Változás IV. módosításnál</v>
      </c>
      <c r="V122" s="2641" t="s">
        <v>3915</v>
      </c>
    </row>
    <row r="123" spans="1:22">
      <c r="A123" s="1423"/>
      <c r="B123" s="1816" t="s">
        <v>1335</v>
      </c>
      <c r="C123" s="2099"/>
      <c r="D123" s="2130"/>
      <c r="E123" s="1542"/>
      <c r="F123" s="2130"/>
      <c r="G123" s="2130"/>
      <c r="H123" s="2131"/>
      <c r="I123" s="1301"/>
      <c r="J123" s="2746"/>
      <c r="K123" s="1301"/>
      <c r="L123" s="1301"/>
      <c r="M123" s="1301"/>
      <c r="N123" s="1301"/>
      <c r="O123" s="1301"/>
      <c r="P123" s="1412"/>
      <c r="Q123" s="3453"/>
      <c r="R123" s="532"/>
      <c r="S123" s="532"/>
      <c r="T123" s="532"/>
      <c r="U123" s="532"/>
      <c r="V123" s="2642"/>
    </row>
    <row r="124" spans="1:22">
      <c r="A124" s="1423"/>
      <c r="B124" s="1816"/>
      <c r="C124" s="2099"/>
      <c r="D124" s="2130"/>
      <c r="E124" s="1542"/>
      <c r="F124" s="2130"/>
      <c r="G124" s="2130"/>
      <c r="H124" s="2131"/>
      <c r="I124" s="1300"/>
      <c r="J124" s="2608"/>
      <c r="K124" s="1300"/>
      <c r="L124" s="1365"/>
      <c r="M124" s="1365"/>
      <c r="N124" s="1365"/>
      <c r="O124" s="1365"/>
      <c r="P124" s="1365"/>
      <c r="Q124" s="3453"/>
      <c r="R124" s="532"/>
      <c r="S124" s="532"/>
      <c r="T124" s="532"/>
      <c r="U124" s="532"/>
      <c r="V124" s="2168"/>
    </row>
    <row r="125" spans="1:22">
      <c r="A125" s="2099" t="s">
        <v>185</v>
      </c>
      <c r="B125" s="1817" t="s">
        <v>1348</v>
      </c>
      <c r="C125" s="2099"/>
      <c r="D125" s="2130"/>
      <c r="E125" s="1542"/>
      <c r="F125" s="2130"/>
      <c r="G125" s="2130"/>
      <c r="H125" s="2131"/>
      <c r="I125" s="1302">
        <v>5478000</v>
      </c>
      <c r="J125" s="2747">
        <v>20422962</v>
      </c>
      <c r="K125" s="1302">
        <v>0</v>
      </c>
      <c r="L125" s="1365">
        <f t="shared" ref="L125:O126" si="50">+K125</f>
        <v>0</v>
      </c>
      <c r="M125" s="1365">
        <f t="shared" si="50"/>
        <v>0</v>
      </c>
      <c r="N125" s="1365">
        <f t="shared" si="50"/>
        <v>0</v>
      </c>
      <c r="O125" s="1365">
        <f t="shared" si="50"/>
        <v>0</v>
      </c>
      <c r="P125" s="1365">
        <v>0</v>
      </c>
      <c r="Q125" s="3453"/>
      <c r="R125" s="532">
        <f>+L125-K125</f>
        <v>0</v>
      </c>
      <c r="S125" s="532">
        <f t="shared" ref="S125:U140" si="51">+M125-L125</f>
        <v>0</v>
      </c>
      <c r="T125" s="532">
        <f t="shared" si="51"/>
        <v>0</v>
      </c>
      <c r="U125" s="532">
        <f t="shared" si="51"/>
        <v>0</v>
      </c>
      <c r="V125" s="2168">
        <f>+N125-P125</f>
        <v>0</v>
      </c>
    </row>
    <row r="126" spans="1:22">
      <c r="A126" s="2099" t="s">
        <v>187</v>
      </c>
      <c r="B126" s="1817" t="s">
        <v>3611</v>
      </c>
      <c r="C126" s="2099"/>
      <c r="D126" s="2130"/>
      <c r="E126" s="1542"/>
      <c r="F126" s="2130"/>
      <c r="G126" s="2130"/>
      <c r="H126" s="2131"/>
      <c r="I126" s="1302">
        <v>13908461</v>
      </c>
      <c r="J126" s="2747">
        <v>14444898</v>
      </c>
      <c r="K126" s="1302">
        <v>0</v>
      </c>
      <c r="L126" s="1365">
        <f t="shared" si="50"/>
        <v>0</v>
      </c>
      <c r="M126" s="1365">
        <f t="shared" si="50"/>
        <v>0</v>
      </c>
      <c r="N126" s="1365">
        <f t="shared" si="50"/>
        <v>0</v>
      </c>
      <c r="O126" s="1365">
        <f t="shared" si="50"/>
        <v>0</v>
      </c>
      <c r="P126" s="1365">
        <v>0</v>
      </c>
      <c r="Q126" s="3453"/>
      <c r="R126" s="532">
        <f>+L126-K126</f>
        <v>0</v>
      </c>
      <c r="S126" s="532">
        <f t="shared" si="51"/>
        <v>0</v>
      </c>
      <c r="T126" s="532">
        <f t="shared" si="51"/>
        <v>0</v>
      </c>
      <c r="U126" s="532">
        <f t="shared" si="51"/>
        <v>0</v>
      </c>
      <c r="V126" s="2168">
        <f>+N126-P126</f>
        <v>0</v>
      </c>
    </row>
    <row r="127" spans="1:22">
      <c r="A127" s="1542"/>
      <c r="B127" s="1817"/>
      <c r="C127" s="2099"/>
      <c r="D127" s="2130"/>
      <c r="E127" s="1542"/>
      <c r="F127" s="2130"/>
      <c r="G127" s="2130"/>
      <c r="H127" s="2131"/>
      <c r="I127" s="1302"/>
      <c r="J127" s="2748"/>
      <c r="K127" s="1302"/>
      <c r="L127" s="1365"/>
      <c r="M127" s="1365"/>
      <c r="N127" s="1365"/>
      <c r="O127" s="1365">
        <f t="shared" ref="O127:O133" si="52">+N127</f>
        <v>0</v>
      </c>
      <c r="P127" s="1365"/>
      <c r="Q127" s="3453"/>
      <c r="R127" s="532">
        <f t="shared" ref="R127:R155" si="53">+L127-K127</f>
        <v>0</v>
      </c>
      <c r="S127" s="532"/>
      <c r="T127" s="532">
        <f t="shared" si="51"/>
        <v>0</v>
      </c>
      <c r="U127" s="532">
        <f t="shared" si="51"/>
        <v>0</v>
      </c>
      <c r="V127" s="2168"/>
    </row>
    <row r="128" spans="1:22">
      <c r="A128" s="1542" t="s">
        <v>14</v>
      </c>
      <c r="B128" s="1817" t="s">
        <v>3608</v>
      </c>
      <c r="C128" s="2099"/>
      <c r="D128" s="2130"/>
      <c r="E128" s="1542"/>
      <c r="F128" s="2130"/>
      <c r="G128" s="2130"/>
      <c r="H128" s="2131"/>
      <c r="I128" s="1302">
        <v>10626000</v>
      </c>
      <c r="J128" s="2747">
        <v>12008000</v>
      </c>
      <c r="K128" s="1302">
        <v>0</v>
      </c>
      <c r="L128" s="1365">
        <f t="shared" ref="L128:N129" si="54">+K128</f>
        <v>0</v>
      </c>
      <c r="M128" s="1365">
        <f t="shared" si="54"/>
        <v>0</v>
      </c>
      <c r="N128" s="1365">
        <f t="shared" si="54"/>
        <v>0</v>
      </c>
      <c r="O128" s="1365">
        <f t="shared" si="52"/>
        <v>0</v>
      </c>
      <c r="P128" s="1365">
        <v>0</v>
      </c>
      <c r="Q128" s="3453"/>
      <c r="R128" s="532">
        <f t="shared" si="53"/>
        <v>0</v>
      </c>
      <c r="S128" s="532">
        <f t="shared" si="51"/>
        <v>0</v>
      </c>
      <c r="T128" s="532">
        <f t="shared" si="51"/>
        <v>0</v>
      </c>
      <c r="U128" s="532">
        <f t="shared" si="51"/>
        <v>0</v>
      </c>
      <c r="V128" s="2168">
        <f>+N128-P128</f>
        <v>0</v>
      </c>
    </row>
    <row r="129" spans="1:22">
      <c r="A129" s="1542" t="s">
        <v>15</v>
      </c>
      <c r="B129" s="1817" t="s">
        <v>3609</v>
      </c>
      <c r="C129" s="2099"/>
      <c r="D129" s="2130"/>
      <c r="E129" s="1542"/>
      <c r="F129" s="2130"/>
      <c r="G129" s="2130"/>
      <c r="H129" s="2131"/>
      <c r="I129" s="1302">
        <v>1161600</v>
      </c>
      <c r="J129" s="2747">
        <v>912000</v>
      </c>
      <c r="K129" s="1302">
        <v>0</v>
      </c>
      <c r="L129" s="1365">
        <f t="shared" si="54"/>
        <v>0</v>
      </c>
      <c r="M129" s="1365">
        <f t="shared" si="54"/>
        <v>0</v>
      </c>
      <c r="N129" s="1365">
        <f t="shared" si="54"/>
        <v>0</v>
      </c>
      <c r="O129" s="1365">
        <f t="shared" si="52"/>
        <v>0</v>
      </c>
      <c r="P129" s="1365">
        <v>0</v>
      </c>
      <c r="Q129" s="3453"/>
      <c r="R129" s="532">
        <f t="shared" si="53"/>
        <v>0</v>
      </c>
      <c r="S129" s="532">
        <f t="shared" si="51"/>
        <v>0</v>
      </c>
      <c r="T129" s="532">
        <f t="shared" si="51"/>
        <v>0</v>
      </c>
      <c r="U129" s="532">
        <f t="shared" si="51"/>
        <v>0</v>
      </c>
      <c r="V129" s="2168">
        <f>+N129-P129</f>
        <v>0</v>
      </c>
    </row>
    <row r="130" spans="1:22">
      <c r="A130" s="1542"/>
      <c r="B130" s="1817"/>
      <c r="C130" s="2099"/>
      <c r="D130" s="2130"/>
      <c r="E130" s="1542"/>
      <c r="F130" s="2130"/>
      <c r="G130" s="2130"/>
      <c r="H130" s="2131"/>
      <c r="I130" s="1302"/>
      <c r="J130" s="2748"/>
      <c r="K130" s="1302"/>
      <c r="L130" s="1365"/>
      <c r="M130" s="1365"/>
      <c r="N130" s="1365"/>
      <c r="O130" s="1365">
        <f t="shared" si="52"/>
        <v>0</v>
      </c>
      <c r="P130" s="1365"/>
      <c r="Q130" s="3453"/>
      <c r="R130" s="532">
        <f t="shared" si="53"/>
        <v>0</v>
      </c>
      <c r="S130" s="532"/>
      <c r="T130" s="532">
        <f t="shared" si="51"/>
        <v>0</v>
      </c>
      <c r="U130" s="532">
        <f t="shared" si="51"/>
        <v>0</v>
      </c>
      <c r="V130" s="2168"/>
    </row>
    <row r="131" spans="1:22">
      <c r="A131" s="1542" t="s">
        <v>17</v>
      </c>
      <c r="B131" s="1817" t="s">
        <v>3610</v>
      </c>
      <c r="C131" s="2099"/>
      <c r="D131" s="2130"/>
      <c r="E131" s="1542"/>
      <c r="F131" s="2130"/>
      <c r="G131" s="2130"/>
      <c r="H131" s="2131"/>
      <c r="I131" s="1302">
        <v>1536000</v>
      </c>
      <c r="J131" s="2747">
        <v>2307138</v>
      </c>
      <c r="K131" s="1302">
        <v>0</v>
      </c>
      <c r="L131" s="1365">
        <f t="shared" ref="L131:N132" si="55">+K131</f>
        <v>0</v>
      </c>
      <c r="M131" s="1365">
        <f t="shared" si="55"/>
        <v>0</v>
      </c>
      <c r="N131" s="1365">
        <f t="shared" si="55"/>
        <v>0</v>
      </c>
      <c r="O131" s="1365">
        <f t="shared" si="52"/>
        <v>0</v>
      </c>
      <c r="P131" s="1365">
        <v>0</v>
      </c>
      <c r="Q131" s="3453"/>
      <c r="R131" s="532">
        <f t="shared" si="53"/>
        <v>0</v>
      </c>
      <c r="S131" s="532">
        <f t="shared" si="51"/>
        <v>0</v>
      </c>
      <c r="T131" s="532">
        <f t="shared" si="51"/>
        <v>0</v>
      </c>
      <c r="U131" s="532">
        <f t="shared" si="51"/>
        <v>0</v>
      </c>
      <c r="V131" s="2168">
        <f>+N131-P131</f>
        <v>0</v>
      </c>
    </row>
    <row r="132" spans="1:22">
      <c r="A132" s="1542" t="s">
        <v>19</v>
      </c>
      <c r="B132" s="1817" t="s">
        <v>3612</v>
      </c>
      <c r="C132" s="2099"/>
      <c r="D132" s="2130"/>
      <c r="E132" s="1542"/>
      <c r="F132" s="2130"/>
      <c r="G132" s="2130"/>
      <c r="H132" s="2131"/>
      <c r="I132" s="1302">
        <v>489571</v>
      </c>
      <c r="J132" s="2747">
        <v>343863</v>
      </c>
      <c r="K132" s="1302">
        <v>0</v>
      </c>
      <c r="L132" s="1365">
        <f t="shared" si="55"/>
        <v>0</v>
      </c>
      <c r="M132" s="1365">
        <f t="shared" si="55"/>
        <v>0</v>
      </c>
      <c r="N132" s="1365">
        <f t="shared" si="55"/>
        <v>0</v>
      </c>
      <c r="O132" s="1365">
        <f t="shared" si="52"/>
        <v>0</v>
      </c>
      <c r="P132" s="1365">
        <v>0</v>
      </c>
      <c r="Q132" s="3453"/>
      <c r="R132" s="532">
        <f t="shared" si="53"/>
        <v>0</v>
      </c>
      <c r="S132" s="532">
        <f t="shared" si="51"/>
        <v>0</v>
      </c>
      <c r="T132" s="532">
        <f t="shared" si="51"/>
        <v>0</v>
      </c>
      <c r="U132" s="532">
        <f t="shared" si="51"/>
        <v>0</v>
      </c>
      <c r="V132" s="2168">
        <f>+N132-P132</f>
        <v>0</v>
      </c>
    </row>
    <row r="133" spans="1:22">
      <c r="A133" s="1542"/>
      <c r="B133" s="1817"/>
      <c r="C133" s="2099"/>
      <c r="D133" s="2130"/>
      <c r="E133" s="1542"/>
      <c r="F133" s="2130"/>
      <c r="G133" s="2130"/>
      <c r="H133" s="2131"/>
      <c r="I133" s="1302"/>
      <c r="J133" s="2748"/>
      <c r="K133" s="1302"/>
      <c r="L133" s="1365"/>
      <c r="M133" s="1365"/>
      <c r="N133" s="1365"/>
      <c r="O133" s="1365">
        <f t="shared" si="52"/>
        <v>0</v>
      </c>
      <c r="P133" s="1365"/>
      <c r="Q133" s="3453"/>
      <c r="R133" s="532">
        <f t="shared" si="53"/>
        <v>0</v>
      </c>
      <c r="S133" s="532"/>
      <c r="T133" s="532">
        <f t="shared" si="51"/>
        <v>0</v>
      </c>
      <c r="U133" s="532">
        <f t="shared" si="51"/>
        <v>0</v>
      </c>
      <c r="V133" s="2168"/>
    </row>
    <row r="134" spans="1:22" ht="18.75">
      <c r="A134" s="1542" t="s">
        <v>21</v>
      </c>
      <c r="B134" s="1818" t="s">
        <v>3465</v>
      </c>
      <c r="C134" s="2099"/>
      <c r="D134" s="2130"/>
      <c r="E134" s="1542">
        <v>4</v>
      </c>
      <c r="F134" s="2130"/>
      <c r="G134" s="2130"/>
      <c r="H134" s="2131"/>
      <c r="I134" s="221">
        <f t="shared" ref="I134:P134" si="56">+I125+I126+I128+I129+I131+I132</f>
        <v>33199632</v>
      </c>
      <c r="J134" s="2605">
        <f t="shared" si="56"/>
        <v>50438861</v>
      </c>
      <c r="K134" s="221">
        <f t="shared" si="56"/>
        <v>0</v>
      </c>
      <c r="L134" s="221">
        <f t="shared" si="56"/>
        <v>0</v>
      </c>
      <c r="M134" s="221">
        <f t="shared" si="56"/>
        <v>0</v>
      </c>
      <c r="N134" s="221">
        <f t="shared" si="56"/>
        <v>0</v>
      </c>
      <c r="O134" s="1304">
        <f t="shared" si="56"/>
        <v>0</v>
      </c>
      <c r="P134" s="221">
        <f t="shared" si="56"/>
        <v>0</v>
      </c>
      <c r="Q134" s="3459"/>
      <c r="R134" s="532">
        <f t="shared" si="53"/>
        <v>0</v>
      </c>
      <c r="S134" s="532">
        <f t="shared" si="51"/>
        <v>0</v>
      </c>
      <c r="T134" s="532">
        <f t="shared" si="51"/>
        <v>0</v>
      </c>
      <c r="U134" s="532">
        <f t="shared" si="51"/>
        <v>0</v>
      </c>
      <c r="V134" s="2643">
        <f>+N134-P134</f>
        <v>0</v>
      </c>
    </row>
    <row r="135" spans="1:22">
      <c r="A135" s="1542"/>
      <c r="B135" s="3460"/>
      <c r="C135" s="2099"/>
      <c r="D135" s="2130"/>
      <c r="E135" s="1542"/>
      <c r="F135" s="2130"/>
      <c r="G135" s="2130"/>
      <c r="H135" s="2131"/>
      <c r="I135" s="1302"/>
      <c r="J135" s="2749"/>
      <c r="K135" s="1302"/>
      <c r="L135" s="1365"/>
      <c r="M135" s="1365"/>
      <c r="N135" s="1365"/>
      <c r="O135" s="1365"/>
      <c r="P135" s="1365"/>
      <c r="Q135" s="3453"/>
      <c r="R135" s="532">
        <f t="shared" si="53"/>
        <v>0</v>
      </c>
      <c r="S135" s="532"/>
      <c r="T135" s="532">
        <f t="shared" si="51"/>
        <v>0</v>
      </c>
      <c r="U135" s="532">
        <f t="shared" si="51"/>
        <v>0</v>
      </c>
      <c r="V135" s="2168"/>
    </row>
    <row r="136" spans="1:22" ht="25.5">
      <c r="A136" s="1542"/>
      <c r="B136" s="1816" t="s">
        <v>1410</v>
      </c>
      <c r="C136" s="2099"/>
      <c r="D136" s="2130"/>
      <c r="E136" s="1542"/>
      <c r="F136" s="2130"/>
      <c r="G136" s="2130"/>
      <c r="H136" s="2131"/>
      <c r="I136" s="1302"/>
      <c r="J136" s="2748"/>
      <c r="K136" s="1302"/>
      <c r="L136" s="1365"/>
      <c r="M136" s="1365"/>
      <c r="N136" s="1365"/>
      <c r="O136" s="1365"/>
      <c r="P136" s="1365"/>
      <c r="Q136" s="3453"/>
      <c r="R136" s="532">
        <f t="shared" si="53"/>
        <v>0</v>
      </c>
      <c r="S136" s="532"/>
      <c r="T136" s="532">
        <f t="shared" si="51"/>
        <v>0</v>
      </c>
      <c r="U136" s="532">
        <f t="shared" si="51"/>
        <v>0</v>
      </c>
      <c r="V136" s="2168"/>
    </row>
    <row r="137" spans="1:22">
      <c r="A137" s="1542"/>
      <c r="B137" s="1816"/>
      <c r="C137" s="2099"/>
      <c r="D137" s="2130"/>
      <c r="E137" s="1542"/>
      <c r="F137" s="2130"/>
      <c r="G137" s="2130"/>
      <c r="H137" s="2131"/>
      <c r="I137" s="1302"/>
      <c r="J137" s="2748"/>
      <c r="K137" s="1302"/>
      <c r="L137" s="1365"/>
      <c r="M137" s="1365"/>
      <c r="N137" s="1365"/>
      <c r="O137" s="1365"/>
      <c r="P137" s="1365"/>
      <c r="Q137" s="3453"/>
      <c r="R137" s="532">
        <f t="shared" si="53"/>
        <v>0</v>
      </c>
      <c r="S137" s="532"/>
      <c r="T137" s="532">
        <f t="shared" si="51"/>
        <v>0</v>
      </c>
      <c r="U137" s="532">
        <f t="shared" si="51"/>
        <v>0</v>
      </c>
      <c r="V137" s="2168"/>
    </row>
    <row r="138" spans="1:22">
      <c r="A138" s="1542" t="s">
        <v>23</v>
      </c>
      <c r="B138" s="1817" t="s">
        <v>3615</v>
      </c>
      <c r="C138" s="2099"/>
      <c r="D138" s="2130"/>
      <c r="E138" s="1542"/>
      <c r="F138" s="2130"/>
      <c r="G138" s="2130"/>
      <c r="H138" s="2131"/>
      <c r="I138" s="1302">
        <v>2093520</v>
      </c>
      <c r="J138" s="2747">
        <v>4046921</v>
      </c>
      <c r="K138" s="1302">
        <v>0</v>
      </c>
      <c r="L138" s="1365">
        <f>+K138</f>
        <v>0</v>
      </c>
      <c r="M138" s="1365">
        <f>+L138</f>
        <v>0</v>
      </c>
      <c r="N138" s="1365">
        <f t="shared" ref="N138:O142" si="57">+M138</f>
        <v>0</v>
      </c>
      <c r="O138" s="1365">
        <f t="shared" si="57"/>
        <v>0</v>
      </c>
      <c r="P138" s="1365">
        <v>0</v>
      </c>
      <c r="Q138" s="3453"/>
      <c r="R138" s="532">
        <f t="shared" si="53"/>
        <v>0</v>
      </c>
      <c r="S138" s="532">
        <f t="shared" si="51"/>
        <v>0</v>
      </c>
      <c r="T138" s="532">
        <f t="shared" si="51"/>
        <v>0</v>
      </c>
      <c r="U138" s="532">
        <f t="shared" si="51"/>
        <v>0</v>
      </c>
      <c r="V138" s="2168">
        <f>+N138-P138</f>
        <v>0</v>
      </c>
    </row>
    <row r="139" spans="1:22">
      <c r="A139" s="1542" t="s">
        <v>25</v>
      </c>
      <c r="B139" s="1817" t="s">
        <v>3616</v>
      </c>
      <c r="C139" s="2099"/>
      <c r="D139" s="2130"/>
      <c r="E139" s="1542"/>
      <c r="F139" s="2130"/>
      <c r="G139" s="2130"/>
      <c r="H139" s="2131"/>
      <c r="I139" s="1302">
        <v>1909111</v>
      </c>
      <c r="J139" s="2747">
        <v>1962727</v>
      </c>
      <c r="K139" s="1302">
        <v>0</v>
      </c>
      <c r="L139" s="1365">
        <f>+K139</f>
        <v>0</v>
      </c>
      <c r="M139" s="1365">
        <f>+L139</f>
        <v>0</v>
      </c>
      <c r="N139" s="1365">
        <f t="shared" si="57"/>
        <v>0</v>
      </c>
      <c r="O139" s="1365">
        <f t="shared" si="57"/>
        <v>0</v>
      </c>
      <c r="P139" s="1365">
        <v>0</v>
      </c>
      <c r="Q139" s="3453"/>
      <c r="R139" s="532">
        <f t="shared" si="53"/>
        <v>0</v>
      </c>
      <c r="S139" s="532">
        <f t="shared" si="51"/>
        <v>0</v>
      </c>
      <c r="T139" s="532">
        <f t="shared" si="51"/>
        <v>0</v>
      </c>
      <c r="U139" s="532">
        <f t="shared" si="51"/>
        <v>0</v>
      </c>
      <c r="V139" s="2168">
        <f>+N139-P139</f>
        <v>0</v>
      </c>
    </row>
    <row r="140" spans="1:22">
      <c r="A140" s="1542"/>
      <c r="B140" s="1817"/>
      <c r="C140" s="2099"/>
      <c r="D140" s="2130"/>
      <c r="E140" s="1542"/>
      <c r="F140" s="2130"/>
      <c r="G140" s="2130"/>
      <c r="H140" s="2131"/>
      <c r="I140" s="1302"/>
      <c r="J140" s="2748"/>
      <c r="K140" s="1302"/>
      <c r="L140" s="1365"/>
      <c r="M140" s="1365"/>
      <c r="N140" s="1365"/>
      <c r="O140" s="1365">
        <f t="shared" si="57"/>
        <v>0</v>
      </c>
      <c r="P140" s="1365"/>
      <c r="Q140" s="3453"/>
      <c r="R140" s="532">
        <f t="shared" si="53"/>
        <v>0</v>
      </c>
      <c r="S140" s="532"/>
      <c r="T140" s="532">
        <f t="shared" si="51"/>
        <v>0</v>
      </c>
      <c r="U140" s="532">
        <f t="shared" si="51"/>
        <v>0</v>
      </c>
      <c r="V140" s="2168"/>
    </row>
    <row r="141" spans="1:22">
      <c r="A141" s="1542" t="s">
        <v>27</v>
      </c>
      <c r="B141" s="1817" t="s">
        <v>3613</v>
      </c>
      <c r="C141" s="2099"/>
      <c r="D141" s="2130"/>
      <c r="E141" s="1542"/>
      <c r="F141" s="2130"/>
      <c r="G141" s="2130"/>
      <c r="H141" s="2131"/>
      <c r="I141" s="1302">
        <v>507494</v>
      </c>
      <c r="J141" s="2747">
        <v>762279</v>
      </c>
      <c r="K141" s="1302">
        <v>0</v>
      </c>
      <c r="L141" s="1365">
        <f>+K141</f>
        <v>0</v>
      </c>
      <c r="M141" s="1365">
        <f>+L141</f>
        <v>0</v>
      </c>
      <c r="N141" s="1365">
        <f t="shared" si="57"/>
        <v>0</v>
      </c>
      <c r="O141" s="1365">
        <f t="shared" si="57"/>
        <v>0</v>
      </c>
      <c r="P141" s="1365">
        <v>0</v>
      </c>
      <c r="Q141" s="3453"/>
      <c r="R141" s="532">
        <f t="shared" si="53"/>
        <v>0</v>
      </c>
      <c r="S141" s="532">
        <f t="shared" ref="S141:S155" si="58">+M141-L141</f>
        <v>0</v>
      </c>
      <c r="T141" s="532">
        <f t="shared" ref="T141:T155" si="59">+N141-M141</f>
        <v>0</v>
      </c>
      <c r="U141" s="532">
        <f t="shared" ref="U141:U155" si="60">+O141-N141</f>
        <v>0</v>
      </c>
      <c r="V141" s="2168">
        <f>+N141-P141</f>
        <v>0</v>
      </c>
    </row>
    <row r="142" spans="1:22">
      <c r="A142" s="1542" t="s">
        <v>29</v>
      </c>
      <c r="B142" s="1817" t="s">
        <v>3614</v>
      </c>
      <c r="C142" s="2099"/>
      <c r="D142" s="2130"/>
      <c r="E142" s="1542"/>
      <c r="F142" s="2130"/>
      <c r="G142" s="2130"/>
      <c r="H142" s="2131"/>
      <c r="I142" s="1303">
        <v>201946</v>
      </c>
      <c r="J142" s="2747">
        <v>113613</v>
      </c>
      <c r="K142" s="1303">
        <v>0</v>
      </c>
      <c r="L142" s="1365">
        <f>+K142</f>
        <v>0</v>
      </c>
      <c r="M142" s="1365">
        <f>+L142</f>
        <v>0</v>
      </c>
      <c r="N142" s="1365">
        <f t="shared" si="57"/>
        <v>0</v>
      </c>
      <c r="O142" s="1365">
        <f t="shared" si="57"/>
        <v>0</v>
      </c>
      <c r="P142" s="1365">
        <v>0</v>
      </c>
      <c r="Q142" s="3453"/>
      <c r="R142" s="532">
        <f t="shared" si="53"/>
        <v>0</v>
      </c>
      <c r="S142" s="532">
        <f t="shared" si="58"/>
        <v>0</v>
      </c>
      <c r="T142" s="532">
        <f t="shared" si="59"/>
        <v>0</v>
      </c>
      <c r="U142" s="532">
        <f t="shared" si="60"/>
        <v>0</v>
      </c>
      <c r="V142" s="2168">
        <f>+N142-P142</f>
        <v>0</v>
      </c>
    </row>
    <row r="143" spans="1:22">
      <c r="A143" s="1542"/>
      <c r="B143" s="1817"/>
      <c r="C143" s="2099"/>
      <c r="D143" s="2130"/>
      <c r="E143" s="1542"/>
      <c r="F143" s="2130"/>
      <c r="G143" s="2130"/>
      <c r="H143" s="2131"/>
      <c r="I143" s="1303"/>
      <c r="J143" s="2748"/>
      <c r="K143" s="1303"/>
      <c r="L143" s="1365"/>
      <c r="M143" s="1365"/>
      <c r="N143" s="1365"/>
      <c r="O143" s="1365"/>
      <c r="P143" s="1365"/>
      <c r="Q143" s="3453"/>
      <c r="R143" s="532">
        <f t="shared" si="53"/>
        <v>0</v>
      </c>
      <c r="S143" s="532"/>
      <c r="T143" s="532">
        <f t="shared" si="59"/>
        <v>0</v>
      </c>
      <c r="U143" s="532">
        <f t="shared" si="60"/>
        <v>0</v>
      </c>
      <c r="V143" s="2168"/>
    </row>
    <row r="144" spans="1:22" ht="25.5">
      <c r="A144" s="1542" t="s">
        <v>31</v>
      </c>
      <c r="B144" s="1818" t="s">
        <v>3213</v>
      </c>
      <c r="C144" s="2099"/>
      <c r="D144" s="2130"/>
      <c r="E144" s="1542">
        <v>4</v>
      </c>
      <c r="F144" s="2130"/>
      <c r="G144" s="2130"/>
      <c r="H144" s="2131"/>
      <c r="I144" s="221">
        <f t="shared" ref="I144:P144" si="61">+I138+I139+I141+I142</f>
        <v>4712071</v>
      </c>
      <c r="J144" s="2605">
        <f t="shared" si="61"/>
        <v>6885540</v>
      </c>
      <c r="K144" s="221">
        <f t="shared" si="61"/>
        <v>0</v>
      </c>
      <c r="L144" s="221">
        <f t="shared" si="61"/>
        <v>0</v>
      </c>
      <c r="M144" s="221">
        <f t="shared" si="61"/>
        <v>0</v>
      </c>
      <c r="N144" s="221">
        <f t="shared" si="61"/>
        <v>0</v>
      </c>
      <c r="O144" s="1304">
        <f t="shared" si="61"/>
        <v>0</v>
      </c>
      <c r="P144" s="221">
        <f t="shared" si="61"/>
        <v>0</v>
      </c>
      <c r="Q144" s="3453"/>
      <c r="R144" s="532">
        <f t="shared" si="53"/>
        <v>0</v>
      </c>
      <c r="S144" s="532">
        <f t="shared" si="58"/>
        <v>0</v>
      </c>
      <c r="T144" s="532">
        <f t="shared" si="59"/>
        <v>0</v>
      </c>
      <c r="U144" s="532">
        <f t="shared" si="60"/>
        <v>0</v>
      </c>
      <c r="V144" s="2643">
        <f>+N144-P144</f>
        <v>0</v>
      </c>
    </row>
    <row r="145" spans="1:22">
      <c r="A145" s="1542"/>
      <c r="B145" s="1817"/>
      <c r="C145" s="2099"/>
      <c r="D145" s="2130"/>
      <c r="E145" s="1542"/>
      <c r="F145" s="2130"/>
      <c r="G145" s="2130"/>
      <c r="H145" s="2131"/>
      <c r="I145" s="1303"/>
      <c r="J145" s="2748"/>
      <c r="K145" s="1303"/>
      <c r="L145" s="1365"/>
      <c r="M145" s="1365"/>
      <c r="N145" s="1365"/>
      <c r="O145" s="1365"/>
      <c r="P145" s="1365"/>
      <c r="Q145" s="3453"/>
      <c r="R145" s="532">
        <f t="shared" si="53"/>
        <v>0</v>
      </c>
      <c r="S145" s="532"/>
      <c r="T145" s="532">
        <f t="shared" si="59"/>
        <v>0</v>
      </c>
      <c r="U145" s="532">
        <f t="shared" si="60"/>
        <v>0</v>
      </c>
      <c r="V145" s="2168"/>
    </row>
    <row r="146" spans="1:22">
      <c r="A146" s="1542"/>
      <c r="B146" s="1816" t="s">
        <v>1436</v>
      </c>
      <c r="C146" s="2099"/>
      <c r="D146" s="2130"/>
      <c r="E146" s="1542"/>
      <c r="F146" s="2130"/>
      <c r="G146" s="2130"/>
      <c r="H146" s="2131"/>
      <c r="I146" s="1303"/>
      <c r="J146" s="2748"/>
      <c r="K146" s="1303"/>
      <c r="L146" s="1365"/>
      <c r="M146" s="1365"/>
      <c r="N146" s="1365"/>
      <c r="O146" s="1365"/>
      <c r="P146" s="1365"/>
      <c r="Q146" s="3453"/>
      <c r="R146" s="532">
        <f t="shared" si="53"/>
        <v>0</v>
      </c>
      <c r="S146" s="532"/>
      <c r="T146" s="532">
        <f t="shared" si="59"/>
        <v>0</v>
      </c>
      <c r="U146" s="532">
        <f t="shared" si="60"/>
        <v>0</v>
      </c>
      <c r="V146" s="2168"/>
    </row>
    <row r="147" spans="1:22">
      <c r="A147" s="1542"/>
      <c r="B147" s="1816"/>
      <c r="C147" s="2099"/>
      <c r="D147" s="2130"/>
      <c r="E147" s="1542"/>
      <c r="F147" s="2130"/>
      <c r="G147" s="2130"/>
      <c r="H147" s="2131"/>
      <c r="I147" s="1303"/>
      <c r="J147" s="2748"/>
      <c r="K147" s="1303"/>
      <c r="L147" s="1365"/>
      <c r="M147" s="1365"/>
      <c r="N147" s="1365"/>
      <c r="O147" s="1365"/>
      <c r="P147" s="1365"/>
      <c r="Q147" s="3453"/>
      <c r="R147" s="532">
        <f t="shared" si="53"/>
        <v>0</v>
      </c>
      <c r="S147" s="532"/>
      <c r="T147" s="532">
        <f t="shared" si="59"/>
        <v>0</v>
      </c>
      <c r="U147" s="532">
        <f t="shared" si="60"/>
        <v>0</v>
      </c>
      <c r="V147" s="2168"/>
    </row>
    <row r="148" spans="1:22">
      <c r="A148" s="1542" t="s">
        <v>33</v>
      </c>
      <c r="B148" s="1817" t="s">
        <v>3617</v>
      </c>
      <c r="C148" s="2099"/>
      <c r="D148" s="2130"/>
      <c r="E148" s="1542">
        <v>4</v>
      </c>
      <c r="F148" s="2130"/>
      <c r="G148" s="2130"/>
      <c r="H148" s="2131"/>
      <c r="I148" s="1701">
        <v>4532000</v>
      </c>
      <c r="J148" s="2576">
        <v>4611852</v>
      </c>
      <c r="K148" s="1701">
        <v>0</v>
      </c>
      <c r="L148" s="1701">
        <f t="shared" ref="L148:O149" si="62">+K148</f>
        <v>0</v>
      </c>
      <c r="M148" s="1701">
        <f t="shared" si="62"/>
        <v>0</v>
      </c>
      <c r="N148" s="1701">
        <f t="shared" si="62"/>
        <v>0</v>
      </c>
      <c r="O148" s="1701">
        <f t="shared" si="62"/>
        <v>0</v>
      </c>
      <c r="P148" s="1701">
        <v>0</v>
      </c>
      <c r="Q148" s="3459"/>
      <c r="R148" s="2914">
        <f t="shared" si="53"/>
        <v>0</v>
      </c>
      <c r="S148" s="2914">
        <f t="shared" si="58"/>
        <v>0</v>
      </c>
      <c r="T148" s="2914">
        <f t="shared" si="59"/>
        <v>0</v>
      </c>
      <c r="U148" s="2914">
        <f t="shared" si="60"/>
        <v>0</v>
      </c>
      <c r="V148" s="2617">
        <f>+N148-P148</f>
        <v>0</v>
      </c>
    </row>
    <row r="149" spans="1:22">
      <c r="A149" s="1542" t="s">
        <v>35</v>
      </c>
      <c r="B149" s="1817" t="s">
        <v>3619</v>
      </c>
      <c r="C149" s="2099"/>
      <c r="D149" s="2130"/>
      <c r="E149" s="1542">
        <v>4</v>
      </c>
      <c r="F149" s="2130"/>
      <c r="G149" s="2130"/>
      <c r="H149" s="2131"/>
      <c r="I149" s="1701">
        <v>416329</v>
      </c>
      <c r="J149" s="2576">
        <v>309917</v>
      </c>
      <c r="K149" s="1701">
        <v>0</v>
      </c>
      <c r="L149" s="1701">
        <f t="shared" si="62"/>
        <v>0</v>
      </c>
      <c r="M149" s="1701">
        <f t="shared" si="62"/>
        <v>0</v>
      </c>
      <c r="N149" s="1701">
        <f t="shared" si="62"/>
        <v>0</v>
      </c>
      <c r="O149" s="1701">
        <f t="shared" si="62"/>
        <v>0</v>
      </c>
      <c r="P149" s="1701">
        <v>0</v>
      </c>
      <c r="Q149" s="3459"/>
      <c r="R149" s="2914">
        <f t="shared" si="53"/>
        <v>0</v>
      </c>
      <c r="S149" s="2914">
        <f t="shared" si="58"/>
        <v>0</v>
      </c>
      <c r="T149" s="2914">
        <f t="shared" si="59"/>
        <v>0</v>
      </c>
      <c r="U149" s="2914">
        <f t="shared" si="60"/>
        <v>0</v>
      </c>
      <c r="V149" s="2617">
        <f>+N149-P149</f>
        <v>0</v>
      </c>
    </row>
    <row r="150" spans="1:22">
      <c r="A150" s="1542"/>
      <c r="B150" s="1817"/>
      <c r="C150" s="2099"/>
      <c r="D150" s="2130"/>
      <c r="E150" s="1542"/>
      <c r="F150" s="2130"/>
      <c r="G150" s="2130"/>
      <c r="H150" s="2131"/>
      <c r="I150" s="1304"/>
      <c r="J150" s="1304"/>
      <c r="K150" s="1304"/>
      <c r="L150" s="1365"/>
      <c r="M150" s="1365"/>
      <c r="N150" s="1365"/>
      <c r="O150" s="1365"/>
      <c r="P150" s="1365"/>
      <c r="Q150" s="3453"/>
      <c r="R150" s="532">
        <f t="shared" si="53"/>
        <v>0</v>
      </c>
      <c r="S150" s="532"/>
      <c r="T150" s="532">
        <f t="shared" si="59"/>
        <v>0</v>
      </c>
      <c r="U150" s="532">
        <f t="shared" si="60"/>
        <v>0</v>
      </c>
      <c r="V150" s="2168"/>
    </row>
    <row r="151" spans="1:22" ht="15.75" customHeight="1">
      <c r="A151" s="3650" t="s">
        <v>3618</v>
      </c>
      <c r="B151" s="3650"/>
      <c r="C151" s="3650"/>
      <c r="D151" s="3650"/>
      <c r="E151" s="3650"/>
      <c r="F151" s="3650"/>
      <c r="G151" s="3650"/>
      <c r="H151" s="3650"/>
      <c r="I151" s="3650"/>
      <c r="J151" s="3650"/>
      <c r="K151" s="3650"/>
      <c r="L151" s="3650"/>
      <c r="M151" s="3650"/>
      <c r="N151" s="3650"/>
      <c r="O151" s="3650"/>
      <c r="P151" s="3650"/>
      <c r="Q151" s="3650"/>
      <c r="R151" s="3650"/>
      <c r="S151" s="3650"/>
      <c r="T151" s="3650"/>
      <c r="U151" s="3650"/>
      <c r="V151" s="172"/>
    </row>
    <row r="152" spans="1:22">
      <c r="A152" s="1542" t="s">
        <v>37</v>
      </c>
      <c r="B152" s="1306" t="s">
        <v>3466</v>
      </c>
      <c r="C152" s="2099"/>
      <c r="D152" s="2130"/>
      <c r="E152" s="1542">
        <v>4</v>
      </c>
      <c r="F152" s="2130"/>
      <c r="G152" s="2130"/>
      <c r="H152" s="2131"/>
      <c r="I152" s="1305">
        <f>+I125+I128+I131+I138+I141+I148</f>
        <v>24773014</v>
      </c>
      <c r="J152" s="2750">
        <f>+J125+J128+J131+J138+J141+J148</f>
        <v>44159152</v>
      </c>
      <c r="K152" s="1305">
        <f t="shared" ref="K152:N153" si="63">+K125+K128+K131+K138+K141+K148</f>
        <v>0</v>
      </c>
      <c r="L152" s="1305">
        <f t="shared" si="63"/>
        <v>0</v>
      </c>
      <c r="M152" s="1305">
        <f t="shared" si="63"/>
        <v>0</v>
      </c>
      <c r="N152" s="1305">
        <f t="shared" si="63"/>
        <v>0</v>
      </c>
      <c r="O152" s="1305">
        <f>+O125+O128+O131+O138+O141+O148</f>
        <v>0</v>
      </c>
      <c r="P152" s="1305">
        <f>+P125+P128+P131+P138+P141+P148</f>
        <v>0</v>
      </c>
      <c r="Q152" s="3459"/>
      <c r="R152" s="532">
        <f t="shared" si="53"/>
        <v>0</v>
      </c>
      <c r="S152" s="2914">
        <f t="shared" si="58"/>
        <v>0</v>
      </c>
      <c r="T152" s="532">
        <f t="shared" si="59"/>
        <v>0</v>
      </c>
      <c r="U152" s="532">
        <f t="shared" si="60"/>
        <v>0</v>
      </c>
      <c r="V152" s="2644">
        <f>+N152-P152</f>
        <v>0</v>
      </c>
    </row>
    <row r="153" spans="1:22">
      <c r="A153" s="1542" t="s">
        <v>39</v>
      </c>
      <c r="B153" s="1306" t="s">
        <v>3467</v>
      </c>
      <c r="C153" s="2099"/>
      <c r="D153" s="2130"/>
      <c r="E153" s="1542">
        <v>4</v>
      </c>
      <c r="F153" s="2130"/>
      <c r="G153" s="2130"/>
      <c r="H153" s="2131"/>
      <c r="I153" s="1305">
        <f>+I126+I129+I132+I139+I142+I149</f>
        <v>18087018</v>
      </c>
      <c r="J153" s="2750">
        <f>+J126+J129+J132+J139+J142+J149</f>
        <v>18087018</v>
      </c>
      <c r="K153" s="1305">
        <f t="shared" si="63"/>
        <v>0</v>
      </c>
      <c r="L153" s="1305">
        <f t="shared" si="63"/>
        <v>0</v>
      </c>
      <c r="M153" s="1305">
        <f t="shared" si="63"/>
        <v>0</v>
      </c>
      <c r="N153" s="1305">
        <f t="shared" si="63"/>
        <v>0</v>
      </c>
      <c r="O153" s="1305">
        <f>+O126+O129+O132+O139+O142+O149</f>
        <v>0</v>
      </c>
      <c r="P153" s="1305">
        <f>+P126+P129+P132+P139+P142+P149</f>
        <v>0</v>
      </c>
      <c r="Q153" s="3459"/>
      <c r="R153" s="532">
        <f t="shared" si="53"/>
        <v>0</v>
      </c>
      <c r="S153" s="532">
        <f t="shared" si="58"/>
        <v>0</v>
      </c>
      <c r="T153" s="532">
        <f t="shared" si="59"/>
        <v>0</v>
      </c>
      <c r="U153" s="532">
        <f t="shared" si="60"/>
        <v>0</v>
      </c>
      <c r="V153" s="2644">
        <f>+N153-P153</f>
        <v>0</v>
      </c>
    </row>
    <row r="154" spans="1:22">
      <c r="A154" s="1542"/>
      <c r="B154" s="1306"/>
      <c r="C154" s="2099"/>
      <c r="D154" s="2130"/>
      <c r="E154" s="1542"/>
      <c r="F154" s="2130"/>
      <c r="G154" s="2130"/>
      <c r="H154" s="2131"/>
      <c r="I154" s="1304"/>
      <c r="J154" s="2749"/>
      <c r="K154" s="1304"/>
      <c r="L154" s="1304"/>
      <c r="M154" s="1304"/>
      <c r="N154" s="1304"/>
      <c r="O154" s="1304"/>
      <c r="P154" s="1304"/>
      <c r="Q154" s="3459"/>
      <c r="R154" s="532">
        <f t="shared" si="53"/>
        <v>0</v>
      </c>
      <c r="S154" s="532"/>
      <c r="T154" s="532">
        <f t="shared" si="59"/>
        <v>0</v>
      </c>
      <c r="U154" s="532">
        <f t="shared" si="60"/>
        <v>0</v>
      </c>
      <c r="V154" s="2643"/>
    </row>
    <row r="155" spans="1:22" ht="18.75">
      <c r="A155" s="1542" t="s">
        <v>41</v>
      </c>
      <c r="B155" s="1306" t="s">
        <v>3216</v>
      </c>
      <c r="C155" s="2099"/>
      <c r="D155" s="2130"/>
      <c r="E155" s="1542"/>
      <c r="F155" s="2130"/>
      <c r="G155" s="2130"/>
      <c r="H155" s="2131"/>
      <c r="I155" s="221">
        <f>+I134+I144+I148+I149</f>
        <v>42860032</v>
      </c>
      <c r="J155" s="2605">
        <f>+J134+J144+J148+J149</f>
        <v>62246170</v>
      </c>
      <c r="K155" s="221">
        <f t="shared" ref="K155:P155" si="64">+K134+K144+K148+K149</f>
        <v>0</v>
      </c>
      <c r="L155" s="221">
        <f t="shared" si="64"/>
        <v>0</v>
      </c>
      <c r="M155" s="221">
        <f t="shared" si="64"/>
        <v>0</v>
      </c>
      <c r="N155" s="221">
        <f t="shared" si="64"/>
        <v>0</v>
      </c>
      <c r="O155" s="1305">
        <f t="shared" si="64"/>
        <v>0</v>
      </c>
      <c r="P155" s="221">
        <f t="shared" si="64"/>
        <v>0</v>
      </c>
      <c r="Q155" s="3459"/>
      <c r="R155" s="532">
        <f t="shared" si="53"/>
        <v>0</v>
      </c>
      <c r="S155" s="2914">
        <f t="shared" si="58"/>
        <v>0</v>
      </c>
      <c r="T155" s="532">
        <f t="shared" si="59"/>
        <v>0</v>
      </c>
      <c r="U155" s="532">
        <f t="shared" si="60"/>
        <v>0</v>
      </c>
      <c r="V155" s="2644">
        <f>+N155-P155</f>
        <v>0</v>
      </c>
    </row>
    <row r="156" spans="1:22" ht="26.25" hidden="1" customHeight="1">
      <c r="A156" s="3650" t="s">
        <v>3271</v>
      </c>
      <c r="B156" s="3650"/>
      <c r="C156" s="3650"/>
      <c r="D156" s="3650"/>
      <c r="E156" s="3650"/>
      <c r="F156" s="3650"/>
      <c r="G156" s="3650"/>
      <c r="H156" s="3650"/>
      <c r="I156" s="3650"/>
      <c r="J156" s="3650"/>
      <c r="K156" s="3650"/>
      <c r="L156" s="3650"/>
      <c r="M156" s="3650"/>
      <c r="N156" s="3650"/>
      <c r="O156" s="3650"/>
      <c r="P156" s="3650"/>
      <c r="Q156" s="3650"/>
      <c r="R156" s="3651"/>
      <c r="S156" s="3651"/>
      <c r="T156" s="3651"/>
      <c r="U156" s="3651"/>
    </row>
    <row r="157" spans="1:22" ht="34.5" hidden="1" customHeight="1">
      <c r="A157" s="3650" t="s">
        <v>3289</v>
      </c>
      <c r="B157" s="3650" t="s">
        <v>3258</v>
      </c>
      <c r="C157" s="3650"/>
      <c r="D157" s="3650"/>
      <c r="E157" s="3650"/>
      <c r="F157" s="3650"/>
      <c r="G157" s="3650"/>
      <c r="H157" s="3650"/>
      <c r="I157" s="3650"/>
      <c r="J157" s="3650"/>
      <c r="K157" s="3650"/>
      <c r="L157" s="3650"/>
      <c r="M157" s="3650"/>
      <c r="N157" s="3650"/>
      <c r="O157" s="3650"/>
      <c r="P157" s="3650"/>
      <c r="Q157" s="3650"/>
      <c r="R157" s="3651"/>
      <c r="S157" s="3651"/>
      <c r="T157" s="3651"/>
      <c r="U157" s="3651"/>
    </row>
    <row r="158" spans="1:22" ht="15.75" hidden="1">
      <c r="A158" s="2763"/>
      <c r="B158" s="2763"/>
      <c r="C158" s="2763"/>
      <c r="D158" s="2763"/>
      <c r="E158" s="2763"/>
      <c r="F158" s="2763"/>
      <c r="G158" s="2763"/>
      <c r="H158" s="2763"/>
      <c r="I158" s="178" t="s">
        <v>3301</v>
      </c>
      <c r="J158" s="177"/>
      <c r="K158" s="178" t="s">
        <v>3299</v>
      </c>
      <c r="L158" s="2763"/>
      <c r="M158" s="2763"/>
      <c r="N158" s="2763"/>
      <c r="O158" s="2763"/>
      <c r="P158" s="2763"/>
      <c r="Q158" s="2763"/>
      <c r="R158" s="1346"/>
      <c r="S158" s="1346"/>
      <c r="T158" s="1346"/>
      <c r="U158" s="1346"/>
    </row>
    <row r="159" spans="1:22" ht="54.75" hidden="1" customHeight="1">
      <c r="A159" s="3461" t="str">
        <f>+A122</f>
        <v>1.</v>
      </c>
      <c r="B159" s="1540" t="str">
        <f>+B122</f>
        <v>Előirányzat megnevezése                                                                                             
ÖNKORMÁNYZATI KÉPVISELŐK VÁLASZTÁSA, NEMZETISÉGI ÖNKORMÁNYZATI KÉPVISELŐK VÁLASZTÁSA ÉS EURÓPAI PARLAMENTI KÉPVISELŐK VÁLASZTÁSA KIADÁSAINAK TERVEZÉSE</v>
      </c>
      <c r="C159" s="2099"/>
      <c r="D159" s="2130"/>
      <c r="E159" s="1542"/>
      <c r="F159" s="2130"/>
      <c r="G159" s="2130"/>
      <c r="H159" s="2131"/>
      <c r="I159" s="1341" t="str">
        <f>+I4</f>
        <v>2024. évi eredeti előirányzat
forintban</v>
      </c>
      <c r="J159" s="1361" t="str">
        <f>+J4</f>
        <v>2024. évi teljesítés forintban</v>
      </c>
      <c r="K159" s="1341" t="str">
        <f t="shared" ref="K159:U159" si="65">+K122</f>
        <v>2025. évi eredeti előirányzat forintban</v>
      </c>
      <c r="L159" s="1341" t="str">
        <f t="shared" si="65"/>
        <v>2025. évi I. számú módosított előirányzat
forintban</v>
      </c>
      <c r="M159" s="1341" t="str">
        <f t="shared" si="65"/>
        <v>2025. évi II. számú módosított előirányzat forintban</v>
      </c>
      <c r="N159" s="1341" t="str">
        <f t="shared" si="65"/>
        <v>2025. évi III. számú módosított előirányzat forintban</v>
      </c>
      <c r="O159" s="1341" t="str">
        <f t="shared" si="65"/>
        <v>2025. évi IV. számú módosított előirányzat forintban</v>
      </c>
      <c r="P159" s="1341" t="str">
        <f t="shared" si="65"/>
        <v>2025. évi
teljesítés forintban</v>
      </c>
      <c r="Q159" s="1341" t="str">
        <f t="shared" si="65"/>
        <v xml:space="preserve"> 2025. évi teljesítés / 2025. évi III. számú módosított előirányzat</v>
      </c>
      <c r="R159" s="1341" t="str">
        <f t="shared" si="65"/>
        <v>Változás I. módosításnál</v>
      </c>
      <c r="S159" s="1341" t="str">
        <f t="shared" si="65"/>
        <v>Előirányzat-módosítások, előirányzat-átcsoportosítások összegszerű változásai</v>
      </c>
      <c r="T159" s="1341" t="str">
        <f t="shared" si="65"/>
        <v>Előirányzat-módosítások, előirányzat-átcsoportosítások összegszerű változásai a III. módosításnál</v>
      </c>
      <c r="U159" s="1341" t="str">
        <f t="shared" si="65"/>
        <v>Változás IV. módosításnál</v>
      </c>
    </row>
    <row r="160" spans="1:22" ht="21.75" hidden="1" customHeight="1">
      <c r="A160" s="1423"/>
      <c r="B160" s="1301" t="s">
        <v>1335</v>
      </c>
      <c r="C160" s="2099"/>
      <c r="D160" s="2130"/>
      <c r="E160" s="1542"/>
      <c r="F160" s="2130"/>
      <c r="G160" s="2130"/>
      <c r="H160" s="2131"/>
      <c r="I160" s="1365"/>
      <c r="J160" s="1365"/>
      <c r="K160" s="1365"/>
      <c r="L160" s="1365"/>
      <c r="M160" s="1365"/>
      <c r="N160" s="1365"/>
      <c r="O160" s="1365"/>
      <c r="P160" s="1365"/>
      <c r="Q160" s="2409"/>
      <c r="R160" s="1365"/>
      <c r="S160" s="1365"/>
      <c r="T160" s="1365"/>
      <c r="U160" s="1365"/>
    </row>
    <row r="161" spans="1:21" hidden="1">
      <c r="A161" s="1423"/>
      <c r="B161" s="1301"/>
      <c r="C161" s="2099"/>
      <c r="D161" s="2130"/>
      <c r="E161" s="1542"/>
      <c r="F161" s="2130"/>
      <c r="G161" s="2130"/>
      <c r="H161" s="2131"/>
      <c r="I161" s="1365"/>
      <c r="J161" s="1365"/>
      <c r="K161" s="1365"/>
      <c r="L161" s="1365"/>
      <c r="M161" s="1365"/>
      <c r="N161" s="1365"/>
      <c r="O161" s="1365"/>
      <c r="P161" s="1365"/>
      <c r="Q161" s="2409"/>
      <c r="R161" s="1365"/>
      <c r="S161" s="1365"/>
      <c r="T161" s="1365"/>
      <c r="U161" s="1365"/>
    </row>
    <row r="162" spans="1:21" hidden="1">
      <c r="A162" s="1542" t="s">
        <v>6</v>
      </c>
      <c r="B162" s="1343" t="s">
        <v>3259</v>
      </c>
      <c r="C162" s="2099"/>
      <c r="D162" s="2130"/>
      <c r="E162" s="1542"/>
      <c r="F162" s="2130"/>
      <c r="G162" s="2130"/>
      <c r="H162" s="2131"/>
      <c r="I162" s="1365">
        <v>0</v>
      </c>
      <c r="J162" s="1365"/>
      <c r="K162" s="1365">
        <v>0</v>
      </c>
      <c r="L162" s="1302">
        <f t="shared" ref="L162:O163" si="66">+K162</f>
        <v>0</v>
      </c>
      <c r="M162" s="1365">
        <f t="shared" si="66"/>
        <v>0</v>
      </c>
      <c r="N162" s="1365">
        <f t="shared" si="66"/>
        <v>0</v>
      </c>
      <c r="O162" s="1365">
        <f t="shared" si="66"/>
        <v>0</v>
      </c>
      <c r="P162" s="1365"/>
      <c r="Q162" s="2409"/>
      <c r="R162" s="1365">
        <f>+L162-K162</f>
        <v>0</v>
      </c>
      <c r="S162" s="1365">
        <f>+M162-L162</f>
        <v>0</v>
      </c>
      <c r="T162" s="1365">
        <f>+N162-M162</f>
        <v>0</v>
      </c>
      <c r="U162" s="1365">
        <f>+O162-N162</f>
        <v>0</v>
      </c>
    </row>
    <row r="163" spans="1:21" hidden="1">
      <c r="A163" s="1542" t="s">
        <v>12</v>
      </c>
      <c r="B163" s="1343" t="s">
        <v>3260</v>
      </c>
      <c r="C163" s="2099"/>
      <c r="D163" s="2130"/>
      <c r="E163" s="1542"/>
      <c r="F163" s="2130"/>
      <c r="G163" s="2130"/>
      <c r="H163" s="2131"/>
      <c r="I163" s="1365">
        <v>0</v>
      </c>
      <c r="J163" s="1365"/>
      <c r="K163" s="1365">
        <v>0</v>
      </c>
      <c r="L163" s="1302">
        <f t="shared" si="66"/>
        <v>0</v>
      </c>
      <c r="M163" s="1365">
        <f t="shared" si="66"/>
        <v>0</v>
      </c>
      <c r="N163" s="1365">
        <f t="shared" si="66"/>
        <v>0</v>
      </c>
      <c r="O163" s="1365">
        <f t="shared" si="66"/>
        <v>0</v>
      </c>
      <c r="P163" s="1365"/>
      <c r="Q163" s="2409"/>
      <c r="R163" s="1365">
        <f t="shared" ref="R163:R192" si="67">+L163-K163</f>
        <v>0</v>
      </c>
      <c r="S163" s="1365">
        <f t="shared" ref="S163:S193" si="68">+M163-L163</f>
        <v>0</v>
      </c>
      <c r="T163" s="1365">
        <f t="shared" ref="T163:T193" si="69">+N163-M163</f>
        <v>0</v>
      </c>
      <c r="U163" s="1365">
        <f t="shared" ref="U163:U193" si="70">+O163-N163</f>
        <v>0</v>
      </c>
    </row>
    <row r="164" spans="1:21" hidden="1">
      <c r="A164" s="1542"/>
      <c r="B164" s="1343"/>
      <c r="C164" s="2099"/>
      <c r="D164" s="2130"/>
      <c r="E164" s="1542"/>
      <c r="F164" s="2130"/>
      <c r="G164" s="2130"/>
      <c r="H164" s="2131"/>
      <c r="I164" s="1365"/>
      <c r="J164" s="1365"/>
      <c r="K164" s="1365"/>
      <c r="L164" s="1302"/>
      <c r="M164" s="1365"/>
      <c r="N164" s="1365"/>
      <c r="O164" s="1365"/>
      <c r="P164" s="1365"/>
      <c r="Q164" s="2409"/>
      <c r="R164" s="1365"/>
      <c r="S164" s="1365"/>
      <c r="T164" s="1365"/>
      <c r="U164" s="1365"/>
    </row>
    <row r="165" spans="1:21" hidden="1">
      <c r="A165" s="1542" t="s">
        <v>14</v>
      </c>
      <c r="B165" s="1343" t="s">
        <v>3261</v>
      </c>
      <c r="C165" s="2099"/>
      <c r="D165" s="2130"/>
      <c r="E165" s="1542"/>
      <c r="F165" s="2130"/>
      <c r="G165" s="2130"/>
      <c r="H165" s="2131"/>
      <c r="I165" s="1365">
        <v>0</v>
      </c>
      <c r="J165" s="1365"/>
      <c r="K165" s="1365">
        <v>0</v>
      </c>
      <c r="L165" s="1302">
        <f t="shared" ref="L165:O166" si="71">+K165</f>
        <v>0</v>
      </c>
      <c r="M165" s="1365">
        <f t="shared" si="71"/>
        <v>0</v>
      </c>
      <c r="N165" s="1365">
        <f t="shared" si="71"/>
        <v>0</v>
      </c>
      <c r="O165" s="1365">
        <f t="shared" si="71"/>
        <v>0</v>
      </c>
      <c r="P165" s="1365"/>
      <c r="Q165" s="2409"/>
      <c r="R165" s="1365">
        <f t="shared" si="67"/>
        <v>0</v>
      </c>
      <c r="S165" s="1365">
        <f t="shared" si="68"/>
        <v>0</v>
      </c>
      <c r="T165" s="1365">
        <f t="shared" si="69"/>
        <v>0</v>
      </c>
      <c r="U165" s="1365">
        <f t="shared" si="70"/>
        <v>0</v>
      </c>
    </row>
    <row r="166" spans="1:21" hidden="1">
      <c r="A166" s="1542" t="s">
        <v>15</v>
      </c>
      <c r="B166" s="1343" t="s">
        <v>3262</v>
      </c>
      <c r="C166" s="2099"/>
      <c r="D166" s="2130"/>
      <c r="E166" s="1542"/>
      <c r="F166" s="2130"/>
      <c r="G166" s="2130"/>
      <c r="H166" s="2131"/>
      <c r="I166" s="1365">
        <v>0</v>
      </c>
      <c r="J166" s="1365"/>
      <c r="K166" s="1365">
        <v>0</v>
      </c>
      <c r="L166" s="1302">
        <f t="shared" si="71"/>
        <v>0</v>
      </c>
      <c r="M166" s="1365">
        <f t="shared" si="71"/>
        <v>0</v>
      </c>
      <c r="N166" s="1365">
        <f t="shared" si="71"/>
        <v>0</v>
      </c>
      <c r="O166" s="1365">
        <f t="shared" si="71"/>
        <v>0</v>
      </c>
      <c r="P166" s="1365"/>
      <c r="Q166" s="2409"/>
      <c r="R166" s="1365">
        <f t="shared" si="67"/>
        <v>0</v>
      </c>
      <c r="S166" s="1365">
        <f t="shared" si="68"/>
        <v>0</v>
      </c>
      <c r="T166" s="1365">
        <f t="shared" si="69"/>
        <v>0</v>
      </c>
      <c r="U166" s="1365">
        <f t="shared" si="70"/>
        <v>0</v>
      </c>
    </row>
    <row r="167" spans="1:21" hidden="1">
      <c r="A167" s="1542"/>
      <c r="B167" s="1343"/>
      <c r="C167" s="2099"/>
      <c r="D167" s="2130"/>
      <c r="E167" s="1542"/>
      <c r="F167" s="2130"/>
      <c r="G167" s="2130"/>
      <c r="H167" s="2131"/>
      <c r="I167" s="1365"/>
      <c r="J167" s="1365"/>
      <c r="K167" s="1365"/>
      <c r="L167" s="1302"/>
      <c r="M167" s="1365"/>
      <c r="N167" s="1365"/>
      <c r="O167" s="1365"/>
      <c r="P167" s="1365"/>
      <c r="Q167" s="2409"/>
      <c r="R167" s="1365"/>
      <c r="S167" s="1365"/>
      <c r="T167" s="1365"/>
      <c r="U167" s="1365"/>
    </row>
    <row r="168" spans="1:21" hidden="1">
      <c r="A168" s="1542" t="s">
        <v>17</v>
      </c>
      <c r="B168" s="1343" t="s">
        <v>3263</v>
      </c>
      <c r="C168" s="2099"/>
      <c r="D168" s="2130"/>
      <c r="E168" s="1542"/>
      <c r="F168" s="2130"/>
      <c r="G168" s="2130"/>
      <c r="H168" s="2131"/>
      <c r="I168" s="1365">
        <v>0</v>
      </c>
      <c r="J168" s="1365"/>
      <c r="K168" s="1365">
        <v>0</v>
      </c>
      <c r="L168" s="1302">
        <f>+K168</f>
        <v>0</v>
      </c>
      <c r="M168" s="1365">
        <f>+L168</f>
        <v>0</v>
      </c>
      <c r="N168" s="1365">
        <f t="shared" ref="N168:O170" si="72">+M168</f>
        <v>0</v>
      </c>
      <c r="O168" s="1365">
        <f t="shared" si="72"/>
        <v>0</v>
      </c>
      <c r="P168" s="1365"/>
      <c r="Q168" s="2409"/>
      <c r="R168" s="1365">
        <f t="shared" si="67"/>
        <v>0</v>
      </c>
      <c r="S168" s="1365">
        <f t="shared" si="68"/>
        <v>0</v>
      </c>
      <c r="T168" s="1365">
        <f t="shared" si="69"/>
        <v>0</v>
      </c>
      <c r="U168" s="1365">
        <f t="shared" si="70"/>
        <v>0</v>
      </c>
    </row>
    <row r="169" spans="1:21" hidden="1">
      <c r="A169" s="1542" t="s">
        <v>19</v>
      </c>
      <c r="B169" s="1343" t="s">
        <v>3264</v>
      </c>
      <c r="C169" s="2099"/>
      <c r="D169" s="2130"/>
      <c r="E169" s="1542"/>
      <c r="F169" s="2130"/>
      <c r="G169" s="2130"/>
      <c r="H169" s="2131"/>
      <c r="I169" s="1365">
        <v>0</v>
      </c>
      <c r="J169" s="1365"/>
      <c r="K169" s="1365">
        <v>0</v>
      </c>
      <c r="L169" s="1302">
        <f>+K169</f>
        <v>0</v>
      </c>
      <c r="M169" s="1365">
        <f>+L169</f>
        <v>0</v>
      </c>
      <c r="N169" s="1365">
        <f t="shared" si="72"/>
        <v>0</v>
      </c>
      <c r="O169" s="1365">
        <f t="shared" si="72"/>
        <v>0</v>
      </c>
      <c r="P169" s="1365"/>
      <c r="Q169" s="2409"/>
      <c r="R169" s="1365">
        <f t="shared" si="67"/>
        <v>0</v>
      </c>
      <c r="S169" s="1365">
        <f t="shared" si="68"/>
        <v>0</v>
      </c>
      <c r="T169" s="1365">
        <f t="shared" si="69"/>
        <v>0</v>
      </c>
      <c r="U169" s="1365">
        <f t="shared" si="70"/>
        <v>0</v>
      </c>
    </row>
    <row r="170" spans="1:21" hidden="1">
      <c r="A170" s="1542"/>
      <c r="B170" s="1300"/>
      <c r="C170" s="2099"/>
      <c r="D170" s="2130"/>
      <c r="E170" s="1542"/>
      <c r="F170" s="2130"/>
      <c r="G170" s="2130"/>
      <c r="H170" s="2131"/>
      <c r="I170" s="1365"/>
      <c r="J170" s="1365"/>
      <c r="K170" s="1365"/>
      <c r="L170" s="1302"/>
      <c r="M170" s="1365"/>
      <c r="N170" s="1365"/>
      <c r="O170" s="1365">
        <f t="shared" si="72"/>
        <v>0</v>
      </c>
      <c r="P170" s="1365"/>
      <c r="Q170" s="2409"/>
      <c r="R170" s="1365"/>
      <c r="S170" s="1365"/>
      <c r="T170" s="1365"/>
      <c r="U170" s="1365"/>
    </row>
    <row r="171" spans="1:21" hidden="1">
      <c r="A171" s="1542" t="s">
        <v>21</v>
      </c>
      <c r="B171" s="1344" t="s">
        <v>3212</v>
      </c>
      <c r="C171" s="1304">
        <f t="shared" ref="C171:K171" si="73">+C162+C163+C165+C166+C168+C169</f>
        <v>0</v>
      </c>
      <c r="D171" s="1304">
        <f t="shared" si="73"/>
        <v>0</v>
      </c>
      <c r="E171" s="1815">
        <f t="shared" si="73"/>
        <v>0</v>
      </c>
      <c r="F171" s="1304">
        <f t="shared" si="73"/>
        <v>0</v>
      </c>
      <c r="G171" s="1304">
        <f t="shared" si="73"/>
        <v>0</v>
      </c>
      <c r="H171" s="1304">
        <f t="shared" si="73"/>
        <v>0</v>
      </c>
      <c r="I171" s="1304">
        <f>+I162+I163+I165+I166+I168+I169</f>
        <v>0</v>
      </c>
      <c r="J171" s="1304">
        <f t="shared" si="73"/>
        <v>0</v>
      </c>
      <c r="K171" s="1304">
        <f t="shared" si="73"/>
        <v>0</v>
      </c>
      <c r="L171" s="1304">
        <f>+L162+L163+L165+L166+L168+L169</f>
        <v>0</v>
      </c>
      <c r="M171" s="1304">
        <f>+M162+M163+M165+M166+M168+M169</f>
        <v>0</v>
      </c>
      <c r="N171" s="1304">
        <f>+N162+N163+N165+N166+N168+N169</f>
        <v>0</v>
      </c>
      <c r="O171" s="1304">
        <f>+O162+O163+O165+O166+O168+O169</f>
        <v>0</v>
      </c>
      <c r="P171" s="1302">
        <f>+P162+P163+P165+P166+P168+P169</f>
        <v>0</v>
      </c>
      <c r="Q171" s="2411"/>
      <c r="R171" s="1701">
        <f t="shared" si="67"/>
        <v>0</v>
      </c>
      <c r="S171" s="1701">
        <f t="shared" si="68"/>
        <v>0</v>
      </c>
      <c r="T171" s="1701">
        <f t="shared" si="69"/>
        <v>0</v>
      </c>
      <c r="U171" s="1701">
        <f t="shared" si="70"/>
        <v>0</v>
      </c>
    </row>
    <row r="172" spans="1:21" hidden="1">
      <c r="A172" s="1542"/>
      <c r="B172" s="1347"/>
      <c r="C172" s="2099"/>
      <c r="D172" s="2130"/>
      <c r="E172" s="1542"/>
      <c r="F172" s="2130"/>
      <c r="G172" s="2130"/>
      <c r="H172" s="2131"/>
      <c r="I172" s="1365"/>
      <c r="J172" s="1365"/>
      <c r="K172" s="1365"/>
      <c r="L172" s="1302"/>
      <c r="M172" s="1365">
        <f>+L172</f>
        <v>0</v>
      </c>
      <c r="N172" s="1365"/>
      <c r="O172" s="1365">
        <f>+N172</f>
        <v>0</v>
      </c>
      <c r="P172" s="1365"/>
      <c r="Q172" s="2409"/>
      <c r="R172" s="1365"/>
      <c r="S172" s="1365"/>
      <c r="T172" s="1365"/>
      <c r="U172" s="1365"/>
    </row>
    <row r="173" spans="1:21" ht="25.5" hidden="1">
      <c r="A173" s="1542"/>
      <c r="B173" s="1344" t="s">
        <v>1410</v>
      </c>
      <c r="C173" s="2099"/>
      <c r="D173" s="2130"/>
      <c r="E173" s="1542"/>
      <c r="F173" s="2130"/>
      <c r="G173" s="2130"/>
      <c r="H173" s="2131"/>
      <c r="I173" s="1365"/>
      <c r="J173" s="1365"/>
      <c r="K173" s="1365"/>
      <c r="L173" s="1302"/>
      <c r="M173" s="1365"/>
      <c r="N173" s="1365"/>
      <c r="O173" s="1365"/>
      <c r="P173" s="1365"/>
      <c r="Q173" s="2409"/>
      <c r="R173" s="1365"/>
      <c r="S173" s="1365"/>
      <c r="T173" s="1365"/>
      <c r="U173" s="1365"/>
    </row>
    <row r="174" spans="1:21" hidden="1">
      <c r="A174" s="1542"/>
      <c r="B174" s="1301"/>
      <c r="C174" s="2099"/>
      <c r="D174" s="2130"/>
      <c r="E174" s="1542"/>
      <c r="F174" s="2130"/>
      <c r="G174" s="2130"/>
      <c r="H174" s="2131"/>
      <c r="I174" s="1365"/>
      <c r="J174" s="1365"/>
      <c r="K174" s="1365"/>
      <c r="L174" s="1302"/>
      <c r="M174" s="1365"/>
      <c r="N174" s="1365"/>
      <c r="O174" s="1365"/>
      <c r="P174" s="1365"/>
      <c r="Q174" s="2409"/>
      <c r="R174" s="1365"/>
      <c r="S174" s="1365"/>
      <c r="T174" s="1365"/>
      <c r="U174" s="1365"/>
    </row>
    <row r="175" spans="1:21" hidden="1">
      <c r="A175" s="1542" t="s">
        <v>23</v>
      </c>
      <c r="B175" s="1343" t="s">
        <v>3265</v>
      </c>
      <c r="C175" s="2099"/>
      <c r="D175" s="2130"/>
      <c r="E175" s="1542"/>
      <c r="F175" s="2130"/>
      <c r="G175" s="2130"/>
      <c r="H175" s="2131"/>
      <c r="I175" s="1365">
        <v>0</v>
      </c>
      <c r="J175" s="1365"/>
      <c r="K175" s="1365">
        <v>0</v>
      </c>
      <c r="L175" s="1302">
        <f t="shared" ref="L175:O176" si="74">+K175</f>
        <v>0</v>
      </c>
      <c r="M175" s="1365">
        <f t="shared" si="74"/>
        <v>0</v>
      </c>
      <c r="N175" s="1365">
        <f t="shared" si="74"/>
        <v>0</v>
      </c>
      <c r="O175" s="1365">
        <f t="shared" si="74"/>
        <v>0</v>
      </c>
      <c r="P175" s="1365">
        <v>0</v>
      </c>
      <c r="Q175" s="2409"/>
      <c r="R175" s="1365">
        <f t="shared" si="67"/>
        <v>0</v>
      </c>
      <c r="S175" s="1365">
        <f t="shared" si="68"/>
        <v>0</v>
      </c>
      <c r="T175" s="1365">
        <f t="shared" si="69"/>
        <v>0</v>
      </c>
      <c r="U175" s="1365">
        <f t="shared" si="70"/>
        <v>0</v>
      </c>
    </row>
    <row r="176" spans="1:21" hidden="1">
      <c r="A176" s="1542" t="s">
        <v>25</v>
      </c>
      <c r="B176" s="1343" t="s">
        <v>3266</v>
      </c>
      <c r="C176" s="2099"/>
      <c r="D176" s="2130"/>
      <c r="E176" s="1542"/>
      <c r="F176" s="2130"/>
      <c r="G176" s="2130"/>
      <c r="H176" s="2131"/>
      <c r="I176" s="1365">
        <v>0</v>
      </c>
      <c r="J176" s="1365"/>
      <c r="K176" s="1365">
        <v>0</v>
      </c>
      <c r="L176" s="1302">
        <f t="shared" si="74"/>
        <v>0</v>
      </c>
      <c r="M176" s="1365">
        <f t="shared" si="74"/>
        <v>0</v>
      </c>
      <c r="N176" s="1365">
        <f t="shared" si="74"/>
        <v>0</v>
      </c>
      <c r="O176" s="1365">
        <f t="shared" si="74"/>
        <v>0</v>
      </c>
      <c r="P176" s="1365">
        <v>0</v>
      </c>
      <c r="Q176" s="2409"/>
      <c r="R176" s="1365">
        <f t="shared" si="67"/>
        <v>0</v>
      </c>
      <c r="S176" s="1365">
        <f t="shared" si="68"/>
        <v>0</v>
      </c>
      <c r="T176" s="1365">
        <f t="shared" si="69"/>
        <v>0</v>
      </c>
      <c r="U176" s="1365">
        <f t="shared" si="70"/>
        <v>0</v>
      </c>
    </row>
    <row r="177" spans="1:21" hidden="1">
      <c r="A177" s="1542"/>
      <c r="B177" s="1343"/>
      <c r="C177" s="2099"/>
      <c r="D177" s="2130"/>
      <c r="E177" s="1542"/>
      <c r="F177" s="2130"/>
      <c r="G177" s="2130"/>
      <c r="H177" s="2131"/>
      <c r="I177" s="1365"/>
      <c r="J177" s="1365"/>
      <c r="K177" s="1365"/>
      <c r="L177" s="1302"/>
      <c r="M177" s="1365"/>
      <c r="N177" s="1365"/>
      <c r="O177" s="1365"/>
      <c r="P177" s="1365"/>
      <c r="Q177" s="2409"/>
      <c r="R177" s="1365"/>
      <c r="S177" s="1365">
        <f t="shared" si="68"/>
        <v>0</v>
      </c>
      <c r="T177" s="1365">
        <f t="shared" si="69"/>
        <v>0</v>
      </c>
      <c r="U177" s="1365">
        <f t="shared" si="70"/>
        <v>0</v>
      </c>
    </row>
    <row r="178" spans="1:21" ht="25.5" hidden="1">
      <c r="A178" s="1542" t="s">
        <v>27</v>
      </c>
      <c r="B178" s="1343" t="s">
        <v>3267</v>
      </c>
      <c r="C178" s="2099"/>
      <c r="D178" s="2130"/>
      <c r="E178" s="1542"/>
      <c r="F178" s="2130"/>
      <c r="G178" s="2130"/>
      <c r="H178" s="2131"/>
      <c r="I178" s="1365">
        <v>0</v>
      </c>
      <c r="J178" s="1365"/>
      <c r="K178" s="1365">
        <v>0</v>
      </c>
      <c r="L178" s="1302">
        <f t="shared" ref="L178:O179" si="75">+K178</f>
        <v>0</v>
      </c>
      <c r="M178" s="1365">
        <f t="shared" si="75"/>
        <v>0</v>
      </c>
      <c r="N178" s="1365">
        <f t="shared" si="75"/>
        <v>0</v>
      </c>
      <c r="O178" s="1365">
        <f t="shared" si="75"/>
        <v>0</v>
      </c>
      <c r="P178" s="1365">
        <v>0</v>
      </c>
      <c r="Q178" s="2409"/>
      <c r="R178" s="1365">
        <f t="shared" si="67"/>
        <v>0</v>
      </c>
      <c r="S178" s="1365">
        <f t="shared" si="68"/>
        <v>0</v>
      </c>
      <c r="T178" s="1365">
        <f t="shared" si="69"/>
        <v>0</v>
      </c>
      <c r="U178" s="1365">
        <f t="shared" si="70"/>
        <v>0</v>
      </c>
    </row>
    <row r="179" spans="1:21" ht="25.5" hidden="1">
      <c r="A179" s="1542" t="s">
        <v>29</v>
      </c>
      <c r="B179" s="1343" t="s">
        <v>3268</v>
      </c>
      <c r="C179" s="2099"/>
      <c r="D179" s="2130"/>
      <c r="E179" s="1542"/>
      <c r="F179" s="2130"/>
      <c r="G179" s="2130"/>
      <c r="H179" s="2131"/>
      <c r="I179" s="1365">
        <v>0</v>
      </c>
      <c r="J179" s="1365"/>
      <c r="K179" s="1365">
        <v>0</v>
      </c>
      <c r="L179" s="1302">
        <f t="shared" si="75"/>
        <v>0</v>
      </c>
      <c r="M179" s="1365">
        <f t="shared" si="75"/>
        <v>0</v>
      </c>
      <c r="N179" s="1365">
        <f t="shared" si="75"/>
        <v>0</v>
      </c>
      <c r="O179" s="1365">
        <f t="shared" si="75"/>
        <v>0</v>
      </c>
      <c r="P179" s="1365">
        <v>0</v>
      </c>
      <c r="Q179" s="2409"/>
      <c r="R179" s="1365">
        <f t="shared" si="67"/>
        <v>0</v>
      </c>
      <c r="S179" s="1365">
        <f t="shared" si="68"/>
        <v>0</v>
      </c>
      <c r="T179" s="1365">
        <f t="shared" si="69"/>
        <v>0</v>
      </c>
      <c r="U179" s="1365">
        <f t="shared" si="70"/>
        <v>0</v>
      </c>
    </row>
    <row r="180" spans="1:21" hidden="1">
      <c r="A180" s="1542"/>
      <c r="B180" s="1300"/>
      <c r="C180" s="2099"/>
      <c r="D180" s="2130"/>
      <c r="E180" s="1542"/>
      <c r="F180" s="2130"/>
      <c r="G180" s="2130"/>
      <c r="H180" s="2131"/>
      <c r="I180" s="1365"/>
      <c r="J180" s="1365"/>
      <c r="K180" s="1365"/>
      <c r="L180" s="1303"/>
      <c r="M180" s="1365"/>
      <c r="N180" s="1365"/>
      <c r="O180" s="1365"/>
      <c r="P180" s="1365"/>
      <c r="Q180" s="2409"/>
      <c r="R180" s="1365"/>
      <c r="S180" s="1365"/>
      <c r="T180" s="1365"/>
      <c r="U180" s="1365"/>
    </row>
    <row r="181" spans="1:21" ht="25.5" hidden="1">
      <c r="A181" s="1542" t="s">
        <v>31</v>
      </c>
      <c r="B181" s="1344" t="s">
        <v>3213</v>
      </c>
      <c r="C181" s="2099"/>
      <c r="D181" s="2130"/>
      <c r="E181" s="1542"/>
      <c r="F181" s="2130"/>
      <c r="G181" s="2130"/>
      <c r="H181" s="2131"/>
      <c r="I181" s="1304">
        <f>+I175+I176+I178+I179</f>
        <v>0</v>
      </c>
      <c r="J181" s="1304">
        <f t="shared" ref="J181:P181" si="76">+J175+J176+J178+J179</f>
        <v>0</v>
      </c>
      <c r="K181" s="1304">
        <f t="shared" si="76"/>
        <v>0</v>
      </c>
      <c r="L181" s="1304">
        <f t="shared" si="76"/>
        <v>0</v>
      </c>
      <c r="M181" s="1304">
        <f t="shared" si="76"/>
        <v>0</v>
      </c>
      <c r="N181" s="1304">
        <f t="shared" si="76"/>
        <v>0</v>
      </c>
      <c r="O181" s="1304">
        <f t="shared" si="76"/>
        <v>0</v>
      </c>
      <c r="P181" s="1304">
        <f t="shared" si="76"/>
        <v>0</v>
      </c>
      <c r="Q181" s="2411"/>
      <c r="R181" s="1701">
        <f t="shared" si="67"/>
        <v>0</v>
      </c>
      <c r="S181" s="1701">
        <f t="shared" si="68"/>
        <v>0</v>
      </c>
      <c r="T181" s="1701">
        <f t="shared" si="69"/>
        <v>0</v>
      </c>
      <c r="U181" s="1701">
        <f t="shared" si="70"/>
        <v>0</v>
      </c>
    </row>
    <row r="182" spans="1:21" hidden="1">
      <c r="A182" s="1542"/>
      <c r="B182" s="1300"/>
      <c r="C182" s="2099"/>
      <c r="D182" s="2130"/>
      <c r="E182" s="1542"/>
      <c r="F182" s="2130"/>
      <c r="G182" s="2130"/>
      <c r="H182" s="2131"/>
      <c r="I182" s="1365"/>
      <c r="J182" s="1365"/>
      <c r="K182" s="1365"/>
      <c r="L182" s="1303"/>
      <c r="M182" s="1365"/>
      <c r="N182" s="1365"/>
      <c r="O182" s="1365"/>
      <c r="P182" s="1365"/>
      <c r="Q182" s="2409"/>
      <c r="R182" s="1365"/>
      <c r="S182" s="1365"/>
      <c r="T182" s="1365"/>
      <c r="U182" s="1365"/>
    </row>
    <row r="183" spans="1:21" hidden="1">
      <c r="A183" s="1542"/>
      <c r="B183" s="1345" t="s">
        <v>1436</v>
      </c>
      <c r="C183" s="2099"/>
      <c r="D183" s="2130"/>
      <c r="E183" s="1542"/>
      <c r="F183" s="2130"/>
      <c r="G183" s="2130"/>
      <c r="H183" s="2131"/>
      <c r="I183" s="1365"/>
      <c r="J183" s="1365"/>
      <c r="K183" s="1365"/>
      <c r="L183" s="1303"/>
      <c r="M183" s="1365"/>
      <c r="N183" s="1365"/>
      <c r="O183" s="1365"/>
      <c r="P183" s="1365"/>
      <c r="Q183" s="2409"/>
      <c r="R183" s="1365"/>
      <c r="S183" s="1365"/>
      <c r="T183" s="1365"/>
      <c r="U183" s="1365"/>
    </row>
    <row r="184" spans="1:21" hidden="1">
      <c r="A184" s="1542"/>
      <c r="B184" s="1301"/>
      <c r="C184" s="2099"/>
      <c r="D184" s="2130"/>
      <c r="E184" s="1542"/>
      <c r="F184" s="2130"/>
      <c r="G184" s="2130"/>
      <c r="H184" s="2131"/>
      <c r="I184" s="1365"/>
      <c r="J184" s="1365"/>
      <c r="K184" s="1365"/>
      <c r="L184" s="1303"/>
      <c r="M184" s="1365"/>
      <c r="N184" s="1365"/>
      <c r="O184" s="1365"/>
      <c r="P184" s="1365"/>
      <c r="Q184" s="2409"/>
      <c r="R184" s="1365"/>
      <c r="S184" s="1365"/>
      <c r="T184" s="1365"/>
      <c r="U184" s="1365"/>
    </row>
    <row r="185" spans="1:21" hidden="1">
      <c r="A185" s="1542" t="s">
        <v>33</v>
      </c>
      <c r="B185" s="1300" t="s">
        <v>3269</v>
      </c>
      <c r="C185" s="2099"/>
      <c r="D185" s="2130"/>
      <c r="E185" s="1542"/>
      <c r="F185" s="2130"/>
      <c r="G185" s="2130"/>
      <c r="H185" s="2131"/>
      <c r="I185" s="1701">
        <v>0</v>
      </c>
      <c r="J185" s="1701"/>
      <c r="K185" s="1701">
        <v>0</v>
      </c>
      <c r="L185" s="1304">
        <f t="shared" ref="L185:O186" si="77">+K185</f>
        <v>0</v>
      </c>
      <c r="M185" s="1701">
        <f t="shared" si="77"/>
        <v>0</v>
      </c>
      <c r="N185" s="1701">
        <f t="shared" si="77"/>
        <v>0</v>
      </c>
      <c r="O185" s="1701">
        <f t="shared" si="77"/>
        <v>0</v>
      </c>
      <c r="P185" s="1365"/>
      <c r="Q185" s="2411"/>
      <c r="R185" s="1701">
        <f t="shared" si="67"/>
        <v>0</v>
      </c>
      <c r="S185" s="1701">
        <f t="shared" si="68"/>
        <v>0</v>
      </c>
      <c r="T185" s="1701">
        <f t="shared" si="69"/>
        <v>0</v>
      </c>
      <c r="U185" s="1701">
        <f t="shared" si="70"/>
        <v>0</v>
      </c>
    </row>
    <row r="186" spans="1:21" hidden="1">
      <c r="A186" s="1542" t="s">
        <v>35</v>
      </c>
      <c r="B186" s="1300" t="s">
        <v>3270</v>
      </c>
      <c r="C186" s="2099"/>
      <c r="D186" s="2130"/>
      <c r="E186" s="1542"/>
      <c r="F186" s="2130"/>
      <c r="G186" s="2130"/>
      <c r="H186" s="2131"/>
      <c r="I186" s="1701">
        <v>0</v>
      </c>
      <c r="J186" s="1701">
        <v>0</v>
      </c>
      <c r="K186" s="1701">
        <v>0</v>
      </c>
      <c r="L186" s="1304">
        <f t="shared" si="77"/>
        <v>0</v>
      </c>
      <c r="M186" s="1701">
        <f t="shared" si="77"/>
        <v>0</v>
      </c>
      <c r="N186" s="1701">
        <f t="shared" si="77"/>
        <v>0</v>
      </c>
      <c r="O186" s="1701">
        <f t="shared" si="77"/>
        <v>0</v>
      </c>
      <c r="P186" s="1365"/>
      <c r="Q186" s="2411"/>
      <c r="R186" s="1701">
        <f t="shared" si="67"/>
        <v>0</v>
      </c>
      <c r="S186" s="1701">
        <f t="shared" si="68"/>
        <v>0</v>
      </c>
      <c r="T186" s="1701">
        <f t="shared" si="69"/>
        <v>0</v>
      </c>
      <c r="U186" s="1701">
        <f t="shared" si="70"/>
        <v>0</v>
      </c>
    </row>
    <row r="187" spans="1:21" hidden="1">
      <c r="A187" s="1542"/>
      <c r="B187" s="1300"/>
      <c r="C187" s="2099"/>
      <c r="D187" s="2130"/>
      <c r="E187" s="1542"/>
      <c r="F187" s="2130"/>
      <c r="G187" s="2130"/>
      <c r="H187" s="2131"/>
      <c r="I187" s="1365"/>
      <c r="J187" s="1365"/>
      <c r="K187" s="1365"/>
      <c r="L187" s="1304"/>
      <c r="M187" s="1365"/>
      <c r="N187" s="1365"/>
      <c r="O187" s="1365"/>
      <c r="P187" s="1365"/>
      <c r="Q187" s="2409"/>
      <c r="R187" s="1365"/>
      <c r="S187" s="1365"/>
      <c r="T187" s="1365"/>
      <c r="U187" s="1365"/>
    </row>
    <row r="188" spans="1:21" ht="15.75" hidden="1">
      <c r="A188" s="3650" t="s">
        <v>3272</v>
      </c>
      <c r="B188" s="3650" t="s">
        <v>3258</v>
      </c>
      <c r="C188" s="3650"/>
      <c r="D188" s="3650"/>
      <c r="E188" s="3650"/>
      <c r="F188" s="3650"/>
      <c r="G188" s="3650"/>
      <c r="H188" s="3650"/>
      <c r="I188" s="3650"/>
      <c r="J188" s="3650"/>
      <c r="K188" s="3650"/>
      <c r="L188" s="3650"/>
      <c r="M188" s="3650"/>
      <c r="N188" s="3650"/>
      <c r="O188" s="3650"/>
      <c r="P188" s="3650"/>
      <c r="Q188" s="3650"/>
      <c r="R188" s="3651"/>
      <c r="S188" s="3651"/>
      <c r="T188" s="3651"/>
      <c r="U188" s="3651"/>
    </row>
    <row r="189" spans="1:21" hidden="1">
      <c r="A189" s="1542" t="s">
        <v>37</v>
      </c>
      <c r="B189" s="1362" t="s">
        <v>3214</v>
      </c>
      <c r="C189" s="2099"/>
      <c r="D189" s="2130"/>
      <c r="E189" s="1542"/>
      <c r="F189" s="2130"/>
      <c r="G189" s="2130"/>
      <c r="H189" s="2131"/>
      <c r="I189" s="1305">
        <f t="shared" ref="I189:K190" si="78">+I162+I165+I168+I175+I178+I185</f>
        <v>0</v>
      </c>
      <c r="J189" s="1305">
        <f t="shared" si="78"/>
        <v>0</v>
      </c>
      <c r="K189" s="1305">
        <f t="shared" si="78"/>
        <v>0</v>
      </c>
      <c r="L189" s="1305">
        <f t="shared" ref="L189:P190" si="79">+L162+L165+L168+L175+L178+L185</f>
        <v>0</v>
      </c>
      <c r="M189" s="1305">
        <f t="shared" si="79"/>
        <v>0</v>
      </c>
      <c r="N189" s="1305">
        <f t="shared" si="79"/>
        <v>0</v>
      </c>
      <c r="O189" s="1305">
        <f t="shared" si="79"/>
        <v>0</v>
      </c>
      <c r="P189" s="1305">
        <f>+P162+P165+P168+P175+P178+P185</f>
        <v>0</v>
      </c>
      <c r="Q189" s="2411"/>
      <c r="R189" s="1701">
        <f t="shared" si="67"/>
        <v>0</v>
      </c>
      <c r="S189" s="1701">
        <f t="shared" si="68"/>
        <v>0</v>
      </c>
      <c r="T189" s="1701">
        <f t="shared" si="69"/>
        <v>0</v>
      </c>
      <c r="U189" s="1701">
        <f t="shared" si="70"/>
        <v>0</v>
      </c>
    </row>
    <row r="190" spans="1:21" hidden="1">
      <c r="A190" s="1542" t="s">
        <v>39</v>
      </c>
      <c r="B190" s="1362" t="s">
        <v>3215</v>
      </c>
      <c r="C190" s="2099"/>
      <c r="D190" s="2130"/>
      <c r="E190" s="1542"/>
      <c r="F190" s="2130"/>
      <c r="G190" s="2130"/>
      <c r="H190" s="2131"/>
      <c r="I190" s="1305">
        <f t="shared" si="78"/>
        <v>0</v>
      </c>
      <c r="J190" s="1305">
        <f t="shared" si="78"/>
        <v>0</v>
      </c>
      <c r="K190" s="1305">
        <f t="shared" si="78"/>
        <v>0</v>
      </c>
      <c r="L190" s="1305">
        <f t="shared" si="79"/>
        <v>0</v>
      </c>
      <c r="M190" s="1305">
        <f t="shared" si="79"/>
        <v>0</v>
      </c>
      <c r="N190" s="1305">
        <f t="shared" si="79"/>
        <v>0</v>
      </c>
      <c r="O190" s="1305">
        <f t="shared" si="79"/>
        <v>0</v>
      </c>
      <c r="P190" s="1305">
        <f t="shared" si="79"/>
        <v>0</v>
      </c>
      <c r="Q190" s="2411"/>
      <c r="R190" s="1701">
        <f t="shared" si="67"/>
        <v>0</v>
      </c>
      <c r="S190" s="1701">
        <f t="shared" si="68"/>
        <v>0</v>
      </c>
      <c r="T190" s="1701">
        <f t="shared" si="69"/>
        <v>0</v>
      </c>
      <c r="U190" s="1701">
        <f t="shared" si="70"/>
        <v>0</v>
      </c>
    </row>
    <row r="191" spans="1:21" hidden="1">
      <c r="A191" s="1542"/>
      <c r="B191" s="1347"/>
      <c r="C191" s="2099"/>
      <c r="D191" s="2130"/>
      <c r="E191" s="1542"/>
      <c r="F191" s="2130"/>
      <c r="G191" s="2130"/>
      <c r="H191" s="2131"/>
      <c r="I191" s="1701"/>
      <c r="J191" s="1365"/>
      <c r="K191" s="1701"/>
      <c r="L191" s="1304"/>
      <c r="M191" s="1304"/>
      <c r="N191" s="1304"/>
      <c r="O191" s="1304"/>
      <c r="P191" s="1304"/>
      <c r="Q191" s="2411"/>
      <c r="R191" s="1701"/>
      <c r="S191" s="1701">
        <f t="shared" si="68"/>
        <v>0</v>
      </c>
      <c r="T191" s="1701">
        <f t="shared" si="69"/>
        <v>0</v>
      </c>
      <c r="U191" s="1701">
        <f t="shared" si="70"/>
        <v>0</v>
      </c>
    </row>
    <row r="192" spans="1:21" hidden="1">
      <c r="A192" s="1542" t="s">
        <v>41</v>
      </c>
      <c r="B192" s="1362" t="s">
        <v>3216</v>
      </c>
      <c r="C192" s="1305">
        <f t="shared" ref="C192:H192" si="80">+C171+C181+C185+C186</f>
        <v>0</v>
      </c>
      <c r="D192" s="1305">
        <f t="shared" si="80"/>
        <v>0</v>
      </c>
      <c r="E192" s="1815">
        <f t="shared" si="80"/>
        <v>0</v>
      </c>
      <c r="F192" s="1305">
        <f t="shared" si="80"/>
        <v>0</v>
      </c>
      <c r="G192" s="1305">
        <f t="shared" si="80"/>
        <v>0</v>
      </c>
      <c r="H192" s="1305">
        <f t="shared" si="80"/>
        <v>0</v>
      </c>
      <c r="I192" s="1305">
        <f t="shared" ref="I192:P192" si="81">+I171+I181+I185+I186</f>
        <v>0</v>
      </c>
      <c r="J192" s="1305">
        <f t="shared" si="81"/>
        <v>0</v>
      </c>
      <c r="K192" s="1305">
        <f t="shared" si="81"/>
        <v>0</v>
      </c>
      <c r="L192" s="1305">
        <f t="shared" si="81"/>
        <v>0</v>
      </c>
      <c r="M192" s="1305">
        <f t="shared" si="81"/>
        <v>0</v>
      </c>
      <c r="N192" s="1305">
        <f t="shared" si="81"/>
        <v>0</v>
      </c>
      <c r="O192" s="1305">
        <f t="shared" si="81"/>
        <v>0</v>
      </c>
      <c r="P192" s="1305">
        <f t="shared" si="81"/>
        <v>0</v>
      </c>
      <c r="Q192" s="2411"/>
      <c r="R192" s="1701">
        <f t="shared" si="67"/>
        <v>0</v>
      </c>
      <c r="S192" s="1701">
        <f t="shared" si="68"/>
        <v>0</v>
      </c>
      <c r="T192" s="1701">
        <f t="shared" si="69"/>
        <v>0</v>
      </c>
      <c r="U192" s="1701">
        <f t="shared" si="70"/>
        <v>0</v>
      </c>
    </row>
    <row r="193" spans="16:21" hidden="1">
      <c r="P193" s="169">
        <f>+P152+P153</f>
        <v>0</v>
      </c>
      <c r="Q193" s="169" t="s">
        <v>3689</v>
      </c>
      <c r="R193" s="169">
        <f>+L193-K193</f>
        <v>0</v>
      </c>
      <c r="S193" s="169">
        <f t="shared" si="68"/>
        <v>0</v>
      </c>
      <c r="T193" s="169">
        <f t="shared" si="69"/>
        <v>0</v>
      </c>
      <c r="U193" s="169">
        <f t="shared" si="70"/>
        <v>0</v>
      </c>
    </row>
  </sheetData>
  <sheetProtection algorithmName="SHA-512" hashValue="DrhuqPBP57VTeCYCD+QKzQEQeepTcyuJusDH/BBzZf8kNFXdLw12KipwqOr1JaLnaUyviGd/6g/NfZ3kWtEkPg==" saltValue="oreYDmUOjk28T/Qx36LNdg==" spinCount="100000" sheet="1" selectLockedCells="1" selectUnlockedCells="1"/>
  <mergeCells count="9">
    <mergeCell ref="A157:U157"/>
    <mergeCell ref="A151:U151"/>
    <mergeCell ref="A188:U188"/>
    <mergeCell ref="A2:U2"/>
    <mergeCell ref="A1:U1"/>
    <mergeCell ref="A7:A12"/>
    <mergeCell ref="A119:U119"/>
    <mergeCell ref="A120:U120"/>
    <mergeCell ref="A156:U156"/>
  </mergeCells>
  <printOptions horizontalCentered="1"/>
  <pageMargins left="0.23622047244094491" right="0.23622047244094491" top="0.55118110236220474" bottom="0.55118110236220474" header="0.51181102362204722" footer="0.31496062992125984"/>
  <pageSetup paperSize="9" scale="62" firstPageNumber="0" orientation="portrait" r:id="rId1"/>
  <headerFooter alignWithMargins="0">
    <oddFooter>&amp;C&amp;"Arial CE,Félkövér"&amp;14&amp;P/&amp;N</oddFooter>
  </headerFooter>
  <rowBreaks count="1" manualBreakCount="1">
    <brk id="118"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51181-D70B-42E3-B479-C6AFB288E212}">
  <sheetPr>
    <tabColor indexed="10"/>
    <pageSetUpPr fitToPage="1"/>
  </sheetPr>
  <dimension ref="A1:P27"/>
  <sheetViews>
    <sheetView view="pageBreakPreview" zoomScale="80" zoomScaleNormal="70" zoomScaleSheetLayoutView="80" workbookViewId="0">
      <selection activeCell="H14" sqref="H14"/>
    </sheetView>
  </sheetViews>
  <sheetFormatPr defaultColWidth="9" defaultRowHeight="12.75"/>
  <cols>
    <col min="1" max="1" width="43.5703125" style="95" customWidth="1"/>
    <col min="2" max="2" width="43.7109375" style="95" customWidth="1"/>
    <col min="3" max="3" width="25.5703125" style="95" bestFit="1" customWidth="1"/>
    <col min="4" max="4" width="18.140625" style="95" customWidth="1"/>
    <col min="5" max="6" width="43.7109375" style="95" customWidth="1"/>
    <col min="7" max="7" width="25.5703125" style="95" bestFit="1" customWidth="1"/>
    <col min="8" max="8" width="18.140625" style="95" customWidth="1"/>
    <col min="9" max="9" width="12.42578125" style="95" customWidth="1"/>
    <col min="10" max="12" width="12.7109375" style="95" bestFit="1" customWidth="1"/>
    <col min="13" max="13" width="14.42578125" style="95" bestFit="1" customWidth="1"/>
    <col min="14" max="16" width="11.5703125" style="95" bestFit="1" customWidth="1"/>
    <col min="17" max="16384" width="9" style="95"/>
  </cols>
  <sheetData>
    <row r="1" spans="1:16" ht="22.5">
      <c r="A1" s="3530" t="s">
        <v>134</v>
      </c>
      <c r="B1" s="3530"/>
      <c r="C1" s="3530"/>
      <c r="D1" s="3530"/>
      <c r="E1" s="3530"/>
      <c r="F1" s="3530"/>
      <c r="G1" s="3530"/>
      <c r="H1" s="3530"/>
      <c r="I1" s="3036"/>
      <c r="J1" s="3036"/>
      <c r="K1" s="3036"/>
      <c r="L1" s="3036"/>
      <c r="M1" s="3036"/>
      <c r="N1" s="3036"/>
      <c r="O1" s="3036"/>
      <c r="P1" s="3036"/>
    </row>
    <row r="2" spans="1:16" ht="20.25">
      <c r="A2" s="3039"/>
      <c r="B2" s="3039"/>
      <c r="C2" s="3039"/>
      <c r="D2" s="3039"/>
      <c r="E2" s="3039"/>
      <c r="F2" s="3039"/>
      <c r="G2" s="3039"/>
      <c r="H2" s="3039"/>
      <c r="I2" s="3036"/>
      <c r="J2" s="3036"/>
      <c r="K2" s="3036"/>
      <c r="L2" s="3036"/>
      <c r="M2" s="3036"/>
      <c r="N2" s="3036"/>
      <c r="O2" s="3036"/>
      <c r="P2" s="3036"/>
    </row>
    <row r="3" spans="1:16" ht="21" thickBot="1">
      <c r="A3" s="3039"/>
      <c r="B3" s="3039"/>
      <c r="C3" s="3039"/>
      <c r="D3" s="3039"/>
      <c r="E3" s="3039"/>
      <c r="F3" s="3039"/>
      <c r="G3" s="3039"/>
      <c r="H3" s="3039"/>
      <c r="I3" s="3036"/>
      <c r="J3" s="3036"/>
      <c r="K3" s="3036"/>
      <c r="L3" s="3036"/>
      <c r="M3" s="3036"/>
      <c r="N3" s="3036"/>
      <c r="O3" s="3036"/>
      <c r="P3" s="3036"/>
    </row>
    <row r="4" spans="1:16" s="3040" customFormat="1" ht="18.75">
      <c r="A4" s="3531" t="s">
        <v>135</v>
      </c>
      <c r="B4" s="3532"/>
      <c r="C4" s="3532"/>
      <c r="D4" s="3532"/>
      <c r="E4" s="3532" t="s">
        <v>135</v>
      </c>
      <c r="F4" s="3532"/>
      <c r="G4" s="3532"/>
      <c r="H4" s="3533"/>
      <c r="I4" s="3534" t="s">
        <v>4024</v>
      </c>
      <c r="J4" s="3535"/>
      <c r="K4" s="3535"/>
      <c r="L4" s="3535"/>
      <c r="M4" s="3536"/>
      <c r="N4" s="3537" t="s">
        <v>4025</v>
      </c>
      <c r="O4" s="3535"/>
      <c r="P4" s="3536"/>
    </row>
    <row r="5" spans="1:16" ht="22.5">
      <c r="A5" s="3041" t="s">
        <v>136</v>
      </c>
      <c r="B5" s="3042" t="s">
        <v>137</v>
      </c>
      <c r="C5" s="3042" t="s">
        <v>52</v>
      </c>
      <c r="D5" s="3043" t="s">
        <v>3544</v>
      </c>
      <c r="E5" s="3042" t="s">
        <v>136</v>
      </c>
      <c r="F5" s="3044" t="s">
        <v>137</v>
      </c>
      <c r="G5" s="3042" t="s">
        <v>52</v>
      </c>
      <c r="H5" s="3045" t="s">
        <v>3545</v>
      </c>
      <c r="I5" s="3065" t="s">
        <v>4020</v>
      </c>
      <c r="J5" s="3037" t="s">
        <v>144</v>
      </c>
      <c r="K5" s="3038" t="s">
        <v>4021</v>
      </c>
      <c r="L5" s="3037" t="s">
        <v>4022</v>
      </c>
      <c r="M5" s="3037" t="s">
        <v>4023</v>
      </c>
      <c r="N5" s="3037" t="s">
        <v>4020</v>
      </c>
      <c r="O5" s="3037" t="s">
        <v>4022</v>
      </c>
      <c r="P5" s="3037" t="s">
        <v>4023</v>
      </c>
    </row>
    <row r="6" spans="1:16" s="3046" customFormat="1" ht="93.75">
      <c r="A6" s="1657" t="s">
        <v>3998</v>
      </c>
      <c r="B6" s="25" t="s">
        <v>3997</v>
      </c>
      <c r="C6" s="26" t="s">
        <v>3176</v>
      </c>
      <c r="D6" s="27">
        <v>252917587</v>
      </c>
      <c r="E6" s="3063" t="s">
        <v>3999</v>
      </c>
      <c r="F6" s="3063" t="s">
        <v>4000</v>
      </c>
      <c r="G6" s="3064" t="s">
        <v>3176</v>
      </c>
      <c r="H6" s="3072">
        <f>576712</f>
        <v>576712</v>
      </c>
      <c r="I6" s="3066">
        <f>+H6</f>
        <v>576712</v>
      </c>
      <c r="J6" s="3036">
        <f>+változtató!D122</f>
        <v>669475</v>
      </c>
      <c r="K6" s="3036">
        <f>+I6-J6</f>
        <v>-92763</v>
      </c>
      <c r="L6" s="3036">
        <f>+'7. mell. Önk.összes.bevétele'!T58</f>
        <v>92763</v>
      </c>
      <c r="M6" s="3036">
        <f>SUM(K6:L6)</f>
        <v>0</v>
      </c>
      <c r="N6" s="3036">
        <f>+D6</f>
        <v>252917587</v>
      </c>
      <c r="O6" s="3036">
        <f>+'7. mell. Önk.összes.bevétele'!T18</f>
        <v>252917587</v>
      </c>
      <c r="P6" s="3036">
        <f>+N6-O6</f>
        <v>0</v>
      </c>
    </row>
    <row r="7" spans="1:16" s="3046" customFormat="1" ht="37.5">
      <c r="A7" s="1657"/>
      <c r="B7" s="25"/>
      <c r="C7" s="26"/>
      <c r="D7" s="27"/>
      <c r="E7" s="3057" t="s">
        <v>3894</v>
      </c>
      <c r="F7" s="3057" t="s">
        <v>4001</v>
      </c>
      <c r="G7" s="3058" t="s">
        <v>3176</v>
      </c>
      <c r="H7" s="3059">
        <v>252340875</v>
      </c>
      <c r="I7" s="3066"/>
      <c r="J7" s="3036"/>
      <c r="K7" s="3036"/>
      <c r="L7" s="3036"/>
      <c r="M7" s="3036"/>
      <c r="N7" s="3036">
        <f>+D8</f>
        <v>390168070</v>
      </c>
      <c r="O7" s="3036">
        <f>+'7. mell. Önk.összes.bevétele'!T101</f>
        <v>390168070</v>
      </c>
      <c r="P7" s="3036">
        <f>+N7-O7</f>
        <v>0</v>
      </c>
    </row>
    <row r="8" spans="1:16" s="3046" customFormat="1" ht="56.25">
      <c r="A8" s="1657" t="s">
        <v>393</v>
      </c>
      <c r="B8" s="25"/>
      <c r="C8" s="26" t="s">
        <v>3176</v>
      </c>
      <c r="D8" s="27">
        <v>390168070</v>
      </c>
      <c r="E8" s="3054" t="s">
        <v>4005</v>
      </c>
      <c r="F8" s="3054" t="s">
        <v>4004</v>
      </c>
      <c r="G8" s="3055" t="s">
        <v>3176</v>
      </c>
      <c r="H8" s="3056">
        <f>36019597-H9</f>
        <v>30719597</v>
      </c>
      <c r="I8" s="3066"/>
      <c r="J8" s="3036"/>
      <c r="K8" s="3036"/>
      <c r="L8" s="3036"/>
      <c r="M8" s="3036"/>
      <c r="N8" s="3036"/>
      <c r="O8" s="3036"/>
      <c r="P8" s="3036"/>
    </row>
    <row r="9" spans="1:16" ht="56.25">
      <c r="A9" s="1657"/>
      <c r="B9" s="25"/>
      <c r="C9" s="26" t="s">
        <v>3176</v>
      </c>
      <c r="D9" s="27"/>
      <c r="E9" s="3054" t="s">
        <v>4006</v>
      </c>
      <c r="F9" s="3054" t="s">
        <v>4007</v>
      </c>
      <c r="G9" s="3055" t="s">
        <v>3176</v>
      </c>
      <c r="H9" s="3056">
        <v>5300000</v>
      </c>
      <c r="I9" s="3066"/>
      <c r="J9" s="3036"/>
      <c r="K9" s="3036"/>
      <c r="L9" s="3036"/>
      <c r="M9" s="3036"/>
      <c r="N9" s="3036"/>
      <c r="O9" s="3036"/>
      <c r="P9" s="3036"/>
    </row>
    <row r="10" spans="1:16" ht="37.5">
      <c r="A10" s="1657"/>
      <c r="B10" s="25"/>
      <c r="C10" s="26" t="s">
        <v>3176</v>
      </c>
      <c r="D10" s="27"/>
      <c r="E10" s="3054" t="s">
        <v>149</v>
      </c>
      <c r="F10" s="3054" t="s">
        <v>4018</v>
      </c>
      <c r="G10" s="3055" t="s">
        <v>3176</v>
      </c>
      <c r="H10" s="3056">
        <f>43370838-548422</f>
        <v>42822416</v>
      </c>
      <c r="I10" s="3066">
        <f>+H8+H9+H10</f>
        <v>78842013</v>
      </c>
      <c r="J10" s="3036">
        <f>+változtató!D124</f>
        <v>14823229</v>
      </c>
      <c r="K10" s="3036">
        <f>+I10-J10</f>
        <v>64018784</v>
      </c>
      <c r="L10" s="3036">
        <f>+'7. mell. Önk.összes.bevétele'!T218</f>
        <v>-64018784</v>
      </c>
      <c r="M10" s="3036">
        <f>SUM(K10:L10)</f>
        <v>0</v>
      </c>
      <c r="N10" s="3036"/>
      <c r="O10" s="3036"/>
      <c r="P10" s="3036"/>
    </row>
    <row r="11" spans="1:16" ht="18.75">
      <c r="A11" s="1657"/>
      <c r="B11" s="25"/>
      <c r="C11" s="26" t="s">
        <v>3176</v>
      </c>
      <c r="D11" s="27"/>
      <c r="E11" s="3060" t="s">
        <v>2860</v>
      </c>
      <c r="F11" s="3060" t="s">
        <v>4002</v>
      </c>
      <c r="G11" s="3061" t="s">
        <v>3176</v>
      </c>
      <c r="H11" s="3062">
        <v>419090</v>
      </c>
      <c r="I11" s="3066">
        <f>+H11</f>
        <v>419090</v>
      </c>
      <c r="J11" s="3036">
        <v>0</v>
      </c>
      <c r="K11" s="3036">
        <f>+I11-J11</f>
        <v>419090</v>
      </c>
      <c r="L11" s="3036">
        <f>+'7. mell. Önk.összes.bevétele'!T243</f>
        <v>-419090</v>
      </c>
      <c r="M11" s="3036">
        <f>SUM(K11:L11)</f>
        <v>0</v>
      </c>
      <c r="N11" s="3036"/>
      <c r="O11" s="3036"/>
      <c r="P11" s="3036"/>
    </row>
    <row r="12" spans="1:16" ht="37.5">
      <c r="A12" s="1657"/>
      <c r="B12" s="25"/>
      <c r="C12" s="26" t="s">
        <v>3176</v>
      </c>
      <c r="D12" s="27"/>
      <c r="E12" s="3057" t="s">
        <v>3894</v>
      </c>
      <c r="F12" s="3057" t="s">
        <v>4001</v>
      </c>
      <c r="G12" s="3058" t="s">
        <v>3176</v>
      </c>
      <c r="H12" s="3059">
        <v>246249458</v>
      </c>
      <c r="I12" s="3066">
        <f>+H7+H12</f>
        <v>498590333</v>
      </c>
      <c r="J12" s="3036">
        <v>0</v>
      </c>
      <c r="K12" s="3036">
        <f>+I12-J12</f>
        <v>498590333</v>
      </c>
      <c r="L12" s="3036">
        <f>+'7. mell. Önk.összes.bevétele'!T272</f>
        <v>-498590333</v>
      </c>
      <c r="M12" s="3036">
        <f>SUM(K12:L12)</f>
        <v>0</v>
      </c>
      <c r="N12" s="3036"/>
      <c r="O12" s="3036"/>
      <c r="P12" s="3036"/>
    </row>
    <row r="13" spans="1:16" ht="37.5">
      <c r="A13" s="1657"/>
      <c r="B13" s="25"/>
      <c r="C13" s="26" t="s">
        <v>3176</v>
      </c>
      <c r="D13" s="27"/>
      <c r="E13" s="25" t="s">
        <v>431</v>
      </c>
      <c r="F13" s="25" t="s">
        <v>4003</v>
      </c>
      <c r="G13" s="26" t="s">
        <v>3176</v>
      </c>
      <c r="H13" s="1658">
        <f>64109087+548422</f>
        <v>64657509</v>
      </c>
      <c r="I13" s="3066">
        <f>(+H13+H14)</f>
        <v>66692688</v>
      </c>
      <c r="J13" s="3036">
        <f>+változtató!D135+változtató!D136+változtató!D137</f>
        <v>-849954100</v>
      </c>
      <c r="K13" s="3036">
        <f>+I13-J13</f>
        <v>916646788</v>
      </c>
      <c r="L13" s="3036">
        <f>+'7. mell. Önk.összes.bevétele'!T287</f>
        <v>-916646788</v>
      </c>
      <c r="M13" s="3036">
        <f>SUM(K13:L13)</f>
        <v>0</v>
      </c>
      <c r="N13" s="3036"/>
      <c r="O13" s="3036"/>
      <c r="P13" s="3036"/>
    </row>
    <row r="14" spans="1:16" ht="38.25" thickBot="1">
      <c r="A14" s="3073" t="s">
        <v>1281</v>
      </c>
      <c r="B14" s="3074"/>
      <c r="C14" s="3075" t="s">
        <v>3176</v>
      </c>
      <c r="D14" s="3076">
        <v>2035179</v>
      </c>
      <c r="E14" s="3074" t="s">
        <v>431</v>
      </c>
      <c r="F14" s="3074" t="s">
        <v>4003</v>
      </c>
      <c r="G14" s="3075" t="s">
        <v>3176</v>
      </c>
      <c r="H14" s="3077">
        <f>2035179</f>
        <v>2035179</v>
      </c>
      <c r="I14" s="3066"/>
      <c r="J14" s="3036"/>
      <c r="K14" s="3036"/>
      <c r="L14" s="3036"/>
      <c r="M14" s="3036"/>
      <c r="N14" s="3036">
        <f>+D14</f>
        <v>2035179</v>
      </c>
      <c r="O14" s="3036">
        <f>+'7. mell. Önk.összes.bevétele'!T318</f>
        <v>2035179</v>
      </c>
      <c r="P14" s="3036">
        <f>+N14-O14</f>
        <v>0</v>
      </c>
    </row>
    <row r="15" spans="1:16" ht="18.75" hidden="1">
      <c r="A15" s="3067"/>
      <c r="B15" s="3068"/>
      <c r="C15" s="3069" t="s">
        <v>3176</v>
      </c>
      <c r="D15" s="3070"/>
      <c r="E15" s="3068"/>
      <c r="F15" s="3068"/>
      <c r="G15" s="3069" t="s">
        <v>3176</v>
      </c>
      <c r="H15" s="3071"/>
      <c r="I15" s="3036"/>
      <c r="J15" s="3036"/>
      <c r="K15" s="3036"/>
      <c r="L15" s="3036"/>
      <c r="M15" s="3036"/>
      <c r="N15" s="3036"/>
      <c r="O15" s="3036"/>
      <c r="P15" s="3036"/>
    </row>
    <row r="16" spans="1:16" ht="18.75" hidden="1">
      <c r="A16" s="1657"/>
      <c r="B16" s="25"/>
      <c r="C16" s="26" t="s">
        <v>3176</v>
      </c>
      <c r="D16" s="28"/>
      <c r="E16" s="25"/>
      <c r="F16" s="25"/>
      <c r="G16" s="26" t="s">
        <v>3176</v>
      </c>
      <c r="H16" s="1658"/>
      <c r="I16" s="3036"/>
      <c r="J16" s="3036"/>
      <c r="K16" s="3036"/>
      <c r="L16" s="3036"/>
      <c r="M16" s="3036"/>
      <c r="N16" s="3036"/>
      <c r="O16" s="3036"/>
      <c r="P16" s="3036"/>
    </row>
    <row r="17" spans="1:16" ht="18.75" hidden="1">
      <c r="A17" s="1657"/>
      <c r="B17" s="25"/>
      <c r="C17" s="26" t="s">
        <v>3176</v>
      </c>
      <c r="D17" s="27"/>
      <c r="E17" s="25"/>
      <c r="F17" s="25"/>
      <c r="G17" s="26" t="s">
        <v>3176</v>
      </c>
      <c r="H17" s="1658"/>
      <c r="I17" s="3036"/>
      <c r="J17" s="3036"/>
      <c r="K17" s="3036"/>
      <c r="L17" s="3036"/>
      <c r="M17" s="3036"/>
      <c r="N17" s="3036"/>
      <c r="O17" s="3036"/>
      <c r="P17" s="3036"/>
    </row>
    <row r="18" spans="1:16" ht="18.75" hidden="1">
      <c r="A18" s="1657"/>
      <c r="B18" s="25"/>
      <c r="C18" s="26" t="s">
        <v>3176</v>
      </c>
      <c r="D18" s="28"/>
      <c r="E18" s="25"/>
      <c r="F18" s="25"/>
      <c r="G18" s="26" t="s">
        <v>3176</v>
      </c>
      <c r="H18" s="1658"/>
      <c r="I18" s="3036"/>
      <c r="J18" s="3036"/>
      <c r="K18" s="3036"/>
      <c r="L18" s="3036"/>
      <c r="M18" s="3036"/>
      <c r="N18" s="3036"/>
      <c r="O18" s="3036"/>
      <c r="P18" s="3036"/>
    </row>
    <row r="19" spans="1:16" ht="18.75" hidden="1">
      <c r="A19" s="1657"/>
      <c r="B19" s="25"/>
      <c r="C19" s="26" t="s">
        <v>3176</v>
      </c>
      <c r="D19" s="27"/>
      <c r="E19" s="3047"/>
      <c r="F19" s="3047"/>
      <c r="G19" s="26" t="s">
        <v>3176</v>
      </c>
      <c r="H19" s="1658"/>
      <c r="I19" s="3036"/>
      <c r="J19" s="3036"/>
      <c r="K19" s="3036"/>
      <c r="L19" s="3036"/>
      <c r="M19" s="3036"/>
      <c r="N19" s="3036"/>
      <c r="O19" s="3036"/>
      <c r="P19" s="3036"/>
    </row>
    <row r="20" spans="1:16" ht="19.5" thickBot="1">
      <c r="A20" s="3048" t="s">
        <v>133</v>
      </c>
      <c r="B20" s="3049"/>
      <c r="C20" s="3050"/>
      <c r="D20" s="3051">
        <f>SUM(D6:D19)</f>
        <v>645120836</v>
      </c>
      <c r="E20" s="3049" t="s">
        <v>133</v>
      </c>
      <c r="F20" s="3052"/>
      <c r="G20" s="3050"/>
      <c r="H20" s="3053">
        <f>SUM(H6:H19)</f>
        <v>645120836</v>
      </c>
      <c r="I20" s="3036"/>
      <c r="J20" s="3036"/>
      <c r="K20" s="3036"/>
      <c r="L20" s="3036"/>
      <c r="M20" s="3036"/>
      <c r="N20" s="3036"/>
      <c r="O20" s="3036"/>
      <c r="P20" s="3036"/>
    </row>
    <row r="21" spans="1:16">
      <c r="D21" s="304"/>
      <c r="H21" s="304">
        <f>+D20-H20</f>
        <v>0</v>
      </c>
    </row>
    <row r="27" spans="1:16">
      <c r="H27" s="304">
        <f>+D8-H8-H9-H10-H11-H12-H13</f>
        <v>0</v>
      </c>
    </row>
  </sheetData>
  <sheetProtection selectLockedCells="1" selectUnlockedCells="1"/>
  <mergeCells count="5">
    <mergeCell ref="A1:H1"/>
    <mergeCell ref="A4:D4"/>
    <mergeCell ref="E4:H4"/>
    <mergeCell ref="I4:M4"/>
    <mergeCell ref="N4:P4"/>
  </mergeCells>
  <phoneticPr fontId="143" type="noConversion"/>
  <pageMargins left="0.78749999999999998" right="0.78749999999999998" top="0.98402777777777772" bottom="0.98402777777777772" header="0.51180555555555551" footer="0.51180555555555551"/>
  <pageSetup paperSize="9" scale="50" firstPageNumber="0" orientation="landscape"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05727-2EAB-4380-AD2A-53B62E39862F}">
  <sheetPr>
    <tabColor rgb="FF0070C0"/>
  </sheetPr>
  <dimension ref="A1:X89"/>
  <sheetViews>
    <sheetView view="pageBreakPreview" zoomScaleSheetLayoutView="100" workbookViewId="0">
      <pane xSplit="9" ySplit="6" topLeftCell="J7" activePane="bottomRight" state="frozen"/>
      <selection sqref="A1:AC1"/>
      <selection pane="topRight" sqref="A1:AC1"/>
      <selection pane="bottomLeft" sqref="A1:AC1"/>
      <selection pane="bottomRight" sqref="A1:T1"/>
    </sheetView>
  </sheetViews>
  <sheetFormatPr defaultRowHeight="12.75"/>
  <cols>
    <col min="1" max="1" width="9.140625" style="247" customWidth="1"/>
    <col min="2" max="2" width="83.7109375" style="248" customWidth="1"/>
    <col min="3" max="3" width="5.42578125" style="248" hidden="1" customWidth="1"/>
    <col min="4" max="4" width="8.5703125" style="248" hidden="1" customWidth="1"/>
    <col min="5" max="5" width="3.85546875" style="248" hidden="1" customWidth="1"/>
    <col min="6" max="7" width="10" style="248" hidden="1" customWidth="1"/>
    <col min="8" max="8" width="8.28515625" style="249" hidden="1" customWidth="1"/>
    <col min="9" max="10" width="15.7109375" style="169" hidden="1" customWidth="1"/>
    <col min="11" max="11" width="15.28515625" style="169" customWidth="1"/>
    <col min="12" max="12" width="16" style="250" hidden="1" customWidth="1"/>
    <col min="13" max="13" width="15.28515625" style="250" hidden="1" customWidth="1"/>
    <col min="14" max="14" width="15.28515625" style="250" customWidth="1"/>
    <col min="15" max="15" width="15.5703125" style="250" hidden="1" customWidth="1"/>
    <col min="16" max="16" width="15.7109375" style="250" customWidth="1"/>
    <col min="17" max="17" width="14.42578125" style="250" customWidth="1"/>
    <col min="18" max="21" width="15.5703125" style="250" hidden="1" customWidth="1"/>
    <col min="22" max="22" width="15.7109375" style="247" hidden="1" customWidth="1"/>
    <col min="23" max="23" width="9.140625" style="247"/>
    <col min="24" max="24" width="15.7109375" style="247" hidden="1" customWidth="1"/>
    <col min="25" max="16384" width="9.140625" style="247"/>
  </cols>
  <sheetData>
    <row r="1" spans="1:24" ht="36" customHeight="1">
      <c r="A1" s="3657" t="s">
        <v>4265</v>
      </c>
      <c r="B1" s="3657"/>
      <c r="C1" s="3657"/>
      <c r="D1" s="3657"/>
      <c r="E1" s="3657"/>
      <c r="F1" s="3657"/>
      <c r="G1" s="3657"/>
      <c r="H1" s="3657"/>
      <c r="I1" s="3657"/>
      <c r="J1" s="3657"/>
      <c r="K1" s="3657"/>
      <c r="L1" s="3657"/>
      <c r="M1" s="3657"/>
      <c r="N1" s="3657"/>
      <c r="O1" s="3657"/>
      <c r="P1" s="3657"/>
      <c r="Q1" s="3657"/>
      <c r="R1" s="3546"/>
      <c r="S1" s="3546"/>
      <c r="T1" s="3546"/>
      <c r="U1" s="251"/>
    </row>
    <row r="2" spans="1:24" s="252" customFormat="1" ht="19.5" customHeight="1">
      <c r="A2" s="3658" t="s">
        <v>1435</v>
      </c>
      <c r="B2" s="3658"/>
      <c r="C2" s="3658"/>
      <c r="D2" s="3658"/>
      <c r="E2" s="3658"/>
      <c r="F2" s="3658"/>
      <c r="G2" s="3658"/>
      <c r="H2" s="3658"/>
      <c r="I2" s="3658"/>
      <c r="J2" s="3658"/>
      <c r="K2" s="3658"/>
      <c r="L2" s="3658"/>
      <c r="M2" s="3658"/>
      <c r="N2" s="3658"/>
      <c r="O2" s="3658"/>
      <c r="P2" s="3658"/>
      <c r="Q2" s="3658"/>
      <c r="R2" s="3590"/>
      <c r="S2" s="3590"/>
      <c r="T2" s="3590"/>
      <c r="U2" s="255"/>
    </row>
    <row r="3" spans="1:24" s="252" customFormat="1" ht="14.25" customHeight="1">
      <c r="A3" s="1468"/>
      <c r="B3" s="1469" t="str">
        <f>+'10. PMH személyi jutt.és jár-ok'!B3</f>
        <v>A</v>
      </c>
      <c r="C3" s="1469"/>
      <c r="D3" s="1469"/>
      <c r="E3" s="1469"/>
      <c r="F3" s="1473"/>
      <c r="G3" s="1473"/>
      <c r="H3" s="1470"/>
      <c r="I3" s="1428" t="str">
        <f>+'10. PMH személyi jutt.és jár-ok'!I3</f>
        <v>B</v>
      </c>
      <c r="J3" s="1428" t="str">
        <f>+'10. PMH személyi jutt.és jár-ok'!J3</f>
        <v>B</v>
      </c>
      <c r="K3" s="1428" t="str">
        <f>+'10. PMH személyi jutt.és jár-ok'!K3</f>
        <v>B</v>
      </c>
      <c r="L3" s="1428" t="str">
        <f>+'10. PMH személyi jutt.és jár-ok'!L3</f>
        <v>D</v>
      </c>
      <c r="M3" s="1428" t="str">
        <f>+'10. PMH személyi jutt.és jár-ok'!M3</f>
        <v>E</v>
      </c>
      <c r="N3" s="1428" t="str">
        <f>+'10. PMH személyi jutt.és jár-ok'!N3</f>
        <v>C</v>
      </c>
      <c r="O3" s="1428" t="str">
        <f>+'10. PMH személyi jutt.és jár-ok'!O3</f>
        <v>F</v>
      </c>
      <c r="P3" s="1428" t="str">
        <f>+'10. PMH személyi jutt.és jár-ok'!P3</f>
        <v>D</v>
      </c>
      <c r="Q3" s="1428" t="str">
        <f>+'10. PMH személyi jutt.és jár-ok'!Q3</f>
        <v>E</v>
      </c>
      <c r="R3" s="1428">
        <f>+'10. PMH személyi jutt.és jár-ok'!R3</f>
        <v>0</v>
      </c>
      <c r="S3" s="1428" t="str">
        <f>+'10. PMH személyi jutt.és jár-ok'!S3</f>
        <v>F</v>
      </c>
      <c r="T3" s="1428" t="str">
        <f>+'10. PMH személyi jutt.és jár-ok'!T3</f>
        <v>G</v>
      </c>
      <c r="U3" s="177"/>
      <c r="W3" s="2758"/>
    </row>
    <row r="4" spans="1:24" ht="82.15" customHeight="1">
      <c r="A4" s="1471" t="s">
        <v>6</v>
      </c>
      <c r="B4" s="1466" t="s">
        <v>1333</v>
      </c>
      <c r="C4" s="1467" t="s">
        <v>504</v>
      </c>
      <c r="D4" s="1472" t="s">
        <v>505</v>
      </c>
      <c r="E4" s="1467" t="s">
        <v>506</v>
      </c>
      <c r="F4" s="1467" t="s">
        <v>1334</v>
      </c>
      <c r="G4" s="1467" t="s">
        <v>508</v>
      </c>
      <c r="H4" s="1467" t="s">
        <v>509</v>
      </c>
      <c r="I4" s="1422" t="str">
        <f>+'1. mell.ÖSSZEVONT_MÉRLEG'!C5</f>
        <v>2024. évi eredeti előirányzat
forintban</v>
      </c>
      <c r="J4" s="2591" t="str">
        <f>+'1. mell.ÖSSZEVONT_MÉRLEG'!D5</f>
        <v>2024. évi teljesítés forintban</v>
      </c>
      <c r="K4" s="1422" t="str">
        <f>+'1. mell.ÖSSZEVONT_MÉRLEG'!E5</f>
        <v>2025. évi eredeti előirányzat forintban</v>
      </c>
      <c r="L4" s="182" t="str">
        <f>+'1. mell.ÖSSZEVONT_MÉRLEG'!F5</f>
        <v>2025. évi I. számú módosított előirányzat
forintban</v>
      </c>
      <c r="M4" s="182" t="str">
        <f>+'1. mell.ÖSSZEVONT_MÉRLEG'!G5</f>
        <v>2025. évi II. számú módosított előirányzat forintban</v>
      </c>
      <c r="N4" s="182" t="str">
        <f>+'1. mell.ÖSSZEVONT_MÉRLEG'!H5</f>
        <v>2025. évi III. számú módosított előirányzat forintban</v>
      </c>
      <c r="O4" s="182" t="str">
        <f>+'1. mell.ÖSSZEVONT_MÉRLEG'!I5</f>
        <v>2025. évi IV. számú módosított előirányzat forintban</v>
      </c>
      <c r="P4" s="3191" t="str">
        <f>+'1. mell.ÖSSZEVONT_MÉRLEG'!J5</f>
        <v>2025. évi
teljesítés forintban</v>
      </c>
      <c r="Q4" s="182" t="str">
        <f>+'1. mell.ÖSSZEVONT_MÉRLEG'!K5</f>
        <v xml:space="preserve"> 2025. évi teljesítés / 2025. évi III. számú módosított előirányzat</v>
      </c>
      <c r="R4" s="183" t="str">
        <f>+'1. mell.ÖSSZEVONT_MÉRLEG'!L5</f>
        <v>Változás I. módosításnál</v>
      </c>
      <c r="S4" s="1341" t="str">
        <f>+'1. mell.ÖSSZEVONT_MÉRLEG'!M5</f>
        <v>Előirányzat-módosítások, előirányzat-átcsoportosítások összegszerű változásai</v>
      </c>
      <c r="T4" s="2546" t="str">
        <f>+'1. mell.ÖSSZEVONT_MÉRLEG'!N5</f>
        <v>Előirányzat-módosítások, előirányzat-átcsoportosítások összegszerű változásai a III. módosításnál</v>
      </c>
      <c r="U4" s="1218" t="s">
        <v>175</v>
      </c>
      <c r="V4" s="2752" t="s">
        <v>3915</v>
      </c>
      <c r="W4" s="2759"/>
      <c r="X4" s="182" t="s">
        <v>3690</v>
      </c>
    </row>
    <row r="5" spans="1:24" hidden="1">
      <c r="A5" s="259">
        <f>+'10. PMH személyi jutt.és jár-ok'!A5</f>
        <v>1</v>
      </c>
      <c r="B5" s="259">
        <f>+'10. PMH személyi jutt.és jár-ok'!B5</f>
        <v>2</v>
      </c>
      <c r="C5" s="259">
        <f>+'10. PMH személyi jutt.és jár-ok'!C5</f>
        <v>0</v>
      </c>
      <c r="D5" s="259">
        <f>+'10. PMH személyi jutt.és jár-ok'!D5</f>
        <v>0</v>
      </c>
      <c r="E5" s="259">
        <f>+'10. PMH személyi jutt.és jár-ok'!E5</f>
        <v>0</v>
      </c>
      <c r="F5" s="259">
        <f>+'10. PMH személyi jutt.és jár-ok'!F5</f>
        <v>0</v>
      </c>
      <c r="G5" s="259">
        <f>+'10. PMH személyi jutt.és jár-ok'!G5</f>
        <v>0</v>
      </c>
      <c r="H5" s="259">
        <f>+'10. PMH személyi jutt.és jár-ok'!H5</f>
        <v>0</v>
      </c>
      <c r="I5" s="179">
        <f>+'10. PMH személyi jutt.és jár-ok'!I5</f>
        <v>3</v>
      </c>
      <c r="J5" s="2547">
        <f>+'10. PMH személyi jutt.és jár-ok'!J5</f>
        <v>0</v>
      </c>
      <c r="K5" s="179">
        <f>+'10. PMH személyi jutt.és jár-ok'!K5</f>
        <v>3</v>
      </c>
      <c r="L5" s="259">
        <f>+'10. PMH személyi jutt.és jár-ok'!L5</f>
        <v>4</v>
      </c>
      <c r="M5" s="259">
        <f>+'10. PMH személyi jutt.és jár-ok'!M5</f>
        <v>5</v>
      </c>
      <c r="N5" s="259">
        <f>+'10. PMH személyi jutt.és jár-ok'!N5</f>
        <v>6</v>
      </c>
      <c r="O5" s="259">
        <f>+'10. PMH személyi jutt.és jár-ok'!O5</f>
        <v>7</v>
      </c>
      <c r="P5" s="3192">
        <f>+'10. PMH személyi jutt.és jár-ok'!P5</f>
        <v>0</v>
      </c>
      <c r="Q5" s="259">
        <f>+'10. PMH személyi jutt.és jár-ok'!Q5</f>
        <v>5</v>
      </c>
      <c r="R5" s="1214"/>
      <c r="S5" s="1223"/>
      <c r="T5" s="1223"/>
      <c r="U5" s="613"/>
      <c r="V5" s="2753">
        <v>0</v>
      </c>
      <c r="W5" s="2759"/>
      <c r="X5" s="259">
        <v>0</v>
      </c>
    </row>
    <row r="6" spans="1:24" hidden="1">
      <c r="A6" s="259"/>
      <c r="B6" s="259"/>
      <c r="C6" s="259"/>
      <c r="D6" s="259"/>
      <c r="E6" s="259"/>
      <c r="F6" s="259"/>
      <c r="G6" s="259"/>
      <c r="H6" s="260"/>
      <c r="I6" s="184"/>
      <c r="J6" s="2751"/>
      <c r="K6" s="617"/>
      <c r="L6" s="261"/>
      <c r="M6" s="261"/>
      <c r="N6" s="261"/>
      <c r="O6" s="261"/>
      <c r="P6" s="3193"/>
      <c r="Q6" s="261"/>
      <c r="R6" s="1215"/>
      <c r="S6" s="1224"/>
      <c r="T6" s="1224"/>
      <c r="U6" s="1219"/>
      <c r="V6" s="2754"/>
      <c r="W6" s="2759"/>
      <c r="X6" s="261"/>
    </row>
    <row r="7" spans="1:24">
      <c r="A7" s="259" t="s">
        <v>12</v>
      </c>
      <c r="B7" s="263" t="s">
        <v>1437</v>
      </c>
      <c r="C7" s="263"/>
      <c r="D7" s="263"/>
      <c r="E7" s="263"/>
      <c r="F7" s="263"/>
      <c r="G7" s="263"/>
      <c r="H7" s="264" t="s">
        <v>1438</v>
      </c>
      <c r="I7" s="192">
        <f>+'PMH Dologi(alábontás)-nem része'!I7</f>
        <v>50000</v>
      </c>
      <c r="J7" s="2550">
        <f>+'PMH Dologi(alábontás)-nem része'!J7</f>
        <v>81155</v>
      </c>
      <c r="K7" s="192">
        <f>+'PMH Dologi(alábontás)-nem része'!K7</f>
        <v>100000</v>
      </c>
      <c r="L7" s="275">
        <f>+'PMH Dologi(alábontás)-nem része'!L7</f>
        <v>100000</v>
      </c>
      <c r="M7" s="275">
        <f>+'PMH Dologi(alábontás)-nem része'!M7</f>
        <v>100000</v>
      </c>
      <c r="N7" s="275">
        <f>+'PMH Dologi(alábontás)-nem része'!N7</f>
        <v>100000</v>
      </c>
      <c r="O7" s="275">
        <f>+'PMH Dologi(alábontás)-nem része'!O7</f>
        <v>100000</v>
      </c>
      <c r="P7" s="3194">
        <f>+'PMH Dologi(alábontás)-nem része'!P7</f>
        <v>77505</v>
      </c>
      <c r="Q7" s="283">
        <f>+P7/N7</f>
        <v>0.77505000000000002</v>
      </c>
      <c r="R7" s="1216">
        <f t="shared" ref="R7:R89" si="0">+L7-K7</f>
        <v>0</v>
      </c>
      <c r="S7" s="1225">
        <f t="shared" ref="S7:T89" si="1">+M7-L7</f>
        <v>0</v>
      </c>
      <c r="T7" s="1225">
        <f t="shared" ref="T7:T43" si="2">+N7-M7</f>
        <v>0</v>
      </c>
      <c r="U7" s="1220">
        <f t="shared" ref="U7:U43" si="3">+O7-N7</f>
        <v>0</v>
      </c>
      <c r="V7" s="2755">
        <v>81155</v>
      </c>
      <c r="W7" s="2759"/>
      <c r="X7" s="275">
        <v>76215</v>
      </c>
    </row>
    <row r="8" spans="1:24">
      <c r="A8" s="259" t="s">
        <v>14</v>
      </c>
      <c r="B8" s="263" t="s">
        <v>1439</v>
      </c>
      <c r="C8" s="263"/>
      <c r="D8" s="263"/>
      <c r="E8" s="263"/>
      <c r="F8" s="263"/>
      <c r="G8" s="263"/>
      <c r="H8" s="264" t="s">
        <v>1440</v>
      </c>
      <c r="I8" s="192">
        <f>+'PMH Dologi(alábontás)-nem része'!I8</f>
        <v>0</v>
      </c>
      <c r="J8" s="2550">
        <f>+'PMH Dologi(alábontás)-nem része'!J8</f>
        <v>0</v>
      </c>
      <c r="K8" s="192">
        <f>+'PMH Dologi(alábontás)-nem része'!K8</f>
        <v>0</v>
      </c>
      <c r="L8" s="275">
        <f>+'PMH Dologi(alábontás)-nem része'!L8</f>
        <v>0</v>
      </c>
      <c r="M8" s="275">
        <f>+'PMH Dologi(alábontás)-nem része'!M8</f>
        <v>0</v>
      </c>
      <c r="N8" s="275">
        <f>+'PMH Dologi(alábontás)-nem része'!N8</f>
        <v>0</v>
      </c>
      <c r="O8" s="275">
        <f>+'PMH Dologi(alábontás)-nem része'!O8</f>
        <v>0</v>
      </c>
      <c r="P8" s="3194">
        <f>+'PMH Dologi(alábontás)-nem része'!P8</f>
        <v>0</v>
      </c>
      <c r="Q8" s="280"/>
      <c r="R8" s="1216">
        <f t="shared" si="0"/>
        <v>0</v>
      </c>
      <c r="S8" s="1225">
        <f t="shared" si="1"/>
        <v>0</v>
      </c>
      <c r="T8" s="1225">
        <f t="shared" si="2"/>
        <v>0</v>
      </c>
      <c r="U8" s="1220">
        <f t="shared" si="3"/>
        <v>0</v>
      </c>
      <c r="V8" s="2755">
        <v>0</v>
      </c>
      <c r="W8" s="2759"/>
      <c r="X8" s="275">
        <v>0</v>
      </c>
    </row>
    <row r="9" spans="1:24">
      <c r="A9" s="259" t="s">
        <v>15</v>
      </c>
      <c r="B9" s="263" t="s">
        <v>1441</v>
      </c>
      <c r="C9" s="263"/>
      <c r="D9" s="263"/>
      <c r="E9" s="263"/>
      <c r="F9" s="263"/>
      <c r="G9" s="263"/>
      <c r="H9" s="264" t="s">
        <v>1442</v>
      </c>
      <c r="I9" s="192">
        <f>+'PMH Dologi(alábontás)-nem része'!I9</f>
        <v>50000</v>
      </c>
      <c r="J9" s="2550">
        <f>+'PMH Dologi(alábontás)-nem része'!J9</f>
        <v>40100</v>
      </c>
      <c r="K9" s="192">
        <f>+'PMH Dologi(alábontás)-nem része'!K9</f>
        <v>50000</v>
      </c>
      <c r="L9" s="275">
        <f>+'PMH Dologi(alábontás)-nem része'!L9</f>
        <v>50000</v>
      </c>
      <c r="M9" s="275">
        <f>+'PMH Dologi(alábontás)-nem része'!M9</f>
        <v>50000</v>
      </c>
      <c r="N9" s="275">
        <f>+'PMH Dologi(alábontás)-nem része'!N9</f>
        <v>50000</v>
      </c>
      <c r="O9" s="275">
        <f>+'PMH Dologi(alábontás)-nem része'!O9</f>
        <v>50000</v>
      </c>
      <c r="P9" s="3194">
        <f>+'PMH Dologi(alábontás)-nem része'!P9</f>
        <v>3675</v>
      </c>
      <c r="Q9" s="280">
        <f t="shared" ref="Q9:Q68" si="4">+P9/N9</f>
        <v>7.3499999999999996E-2</v>
      </c>
      <c r="R9" s="1216">
        <f t="shared" si="0"/>
        <v>0</v>
      </c>
      <c r="S9" s="1225">
        <f t="shared" si="1"/>
        <v>0</v>
      </c>
      <c r="T9" s="1225">
        <f t="shared" si="2"/>
        <v>0</v>
      </c>
      <c r="U9" s="1220">
        <f t="shared" si="3"/>
        <v>0</v>
      </c>
      <c r="V9" s="2755">
        <v>40100</v>
      </c>
      <c r="W9" s="2759"/>
      <c r="X9" s="275">
        <v>14700</v>
      </c>
    </row>
    <row r="10" spans="1:24">
      <c r="A10" s="259" t="s">
        <v>17</v>
      </c>
      <c r="B10" s="263" t="s">
        <v>1443</v>
      </c>
      <c r="C10" s="263"/>
      <c r="D10" s="263"/>
      <c r="E10" s="263"/>
      <c r="F10" s="263"/>
      <c r="G10" s="263"/>
      <c r="H10" s="264" t="s">
        <v>1444</v>
      </c>
      <c r="I10" s="192">
        <f>+'PMH Dologi(alábontás)-nem része'!I10</f>
        <v>350000</v>
      </c>
      <c r="J10" s="2550">
        <f>+'PMH Dologi(alábontás)-nem része'!J10</f>
        <v>279173</v>
      </c>
      <c r="K10" s="192">
        <f>+'PMH Dologi(alábontás)-nem része'!K10</f>
        <v>350000</v>
      </c>
      <c r="L10" s="275">
        <f>+'PMH Dologi(alábontás)-nem része'!L10</f>
        <v>350000</v>
      </c>
      <c r="M10" s="275">
        <f>+'PMH Dologi(alábontás)-nem része'!M10</f>
        <v>350000</v>
      </c>
      <c r="N10" s="275">
        <f>+'PMH Dologi(alábontás)-nem része'!N10</f>
        <v>350000</v>
      </c>
      <c r="O10" s="275">
        <f>+'PMH Dologi(alábontás)-nem része'!O10</f>
        <v>350000</v>
      </c>
      <c r="P10" s="3194">
        <f>+'PMH Dologi(alábontás)-nem része'!P10</f>
        <v>296547</v>
      </c>
      <c r="Q10" s="280">
        <f t="shared" si="4"/>
        <v>0.84727714285714284</v>
      </c>
      <c r="R10" s="1216">
        <f t="shared" si="0"/>
        <v>0</v>
      </c>
      <c r="S10" s="1225">
        <f t="shared" si="1"/>
        <v>0</v>
      </c>
      <c r="T10" s="1225">
        <f t="shared" si="2"/>
        <v>0</v>
      </c>
      <c r="U10" s="1220">
        <f t="shared" si="3"/>
        <v>0</v>
      </c>
      <c r="V10" s="2755">
        <v>279173</v>
      </c>
      <c r="W10" s="2759"/>
      <c r="X10" s="275">
        <v>215800</v>
      </c>
    </row>
    <row r="11" spans="1:24">
      <c r="A11" s="259" t="s">
        <v>19</v>
      </c>
      <c r="B11" s="263" t="s">
        <v>1445</v>
      </c>
      <c r="C11" s="263"/>
      <c r="D11" s="263"/>
      <c r="E11" s="263"/>
      <c r="F11" s="263"/>
      <c r="G11" s="263"/>
      <c r="H11" s="264" t="s">
        <v>1446</v>
      </c>
      <c r="I11" s="192">
        <f>+'PMH Dologi(alábontás)-nem része'!I11</f>
        <v>100000</v>
      </c>
      <c r="J11" s="2550">
        <f>+'PMH Dologi(alábontás)-nem része'!J11</f>
        <v>0</v>
      </c>
      <c r="K11" s="192">
        <f>+'PMH Dologi(alábontás)-nem része'!K11</f>
        <v>100000</v>
      </c>
      <c r="L11" s="275">
        <f>+'PMH Dologi(alábontás)-nem része'!L11</f>
        <v>100000</v>
      </c>
      <c r="M11" s="275">
        <f>+'PMH Dologi(alábontás)-nem része'!M11</f>
        <v>100000</v>
      </c>
      <c r="N11" s="275">
        <f>+'PMH Dologi(alábontás)-nem része'!N11</f>
        <v>100000</v>
      </c>
      <c r="O11" s="275">
        <f>+'PMH Dologi(alábontás)-nem része'!O11</f>
        <v>100000</v>
      </c>
      <c r="P11" s="3194">
        <f>+'PMH Dologi(alábontás)-nem része'!P11</f>
        <v>76200</v>
      </c>
      <c r="Q11" s="280">
        <f t="shared" si="4"/>
        <v>0.76200000000000001</v>
      </c>
      <c r="R11" s="1216">
        <f t="shared" si="0"/>
        <v>0</v>
      </c>
      <c r="S11" s="1225">
        <f t="shared" si="1"/>
        <v>0</v>
      </c>
      <c r="T11" s="1225">
        <f t="shared" si="2"/>
        <v>0</v>
      </c>
      <c r="U11" s="1220">
        <f t="shared" si="3"/>
        <v>0</v>
      </c>
      <c r="V11" s="2755">
        <v>0</v>
      </c>
      <c r="W11" s="2759"/>
      <c r="X11" s="275">
        <v>0</v>
      </c>
    </row>
    <row r="12" spans="1:24">
      <c r="A12" s="259" t="s">
        <v>21</v>
      </c>
      <c r="B12" s="263" t="s">
        <v>83</v>
      </c>
      <c r="C12" s="263"/>
      <c r="D12" s="263"/>
      <c r="E12" s="263"/>
      <c r="F12" s="263"/>
      <c r="G12" s="263"/>
      <c r="H12" s="264" t="s">
        <v>1447</v>
      </c>
      <c r="I12" s="192">
        <f>+'PMH Dologi(alábontás)-nem része'!I12</f>
        <v>500000</v>
      </c>
      <c r="J12" s="2550">
        <f>+'PMH Dologi(alábontás)-nem része'!J12</f>
        <v>135970</v>
      </c>
      <c r="K12" s="192">
        <f>+'PMH Dologi(alábontás)-nem része'!K12</f>
        <v>500000</v>
      </c>
      <c r="L12" s="275">
        <f>+'PMH Dologi(alábontás)-nem része'!L12</f>
        <v>500000</v>
      </c>
      <c r="M12" s="275">
        <f>+'PMH Dologi(alábontás)-nem része'!M12</f>
        <v>500000</v>
      </c>
      <c r="N12" s="275">
        <f>+'PMH Dologi(alábontás)-nem része'!N12</f>
        <v>500000</v>
      </c>
      <c r="O12" s="275">
        <f>+'PMH Dologi(alábontás)-nem része'!O12</f>
        <v>500000</v>
      </c>
      <c r="P12" s="3194">
        <f>+'PMH Dologi(alábontás)-nem része'!P12</f>
        <v>204277</v>
      </c>
      <c r="Q12" s="280">
        <f t="shared" si="4"/>
        <v>0.40855399999999997</v>
      </c>
      <c r="R12" s="1216">
        <f t="shared" si="0"/>
        <v>0</v>
      </c>
      <c r="S12" s="1225">
        <f t="shared" si="1"/>
        <v>0</v>
      </c>
      <c r="T12" s="1225">
        <f t="shared" si="2"/>
        <v>0</v>
      </c>
      <c r="U12" s="1220">
        <f t="shared" si="3"/>
        <v>0</v>
      </c>
      <c r="V12" s="2755">
        <v>135970</v>
      </c>
      <c r="W12" s="2759"/>
      <c r="X12" s="275">
        <v>42770</v>
      </c>
    </row>
    <row r="13" spans="1:24">
      <c r="A13" s="259" t="s">
        <v>23</v>
      </c>
      <c r="B13" s="281" t="s">
        <v>1448</v>
      </c>
      <c r="C13" s="281"/>
      <c r="D13" s="281"/>
      <c r="E13" s="281"/>
      <c r="F13" s="281"/>
      <c r="G13" s="281"/>
      <c r="H13" s="260" t="s">
        <v>1449</v>
      </c>
      <c r="I13" s="209">
        <f t="shared" ref="I13:P13" si="5">SUM(I7:I12)</f>
        <v>1050000</v>
      </c>
      <c r="J13" s="2549">
        <f t="shared" si="5"/>
        <v>536398</v>
      </c>
      <c r="K13" s="209">
        <f t="shared" si="5"/>
        <v>1100000</v>
      </c>
      <c r="L13" s="265">
        <f t="shared" si="5"/>
        <v>1100000</v>
      </c>
      <c r="M13" s="265">
        <f t="shared" si="5"/>
        <v>1100000</v>
      </c>
      <c r="N13" s="265">
        <f t="shared" si="5"/>
        <v>1100000</v>
      </c>
      <c r="O13" s="265">
        <f t="shared" si="5"/>
        <v>1100000</v>
      </c>
      <c r="P13" s="3195">
        <f t="shared" si="5"/>
        <v>658204</v>
      </c>
      <c r="Q13" s="267">
        <f t="shared" si="4"/>
        <v>0.59836727272727275</v>
      </c>
      <c r="R13" s="1212">
        <f t="shared" si="0"/>
        <v>0</v>
      </c>
      <c r="S13" s="1226">
        <f t="shared" si="1"/>
        <v>0</v>
      </c>
      <c r="T13" s="1226">
        <f t="shared" si="2"/>
        <v>0</v>
      </c>
      <c r="U13" s="1221">
        <f t="shared" si="3"/>
        <v>0</v>
      </c>
      <c r="V13" s="2756">
        <v>536398</v>
      </c>
      <c r="W13" s="2759"/>
      <c r="X13" s="265">
        <v>349485</v>
      </c>
    </row>
    <row r="14" spans="1:24">
      <c r="A14" s="259" t="s">
        <v>25</v>
      </c>
      <c r="B14" s="263" t="s">
        <v>1450</v>
      </c>
      <c r="C14" s="263"/>
      <c r="D14" s="263"/>
      <c r="E14" s="263"/>
      <c r="F14" s="263"/>
      <c r="G14" s="263"/>
      <c r="H14" s="264" t="s">
        <v>1451</v>
      </c>
      <c r="I14" s="192">
        <f>+'PMH Dologi(alábontás)-nem része'!I14</f>
        <v>0</v>
      </c>
      <c r="J14" s="2550">
        <f>+'PMH Dologi(alábontás)-nem része'!J14</f>
        <v>0</v>
      </c>
      <c r="K14" s="192">
        <f>+'PMH Dologi(alábontás)-nem része'!K14</f>
        <v>0</v>
      </c>
      <c r="L14" s="275">
        <f>+'PMH Dologi(alábontás)-nem része'!L14</f>
        <v>0</v>
      </c>
      <c r="M14" s="275">
        <f>+'PMH Dologi(alábontás)-nem része'!M14</f>
        <v>0</v>
      </c>
      <c r="N14" s="275">
        <f>+'PMH Dologi(alábontás)-nem része'!N14</f>
        <v>0</v>
      </c>
      <c r="O14" s="275">
        <f>+'PMH Dologi(alábontás)-nem része'!O14</f>
        <v>0</v>
      </c>
      <c r="P14" s="3194">
        <f>+'PMH Dologi(alábontás)-nem része'!P14</f>
        <v>0</v>
      </c>
      <c r="Q14" s="280"/>
      <c r="R14" s="1216">
        <f t="shared" si="0"/>
        <v>0</v>
      </c>
      <c r="S14" s="1225">
        <f t="shared" si="1"/>
        <v>0</v>
      </c>
      <c r="T14" s="1225">
        <f t="shared" si="2"/>
        <v>0</v>
      </c>
      <c r="U14" s="1220">
        <f t="shared" si="3"/>
        <v>0</v>
      </c>
      <c r="V14" s="2755">
        <v>0</v>
      </c>
      <c r="W14" s="2759"/>
      <c r="X14" s="275">
        <v>0</v>
      </c>
    </row>
    <row r="15" spans="1:24">
      <c r="A15" s="259" t="s">
        <v>27</v>
      </c>
      <c r="B15" s="263" t="s">
        <v>1452</v>
      </c>
      <c r="C15" s="263"/>
      <c r="D15" s="263"/>
      <c r="E15" s="263"/>
      <c r="F15" s="263"/>
      <c r="G15" s="263"/>
      <c r="H15" s="264" t="s">
        <v>1453</v>
      </c>
      <c r="I15" s="192">
        <f>+'PMH Dologi(alábontás)-nem része'!I15</f>
        <v>9500000</v>
      </c>
      <c r="J15" s="2550">
        <f>+'PMH Dologi(alábontás)-nem része'!J15</f>
        <v>9254106</v>
      </c>
      <c r="K15" s="192">
        <f>+'PMH Dologi(alábontás)-nem része'!K15</f>
        <v>9500000</v>
      </c>
      <c r="L15" s="275">
        <f>+'PMH Dologi(alábontás)-nem része'!L15</f>
        <v>9500000</v>
      </c>
      <c r="M15" s="275">
        <f>+'PMH Dologi(alábontás)-nem része'!M15</f>
        <v>9500000</v>
      </c>
      <c r="N15" s="275">
        <f>+'PMH Dologi(alábontás)-nem része'!N15</f>
        <v>9202803</v>
      </c>
      <c r="O15" s="275">
        <f>+'PMH Dologi(alábontás)-nem része'!O15</f>
        <v>9202803</v>
      </c>
      <c r="P15" s="3194">
        <f>+'PMH Dologi(alábontás)-nem része'!P15</f>
        <v>8111440</v>
      </c>
      <c r="Q15" s="280">
        <f t="shared" si="4"/>
        <v>0.88140971832168957</v>
      </c>
      <c r="R15" s="1216">
        <f t="shared" si="0"/>
        <v>0</v>
      </c>
      <c r="S15" s="1225">
        <f t="shared" si="1"/>
        <v>0</v>
      </c>
      <c r="T15" s="1225">
        <f t="shared" si="2"/>
        <v>-297197</v>
      </c>
      <c r="U15" s="1220">
        <f t="shared" si="3"/>
        <v>0</v>
      </c>
      <c r="V15" s="2755">
        <v>9254106</v>
      </c>
      <c r="W15" s="2759"/>
      <c r="X15" s="275">
        <v>7926851</v>
      </c>
    </row>
    <row r="16" spans="1:24">
      <c r="A16" s="259" t="s">
        <v>29</v>
      </c>
      <c r="B16" s="263" t="s">
        <v>1454</v>
      </c>
      <c r="C16" s="263"/>
      <c r="D16" s="263"/>
      <c r="E16" s="263"/>
      <c r="F16" s="263"/>
      <c r="G16" s="263"/>
      <c r="H16" s="264" t="s">
        <v>1455</v>
      </c>
      <c r="I16" s="192">
        <f>+'PMH Dologi(alábontás)-nem része'!I16</f>
        <v>0</v>
      </c>
      <c r="J16" s="2550">
        <f>+'PMH Dologi(alábontás)-nem része'!J16</f>
        <v>0</v>
      </c>
      <c r="K16" s="192">
        <f>+'PMH Dologi(alábontás)-nem része'!K16</f>
        <v>0</v>
      </c>
      <c r="L16" s="275">
        <f>+'PMH Dologi(alábontás)-nem része'!L16</f>
        <v>0</v>
      </c>
      <c r="M16" s="275">
        <f>+'PMH Dologi(alábontás)-nem része'!M16</f>
        <v>0</v>
      </c>
      <c r="N16" s="275">
        <f>+'PMH Dologi(alábontás)-nem része'!N16</f>
        <v>0</v>
      </c>
      <c r="O16" s="275">
        <f>+'PMH Dologi(alábontás)-nem része'!O16</f>
        <v>0</v>
      </c>
      <c r="P16" s="3194">
        <f>+'PMH Dologi(alábontás)-nem része'!P16</f>
        <v>0</v>
      </c>
      <c r="Q16" s="280"/>
      <c r="R16" s="1216">
        <f t="shared" si="0"/>
        <v>0</v>
      </c>
      <c r="S16" s="1225">
        <f t="shared" si="1"/>
        <v>0</v>
      </c>
      <c r="T16" s="1225">
        <f t="shared" si="2"/>
        <v>0</v>
      </c>
      <c r="U16" s="1220">
        <f t="shared" si="3"/>
        <v>0</v>
      </c>
      <c r="V16" s="2755">
        <v>0</v>
      </c>
      <c r="W16" s="2759"/>
      <c r="X16" s="275">
        <v>0</v>
      </c>
    </row>
    <row r="17" spans="1:24">
      <c r="A17" s="259" t="s">
        <v>31</v>
      </c>
      <c r="B17" s="263" t="s">
        <v>1456</v>
      </c>
      <c r="C17" s="263"/>
      <c r="D17" s="263"/>
      <c r="E17" s="263"/>
      <c r="F17" s="263"/>
      <c r="G17" s="263"/>
      <c r="H17" s="264" t="s">
        <v>1457</v>
      </c>
      <c r="I17" s="192">
        <f>+'PMH Dologi(alábontás)-nem része'!I17</f>
        <v>9200000</v>
      </c>
      <c r="J17" s="2550">
        <f>+'PMH Dologi(alábontás)-nem része'!J17</f>
        <v>8057302</v>
      </c>
      <c r="K17" s="192">
        <f>+'PMH Dologi(alábontás)-nem része'!K17</f>
        <v>8568000</v>
      </c>
      <c r="L17" s="275">
        <f>+'PMH Dologi(alábontás)-nem része'!L17</f>
        <v>8568000</v>
      </c>
      <c r="M17" s="275">
        <f>+'PMH Dologi(alábontás)-nem része'!M17</f>
        <v>8568000</v>
      </c>
      <c r="N17" s="275">
        <f>+'PMH Dologi(alábontás)-nem része'!N17</f>
        <v>8865197</v>
      </c>
      <c r="O17" s="275">
        <f>+'PMH Dologi(alábontás)-nem része'!O17</f>
        <v>8865197</v>
      </c>
      <c r="P17" s="3194">
        <f>+'PMH Dologi(alábontás)-nem része'!P17</f>
        <v>8865197</v>
      </c>
      <c r="Q17" s="280">
        <f t="shared" si="4"/>
        <v>1</v>
      </c>
      <c r="R17" s="1216">
        <f t="shared" si="0"/>
        <v>0</v>
      </c>
      <c r="S17" s="1225">
        <f t="shared" si="1"/>
        <v>0</v>
      </c>
      <c r="T17" s="1225">
        <f t="shared" si="2"/>
        <v>297197</v>
      </c>
      <c r="U17" s="1220">
        <f t="shared" si="3"/>
        <v>0</v>
      </c>
      <c r="V17" s="2755">
        <v>8057302</v>
      </c>
      <c r="W17" s="2759"/>
      <c r="X17" s="275">
        <v>6619216</v>
      </c>
    </row>
    <row r="18" spans="1:24">
      <c r="A18" s="259" t="s">
        <v>33</v>
      </c>
      <c r="B18" s="263" t="s">
        <v>1458</v>
      </c>
      <c r="C18" s="263"/>
      <c r="D18" s="263"/>
      <c r="E18" s="263"/>
      <c r="F18" s="263"/>
      <c r="G18" s="263"/>
      <c r="H18" s="264" t="s">
        <v>1459</v>
      </c>
      <c r="I18" s="192">
        <f>+'PMH Dologi(alábontás)-nem része'!I18</f>
        <v>5500000</v>
      </c>
      <c r="J18" s="2550">
        <f>+'PMH Dologi(alábontás)-nem része'!J18</f>
        <v>2435052</v>
      </c>
      <c r="K18" s="192">
        <f>+'PMH Dologi(alábontás)-nem része'!K18</f>
        <v>3500000</v>
      </c>
      <c r="L18" s="275">
        <f>+'PMH Dologi(alábontás)-nem része'!L18</f>
        <v>3500000</v>
      </c>
      <c r="M18" s="275">
        <f>+'PMH Dologi(alábontás)-nem része'!M18</f>
        <v>3500000</v>
      </c>
      <c r="N18" s="275">
        <f>+'PMH Dologi(alábontás)-nem része'!N18</f>
        <v>3500000</v>
      </c>
      <c r="O18" s="275">
        <f>+'PMH Dologi(alábontás)-nem része'!O18</f>
        <v>3500000</v>
      </c>
      <c r="P18" s="3194">
        <f>+'PMH Dologi(alábontás)-nem része'!P18</f>
        <v>3308299</v>
      </c>
      <c r="Q18" s="280">
        <f t="shared" si="4"/>
        <v>0.94522828571428574</v>
      </c>
      <c r="R18" s="1216">
        <f t="shared" si="0"/>
        <v>0</v>
      </c>
      <c r="S18" s="1225">
        <f t="shared" si="1"/>
        <v>0</v>
      </c>
      <c r="T18" s="1225">
        <f t="shared" si="2"/>
        <v>0</v>
      </c>
      <c r="U18" s="1220">
        <f t="shared" si="3"/>
        <v>0</v>
      </c>
      <c r="V18" s="2755">
        <v>2435052</v>
      </c>
      <c r="W18" s="2759"/>
      <c r="X18" s="275">
        <v>629302</v>
      </c>
    </row>
    <row r="19" spans="1:24">
      <c r="A19" s="259" t="s">
        <v>35</v>
      </c>
      <c r="B19" s="263" t="s">
        <v>1460</v>
      </c>
      <c r="C19" s="263"/>
      <c r="D19" s="263"/>
      <c r="E19" s="263"/>
      <c r="F19" s="263"/>
      <c r="G19" s="263"/>
      <c r="H19" s="264" t="s">
        <v>1461</v>
      </c>
      <c r="I19" s="192">
        <f>+'PMH Dologi(alábontás)-nem része'!I21</f>
        <v>3000000</v>
      </c>
      <c r="J19" s="2550">
        <f>+'PMH Dologi(alábontás)-nem része'!J21</f>
        <v>2566647</v>
      </c>
      <c r="K19" s="192">
        <f>+'PMH Dologi(alábontás)-nem része'!K21</f>
        <v>3100000</v>
      </c>
      <c r="L19" s="275">
        <f>+'PMH Dologi(alábontás)-nem része'!L21</f>
        <v>3100000</v>
      </c>
      <c r="M19" s="275">
        <f>+'PMH Dologi(alábontás)-nem része'!M21</f>
        <v>3100000</v>
      </c>
      <c r="N19" s="275">
        <f>+'PMH Dologi(alábontás)-nem része'!N21</f>
        <v>3100000</v>
      </c>
      <c r="O19" s="275">
        <f>+'PMH Dologi(alábontás)-nem része'!O21</f>
        <v>3100000</v>
      </c>
      <c r="P19" s="3194">
        <f>+'PMH Dologi(alábontás)-nem része'!P21</f>
        <v>2813682</v>
      </c>
      <c r="Q19" s="280">
        <f t="shared" si="4"/>
        <v>0.90763935483870972</v>
      </c>
      <c r="R19" s="1216">
        <f t="shared" si="0"/>
        <v>0</v>
      </c>
      <c r="S19" s="1225">
        <f t="shared" si="1"/>
        <v>0</v>
      </c>
      <c r="T19" s="1225">
        <f t="shared" si="2"/>
        <v>0</v>
      </c>
      <c r="U19" s="1220">
        <f t="shared" si="3"/>
        <v>0</v>
      </c>
      <c r="V19" s="2755">
        <v>2566647</v>
      </c>
      <c r="W19" s="2759"/>
      <c r="X19" s="275">
        <v>1788390</v>
      </c>
    </row>
    <row r="20" spans="1:24">
      <c r="A20" s="259" t="s">
        <v>37</v>
      </c>
      <c r="B20" s="281" t="s">
        <v>1462</v>
      </c>
      <c r="C20" s="281"/>
      <c r="D20" s="281"/>
      <c r="E20" s="281"/>
      <c r="F20" s="281"/>
      <c r="G20" s="281"/>
      <c r="H20" s="260" t="s">
        <v>1463</v>
      </c>
      <c r="I20" s="209">
        <f t="shared" ref="I20:P20" si="6">SUM(I14:I19)</f>
        <v>27200000</v>
      </c>
      <c r="J20" s="2549">
        <f t="shared" si="6"/>
        <v>22313107</v>
      </c>
      <c r="K20" s="209">
        <f t="shared" si="6"/>
        <v>24668000</v>
      </c>
      <c r="L20" s="265">
        <f t="shared" si="6"/>
        <v>24668000</v>
      </c>
      <c r="M20" s="265">
        <f t="shared" si="6"/>
        <v>24668000</v>
      </c>
      <c r="N20" s="265">
        <f t="shared" si="6"/>
        <v>24668000</v>
      </c>
      <c r="O20" s="265">
        <f t="shared" si="6"/>
        <v>24668000</v>
      </c>
      <c r="P20" s="3195">
        <f t="shared" si="6"/>
        <v>23098618</v>
      </c>
      <c r="Q20" s="267">
        <f t="shared" si="4"/>
        <v>0.9363798443327388</v>
      </c>
      <c r="R20" s="1212">
        <f t="shared" si="0"/>
        <v>0</v>
      </c>
      <c r="S20" s="1226">
        <f t="shared" si="1"/>
        <v>0</v>
      </c>
      <c r="T20" s="1226">
        <f t="shared" si="2"/>
        <v>0</v>
      </c>
      <c r="U20" s="1221">
        <f t="shared" si="3"/>
        <v>0</v>
      </c>
      <c r="V20" s="2756">
        <v>22313107</v>
      </c>
      <c r="W20" s="2759"/>
      <c r="X20" s="265">
        <v>16963759</v>
      </c>
    </row>
    <row r="21" spans="1:24">
      <c r="A21" s="259" t="s">
        <v>39</v>
      </c>
      <c r="B21" s="263" t="s">
        <v>1464</v>
      </c>
      <c r="C21" s="263"/>
      <c r="D21" s="263"/>
      <c r="E21" s="263"/>
      <c r="F21" s="263"/>
      <c r="G21" s="263"/>
      <c r="H21" s="264" t="s">
        <v>1465</v>
      </c>
      <c r="I21" s="192">
        <f>+'PMH Dologi(alábontás)-nem része'!I23</f>
        <v>0</v>
      </c>
      <c r="J21" s="2550">
        <f>+'PMH Dologi(alábontás)-nem része'!J23</f>
        <v>0</v>
      </c>
      <c r="K21" s="192">
        <f>+'PMH Dologi(alábontás)-nem része'!K23</f>
        <v>0</v>
      </c>
      <c r="L21" s="275">
        <f>+'PMH Dologi(alábontás)-nem része'!L23</f>
        <v>0</v>
      </c>
      <c r="M21" s="275">
        <f>+'PMH Dologi(alábontás)-nem része'!M23</f>
        <v>0</v>
      </c>
      <c r="N21" s="275">
        <f>+'PMH Dologi(alábontás)-nem része'!N23</f>
        <v>0</v>
      </c>
      <c r="O21" s="275">
        <f>+'PMH Dologi(alábontás)-nem része'!O23</f>
        <v>0</v>
      </c>
      <c r="P21" s="3194">
        <f>+'PMH Dologi(alábontás)-nem része'!P23</f>
        <v>0</v>
      </c>
      <c r="Q21" s="280"/>
      <c r="R21" s="1216">
        <f t="shared" si="0"/>
        <v>0</v>
      </c>
      <c r="S21" s="1225">
        <f t="shared" si="1"/>
        <v>0</v>
      </c>
      <c r="T21" s="1225">
        <f t="shared" si="2"/>
        <v>0</v>
      </c>
      <c r="U21" s="1220">
        <f t="shared" si="3"/>
        <v>0</v>
      </c>
      <c r="V21" s="2755">
        <v>0</v>
      </c>
      <c r="W21" s="2759"/>
      <c r="X21" s="275">
        <v>0</v>
      </c>
    </row>
    <row r="22" spans="1:24">
      <c r="A22" s="259" t="s">
        <v>41</v>
      </c>
      <c r="B22" s="263" t="s">
        <v>1466</v>
      </c>
      <c r="C22" s="263"/>
      <c r="D22" s="263"/>
      <c r="E22" s="263"/>
      <c r="F22" s="263"/>
      <c r="G22" s="263"/>
      <c r="H22" s="264" t="s">
        <v>1467</v>
      </c>
      <c r="I22" s="192">
        <f>+'PMH Dologi(alábontás)-nem része'!I24</f>
        <v>0</v>
      </c>
      <c r="J22" s="2550">
        <f>+'PMH Dologi(alábontás)-nem része'!J24</f>
        <v>0</v>
      </c>
      <c r="K22" s="192">
        <f>+'PMH Dologi(alábontás)-nem része'!K24</f>
        <v>0</v>
      </c>
      <c r="L22" s="275">
        <f>+'PMH Dologi(alábontás)-nem része'!L24</f>
        <v>0</v>
      </c>
      <c r="M22" s="275">
        <f>+'PMH Dologi(alábontás)-nem része'!M24</f>
        <v>0</v>
      </c>
      <c r="N22" s="275">
        <f>+'PMH Dologi(alábontás)-nem része'!N24</f>
        <v>0</v>
      </c>
      <c r="O22" s="275">
        <f>+'PMH Dologi(alábontás)-nem része'!O24</f>
        <v>0</v>
      </c>
      <c r="P22" s="3194">
        <f>+'PMH Dologi(alábontás)-nem része'!P24</f>
        <v>0</v>
      </c>
      <c r="Q22" s="280"/>
      <c r="R22" s="1216">
        <f t="shared" si="0"/>
        <v>0</v>
      </c>
      <c r="S22" s="1225">
        <f t="shared" si="1"/>
        <v>0</v>
      </c>
      <c r="T22" s="1225">
        <f t="shared" si="2"/>
        <v>0</v>
      </c>
      <c r="U22" s="1220">
        <f t="shared" si="3"/>
        <v>0</v>
      </c>
      <c r="V22" s="2755">
        <v>0</v>
      </c>
      <c r="W22" s="2759"/>
      <c r="X22" s="275">
        <v>0</v>
      </c>
    </row>
    <row r="23" spans="1:24">
      <c r="A23" s="259" t="s">
        <v>314</v>
      </c>
      <c r="B23" s="281" t="s">
        <v>1468</v>
      </c>
      <c r="C23" s="281"/>
      <c r="D23" s="281"/>
      <c r="E23" s="281"/>
      <c r="F23" s="281"/>
      <c r="G23" s="281"/>
      <c r="H23" s="260" t="s">
        <v>1469</v>
      </c>
      <c r="I23" s="209">
        <f t="shared" ref="I23:P23" si="7">SUM(I21:I22)</f>
        <v>0</v>
      </c>
      <c r="J23" s="2549">
        <f t="shared" si="7"/>
        <v>0</v>
      </c>
      <c r="K23" s="209">
        <f t="shared" si="7"/>
        <v>0</v>
      </c>
      <c r="L23" s="265">
        <f t="shared" si="7"/>
        <v>0</v>
      </c>
      <c r="M23" s="265">
        <f t="shared" si="7"/>
        <v>0</v>
      </c>
      <c r="N23" s="265">
        <f t="shared" si="7"/>
        <v>0</v>
      </c>
      <c r="O23" s="265">
        <f t="shared" si="7"/>
        <v>0</v>
      </c>
      <c r="P23" s="3195">
        <f t="shared" si="7"/>
        <v>0</v>
      </c>
      <c r="Q23" s="267"/>
      <c r="R23" s="1212">
        <f t="shared" si="0"/>
        <v>0</v>
      </c>
      <c r="S23" s="1226">
        <f t="shared" si="1"/>
        <v>0</v>
      </c>
      <c r="T23" s="1226">
        <f t="shared" si="2"/>
        <v>0</v>
      </c>
      <c r="U23" s="1221">
        <f t="shared" si="3"/>
        <v>0</v>
      </c>
      <c r="V23" s="2756">
        <v>0</v>
      </c>
      <c r="W23" s="2759"/>
      <c r="X23" s="265">
        <v>0</v>
      </c>
    </row>
    <row r="24" spans="1:24">
      <c r="A24" s="259" t="s">
        <v>402</v>
      </c>
      <c r="B24" s="281" t="s">
        <v>1470</v>
      </c>
      <c r="C24" s="281"/>
      <c r="D24" s="281"/>
      <c r="E24" s="281"/>
      <c r="F24" s="281"/>
      <c r="G24" s="281"/>
      <c r="H24" s="260" t="s">
        <v>1471</v>
      </c>
      <c r="I24" s="209">
        <f t="shared" ref="I24:P24" si="8">+I13+I20+I23</f>
        <v>28250000</v>
      </c>
      <c r="J24" s="2549">
        <f t="shared" si="8"/>
        <v>22849505</v>
      </c>
      <c r="K24" s="209">
        <f t="shared" si="8"/>
        <v>25768000</v>
      </c>
      <c r="L24" s="265">
        <f t="shared" si="8"/>
        <v>25768000</v>
      </c>
      <c r="M24" s="265">
        <f t="shared" si="8"/>
        <v>25768000</v>
      </c>
      <c r="N24" s="265">
        <f t="shared" si="8"/>
        <v>25768000</v>
      </c>
      <c r="O24" s="265">
        <f t="shared" si="8"/>
        <v>25768000</v>
      </c>
      <c r="P24" s="3195">
        <f t="shared" si="8"/>
        <v>23756822</v>
      </c>
      <c r="Q24" s="267">
        <f t="shared" si="4"/>
        <v>0.92195055883266064</v>
      </c>
      <c r="R24" s="1212">
        <f t="shared" si="0"/>
        <v>0</v>
      </c>
      <c r="S24" s="1226">
        <f t="shared" si="1"/>
        <v>0</v>
      </c>
      <c r="T24" s="1226">
        <f t="shared" si="2"/>
        <v>0</v>
      </c>
      <c r="U24" s="1221">
        <f t="shared" si="3"/>
        <v>0</v>
      </c>
      <c r="V24" s="2756">
        <v>22849505</v>
      </c>
      <c r="W24" s="2759"/>
      <c r="X24" s="265">
        <v>17313244</v>
      </c>
    </row>
    <row r="25" spans="1:24">
      <c r="A25" s="259" t="s">
        <v>404</v>
      </c>
      <c r="B25" s="263" t="s">
        <v>1472</v>
      </c>
      <c r="C25" s="263"/>
      <c r="D25" s="263"/>
      <c r="E25" s="263"/>
      <c r="F25" s="263"/>
      <c r="G25" s="263"/>
      <c r="H25" s="264" t="s">
        <v>1473</v>
      </c>
      <c r="I25" s="192">
        <f>+'PMH Dologi(alábontás)-nem része'!I27</f>
        <v>0</v>
      </c>
      <c r="J25" s="2550">
        <f>+'PMH Dologi(alábontás)-nem része'!J27</f>
        <v>0</v>
      </c>
      <c r="K25" s="192">
        <f>+'PMH Dologi(alábontás)-nem része'!K27</f>
        <v>0</v>
      </c>
      <c r="L25" s="275">
        <f>+'PMH Dologi(alábontás)-nem része'!L27</f>
        <v>0</v>
      </c>
      <c r="M25" s="275">
        <f>+'PMH Dologi(alábontás)-nem része'!M27</f>
        <v>0</v>
      </c>
      <c r="N25" s="275">
        <f>+'PMH Dologi(alábontás)-nem része'!N27</f>
        <v>0</v>
      </c>
      <c r="O25" s="275">
        <f>+'PMH Dologi(alábontás)-nem része'!O27</f>
        <v>0</v>
      </c>
      <c r="P25" s="3194">
        <f>+'PMH Dologi(alábontás)-nem része'!P27</f>
        <v>0</v>
      </c>
      <c r="Q25" s="280"/>
      <c r="R25" s="1216">
        <f t="shared" si="0"/>
        <v>0</v>
      </c>
      <c r="S25" s="1225">
        <f t="shared" si="1"/>
        <v>0</v>
      </c>
      <c r="T25" s="1225">
        <f t="shared" si="2"/>
        <v>0</v>
      </c>
      <c r="U25" s="1220">
        <f t="shared" si="3"/>
        <v>0</v>
      </c>
      <c r="V25" s="2755">
        <v>0</v>
      </c>
      <c r="W25" s="2759"/>
      <c r="X25" s="275">
        <v>0</v>
      </c>
    </row>
    <row r="26" spans="1:24">
      <c r="A26" s="259" t="s">
        <v>407</v>
      </c>
      <c r="B26" s="263" t="s">
        <v>1474</v>
      </c>
      <c r="C26" s="263"/>
      <c r="D26" s="263"/>
      <c r="E26" s="263"/>
      <c r="F26" s="263"/>
      <c r="G26" s="263"/>
      <c r="H26" s="264" t="s">
        <v>1475</v>
      </c>
      <c r="I26" s="192">
        <f>+'PMH Dologi(alábontás)-nem része'!I31</f>
        <v>2550000</v>
      </c>
      <c r="J26" s="2550">
        <f>+'PMH Dologi(alábontás)-nem része'!J31</f>
        <v>1442752</v>
      </c>
      <c r="K26" s="192">
        <f>+'PMH Dologi(alábontás)-nem része'!K31</f>
        <v>1800000</v>
      </c>
      <c r="L26" s="275">
        <f>+'PMH Dologi(alábontás)-nem része'!L31</f>
        <v>1800000</v>
      </c>
      <c r="M26" s="275">
        <f>+'PMH Dologi(alábontás)-nem része'!M31</f>
        <v>1800000</v>
      </c>
      <c r="N26" s="275">
        <f>+'PMH Dologi(alábontás)-nem része'!N31</f>
        <v>1800000</v>
      </c>
      <c r="O26" s="275">
        <f>+'PMH Dologi(alábontás)-nem része'!O31</f>
        <v>1800000</v>
      </c>
      <c r="P26" s="3194">
        <f>+'PMH Dologi(alábontás)-nem része'!P31</f>
        <v>1512696</v>
      </c>
      <c r="Q26" s="280">
        <f t="shared" si="4"/>
        <v>0.84038666666666662</v>
      </c>
      <c r="R26" s="1216">
        <f t="shared" si="0"/>
        <v>0</v>
      </c>
      <c r="S26" s="1225">
        <f t="shared" si="1"/>
        <v>0</v>
      </c>
      <c r="T26" s="1225">
        <f t="shared" si="2"/>
        <v>0</v>
      </c>
      <c r="U26" s="1220">
        <f t="shared" si="3"/>
        <v>0</v>
      </c>
      <c r="V26" s="2755">
        <v>1442752</v>
      </c>
      <c r="W26" s="2759"/>
      <c r="X26" s="275">
        <v>1031162</v>
      </c>
    </row>
    <row r="27" spans="1:24">
      <c r="A27" s="259" t="s">
        <v>409</v>
      </c>
      <c r="B27" s="263" t="s">
        <v>1476</v>
      </c>
      <c r="C27" s="263"/>
      <c r="D27" s="263"/>
      <c r="E27" s="263"/>
      <c r="F27" s="263"/>
      <c r="G27" s="263"/>
      <c r="H27" s="264" t="s">
        <v>1477</v>
      </c>
      <c r="I27" s="192">
        <f>+'PMH Dologi(alábontás)-nem része'!I32</f>
        <v>0</v>
      </c>
      <c r="J27" s="2550">
        <f>+'PMH Dologi(alábontás)-nem része'!J32</f>
        <v>0</v>
      </c>
      <c r="K27" s="192">
        <f>+'PMH Dologi(alábontás)-nem része'!K32</f>
        <v>0</v>
      </c>
      <c r="L27" s="275">
        <f>+'PMH Dologi(alábontás)-nem része'!L32</f>
        <v>0</v>
      </c>
      <c r="M27" s="275">
        <f>+'PMH Dologi(alábontás)-nem része'!M32</f>
        <v>0</v>
      </c>
      <c r="N27" s="275">
        <f>+'PMH Dologi(alábontás)-nem része'!N32</f>
        <v>0</v>
      </c>
      <c r="O27" s="275">
        <f>+'PMH Dologi(alábontás)-nem része'!O32</f>
        <v>0</v>
      </c>
      <c r="P27" s="3194">
        <f>+'PMH Dologi(alábontás)-nem része'!P32</f>
        <v>0</v>
      </c>
      <c r="Q27" s="280"/>
      <c r="R27" s="1216">
        <f t="shared" si="0"/>
        <v>0</v>
      </c>
      <c r="S27" s="1225">
        <f t="shared" si="1"/>
        <v>0</v>
      </c>
      <c r="T27" s="1225">
        <f t="shared" si="2"/>
        <v>0</v>
      </c>
      <c r="U27" s="1220">
        <f t="shared" si="3"/>
        <v>0</v>
      </c>
      <c r="V27" s="2755">
        <v>0</v>
      </c>
      <c r="W27" s="2759"/>
      <c r="X27" s="275">
        <v>0</v>
      </c>
    </row>
    <row r="28" spans="1:24">
      <c r="A28" s="259" t="s">
        <v>410</v>
      </c>
      <c r="B28" s="263" t="s">
        <v>130</v>
      </c>
      <c r="C28" s="263"/>
      <c r="D28" s="263"/>
      <c r="E28" s="263"/>
      <c r="F28" s="263"/>
      <c r="G28" s="263"/>
      <c r="H28" s="264" t="s">
        <v>1478</v>
      </c>
      <c r="I28" s="192">
        <f>+'PMH Dologi(alábontás)-nem része'!I33</f>
        <v>0</v>
      </c>
      <c r="J28" s="2550">
        <f>+'PMH Dologi(alábontás)-nem része'!J33</f>
        <v>0</v>
      </c>
      <c r="K28" s="192">
        <f>+'PMH Dologi(alábontás)-nem része'!K33</f>
        <v>0</v>
      </c>
      <c r="L28" s="275">
        <f>+'PMH Dologi(alábontás)-nem része'!L33</f>
        <v>0</v>
      </c>
      <c r="M28" s="275">
        <f>+'PMH Dologi(alábontás)-nem része'!M33</f>
        <v>0</v>
      </c>
      <c r="N28" s="275">
        <f>+'PMH Dologi(alábontás)-nem része'!N33</f>
        <v>0</v>
      </c>
      <c r="O28" s="275">
        <f>+'PMH Dologi(alábontás)-nem része'!O33</f>
        <v>0</v>
      </c>
      <c r="P28" s="3194">
        <f>+'PMH Dologi(alábontás)-nem része'!P33</f>
        <v>0</v>
      </c>
      <c r="Q28" s="280"/>
      <c r="R28" s="1216">
        <f t="shared" si="0"/>
        <v>0</v>
      </c>
      <c r="S28" s="1225">
        <f t="shared" si="1"/>
        <v>0</v>
      </c>
      <c r="T28" s="1225">
        <f t="shared" si="2"/>
        <v>0</v>
      </c>
      <c r="U28" s="1220">
        <f t="shared" si="3"/>
        <v>0</v>
      </c>
      <c r="V28" s="2755">
        <v>0</v>
      </c>
      <c r="W28" s="2759"/>
      <c r="X28" s="275">
        <v>0</v>
      </c>
    </row>
    <row r="29" spans="1:24">
      <c r="A29" s="259" t="s">
        <v>411</v>
      </c>
      <c r="B29" s="263" t="s">
        <v>1479</v>
      </c>
      <c r="C29" s="263"/>
      <c r="D29" s="263"/>
      <c r="E29" s="263"/>
      <c r="F29" s="263"/>
      <c r="G29" s="263"/>
      <c r="H29" s="264" t="s">
        <v>1480</v>
      </c>
      <c r="I29" s="192">
        <f>+'PMH Dologi(alábontás)-nem része'!I34</f>
        <v>16000000</v>
      </c>
      <c r="J29" s="2550">
        <f>+'PMH Dologi(alábontás)-nem része'!J34</f>
        <v>0</v>
      </c>
      <c r="K29" s="192">
        <f>+'PMH Dologi(alábontás)-nem része'!K34</f>
        <v>3400000</v>
      </c>
      <c r="L29" s="275">
        <f>+'PMH Dologi(alábontás)-nem része'!L34</f>
        <v>3400000</v>
      </c>
      <c r="M29" s="275">
        <f>+'PMH Dologi(alábontás)-nem része'!M34</f>
        <v>1400000</v>
      </c>
      <c r="N29" s="275">
        <f>+'PMH Dologi(alábontás)-nem része'!N34</f>
        <v>1400000</v>
      </c>
      <c r="O29" s="275">
        <f>+'PMH Dologi(alábontás)-nem része'!O34</f>
        <v>1400000</v>
      </c>
      <c r="P29" s="3194">
        <f>+'PMH Dologi(alábontás)-nem része'!P34</f>
        <v>0</v>
      </c>
      <c r="Q29" s="280">
        <f t="shared" si="4"/>
        <v>0</v>
      </c>
      <c r="R29" s="1216">
        <f t="shared" si="0"/>
        <v>0</v>
      </c>
      <c r="S29" s="1225">
        <f t="shared" si="1"/>
        <v>-2000000</v>
      </c>
      <c r="T29" s="1225">
        <f t="shared" si="2"/>
        <v>0</v>
      </c>
      <c r="U29" s="1220">
        <f t="shared" si="3"/>
        <v>0</v>
      </c>
      <c r="V29" s="2755">
        <v>0</v>
      </c>
      <c r="W29" s="2759"/>
      <c r="X29" s="275">
        <v>0</v>
      </c>
    </row>
    <row r="30" spans="1:24">
      <c r="A30" s="259" t="s">
        <v>412</v>
      </c>
      <c r="B30" s="263" t="s">
        <v>1481</v>
      </c>
      <c r="C30" s="263"/>
      <c r="D30" s="263"/>
      <c r="E30" s="263"/>
      <c r="F30" s="263"/>
      <c r="G30" s="263"/>
      <c r="H30" s="264" t="s">
        <v>1482</v>
      </c>
      <c r="I30" s="192">
        <f>+'PMH Dologi(alábontás)-nem része'!I35</f>
        <v>0</v>
      </c>
      <c r="J30" s="2550">
        <f>+'PMH Dologi(alábontás)-nem része'!J35</f>
        <v>0</v>
      </c>
      <c r="K30" s="192">
        <f>+'PMH Dologi(alábontás)-nem része'!K35</f>
        <v>0</v>
      </c>
      <c r="L30" s="275">
        <f>+'PMH Dologi(alábontás)-nem része'!L35</f>
        <v>0</v>
      </c>
      <c r="M30" s="275">
        <f>+'PMH Dologi(alábontás)-nem része'!M35</f>
        <v>0</v>
      </c>
      <c r="N30" s="275">
        <f>+'PMH Dologi(alábontás)-nem része'!N35</f>
        <v>0</v>
      </c>
      <c r="O30" s="275">
        <f>+'PMH Dologi(alábontás)-nem része'!O35</f>
        <v>0</v>
      </c>
      <c r="P30" s="3194">
        <f>+'PMH Dologi(alábontás)-nem része'!P35</f>
        <v>0</v>
      </c>
      <c r="Q30" s="280"/>
      <c r="R30" s="1216">
        <f t="shared" si="0"/>
        <v>0</v>
      </c>
      <c r="S30" s="1225">
        <f t="shared" si="1"/>
        <v>0</v>
      </c>
      <c r="T30" s="1225">
        <f t="shared" si="2"/>
        <v>0</v>
      </c>
      <c r="U30" s="1220">
        <f t="shared" si="3"/>
        <v>0</v>
      </c>
      <c r="V30" s="2755">
        <v>0</v>
      </c>
      <c r="W30" s="2759"/>
      <c r="X30" s="275">
        <v>0</v>
      </c>
    </row>
    <row r="31" spans="1:24">
      <c r="A31" s="259" t="s">
        <v>413</v>
      </c>
      <c r="B31" s="281" t="s">
        <v>1483</v>
      </c>
      <c r="C31" s="281"/>
      <c r="D31" s="281"/>
      <c r="E31" s="281"/>
      <c r="F31" s="281"/>
      <c r="G31" s="281"/>
      <c r="H31" s="260" t="s">
        <v>1484</v>
      </c>
      <c r="I31" s="209">
        <f t="shared" ref="I31:P31" si="9">SUM(I25:I30)</f>
        <v>18550000</v>
      </c>
      <c r="J31" s="2549">
        <f t="shared" si="9"/>
        <v>1442752</v>
      </c>
      <c r="K31" s="209">
        <f t="shared" si="9"/>
        <v>5200000</v>
      </c>
      <c r="L31" s="265">
        <f t="shared" si="9"/>
        <v>5200000</v>
      </c>
      <c r="M31" s="265">
        <f t="shared" si="9"/>
        <v>3200000</v>
      </c>
      <c r="N31" s="265">
        <f t="shared" si="9"/>
        <v>3200000</v>
      </c>
      <c r="O31" s="265">
        <f t="shared" si="9"/>
        <v>3200000</v>
      </c>
      <c r="P31" s="3195">
        <f t="shared" si="9"/>
        <v>1512696</v>
      </c>
      <c r="Q31" s="267">
        <f t="shared" si="4"/>
        <v>0.47271750000000001</v>
      </c>
      <c r="R31" s="1212">
        <f t="shared" si="0"/>
        <v>0</v>
      </c>
      <c r="S31" s="1226">
        <f t="shared" si="1"/>
        <v>-2000000</v>
      </c>
      <c r="T31" s="1226">
        <f t="shared" si="2"/>
        <v>0</v>
      </c>
      <c r="U31" s="1221">
        <f t="shared" si="3"/>
        <v>0</v>
      </c>
      <c r="V31" s="2756">
        <v>1442752</v>
      </c>
      <c r="W31" s="2759"/>
      <c r="X31" s="265">
        <v>1031162</v>
      </c>
    </row>
    <row r="32" spans="1:24">
      <c r="A32" s="259" t="s">
        <v>417</v>
      </c>
      <c r="B32" s="263" t="s">
        <v>1485</v>
      </c>
      <c r="C32" s="263"/>
      <c r="D32" s="263"/>
      <c r="E32" s="263"/>
      <c r="F32" s="263"/>
      <c r="G32" s="263"/>
      <c r="H32" s="264" t="s">
        <v>1486</v>
      </c>
      <c r="I32" s="192">
        <f>+'PMH Dologi(alábontás)-nem része'!I39</f>
        <v>12000000</v>
      </c>
      <c r="J32" s="2550">
        <f>+'PMH Dologi(alábontás)-nem része'!J39</f>
        <v>13502284</v>
      </c>
      <c r="K32" s="192">
        <f>+'PMH Dologi(alábontás)-nem része'!K39</f>
        <v>12500000</v>
      </c>
      <c r="L32" s="275">
        <f>+'PMH Dologi(alábontás)-nem része'!L39</f>
        <v>12500000</v>
      </c>
      <c r="M32" s="275">
        <f>+'PMH Dologi(alábontás)-nem része'!M39</f>
        <v>12500000</v>
      </c>
      <c r="N32" s="275">
        <f>+'PMH Dologi(alábontás)-nem része'!N39</f>
        <v>12500000</v>
      </c>
      <c r="O32" s="275">
        <f>+'PMH Dologi(alábontás)-nem része'!O39</f>
        <v>12500000</v>
      </c>
      <c r="P32" s="3194">
        <f>+'PMH Dologi(alábontás)-nem része'!P39</f>
        <v>11449546</v>
      </c>
      <c r="Q32" s="280">
        <f t="shared" si="4"/>
        <v>0.91596367999999995</v>
      </c>
      <c r="R32" s="1216">
        <f t="shared" si="0"/>
        <v>0</v>
      </c>
      <c r="S32" s="1225">
        <f t="shared" si="1"/>
        <v>0</v>
      </c>
      <c r="T32" s="1225">
        <f t="shared" si="2"/>
        <v>0</v>
      </c>
      <c r="U32" s="1220">
        <f t="shared" si="3"/>
        <v>0</v>
      </c>
      <c r="V32" s="2755">
        <v>13502284</v>
      </c>
      <c r="W32" s="2759"/>
      <c r="X32" s="275">
        <v>11342082</v>
      </c>
    </row>
    <row r="33" spans="1:24">
      <c r="A33" s="259" t="s">
        <v>450</v>
      </c>
      <c r="B33" s="263" t="s">
        <v>1487</v>
      </c>
      <c r="C33" s="263"/>
      <c r="D33" s="263"/>
      <c r="E33" s="263"/>
      <c r="F33" s="263"/>
      <c r="G33" s="263"/>
      <c r="H33" s="264" t="s">
        <v>1488</v>
      </c>
      <c r="I33" s="192">
        <f>+'PMH Dologi(alábontás)-nem része'!I40</f>
        <v>0</v>
      </c>
      <c r="J33" s="2550">
        <f>+'PMH Dologi(alábontás)-nem része'!J40</f>
        <v>0</v>
      </c>
      <c r="K33" s="192">
        <f>+'PMH Dologi(alábontás)-nem része'!K40</f>
        <v>0</v>
      </c>
      <c r="L33" s="275">
        <f>+'PMH Dologi(alábontás)-nem része'!L40</f>
        <v>0</v>
      </c>
      <c r="M33" s="275">
        <f>+'PMH Dologi(alábontás)-nem része'!M40</f>
        <v>0</v>
      </c>
      <c r="N33" s="275">
        <f>+'PMH Dologi(alábontás)-nem része'!N40</f>
        <v>0</v>
      </c>
      <c r="O33" s="275">
        <f>+'PMH Dologi(alábontás)-nem része'!O40</f>
        <v>0</v>
      </c>
      <c r="P33" s="3194">
        <f>+'PMH Dologi(alábontás)-nem része'!P40</f>
        <v>0</v>
      </c>
      <c r="Q33" s="280"/>
      <c r="R33" s="1216">
        <f t="shared" si="0"/>
        <v>0</v>
      </c>
      <c r="S33" s="1225">
        <f t="shared" si="1"/>
        <v>0</v>
      </c>
      <c r="T33" s="1225">
        <f t="shared" si="2"/>
        <v>0</v>
      </c>
      <c r="U33" s="1220">
        <f t="shared" si="3"/>
        <v>0</v>
      </c>
      <c r="V33" s="2755">
        <v>0</v>
      </c>
      <c r="W33" s="2759"/>
      <c r="X33" s="275">
        <v>0</v>
      </c>
    </row>
    <row r="34" spans="1:24">
      <c r="A34" s="259" t="s">
        <v>1379</v>
      </c>
      <c r="B34" s="281" t="s">
        <v>1489</v>
      </c>
      <c r="C34" s="281"/>
      <c r="D34" s="281"/>
      <c r="E34" s="281"/>
      <c r="F34" s="281"/>
      <c r="G34" s="281"/>
      <c r="H34" s="260" t="s">
        <v>1490</v>
      </c>
      <c r="I34" s="209">
        <f t="shared" ref="I34:P34" si="10">SUM(I32:I33)</f>
        <v>12000000</v>
      </c>
      <c r="J34" s="2549">
        <f t="shared" si="10"/>
        <v>13502284</v>
      </c>
      <c r="K34" s="209">
        <f t="shared" si="10"/>
        <v>12500000</v>
      </c>
      <c r="L34" s="265">
        <f t="shared" si="10"/>
        <v>12500000</v>
      </c>
      <c r="M34" s="265">
        <f t="shared" si="10"/>
        <v>12500000</v>
      </c>
      <c r="N34" s="265">
        <f t="shared" si="10"/>
        <v>12500000</v>
      </c>
      <c r="O34" s="265">
        <f t="shared" si="10"/>
        <v>12500000</v>
      </c>
      <c r="P34" s="3195">
        <f t="shared" si="10"/>
        <v>11449546</v>
      </c>
      <c r="Q34" s="267">
        <f t="shared" si="4"/>
        <v>0.91596367999999995</v>
      </c>
      <c r="R34" s="1212">
        <f t="shared" si="0"/>
        <v>0</v>
      </c>
      <c r="S34" s="1226">
        <f t="shared" si="1"/>
        <v>0</v>
      </c>
      <c r="T34" s="1226">
        <f t="shared" si="2"/>
        <v>0</v>
      </c>
      <c r="U34" s="1221">
        <f t="shared" si="3"/>
        <v>0</v>
      </c>
      <c r="V34" s="2756">
        <v>13502284</v>
      </c>
      <c r="W34" s="2759"/>
      <c r="X34" s="265">
        <v>11342082</v>
      </c>
    </row>
    <row r="35" spans="1:24">
      <c r="A35" s="259" t="s">
        <v>619</v>
      </c>
      <c r="B35" s="281" t="s">
        <v>1491</v>
      </c>
      <c r="C35" s="281"/>
      <c r="D35" s="281"/>
      <c r="E35" s="281"/>
      <c r="F35" s="281"/>
      <c r="G35" s="281"/>
      <c r="H35" s="260" t="s">
        <v>1492</v>
      </c>
      <c r="I35" s="209">
        <f t="shared" ref="I35:P35" si="11">+I31+I34</f>
        <v>30550000</v>
      </c>
      <c r="J35" s="2549">
        <f t="shared" si="11"/>
        <v>14945036</v>
      </c>
      <c r="K35" s="209">
        <f t="shared" si="11"/>
        <v>17700000</v>
      </c>
      <c r="L35" s="265">
        <f t="shared" si="11"/>
        <v>17700000</v>
      </c>
      <c r="M35" s="265">
        <f t="shared" si="11"/>
        <v>15700000</v>
      </c>
      <c r="N35" s="265">
        <f t="shared" si="11"/>
        <v>15700000</v>
      </c>
      <c r="O35" s="265">
        <f t="shared" si="11"/>
        <v>15700000</v>
      </c>
      <c r="P35" s="3195">
        <f t="shared" si="11"/>
        <v>12962242</v>
      </c>
      <c r="Q35" s="267">
        <f t="shared" si="4"/>
        <v>0.82562050955414013</v>
      </c>
      <c r="R35" s="1212">
        <f t="shared" si="0"/>
        <v>0</v>
      </c>
      <c r="S35" s="1226">
        <f t="shared" si="1"/>
        <v>-2000000</v>
      </c>
      <c r="T35" s="1226">
        <f t="shared" si="2"/>
        <v>0</v>
      </c>
      <c r="U35" s="1221">
        <f t="shared" si="3"/>
        <v>0</v>
      </c>
      <c r="V35" s="2756">
        <v>14945036</v>
      </c>
      <c r="W35" s="2759"/>
      <c r="X35" s="265">
        <v>12373244</v>
      </c>
    </row>
    <row r="36" spans="1:24">
      <c r="A36" s="259" t="s">
        <v>629</v>
      </c>
      <c r="B36" s="263" t="s">
        <v>1493</v>
      </c>
      <c r="C36" s="263"/>
      <c r="D36" s="263"/>
      <c r="E36" s="263"/>
      <c r="F36" s="263"/>
      <c r="G36" s="263"/>
      <c r="H36" s="258" t="s">
        <v>1494</v>
      </c>
      <c r="I36" s="192">
        <f>+'PMH Dologi(alábontás)-nem része'!I45</f>
        <v>26000000</v>
      </c>
      <c r="J36" s="2550">
        <f>+'PMH Dologi(alábontás)-nem része'!J45</f>
        <v>19795014</v>
      </c>
      <c r="K36" s="192">
        <f>+'PMH Dologi(alábontás)-nem része'!K45</f>
        <v>21000000</v>
      </c>
      <c r="L36" s="275">
        <f>+'PMH Dologi(alábontás)-nem része'!L45</f>
        <v>21000000</v>
      </c>
      <c r="M36" s="275">
        <f>+'PMH Dologi(alábontás)-nem része'!M45</f>
        <v>21000000</v>
      </c>
      <c r="N36" s="275">
        <f>+'PMH Dologi(alábontás)-nem része'!N45</f>
        <v>21000000</v>
      </c>
      <c r="O36" s="275">
        <f>+'PMH Dologi(alábontás)-nem része'!O45</f>
        <v>21000000</v>
      </c>
      <c r="P36" s="3194">
        <f>+'PMH Dologi(alábontás)-nem része'!P45</f>
        <v>14257642</v>
      </c>
      <c r="Q36" s="280">
        <f t="shared" si="4"/>
        <v>0.67893533333333334</v>
      </c>
      <c r="R36" s="1216">
        <f t="shared" si="0"/>
        <v>0</v>
      </c>
      <c r="S36" s="1225">
        <f t="shared" si="1"/>
        <v>0</v>
      </c>
      <c r="T36" s="1225">
        <f t="shared" si="2"/>
        <v>0</v>
      </c>
      <c r="U36" s="1220">
        <f t="shared" si="3"/>
        <v>0</v>
      </c>
      <c r="V36" s="2755">
        <v>19795014</v>
      </c>
      <c r="W36" s="2759"/>
      <c r="X36" s="275">
        <v>16933465</v>
      </c>
    </row>
    <row r="37" spans="1:24">
      <c r="A37" s="259" t="s">
        <v>636</v>
      </c>
      <c r="B37" s="263" t="s">
        <v>1495</v>
      </c>
      <c r="C37" s="263"/>
      <c r="D37" s="263"/>
      <c r="E37" s="263"/>
      <c r="F37" s="263"/>
      <c r="G37" s="263"/>
      <c r="H37" s="264" t="s">
        <v>1496</v>
      </c>
      <c r="I37" s="192">
        <f>+'PMH Dologi(alábontás)-nem része'!I48</f>
        <v>25000000</v>
      </c>
      <c r="J37" s="2550">
        <f>+'PMH Dologi(alábontás)-nem része'!J48</f>
        <v>20912456</v>
      </c>
      <c r="K37" s="192">
        <f>+'PMH Dologi(alábontás)-nem része'!K48</f>
        <v>23000000</v>
      </c>
      <c r="L37" s="275">
        <f>+'PMH Dologi(alábontás)-nem része'!L48</f>
        <v>0</v>
      </c>
      <c r="M37" s="275">
        <f>+'PMH Dologi(alábontás)-nem része'!M48</f>
        <v>0</v>
      </c>
      <c r="N37" s="275">
        <f>+'PMH Dologi(alábontás)-nem része'!N48</f>
        <v>0</v>
      </c>
      <c r="O37" s="275">
        <f>+'PMH Dologi(alábontás)-nem része'!O48</f>
        <v>0</v>
      </c>
      <c r="P37" s="3194">
        <f>+'PMH Dologi(alábontás)-nem része'!P48</f>
        <v>0</v>
      </c>
      <c r="Q37" s="280"/>
      <c r="R37" s="1216">
        <f t="shared" si="0"/>
        <v>-23000000</v>
      </c>
      <c r="S37" s="1225">
        <f t="shared" si="1"/>
        <v>0</v>
      </c>
      <c r="T37" s="1225">
        <f t="shared" si="2"/>
        <v>0</v>
      </c>
      <c r="U37" s="1220">
        <f t="shared" si="3"/>
        <v>0</v>
      </c>
      <c r="V37" s="2755">
        <v>20912456</v>
      </c>
      <c r="W37" s="2759"/>
      <c r="X37" s="275">
        <v>20912456</v>
      </c>
    </row>
    <row r="38" spans="1:24">
      <c r="A38" s="259" t="s">
        <v>638</v>
      </c>
      <c r="B38" s="263" t="s">
        <v>1497</v>
      </c>
      <c r="C38" s="263"/>
      <c r="D38" s="263"/>
      <c r="E38" s="263"/>
      <c r="F38" s="263"/>
      <c r="G38" s="263"/>
      <c r="H38" s="264" t="s">
        <v>1498</v>
      </c>
      <c r="I38" s="192">
        <f>+'PMH Dologi(alábontás)-nem része'!I51</f>
        <v>4500000</v>
      </c>
      <c r="J38" s="2550">
        <f>+'PMH Dologi(alábontás)-nem része'!J51</f>
        <v>4002055</v>
      </c>
      <c r="K38" s="192">
        <f>+'PMH Dologi(alábontás)-nem része'!K51</f>
        <v>4000000</v>
      </c>
      <c r="L38" s="275">
        <f>+'PMH Dologi(alábontás)-nem része'!L51</f>
        <v>4000000</v>
      </c>
      <c r="M38" s="275">
        <f>+'PMH Dologi(alábontás)-nem része'!M51</f>
        <v>7101930</v>
      </c>
      <c r="N38" s="275">
        <f>+'PMH Dologi(alábontás)-nem része'!N51</f>
        <v>8101930</v>
      </c>
      <c r="O38" s="275">
        <f>+'PMH Dologi(alábontás)-nem része'!O51</f>
        <v>8101930</v>
      </c>
      <c r="P38" s="3194">
        <f>+'PMH Dologi(alábontás)-nem része'!P51</f>
        <v>7539696</v>
      </c>
      <c r="Q38" s="280">
        <f t="shared" si="4"/>
        <v>0.93060492993644728</v>
      </c>
      <c r="R38" s="1216">
        <f t="shared" si="0"/>
        <v>0</v>
      </c>
      <c r="S38" s="1225">
        <f t="shared" si="1"/>
        <v>3101930</v>
      </c>
      <c r="T38" s="1225">
        <f t="shared" si="2"/>
        <v>1000000</v>
      </c>
      <c r="U38" s="1220">
        <f t="shared" si="3"/>
        <v>0</v>
      </c>
      <c r="V38" s="2755">
        <v>4002055</v>
      </c>
      <c r="W38" s="2759"/>
      <c r="X38" s="275">
        <v>3221241</v>
      </c>
    </row>
    <row r="39" spans="1:24">
      <c r="A39" s="259" t="s">
        <v>1389</v>
      </c>
      <c r="B39" s="281" t="s">
        <v>1847</v>
      </c>
      <c r="C39" s="281"/>
      <c r="D39" s="281"/>
      <c r="E39" s="281"/>
      <c r="F39" s="281"/>
      <c r="G39" s="281"/>
      <c r="H39" s="260" t="s">
        <v>1499</v>
      </c>
      <c r="I39" s="209">
        <f t="shared" ref="I39:P39" si="12">SUM(I36:I38)</f>
        <v>55500000</v>
      </c>
      <c r="J39" s="2549">
        <f t="shared" si="12"/>
        <v>44709525</v>
      </c>
      <c r="K39" s="209">
        <f t="shared" si="12"/>
        <v>48000000</v>
      </c>
      <c r="L39" s="265">
        <f t="shared" si="12"/>
        <v>25000000</v>
      </c>
      <c r="M39" s="265">
        <f t="shared" si="12"/>
        <v>28101930</v>
      </c>
      <c r="N39" s="265">
        <f t="shared" si="12"/>
        <v>29101930</v>
      </c>
      <c r="O39" s="265">
        <f t="shared" si="12"/>
        <v>29101930</v>
      </c>
      <c r="P39" s="3195">
        <f t="shared" si="12"/>
        <v>21797338</v>
      </c>
      <c r="Q39" s="267">
        <f t="shared" si="4"/>
        <v>0.74899973987979496</v>
      </c>
      <c r="R39" s="1212">
        <f t="shared" si="0"/>
        <v>-23000000</v>
      </c>
      <c r="S39" s="1226">
        <f t="shared" si="1"/>
        <v>3101930</v>
      </c>
      <c r="T39" s="1226">
        <f t="shared" si="2"/>
        <v>1000000</v>
      </c>
      <c r="U39" s="1221">
        <f t="shared" si="3"/>
        <v>0</v>
      </c>
      <c r="V39" s="2756">
        <v>44709525</v>
      </c>
      <c r="W39" s="2759"/>
      <c r="X39" s="265">
        <v>41067162</v>
      </c>
    </row>
    <row r="40" spans="1:24">
      <c r="A40" s="259" t="s">
        <v>646</v>
      </c>
      <c r="B40" s="268" t="s">
        <v>1500</v>
      </c>
      <c r="C40" s="268"/>
      <c r="D40" s="268"/>
      <c r="E40" s="268"/>
      <c r="F40" s="268"/>
      <c r="G40" s="268"/>
      <c r="H40" s="260" t="s">
        <v>1501</v>
      </c>
      <c r="I40" s="192">
        <f>+'PMH Dologi(alábontás)-nem része'!I53</f>
        <v>0</v>
      </c>
      <c r="J40" s="2550">
        <f>+'PMH Dologi(alábontás)-nem része'!J53</f>
        <v>0</v>
      </c>
      <c r="K40" s="192">
        <f>+'PMH Dologi(alábontás)-nem része'!K53</f>
        <v>0</v>
      </c>
      <c r="L40" s="275">
        <f>+'PMH Dologi(alábontás)-nem része'!L53</f>
        <v>0</v>
      </c>
      <c r="M40" s="275">
        <f>+'PMH Dologi(alábontás)-nem része'!M53</f>
        <v>0</v>
      </c>
      <c r="N40" s="275">
        <f>+'PMH Dologi(alábontás)-nem része'!N53</f>
        <v>0</v>
      </c>
      <c r="O40" s="275">
        <f>+'PMH Dologi(alábontás)-nem része'!O53</f>
        <v>0</v>
      </c>
      <c r="P40" s="3194">
        <f>+'PMH Dologi(alábontás)-nem része'!P53</f>
        <v>0</v>
      </c>
      <c r="Q40" s="280"/>
      <c r="R40" s="1216">
        <f t="shared" si="0"/>
        <v>0</v>
      </c>
      <c r="S40" s="1225">
        <f t="shared" si="1"/>
        <v>0</v>
      </c>
      <c r="T40" s="1225">
        <f t="shared" si="2"/>
        <v>0</v>
      </c>
      <c r="U40" s="1220">
        <f t="shared" si="3"/>
        <v>0</v>
      </c>
      <c r="V40" s="2755">
        <v>0</v>
      </c>
      <c r="W40" s="2759"/>
      <c r="X40" s="275">
        <v>0</v>
      </c>
    </row>
    <row r="41" spans="1:24">
      <c r="A41" s="259" t="s">
        <v>648</v>
      </c>
      <c r="B41" s="263" t="s">
        <v>1502</v>
      </c>
      <c r="C41" s="263"/>
      <c r="D41" s="263"/>
      <c r="E41" s="263"/>
      <c r="F41" s="263"/>
      <c r="G41" s="263"/>
      <c r="H41" s="264" t="s">
        <v>1503</v>
      </c>
      <c r="I41" s="192">
        <f>+'PMH Dologi(alábontás)-nem része'!I54</f>
        <v>0</v>
      </c>
      <c r="J41" s="2550">
        <f>+'PMH Dologi(alábontás)-nem része'!J54</f>
        <v>0</v>
      </c>
      <c r="K41" s="192">
        <f>+'PMH Dologi(alábontás)-nem része'!K54</f>
        <v>0</v>
      </c>
      <c r="L41" s="275">
        <f>+'PMH Dologi(alábontás)-nem része'!L54</f>
        <v>0</v>
      </c>
      <c r="M41" s="275">
        <f>+'PMH Dologi(alábontás)-nem része'!M54</f>
        <v>0</v>
      </c>
      <c r="N41" s="275">
        <f>+'PMH Dologi(alábontás)-nem része'!N54</f>
        <v>0</v>
      </c>
      <c r="O41" s="275">
        <f>+'PMH Dologi(alábontás)-nem része'!O54</f>
        <v>0</v>
      </c>
      <c r="P41" s="3194">
        <f>+'PMH Dologi(alábontás)-nem része'!P54</f>
        <v>0</v>
      </c>
      <c r="Q41" s="280"/>
      <c r="R41" s="1216">
        <f t="shared" si="0"/>
        <v>0</v>
      </c>
      <c r="S41" s="1225">
        <f t="shared" si="1"/>
        <v>0</v>
      </c>
      <c r="T41" s="1225">
        <f t="shared" si="2"/>
        <v>0</v>
      </c>
      <c r="U41" s="1220">
        <f t="shared" si="3"/>
        <v>0</v>
      </c>
      <c r="V41" s="2755">
        <v>0</v>
      </c>
      <c r="W41" s="2759"/>
      <c r="X41" s="275">
        <v>0</v>
      </c>
    </row>
    <row r="42" spans="1:24">
      <c r="A42" s="259" t="s">
        <v>662</v>
      </c>
      <c r="B42" s="268" t="s">
        <v>1504</v>
      </c>
      <c r="C42" s="268"/>
      <c r="D42" s="268"/>
      <c r="E42" s="268"/>
      <c r="F42" s="268"/>
      <c r="G42" s="268"/>
      <c r="H42" s="284" t="s">
        <v>1505</v>
      </c>
      <c r="I42" s="209">
        <f t="shared" ref="I42:P42" si="13">SUM(I41)</f>
        <v>0</v>
      </c>
      <c r="J42" s="2549">
        <f t="shared" si="13"/>
        <v>0</v>
      </c>
      <c r="K42" s="209">
        <f t="shared" si="13"/>
        <v>0</v>
      </c>
      <c r="L42" s="265">
        <f t="shared" si="13"/>
        <v>0</v>
      </c>
      <c r="M42" s="265">
        <f t="shared" si="13"/>
        <v>0</v>
      </c>
      <c r="N42" s="265">
        <f t="shared" si="13"/>
        <v>0</v>
      </c>
      <c r="O42" s="265">
        <f t="shared" si="13"/>
        <v>0</v>
      </c>
      <c r="P42" s="3195">
        <f t="shared" si="13"/>
        <v>0</v>
      </c>
      <c r="Q42" s="267"/>
      <c r="R42" s="1212">
        <f t="shared" si="0"/>
        <v>0</v>
      </c>
      <c r="S42" s="1226">
        <f t="shared" si="1"/>
        <v>0</v>
      </c>
      <c r="T42" s="1226">
        <f t="shared" si="2"/>
        <v>0</v>
      </c>
      <c r="U42" s="1221">
        <f t="shared" si="3"/>
        <v>0</v>
      </c>
      <c r="V42" s="2756">
        <v>0</v>
      </c>
      <c r="W42" s="2759"/>
      <c r="X42" s="265">
        <v>0</v>
      </c>
    </row>
    <row r="43" spans="1:24">
      <c r="A43" s="259" t="s">
        <v>665</v>
      </c>
      <c r="B43" s="268" t="s">
        <v>93</v>
      </c>
      <c r="C43" s="268"/>
      <c r="D43" s="268"/>
      <c r="E43" s="268"/>
      <c r="F43" s="268"/>
      <c r="G43" s="268"/>
      <c r="H43" s="260" t="s">
        <v>1506</v>
      </c>
      <c r="I43" s="192">
        <f>+'PMH Dologi(alábontás)-nem része'!I56</f>
        <v>0</v>
      </c>
      <c r="J43" s="2550">
        <f>+'PMH Dologi(alábontás)-nem része'!J56</f>
        <v>0</v>
      </c>
      <c r="K43" s="192">
        <f>+'PMH Dologi(alábontás)-nem része'!K56</f>
        <v>0</v>
      </c>
      <c r="L43" s="275">
        <f>+'PMH Dologi(alábontás)-nem része'!L56</f>
        <v>0</v>
      </c>
      <c r="M43" s="275">
        <f>+'PMH Dologi(alábontás)-nem része'!M56</f>
        <v>0</v>
      </c>
      <c r="N43" s="275">
        <f>+'PMH Dologi(alábontás)-nem része'!N56</f>
        <v>0</v>
      </c>
      <c r="O43" s="275">
        <f>+'PMH Dologi(alábontás)-nem része'!O56</f>
        <v>0</v>
      </c>
      <c r="P43" s="3194">
        <f>+'PMH Dologi(alábontás)-nem része'!P56</f>
        <v>0</v>
      </c>
      <c r="Q43" s="280"/>
      <c r="R43" s="1216">
        <f t="shared" si="0"/>
        <v>0</v>
      </c>
      <c r="S43" s="1225">
        <f t="shared" si="1"/>
        <v>0</v>
      </c>
      <c r="T43" s="1225">
        <f t="shared" si="2"/>
        <v>0</v>
      </c>
      <c r="U43" s="1220">
        <f t="shared" si="3"/>
        <v>0</v>
      </c>
      <c r="V43" s="2755">
        <v>0</v>
      </c>
      <c r="W43" s="2759"/>
      <c r="X43" s="275">
        <v>0</v>
      </c>
    </row>
    <row r="44" spans="1:24">
      <c r="A44" s="259" t="s">
        <v>676</v>
      </c>
      <c r="B44" s="263" t="s">
        <v>1507</v>
      </c>
      <c r="C44" s="263"/>
      <c r="D44" s="263"/>
      <c r="E44" s="263"/>
      <c r="F44" s="263"/>
      <c r="G44" s="263"/>
      <c r="H44" s="264" t="s">
        <v>1508</v>
      </c>
      <c r="I44" s="192">
        <f>+'PMH Dologi(alábontás)-nem része'!I57</f>
        <v>0</v>
      </c>
      <c r="J44" s="2550">
        <f>+'PMH Dologi(alábontás)-nem része'!J57</f>
        <v>0</v>
      </c>
      <c r="K44" s="192">
        <f>+'PMH Dologi(alábontás)-nem része'!K57</f>
        <v>0</v>
      </c>
      <c r="L44" s="275">
        <f>+'PMH Dologi(alábontás)-nem része'!L57</f>
        <v>0</v>
      </c>
      <c r="M44" s="275">
        <f>+'PMH Dologi(alábontás)-nem része'!M57</f>
        <v>0</v>
      </c>
      <c r="N44" s="275">
        <f>+'PMH Dologi(alábontás)-nem része'!N57</f>
        <v>0</v>
      </c>
      <c r="O44" s="275">
        <f>+'PMH Dologi(alábontás)-nem része'!O57</f>
        <v>0</v>
      </c>
      <c r="P44" s="3194">
        <f>+'PMH Dologi(alábontás)-nem része'!P57</f>
        <v>0</v>
      </c>
      <c r="Q44" s="280"/>
      <c r="R44" s="1216">
        <f t="shared" si="0"/>
        <v>0</v>
      </c>
      <c r="S44" s="1225">
        <f t="shared" si="1"/>
        <v>0</v>
      </c>
      <c r="T44" s="1227">
        <f>+S44</f>
        <v>0</v>
      </c>
      <c r="U44" s="514">
        <f>+T44</f>
        <v>0</v>
      </c>
      <c r="V44" s="2755">
        <v>0</v>
      </c>
      <c r="W44" s="2759"/>
      <c r="X44" s="275">
        <v>0</v>
      </c>
    </row>
    <row r="45" spans="1:24">
      <c r="A45" s="259" t="s">
        <v>686</v>
      </c>
      <c r="B45" s="263" t="s">
        <v>1509</v>
      </c>
      <c r="C45" s="263"/>
      <c r="D45" s="263"/>
      <c r="E45" s="263"/>
      <c r="F45" s="263"/>
      <c r="G45" s="263"/>
      <c r="H45" s="264" t="s">
        <v>1510</v>
      </c>
      <c r="I45" s="192">
        <f>+'PMH Dologi(alábontás)-nem része'!I58</f>
        <v>0</v>
      </c>
      <c r="J45" s="2550">
        <f>+'PMH Dologi(alábontás)-nem része'!J58</f>
        <v>0</v>
      </c>
      <c r="K45" s="192">
        <f>+'PMH Dologi(alábontás)-nem része'!K58</f>
        <v>0</v>
      </c>
      <c r="L45" s="275">
        <f>+'PMH Dologi(alábontás)-nem része'!L58</f>
        <v>0</v>
      </c>
      <c r="M45" s="275">
        <f>+'PMH Dologi(alábontás)-nem része'!M58</f>
        <v>0</v>
      </c>
      <c r="N45" s="275">
        <f>+'PMH Dologi(alábontás)-nem része'!N58</f>
        <v>0</v>
      </c>
      <c r="O45" s="275">
        <f>+'PMH Dologi(alábontás)-nem része'!O58</f>
        <v>0</v>
      </c>
      <c r="P45" s="3194">
        <f>+'PMH Dologi(alábontás)-nem része'!P58</f>
        <v>0</v>
      </c>
      <c r="Q45" s="280"/>
      <c r="R45" s="1216">
        <f t="shared" si="0"/>
        <v>0</v>
      </c>
      <c r="S45" s="1225">
        <f t="shared" si="1"/>
        <v>0</v>
      </c>
      <c r="T45" s="1225">
        <f t="shared" si="1"/>
        <v>0</v>
      </c>
      <c r="U45" s="515">
        <f>+T45</f>
        <v>0</v>
      </c>
      <c r="V45" s="2755">
        <v>0</v>
      </c>
      <c r="W45" s="2759"/>
      <c r="X45" s="275">
        <v>0</v>
      </c>
    </row>
    <row r="46" spans="1:24">
      <c r="A46" s="259" t="s">
        <v>704</v>
      </c>
      <c r="B46" s="281" t="s">
        <v>1511</v>
      </c>
      <c r="C46" s="281"/>
      <c r="D46" s="281"/>
      <c r="E46" s="281"/>
      <c r="F46" s="281"/>
      <c r="G46" s="281"/>
      <c r="H46" s="260" t="s">
        <v>1512</v>
      </c>
      <c r="I46" s="209">
        <f t="shared" ref="I46:P46" si="14">SUM(I44:I45)</f>
        <v>0</v>
      </c>
      <c r="J46" s="2549">
        <f t="shared" si="14"/>
        <v>0</v>
      </c>
      <c r="K46" s="209">
        <f t="shared" si="14"/>
        <v>0</v>
      </c>
      <c r="L46" s="265">
        <f t="shared" si="14"/>
        <v>0</v>
      </c>
      <c r="M46" s="265">
        <f t="shared" si="14"/>
        <v>0</v>
      </c>
      <c r="N46" s="265">
        <f t="shared" si="14"/>
        <v>0</v>
      </c>
      <c r="O46" s="265">
        <f t="shared" si="14"/>
        <v>0</v>
      </c>
      <c r="P46" s="3195">
        <f t="shared" si="14"/>
        <v>0</v>
      </c>
      <c r="Q46" s="267"/>
      <c r="R46" s="1216">
        <f t="shared" si="0"/>
        <v>0</v>
      </c>
      <c r="S46" s="1226">
        <f t="shared" si="1"/>
        <v>0</v>
      </c>
      <c r="T46" s="1225">
        <f t="shared" si="1"/>
        <v>0</v>
      </c>
      <c r="U46" s="414">
        <f>SUM(U47:U49)</f>
        <v>-1873163</v>
      </c>
      <c r="V46" s="2756">
        <v>0</v>
      </c>
      <c r="W46" s="2759"/>
      <c r="X46" s="265">
        <v>0</v>
      </c>
    </row>
    <row r="47" spans="1:24">
      <c r="A47" s="259" t="s">
        <v>706</v>
      </c>
      <c r="B47" s="263" t="s">
        <v>104</v>
      </c>
      <c r="C47" s="263"/>
      <c r="D47" s="263"/>
      <c r="E47" s="263"/>
      <c r="F47" s="263"/>
      <c r="G47" s="263"/>
      <c r="H47" s="264" t="s">
        <v>1513</v>
      </c>
      <c r="I47" s="192">
        <f>+'PMH Dologi(alábontás)-nem része'!I60</f>
        <v>900000</v>
      </c>
      <c r="J47" s="2550">
        <f>+'PMH Dologi(alábontás)-nem része'!J60</f>
        <v>723600</v>
      </c>
      <c r="K47" s="192">
        <f>+'PMH Dologi(alábontás)-nem része'!K60</f>
        <v>900000</v>
      </c>
      <c r="L47" s="275">
        <f>+'PMH Dologi(alábontás)-nem része'!L60</f>
        <v>900000</v>
      </c>
      <c r="M47" s="275">
        <f>+'PMH Dologi(alábontás)-nem része'!M60</f>
        <v>900000</v>
      </c>
      <c r="N47" s="275">
        <f>+'PMH Dologi(alábontás)-nem része'!N60</f>
        <v>900000</v>
      </c>
      <c r="O47" s="275">
        <f>+'PMH Dologi(alábontás)-nem része'!O60</f>
        <v>900000</v>
      </c>
      <c r="P47" s="3194">
        <f>+'PMH Dologi(alábontás)-nem része'!P60</f>
        <v>740000</v>
      </c>
      <c r="Q47" s="280">
        <f t="shared" si="4"/>
        <v>0.82222222222222219</v>
      </c>
      <c r="R47" s="1216">
        <f t="shared" si="0"/>
        <v>0</v>
      </c>
      <c r="S47" s="1225">
        <f t="shared" si="1"/>
        <v>0</v>
      </c>
      <c r="T47" s="1225">
        <f t="shared" si="1"/>
        <v>0</v>
      </c>
      <c r="U47" s="515">
        <f>+T47</f>
        <v>0</v>
      </c>
      <c r="V47" s="2755">
        <v>723600</v>
      </c>
      <c r="W47" s="2759"/>
      <c r="X47" s="275">
        <v>541150</v>
      </c>
    </row>
    <row r="48" spans="1:24">
      <c r="A48" s="259" t="s">
        <v>710</v>
      </c>
      <c r="B48" s="263" t="s">
        <v>1514</v>
      </c>
      <c r="C48" s="263"/>
      <c r="D48" s="263"/>
      <c r="E48" s="263"/>
      <c r="F48" s="263"/>
      <c r="G48" s="263"/>
      <c r="H48" s="264" t="s">
        <v>1515</v>
      </c>
      <c r="I48" s="192">
        <f>+'PMH Dologi(alábontás)-nem része'!I61</f>
        <v>7536180</v>
      </c>
      <c r="J48" s="2550">
        <f>+'PMH Dologi(alábontás)-nem része'!J61</f>
        <v>6743700</v>
      </c>
      <c r="K48" s="192">
        <f>+'PMH Dologi(alábontás)-nem része'!K61</f>
        <v>7453310</v>
      </c>
      <c r="L48" s="275">
        <f>+'PMH Dologi(alábontás)-nem része'!L61</f>
        <v>7453310</v>
      </c>
      <c r="M48" s="275">
        <f>+'PMH Dologi(alábontás)-nem része'!M61</f>
        <v>7453310</v>
      </c>
      <c r="N48" s="275">
        <f>+'PMH Dologi(alábontás)-nem része'!N61</f>
        <v>7453310</v>
      </c>
      <c r="O48" s="275">
        <f>+'PMH Dologi(alábontás)-nem része'!O61</f>
        <v>7453310</v>
      </c>
      <c r="P48" s="3194">
        <f>+'PMH Dologi(alábontás)-nem része'!P61</f>
        <v>6870700</v>
      </c>
      <c r="Q48" s="280">
        <f t="shared" si="4"/>
        <v>0.92183204509137551</v>
      </c>
      <c r="R48" s="1216">
        <f t="shared" si="0"/>
        <v>0</v>
      </c>
      <c r="S48" s="1225">
        <f t="shared" si="1"/>
        <v>0</v>
      </c>
      <c r="T48" s="1225">
        <f t="shared" si="1"/>
        <v>0</v>
      </c>
      <c r="U48" s="516">
        <f>+T48</f>
        <v>0</v>
      </c>
      <c r="V48" s="2755">
        <v>6743700</v>
      </c>
      <c r="W48" s="2759"/>
      <c r="X48" s="275">
        <v>5619750</v>
      </c>
    </row>
    <row r="49" spans="1:24">
      <c r="A49" s="259" t="s">
        <v>712</v>
      </c>
      <c r="B49" s="263" t="s">
        <v>1516</v>
      </c>
      <c r="C49" s="263"/>
      <c r="D49" s="263"/>
      <c r="E49" s="263"/>
      <c r="F49" s="263"/>
      <c r="G49" s="263"/>
      <c r="H49" s="264" t="s">
        <v>1517</v>
      </c>
      <c r="I49" s="192">
        <f>+'PMH Dologi(alábontás)-nem része'!I65</f>
        <v>13380000</v>
      </c>
      <c r="J49" s="2550">
        <f>+'PMH Dologi(alábontás)-nem része'!J65</f>
        <v>3441401</v>
      </c>
      <c r="K49" s="192">
        <f>+'PMH Dologi(alábontás)-nem része'!K65</f>
        <v>13495000</v>
      </c>
      <c r="L49" s="275">
        <f>+'PMH Dologi(alábontás)-nem része'!L65</f>
        <v>13495000</v>
      </c>
      <c r="M49" s="275">
        <f>+'PMH Dologi(alábontás)-nem része'!M65</f>
        <v>8495000</v>
      </c>
      <c r="N49" s="275">
        <f>+'PMH Dologi(alábontás)-nem része'!N65</f>
        <v>6621837</v>
      </c>
      <c r="O49" s="275">
        <f>+'PMH Dologi(alábontás)-nem része'!O65</f>
        <v>6621837</v>
      </c>
      <c r="P49" s="3194">
        <f>+'PMH Dologi(alábontás)-nem része'!P65</f>
        <v>2322300</v>
      </c>
      <c r="Q49" s="280">
        <f t="shared" si="4"/>
        <v>0.35070328671635981</v>
      </c>
      <c r="R49" s="1216">
        <f t="shared" si="0"/>
        <v>0</v>
      </c>
      <c r="S49" s="1225">
        <f t="shared" si="1"/>
        <v>-5000000</v>
      </c>
      <c r="T49" s="1225">
        <f t="shared" si="1"/>
        <v>-1873163</v>
      </c>
      <c r="U49" s="516">
        <f>+T49</f>
        <v>-1873163</v>
      </c>
      <c r="V49" s="2755">
        <v>3441401</v>
      </c>
      <c r="W49" s="2759"/>
      <c r="X49" s="275">
        <v>2212311</v>
      </c>
    </row>
    <row r="50" spans="1:24">
      <c r="A50" s="259" t="s">
        <v>715</v>
      </c>
      <c r="B50" s="281" t="s">
        <v>3170</v>
      </c>
      <c r="C50" s="281"/>
      <c r="D50" s="281"/>
      <c r="E50" s="281"/>
      <c r="F50" s="281"/>
      <c r="G50" s="281"/>
      <c r="H50" s="260" t="s">
        <v>1518</v>
      </c>
      <c r="I50" s="209">
        <f t="shared" ref="I50:P50" si="15">SUM(I47:I49)</f>
        <v>21816180</v>
      </c>
      <c r="J50" s="2549">
        <f t="shared" si="15"/>
        <v>10908701</v>
      </c>
      <c r="K50" s="209">
        <f t="shared" si="15"/>
        <v>21848310</v>
      </c>
      <c r="L50" s="265">
        <f t="shared" si="15"/>
        <v>21848310</v>
      </c>
      <c r="M50" s="265">
        <f t="shared" si="15"/>
        <v>16848310</v>
      </c>
      <c r="N50" s="265">
        <f t="shared" si="15"/>
        <v>14975147</v>
      </c>
      <c r="O50" s="265">
        <f t="shared" si="15"/>
        <v>14975147</v>
      </c>
      <c r="P50" s="3195">
        <f t="shared" si="15"/>
        <v>9933000</v>
      </c>
      <c r="Q50" s="267">
        <f t="shared" si="4"/>
        <v>0.66329899799981928</v>
      </c>
      <c r="R50" s="1216">
        <f t="shared" si="0"/>
        <v>0</v>
      </c>
      <c r="S50" s="1226">
        <f t="shared" si="1"/>
        <v>-5000000</v>
      </c>
      <c r="T50" s="1225">
        <f t="shared" si="1"/>
        <v>-1873163</v>
      </c>
      <c r="U50" s="515">
        <f>+T50</f>
        <v>-1873163</v>
      </c>
      <c r="V50" s="2756">
        <v>10908701</v>
      </c>
      <c r="W50" s="2759"/>
      <c r="X50" s="265">
        <v>8373211</v>
      </c>
    </row>
    <row r="51" spans="1:24">
      <c r="A51" s="259" t="s">
        <v>716</v>
      </c>
      <c r="B51" s="263" t="s">
        <v>1519</v>
      </c>
      <c r="C51" s="263"/>
      <c r="D51" s="263"/>
      <c r="E51" s="263"/>
      <c r="F51" s="263"/>
      <c r="G51" s="263"/>
      <c r="H51" s="264" t="s">
        <v>1520</v>
      </c>
      <c r="I51" s="192">
        <f>+'PMH Dologi(alábontás)-nem része'!I67</f>
        <v>0</v>
      </c>
      <c r="J51" s="2550">
        <f>+'PMH Dologi(alábontás)-nem része'!J67</f>
        <v>0</v>
      </c>
      <c r="K51" s="192">
        <f>+'PMH Dologi(alábontás)-nem része'!K67</f>
        <v>0</v>
      </c>
      <c r="L51" s="275">
        <f>+'PMH Dologi(alábontás)-nem része'!L67</f>
        <v>0</v>
      </c>
      <c r="M51" s="275">
        <f>+'PMH Dologi(alábontás)-nem része'!M67</f>
        <v>0</v>
      </c>
      <c r="N51" s="275">
        <f>+'PMH Dologi(alábontás)-nem része'!N67</f>
        <v>0</v>
      </c>
      <c r="O51" s="275">
        <f>+'PMH Dologi(alábontás)-nem része'!O67</f>
        <v>0</v>
      </c>
      <c r="P51" s="3194">
        <f>+'PMH Dologi(alábontás)-nem része'!P67</f>
        <v>0</v>
      </c>
      <c r="Q51" s="280"/>
      <c r="R51" s="1216">
        <f t="shared" si="0"/>
        <v>0</v>
      </c>
      <c r="S51" s="1225">
        <f t="shared" si="1"/>
        <v>0</v>
      </c>
      <c r="T51" s="1225">
        <f t="shared" si="1"/>
        <v>0</v>
      </c>
      <c r="U51" s="1220">
        <f t="shared" ref="U51:U89" si="16">+O51-N51</f>
        <v>0</v>
      </c>
      <c r="V51" s="2755">
        <v>0</v>
      </c>
      <c r="W51" s="2759"/>
      <c r="X51" s="275">
        <v>0</v>
      </c>
    </row>
    <row r="52" spans="1:24">
      <c r="A52" s="259" t="s">
        <v>717</v>
      </c>
      <c r="B52" s="263" t="s">
        <v>1521</v>
      </c>
      <c r="C52" s="263"/>
      <c r="D52" s="263"/>
      <c r="E52" s="263"/>
      <c r="F52" s="263"/>
      <c r="G52" s="263"/>
      <c r="H52" s="264" t="s">
        <v>1522</v>
      </c>
      <c r="I52" s="192">
        <f>+'PMH Dologi(alábontás)-nem része'!I68</f>
        <v>2000000</v>
      </c>
      <c r="J52" s="2550">
        <f>+'PMH Dologi(alábontás)-nem része'!J68</f>
        <v>3383709</v>
      </c>
      <c r="K52" s="192">
        <f>+'PMH Dologi(alábontás)-nem része'!K68</f>
        <v>2589800</v>
      </c>
      <c r="L52" s="275">
        <f>+'PMH Dologi(alábontás)-nem része'!L68</f>
        <v>2589800</v>
      </c>
      <c r="M52" s="275">
        <f>+'PMH Dologi(alábontás)-nem része'!M68</f>
        <v>2589800</v>
      </c>
      <c r="N52" s="275">
        <f>+'PMH Dologi(alábontás)-nem része'!N68</f>
        <v>4462963</v>
      </c>
      <c r="O52" s="275">
        <f>+'PMH Dologi(alábontás)-nem része'!O68</f>
        <v>4462963</v>
      </c>
      <c r="P52" s="3194">
        <f>+'PMH Dologi(alábontás)-nem része'!P68</f>
        <v>4462963</v>
      </c>
      <c r="Q52" s="280">
        <f t="shared" si="4"/>
        <v>1</v>
      </c>
      <c r="R52" s="1216">
        <f t="shared" si="0"/>
        <v>0</v>
      </c>
      <c r="S52" s="1225">
        <f t="shared" si="1"/>
        <v>0</v>
      </c>
      <c r="T52" s="1225">
        <f t="shared" si="1"/>
        <v>1873163</v>
      </c>
      <c r="U52" s="1220">
        <f t="shared" si="16"/>
        <v>0</v>
      </c>
      <c r="V52" s="2755">
        <v>3383709</v>
      </c>
      <c r="W52" s="2759"/>
      <c r="X52" s="275">
        <v>2282616</v>
      </c>
    </row>
    <row r="53" spans="1:24">
      <c r="A53" s="259" t="s">
        <v>759</v>
      </c>
      <c r="B53" s="263" t="s">
        <v>1523</v>
      </c>
      <c r="C53" s="263"/>
      <c r="D53" s="263"/>
      <c r="E53" s="263"/>
      <c r="F53" s="263"/>
      <c r="G53" s="263"/>
      <c r="H53" s="264" t="s">
        <v>1524</v>
      </c>
      <c r="I53" s="192">
        <f>+'PMH Dologi(alábontás)-nem része'!I69</f>
        <v>0</v>
      </c>
      <c r="J53" s="2550">
        <f>+'PMH Dologi(alábontás)-nem része'!J69</f>
        <v>0</v>
      </c>
      <c r="K53" s="192">
        <f>+'PMH Dologi(alábontás)-nem része'!K69</f>
        <v>0</v>
      </c>
      <c r="L53" s="275">
        <f>+'PMH Dologi(alábontás)-nem része'!L69</f>
        <v>0</v>
      </c>
      <c r="M53" s="275">
        <f>+'PMH Dologi(alábontás)-nem része'!M69</f>
        <v>0</v>
      </c>
      <c r="N53" s="275">
        <f>+'PMH Dologi(alábontás)-nem része'!N69</f>
        <v>0</v>
      </c>
      <c r="O53" s="275">
        <f>+'PMH Dologi(alábontás)-nem része'!O69</f>
        <v>0</v>
      </c>
      <c r="P53" s="3194">
        <f>+'PMH Dologi(alábontás)-nem része'!P69</f>
        <v>0</v>
      </c>
      <c r="Q53" s="280"/>
      <c r="R53" s="1216">
        <f t="shared" si="0"/>
        <v>0</v>
      </c>
      <c r="S53" s="1225">
        <f t="shared" si="1"/>
        <v>0</v>
      </c>
      <c r="T53" s="1225">
        <f t="shared" ref="T53:T89" si="17">+N53-M53</f>
        <v>0</v>
      </c>
      <c r="U53" s="1220">
        <f t="shared" si="16"/>
        <v>0</v>
      </c>
      <c r="V53" s="2755">
        <v>0</v>
      </c>
      <c r="W53" s="2759"/>
      <c r="X53" s="275">
        <v>0</v>
      </c>
    </row>
    <row r="54" spans="1:24">
      <c r="A54" s="259" t="s">
        <v>776</v>
      </c>
      <c r="B54" s="263" t="s">
        <v>77</v>
      </c>
      <c r="C54" s="263"/>
      <c r="D54" s="263"/>
      <c r="E54" s="263"/>
      <c r="F54" s="263"/>
      <c r="G54" s="263"/>
      <c r="H54" s="264" t="s">
        <v>1525</v>
      </c>
      <c r="I54" s="192">
        <f>+'PMH Dologi(alábontás)-nem része'!I83</f>
        <v>23279750</v>
      </c>
      <c r="J54" s="2550">
        <f>+'PMH Dologi(alábontás)-nem része'!J83</f>
        <v>18210330</v>
      </c>
      <c r="K54" s="192">
        <f>+'PMH Dologi(alábontás)-nem része'!K83</f>
        <v>22459750</v>
      </c>
      <c r="L54" s="275">
        <f>+'PMH Dologi(alábontás)-nem része'!L83</f>
        <v>22459750</v>
      </c>
      <c r="M54" s="275">
        <f>+'PMH Dologi(alábontás)-nem része'!M83</f>
        <v>24433214</v>
      </c>
      <c r="N54" s="275">
        <f>+'PMH Dologi(alábontás)-nem része'!N83</f>
        <v>29933214</v>
      </c>
      <c r="O54" s="275">
        <f>+'PMH Dologi(alábontás)-nem része'!O83</f>
        <v>29933214</v>
      </c>
      <c r="P54" s="3194">
        <f>+'PMH Dologi(alábontás)-nem része'!P83</f>
        <v>23666624</v>
      </c>
      <c r="Q54" s="280">
        <f t="shared" si="4"/>
        <v>0.79064760636796305</v>
      </c>
      <c r="R54" s="1216">
        <f t="shared" si="0"/>
        <v>0</v>
      </c>
      <c r="S54" s="1225">
        <f t="shared" si="1"/>
        <v>1973464</v>
      </c>
      <c r="T54" s="1225">
        <f t="shared" si="17"/>
        <v>5500000</v>
      </c>
      <c r="U54" s="1220">
        <f t="shared" si="16"/>
        <v>0</v>
      </c>
      <c r="V54" s="2755">
        <v>18210330</v>
      </c>
      <c r="W54" s="2759"/>
      <c r="X54" s="275">
        <v>16773925</v>
      </c>
    </row>
    <row r="55" spans="1:24">
      <c r="A55" s="259" t="s">
        <v>834</v>
      </c>
      <c r="B55" s="281" t="s">
        <v>1526</v>
      </c>
      <c r="C55" s="281"/>
      <c r="D55" s="281"/>
      <c r="E55" s="281"/>
      <c r="F55" s="281"/>
      <c r="G55" s="281"/>
      <c r="H55" s="260" t="s">
        <v>1527</v>
      </c>
      <c r="I55" s="209">
        <f t="shared" ref="I55:P55" si="18">SUM(I51:I54)</f>
        <v>25279750</v>
      </c>
      <c r="J55" s="2549">
        <f t="shared" si="18"/>
        <v>21594039</v>
      </c>
      <c r="K55" s="209">
        <f t="shared" si="18"/>
        <v>25049550</v>
      </c>
      <c r="L55" s="265">
        <f t="shared" si="18"/>
        <v>25049550</v>
      </c>
      <c r="M55" s="265">
        <f t="shared" si="18"/>
        <v>27023014</v>
      </c>
      <c r="N55" s="265">
        <f t="shared" si="18"/>
        <v>34396177</v>
      </c>
      <c r="O55" s="265">
        <f t="shared" si="18"/>
        <v>34396177</v>
      </c>
      <c r="P55" s="3195">
        <f t="shared" si="18"/>
        <v>28129587</v>
      </c>
      <c r="Q55" s="267">
        <f t="shared" si="4"/>
        <v>0.81781143875378937</v>
      </c>
      <c r="R55" s="1212">
        <f t="shared" si="0"/>
        <v>0</v>
      </c>
      <c r="S55" s="1226">
        <f t="shared" si="1"/>
        <v>1973464</v>
      </c>
      <c r="T55" s="1226">
        <f t="shared" si="17"/>
        <v>7373163</v>
      </c>
      <c r="U55" s="1221">
        <f t="shared" si="16"/>
        <v>0</v>
      </c>
      <c r="V55" s="2756">
        <v>21594039</v>
      </c>
      <c r="W55" s="2759"/>
      <c r="X55" s="265">
        <v>19056541</v>
      </c>
    </row>
    <row r="56" spans="1:24">
      <c r="A56" s="259" t="s">
        <v>862</v>
      </c>
      <c r="B56" s="281" t="s">
        <v>1528</v>
      </c>
      <c r="C56" s="281"/>
      <c r="D56" s="281"/>
      <c r="E56" s="281"/>
      <c r="F56" s="281"/>
      <c r="G56" s="281"/>
      <c r="H56" s="260" t="s">
        <v>1529</v>
      </c>
      <c r="I56" s="209">
        <f t="shared" ref="I56:P56" si="19">+I39+I40+I42+I43+I46+I50+I55</f>
        <v>102595930</v>
      </c>
      <c r="J56" s="2549">
        <f t="shared" si="19"/>
        <v>77212265</v>
      </c>
      <c r="K56" s="209">
        <f t="shared" si="19"/>
        <v>94897860</v>
      </c>
      <c r="L56" s="265">
        <f t="shared" si="19"/>
        <v>71897860</v>
      </c>
      <c r="M56" s="265">
        <f t="shared" si="19"/>
        <v>71973254</v>
      </c>
      <c r="N56" s="265">
        <f t="shared" si="19"/>
        <v>78473254</v>
      </c>
      <c r="O56" s="265">
        <f t="shared" si="19"/>
        <v>78473254</v>
      </c>
      <c r="P56" s="3195">
        <f t="shared" si="19"/>
        <v>59859925</v>
      </c>
      <c r="Q56" s="267">
        <f t="shared" si="4"/>
        <v>0.7628067137371416</v>
      </c>
      <c r="R56" s="1212">
        <f t="shared" si="0"/>
        <v>-23000000</v>
      </c>
      <c r="S56" s="1226">
        <f t="shared" si="1"/>
        <v>75394</v>
      </c>
      <c r="T56" s="1226">
        <f t="shared" si="17"/>
        <v>6500000</v>
      </c>
      <c r="U56" s="1221">
        <f t="shared" si="16"/>
        <v>0</v>
      </c>
      <c r="V56" s="2756">
        <v>77212265</v>
      </c>
      <c r="W56" s="2759"/>
      <c r="X56" s="265">
        <v>68496914</v>
      </c>
    </row>
    <row r="57" spans="1:24">
      <c r="A57" s="259" t="s">
        <v>870</v>
      </c>
      <c r="B57" s="263" t="s">
        <v>1530</v>
      </c>
      <c r="C57" s="263"/>
      <c r="D57" s="263"/>
      <c r="E57" s="263"/>
      <c r="F57" s="263"/>
      <c r="G57" s="263"/>
      <c r="H57" s="264" t="s">
        <v>1531</v>
      </c>
      <c r="I57" s="192">
        <f>+'PMH Dologi(alábontás)-nem része'!I88</f>
        <v>4383120</v>
      </c>
      <c r="J57" s="2550">
        <f>+'PMH Dologi(alábontás)-nem része'!J88</f>
        <v>2074796</v>
      </c>
      <c r="K57" s="192">
        <f>+'PMH Dologi(alábontás)-nem része'!K88</f>
        <v>4704000</v>
      </c>
      <c r="L57" s="275">
        <f>+'PMH Dologi(alábontás)-nem része'!L88</f>
        <v>4704000</v>
      </c>
      <c r="M57" s="275">
        <f>+'PMH Dologi(alábontás)-nem része'!M88</f>
        <v>4704000</v>
      </c>
      <c r="N57" s="275">
        <f>+'PMH Dologi(alábontás)-nem része'!N88</f>
        <v>4704000</v>
      </c>
      <c r="O57" s="275">
        <f>+'PMH Dologi(alábontás)-nem része'!O88</f>
        <v>4704000</v>
      </c>
      <c r="P57" s="3194">
        <f>+'PMH Dologi(alábontás)-nem része'!P88</f>
        <v>1111176</v>
      </c>
      <c r="Q57" s="280">
        <f t="shared" si="4"/>
        <v>0.23621938775510204</v>
      </c>
      <c r="R57" s="1216">
        <f t="shared" si="0"/>
        <v>0</v>
      </c>
      <c r="S57" s="1225">
        <f t="shared" si="1"/>
        <v>0</v>
      </c>
      <c r="T57" s="1225">
        <f t="shared" si="17"/>
        <v>0</v>
      </c>
      <c r="U57" s="1220">
        <f t="shared" si="16"/>
        <v>0</v>
      </c>
      <c r="V57" s="2755">
        <v>2074796</v>
      </c>
      <c r="W57" s="2759"/>
      <c r="X57" s="275">
        <v>817664</v>
      </c>
    </row>
    <row r="58" spans="1:24">
      <c r="A58" s="259" t="s">
        <v>889</v>
      </c>
      <c r="B58" s="263" t="s">
        <v>1532</v>
      </c>
      <c r="C58" s="263"/>
      <c r="D58" s="263"/>
      <c r="E58" s="263"/>
      <c r="F58" s="263"/>
      <c r="G58" s="263"/>
      <c r="H58" s="264" t="s">
        <v>1533</v>
      </c>
      <c r="I58" s="192">
        <f>+'PMH Dologi(alábontás)-nem része'!I89</f>
        <v>0</v>
      </c>
      <c r="J58" s="2550">
        <f>+'PMH Dologi(alábontás)-nem része'!J89</f>
        <v>0</v>
      </c>
      <c r="K58" s="192">
        <f>+'PMH Dologi(alábontás)-nem része'!K89</f>
        <v>0</v>
      </c>
      <c r="L58" s="275">
        <f>+'PMH Dologi(alábontás)-nem része'!L89</f>
        <v>0</v>
      </c>
      <c r="M58" s="275">
        <f>+'PMH Dologi(alábontás)-nem része'!M89</f>
        <v>0</v>
      </c>
      <c r="N58" s="275">
        <f>+'PMH Dologi(alábontás)-nem része'!N89</f>
        <v>0</v>
      </c>
      <c r="O58" s="275">
        <f>+'PMH Dologi(alábontás)-nem része'!O89</f>
        <v>0</v>
      </c>
      <c r="P58" s="3194">
        <f>+'PMH Dologi(alábontás)-nem része'!P89</f>
        <v>0</v>
      </c>
      <c r="Q58" s="280"/>
      <c r="R58" s="1216">
        <f t="shared" si="0"/>
        <v>0</v>
      </c>
      <c r="S58" s="1225">
        <f t="shared" si="1"/>
        <v>0</v>
      </c>
      <c r="T58" s="1225">
        <f t="shared" si="17"/>
        <v>0</v>
      </c>
      <c r="U58" s="1220">
        <f t="shared" si="16"/>
        <v>0</v>
      </c>
      <c r="V58" s="2755">
        <v>0</v>
      </c>
      <c r="W58" s="2759"/>
      <c r="X58" s="275">
        <v>0</v>
      </c>
    </row>
    <row r="59" spans="1:24">
      <c r="A59" s="259" t="s">
        <v>911</v>
      </c>
      <c r="B59" s="281" t="s">
        <v>1534</v>
      </c>
      <c r="C59" s="281"/>
      <c r="D59" s="281"/>
      <c r="E59" s="281"/>
      <c r="F59" s="281"/>
      <c r="G59" s="281"/>
      <c r="H59" s="260" t="s">
        <v>1535</v>
      </c>
      <c r="I59" s="209">
        <f t="shared" ref="I59:P59" si="20">SUM(I57:I58)</f>
        <v>4383120</v>
      </c>
      <c r="J59" s="2549">
        <f t="shared" si="20"/>
        <v>2074796</v>
      </c>
      <c r="K59" s="209">
        <f t="shared" si="20"/>
        <v>4704000</v>
      </c>
      <c r="L59" s="265">
        <f t="shared" si="20"/>
        <v>4704000</v>
      </c>
      <c r="M59" s="265">
        <f t="shared" si="20"/>
        <v>4704000</v>
      </c>
      <c r="N59" s="265">
        <f t="shared" si="20"/>
        <v>4704000</v>
      </c>
      <c r="O59" s="265">
        <f t="shared" si="20"/>
        <v>4704000</v>
      </c>
      <c r="P59" s="3195">
        <f t="shared" si="20"/>
        <v>1111176</v>
      </c>
      <c r="Q59" s="267">
        <f t="shared" si="4"/>
        <v>0.23621938775510204</v>
      </c>
      <c r="R59" s="1212">
        <f t="shared" si="0"/>
        <v>0</v>
      </c>
      <c r="S59" s="1226">
        <f t="shared" si="1"/>
        <v>0</v>
      </c>
      <c r="T59" s="1226">
        <f t="shared" si="17"/>
        <v>0</v>
      </c>
      <c r="U59" s="1221">
        <f t="shared" si="16"/>
        <v>0</v>
      </c>
      <c r="V59" s="2756">
        <v>2074796</v>
      </c>
      <c r="W59" s="2759"/>
      <c r="X59" s="265">
        <v>817664</v>
      </c>
    </row>
    <row r="60" spans="1:24">
      <c r="A60" s="259" t="s">
        <v>1405</v>
      </c>
      <c r="B60" s="268" t="s">
        <v>1536</v>
      </c>
      <c r="C60" s="268"/>
      <c r="D60" s="268"/>
      <c r="E60" s="268"/>
      <c r="F60" s="268"/>
      <c r="G60" s="268"/>
      <c r="H60" s="260" t="s">
        <v>1537</v>
      </c>
      <c r="I60" s="192">
        <f>+'PMH Dologi(alábontás)-nem része'!I91</f>
        <v>300000</v>
      </c>
      <c r="J60" s="2550">
        <f>+'PMH Dologi(alábontás)-nem része'!J91</f>
        <v>337820</v>
      </c>
      <c r="K60" s="192">
        <f>+'PMH Dologi(alábontás)-nem része'!K91</f>
        <v>500000</v>
      </c>
      <c r="L60" s="275">
        <f>+'PMH Dologi(alábontás)-nem része'!L91</f>
        <v>500000</v>
      </c>
      <c r="M60" s="275">
        <f>+'PMH Dologi(alábontás)-nem része'!M91</f>
        <v>500000</v>
      </c>
      <c r="N60" s="275">
        <f>+'PMH Dologi(alábontás)-nem része'!N91</f>
        <v>500000</v>
      </c>
      <c r="O60" s="275">
        <f>+'PMH Dologi(alábontás)-nem része'!O91</f>
        <v>500000</v>
      </c>
      <c r="P60" s="3194">
        <f>+'PMH Dologi(alábontás)-nem része'!P91</f>
        <v>184150</v>
      </c>
      <c r="Q60" s="280">
        <f t="shared" si="4"/>
        <v>0.36830000000000002</v>
      </c>
      <c r="R60" s="1216">
        <f t="shared" si="0"/>
        <v>0</v>
      </c>
      <c r="S60" s="1225">
        <f t="shared" si="1"/>
        <v>0</v>
      </c>
      <c r="T60" s="1225">
        <f t="shared" si="17"/>
        <v>0</v>
      </c>
      <c r="U60" s="1220">
        <f t="shared" si="16"/>
        <v>0</v>
      </c>
      <c r="V60" s="2755">
        <v>337820</v>
      </c>
      <c r="W60" s="2759"/>
      <c r="X60" s="275">
        <v>337820</v>
      </c>
    </row>
    <row r="61" spans="1:24">
      <c r="A61" s="259" t="s">
        <v>942</v>
      </c>
      <c r="B61" s="281" t="s">
        <v>1538</v>
      </c>
      <c r="C61" s="281"/>
      <c r="D61" s="281"/>
      <c r="E61" s="281"/>
      <c r="F61" s="281"/>
      <c r="G61" s="281"/>
      <c r="H61" s="260" t="s">
        <v>1539</v>
      </c>
      <c r="I61" s="209">
        <f t="shared" ref="I61:P61" si="21">+I59+I60</f>
        <v>4683120</v>
      </c>
      <c r="J61" s="2549">
        <f t="shared" si="21"/>
        <v>2412616</v>
      </c>
      <c r="K61" s="209">
        <f t="shared" si="21"/>
        <v>5204000</v>
      </c>
      <c r="L61" s="265">
        <f t="shared" si="21"/>
        <v>5204000</v>
      </c>
      <c r="M61" s="265">
        <f t="shared" si="21"/>
        <v>5204000</v>
      </c>
      <c r="N61" s="265">
        <f t="shared" si="21"/>
        <v>5204000</v>
      </c>
      <c r="O61" s="265">
        <f t="shared" si="21"/>
        <v>5204000</v>
      </c>
      <c r="P61" s="3195">
        <f t="shared" si="21"/>
        <v>1295326</v>
      </c>
      <c r="Q61" s="267">
        <f t="shared" si="4"/>
        <v>0.24890968485780168</v>
      </c>
      <c r="R61" s="1212">
        <f t="shared" si="0"/>
        <v>0</v>
      </c>
      <c r="S61" s="1226">
        <f t="shared" si="1"/>
        <v>0</v>
      </c>
      <c r="T61" s="1226">
        <f t="shared" si="17"/>
        <v>0</v>
      </c>
      <c r="U61" s="1221">
        <f t="shared" si="16"/>
        <v>0</v>
      </c>
      <c r="V61" s="2756">
        <v>2412616</v>
      </c>
      <c r="W61" s="2759"/>
      <c r="X61" s="265">
        <v>1155484</v>
      </c>
    </row>
    <row r="62" spans="1:24">
      <c r="A62" s="259" t="s">
        <v>944</v>
      </c>
      <c r="B62" s="263" t="s">
        <v>1540</v>
      </c>
      <c r="C62" s="263"/>
      <c r="D62" s="263"/>
      <c r="E62" s="263"/>
      <c r="F62" s="263"/>
      <c r="G62" s="263"/>
      <c r="H62" s="264" t="s">
        <v>1541</v>
      </c>
      <c r="I62" s="192">
        <f>+'PMH Dologi(alábontás)-nem része'!I93</f>
        <v>0</v>
      </c>
      <c r="J62" s="2550">
        <f>+'PMH Dologi(alábontás)-nem része'!J93</f>
        <v>0</v>
      </c>
      <c r="K62" s="192">
        <f>+'PMH Dologi(alábontás)-nem része'!K93</f>
        <v>0</v>
      </c>
      <c r="L62" s="275">
        <f>+'PMH Dologi(alábontás)-nem része'!L93</f>
        <v>0</v>
      </c>
      <c r="M62" s="275">
        <f>+'PMH Dologi(alábontás)-nem része'!M93</f>
        <v>0</v>
      </c>
      <c r="N62" s="275">
        <f>+'PMH Dologi(alábontás)-nem része'!N93</f>
        <v>0</v>
      </c>
      <c r="O62" s="275">
        <f>+'PMH Dologi(alábontás)-nem része'!O93</f>
        <v>0</v>
      </c>
      <c r="P62" s="3194">
        <f>+'PMH Dologi(alábontás)-nem része'!P93</f>
        <v>0</v>
      </c>
      <c r="Q62" s="280"/>
      <c r="R62" s="1216">
        <f t="shared" si="0"/>
        <v>0</v>
      </c>
      <c r="S62" s="1225">
        <f t="shared" si="1"/>
        <v>0</v>
      </c>
      <c r="T62" s="1225">
        <f t="shared" si="17"/>
        <v>0</v>
      </c>
      <c r="U62" s="1220">
        <f t="shared" si="16"/>
        <v>0</v>
      </c>
      <c r="V62" s="2755">
        <v>0</v>
      </c>
      <c r="W62" s="2759"/>
      <c r="X62" s="275">
        <v>0</v>
      </c>
    </row>
    <row r="63" spans="1:24">
      <c r="A63" s="259" t="s">
        <v>947</v>
      </c>
      <c r="B63" s="263" t="s">
        <v>1542</v>
      </c>
      <c r="C63" s="263"/>
      <c r="D63" s="263"/>
      <c r="E63" s="263"/>
      <c r="F63" s="263"/>
      <c r="G63" s="263"/>
      <c r="H63" s="264" t="s">
        <v>1543</v>
      </c>
      <c r="I63" s="192">
        <f>+'PMH Dologi(alábontás)-nem része'!I94</f>
        <v>0</v>
      </c>
      <c r="J63" s="2550">
        <f>+'PMH Dologi(alábontás)-nem része'!J94</f>
        <v>0</v>
      </c>
      <c r="K63" s="192">
        <f>+'PMH Dologi(alábontás)-nem része'!K94</f>
        <v>0</v>
      </c>
      <c r="L63" s="275">
        <f>+'PMH Dologi(alábontás)-nem része'!L94</f>
        <v>0</v>
      </c>
      <c r="M63" s="275">
        <f>+'PMH Dologi(alábontás)-nem része'!M94</f>
        <v>0</v>
      </c>
      <c r="N63" s="275">
        <f>+'PMH Dologi(alábontás)-nem része'!N94</f>
        <v>0</v>
      </c>
      <c r="O63" s="275">
        <f>+'PMH Dologi(alábontás)-nem része'!O94</f>
        <v>0</v>
      </c>
      <c r="P63" s="3194">
        <f>+'PMH Dologi(alábontás)-nem része'!P94</f>
        <v>0</v>
      </c>
      <c r="Q63" s="280"/>
      <c r="R63" s="1216">
        <f t="shared" si="0"/>
        <v>0</v>
      </c>
      <c r="S63" s="1225">
        <f t="shared" si="1"/>
        <v>0</v>
      </c>
      <c r="T63" s="1225">
        <f t="shared" si="17"/>
        <v>0</v>
      </c>
      <c r="U63" s="1220">
        <f t="shared" si="16"/>
        <v>0</v>
      </c>
      <c r="V63" s="2755">
        <v>0</v>
      </c>
      <c r="W63" s="2759"/>
      <c r="X63" s="275">
        <v>0</v>
      </c>
    </row>
    <row r="64" spans="1:24">
      <c r="A64" s="259" t="s">
        <v>959</v>
      </c>
      <c r="B64" s="268" t="s">
        <v>1544</v>
      </c>
      <c r="C64" s="268"/>
      <c r="D64" s="268"/>
      <c r="E64" s="268"/>
      <c r="F64" s="268"/>
      <c r="G64" s="268"/>
      <c r="H64" s="260" t="s">
        <v>1545</v>
      </c>
      <c r="I64" s="209">
        <f t="shared" ref="I64:P64" si="22">SUM(I62:I63)</f>
        <v>0</v>
      </c>
      <c r="J64" s="2549">
        <f t="shared" si="22"/>
        <v>0</v>
      </c>
      <c r="K64" s="209">
        <f t="shared" si="22"/>
        <v>0</v>
      </c>
      <c r="L64" s="265">
        <f t="shared" si="22"/>
        <v>0</v>
      </c>
      <c r="M64" s="265">
        <f t="shared" si="22"/>
        <v>0</v>
      </c>
      <c r="N64" s="265">
        <f t="shared" si="22"/>
        <v>0</v>
      </c>
      <c r="O64" s="265">
        <f t="shared" si="22"/>
        <v>0</v>
      </c>
      <c r="P64" s="3195">
        <f t="shared" si="22"/>
        <v>0</v>
      </c>
      <c r="Q64" s="267"/>
      <c r="R64" s="1212">
        <f t="shared" si="0"/>
        <v>0</v>
      </c>
      <c r="S64" s="1226">
        <f t="shared" si="1"/>
        <v>0</v>
      </c>
      <c r="T64" s="1226">
        <f t="shared" si="17"/>
        <v>0</v>
      </c>
      <c r="U64" s="1221">
        <f t="shared" si="16"/>
        <v>0</v>
      </c>
      <c r="V64" s="2756">
        <v>0</v>
      </c>
      <c r="W64" s="2759"/>
      <c r="X64" s="265">
        <v>0</v>
      </c>
    </row>
    <row r="65" spans="1:24">
      <c r="A65" s="259" t="s">
        <v>998</v>
      </c>
      <c r="B65" s="263" t="s">
        <v>1546</v>
      </c>
      <c r="C65" s="263"/>
      <c r="D65" s="263"/>
      <c r="E65" s="263"/>
      <c r="F65" s="263"/>
      <c r="G65" s="263"/>
      <c r="H65" s="264" t="s">
        <v>1547</v>
      </c>
      <c r="I65" s="192">
        <f>+'PMH Dologi(alábontás)-nem része'!I96</f>
        <v>3000000</v>
      </c>
      <c r="J65" s="2550">
        <f>+'PMH Dologi(alábontás)-nem része'!J96</f>
        <v>1811000</v>
      </c>
      <c r="K65" s="192">
        <f>+'PMH Dologi(alábontás)-nem része'!K96</f>
        <v>3000000</v>
      </c>
      <c r="L65" s="275">
        <f>+'PMH Dologi(alábontás)-nem része'!L96</f>
        <v>3000000</v>
      </c>
      <c r="M65" s="275">
        <f>+'PMH Dologi(alábontás)-nem része'!M96</f>
        <v>3000000</v>
      </c>
      <c r="N65" s="275">
        <f>+'PMH Dologi(alábontás)-nem része'!N96</f>
        <v>3000000</v>
      </c>
      <c r="O65" s="275">
        <f>+'PMH Dologi(alábontás)-nem része'!O96</f>
        <v>3000000</v>
      </c>
      <c r="P65" s="3194">
        <f>+'PMH Dologi(alábontás)-nem része'!P96</f>
        <v>1987000</v>
      </c>
      <c r="Q65" s="280">
        <f t="shared" si="4"/>
        <v>0.66233333333333333</v>
      </c>
      <c r="R65" s="1216">
        <f t="shared" si="0"/>
        <v>0</v>
      </c>
      <c r="S65" s="1225">
        <f t="shared" si="1"/>
        <v>0</v>
      </c>
      <c r="T65" s="1225">
        <f t="shared" si="17"/>
        <v>0</v>
      </c>
      <c r="U65" s="1220">
        <f t="shared" si="16"/>
        <v>0</v>
      </c>
      <c r="V65" s="2755">
        <v>1811000</v>
      </c>
      <c r="W65" s="2759"/>
      <c r="X65" s="275">
        <v>1519000</v>
      </c>
    </row>
    <row r="66" spans="1:24">
      <c r="A66" s="259" t="s">
        <v>1000</v>
      </c>
      <c r="B66" s="263" t="s">
        <v>1548</v>
      </c>
      <c r="C66" s="263"/>
      <c r="D66" s="263"/>
      <c r="E66" s="263"/>
      <c r="F66" s="263"/>
      <c r="G66" s="263"/>
      <c r="H66" s="264" t="s">
        <v>1549</v>
      </c>
      <c r="I66" s="192">
        <f>+'PMH Dologi(alábontás)-nem része'!I97</f>
        <v>0</v>
      </c>
      <c r="J66" s="2550">
        <f>+'PMH Dologi(alábontás)-nem része'!J97</f>
        <v>0</v>
      </c>
      <c r="K66" s="192">
        <f>+'PMH Dologi(alábontás)-nem része'!K97</f>
        <v>0</v>
      </c>
      <c r="L66" s="275">
        <f>+'PMH Dologi(alábontás)-nem része'!L97</f>
        <v>0</v>
      </c>
      <c r="M66" s="275">
        <f>+'PMH Dologi(alábontás)-nem része'!M97</f>
        <v>0</v>
      </c>
      <c r="N66" s="275">
        <f>+'PMH Dologi(alábontás)-nem része'!N97</f>
        <v>0</v>
      </c>
      <c r="O66" s="275">
        <f>+'PMH Dologi(alábontás)-nem része'!O97</f>
        <v>0</v>
      </c>
      <c r="P66" s="3194">
        <f>+'PMH Dologi(alábontás)-nem része'!P97</f>
        <v>0</v>
      </c>
      <c r="Q66" s="280"/>
      <c r="R66" s="1216">
        <f t="shared" si="0"/>
        <v>0</v>
      </c>
      <c r="S66" s="1225">
        <f t="shared" si="1"/>
        <v>0</v>
      </c>
      <c r="T66" s="1225">
        <f t="shared" si="17"/>
        <v>0</v>
      </c>
      <c r="U66" s="1220">
        <f t="shared" si="16"/>
        <v>0</v>
      </c>
      <c r="V66" s="2755">
        <v>0</v>
      </c>
      <c r="W66" s="2759"/>
      <c r="X66" s="275">
        <v>0</v>
      </c>
    </row>
    <row r="67" spans="1:24">
      <c r="A67" s="259" t="s">
        <v>1002</v>
      </c>
      <c r="B67" s="263" t="s">
        <v>121</v>
      </c>
      <c r="C67" s="263"/>
      <c r="D67" s="263"/>
      <c r="E67" s="263"/>
      <c r="F67" s="263"/>
      <c r="G67" s="263"/>
      <c r="H67" s="264" t="s">
        <v>1550</v>
      </c>
      <c r="I67" s="192">
        <f>+'PMH Dologi(alábontás)-nem része'!I98</f>
        <v>0</v>
      </c>
      <c r="J67" s="2550">
        <f>+'PMH Dologi(alábontás)-nem része'!J98</f>
        <v>0</v>
      </c>
      <c r="K67" s="192">
        <f>+'PMH Dologi(alábontás)-nem része'!K98</f>
        <v>0</v>
      </c>
      <c r="L67" s="275">
        <f>+'PMH Dologi(alábontás)-nem része'!L98</f>
        <v>0</v>
      </c>
      <c r="M67" s="275">
        <f>+'PMH Dologi(alábontás)-nem része'!M98</f>
        <v>0</v>
      </c>
      <c r="N67" s="275">
        <f>+'PMH Dologi(alábontás)-nem része'!N98</f>
        <v>0</v>
      </c>
      <c r="O67" s="275">
        <f>+'PMH Dologi(alábontás)-nem része'!O98</f>
        <v>0</v>
      </c>
      <c r="P67" s="3194">
        <f>+'PMH Dologi(alábontás)-nem része'!P98</f>
        <v>0</v>
      </c>
      <c r="Q67" s="280"/>
      <c r="R67" s="1216">
        <f t="shared" si="0"/>
        <v>0</v>
      </c>
      <c r="S67" s="1225">
        <f t="shared" si="1"/>
        <v>0</v>
      </c>
      <c r="T67" s="1225">
        <f t="shared" si="17"/>
        <v>0</v>
      </c>
      <c r="U67" s="1220">
        <f t="shared" si="16"/>
        <v>0</v>
      </c>
      <c r="V67" s="2755">
        <v>0</v>
      </c>
      <c r="W67" s="2759"/>
      <c r="X67" s="275">
        <v>0</v>
      </c>
    </row>
    <row r="68" spans="1:24">
      <c r="A68" s="259" t="s">
        <v>1008</v>
      </c>
      <c r="B68" s="281" t="s">
        <v>1551</v>
      </c>
      <c r="C68" s="281"/>
      <c r="D68" s="281"/>
      <c r="E68" s="281"/>
      <c r="F68" s="281"/>
      <c r="G68" s="281"/>
      <c r="H68" s="260" t="s">
        <v>1552</v>
      </c>
      <c r="I68" s="209">
        <f t="shared" ref="I68:P68" si="23">SUM(I65:I67)</f>
        <v>3000000</v>
      </c>
      <c r="J68" s="2549">
        <f t="shared" si="23"/>
        <v>1811000</v>
      </c>
      <c r="K68" s="209">
        <f t="shared" si="23"/>
        <v>3000000</v>
      </c>
      <c r="L68" s="265">
        <f t="shared" si="23"/>
        <v>3000000</v>
      </c>
      <c r="M68" s="265">
        <f t="shared" si="23"/>
        <v>3000000</v>
      </c>
      <c r="N68" s="265">
        <f t="shared" si="23"/>
        <v>3000000</v>
      </c>
      <c r="O68" s="265">
        <f t="shared" si="23"/>
        <v>3000000</v>
      </c>
      <c r="P68" s="3195">
        <f t="shared" si="23"/>
        <v>1987000</v>
      </c>
      <c r="Q68" s="267">
        <f t="shared" si="4"/>
        <v>0.66233333333333333</v>
      </c>
      <c r="R68" s="1212">
        <f t="shared" si="0"/>
        <v>0</v>
      </c>
      <c r="S68" s="1226">
        <f t="shared" si="1"/>
        <v>0</v>
      </c>
      <c r="T68" s="1226">
        <f t="shared" si="17"/>
        <v>0</v>
      </c>
      <c r="U68" s="1221">
        <f t="shared" si="16"/>
        <v>0</v>
      </c>
      <c r="V68" s="2756">
        <v>1811000</v>
      </c>
      <c r="W68" s="2759"/>
      <c r="X68" s="265">
        <v>1519000</v>
      </c>
    </row>
    <row r="69" spans="1:24">
      <c r="A69" s="259" t="s">
        <v>1016</v>
      </c>
      <c r="B69" s="263" t="s">
        <v>1553</v>
      </c>
      <c r="C69" s="263"/>
      <c r="D69" s="263"/>
      <c r="E69" s="263"/>
      <c r="F69" s="263"/>
      <c r="G69" s="263"/>
      <c r="H69" s="264" t="s">
        <v>1554</v>
      </c>
      <c r="I69" s="192">
        <f>+'PMH Dologi(alábontás)-nem része'!I100</f>
        <v>0</v>
      </c>
      <c r="J69" s="2550">
        <f>+'PMH Dologi(alábontás)-nem része'!J100</f>
        <v>0</v>
      </c>
      <c r="K69" s="192">
        <f>+'PMH Dologi(alábontás)-nem része'!K100</f>
        <v>0</v>
      </c>
      <c r="L69" s="275">
        <f>+'PMH Dologi(alábontás)-nem része'!L100</f>
        <v>0</v>
      </c>
      <c r="M69" s="275">
        <f>+'PMH Dologi(alábontás)-nem része'!M100</f>
        <v>0</v>
      </c>
      <c r="N69" s="275">
        <f>+'PMH Dologi(alábontás)-nem része'!N100</f>
        <v>0</v>
      </c>
      <c r="O69" s="275">
        <f>+'PMH Dologi(alábontás)-nem része'!O100</f>
        <v>0</v>
      </c>
      <c r="P69" s="3194">
        <f>+'PMH Dologi(alábontás)-nem része'!P100</f>
        <v>0</v>
      </c>
      <c r="Q69" s="280"/>
      <c r="R69" s="1216">
        <f t="shared" si="0"/>
        <v>0</v>
      </c>
      <c r="S69" s="1225">
        <f t="shared" si="1"/>
        <v>0</v>
      </c>
      <c r="T69" s="1225">
        <f t="shared" si="17"/>
        <v>0</v>
      </c>
      <c r="U69" s="1220">
        <f t="shared" si="16"/>
        <v>0</v>
      </c>
      <c r="V69" s="2755">
        <v>0</v>
      </c>
      <c r="W69" s="2759"/>
      <c r="X69" s="275">
        <v>0</v>
      </c>
    </row>
    <row r="70" spans="1:24">
      <c r="A70" s="259" t="s">
        <v>1017</v>
      </c>
      <c r="B70" s="263" t="s">
        <v>1555</v>
      </c>
      <c r="C70" s="263"/>
      <c r="D70" s="263"/>
      <c r="E70" s="263"/>
      <c r="F70" s="263"/>
      <c r="G70" s="263"/>
      <c r="H70" s="264" t="s">
        <v>1556</v>
      </c>
      <c r="I70" s="192">
        <f>+'PMH Dologi(alábontás)-nem része'!I101</f>
        <v>0</v>
      </c>
      <c r="J70" s="2550">
        <f>+'PMH Dologi(alábontás)-nem része'!J101</f>
        <v>0</v>
      </c>
      <c r="K70" s="192">
        <f>+'PMH Dologi(alábontás)-nem része'!K101</f>
        <v>0</v>
      </c>
      <c r="L70" s="275">
        <f>+'PMH Dologi(alábontás)-nem része'!L101</f>
        <v>0</v>
      </c>
      <c r="M70" s="275">
        <f>+'PMH Dologi(alábontás)-nem része'!M101</f>
        <v>0</v>
      </c>
      <c r="N70" s="275">
        <f>+'PMH Dologi(alábontás)-nem része'!N101</f>
        <v>0</v>
      </c>
      <c r="O70" s="275">
        <f>+'PMH Dologi(alábontás)-nem része'!O101</f>
        <v>0</v>
      </c>
      <c r="P70" s="3194">
        <f>+'PMH Dologi(alábontás)-nem része'!P101</f>
        <v>0</v>
      </c>
      <c r="Q70" s="280"/>
      <c r="R70" s="1216">
        <f t="shared" si="0"/>
        <v>0</v>
      </c>
      <c r="S70" s="1225">
        <f t="shared" si="1"/>
        <v>0</v>
      </c>
      <c r="T70" s="1225">
        <f t="shared" si="17"/>
        <v>0</v>
      </c>
      <c r="U70" s="1220">
        <f t="shared" si="16"/>
        <v>0</v>
      </c>
      <c r="V70" s="2755">
        <v>0</v>
      </c>
      <c r="W70" s="2759"/>
      <c r="X70" s="275">
        <v>0</v>
      </c>
    </row>
    <row r="71" spans="1:24">
      <c r="A71" s="259" t="s">
        <v>1022</v>
      </c>
      <c r="B71" s="281" t="s">
        <v>1557</v>
      </c>
      <c r="C71" s="281"/>
      <c r="D71" s="281"/>
      <c r="E71" s="281"/>
      <c r="F71" s="281"/>
      <c r="G71" s="281"/>
      <c r="H71" s="260" t="s">
        <v>1558</v>
      </c>
      <c r="I71" s="209">
        <f t="shared" ref="I71:P71" si="24">SUM(I69:I70)</f>
        <v>0</v>
      </c>
      <c r="J71" s="2549">
        <f t="shared" si="24"/>
        <v>0</v>
      </c>
      <c r="K71" s="209">
        <f t="shared" si="24"/>
        <v>0</v>
      </c>
      <c r="L71" s="265">
        <f t="shared" si="24"/>
        <v>0</v>
      </c>
      <c r="M71" s="265">
        <f t="shared" si="24"/>
        <v>0</v>
      </c>
      <c r="N71" s="265">
        <f t="shared" si="24"/>
        <v>0</v>
      </c>
      <c r="O71" s="265">
        <f t="shared" si="24"/>
        <v>0</v>
      </c>
      <c r="P71" s="3195">
        <f t="shared" si="24"/>
        <v>0</v>
      </c>
      <c r="Q71" s="267"/>
      <c r="R71" s="1212">
        <f t="shared" si="0"/>
        <v>0</v>
      </c>
      <c r="S71" s="1226">
        <f t="shared" si="1"/>
        <v>0</v>
      </c>
      <c r="T71" s="1226">
        <f t="shared" si="17"/>
        <v>0</v>
      </c>
      <c r="U71" s="1221">
        <f t="shared" si="16"/>
        <v>0</v>
      </c>
      <c r="V71" s="2756">
        <v>0</v>
      </c>
      <c r="W71" s="2759"/>
      <c r="X71" s="265">
        <v>0</v>
      </c>
    </row>
    <row r="72" spans="1:24">
      <c r="A72" s="259" t="s">
        <v>1045</v>
      </c>
      <c r="B72" s="281" t="s">
        <v>1559</v>
      </c>
      <c r="C72" s="281"/>
      <c r="D72" s="281"/>
      <c r="E72" s="281"/>
      <c r="F72" s="281"/>
      <c r="G72" s="281"/>
      <c r="H72" s="260" t="s">
        <v>1560</v>
      </c>
      <c r="I72" s="192">
        <f>+'PMH Dologi(alábontás)-nem része'!I103</f>
        <v>0</v>
      </c>
      <c r="J72" s="2550">
        <f>+'PMH Dologi(alábontás)-nem része'!J103</f>
        <v>0</v>
      </c>
      <c r="K72" s="209">
        <f>+'PMH Dologi(alábontás)-nem része'!K103</f>
        <v>0</v>
      </c>
      <c r="L72" s="209">
        <f>+'PMH Dologi(alábontás)-nem része'!L103</f>
        <v>0</v>
      </c>
      <c r="M72" s="209">
        <f>+'PMH Dologi(alábontás)-nem része'!M103</f>
        <v>0</v>
      </c>
      <c r="N72" s="209">
        <f>+'PMH Dologi(alábontás)-nem része'!N103</f>
        <v>0</v>
      </c>
      <c r="O72" s="209">
        <f>+'PMH Dologi(alábontás)-nem része'!O103</f>
        <v>0</v>
      </c>
      <c r="P72" s="3524">
        <f>+'PMH Dologi(alábontás)-nem része'!P103</f>
        <v>0</v>
      </c>
      <c r="Q72" s="280"/>
      <c r="R72" s="1216">
        <f t="shared" si="0"/>
        <v>0</v>
      </c>
      <c r="S72" s="1225">
        <f t="shared" si="1"/>
        <v>0</v>
      </c>
      <c r="T72" s="1225">
        <f t="shared" si="17"/>
        <v>0</v>
      </c>
      <c r="U72" s="1220">
        <f t="shared" si="16"/>
        <v>0</v>
      </c>
      <c r="V72" s="2755">
        <v>0</v>
      </c>
      <c r="W72" s="2759"/>
      <c r="X72" s="275"/>
    </row>
    <row r="73" spans="1:24">
      <c r="A73" s="259" t="s">
        <v>1055</v>
      </c>
      <c r="B73" s="263" t="s">
        <v>91</v>
      </c>
      <c r="C73" s="263"/>
      <c r="D73" s="263"/>
      <c r="E73" s="263"/>
      <c r="F73" s="263"/>
      <c r="G73" s="263"/>
      <c r="H73" s="264" t="s">
        <v>1561</v>
      </c>
      <c r="I73" s="192">
        <f>+'PMH Dologi(alábontás)-nem része'!I107</f>
        <v>860000</v>
      </c>
      <c r="J73" s="2550">
        <f>+'PMH Dologi(alábontás)-nem része'!J107</f>
        <v>1490654</v>
      </c>
      <c r="K73" s="192">
        <f>+'PMH Dologi(alábontás)-nem része'!K107</f>
        <v>1513200</v>
      </c>
      <c r="L73" s="275">
        <f>+'PMH Dologi(alábontás)-nem része'!L107</f>
        <v>1577720</v>
      </c>
      <c r="M73" s="275">
        <f>+'PMH Dologi(alábontás)-nem része'!M107</f>
        <v>1577720</v>
      </c>
      <c r="N73" s="275">
        <f>+'PMH Dologi(alábontás)-nem része'!N107</f>
        <v>1727736</v>
      </c>
      <c r="O73" s="275">
        <f>+'PMH Dologi(alábontás)-nem része'!O107</f>
        <v>1727736</v>
      </c>
      <c r="P73" s="3194">
        <f>+'PMH Dologi(alábontás)-nem része'!P107</f>
        <v>1296732</v>
      </c>
      <c r="Q73" s="280">
        <f>+P73/N73</f>
        <v>0.75053827668115958</v>
      </c>
      <c r="R73" s="1216">
        <f t="shared" si="0"/>
        <v>64520</v>
      </c>
      <c r="S73" s="1225">
        <f t="shared" si="1"/>
        <v>0</v>
      </c>
      <c r="T73" s="1225">
        <f t="shared" si="17"/>
        <v>150016</v>
      </c>
      <c r="U73" s="1220">
        <f t="shared" si="16"/>
        <v>0</v>
      </c>
      <c r="V73" s="2755">
        <v>1490654</v>
      </c>
      <c r="W73" s="2759"/>
      <c r="X73" s="275">
        <v>1461502</v>
      </c>
    </row>
    <row r="74" spans="1:24">
      <c r="A74" s="259" t="s">
        <v>1058</v>
      </c>
      <c r="B74" s="263" t="s">
        <v>1562</v>
      </c>
      <c r="C74" s="263"/>
      <c r="D74" s="263"/>
      <c r="E74" s="263"/>
      <c r="F74" s="263"/>
      <c r="G74" s="263"/>
      <c r="H74" s="264" t="s">
        <v>1563</v>
      </c>
      <c r="I74" s="192">
        <f>+'PMH Dologi(alábontás)-nem része'!I108</f>
        <v>0</v>
      </c>
      <c r="J74" s="2550">
        <f>+'PMH Dologi(alábontás)-nem része'!J108</f>
        <v>0</v>
      </c>
      <c r="K74" s="192">
        <f>+'PMH Dologi(alábontás)-nem része'!K108</f>
        <v>0</v>
      </c>
      <c r="L74" s="275">
        <f>+'PMH Dologi(alábontás)-nem része'!L108</f>
        <v>0</v>
      </c>
      <c r="M74" s="275">
        <f>+'PMH Dologi(alábontás)-nem része'!M108</f>
        <v>0</v>
      </c>
      <c r="N74" s="275">
        <f>+'PMH Dologi(alábontás)-nem része'!N108</f>
        <v>0</v>
      </c>
      <c r="O74" s="275">
        <f>+'PMH Dologi(alábontás)-nem része'!O108</f>
        <v>0</v>
      </c>
      <c r="P74" s="3194">
        <f>+'PMH Dologi(alábontás)-nem része'!P108</f>
        <v>0</v>
      </c>
      <c r="Q74" s="280"/>
      <c r="R74" s="1216">
        <f t="shared" si="0"/>
        <v>0</v>
      </c>
      <c r="S74" s="1225">
        <f t="shared" si="1"/>
        <v>0</v>
      </c>
      <c r="T74" s="1225">
        <f t="shared" si="17"/>
        <v>0</v>
      </c>
      <c r="U74" s="1220">
        <f t="shared" si="16"/>
        <v>0</v>
      </c>
      <c r="V74" s="2755">
        <v>0</v>
      </c>
      <c r="W74" s="2759"/>
      <c r="X74" s="275">
        <v>0</v>
      </c>
    </row>
    <row r="75" spans="1:24" hidden="1">
      <c r="A75" s="259" t="s">
        <v>1060</v>
      </c>
      <c r="B75" s="268" t="s">
        <v>1564</v>
      </c>
      <c r="C75" s="268"/>
      <c r="D75" s="268"/>
      <c r="E75" s="268"/>
      <c r="F75" s="263"/>
      <c r="G75" s="263"/>
      <c r="H75" s="264"/>
      <c r="I75" s="192">
        <f>+'PMH Dologi(alábontás)-nem része'!I109</f>
        <v>0</v>
      </c>
      <c r="J75" s="2550">
        <f>+'PMH Dologi(alábontás)-nem része'!J109</f>
        <v>0</v>
      </c>
      <c r="K75" s="192">
        <f>+'PMH Dologi(alábontás)-nem része'!K109</f>
        <v>0</v>
      </c>
      <c r="L75" s="275">
        <f>+'PMH Dologi(alábontás)-nem része'!L109</f>
        <v>0</v>
      </c>
      <c r="M75" s="275">
        <f>+'PMH Dologi(alábontás)-nem része'!M109</f>
        <v>0</v>
      </c>
      <c r="N75" s="275">
        <f>+'PMH Dologi(alábontás)-nem része'!N109</f>
        <v>0</v>
      </c>
      <c r="O75" s="275">
        <f>+'PMH Dologi(alábontás)-nem része'!O109</f>
        <v>0</v>
      </c>
      <c r="P75" s="3194">
        <f>+'PMH Dologi(alábontás)-nem része'!P109</f>
        <v>0</v>
      </c>
      <c r="Q75" s="280"/>
      <c r="R75" s="1216">
        <f t="shared" si="0"/>
        <v>0</v>
      </c>
      <c r="S75" s="1225">
        <f t="shared" si="1"/>
        <v>0</v>
      </c>
      <c r="T75" s="1225">
        <f t="shared" si="17"/>
        <v>0</v>
      </c>
      <c r="U75" s="1220">
        <f t="shared" si="16"/>
        <v>0</v>
      </c>
      <c r="V75" s="2755">
        <v>0</v>
      </c>
      <c r="W75" s="2759"/>
      <c r="X75" s="275">
        <v>0</v>
      </c>
    </row>
    <row r="76" spans="1:24" hidden="1">
      <c r="A76" s="259" t="s">
        <v>1062</v>
      </c>
      <c r="B76" s="268" t="s">
        <v>1565</v>
      </c>
      <c r="C76" s="268"/>
      <c r="D76" s="268"/>
      <c r="E76" s="268"/>
      <c r="F76" s="263"/>
      <c r="G76" s="263"/>
      <c r="H76" s="264"/>
      <c r="I76" s="192">
        <f>+'PMH Dologi(alábontás)-nem része'!I110</f>
        <v>0</v>
      </c>
      <c r="J76" s="2550">
        <f>+'PMH Dologi(alábontás)-nem része'!J110</f>
        <v>0</v>
      </c>
      <c r="K76" s="192">
        <f>+'PMH Dologi(alábontás)-nem része'!K110</f>
        <v>0</v>
      </c>
      <c r="L76" s="275">
        <f>+'PMH Dologi(alábontás)-nem része'!L110</f>
        <v>0</v>
      </c>
      <c r="M76" s="275">
        <f>+'PMH Dologi(alábontás)-nem része'!M110</f>
        <v>0</v>
      </c>
      <c r="N76" s="275">
        <f>+'PMH Dologi(alábontás)-nem része'!N110</f>
        <v>0</v>
      </c>
      <c r="O76" s="275">
        <f>+'PMH Dologi(alábontás)-nem része'!O110</f>
        <v>0</v>
      </c>
      <c r="P76" s="3194">
        <f>+'PMH Dologi(alábontás)-nem része'!P110</f>
        <v>0</v>
      </c>
      <c r="Q76" s="280"/>
      <c r="R76" s="1216">
        <f t="shared" si="0"/>
        <v>0</v>
      </c>
      <c r="S76" s="1225">
        <f t="shared" si="1"/>
        <v>0</v>
      </c>
      <c r="T76" s="1225">
        <f t="shared" si="17"/>
        <v>0</v>
      </c>
      <c r="U76" s="1220">
        <f t="shared" si="16"/>
        <v>0</v>
      </c>
      <c r="V76" s="2755">
        <v>0</v>
      </c>
      <c r="W76" s="2759"/>
      <c r="X76" s="275">
        <v>0</v>
      </c>
    </row>
    <row r="77" spans="1:24" hidden="1">
      <c r="A77" s="259" t="s">
        <v>1065</v>
      </c>
      <c r="B77" s="268" t="s">
        <v>1566</v>
      </c>
      <c r="C77" s="268"/>
      <c r="D77" s="268"/>
      <c r="E77" s="268"/>
      <c r="F77" s="263"/>
      <c r="G77" s="263"/>
      <c r="H77" s="264"/>
      <c r="I77" s="192">
        <f>+'PMH Dologi(alábontás)-nem része'!I111</f>
        <v>0</v>
      </c>
      <c r="J77" s="2550">
        <f>+'PMH Dologi(alábontás)-nem része'!J111</f>
        <v>0</v>
      </c>
      <c r="K77" s="192">
        <f>+'PMH Dologi(alábontás)-nem része'!K111</f>
        <v>0</v>
      </c>
      <c r="L77" s="275">
        <f>+'PMH Dologi(alábontás)-nem része'!L111</f>
        <v>0</v>
      </c>
      <c r="M77" s="275">
        <f>+'PMH Dologi(alábontás)-nem része'!M111</f>
        <v>0</v>
      </c>
      <c r="N77" s="275">
        <f>+'PMH Dologi(alábontás)-nem része'!N111</f>
        <v>0</v>
      </c>
      <c r="O77" s="275">
        <f>+'PMH Dologi(alábontás)-nem része'!O111</f>
        <v>0</v>
      </c>
      <c r="P77" s="3194">
        <f>+'PMH Dologi(alábontás)-nem része'!P111</f>
        <v>0</v>
      </c>
      <c r="Q77" s="280"/>
      <c r="R77" s="1216">
        <f t="shared" si="0"/>
        <v>0</v>
      </c>
      <c r="S77" s="1225">
        <f t="shared" si="1"/>
        <v>0</v>
      </c>
      <c r="T77" s="1225">
        <f t="shared" si="17"/>
        <v>0</v>
      </c>
      <c r="U77" s="1220">
        <f t="shared" si="16"/>
        <v>0</v>
      </c>
      <c r="V77" s="2755">
        <v>0</v>
      </c>
      <c r="W77" s="2759"/>
      <c r="X77" s="275">
        <v>0</v>
      </c>
    </row>
    <row r="78" spans="1:24" hidden="1">
      <c r="A78" s="259" t="s">
        <v>1068</v>
      </c>
      <c r="B78" s="268" t="s">
        <v>1567</v>
      </c>
      <c r="C78" s="268"/>
      <c r="D78" s="268"/>
      <c r="E78" s="268"/>
      <c r="F78" s="263"/>
      <c r="G78" s="263"/>
      <c r="H78" s="264"/>
      <c r="I78" s="192">
        <f>+'PMH Dologi(alábontás)-nem része'!I112</f>
        <v>0</v>
      </c>
      <c r="J78" s="2550">
        <f>+'PMH Dologi(alábontás)-nem része'!J112</f>
        <v>0</v>
      </c>
      <c r="K78" s="192">
        <f>+'PMH Dologi(alábontás)-nem része'!K112</f>
        <v>0</v>
      </c>
      <c r="L78" s="275">
        <f>+'PMH Dologi(alábontás)-nem része'!L112</f>
        <v>0</v>
      </c>
      <c r="M78" s="275">
        <f>+'PMH Dologi(alábontás)-nem része'!M112</f>
        <v>0</v>
      </c>
      <c r="N78" s="275">
        <f>+'PMH Dologi(alábontás)-nem része'!N112</f>
        <v>0</v>
      </c>
      <c r="O78" s="275">
        <f>+'PMH Dologi(alábontás)-nem része'!O112</f>
        <v>0</v>
      </c>
      <c r="P78" s="3194">
        <f>+'PMH Dologi(alábontás)-nem része'!P112</f>
        <v>0</v>
      </c>
      <c r="Q78" s="280"/>
      <c r="R78" s="1216">
        <f t="shared" si="0"/>
        <v>0</v>
      </c>
      <c r="S78" s="1225">
        <f t="shared" si="1"/>
        <v>0</v>
      </c>
      <c r="T78" s="1225">
        <f t="shared" si="17"/>
        <v>0</v>
      </c>
      <c r="U78" s="1220">
        <f t="shared" si="16"/>
        <v>0</v>
      </c>
      <c r="V78" s="2755">
        <v>0</v>
      </c>
      <c r="W78" s="2759"/>
      <c r="X78" s="275">
        <v>0</v>
      </c>
    </row>
    <row r="79" spans="1:24" hidden="1">
      <c r="A79" s="259" t="s">
        <v>1070</v>
      </c>
      <c r="B79" s="508" t="s">
        <v>1568</v>
      </c>
      <c r="C79" s="268"/>
      <c r="D79" s="268"/>
      <c r="E79" s="268"/>
      <c r="F79" s="263"/>
      <c r="G79" s="263"/>
      <c r="H79" s="264"/>
      <c r="I79" s="192">
        <f>+'PMH Dologi(alábontás)-nem része'!I113</f>
        <v>0</v>
      </c>
      <c r="J79" s="2550">
        <f>+'PMH Dologi(alábontás)-nem része'!J113</f>
        <v>0</v>
      </c>
      <c r="K79" s="192">
        <f>+'PMH Dologi(alábontás)-nem része'!K113</f>
        <v>0</v>
      </c>
      <c r="L79" s="275">
        <f>+'PMH Dologi(alábontás)-nem része'!L113</f>
        <v>0</v>
      </c>
      <c r="M79" s="275">
        <f>+'PMH Dologi(alábontás)-nem része'!M113</f>
        <v>0</v>
      </c>
      <c r="N79" s="275">
        <f>+'PMH Dologi(alábontás)-nem része'!N113</f>
        <v>0</v>
      </c>
      <c r="O79" s="275">
        <f>+'PMH Dologi(alábontás)-nem része'!O113</f>
        <v>0</v>
      </c>
      <c r="P79" s="3194">
        <f>+'PMH Dologi(alábontás)-nem része'!P113</f>
        <v>0</v>
      </c>
      <c r="Q79" s="280"/>
      <c r="R79" s="1216">
        <f t="shared" si="0"/>
        <v>0</v>
      </c>
      <c r="S79" s="1225">
        <f t="shared" si="1"/>
        <v>0</v>
      </c>
      <c r="T79" s="1225">
        <f t="shared" si="17"/>
        <v>0</v>
      </c>
      <c r="U79" s="1220">
        <f t="shared" si="16"/>
        <v>0</v>
      </c>
      <c r="V79" s="2755">
        <v>0</v>
      </c>
      <c r="W79" s="2759"/>
      <c r="X79" s="275">
        <v>0</v>
      </c>
    </row>
    <row r="80" spans="1:24" hidden="1">
      <c r="A80" s="259" t="s">
        <v>1074</v>
      </c>
      <c r="B80" s="508" t="s">
        <v>1569</v>
      </c>
      <c r="C80" s="268"/>
      <c r="D80" s="268"/>
      <c r="E80" s="268"/>
      <c r="F80" s="263"/>
      <c r="G80" s="263"/>
      <c r="H80" s="264"/>
      <c r="I80" s="192">
        <f>+'PMH Dologi(alábontás)-nem része'!I114</f>
        <v>0</v>
      </c>
      <c r="J80" s="2550">
        <f>+'PMH Dologi(alábontás)-nem része'!J114</f>
        <v>0</v>
      </c>
      <c r="K80" s="192">
        <f>+'PMH Dologi(alábontás)-nem része'!K114</f>
        <v>0</v>
      </c>
      <c r="L80" s="275">
        <f>+'PMH Dologi(alábontás)-nem része'!L114</f>
        <v>0</v>
      </c>
      <c r="M80" s="275">
        <f>+'PMH Dologi(alábontás)-nem része'!M114</f>
        <v>0</v>
      </c>
      <c r="N80" s="275">
        <f>+'PMH Dologi(alábontás)-nem része'!N114</f>
        <v>0</v>
      </c>
      <c r="O80" s="275">
        <f>+'PMH Dologi(alábontás)-nem része'!O114</f>
        <v>0</v>
      </c>
      <c r="P80" s="3194">
        <f>+'PMH Dologi(alábontás)-nem része'!P114</f>
        <v>0</v>
      </c>
      <c r="Q80" s="280"/>
      <c r="R80" s="1216">
        <f t="shared" si="0"/>
        <v>0</v>
      </c>
      <c r="S80" s="1225">
        <f t="shared" si="1"/>
        <v>0</v>
      </c>
      <c r="T80" s="1225">
        <f t="shared" si="17"/>
        <v>0</v>
      </c>
      <c r="U80" s="1220">
        <f t="shared" si="16"/>
        <v>0</v>
      </c>
      <c r="V80" s="2755">
        <v>0</v>
      </c>
      <c r="W80" s="2759"/>
      <c r="X80" s="275">
        <v>0</v>
      </c>
    </row>
    <row r="81" spans="1:24" hidden="1">
      <c r="A81" s="259"/>
      <c r="B81" s="268" t="s">
        <v>1570</v>
      </c>
      <c r="C81" s="268"/>
      <c r="D81" s="268"/>
      <c r="E81" s="268"/>
      <c r="F81" s="263"/>
      <c r="G81" s="263"/>
      <c r="H81" s="264"/>
      <c r="I81" s="192">
        <f>+'PMH Dologi(alábontás)-nem része'!I115</f>
        <v>0</v>
      </c>
      <c r="J81" s="2550">
        <f>+'PMH Dologi(alábontás)-nem része'!J115</f>
        <v>0</v>
      </c>
      <c r="K81" s="192">
        <f>+'PMH Dologi(alábontás)-nem része'!K115</f>
        <v>0</v>
      </c>
      <c r="L81" s="275">
        <f>+'PMH Dologi(alábontás)-nem része'!L115</f>
        <v>0</v>
      </c>
      <c r="M81" s="275">
        <f>+'PMH Dologi(alábontás)-nem része'!M115</f>
        <v>0</v>
      </c>
      <c r="N81" s="275">
        <f>+'PMH Dologi(alábontás)-nem része'!N115</f>
        <v>0</v>
      </c>
      <c r="O81" s="275">
        <f>+'PMH Dologi(alábontás)-nem része'!O115</f>
        <v>0</v>
      </c>
      <c r="P81" s="3194">
        <f>+'PMH Dologi(alábontás)-nem része'!P115</f>
        <v>0</v>
      </c>
      <c r="Q81" s="280"/>
      <c r="R81" s="1216">
        <f t="shared" si="0"/>
        <v>0</v>
      </c>
      <c r="S81" s="1225">
        <f t="shared" si="1"/>
        <v>0</v>
      </c>
      <c r="T81" s="1225">
        <f t="shared" si="17"/>
        <v>0</v>
      </c>
      <c r="U81" s="1220">
        <f t="shared" si="16"/>
        <v>0</v>
      </c>
      <c r="V81" s="2755">
        <v>0</v>
      </c>
      <c r="W81" s="2759"/>
      <c r="X81" s="275">
        <v>0</v>
      </c>
    </row>
    <row r="82" spans="1:24" hidden="1">
      <c r="A82" s="259"/>
      <c r="B82" s="268" t="s">
        <v>1571</v>
      </c>
      <c r="C82" s="268"/>
      <c r="D82" s="268"/>
      <c r="E82" s="268"/>
      <c r="F82" s="263"/>
      <c r="G82" s="263"/>
      <c r="H82" s="264"/>
      <c r="I82" s="192">
        <f>+'PMH Dologi(alábontás)-nem része'!I116</f>
        <v>0</v>
      </c>
      <c r="J82" s="2550">
        <f>+'PMH Dologi(alábontás)-nem része'!J116</f>
        <v>0</v>
      </c>
      <c r="K82" s="192">
        <f>+'PMH Dologi(alábontás)-nem része'!K116</f>
        <v>0</v>
      </c>
      <c r="L82" s="275">
        <f>+'PMH Dologi(alábontás)-nem része'!L116</f>
        <v>0</v>
      </c>
      <c r="M82" s="275">
        <f>+'PMH Dologi(alábontás)-nem része'!M116</f>
        <v>0</v>
      </c>
      <c r="N82" s="275">
        <f>+'PMH Dologi(alábontás)-nem része'!N116</f>
        <v>0</v>
      </c>
      <c r="O82" s="275">
        <f>+'PMH Dologi(alábontás)-nem része'!O116</f>
        <v>0</v>
      </c>
      <c r="P82" s="3194">
        <f>+'PMH Dologi(alábontás)-nem része'!P116</f>
        <v>0</v>
      </c>
      <c r="Q82" s="280"/>
      <c r="R82" s="1216">
        <f t="shared" si="0"/>
        <v>0</v>
      </c>
      <c r="S82" s="1225">
        <f t="shared" si="1"/>
        <v>0</v>
      </c>
      <c r="T82" s="1225">
        <f t="shared" si="17"/>
        <v>0</v>
      </c>
      <c r="U82" s="1220">
        <f t="shared" si="16"/>
        <v>0</v>
      </c>
      <c r="V82" s="2755">
        <v>0</v>
      </c>
      <c r="W82" s="2759"/>
      <c r="X82" s="275">
        <v>0</v>
      </c>
    </row>
    <row r="83" spans="1:24" hidden="1">
      <c r="A83" s="259" t="s">
        <v>1572</v>
      </c>
      <c r="B83" s="268" t="s">
        <v>1573</v>
      </c>
      <c r="C83" s="268"/>
      <c r="D83" s="268"/>
      <c r="E83" s="268"/>
      <c r="F83" s="263"/>
      <c r="G83" s="263"/>
      <c r="H83" s="264"/>
      <c r="I83" s="192">
        <f>+'PMH Dologi(alábontás)-nem része'!I117</f>
        <v>0</v>
      </c>
      <c r="J83" s="2550">
        <f>+'PMH Dologi(alábontás)-nem része'!J117</f>
        <v>0</v>
      </c>
      <c r="K83" s="192">
        <f>+'PMH Dologi(alábontás)-nem része'!K117</f>
        <v>0</v>
      </c>
      <c r="L83" s="275">
        <f>+'PMH Dologi(alábontás)-nem része'!L117</f>
        <v>0</v>
      </c>
      <c r="M83" s="275">
        <f>+'PMH Dologi(alábontás)-nem része'!M117</f>
        <v>0</v>
      </c>
      <c r="N83" s="275">
        <f>+'PMH Dologi(alábontás)-nem része'!N117</f>
        <v>0</v>
      </c>
      <c r="O83" s="275">
        <f>+'PMH Dologi(alábontás)-nem része'!O117</f>
        <v>0</v>
      </c>
      <c r="P83" s="3194">
        <f>+'PMH Dologi(alábontás)-nem része'!P117</f>
        <v>0</v>
      </c>
      <c r="Q83" s="280"/>
      <c r="R83" s="1216">
        <f t="shared" si="0"/>
        <v>0</v>
      </c>
      <c r="S83" s="1225">
        <f t="shared" si="1"/>
        <v>0</v>
      </c>
      <c r="T83" s="1225">
        <f t="shared" si="17"/>
        <v>0</v>
      </c>
      <c r="U83" s="1220">
        <f t="shared" si="16"/>
        <v>0</v>
      </c>
      <c r="V83" s="2755">
        <v>0</v>
      </c>
      <c r="W83" s="2759"/>
      <c r="X83" s="275">
        <v>0</v>
      </c>
    </row>
    <row r="84" spans="1:24" hidden="1">
      <c r="A84" s="259" t="s">
        <v>1574</v>
      </c>
      <c r="B84" s="268" t="s">
        <v>1575</v>
      </c>
      <c r="C84" s="268"/>
      <c r="D84" s="268"/>
      <c r="E84" s="268"/>
      <c r="F84" s="263"/>
      <c r="G84" s="263"/>
      <c r="H84" s="264"/>
      <c r="I84" s="192">
        <f>+'PMH Dologi(alábontás)-nem része'!I118</f>
        <v>0</v>
      </c>
      <c r="J84" s="2550">
        <f>+'PMH Dologi(alábontás)-nem része'!J118</f>
        <v>0</v>
      </c>
      <c r="K84" s="192">
        <f>+'PMH Dologi(alábontás)-nem része'!K118</f>
        <v>0</v>
      </c>
      <c r="L84" s="275">
        <f>+'PMH Dologi(alábontás)-nem része'!L118</f>
        <v>0</v>
      </c>
      <c r="M84" s="275">
        <f>+'PMH Dologi(alábontás)-nem része'!M118</f>
        <v>0</v>
      </c>
      <c r="N84" s="275">
        <f>+'PMH Dologi(alábontás)-nem része'!N118</f>
        <v>0</v>
      </c>
      <c r="O84" s="275">
        <f>+'PMH Dologi(alábontás)-nem része'!O118</f>
        <v>0</v>
      </c>
      <c r="P84" s="3194">
        <f>+'PMH Dologi(alábontás)-nem része'!P118</f>
        <v>0</v>
      </c>
      <c r="Q84" s="280"/>
      <c r="R84" s="1216">
        <f t="shared" si="0"/>
        <v>0</v>
      </c>
      <c r="S84" s="1225">
        <f t="shared" si="1"/>
        <v>0</v>
      </c>
      <c r="T84" s="1225">
        <f t="shared" si="17"/>
        <v>0</v>
      </c>
      <c r="U84" s="1220">
        <f t="shared" si="16"/>
        <v>0</v>
      </c>
      <c r="V84" s="2755">
        <v>0</v>
      </c>
      <c r="W84" s="2759"/>
      <c r="X84" s="275">
        <v>0</v>
      </c>
    </row>
    <row r="85" spans="1:24" s="252" customFormat="1">
      <c r="A85" s="259" t="s">
        <v>1060</v>
      </c>
      <c r="B85" s="268" t="s">
        <v>3620</v>
      </c>
      <c r="C85" s="268"/>
      <c r="D85" s="268"/>
      <c r="E85" s="268"/>
      <c r="F85" s="268"/>
      <c r="G85" s="268"/>
      <c r="H85" s="260"/>
      <c r="I85" s="209">
        <f>+'PMH Dologi(alábontás)-nem része'!I119</f>
        <v>0</v>
      </c>
      <c r="J85" s="2549">
        <f>+'PMH Dologi(alábontás)-nem része'!J119</f>
        <v>0</v>
      </c>
      <c r="K85" s="209">
        <f>+'PMH Dologi(alábontás)-nem része'!K119</f>
        <v>0</v>
      </c>
      <c r="L85" s="265">
        <f>+'PMH Dologi(alábontás)-nem része'!L119</f>
        <v>0</v>
      </c>
      <c r="M85" s="265">
        <f>+'PMH Dologi(alábontás)-nem része'!M119</f>
        <v>0</v>
      </c>
      <c r="N85" s="265">
        <f>+'PMH Dologi(alábontás)-nem része'!N119</f>
        <v>0</v>
      </c>
      <c r="O85" s="265">
        <f>+'PMH Dologi(alábontás)-nem része'!O119</f>
        <v>0</v>
      </c>
      <c r="P85" s="3195">
        <f>+'PMH Dologi(alábontás)-nem része'!P119</f>
        <v>0</v>
      </c>
      <c r="Q85" s="267"/>
      <c r="R85" s="1216">
        <f t="shared" si="0"/>
        <v>0</v>
      </c>
      <c r="S85" s="1225">
        <f t="shared" si="1"/>
        <v>0</v>
      </c>
      <c r="T85" s="1225">
        <f t="shared" si="17"/>
        <v>0</v>
      </c>
      <c r="U85" s="1221"/>
      <c r="V85" s="2756">
        <v>0</v>
      </c>
      <c r="W85" s="2758"/>
      <c r="X85" s="265">
        <v>0</v>
      </c>
    </row>
    <row r="86" spans="1:24">
      <c r="A86" s="259" t="s">
        <v>1062</v>
      </c>
      <c r="B86" s="263" t="s">
        <v>1576</v>
      </c>
      <c r="C86" s="263"/>
      <c r="D86" s="263"/>
      <c r="E86" s="263"/>
      <c r="F86" s="263"/>
      <c r="G86" s="263"/>
      <c r="H86" s="264" t="s">
        <v>1577</v>
      </c>
      <c r="I86" s="192">
        <f>+'PMH Dologi(alábontás)-nem része'!I122</f>
        <v>6000000</v>
      </c>
      <c r="J86" s="2550">
        <f>+'PMH Dologi(alábontás)-nem része'!J122</f>
        <v>1873861</v>
      </c>
      <c r="K86" s="192">
        <f>+'PMH Dologi(alábontás)-nem része'!K122</f>
        <v>6000000</v>
      </c>
      <c r="L86" s="275">
        <f>+'PMH Dologi(alábontás)-nem része'!L122</f>
        <v>7829656</v>
      </c>
      <c r="M86" s="275">
        <f>+'PMH Dologi(alábontás)-nem része'!M122</f>
        <v>5630862</v>
      </c>
      <c r="N86" s="275">
        <f>+'PMH Dologi(alábontás)-nem része'!N122</f>
        <v>3850283</v>
      </c>
      <c r="O86" s="275">
        <f>+'PMH Dologi(alábontás)-nem része'!O122</f>
        <v>3850283</v>
      </c>
      <c r="P86" s="3194">
        <f>+'PMH Dologi(alábontás)-nem része'!P122</f>
        <v>1224913</v>
      </c>
      <c r="Q86" s="280">
        <f>+P86/N86</f>
        <v>0.31813583572947757</v>
      </c>
      <c r="R86" s="1216">
        <f t="shared" si="0"/>
        <v>1829656</v>
      </c>
      <c r="S86" s="1225">
        <f t="shared" si="1"/>
        <v>-2198794</v>
      </c>
      <c r="T86" s="1225">
        <f t="shared" si="17"/>
        <v>-1780579</v>
      </c>
      <c r="U86" s="1220">
        <f t="shared" si="16"/>
        <v>0</v>
      </c>
      <c r="V86" s="2755">
        <v>1873861</v>
      </c>
      <c r="W86" s="2759"/>
      <c r="X86" s="275">
        <v>856675</v>
      </c>
    </row>
    <row r="87" spans="1:24">
      <c r="A87" s="259" t="s">
        <v>1065</v>
      </c>
      <c r="B87" s="281" t="s">
        <v>3139</v>
      </c>
      <c r="C87" s="281"/>
      <c r="D87" s="281"/>
      <c r="E87" s="281"/>
      <c r="F87" s="281"/>
      <c r="G87" s="281"/>
      <c r="H87" s="260" t="s">
        <v>1578</v>
      </c>
      <c r="I87" s="209">
        <f t="shared" ref="I87:P87" si="25">SUM(I73:I86)</f>
        <v>6860000</v>
      </c>
      <c r="J87" s="2549">
        <f t="shared" si="25"/>
        <v>3364515</v>
      </c>
      <c r="K87" s="209">
        <f t="shared" si="25"/>
        <v>7513200</v>
      </c>
      <c r="L87" s="265">
        <f t="shared" si="25"/>
        <v>9407376</v>
      </c>
      <c r="M87" s="265">
        <f t="shared" si="25"/>
        <v>7208582</v>
      </c>
      <c r="N87" s="265">
        <f t="shared" si="25"/>
        <v>5578019</v>
      </c>
      <c r="O87" s="265">
        <f t="shared" si="25"/>
        <v>5578019</v>
      </c>
      <c r="P87" s="3195">
        <f t="shared" si="25"/>
        <v>2521645</v>
      </c>
      <c r="Q87" s="267">
        <f>+P87/N87</f>
        <v>0.4520681984052044</v>
      </c>
      <c r="R87" s="1212">
        <f t="shared" si="0"/>
        <v>1894176</v>
      </c>
      <c r="S87" s="1226">
        <f t="shared" si="1"/>
        <v>-2198794</v>
      </c>
      <c r="T87" s="1226">
        <f t="shared" si="17"/>
        <v>-1630563</v>
      </c>
      <c r="U87" s="1221">
        <f t="shared" si="16"/>
        <v>0</v>
      </c>
      <c r="V87" s="2756">
        <v>3364515</v>
      </c>
      <c r="W87" s="2759"/>
      <c r="X87" s="265">
        <v>2318177</v>
      </c>
    </row>
    <row r="88" spans="1:24">
      <c r="A88" s="259" t="s">
        <v>1068</v>
      </c>
      <c r="B88" s="281" t="s">
        <v>1852</v>
      </c>
      <c r="C88" s="281"/>
      <c r="D88" s="281"/>
      <c r="E88" s="281"/>
      <c r="F88" s="281"/>
      <c r="G88" s="281"/>
      <c r="H88" s="260" t="s">
        <v>1579</v>
      </c>
      <c r="I88" s="209">
        <f t="shared" ref="I88:P88" si="26">+I64+I68+I71+I72+I87</f>
        <v>9860000</v>
      </c>
      <c r="J88" s="2549">
        <f t="shared" si="26"/>
        <v>5175515</v>
      </c>
      <c r="K88" s="209">
        <f t="shared" si="26"/>
        <v>10513200</v>
      </c>
      <c r="L88" s="265">
        <f t="shared" si="26"/>
        <v>12407376</v>
      </c>
      <c r="M88" s="265">
        <f t="shared" si="26"/>
        <v>10208582</v>
      </c>
      <c r="N88" s="265">
        <f t="shared" si="26"/>
        <v>8578019</v>
      </c>
      <c r="O88" s="265">
        <f t="shared" si="26"/>
        <v>8578019</v>
      </c>
      <c r="P88" s="3195">
        <f t="shared" si="26"/>
        <v>4508645</v>
      </c>
      <c r="Q88" s="267">
        <f>+P88/N88</f>
        <v>0.52560445482809026</v>
      </c>
      <c r="R88" s="1212">
        <f t="shared" si="0"/>
        <v>1894176</v>
      </c>
      <c r="S88" s="1226">
        <f t="shared" si="1"/>
        <v>-2198794</v>
      </c>
      <c r="T88" s="1226">
        <f t="shared" si="17"/>
        <v>-1630563</v>
      </c>
      <c r="U88" s="1221">
        <f t="shared" si="16"/>
        <v>0</v>
      </c>
      <c r="V88" s="2756">
        <v>5175515</v>
      </c>
      <c r="W88" s="2759"/>
      <c r="X88" s="265">
        <v>3837177</v>
      </c>
    </row>
    <row r="89" spans="1:24" ht="18.75">
      <c r="A89" s="259" t="s">
        <v>1070</v>
      </c>
      <c r="B89" s="286" t="s">
        <v>1853</v>
      </c>
      <c r="C89" s="286"/>
      <c r="D89" s="286"/>
      <c r="E89" s="286"/>
      <c r="F89" s="286"/>
      <c r="G89" s="286"/>
      <c r="H89" s="287" t="s">
        <v>1580</v>
      </c>
      <c r="I89" s="221">
        <f t="shared" ref="I89:P89" si="27">+I24+I35+I56+I61+I88</f>
        <v>175939050</v>
      </c>
      <c r="J89" s="2605">
        <f t="shared" si="27"/>
        <v>122594937</v>
      </c>
      <c r="K89" s="221">
        <f t="shared" si="27"/>
        <v>154083060</v>
      </c>
      <c r="L89" s="288">
        <f t="shared" si="27"/>
        <v>132977236</v>
      </c>
      <c r="M89" s="288">
        <f t="shared" si="27"/>
        <v>128853836</v>
      </c>
      <c r="N89" s="221">
        <f t="shared" si="27"/>
        <v>133723273</v>
      </c>
      <c r="O89" s="288">
        <f t="shared" si="27"/>
        <v>133723273</v>
      </c>
      <c r="P89" s="3196">
        <f t="shared" si="27"/>
        <v>102382960</v>
      </c>
      <c r="Q89" s="511">
        <f>+P89/N89</f>
        <v>0.76563306972003298</v>
      </c>
      <c r="R89" s="1217">
        <f t="shared" si="0"/>
        <v>-21105824</v>
      </c>
      <c r="S89" s="1228">
        <f t="shared" si="1"/>
        <v>-4123400</v>
      </c>
      <c r="T89" s="1228">
        <f t="shared" si="17"/>
        <v>4869437</v>
      </c>
      <c r="U89" s="1222">
        <f t="shared" si="16"/>
        <v>0</v>
      </c>
      <c r="V89" s="2757">
        <v>122594937</v>
      </c>
      <c r="W89" s="2759"/>
      <c r="X89" s="288">
        <v>103176063</v>
      </c>
    </row>
  </sheetData>
  <sheetProtection algorithmName="SHA-512" hashValue="QyfeaTCJv8DNG7pIYaBc+O0BajVQFpUV2Ij5jwp/J4OS+kYAytdy/EaOF0SD+gBIFXmvCv7T0HdyEXxBQYbUaA==" saltValue="P+m/cqi6nBzdm8JWQgZH4w==" spinCount="100000" sheet="1" selectLockedCells="1" selectUnlockedCells="1"/>
  <mergeCells count="2">
    <mergeCell ref="A1:T1"/>
    <mergeCell ref="A2:T2"/>
  </mergeCells>
  <printOptions horizontalCentered="1"/>
  <pageMargins left="0.15748031496062992" right="0.19685039370078741" top="0.31496062992125984" bottom="0.15748031496062992" header="0.51181102362204722" footer="0.15748031496062992"/>
  <pageSetup paperSize="9" scale="60" firstPageNumber="0" fitToWidth="2" fitToHeight="2" orientation="portrait" r:id="rId1"/>
  <headerFooter alignWithMargins="0">
    <oddFooter>&amp;C&amp;"Arial CE,Félkövér"&amp;14&amp;P/&amp;N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74ECB-C219-4977-B0F7-4D3677168F20}">
  <sheetPr>
    <tabColor theme="5" tint="0.39997558519241921"/>
  </sheetPr>
  <dimension ref="A1:W139"/>
  <sheetViews>
    <sheetView view="pageBreakPreview" zoomScaleSheetLayoutView="100" workbookViewId="0">
      <pane xSplit="11" ySplit="4" topLeftCell="L59" activePane="bottomRight" state="frozen"/>
      <selection sqref="A1:Q1"/>
      <selection pane="topRight" sqref="A1:Q1"/>
      <selection pane="bottomLeft" sqref="A1:Q1"/>
      <selection pane="bottomRight" activeCell="V1" sqref="V1:V65536"/>
    </sheetView>
  </sheetViews>
  <sheetFormatPr defaultRowHeight="12.75"/>
  <cols>
    <col min="1" max="1" width="3.42578125" style="517" bestFit="1" customWidth="1"/>
    <col min="2" max="2" width="41" style="518" customWidth="1"/>
    <col min="3" max="3" width="5.85546875" style="518" hidden="1" customWidth="1"/>
    <col min="4" max="4" width="8.28515625" style="518" hidden="1" customWidth="1"/>
    <col min="5" max="5" width="3.42578125" style="518" hidden="1" customWidth="1"/>
    <col min="6" max="6" width="9" style="518" hidden="1" customWidth="1"/>
    <col min="7" max="7" width="9.5703125" style="518" hidden="1" customWidth="1"/>
    <col min="8" max="8" width="8.28515625" style="519" hidden="1" customWidth="1"/>
    <col min="9" max="9" width="16.42578125" style="520" hidden="1" customWidth="1"/>
    <col min="10" max="10" width="15.28515625" style="520" customWidth="1"/>
    <col min="11" max="11" width="16" style="2354" customWidth="1"/>
    <col min="12" max="12" width="15.28515625" style="520" customWidth="1"/>
    <col min="13" max="14" width="15.5703125" style="520" customWidth="1"/>
    <col min="15" max="15" width="15.5703125" style="520" hidden="1" customWidth="1"/>
    <col min="16" max="16" width="15.7109375" style="520" hidden="1" customWidth="1"/>
    <col min="17" max="17" width="14.5703125" style="520" hidden="1" customWidth="1"/>
    <col min="18" max="18" width="14.7109375" style="520" hidden="1" customWidth="1"/>
    <col min="19" max="19" width="14.5703125" style="520" hidden="1" customWidth="1"/>
    <col min="20" max="20" width="15.5703125" style="520" customWidth="1"/>
    <col min="21" max="21" width="15.5703125" style="520" hidden="1" customWidth="1"/>
    <col min="22" max="22" width="16.28515625" style="520" hidden="1" customWidth="1"/>
    <col min="23" max="24" width="9.140625" style="517" customWidth="1"/>
    <col min="25" max="16384" width="9.140625" style="517"/>
  </cols>
  <sheetData>
    <row r="1" spans="1:22" ht="13.5" customHeight="1">
      <c r="A1" s="3659" t="s">
        <v>3231</v>
      </c>
      <c r="B1" s="3659"/>
      <c r="C1" s="3659"/>
      <c r="D1" s="3659"/>
      <c r="E1" s="3659"/>
      <c r="F1" s="3659"/>
      <c r="G1" s="3659"/>
      <c r="H1" s="3659"/>
      <c r="I1" s="3659"/>
      <c r="J1" s="3659"/>
      <c r="K1" s="3659"/>
      <c r="L1" s="3659"/>
      <c r="M1" s="3659"/>
      <c r="N1" s="521"/>
      <c r="O1" s="521"/>
      <c r="P1" s="521"/>
      <c r="Q1" s="521"/>
      <c r="R1" s="521"/>
      <c r="S1" s="521"/>
      <c r="T1" s="521"/>
      <c r="U1" s="521"/>
      <c r="V1" s="521"/>
    </row>
    <row r="2" spans="1:22" s="522" customFormat="1" ht="12" customHeight="1">
      <c r="B2" s="523"/>
      <c r="C2" s="523"/>
      <c r="D2" s="523"/>
      <c r="E2" s="523"/>
      <c r="F2" s="523"/>
      <c r="G2" s="523"/>
      <c r="H2" s="524"/>
      <c r="I2" s="3660"/>
      <c r="J2" s="3660"/>
      <c r="K2" s="3660"/>
      <c r="L2" s="526"/>
      <c r="M2" s="526"/>
      <c r="N2" s="526"/>
      <c r="O2" s="526"/>
      <c r="P2" s="526"/>
      <c r="Q2" s="526"/>
      <c r="R2" s="526"/>
      <c r="S2" s="526"/>
      <c r="T2" s="526"/>
      <c r="U2" s="526"/>
      <c r="V2" s="526"/>
    </row>
    <row r="3" spans="1:22" s="522" customFormat="1" ht="12" customHeight="1">
      <c r="B3" s="523"/>
      <c r="C3" s="523"/>
      <c r="D3" s="523"/>
      <c r="E3" s="523"/>
      <c r="F3" s="523"/>
      <c r="G3" s="523"/>
      <c r="H3" s="524"/>
      <c r="I3" s="178"/>
      <c r="J3" s="177"/>
      <c r="K3" s="2343" t="s">
        <v>3546</v>
      </c>
      <c r="L3" s="525"/>
      <c r="M3" s="525"/>
      <c r="N3" s="525"/>
      <c r="O3" s="525"/>
      <c r="P3" s="525"/>
      <c r="Q3" s="525"/>
      <c r="R3" s="525"/>
      <c r="S3" s="525"/>
      <c r="T3" s="525"/>
      <c r="U3" s="525"/>
      <c r="V3" s="525"/>
    </row>
    <row r="4" spans="1:22" ht="63.75" customHeight="1">
      <c r="A4" s="527" t="s">
        <v>1581</v>
      </c>
      <c r="B4" s="506" t="s">
        <v>1186</v>
      </c>
      <c r="C4" s="180" t="s">
        <v>504</v>
      </c>
      <c r="D4" s="528" t="s">
        <v>505</v>
      </c>
      <c r="E4" s="180" t="s">
        <v>506</v>
      </c>
      <c r="F4" s="180" t="s">
        <v>1334</v>
      </c>
      <c r="G4" s="180" t="s">
        <v>508</v>
      </c>
      <c r="H4" s="180" t="s">
        <v>509</v>
      </c>
      <c r="I4" s="182" t="str">
        <f>+'1. mell.ÖSSZEVONT_MÉRLEG'!C5</f>
        <v>2024. évi eredeti előirányzat
forintban</v>
      </c>
      <c r="J4" s="2592" t="str">
        <f>+'1. mell.ÖSSZEVONT_MÉRLEG'!D5</f>
        <v>2024. évi teljesítés forintban</v>
      </c>
      <c r="K4" s="2344" t="str">
        <f>+'1. mell.ÖSSZEVONT_MÉRLEG'!E5</f>
        <v>2025. évi eredeti előirányzat forintban</v>
      </c>
      <c r="L4" s="182" t="str">
        <f>+'1. mell.ÖSSZEVONT_MÉRLEG'!F5</f>
        <v>2025. évi I. számú módosított előirányzat
forintban</v>
      </c>
      <c r="M4" s="182" t="str">
        <f>+'1. mell.ÖSSZEVONT_MÉRLEG'!G5</f>
        <v>2025. évi II. számú módosított előirányzat forintban</v>
      </c>
      <c r="N4" s="182" t="str">
        <f>+'1. mell.ÖSSZEVONT_MÉRLEG'!H5</f>
        <v>2025. évi III. számú módosított előirányzat forintban</v>
      </c>
      <c r="O4" s="182" t="str">
        <f>+'1. mell.ÖSSZEVONT_MÉRLEG'!I5</f>
        <v>2025. évi IV. számú módosított előirányzat forintban</v>
      </c>
      <c r="P4" s="1076" t="str">
        <f>+'1. mell.ÖSSZEVONT_MÉRLEG'!J5</f>
        <v>2025. évi
teljesítés forintban</v>
      </c>
      <c r="Q4" s="182" t="str">
        <f>+'1. mell.ÖSSZEVONT_MÉRLEG'!K5</f>
        <v xml:space="preserve"> 2025. évi teljesítés / 2025. évi III. számú módosított előirányzat</v>
      </c>
      <c r="R4" s="182" t="s">
        <v>1582</v>
      </c>
      <c r="S4" s="182" t="s">
        <v>173</v>
      </c>
      <c r="T4" s="182" t="s">
        <v>174</v>
      </c>
      <c r="U4" s="182" t="s">
        <v>175</v>
      </c>
      <c r="V4" s="1076" t="s">
        <v>3984</v>
      </c>
    </row>
    <row r="5" spans="1:22" hidden="1">
      <c r="A5" s="179">
        <v>1</v>
      </c>
      <c r="B5" s="179"/>
      <c r="C5" s="179"/>
      <c r="D5" s="179"/>
      <c r="E5" s="179"/>
      <c r="F5" s="179"/>
      <c r="G5" s="179"/>
      <c r="H5" s="179"/>
      <c r="I5" s="186"/>
      <c r="J5" s="2603"/>
      <c r="K5" s="2345"/>
      <c r="L5" s="186"/>
      <c r="M5" s="186"/>
      <c r="N5" s="186"/>
      <c r="O5" s="186"/>
      <c r="P5" s="1077"/>
      <c r="Q5" s="186"/>
      <c r="R5" s="179"/>
      <c r="S5" s="179"/>
      <c r="T5" s="179"/>
      <c r="U5" s="179"/>
      <c r="V5" s="228"/>
    </row>
    <row r="6" spans="1:22">
      <c r="B6" s="179" t="s">
        <v>1436</v>
      </c>
      <c r="C6" s="179"/>
      <c r="D6" s="179"/>
      <c r="E6" s="179"/>
      <c r="F6" s="179"/>
      <c r="G6" s="179"/>
      <c r="H6" s="184"/>
      <c r="I6" s="184"/>
      <c r="J6" s="2606"/>
      <c r="K6" s="2346"/>
      <c r="L6" s="184"/>
      <c r="M6" s="184"/>
      <c r="N6" s="184"/>
      <c r="O6" s="184"/>
      <c r="P6" s="1095"/>
      <c r="Q6" s="184"/>
      <c r="R6" s="184"/>
      <c r="S6" s="184"/>
      <c r="T6" s="184"/>
      <c r="U6" s="184"/>
      <c r="V6" s="228"/>
    </row>
    <row r="7" spans="1:22">
      <c r="B7" s="214" t="s">
        <v>1437</v>
      </c>
      <c r="C7" s="180" t="s">
        <v>730</v>
      </c>
      <c r="D7" s="239" t="s">
        <v>1583</v>
      </c>
      <c r="E7" s="239">
        <v>2</v>
      </c>
      <c r="F7" s="180" t="s">
        <v>534</v>
      </c>
      <c r="G7" s="190">
        <v>9990001</v>
      </c>
      <c r="H7" s="191" t="s">
        <v>1438</v>
      </c>
      <c r="I7" s="192">
        <f>50000</f>
        <v>50000</v>
      </c>
      <c r="J7" s="2550">
        <v>81155</v>
      </c>
      <c r="K7" s="2219">
        <f>100000</f>
        <v>100000</v>
      </c>
      <c r="L7" s="192">
        <f t="shared" ref="L7:M12" si="0">+K7</f>
        <v>100000</v>
      </c>
      <c r="M7" s="192">
        <f t="shared" si="0"/>
        <v>100000</v>
      </c>
      <c r="N7" s="192">
        <f t="shared" ref="N7:N12" si="1">+M7</f>
        <v>100000</v>
      </c>
      <c r="O7" s="192">
        <f t="shared" ref="O7:O12" si="2">+N7</f>
        <v>100000</v>
      </c>
      <c r="P7" s="3005">
        <v>77505</v>
      </c>
      <c r="Q7" s="193">
        <f>+P7/N7</f>
        <v>0.77505000000000002</v>
      </c>
      <c r="R7" s="192">
        <f t="shared" ref="R7:R73" si="3">+L7-K7</f>
        <v>0</v>
      </c>
      <c r="S7" s="192">
        <f t="shared" ref="S7:S73" si="4">+M7-L7</f>
        <v>0</v>
      </c>
      <c r="T7" s="192">
        <f t="shared" ref="T7:T30" si="5">+N7-M7</f>
        <v>0</v>
      </c>
      <c r="U7" s="192">
        <f t="shared" ref="U7:U29" si="6">+O7-N7</f>
        <v>0</v>
      </c>
      <c r="V7" s="192">
        <f>+N7-P7</f>
        <v>22495</v>
      </c>
    </row>
    <row r="8" spans="1:22">
      <c r="B8" s="214" t="s">
        <v>1439</v>
      </c>
      <c r="C8" s="180"/>
      <c r="D8" s="239"/>
      <c r="E8" s="239"/>
      <c r="F8" s="180"/>
      <c r="G8" s="190"/>
      <c r="H8" s="191" t="s">
        <v>1440</v>
      </c>
      <c r="I8" s="192">
        <v>0</v>
      </c>
      <c r="J8" s="2550">
        <v>0</v>
      </c>
      <c r="K8" s="2219">
        <v>0</v>
      </c>
      <c r="L8" s="192">
        <f t="shared" si="0"/>
        <v>0</v>
      </c>
      <c r="M8" s="192">
        <f t="shared" si="0"/>
        <v>0</v>
      </c>
      <c r="N8" s="192">
        <f t="shared" si="1"/>
        <v>0</v>
      </c>
      <c r="O8" s="192">
        <f t="shared" si="2"/>
        <v>0</v>
      </c>
      <c r="P8" s="1014">
        <v>0</v>
      </c>
      <c r="Q8" s="193"/>
      <c r="R8" s="192">
        <f t="shared" si="3"/>
        <v>0</v>
      </c>
      <c r="S8" s="192">
        <f t="shared" si="4"/>
        <v>0</v>
      </c>
      <c r="T8" s="192">
        <f t="shared" si="5"/>
        <v>0</v>
      </c>
      <c r="U8" s="192">
        <f t="shared" si="6"/>
        <v>0</v>
      </c>
      <c r="V8" s="192">
        <f t="shared" ref="V8:V71" si="7">+N8-P8</f>
        <v>0</v>
      </c>
    </row>
    <row r="9" spans="1:22">
      <c r="B9" s="214" t="s">
        <v>1441</v>
      </c>
      <c r="C9" s="180" t="s">
        <v>730</v>
      </c>
      <c r="D9" s="239" t="s">
        <v>1584</v>
      </c>
      <c r="E9" s="239">
        <v>2</v>
      </c>
      <c r="F9" s="180" t="s">
        <v>534</v>
      </c>
      <c r="G9" s="190">
        <v>9990001</v>
      </c>
      <c r="H9" s="191" t="s">
        <v>1442</v>
      </c>
      <c r="I9" s="192">
        <f>50000</f>
        <v>50000</v>
      </c>
      <c r="J9" s="2550">
        <v>40100</v>
      </c>
      <c r="K9" s="2219">
        <f>50000</f>
        <v>50000</v>
      </c>
      <c r="L9" s="192">
        <f t="shared" si="0"/>
        <v>50000</v>
      </c>
      <c r="M9" s="192">
        <f t="shared" si="0"/>
        <v>50000</v>
      </c>
      <c r="N9" s="192">
        <f t="shared" si="1"/>
        <v>50000</v>
      </c>
      <c r="O9" s="192">
        <f t="shared" si="2"/>
        <v>50000</v>
      </c>
      <c r="P9" s="3005">
        <v>3675</v>
      </c>
      <c r="Q9" s="193">
        <f t="shared" ref="Q9:Q71" si="8">+P9/N9</f>
        <v>7.3499999999999996E-2</v>
      </c>
      <c r="R9" s="192">
        <f>+L9-K9</f>
        <v>0</v>
      </c>
      <c r="S9" s="192">
        <f t="shared" si="4"/>
        <v>0</v>
      </c>
      <c r="T9" s="192">
        <f t="shared" si="5"/>
        <v>0</v>
      </c>
      <c r="U9" s="192">
        <f t="shared" si="6"/>
        <v>0</v>
      </c>
      <c r="V9" s="192">
        <f t="shared" si="7"/>
        <v>46325</v>
      </c>
    </row>
    <row r="10" spans="1:22">
      <c r="B10" s="214" t="s">
        <v>1443</v>
      </c>
      <c r="C10" s="180" t="s">
        <v>730</v>
      </c>
      <c r="D10" s="239" t="s">
        <v>1585</v>
      </c>
      <c r="E10" s="239">
        <v>2</v>
      </c>
      <c r="F10" s="180" t="s">
        <v>534</v>
      </c>
      <c r="G10" s="190">
        <v>9990001</v>
      </c>
      <c r="H10" s="191" t="s">
        <v>1444</v>
      </c>
      <c r="I10" s="192">
        <f>350000</f>
        <v>350000</v>
      </c>
      <c r="J10" s="2550">
        <v>279173</v>
      </c>
      <c r="K10" s="2219">
        <f>350000</f>
        <v>350000</v>
      </c>
      <c r="L10" s="192">
        <f t="shared" si="0"/>
        <v>350000</v>
      </c>
      <c r="M10" s="192">
        <f t="shared" si="0"/>
        <v>350000</v>
      </c>
      <c r="N10" s="192">
        <f t="shared" si="1"/>
        <v>350000</v>
      </c>
      <c r="O10" s="192">
        <f t="shared" si="2"/>
        <v>350000</v>
      </c>
      <c r="P10" s="3005">
        <v>296547</v>
      </c>
      <c r="Q10" s="193">
        <f t="shared" si="8"/>
        <v>0.84727714285714284</v>
      </c>
      <c r="R10" s="192">
        <f>+L10-K10</f>
        <v>0</v>
      </c>
      <c r="S10" s="192">
        <f t="shared" si="4"/>
        <v>0</v>
      </c>
      <c r="T10" s="192">
        <f t="shared" si="5"/>
        <v>0</v>
      </c>
      <c r="U10" s="192">
        <f t="shared" si="6"/>
        <v>0</v>
      </c>
      <c r="V10" s="192">
        <f t="shared" si="7"/>
        <v>53453</v>
      </c>
    </row>
    <row r="11" spans="1:22">
      <c r="B11" s="214" t="s">
        <v>1445</v>
      </c>
      <c r="C11" s="180" t="s">
        <v>730</v>
      </c>
      <c r="D11" s="239" t="s">
        <v>1586</v>
      </c>
      <c r="E11" s="239">
        <v>2</v>
      </c>
      <c r="F11" s="180" t="s">
        <v>534</v>
      </c>
      <c r="G11" s="190">
        <v>9990001</v>
      </c>
      <c r="H11" s="191" t="s">
        <v>1446</v>
      </c>
      <c r="I11" s="192">
        <f>100000</f>
        <v>100000</v>
      </c>
      <c r="J11" s="2550">
        <v>0</v>
      </c>
      <c r="K11" s="2219">
        <f>100000</f>
        <v>100000</v>
      </c>
      <c r="L11" s="192">
        <f t="shared" si="0"/>
        <v>100000</v>
      </c>
      <c r="M11" s="192">
        <f t="shared" si="0"/>
        <v>100000</v>
      </c>
      <c r="N11" s="192">
        <f t="shared" si="1"/>
        <v>100000</v>
      </c>
      <c r="O11" s="192">
        <f t="shared" si="2"/>
        <v>100000</v>
      </c>
      <c r="P11" s="3005">
        <v>76200</v>
      </c>
      <c r="Q11" s="193">
        <f t="shared" si="8"/>
        <v>0.76200000000000001</v>
      </c>
      <c r="R11" s="192">
        <f t="shared" si="3"/>
        <v>0</v>
      </c>
      <c r="S11" s="192">
        <f t="shared" si="4"/>
        <v>0</v>
      </c>
      <c r="T11" s="192">
        <f t="shared" si="5"/>
        <v>0</v>
      </c>
      <c r="U11" s="192">
        <f t="shared" si="6"/>
        <v>0</v>
      </c>
      <c r="V11" s="192">
        <f t="shared" si="7"/>
        <v>23800</v>
      </c>
    </row>
    <row r="12" spans="1:22">
      <c r="B12" s="214" t="s">
        <v>83</v>
      </c>
      <c r="C12" s="180" t="s">
        <v>730</v>
      </c>
      <c r="D12" s="239" t="s">
        <v>1587</v>
      </c>
      <c r="E12" s="239">
        <v>2</v>
      </c>
      <c r="F12" s="180" t="s">
        <v>534</v>
      </c>
      <c r="G12" s="190">
        <v>9990001</v>
      </c>
      <c r="H12" s="191" t="s">
        <v>1447</v>
      </c>
      <c r="I12" s="192">
        <f>500000</f>
        <v>500000</v>
      </c>
      <c r="J12" s="2550">
        <v>135970</v>
      </c>
      <c r="K12" s="2219">
        <f>500000</f>
        <v>500000</v>
      </c>
      <c r="L12" s="192">
        <f t="shared" si="0"/>
        <v>500000</v>
      </c>
      <c r="M12" s="192">
        <f t="shared" si="0"/>
        <v>500000</v>
      </c>
      <c r="N12" s="192">
        <f t="shared" si="1"/>
        <v>500000</v>
      </c>
      <c r="O12" s="192">
        <f t="shared" si="2"/>
        <v>500000</v>
      </c>
      <c r="P12" s="3005">
        <v>204277</v>
      </c>
      <c r="Q12" s="193">
        <f t="shared" si="8"/>
        <v>0.40855399999999997</v>
      </c>
      <c r="R12" s="192">
        <f t="shared" si="3"/>
        <v>0</v>
      </c>
      <c r="S12" s="192">
        <f t="shared" si="4"/>
        <v>0</v>
      </c>
      <c r="T12" s="192">
        <f t="shared" si="5"/>
        <v>0</v>
      </c>
      <c r="U12" s="192">
        <f t="shared" si="6"/>
        <v>0</v>
      </c>
      <c r="V12" s="192">
        <f t="shared" si="7"/>
        <v>295723</v>
      </c>
    </row>
    <row r="13" spans="1:22">
      <c r="B13" s="208" t="s">
        <v>1588</v>
      </c>
      <c r="C13" s="208"/>
      <c r="D13" s="208"/>
      <c r="E13" s="208"/>
      <c r="F13" s="208"/>
      <c r="G13" s="208"/>
      <c r="H13" s="184" t="s">
        <v>1449</v>
      </c>
      <c r="I13" s="209">
        <f>SUM(I7:I12)</f>
        <v>1050000</v>
      </c>
      <c r="J13" s="2549">
        <f t="shared" ref="J13:O13" si="9">SUM(J7:J12)</f>
        <v>536398</v>
      </c>
      <c r="K13" s="2347">
        <f t="shared" si="9"/>
        <v>1100000</v>
      </c>
      <c r="L13" s="209">
        <f t="shared" si="9"/>
        <v>1100000</v>
      </c>
      <c r="M13" s="209">
        <f t="shared" si="9"/>
        <v>1100000</v>
      </c>
      <c r="N13" s="209">
        <f t="shared" si="9"/>
        <v>1100000</v>
      </c>
      <c r="O13" s="209">
        <f t="shared" si="9"/>
        <v>1100000</v>
      </c>
      <c r="P13" s="1025">
        <f>SUM(P7:P12)</f>
        <v>658204</v>
      </c>
      <c r="Q13" s="210">
        <f t="shared" si="8"/>
        <v>0.59836727272727275</v>
      </c>
      <c r="R13" s="209">
        <f t="shared" si="3"/>
        <v>0</v>
      </c>
      <c r="S13" s="209">
        <f t="shared" si="4"/>
        <v>0</v>
      </c>
      <c r="T13" s="209">
        <f t="shared" si="5"/>
        <v>0</v>
      </c>
      <c r="U13" s="209">
        <f t="shared" si="6"/>
        <v>0</v>
      </c>
      <c r="V13" s="209">
        <f t="shared" si="7"/>
        <v>441796</v>
      </c>
    </row>
    <row r="14" spans="1:22" ht="12.75" customHeight="1">
      <c r="B14" s="214" t="s">
        <v>1450</v>
      </c>
      <c r="C14" s="214"/>
      <c r="D14" s="214"/>
      <c r="E14" s="214"/>
      <c r="F14" s="214"/>
      <c r="G14" s="214"/>
      <c r="H14" s="191" t="s">
        <v>1451</v>
      </c>
      <c r="I14" s="192">
        <v>0</v>
      </c>
      <c r="J14" s="2550">
        <v>0</v>
      </c>
      <c r="K14" s="2219">
        <v>0</v>
      </c>
      <c r="L14" s="192">
        <f t="shared" ref="L14:L20" si="10">+K14</f>
        <v>0</v>
      </c>
      <c r="M14" s="192">
        <f t="shared" ref="M14:M20" si="11">+L14</f>
        <v>0</v>
      </c>
      <c r="N14" s="192">
        <f>+M14</f>
        <v>0</v>
      </c>
      <c r="O14" s="192">
        <f t="shared" ref="O14:O20" si="12">+N14</f>
        <v>0</v>
      </c>
      <c r="P14" s="1014">
        <v>0</v>
      </c>
      <c r="Q14" s="193"/>
      <c r="R14" s="192">
        <f t="shared" si="3"/>
        <v>0</v>
      </c>
      <c r="S14" s="192">
        <f t="shared" si="4"/>
        <v>0</v>
      </c>
      <c r="T14" s="192">
        <f t="shared" si="5"/>
        <v>0</v>
      </c>
      <c r="U14" s="192">
        <f t="shared" si="6"/>
        <v>0</v>
      </c>
      <c r="V14" s="192">
        <f t="shared" si="7"/>
        <v>0</v>
      </c>
    </row>
    <row r="15" spans="1:22" ht="25.5">
      <c r="B15" s="214" t="s">
        <v>1452</v>
      </c>
      <c r="C15" s="180" t="s">
        <v>730</v>
      </c>
      <c r="D15" s="239" t="s">
        <v>1589</v>
      </c>
      <c r="E15" s="239">
        <v>2</v>
      </c>
      <c r="F15" s="180" t="s">
        <v>534</v>
      </c>
      <c r="G15" s="190">
        <v>9990001</v>
      </c>
      <c r="H15" s="191" t="s">
        <v>1453</v>
      </c>
      <c r="I15" s="192">
        <f>9500000</f>
        <v>9500000</v>
      </c>
      <c r="J15" s="2550">
        <v>9254106</v>
      </c>
      <c r="K15" s="2219">
        <f>9880000-380000</f>
        <v>9500000</v>
      </c>
      <c r="L15" s="192">
        <f t="shared" si="10"/>
        <v>9500000</v>
      </c>
      <c r="M15" s="192">
        <f t="shared" si="11"/>
        <v>9500000</v>
      </c>
      <c r="N15" s="192">
        <f>+M15-297197</f>
        <v>9202803</v>
      </c>
      <c r="O15" s="192">
        <f t="shared" si="12"/>
        <v>9202803</v>
      </c>
      <c r="P15" s="3005">
        <v>8111440</v>
      </c>
      <c r="Q15" s="193">
        <f t="shared" si="8"/>
        <v>0.88140971832168957</v>
      </c>
      <c r="R15" s="192">
        <f t="shared" si="3"/>
        <v>0</v>
      </c>
      <c r="S15" s="192">
        <f t="shared" si="4"/>
        <v>0</v>
      </c>
      <c r="T15" s="192">
        <f t="shared" si="5"/>
        <v>-297197</v>
      </c>
      <c r="U15" s="192">
        <f t="shared" si="6"/>
        <v>0</v>
      </c>
      <c r="V15" s="192">
        <f t="shared" si="7"/>
        <v>1091363</v>
      </c>
    </row>
    <row r="16" spans="1:22">
      <c r="B16" s="214" t="s">
        <v>1454</v>
      </c>
      <c r="C16" s="180"/>
      <c r="D16" s="239"/>
      <c r="E16" s="239"/>
      <c r="F16" s="180"/>
      <c r="G16" s="190"/>
      <c r="H16" s="191" t="s">
        <v>1455</v>
      </c>
      <c r="I16" s="192">
        <f>0</f>
        <v>0</v>
      </c>
      <c r="J16" s="2550">
        <v>0</v>
      </c>
      <c r="K16" s="2219">
        <f>0</f>
        <v>0</v>
      </c>
      <c r="L16" s="192">
        <f t="shared" si="10"/>
        <v>0</v>
      </c>
      <c r="M16" s="192">
        <f t="shared" si="11"/>
        <v>0</v>
      </c>
      <c r="N16" s="192">
        <f>+M16</f>
        <v>0</v>
      </c>
      <c r="O16" s="192">
        <f t="shared" si="12"/>
        <v>0</v>
      </c>
      <c r="P16" s="1014">
        <v>0</v>
      </c>
      <c r="Q16" s="193"/>
      <c r="R16" s="192">
        <f t="shared" si="3"/>
        <v>0</v>
      </c>
      <c r="S16" s="192">
        <f t="shared" si="4"/>
        <v>0</v>
      </c>
      <c r="T16" s="192">
        <f t="shared" si="5"/>
        <v>0</v>
      </c>
      <c r="U16" s="192">
        <f t="shared" si="6"/>
        <v>0</v>
      </c>
      <c r="V16" s="192">
        <f t="shared" si="7"/>
        <v>0</v>
      </c>
    </row>
    <row r="17" spans="2:22">
      <c r="B17" s="214" t="s">
        <v>1456</v>
      </c>
      <c r="C17" s="180" t="s">
        <v>730</v>
      </c>
      <c r="D17" s="239" t="s">
        <v>1590</v>
      </c>
      <c r="E17" s="239">
        <v>2</v>
      </c>
      <c r="F17" s="180" t="s">
        <v>534</v>
      </c>
      <c r="G17" s="190">
        <v>9990001</v>
      </c>
      <c r="H17" s="191" t="s">
        <v>1457</v>
      </c>
      <c r="I17" s="192">
        <f>9200000</f>
        <v>9200000</v>
      </c>
      <c r="J17" s="2550">
        <v>8057302</v>
      </c>
      <c r="K17" s="2219">
        <f>9568000-1000000</f>
        <v>8568000</v>
      </c>
      <c r="L17" s="192">
        <f t="shared" si="10"/>
        <v>8568000</v>
      </c>
      <c r="M17" s="192">
        <f t="shared" si="11"/>
        <v>8568000</v>
      </c>
      <c r="N17" s="192">
        <f>+M17+297197</f>
        <v>8865197</v>
      </c>
      <c r="O17" s="192">
        <f t="shared" si="12"/>
        <v>8865197</v>
      </c>
      <c r="P17" s="3005">
        <v>8865197</v>
      </c>
      <c r="Q17" s="193">
        <f t="shared" si="8"/>
        <v>1</v>
      </c>
      <c r="R17" s="192">
        <f t="shared" si="3"/>
        <v>0</v>
      </c>
      <c r="S17" s="192">
        <f t="shared" si="4"/>
        <v>0</v>
      </c>
      <c r="T17" s="192">
        <f t="shared" si="5"/>
        <v>297197</v>
      </c>
      <c r="U17" s="192">
        <f t="shared" si="6"/>
        <v>0</v>
      </c>
      <c r="V17" s="192">
        <f t="shared" si="7"/>
        <v>0</v>
      </c>
    </row>
    <row r="18" spans="2:22" ht="25.5">
      <c r="B18" s="214" t="s">
        <v>1458</v>
      </c>
      <c r="C18" s="180" t="s">
        <v>512</v>
      </c>
      <c r="D18" s="239" t="s">
        <v>1591</v>
      </c>
      <c r="E18" s="239">
        <v>2</v>
      </c>
      <c r="F18" s="180" t="s">
        <v>534</v>
      </c>
      <c r="G18" s="190">
        <v>9990001</v>
      </c>
      <c r="H18" s="191" t="s">
        <v>1459</v>
      </c>
      <c r="I18" s="192">
        <f>5500000</f>
        <v>5500000</v>
      </c>
      <c r="J18" s="2550">
        <v>2435052</v>
      </c>
      <c r="K18" s="2219">
        <f>5500000-2000000</f>
        <v>3500000</v>
      </c>
      <c r="L18" s="192">
        <f t="shared" si="10"/>
        <v>3500000</v>
      </c>
      <c r="M18" s="192">
        <f t="shared" si="11"/>
        <v>3500000</v>
      </c>
      <c r="N18" s="192">
        <f>+M18</f>
        <v>3500000</v>
      </c>
      <c r="O18" s="192">
        <f t="shared" si="12"/>
        <v>3500000</v>
      </c>
      <c r="P18" s="3005">
        <v>3308299</v>
      </c>
      <c r="Q18" s="193">
        <f t="shared" si="8"/>
        <v>0.94522828571428574</v>
      </c>
      <c r="R18" s="192">
        <f t="shared" si="3"/>
        <v>0</v>
      </c>
      <c r="S18" s="192">
        <f t="shared" si="4"/>
        <v>0</v>
      </c>
      <c r="T18" s="192">
        <f t="shared" si="5"/>
        <v>0</v>
      </c>
      <c r="U18" s="192">
        <f t="shared" si="6"/>
        <v>0</v>
      </c>
      <c r="V18" s="192">
        <f t="shared" si="7"/>
        <v>191701</v>
      </c>
    </row>
    <row r="19" spans="2:22">
      <c r="B19" s="530" t="s">
        <v>1592</v>
      </c>
      <c r="C19" s="180" t="s">
        <v>730</v>
      </c>
      <c r="D19" s="239" t="s">
        <v>1593</v>
      </c>
      <c r="E19" s="239">
        <v>2</v>
      </c>
      <c r="F19" s="180" t="s">
        <v>534</v>
      </c>
      <c r="G19" s="190">
        <v>9990001</v>
      </c>
      <c r="H19" s="191" t="s">
        <v>1461</v>
      </c>
      <c r="I19" s="199">
        <f>500000</f>
        <v>500000</v>
      </c>
      <c r="J19" s="2550">
        <v>310084</v>
      </c>
      <c r="K19" s="2250">
        <f>500000</f>
        <v>500000</v>
      </c>
      <c r="L19" s="192">
        <f t="shared" si="10"/>
        <v>500000</v>
      </c>
      <c r="M19" s="192">
        <f t="shared" si="11"/>
        <v>500000</v>
      </c>
      <c r="N19" s="192">
        <f>+M19+645276</f>
        <v>1145276</v>
      </c>
      <c r="O19" s="192">
        <f t="shared" si="12"/>
        <v>1145276</v>
      </c>
      <c r="P19" s="3005">
        <v>1145276</v>
      </c>
      <c r="Q19" s="200">
        <f t="shared" si="8"/>
        <v>1</v>
      </c>
      <c r="R19" s="199">
        <f t="shared" si="3"/>
        <v>0</v>
      </c>
      <c r="S19" s="199">
        <f t="shared" si="4"/>
        <v>0</v>
      </c>
      <c r="T19" s="199">
        <f t="shared" si="5"/>
        <v>645276</v>
      </c>
      <c r="U19" s="199">
        <f t="shared" si="6"/>
        <v>0</v>
      </c>
      <c r="V19" s="192">
        <f t="shared" si="7"/>
        <v>0</v>
      </c>
    </row>
    <row r="20" spans="2:22">
      <c r="B20" s="530" t="s">
        <v>1594</v>
      </c>
      <c r="C20" s="180" t="s">
        <v>730</v>
      </c>
      <c r="D20" s="239" t="s">
        <v>1595</v>
      </c>
      <c r="E20" s="239">
        <v>2</v>
      </c>
      <c r="F20" s="180" t="s">
        <v>534</v>
      </c>
      <c r="G20" s="190">
        <v>9990001</v>
      </c>
      <c r="H20" s="191" t="s">
        <v>1461</v>
      </c>
      <c r="I20" s="199">
        <f>2500000</f>
        <v>2500000</v>
      </c>
      <c r="J20" s="2550">
        <v>2256563</v>
      </c>
      <c r="K20" s="2250">
        <v>2600000</v>
      </c>
      <c r="L20" s="192">
        <f t="shared" si="10"/>
        <v>2600000</v>
      </c>
      <c r="M20" s="192">
        <f t="shared" si="11"/>
        <v>2600000</v>
      </c>
      <c r="N20" s="192">
        <f>+M20-645276</f>
        <v>1954724</v>
      </c>
      <c r="O20" s="192">
        <f t="shared" si="12"/>
        <v>1954724</v>
      </c>
      <c r="P20" s="3005">
        <v>1668406</v>
      </c>
      <c r="Q20" s="200">
        <f t="shared" si="8"/>
        <v>0.8535251012419145</v>
      </c>
      <c r="R20" s="199">
        <f t="shared" si="3"/>
        <v>0</v>
      </c>
      <c r="S20" s="199">
        <f t="shared" si="4"/>
        <v>0</v>
      </c>
      <c r="T20" s="199">
        <f t="shared" si="5"/>
        <v>-645276</v>
      </c>
      <c r="U20" s="199">
        <f t="shared" si="6"/>
        <v>0</v>
      </c>
      <c r="V20" s="192">
        <f t="shared" si="7"/>
        <v>286318</v>
      </c>
    </row>
    <row r="21" spans="2:22">
      <c r="B21" s="214" t="s">
        <v>1460</v>
      </c>
      <c r="C21" s="214"/>
      <c r="D21" s="214"/>
      <c r="E21" s="214"/>
      <c r="F21" s="214"/>
      <c r="G21" s="214"/>
      <c r="H21" s="191" t="s">
        <v>1461</v>
      </c>
      <c r="I21" s="192">
        <f t="shared" ref="I21:P21" si="13">SUM(I19:I20)</f>
        <v>3000000</v>
      </c>
      <c r="J21" s="2550">
        <f t="shared" si="13"/>
        <v>2566647</v>
      </c>
      <c r="K21" s="2219">
        <f t="shared" si="13"/>
        <v>3100000</v>
      </c>
      <c r="L21" s="192">
        <f t="shared" si="13"/>
        <v>3100000</v>
      </c>
      <c r="M21" s="192">
        <f t="shared" si="13"/>
        <v>3100000</v>
      </c>
      <c r="N21" s="192">
        <f t="shared" si="13"/>
        <v>3100000</v>
      </c>
      <c r="O21" s="192">
        <f t="shared" si="13"/>
        <v>3100000</v>
      </c>
      <c r="P21" s="1014">
        <f t="shared" si="13"/>
        <v>2813682</v>
      </c>
      <c r="Q21" s="193">
        <f t="shared" si="8"/>
        <v>0.90763935483870972</v>
      </c>
      <c r="R21" s="192">
        <f t="shared" si="3"/>
        <v>0</v>
      </c>
      <c r="S21" s="192">
        <f t="shared" si="4"/>
        <v>0</v>
      </c>
      <c r="T21" s="192">
        <f t="shared" si="5"/>
        <v>0</v>
      </c>
      <c r="U21" s="192">
        <f t="shared" si="6"/>
        <v>0</v>
      </c>
      <c r="V21" s="192">
        <f t="shared" si="7"/>
        <v>286318</v>
      </c>
    </row>
    <row r="22" spans="2:22">
      <c r="B22" s="208" t="s">
        <v>129</v>
      </c>
      <c r="C22" s="208"/>
      <c r="D22" s="208"/>
      <c r="E22" s="208"/>
      <c r="F22" s="208"/>
      <c r="G22" s="208"/>
      <c r="H22" s="184" t="s">
        <v>1463</v>
      </c>
      <c r="I22" s="209">
        <f>SUM(I14:I21)-I19-I20</f>
        <v>27200000</v>
      </c>
      <c r="J22" s="2549">
        <f t="shared" ref="J22:O22" si="14">SUM(J14:J21)-J19-J20</f>
        <v>22313107</v>
      </c>
      <c r="K22" s="2347">
        <f t="shared" si="14"/>
        <v>24668000</v>
      </c>
      <c r="L22" s="209">
        <f t="shared" si="14"/>
        <v>24668000</v>
      </c>
      <c r="M22" s="209">
        <f t="shared" si="14"/>
        <v>24668000</v>
      </c>
      <c r="N22" s="209">
        <f t="shared" si="14"/>
        <v>24668000</v>
      </c>
      <c r="O22" s="209">
        <f t="shared" si="14"/>
        <v>24668000</v>
      </c>
      <c r="P22" s="1025">
        <f>SUM(P14:P21)-P19-P20</f>
        <v>23098618</v>
      </c>
      <c r="Q22" s="210">
        <f t="shared" si="8"/>
        <v>0.9363798443327388</v>
      </c>
      <c r="R22" s="209">
        <f t="shared" si="3"/>
        <v>0</v>
      </c>
      <c r="S22" s="209">
        <f t="shared" si="4"/>
        <v>0</v>
      </c>
      <c r="T22" s="209">
        <f t="shared" si="5"/>
        <v>0</v>
      </c>
      <c r="U22" s="209">
        <f t="shared" si="6"/>
        <v>0</v>
      </c>
      <c r="V22" s="209">
        <f t="shared" si="7"/>
        <v>1569382</v>
      </c>
    </row>
    <row r="23" spans="2:22" ht="12.75" customHeight="1">
      <c r="B23" s="214" t="s">
        <v>1464</v>
      </c>
      <c r="C23" s="214"/>
      <c r="D23" s="214"/>
      <c r="E23" s="214"/>
      <c r="F23" s="214"/>
      <c r="G23" s="214"/>
      <c r="H23" s="191" t="s">
        <v>1465</v>
      </c>
      <c r="I23" s="192">
        <v>0</v>
      </c>
      <c r="J23" s="2550">
        <v>0</v>
      </c>
      <c r="K23" s="2219">
        <v>0</v>
      </c>
      <c r="L23" s="192">
        <f t="shared" ref="L23:O24" si="15">+K23</f>
        <v>0</v>
      </c>
      <c r="M23" s="192">
        <f t="shared" si="15"/>
        <v>0</v>
      </c>
      <c r="N23" s="192">
        <f t="shared" si="15"/>
        <v>0</v>
      </c>
      <c r="O23" s="192">
        <f t="shared" si="15"/>
        <v>0</v>
      </c>
      <c r="P23" s="1014">
        <v>0</v>
      </c>
      <c r="Q23" s="193"/>
      <c r="R23" s="192">
        <f t="shared" si="3"/>
        <v>0</v>
      </c>
      <c r="S23" s="192">
        <f t="shared" si="4"/>
        <v>0</v>
      </c>
      <c r="T23" s="192">
        <f t="shared" si="5"/>
        <v>0</v>
      </c>
      <c r="U23" s="192">
        <f t="shared" si="6"/>
        <v>0</v>
      </c>
      <c r="V23" s="192">
        <f t="shared" si="7"/>
        <v>0</v>
      </c>
    </row>
    <row r="24" spans="2:22" ht="12.75" customHeight="1">
      <c r="B24" s="214" t="s">
        <v>1466</v>
      </c>
      <c r="C24" s="214"/>
      <c r="D24" s="214"/>
      <c r="E24" s="214"/>
      <c r="F24" s="214"/>
      <c r="G24" s="214"/>
      <c r="H24" s="191" t="s">
        <v>1467</v>
      </c>
      <c r="I24" s="192">
        <v>0</v>
      </c>
      <c r="J24" s="2550">
        <v>0</v>
      </c>
      <c r="K24" s="2219">
        <v>0</v>
      </c>
      <c r="L24" s="192">
        <f t="shared" si="15"/>
        <v>0</v>
      </c>
      <c r="M24" s="192">
        <f t="shared" si="15"/>
        <v>0</v>
      </c>
      <c r="N24" s="192">
        <f t="shared" si="15"/>
        <v>0</v>
      </c>
      <c r="O24" s="192">
        <f t="shared" si="15"/>
        <v>0</v>
      </c>
      <c r="P24" s="1014">
        <v>0</v>
      </c>
      <c r="Q24" s="193"/>
      <c r="R24" s="192">
        <f t="shared" si="3"/>
        <v>0</v>
      </c>
      <c r="S24" s="192">
        <f t="shared" si="4"/>
        <v>0</v>
      </c>
      <c r="T24" s="192">
        <f t="shared" si="5"/>
        <v>0</v>
      </c>
      <c r="U24" s="192">
        <f t="shared" si="6"/>
        <v>0</v>
      </c>
      <c r="V24" s="192">
        <f t="shared" si="7"/>
        <v>0</v>
      </c>
    </row>
    <row r="25" spans="2:22" ht="12.75" customHeight="1">
      <c r="B25" s="208" t="s">
        <v>1464</v>
      </c>
      <c r="C25" s="208"/>
      <c r="D25" s="208"/>
      <c r="E25" s="208"/>
      <c r="F25" s="208"/>
      <c r="G25" s="208"/>
      <c r="H25" s="184" t="s">
        <v>1469</v>
      </c>
      <c r="I25" s="209">
        <f>SUM(I23:I24)</f>
        <v>0</v>
      </c>
      <c r="J25" s="2549">
        <v>0</v>
      </c>
      <c r="K25" s="2347">
        <f t="shared" ref="K25:P25" si="16">SUM(K23:K24)</f>
        <v>0</v>
      </c>
      <c r="L25" s="209">
        <f t="shared" si="16"/>
        <v>0</v>
      </c>
      <c r="M25" s="209">
        <f t="shared" si="16"/>
        <v>0</v>
      </c>
      <c r="N25" s="209">
        <f t="shared" si="16"/>
        <v>0</v>
      </c>
      <c r="O25" s="209">
        <f t="shared" si="16"/>
        <v>0</v>
      </c>
      <c r="P25" s="1025">
        <f t="shared" si="16"/>
        <v>0</v>
      </c>
      <c r="Q25" s="210"/>
      <c r="R25" s="209">
        <f t="shared" si="3"/>
        <v>0</v>
      </c>
      <c r="S25" s="209">
        <f t="shared" si="4"/>
        <v>0</v>
      </c>
      <c r="T25" s="209">
        <f t="shared" si="5"/>
        <v>0</v>
      </c>
      <c r="U25" s="209">
        <f t="shared" si="6"/>
        <v>0</v>
      </c>
      <c r="V25" s="209">
        <f t="shared" si="7"/>
        <v>0</v>
      </c>
    </row>
    <row r="26" spans="2:22" ht="12.75" customHeight="1">
      <c r="B26" s="208" t="s">
        <v>1596</v>
      </c>
      <c r="C26" s="208"/>
      <c r="D26" s="208"/>
      <c r="E26" s="208"/>
      <c r="F26" s="208"/>
      <c r="G26" s="208"/>
      <c r="H26" s="184" t="s">
        <v>1471</v>
      </c>
      <c r="I26" s="209">
        <f>+I13+I22+I25</f>
        <v>28250000</v>
      </c>
      <c r="J26" s="2549">
        <f t="shared" ref="J26:P26" si="17">+J13+J22+J25</f>
        <v>22849505</v>
      </c>
      <c r="K26" s="2347">
        <f t="shared" si="17"/>
        <v>25768000</v>
      </c>
      <c r="L26" s="209">
        <f t="shared" si="17"/>
        <v>25768000</v>
      </c>
      <c r="M26" s="209">
        <f t="shared" si="17"/>
        <v>25768000</v>
      </c>
      <c r="N26" s="209">
        <f t="shared" si="17"/>
        <v>25768000</v>
      </c>
      <c r="O26" s="209">
        <f t="shared" si="17"/>
        <v>25768000</v>
      </c>
      <c r="P26" s="1025">
        <f t="shared" si="17"/>
        <v>23756822</v>
      </c>
      <c r="Q26" s="210">
        <f t="shared" si="8"/>
        <v>0.92195055883266064</v>
      </c>
      <c r="R26" s="209">
        <f t="shared" si="3"/>
        <v>0</v>
      </c>
      <c r="S26" s="209">
        <f t="shared" si="4"/>
        <v>0</v>
      </c>
      <c r="T26" s="209">
        <f t="shared" si="5"/>
        <v>0</v>
      </c>
      <c r="U26" s="209">
        <f t="shared" si="6"/>
        <v>0</v>
      </c>
      <c r="V26" s="209">
        <f t="shared" si="7"/>
        <v>2011178</v>
      </c>
    </row>
    <row r="27" spans="2:22" ht="25.5" customHeight="1">
      <c r="B27" s="214" t="s">
        <v>1472</v>
      </c>
      <c r="C27" s="180"/>
      <c r="D27" s="214"/>
      <c r="E27" s="214"/>
      <c r="F27" s="214"/>
      <c r="G27" s="214"/>
      <c r="H27" s="191" t="s">
        <v>1473</v>
      </c>
      <c r="I27" s="192">
        <v>0</v>
      </c>
      <c r="J27" s="2550">
        <v>0</v>
      </c>
      <c r="K27" s="2219">
        <v>0</v>
      </c>
      <c r="L27" s="192">
        <f t="shared" ref="L27:O30" si="18">+K27</f>
        <v>0</v>
      </c>
      <c r="M27" s="192">
        <f t="shared" si="18"/>
        <v>0</v>
      </c>
      <c r="N27" s="192">
        <f t="shared" si="18"/>
        <v>0</v>
      </c>
      <c r="O27" s="192">
        <f t="shared" si="18"/>
        <v>0</v>
      </c>
      <c r="P27" s="1014">
        <v>0</v>
      </c>
      <c r="Q27" s="193"/>
      <c r="R27" s="192">
        <f t="shared" si="3"/>
        <v>0</v>
      </c>
      <c r="S27" s="192">
        <f t="shared" si="4"/>
        <v>0</v>
      </c>
      <c r="T27" s="192">
        <f t="shared" si="5"/>
        <v>0</v>
      </c>
      <c r="U27" s="192">
        <f t="shared" si="6"/>
        <v>0</v>
      </c>
      <c r="V27" s="192">
        <f t="shared" si="7"/>
        <v>0</v>
      </c>
    </row>
    <row r="28" spans="2:22" ht="25.5">
      <c r="B28" s="530" t="s">
        <v>1597</v>
      </c>
      <c r="C28" s="180" t="s">
        <v>512</v>
      </c>
      <c r="D28" s="239" t="s">
        <v>1598</v>
      </c>
      <c r="E28" s="239">
        <v>2</v>
      </c>
      <c r="F28" s="180" t="s">
        <v>534</v>
      </c>
      <c r="G28" s="190">
        <v>9990001</v>
      </c>
      <c r="H28" s="191" t="s">
        <v>1475</v>
      </c>
      <c r="I28" s="199">
        <v>0</v>
      </c>
      <c r="J28" s="2550">
        <v>101600</v>
      </c>
      <c r="K28" s="2250">
        <v>0</v>
      </c>
      <c r="L28" s="192">
        <f t="shared" si="18"/>
        <v>0</v>
      </c>
      <c r="M28" s="192">
        <f t="shared" si="18"/>
        <v>0</v>
      </c>
      <c r="N28" s="192">
        <f t="shared" si="18"/>
        <v>0</v>
      </c>
      <c r="O28" s="192">
        <f t="shared" si="18"/>
        <v>0</v>
      </c>
      <c r="P28" s="1014">
        <v>0</v>
      </c>
      <c r="Q28" s="200"/>
      <c r="R28" s="199">
        <f t="shared" si="3"/>
        <v>0</v>
      </c>
      <c r="S28" s="199">
        <f t="shared" si="4"/>
        <v>0</v>
      </c>
      <c r="T28" s="199">
        <f t="shared" si="5"/>
        <v>0</v>
      </c>
      <c r="U28" s="199">
        <f t="shared" si="6"/>
        <v>0</v>
      </c>
      <c r="V28" s="192">
        <f t="shared" si="7"/>
        <v>0</v>
      </c>
    </row>
    <row r="29" spans="2:22">
      <c r="B29" s="530" t="s">
        <v>1599</v>
      </c>
      <c r="C29" s="180" t="s">
        <v>736</v>
      </c>
      <c r="D29" s="239" t="s">
        <v>1600</v>
      </c>
      <c r="E29" s="239">
        <v>2</v>
      </c>
      <c r="F29" s="180" t="s">
        <v>534</v>
      </c>
      <c r="G29" s="190">
        <v>9990001</v>
      </c>
      <c r="H29" s="191" t="s">
        <v>1475</v>
      </c>
      <c r="I29" s="199">
        <f>2000000</f>
        <v>2000000</v>
      </c>
      <c r="J29" s="2550">
        <v>657400</v>
      </c>
      <c r="K29" s="2250">
        <f>2000000-1000000</f>
        <v>1000000</v>
      </c>
      <c r="L29" s="192">
        <f t="shared" si="18"/>
        <v>1000000</v>
      </c>
      <c r="M29" s="192">
        <f t="shared" si="18"/>
        <v>1000000</v>
      </c>
      <c r="N29" s="192">
        <f t="shared" si="18"/>
        <v>1000000</v>
      </c>
      <c r="O29" s="192">
        <f t="shared" si="18"/>
        <v>1000000</v>
      </c>
      <c r="P29" s="3005">
        <v>946200</v>
      </c>
      <c r="Q29" s="200">
        <f t="shared" si="8"/>
        <v>0.94620000000000004</v>
      </c>
      <c r="R29" s="199">
        <f t="shared" si="3"/>
        <v>0</v>
      </c>
      <c r="S29" s="199">
        <f t="shared" si="4"/>
        <v>0</v>
      </c>
      <c r="T29" s="199">
        <f t="shared" si="5"/>
        <v>0</v>
      </c>
      <c r="U29" s="199">
        <f t="shared" si="6"/>
        <v>0</v>
      </c>
      <c r="V29" s="192">
        <f t="shared" si="7"/>
        <v>53800</v>
      </c>
    </row>
    <row r="30" spans="2:22" s="2238" customFormat="1" ht="51">
      <c r="B30" s="530" t="s">
        <v>3022</v>
      </c>
      <c r="C30" s="197" t="s">
        <v>599</v>
      </c>
      <c r="D30" s="198" t="s">
        <v>1601</v>
      </c>
      <c r="E30" s="243">
        <v>2</v>
      </c>
      <c r="F30" s="197" t="s">
        <v>534</v>
      </c>
      <c r="G30" s="198">
        <v>9990001</v>
      </c>
      <c r="H30" s="204" t="s">
        <v>1475</v>
      </c>
      <c r="I30" s="199">
        <f>550000</f>
        <v>550000</v>
      </c>
      <c r="J30" s="2555">
        <v>683752</v>
      </c>
      <c r="K30" s="2250">
        <f>800000</f>
        <v>800000</v>
      </c>
      <c r="L30" s="199">
        <f t="shared" si="18"/>
        <v>800000</v>
      </c>
      <c r="M30" s="199">
        <f t="shared" si="18"/>
        <v>800000</v>
      </c>
      <c r="N30" s="199">
        <f t="shared" si="18"/>
        <v>800000</v>
      </c>
      <c r="O30" s="199">
        <f t="shared" si="18"/>
        <v>800000</v>
      </c>
      <c r="P30" s="2237">
        <v>566496</v>
      </c>
      <c r="Q30" s="200">
        <f t="shared" si="8"/>
        <v>0.70811999999999997</v>
      </c>
      <c r="R30" s="199">
        <f t="shared" si="3"/>
        <v>0</v>
      </c>
      <c r="S30" s="199">
        <f t="shared" si="4"/>
        <v>0</v>
      </c>
      <c r="T30" s="199">
        <f t="shared" si="5"/>
        <v>0</v>
      </c>
      <c r="U30" s="199"/>
      <c r="V30" s="199">
        <f t="shared" si="7"/>
        <v>233504</v>
      </c>
    </row>
    <row r="31" spans="2:22" ht="25.5">
      <c r="B31" s="214" t="s">
        <v>1474</v>
      </c>
      <c r="C31" s="180"/>
      <c r="D31" s="517"/>
      <c r="E31" s="239"/>
      <c r="F31" s="180"/>
      <c r="G31" s="190"/>
      <c r="H31" s="191" t="s">
        <v>1475</v>
      </c>
      <c r="I31" s="192">
        <f t="shared" ref="I31:P31" si="19">SUM(I28:I30)</f>
        <v>2550000</v>
      </c>
      <c r="J31" s="2550">
        <f t="shared" si="19"/>
        <v>1442752</v>
      </c>
      <c r="K31" s="2219">
        <f t="shared" si="19"/>
        <v>1800000</v>
      </c>
      <c r="L31" s="192">
        <f t="shared" si="19"/>
        <v>1800000</v>
      </c>
      <c r="M31" s="192">
        <f t="shared" si="19"/>
        <v>1800000</v>
      </c>
      <c r="N31" s="192">
        <f t="shared" si="19"/>
        <v>1800000</v>
      </c>
      <c r="O31" s="192">
        <f t="shared" si="19"/>
        <v>1800000</v>
      </c>
      <c r="P31" s="1014">
        <f t="shared" si="19"/>
        <v>1512696</v>
      </c>
      <c r="Q31" s="193">
        <f t="shared" si="8"/>
        <v>0.84038666666666662</v>
      </c>
      <c r="R31" s="192">
        <f t="shared" si="3"/>
        <v>0</v>
      </c>
      <c r="S31" s="192">
        <f t="shared" si="4"/>
        <v>0</v>
      </c>
      <c r="T31" s="192">
        <f t="shared" ref="T31:T73" si="20">+N31-M31</f>
        <v>0</v>
      </c>
      <c r="U31" s="192">
        <f t="shared" ref="U31:U125" si="21">+O31-N31</f>
        <v>0</v>
      </c>
      <c r="V31" s="192">
        <f t="shared" si="7"/>
        <v>287304</v>
      </c>
    </row>
    <row r="32" spans="2:22" ht="25.5" customHeight="1">
      <c r="B32" s="214" t="s">
        <v>1476</v>
      </c>
      <c r="C32" s="214"/>
      <c r="D32" s="214"/>
      <c r="E32" s="214"/>
      <c r="F32" s="214"/>
      <c r="G32" s="214"/>
      <c r="H32" s="191" t="s">
        <v>1477</v>
      </c>
      <c r="I32" s="192">
        <v>0</v>
      </c>
      <c r="J32" s="2550">
        <v>0</v>
      </c>
      <c r="K32" s="2219">
        <v>0</v>
      </c>
      <c r="L32" s="192">
        <f t="shared" ref="L32:O35" si="22">+K32</f>
        <v>0</v>
      </c>
      <c r="M32" s="192">
        <f t="shared" si="22"/>
        <v>0</v>
      </c>
      <c r="N32" s="192">
        <f t="shared" si="22"/>
        <v>0</v>
      </c>
      <c r="O32" s="192">
        <f t="shared" si="22"/>
        <v>0</v>
      </c>
      <c r="P32" s="1014">
        <v>0</v>
      </c>
      <c r="Q32" s="193"/>
      <c r="R32" s="192">
        <f t="shared" si="3"/>
        <v>0</v>
      </c>
      <c r="S32" s="192">
        <f t="shared" si="4"/>
        <v>0</v>
      </c>
      <c r="T32" s="192">
        <f t="shared" si="20"/>
        <v>0</v>
      </c>
      <c r="U32" s="192">
        <f t="shared" si="21"/>
        <v>0</v>
      </c>
      <c r="V32" s="192">
        <f t="shared" si="7"/>
        <v>0</v>
      </c>
    </row>
    <row r="33" spans="2:22" ht="12.75" customHeight="1">
      <c r="B33" s="214" t="s">
        <v>130</v>
      </c>
      <c r="C33" s="214"/>
      <c r="D33" s="214"/>
      <c r="E33" s="214"/>
      <c r="F33" s="214"/>
      <c r="G33" s="214"/>
      <c r="H33" s="191" t="s">
        <v>1478</v>
      </c>
      <c r="I33" s="192">
        <v>0</v>
      </c>
      <c r="J33" s="2550">
        <v>0</v>
      </c>
      <c r="K33" s="2219">
        <v>0</v>
      </c>
      <c r="L33" s="192">
        <f t="shared" si="22"/>
        <v>0</v>
      </c>
      <c r="M33" s="192">
        <f t="shared" si="22"/>
        <v>0</v>
      </c>
      <c r="N33" s="192">
        <f t="shared" si="22"/>
        <v>0</v>
      </c>
      <c r="O33" s="192">
        <f t="shared" si="22"/>
        <v>0</v>
      </c>
      <c r="P33" s="1014">
        <v>0</v>
      </c>
      <c r="Q33" s="193"/>
      <c r="R33" s="192">
        <f t="shared" si="3"/>
        <v>0</v>
      </c>
      <c r="S33" s="192">
        <f t="shared" si="4"/>
        <v>0</v>
      </c>
      <c r="T33" s="192">
        <f t="shared" si="20"/>
        <v>0</v>
      </c>
      <c r="U33" s="192">
        <f t="shared" si="21"/>
        <v>0</v>
      </c>
      <c r="V33" s="192">
        <f t="shared" si="7"/>
        <v>0</v>
      </c>
    </row>
    <row r="34" spans="2:22">
      <c r="B34" s="214" t="s">
        <v>1602</v>
      </c>
      <c r="C34" s="180" t="s">
        <v>599</v>
      </c>
      <c r="D34" s="239" t="s">
        <v>1603</v>
      </c>
      <c r="E34" s="239">
        <v>2</v>
      </c>
      <c r="F34" s="180" t="s">
        <v>534</v>
      </c>
      <c r="G34" s="190">
        <v>9990001</v>
      </c>
      <c r="H34" s="191" t="s">
        <v>1480</v>
      </c>
      <c r="I34" s="192">
        <f>16000000</f>
        <v>16000000</v>
      </c>
      <c r="J34" s="2550">
        <v>0</v>
      </c>
      <c r="K34" s="2219">
        <f>3400000</f>
        <v>3400000</v>
      </c>
      <c r="L34" s="192">
        <f t="shared" si="22"/>
        <v>3400000</v>
      </c>
      <c r="M34" s="192">
        <f>+L34-2000000</f>
        <v>1400000</v>
      </c>
      <c r="N34" s="192">
        <f t="shared" si="22"/>
        <v>1400000</v>
      </c>
      <c r="O34" s="192">
        <f t="shared" si="22"/>
        <v>1400000</v>
      </c>
      <c r="P34" s="3005">
        <f>0</f>
        <v>0</v>
      </c>
      <c r="Q34" s="193">
        <f t="shared" si="8"/>
        <v>0</v>
      </c>
      <c r="R34" s="192">
        <f t="shared" si="3"/>
        <v>0</v>
      </c>
      <c r="S34" s="192">
        <f t="shared" si="4"/>
        <v>-2000000</v>
      </c>
      <c r="T34" s="192">
        <f t="shared" si="20"/>
        <v>0</v>
      </c>
      <c r="U34" s="192">
        <f t="shared" si="21"/>
        <v>0</v>
      </c>
      <c r="V34" s="192">
        <f t="shared" si="7"/>
        <v>1400000</v>
      </c>
    </row>
    <row r="35" spans="2:22">
      <c r="B35" s="214" t="s">
        <v>1481</v>
      </c>
      <c r="C35" s="214"/>
      <c r="D35" s="214"/>
      <c r="E35" s="214"/>
      <c r="F35" s="214"/>
      <c r="G35" s="214"/>
      <c r="H35" s="191" t="s">
        <v>1482</v>
      </c>
      <c r="I35" s="192">
        <v>0</v>
      </c>
      <c r="J35" s="2550">
        <v>0</v>
      </c>
      <c r="K35" s="2219">
        <v>0</v>
      </c>
      <c r="L35" s="192">
        <f t="shared" si="22"/>
        <v>0</v>
      </c>
      <c r="M35" s="192">
        <f t="shared" si="22"/>
        <v>0</v>
      </c>
      <c r="N35" s="192">
        <f t="shared" si="22"/>
        <v>0</v>
      </c>
      <c r="O35" s="192">
        <f t="shared" si="22"/>
        <v>0</v>
      </c>
      <c r="P35" s="1014">
        <v>0</v>
      </c>
      <c r="Q35" s="193"/>
      <c r="R35" s="192">
        <f t="shared" si="3"/>
        <v>0</v>
      </c>
      <c r="S35" s="192">
        <f t="shared" si="4"/>
        <v>0</v>
      </c>
      <c r="T35" s="192">
        <f t="shared" si="20"/>
        <v>0</v>
      </c>
      <c r="U35" s="192">
        <f t="shared" si="21"/>
        <v>0</v>
      </c>
      <c r="V35" s="192">
        <f t="shared" si="7"/>
        <v>0</v>
      </c>
    </row>
    <row r="36" spans="2:22">
      <c r="B36" s="208" t="s">
        <v>1604</v>
      </c>
      <c r="C36" s="208"/>
      <c r="D36" s="208"/>
      <c r="E36" s="208"/>
      <c r="F36" s="208"/>
      <c r="G36" s="208"/>
      <c r="H36" s="184" t="s">
        <v>1484</v>
      </c>
      <c r="I36" s="209">
        <f>SUM(I27:I35)-I28-I29-I30</f>
        <v>18550000</v>
      </c>
      <c r="J36" s="2549">
        <f t="shared" ref="J36:O36" si="23">SUM(J27:J35)-J28-J29-J30</f>
        <v>1442752</v>
      </c>
      <c r="K36" s="2347">
        <f t="shared" si="23"/>
        <v>5200000</v>
      </c>
      <c r="L36" s="209">
        <f t="shared" si="23"/>
        <v>5200000</v>
      </c>
      <c r="M36" s="209">
        <f t="shared" si="23"/>
        <v>3200000</v>
      </c>
      <c r="N36" s="209">
        <f t="shared" si="23"/>
        <v>3200000</v>
      </c>
      <c r="O36" s="209">
        <f t="shared" si="23"/>
        <v>3200000</v>
      </c>
      <c r="P36" s="1025">
        <f>SUM(P27:P35)-P28-P29-P30</f>
        <v>1512696</v>
      </c>
      <c r="Q36" s="210">
        <f t="shared" si="8"/>
        <v>0.47271750000000001</v>
      </c>
      <c r="R36" s="209">
        <f t="shared" si="3"/>
        <v>0</v>
      </c>
      <c r="S36" s="209">
        <f t="shared" si="4"/>
        <v>-2000000</v>
      </c>
      <c r="T36" s="209">
        <f t="shared" si="20"/>
        <v>0</v>
      </c>
      <c r="U36" s="209">
        <f t="shared" si="21"/>
        <v>0</v>
      </c>
      <c r="V36" s="209">
        <f t="shared" si="7"/>
        <v>1687304</v>
      </c>
    </row>
    <row r="37" spans="2:22">
      <c r="B37" s="531" t="s">
        <v>1605</v>
      </c>
      <c r="C37" s="180" t="s">
        <v>599</v>
      </c>
      <c r="D37" s="239" t="s">
        <v>1606</v>
      </c>
      <c r="E37" s="239">
        <v>2</v>
      </c>
      <c r="F37" s="180" t="s">
        <v>534</v>
      </c>
      <c r="G37" s="190">
        <v>9990001</v>
      </c>
      <c r="H37" s="191" t="s">
        <v>1486</v>
      </c>
      <c r="I37" s="199">
        <f>13000000-1000000</f>
        <v>12000000</v>
      </c>
      <c r="J37" s="2550">
        <v>13502284</v>
      </c>
      <c r="K37" s="2250">
        <f>13500000-1000000</f>
        <v>12500000</v>
      </c>
      <c r="L37" s="199">
        <f t="shared" ref="L37:O38" si="24">+K37</f>
        <v>12500000</v>
      </c>
      <c r="M37" s="199">
        <f t="shared" si="24"/>
        <v>12500000</v>
      </c>
      <c r="N37" s="199">
        <f t="shared" si="24"/>
        <v>12500000</v>
      </c>
      <c r="O37" s="199">
        <f t="shared" si="24"/>
        <v>12500000</v>
      </c>
      <c r="P37" s="2237">
        <v>11449546</v>
      </c>
      <c r="Q37" s="200">
        <f t="shared" si="8"/>
        <v>0.91596367999999995</v>
      </c>
      <c r="R37" s="199">
        <f t="shared" si="3"/>
        <v>0</v>
      </c>
      <c r="S37" s="199">
        <f t="shared" si="4"/>
        <v>0</v>
      </c>
      <c r="T37" s="199">
        <f t="shared" si="20"/>
        <v>0</v>
      </c>
      <c r="U37" s="199">
        <f t="shared" si="21"/>
        <v>0</v>
      </c>
      <c r="V37" s="192">
        <f t="shared" si="7"/>
        <v>1050454</v>
      </c>
    </row>
    <row r="38" spans="2:22">
      <c r="B38" s="531" t="s">
        <v>1607</v>
      </c>
      <c r="C38" s="180" t="s">
        <v>736</v>
      </c>
      <c r="D38" s="239" t="s">
        <v>1608</v>
      </c>
      <c r="E38" s="239">
        <v>2</v>
      </c>
      <c r="F38" s="180" t="s">
        <v>751</v>
      </c>
      <c r="G38" s="190">
        <v>680002</v>
      </c>
      <c r="H38" s="191" t="s">
        <v>1486</v>
      </c>
      <c r="I38" s="199">
        <v>0</v>
      </c>
      <c r="J38" s="2550">
        <v>0</v>
      </c>
      <c r="K38" s="2250">
        <v>0</v>
      </c>
      <c r="L38" s="199">
        <f t="shared" si="24"/>
        <v>0</v>
      </c>
      <c r="M38" s="199">
        <f t="shared" si="24"/>
        <v>0</v>
      </c>
      <c r="N38" s="199">
        <f t="shared" si="24"/>
        <v>0</v>
      </c>
      <c r="O38" s="199">
        <f t="shared" si="24"/>
        <v>0</v>
      </c>
      <c r="P38" s="1011">
        <v>0</v>
      </c>
      <c r="Q38" s="200"/>
      <c r="R38" s="199">
        <f t="shared" si="3"/>
        <v>0</v>
      </c>
      <c r="S38" s="199">
        <f t="shared" si="4"/>
        <v>0</v>
      </c>
      <c r="T38" s="199">
        <f t="shared" si="20"/>
        <v>0</v>
      </c>
      <c r="U38" s="199">
        <f t="shared" si="21"/>
        <v>0</v>
      </c>
      <c r="V38" s="192">
        <f t="shared" si="7"/>
        <v>0</v>
      </c>
    </row>
    <row r="39" spans="2:22">
      <c r="B39" s="214" t="s">
        <v>1485</v>
      </c>
      <c r="C39" s="214"/>
      <c r="D39" s="214"/>
      <c r="E39" s="214"/>
      <c r="F39" s="214"/>
      <c r="G39" s="214"/>
      <c r="H39" s="191" t="s">
        <v>1486</v>
      </c>
      <c r="I39" s="192">
        <f>SUM(I37:I38)</f>
        <v>12000000</v>
      </c>
      <c r="J39" s="2550">
        <f t="shared" ref="J39:O39" si="25">SUM(J37:J38)</f>
        <v>13502284</v>
      </c>
      <c r="K39" s="2219">
        <f t="shared" si="25"/>
        <v>12500000</v>
      </c>
      <c r="L39" s="192">
        <f t="shared" si="25"/>
        <v>12500000</v>
      </c>
      <c r="M39" s="192">
        <f t="shared" si="25"/>
        <v>12500000</v>
      </c>
      <c r="N39" s="192">
        <f t="shared" si="25"/>
        <v>12500000</v>
      </c>
      <c r="O39" s="192">
        <f t="shared" si="25"/>
        <v>12500000</v>
      </c>
      <c r="P39" s="1014">
        <f>SUM(P37:P38)</f>
        <v>11449546</v>
      </c>
      <c r="Q39" s="193">
        <f t="shared" si="8"/>
        <v>0.91596367999999995</v>
      </c>
      <c r="R39" s="192">
        <f t="shared" si="3"/>
        <v>0</v>
      </c>
      <c r="S39" s="192">
        <f t="shared" si="4"/>
        <v>0</v>
      </c>
      <c r="T39" s="192">
        <f t="shared" si="20"/>
        <v>0</v>
      </c>
      <c r="U39" s="192">
        <f t="shared" si="21"/>
        <v>0</v>
      </c>
      <c r="V39" s="192">
        <f t="shared" si="7"/>
        <v>1050454</v>
      </c>
    </row>
    <row r="40" spans="2:22">
      <c r="B40" s="214" t="s">
        <v>1487</v>
      </c>
      <c r="C40" s="214"/>
      <c r="D40" s="214"/>
      <c r="E40" s="214"/>
      <c r="F40" s="214"/>
      <c r="G40" s="214"/>
      <c r="H40" s="191" t="s">
        <v>1488</v>
      </c>
      <c r="I40" s="192">
        <v>0</v>
      </c>
      <c r="J40" s="2550">
        <v>0</v>
      </c>
      <c r="K40" s="2219">
        <v>0</v>
      </c>
      <c r="L40" s="192">
        <f>+K40</f>
        <v>0</v>
      </c>
      <c r="M40" s="192">
        <f>+L40</f>
        <v>0</v>
      </c>
      <c r="N40" s="192">
        <f>+M40</f>
        <v>0</v>
      </c>
      <c r="O40" s="192">
        <f>+N40</f>
        <v>0</v>
      </c>
      <c r="P40" s="1014">
        <v>0</v>
      </c>
      <c r="Q40" s="193"/>
      <c r="R40" s="192">
        <f t="shared" si="3"/>
        <v>0</v>
      </c>
      <c r="S40" s="192">
        <f t="shared" si="4"/>
        <v>0</v>
      </c>
      <c r="T40" s="192">
        <f t="shared" si="20"/>
        <v>0</v>
      </c>
      <c r="U40" s="192">
        <f t="shared" si="21"/>
        <v>0</v>
      </c>
      <c r="V40" s="192">
        <f t="shared" si="7"/>
        <v>0</v>
      </c>
    </row>
    <row r="41" spans="2:22">
      <c r="B41" s="208" t="s">
        <v>1609</v>
      </c>
      <c r="C41" s="208"/>
      <c r="D41" s="208"/>
      <c r="E41" s="208"/>
      <c r="F41" s="208"/>
      <c r="G41" s="208"/>
      <c r="H41" s="184" t="s">
        <v>1490</v>
      </c>
      <c r="I41" s="209">
        <f>SUM(I39:I40)</f>
        <v>12000000</v>
      </c>
      <c r="J41" s="2549">
        <f t="shared" ref="J41:O41" si="26">SUM(J39:J40)</f>
        <v>13502284</v>
      </c>
      <c r="K41" s="2347">
        <f t="shared" si="26"/>
        <v>12500000</v>
      </c>
      <c r="L41" s="209">
        <f t="shared" si="26"/>
        <v>12500000</v>
      </c>
      <c r="M41" s="209">
        <f t="shared" si="26"/>
        <v>12500000</v>
      </c>
      <c r="N41" s="209">
        <f t="shared" si="26"/>
        <v>12500000</v>
      </c>
      <c r="O41" s="209">
        <f t="shared" si="26"/>
        <v>12500000</v>
      </c>
      <c r="P41" s="1025">
        <f>SUM(P39:P40)</f>
        <v>11449546</v>
      </c>
      <c r="Q41" s="210">
        <f t="shared" si="8"/>
        <v>0.91596367999999995</v>
      </c>
      <c r="R41" s="209">
        <f t="shared" si="3"/>
        <v>0</v>
      </c>
      <c r="S41" s="209">
        <f t="shared" si="4"/>
        <v>0</v>
      </c>
      <c r="T41" s="209">
        <f t="shared" si="20"/>
        <v>0</v>
      </c>
      <c r="U41" s="209">
        <f t="shared" si="21"/>
        <v>0</v>
      </c>
      <c r="V41" s="209">
        <f t="shared" si="7"/>
        <v>1050454</v>
      </c>
    </row>
    <row r="42" spans="2:22">
      <c r="B42" s="208" t="s">
        <v>1610</v>
      </c>
      <c r="C42" s="208"/>
      <c r="D42" s="208"/>
      <c r="E42" s="208"/>
      <c r="F42" s="208"/>
      <c r="G42" s="208"/>
      <c r="H42" s="184" t="s">
        <v>1492</v>
      </c>
      <c r="I42" s="209">
        <f>+I36+I41</f>
        <v>30550000</v>
      </c>
      <c r="J42" s="2549">
        <f t="shared" ref="J42:P42" si="27">+J36+J41</f>
        <v>14945036</v>
      </c>
      <c r="K42" s="2347">
        <f t="shared" si="27"/>
        <v>17700000</v>
      </c>
      <c r="L42" s="209">
        <f t="shared" si="27"/>
        <v>17700000</v>
      </c>
      <c r="M42" s="209">
        <f t="shared" si="27"/>
        <v>15700000</v>
      </c>
      <c r="N42" s="209">
        <f t="shared" si="27"/>
        <v>15700000</v>
      </c>
      <c r="O42" s="209">
        <f t="shared" si="27"/>
        <v>15700000</v>
      </c>
      <c r="P42" s="1025">
        <f t="shared" si="27"/>
        <v>12962242</v>
      </c>
      <c r="Q42" s="210">
        <f t="shared" si="8"/>
        <v>0.82562050955414013</v>
      </c>
      <c r="R42" s="209">
        <f t="shared" si="3"/>
        <v>0</v>
      </c>
      <c r="S42" s="209">
        <f t="shared" si="4"/>
        <v>-2000000</v>
      </c>
      <c r="T42" s="209">
        <f t="shared" si="20"/>
        <v>0</v>
      </c>
      <c r="U42" s="209">
        <f t="shared" si="21"/>
        <v>0</v>
      </c>
      <c r="V42" s="209">
        <f t="shared" si="7"/>
        <v>2737758</v>
      </c>
    </row>
    <row r="43" spans="2:22">
      <c r="B43" s="531" t="s">
        <v>1611</v>
      </c>
      <c r="C43" s="180" t="s">
        <v>512</v>
      </c>
      <c r="D43" s="239" t="s">
        <v>1612</v>
      </c>
      <c r="E43" s="239">
        <v>2</v>
      </c>
      <c r="F43" s="180" t="s">
        <v>534</v>
      </c>
      <c r="G43" s="190">
        <v>9990001</v>
      </c>
      <c r="H43" s="180" t="s">
        <v>1494</v>
      </c>
      <c r="I43" s="199">
        <v>26000000</v>
      </c>
      <c r="J43" s="2550">
        <v>19795014</v>
      </c>
      <c r="K43" s="2250">
        <f>26000000-5000000</f>
        <v>21000000</v>
      </c>
      <c r="L43" s="199">
        <f t="shared" ref="L43:O44" si="28">+K43</f>
        <v>21000000</v>
      </c>
      <c r="M43" s="199">
        <f t="shared" si="28"/>
        <v>21000000</v>
      </c>
      <c r="N43" s="199">
        <f t="shared" si="28"/>
        <v>21000000</v>
      </c>
      <c r="O43" s="199">
        <f t="shared" si="28"/>
        <v>21000000</v>
      </c>
      <c r="P43" s="2237">
        <v>14257642</v>
      </c>
      <c r="Q43" s="200">
        <f t="shared" si="8"/>
        <v>0.67893533333333334</v>
      </c>
      <c r="R43" s="199">
        <f t="shared" si="3"/>
        <v>0</v>
      </c>
      <c r="S43" s="199">
        <f t="shared" si="4"/>
        <v>0</v>
      </c>
      <c r="T43" s="199">
        <f t="shared" si="20"/>
        <v>0</v>
      </c>
      <c r="U43" s="199">
        <f t="shared" si="21"/>
        <v>0</v>
      </c>
      <c r="V43" s="192">
        <f t="shared" si="7"/>
        <v>6742358</v>
      </c>
    </row>
    <row r="44" spans="2:22">
      <c r="B44" s="531" t="s">
        <v>1613</v>
      </c>
      <c r="C44" s="180" t="s">
        <v>736</v>
      </c>
      <c r="D44" s="239" t="s">
        <v>1614</v>
      </c>
      <c r="E44" s="239">
        <v>2</v>
      </c>
      <c r="F44" s="180" t="s">
        <v>751</v>
      </c>
      <c r="G44" s="190">
        <v>680002</v>
      </c>
      <c r="H44" s="180" t="s">
        <v>1494</v>
      </c>
      <c r="I44" s="199">
        <v>0</v>
      </c>
      <c r="J44" s="2550">
        <v>0</v>
      </c>
      <c r="K44" s="2250">
        <v>0</v>
      </c>
      <c r="L44" s="199">
        <f t="shared" si="28"/>
        <v>0</v>
      </c>
      <c r="M44" s="199">
        <f t="shared" si="28"/>
        <v>0</v>
      </c>
      <c r="N44" s="199">
        <f t="shared" si="28"/>
        <v>0</v>
      </c>
      <c r="O44" s="199">
        <f t="shared" si="28"/>
        <v>0</v>
      </c>
      <c r="P44" s="1011">
        <v>0</v>
      </c>
      <c r="Q44" s="200"/>
      <c r="R44" s="199">
        <f t="shared" si="3"/>
        <v>0</v>
      </c>
      <c r="S44" s="199">
        <f t="shared" si="4"/>
        <v>0</v>
      </c>
      <c r="T44" s="199">
        <f t="shared" si="20"/>
        <v>0</v>
      </c>
      <c r="U44" s="199">
        <f t="shared" si="21"/>
        <v>0</v>
      </c>
      <c r="V44" s="192">
        <f t="shared" si="7"/>
        <v>0</v>
      </c>
    </row>
    <row r="45" spans="2:22">
      <c r="B45" s="214" t="s">
        <v>1493</v>
      </c>
      <c r="C45" s="180"/>
      <c r="D45" s="239"/>
      <c r="E45" s="239"/>
      <c r="F45" s="180"/>
      <c r="G45" s="190"/>
      <c r="H45" s="180" t="s">
        <v>1494</v>
      </c>
      <c r="I45" s="192">
        <f>SUM(I43:I44)</f>
        <v>26000000</v>
      </c>
      <c r="J45" s="2550">
        <f t="shared" ref="J45:O45" si="29">SUM(J43:J44)</f>
        <v>19795014</v>
      </c>
      <c r="K45" s="2219">
        <f t="shared" si="29"/>
        <v>21000000</v>
      </c>
      <c r="L45" s="192">
        <f t="shared" si="29"/>
        <v>21000000</v>
      </c>
      <c r="M45" s="192">
        <f t="shared" si="29"/>
        <v>21000000</v>
      </c>
      <c r="N45" s="192">
        <f t="shared" si="29"/>
        <v>21000000</v>
      </c>
      <c r="O45" s="192">
        <f t="shared" si="29"/>
        <v>21000000</v>
      </c>
      <c r="P45" s="192">
        <f>SUM(P43:P44)</f>
        <v>14257642</v>
      </c>
      <c r="Q45" s="193">
        <f t="shared" si="8"/>
        <v>0.67893533333333334</v>
      </c>
      <c r="R45" s="199">
        <f t="shared" si="3"/>
        <v>0</v>
      </c>
      <c r="S45" s="199">
        <f t="shared" si="4"/>
        <v>0</v>
      </c>
      <c r="T45" s="199">
        <f t="shared" si="20"/>
        <v>0</v>
      </c>
      <c r="U45" s="199">
        <f t="shared" si="21"/>
        <v>0</v>
      </c>
      <c r="V45" s="199">
        <f t="shared" si="7"/>
        <v>6742358</v>
      </c>
    </row>
    <row r="46" spans="2:22">
      <c r="B46" s="530" t="s">
        <v>1615</v>
      </c>
      <c r="C46" s="180" t="s">
        <v>512</v>
      </c>
      <c r="D46" s="239" t="s">
        <v>1616</v>
      </c>
      <c r="E46" s="239">
        <v>2</v>
      </c>
      <c r="F46" s="180" t="s">
        <v>534</v>
      </c>
      <c r="G46" s="190">
        <v>9990001</v>
      </c>
      <c r="H46" s="191" t="s">
        <v>1496</v>
      </c>
      <c r="I46" s="199">
        <f>23000000+2000000</f>
        <v>25000000</v>
      </c>
      <c r="J46" s="2550">
        <v>20912456</v>
      </c>
      <c r="K46" s="2250">
        <f>25000000-2000000</f>
        <v>23000000</v>
      </c>
      <c r="L46" s="199">
        <f>+K46-23000000</f>
        <v>0</v>
      </c>
      <c r="M46" s="199">
        <f t="shared" ref="M46:O47" si="30">+L46</f>
        <v>0</v>
      </c>
      <c r="N46" s="199">
        <f t="shared" si="30"/>
        <v>0</v>
      </c>
      <c r="O46" s="199">
        <f t="shared" si="30"/>
        <v>0</v>
      </c>
      <c r="P46" s="2237">
        <v>0</v>
      </c>
      <c r="Q46" s="200"/>
      <c r="R46" s="199">
        <f t="shared" si="3"/>
        <v>-23000000</v>
      </c>
      <c r="S46" s="199">
        <f t="shared" si="4"/>
        <v>0</v>
      </c>
      <c r="T46" s="199">
        <f t="shared" si="20"/>
        <v>0</v>
      </c>
      <c r="U46" s="199">
        <f t="shared" si="21"/>
        <v>0</v>
      </c>
      <c r="V46" s="192">
        <f t="shared" si="7"/>
        <v>0</v>
      </c>
    </row>
    <row r="47" spans="2:22">
      <c r="B47" s="531" t="s">
        <v>1617</v>
      </c>
      <c r="C47" s="180" t="s">
        <v>736</v>
      </c>
      <c r="D47" s="239" t="s">
        <v>1618</v>
      </c>
      <c r="E47" s="239">
        <v>2</v>
      </c>
      <c r="F47" s="180" t="s">
        <v>751</v>
      </c>
      <c r="G47" s="190">
        <v>680002</v>
      </c>
      <c r="H47" s="191" t="s">
        <v>1496</v>
      </c>
      <c r="I47" s="199">
        <v>0</v>
      </c>
      <c r="J47" s="2550">
        <v>0</v>
      </c>
      <c r="K47" s="2250">
        <v>0</v>
      </c>
      <c r="L47" s="199">
        <f>+K47</f>
        <v>0</v>
      </c>
      <c r="M47" s="199">
        <f t="shared" si="30"/>
        <v>0</v>
      </c>
      <c r="N47" s="199">
        <f t="shared" si="30"/>
        <v>0</v>
      </c>
      <c r="O47" s="199">
        <f t="shared" si="30"/>
        <v>0</v>
      </c>
      <c r="P47" s="1011">
        <v>0</v>
      </c>
      <c r="Q47" s="200"/>
      <c r="R47" s="199">
        <f t="shared" si="3"/>
        <v>0</v>
      </c>
      <c r="S47" s="199">
        <f t="shared" si="4"/>
        <v>0</v>
      </c>
      <c r="T47" s="199">
        <f t="shared" si="20"/>
        <v>0</v>
      </c>
      <c r="U47" s="199">
        <f t="shared" si="21"/>
        <v>0</v>
      </c>
      <c r="V47" s="192">
        <f t="shared" si="7"/>
        <v>0</v>
      </c>
    </row>
    <row r="48" spans="2:22">
      <c r="B48" s="214" t="s">
        <v>1495</v>
      </c>
      <c r="C48" s="180"/>
      <c r="D48" s="239"/>
      <c r="E48" s="239"/>
      <c r="F48" s="180"/>
      <c r="G48" s="190"/>
      <c r="H48" s="191" t="s">
        <v>1496</v>
      </c>
      <c r="I48" s="192">
        <f t="shared" ref="I48:P48" si="31">SUM(I46:I47)</f>
        <v>25000000</v>
      </c>
      <c r="J48" s="2550">
        <f t="shared" si="31"/>
        <v>20912456</v>
      </c>
      <c r="K48" s="2219">
        <f t="shared" si="31"/>
        <v>23000000</v>
      </c>
      <c r="L48" s="192">
        <f t="shared" si="31"/>
        <v>0</v>
      </c>
      <c r="M48" s="192">
        <f t="shared" si="31"/>
        <v>0</v>
      </c>
      <c r="N48" s="192">
        <f t="shared" si="31"/>
        <v>0</v>
      </c>
      <c r="O48" s="192">
        <f t="shared" si="31"/>
        <v>0</v>
      </c>
      <c r="P48" s="1014">
        <f t="shared" si="31"/>
        <v>0</v>
      </c>
      <c r="Q48" s="193"/>
      <c r="R48" s="199">
        <f t="shared" si="3"/>
        <v>-23000000</v>
      </c>
      <c r="S48" s="199">
        <f t="shared" si="4"/>
        <v>0</v>
      </c>
      <c r="T48" s="199">
        <f t="shared" si="20"/>
        <v>0</v>
      </c>
      <c r="U48" s="199">
        <f t="shared" si="21"/>
        <v>0</v>
      </c>
      <c r="V48" s="199">
        <f t="shared" si="7"/>
        <v>0</v>
      </c>
    </row>
    <row r="49" spans="2:22">
      <c r="B49" s="530" t="s">
        <v>1619</v>
      </c>
      <c r="C49" s="180" t="s">
        <v>512</v>
      </c>
      <c r="D49" s="239" t="s">
        <v>1620</v>
      </c>
      <c r="E49" s="239">
        <v>2</v>
      </c>
      <c r="F49" s="180" t="s">
        <v>534</v>
      </c>
      <c r="G49" s="190">
        <v>9990001</v>
      </c>
      <c r="H49" s="191" t="s">
        <v>1498</v>
      </c>
      <c r="I49" s="199">
        <f>3000000+1500000</f>
        <v>4500000</v>
      </c>
      <c r="J49" s="2550">
        <v>4002055</v>
      </c>
      <c r="K49" s="2250">
        <f>4500000-500000</f>
        <v>4000000</v>
      </c>
      <c r="L49" s="199">
        <f t="shared" ref="L49:O50" si="32">+K49</f>
        <v>4000000</v>
      </c>
      <c r="M49" s="192">
        <f>+L49+801879+177572+122479+1000000+1000000</f>
        <v>7101930</v>
      </c>
      <c r="N49" s="192">
        <f>+M49+1000000</f>
        <v>8101930</v>
      </c>
      <c r="O49" s="192">
        <f>+N49</f>
        <v>8101930</v>
      </c>
      <c r="P49" s="2237">
        <v>7539696</v>
      </c>
      <c r="Q49" s="200">
        <f t="shared" si="8"/>
        <v>0.93060492993644728</v>
      </c>
      <c r="R49" s="199">
        <f t="shared" si="3"/>
        <v>0</v>
      </c>
      <c r="S49" s="199">
        <f t="shared" si="4"/>
        <v>3101930</v>
      </c>
      <c r="T49" s="199">
        <f t="shared" si="20"/>
        <v>1000000</v>
      </c>
      <c r="U49" s="199">
        <f t="shared" si="21"/>
        <v>0</v>
      </c>
      <c r="V49" s="192">
        <f t="shared" si="7"/>
        <v>562234</v>
      </c>
    </row>
    <row r="50" spans="2:22">
      <c r="B50" s="531" t="s">
        <v>1621</v>
      </c>
      <c r="C50" s="180" t="s">
        <v>736</v>
      </c>
      <c r="D50" s="239" t="s">
        <v>1622</v>
      </c>
      <c r="E50" s="239">
        <v>2</v>
      </c>
      <c r="F50" s="180" t="s">
        <v>751</v>
      </c>
      <c r="G50" s="190">
        <v>680002</v>
      </c>
      <c r="H50" s="191" t="s">
        <v>1498</v>
      </c>
      <c r="I50" s="199">
        <v>0</v>
      </c>
      <c r="J50" s="2550">
        <v>0</v>
      </c>
      <c r="K50" s="2250">
        <v>0</v>
      </c>
      <c r="L50" s="199">
        <f t="shared" si="32"/>
        <v>0</v>
      </c>
      <c r="M50" s="199">
        <f t="shared" si="32"/>
        <v>0</v>
      </c>
      <c r="N50" s="199">
        <f t="shared" si="32"/>
        <v>0</v>
      </c>
      <c r="O50" s="199">
        <f t="shared" si="32"/>
        <v>0</v>
      </c>
      <c r="P50" s="1011">
        <v>0</v>
      </c>
      <c r="Q50" s="200"/>
      <c r="R50" s="199">
        <f t="shared" si="3"/>
        <v>0</v>
      </c>
      <c r="S50" s="199">
        <f t="shared" si="4"/>
        <v>0</v>
      </c>
      <c r="T50" s="199">
        <f t="shared" si="20"/>
        <v>0</v>
      </c>
      <c r="U50" s="199">
        <f t="shared" si="21"/>
        <v>0</v>
      </c>
      <c r="V50" s="192">
        <f t="shared" si="7"/>
        <v>0</v>
      </c>
    </row>
    <row r="51" spans="2:22">
      <c r="B51" s="214" t="s">
        <v>1497</v>
      </c>
      <c r="C51" s="214"/>
      <c r="D51" s="214"/>
      <c r="E51" s="214"/>
      <c r="F51" s="214"/>
      <c r="G51" s="214"/>
      <c r="H51" s="191" t="s">
        <v>1498</v>
      </c>
      <c r="I51" s="192">
        <f t="shared" ref="I51:P51" si="33">SUM(I49:I50)</f>
        <v>4500000</v>
      </c>
      <c r="J51" s="2550">
        <f t="shared" si="33"/>
        <v>4002055</v>
      </c>
      <c r="K51" s="2219">
        <f t="shared" si="33"/>
        <v>4000000</v>
      </c>
      <c r="L51" s="192">
        <f t="shared" si="33"/>
        <v>4000000</v>
      </c>
      <c r="M51" s="192">
        <f t="shared" si="33"/>
        <v>7101930</v>
      </c>
      <c r="N51" s="192">
        <f t="shared" si="33"/>
        <v>8101930</v>
      </c>
      <c r="O51" s="192">
        <f t="shared" si="33"/>
        <v>8101930</v>
      </c>
      <c r="P51" s="1014">
        <f t="shared" si="33"/>
        <v>7539696</v>
      </c>
      <c r="Q51" s="193">
        <f t="shared" si="8"/>
        <v>0.93060492993644728</v>
      </c>
      <c r="R51" s="199">
        <f t="shared" si="3"/>
        <v>0</v>
      </c>
      <c r="S51" s="199">
        <f t="shared" si="4"/>
        <v>3101930</v>
      </c>
      <c r="T51" s="199">
        <f t="shared" si="20"/>
        <v>1000000</v>
      </c>
      <c r="U51" s="199">
        <f t="shared" si="21"/>
        <v>0</v>
      </c>
      <c r="V51" s="199">
        <f t="shared" si="7"/>
        <v>562234</v>
      </c>
    </row>
    <row r="52" spans="2:22">
      <c r="B52" s="208" t="s">
        <v>1623</v>
      </c>
      <c r="C52" s="208"/>
      <c r="D52" s="208"/>
      <c r="E52" s="208"/>
      <c r="F52" s="208"/>
      <c r="G52" s="208"/>
      <c r="H52" s="184" t="s">
        <v>1499</v>
      </c>
      <c r="I52" s="209">
        <f>SUM(I45:I51)-I46-I47-I49-I50</f>
        <v>55500000</v>
      </c>
      <c r="J52" s="2549">
        <f t="shared" ref="J52:O52" si="34">SUM(J45:J51)-J46-J47-J49-J50</f>
        <v>44709525</v>
      </c>
      <c r="K52" s="2347">
        <f t="shared" si="34"/>
        <v>48000000</v>
      </c>
      <c r="L52" s="209">
        <f t="shared" si="34"/>
        <v>25000000</v>
      </c>
      <c r="M52" s="209">
        <f t="shared" si="34"/>
        <v>28101930</v>
      </c>
      <c r="N52" s="209">
        <f t="shared" si="34"/>
        <v>29101930</v>
      </c>
      <c r="O52" s="209">
        <f t="shared" si="34"/>
        <v>29101930</v>
      </c>
      <c r="P52" s="1025">
        <f>SUM(P45:P51)-P46-P47-P49-P50</f>
        <v>21797338</v>
      </c>
      <c r="Q52" s="210">
        <f t="shared" si="8"/>
        <v>0.74899973987979496</v>
      </c>
      <c r="R52" s="209">
        <f t="shared" si="3"/>
        <v>-23000000</v>
      </c>
      <c r="S52" s="209">
        <f t="shared" si="4"/>
        <v>3101930</v>
      </c>
      <c r="T52" s="209">
        <f t="shared" si="20"/>
        <v>1000000</v>
      </c>
      <c r="U52" s="209">
        <f t="shared" si="21"/>
        <v>0</v>
      </c>
      <c r="V52" s="209">
        <f t="shared" si="7"/>
        <v>7304592</v>
      </c>
    </row>
    <row r="53" spans="2:22" ht="12.75" customHeight="1">
      <c r="B53" s="213" t="s">
        <v>1500</v>
      </c>
      <c r="C53" s="213"/>
      <c r="D53" s="213"/>
      <c r="E53" s="213"/>
      <c r="F53" s="213"/>
      <c r="G53" s="213"/>
      <c r="H53" s="184" t="s">
        <v>1501</v>
      </c>
      <c r="I53" s="209">
        <v>0</v>
      </c>
      <c r="J53" s="2550">
        <v>0</v>
      </c>
      <c r="K53" s="2347">
        <v>0</v>
      </c>
      <c r="L53" s="192">
        <f t="shared" ref="L53:O54" si="35">+K53</f>
        <v>0</v>
      </c>
      <c r="M53" s="192">
        <f t="shared" si="35"/>
        <v>0</v>
      </c>
      <c r="N53" s="192">
        <f t="shared" si="35"/>
        <v>0</v>
      </c>
      <c r="O53" s="192">
        <f t="shared" si="35"/>
        <v>0</v>
      </c>
      <c r="P53" s="1014">
        <v>0</v>
      </c>
      <c r="Q53" s="210"/>
      <c r="R53" s="209">
        <f t="shared" si="3"/>
        <v>0</v>
      </c>
      <c r="S53" s="209">
        <f t="shared" si="4"/>
        <v>0</v>
      </c>
      <c r="T53" s="209">
        <f t="shared" si="20"/>
        <v>0</v>
      </c>
      <c r="U53" s="209">
        <f t="shared" si="21"/>
        <v>0</v>
      </c>
      <c r="V53" s="209">
        <f t="shared" si="7"/>
        <v>0</v>
      </c>
    </row>
    <row r="54" spans="2:22" ht="12.75" customHeight="1">
      <c r="B54" s="214" t="s">
        <v>1502</v>
      </c>
      <c r="C54" s="214"/>
      <c r="D54" s="214"/>
      <c r="E54" s="214"/>
      <c r="F54" s="214"/>
      <c r="G54" s="214"/>
      <c r="H54" s="191" t="s">
        <v>1503</v>
      </c>
      <c r="I54" s="209">
        <v>0</v>
      </c>
      <c r="J54" s="2550">
        <v>0</v>
      </c>
      <c r="K54" s="2347">
        <v>0</v>
      </c>
      <c r="L54" s="192">
        <f t="shared" si="35"/>
        <v>0</v>
      </c>
      <c r="M54" s="192">
        <f t="shared" si="35"/>
        <v>0</v>
      </c>
      <c r="N54" s="192">
        <f t="shared" si="35"/>
        <v>0</v>
      </c>
      <c r="O54" s="192">
        <f t="shared" si="35"/>
        <v>0</v>
      </c>
      <c r="P54" s="1014">
        <v>0</v>
      </c>
      <c r="Q54" s="210"/>
      <c r="R54" s="209">
        <f t="shared" si="3"/>
        <v>0</v>
      </c>
      <c r="S54" s="209">
        <f t="shared" si="4"/>
        <v>0</v>
      </c>
      <c r="T54" s="209">
        <f t="shared" si="20"/>
        <v>0</v>
      </c>
      <c r="U54" s="209">
        <f t="shared" si="21"/>
        <v>0</v>
      </c>
      <c r="V54" s="209">
        <f t="shared" si="7"/>
        <v>0</v>
      </c>
    </row>
    <row r="55" spans="2:22" ht="12.75" customHeight="1">
      <c r="B55" s="213" t="s">
        <v>1624</v>
      </c>
      <c r="C55" s="213"/>
      <c r="D55" s="213"/>
      <c r="E55" s="213"/>
      <c r="F55" s="213"/>
      <c r="G55" s="213"/>
      <c r="H55" s="205" t="s">
        <v>1505</v>
      </c>
      <c r="I55" s="209">
        <f>SUM(I54)</f>
        <v>0</v>
      </c>
      <c r="J55" s="2549">
        <v>0</v>
      </c>
      <c r="K55" s="2347">
        <f t="shared" ref="K55:P55" si="36">SUM(K54)</f>
        <v>0</v>
      </c>
      <c r="L55" s="209">
        <f t="shared" si="36"/>
        <v>0</v>
      </c>
      <c r="M55" s="209">
        <f t="shared" si="36"/>
        <v>0</v>
      </c>
      <c r="N55" s="209">
        <f t="shared" si="36"/>
        <v>0</v>
      </c>
      <c r="O55" s="209">
        <f t="shared" si="36"/>
        <v>0</v>
      </c>
      <c r="P55" s="1025">
        <f t="shared" si="36"/>
        <v>0</v>
      </c>
      <c r="Q55" s="210"/>
      <c r="R55" s="209">
        <f t="shared" si="3"/>
        <v>0</v>
      </c>
      <c r="S55" s="209">
        <f t="shared" si="4"/>
        <v>0</v>
      </c>
      <c r="T55" s="209">
        <f t="shared" si="20"/>
        <v>0</v>
      </c>
      <c r="U55" s="209">
        <f t="shared" si="21"/>
        <v>0</v>
      </c>
      <c r="V55" s="209">
        <f t="shared" si="7"/>
        <v>0</v>
      </c>
    </row>
    <row r="56" spans="2:22" ht="38.25">
      <c r="B56" s="213" t="s">
        <v>1625</v>
      </c>
      <c r="C56" s="205" t="s">
        <v>674</v>
      </c>
      <c r="D56" s="239" t="s">
        <v>1626</v>
      </c>
      <c r="E56" s="239">
        <v>2</v>
      </c>
      <c r="F56" s="180" t="s">
        <v>534</v>
      </c>
      <c r="G56" s="190">
        <v>9990001</v>
      </c>
      <c r="H56" s="184" t="s">
        <v>1627</v>
      </c>
      <c r="I56" s="209">
        <v>0</v>
      </c>
      <c r="J56" s="2549">
        <v>0</v>
      </c>
      <c r="K56" s="2347">
        <v>0</v>
      </c>
      <c r="L56" s="209">
        <f t="shared" ref="L56:O58" si="37">+K56</f>
        <v>0</v>
      </c>
      <c r="M56" s="209">
        <f t="shared" si="37"/>
        <v>0</v>
      </c>
      <c r="N56" s="209">
        <f t="shared" si="37"/>
        <v>0</v>
      </c>
      <c r="O56" s="209">
        <f t="shared" si="37"/>
        <v>0</v>
      </c>
      <c r="P56" s="1025">
        <v>0</v>
      </c>
      <c r="Q56" s="210"/>
      <c r="R56" s="209">
        <f t="shared" si="3"/>
        <v>0</v>
      </c>
      <c r="S56" s="209">
        <f t="shared" si="4"/>
        <v>0</v>
      </c>
      <c r="T56" s="209">
        <f t="shared" si="20"/>
        <v>0</v>
      </c>
      <c r="U56" s="209">
        <f t="shared" si="21"/>
        <v>0</v>
      </c>
      <c r="V56" s="192">
        <f t="shared" si="7"/>
        <v>0</v>
      </c>
    </row>
    <row r="57" spans="2:22" ht="12.75" customHeight="1">
      <c r="B57" s="214" t="s">
        <v>1507</v>
      </c>
      <c r="C57" s="214"/>
      <c r="D57" s="214"/>
      <c r="E57" s="214"/>
      <c r="F57" s="214"/>
      <c r="G57" s="214"/>
      <c r="H57" s="191" t="s">
        <v>1508</v>
      </c>
      <c r="I57" s="192">
        <v>0</v>
      </c>
      <c r="J57" s="2550">
        <v>0</v>
      </c>
      <c r="K57" s="2219">
        <v>0</v>
      </c>
      <c r="L57" s="192">
        <f t="shared" si="37"/>
        <v>0</v>
      </c>
      <c r="M57" s="192">
        <f t="shared" si="37"/>
        <v>0</v>
      </c>
      <c r="N57" s="192">
        <f t="shared" si="37"/>
        <v>0</v>
      </c>
      <c r="O57" s="192">
        <f t="shared" si="37"/>
        <v>0</v>
      </c>
      <c r="P57" s="1014">
        <v>0</v>
      </c>
      <c r="Q57" s="193"/>
      <c r="R57" s="192">
        <f t="shared" si="3"/>
        <v>0</v>
      </c>
      <c r="S57" s="192">
        <f t="shared" si="4"/>
        <v>0</v>
      </c>
      <c r="T57" s="192">
        <f t="shared" si="20"/>
        <v>0</v>
      </c>
      <c r="U57" s="192">
        <f t="shared" si="21"/>
        <v>0</v>
      </c>
      <c r="V57" s="192">
        <f t="shared" si="7"/>
        <v>0</v>
      </c>
    </row>
    <row r="58" spans="2:22" ht="12.75" customHeight="1">
      <c r="B58" s="214" t="s">
        <v>1509</v>
      </c>
      <c r="C58" s="214"/>
      <c r="D58" s="214"/>
      <c r="E58" s="214"/>
      <c r="F58" s="214"/>
      <c r="G58" s="214"/>
      <c r="H58" s="191" t="s">
        <v>1510</v>
      </c>
      <c r="I58" s="192">
        <v>0</v>
      </c>
      <c r="J58" s="2550">
        <v>0</v>
      </c>
      <c r="K58" s="2219">
        <v>0</v>
      </c>
      <c r="L58" s="192">
        <f t="shared" si="37"/>
        <v>0</v>
      </c>
      <c r="M58" s="192">
        <f t="shared" si="37"/>
        <v>0</v>
      </c>
      <c r="N58" s="192">
        <f t="shared" si="37"/>
        <v>0</v>
      </c>
      <c r="O58" s="192">
        <f t="shared" si="37"/>
        <v>0</v>
      </c>
      <c r="P58" s="1014">
        <v>0</v>
      </c>
      <c r="Q58" s="193"/>
      <c r="R58" s="192">
        <f t="shared" si="3"/>
        <v>0</v>
      </c>
      <c r="S58" s="192">
        <f t="shared" si="4"/>
        <v>0</v>
      </c>
      <c r="T58" s="192">
        <f t="shared" si="20"/>
        <v>0</v>
      </c>
      <c r="U58" s="192">
        <f t="shared" si="21"/>
        <v>0</v>
      </c>
      <c r="V58" s="192">
        <f t="shared" si="7"/>
        <v>0</v>
      </c>
    </row>
    <row r="59" spans="2:22" ht="12.75" customHeight="1">
      <c r="B59" s="208" t="s">
        <v>1628</v>
      </c>
      <c r="C59" s="208"/>
      <c r="D59" s="208"/>
      <c r="E59" s="208"/>
      <c r="F59" s="208"/>
      <c r="G59" s="208"/>
      <c r="H59" s="184" t="s">
        <v>1512</v>
      </c>
      <c r="I59" s="209">
        <f>SUM(I57:I58)</f>
        <v>0</v>
      </c>
      <c r="J59" s="2549">
        <v>0</v>
      </c>
      <c r="K59" s="2347">
        <f t="shared" ref="K59:P59" si="38">SUM(K57:K58)</f>
        <v>0</v>
      </c>
      <c r="L59" s="209">
        <f t="shared" si="38"/>
        <v>0</v>
      </c>
      <c r="M59" s="209">
        <f t="shared" si="38"/>
        <v>0</v>
      </c>
      <c r="N59" s="209">
        <f t="shared" si="38"/>
        <v>0</v>
      </c>
      <c r="O59" s="209">
        <f t="shared" si="38"/>
        <v>0</v>
      </c>
      <c r="P59" s="1025">
        <f t="shared" si="38"/>
        <v>0</v>
      </c>
      <c r="Q59" s="210"/>
      <c r="R59" s="209">
        <f t="shared" si="3"/>
        <v>0</v>
      </c>
      <c r="S59" s="209">
        <f t="shared" si="4"/>
        <v>0</v>
      </c>
      <c r="T59" s="209">
        <f t="shared" si="20"/>
        <v>0</v>
      </c>
      <c r="U59" s="209">
        <f t="shared" si="21"/>
        <v>0</v>
      </c>
      <c r="V59" s="209">
        <f t="shared" si="7"/>
        <v>0</v>
      </c>
    </row>
    <row r="60" spans="2:22">
      <c r="B60" s="214" t="s">
        <v>104</v>
      </c>
      <c r="C60" s="180" t="s">
        <v>512</v>
      </c>
      <c r="D60" s="239" t="s">
        <v>1629</v>
      </c>
      <c r="E60" s="239">
        <v>2</v>
      </c>
      <c r="F60" s="180" t="s">
        <v>534</v>
      </c>
      <c r="G60" s="190">
        <v>9990001</v>
      </c>
      <c r="H60" s="191" t="s">
        <v>1513</v>
      </c>
      <c r="I60" s="192">
        <f>900000</f>
        <v>900000</v>
      </c>
      <c r="J60" s="2550">
        <v>723600</v>
      </c>
      <c r="K60" s="2219">
        <f>900000</f>
        <v>900000</v>
      </c>
      <c r="L60" s="192">
        <f t="shared" ref="L60:O64" si="39">+K60</f>
        <v>900000</v>
      </c>
      <c r="M60" s="192">
        <f t="shared" si="39"/>
        <v>900000</v>
      </c>
      <c r="N60" s="192">
        <f t="shared" si="39"/>
        <v>900000</v>
      </c>
      <c r="O60" s="192">
        <f t="shared" si="39"/>
        <v>900000</v>
      </c>
      <c r="P60" s="3005">
        <v>740000</v>
      </c>
      <c r="Q60" s="193">
        <f t="shared" si="8"/>
        <v>0.82222222222222219</v>
      </c>
      <c r="R60" s="192">
        <f t="shared" si="3"/>
        <v>0</v>
      </c>
      <c r="S60" s="192">
        <f t="shared" si="4"/>
        <v>0</v>
      </c>
      <c r="T60" s="192">
        <f t="shared" si="20"/>
        <v>0</v>
      </c>
      <c r="U60" s="192">
        <f t="shared" si="21"/>
        <v>0</v>
      </c>
      <c r="V60" s="192">
        <f t="shared" si="7"/>
        <v>160000</v>
      </c>
    </row>
    <row r="61" spans="2:22">
      <c r="B61" s="214" t="s">
        <v>1514</v>
      </c>
      <c r="C61" s="180" t="s">
        <v>512</v>
      </c>
      <c r="D61" s="239" t="s">
        <v>1630</v>
      </c>
      <c r="E61" s="239">
        <v>2</v>
      </c>
      <c r="F61" s="180" t="s">
        <v>534</v>
      </c>
      <c r="G61" s="190">
        <v>9990001</v>
      </c>
      <c r="H61" s="191" t="s">
        <v>1515</v>
      </c>
      <c r="I61" s="192">
        <f>152400+7383780</f>
        <v>7536180</v>
      </c>
      <c r="J61" s="2550">
        <v>6743700</v>
      </c>
      <c r="K61" s="2219">
        <v>7453310</v>
      </c>
      <c r="L61" s="192">
        <f>+K61</f>
        <v>7453310</v>
      </c>
      <c r="M61" s="192">
        <f>+L61</f>
        <v>7453310</v>
      </c>
      <c r="N61" s="192">
        <f>+M61</f>
        <v>7453310</v>
      </c>
      <c r="O61" s="192">
        <f t="shared" si="39"/>
        <v>7453310</v>
      </c>
      <c r="P61" s="3005">
        <v>6870700</v>
      </c>
      <c r="Q61" s="193">
        <f t="shared" si="8"/>
        <v>0.92183204509137551</v>
      </c>
      <c r="R61" s="192">
        <f t="shared" si="3"/>
        <v>0</v>
      </c>
      <c r="S61" s="192">
        <f t="shared" si="4"/>
        <v>0</v>
      </c>
      <c r="T61" s="192">
        <f t="shared" si="20"/>
        <v>0</v>
      </c>
      <c r="U61" s="192">
        <f t="shared" si="21"/>
        <v>0</v>
      </c>
      <c r="V61" s="192">
        <f t="shared" si="7"/>
        <v>582610</v>
      </c>
    </row>
    <row r="62" spans="2:22" ht="15.75" customHeight="1">
      <c r="B62" s="530" t="s">
        <v>1631</v>
      </c>
      <c r="C62" s="197" t="s">
        <v>512</v>
      </c>
      <c r="D62" s="243" t="s">
        <v>1632</v>
      </c>
      <c r="E62" s="243">
        <v>2</v>
      </c>
      <c r="F62" s="197" t="s">
        <v>534</v>
      </c>
      <c r="G62" s="198">
        <v>9990001</v>
      </c>
      <c r="H62" s="204" t="s">
        <v>1517</v>
      </c>
      <c r="I62" s="199">
        <f>1380000</f>
        <v>1380000</v>
      </c>
      <c r="J62" s="2555">
        <v>1035000</v>
      </c>
      <c r="K62" s="2250">
        <f>230000+115000*11</f>
        <v>1495000</v>
      </c>
      <c r="L62" s="199">
        <f t="shared" si="39"/>
        <v>1495000</v>
      </c>
      <c r="M62" s="199">
        <f t="shared" si="39"/>
        <v>1495000</v>
      </c>
      <c r="N62" s="192">
        <f t="shared" si="39"/>
        <v>1495000</v>
      </c>
      <c r="O62" s="199">
        <f t="shared" si="39"/>
        <v>1495000</v>
      </c>
      <c r="P62" s="2237">
        <v>230000</v>
      </c>
      <c r="Q62" s="193">
        <f t="shared" si="8"/>
        <v>0.15384615384615385</v>
      </c>
      <c r="R62" s="192">
        <f t="shared" si="3"/>
        <v>0</v>
      </c>
      <c r="S62" s="192">
        <f t="shared" si="4"/>
        <v>0</v>
      </c>
      <c r="T62" s="192">
        <f t="shared" si="20"/>
        <v>0</v>
      </c>
      <c r="U62" s="192">
        <f t="shared" si="21"/>
        <v>0</v>
      </c>
      <c r="V62" s="192">
        <f t="shared" si="7"/>
        <v>1265000</v>
      </c>
    </row>
    <row r="63" spans="2:22" ht="18" customHeight="1">
      <c r="B63" s="530" t="s">
        <v>1633</v>
      </c>
      <c r="C63" s="197" t="s">
        <v>656</v>
      </c>
      <c r="D63" s="243" t="s">
        <v>1634</v>
      </c>
      <c r="E63" s="243">
        <v>2</v>
      </c>
      <c r="F63" s="197" t="s">
        <v>534</v>
      </c>
      <c r="G63" s="198">
        <v>9990001</v>
      </c>
      <c r="H63" s="204" t="s">
        <v>1517</v>
      </c>
      <c r="I63" s="199">
        <f>5000000+2000000-2000000</f>
        <v>5000000</v>
      </c>
      <c r="J63" s="2555">
        <v>234950</v>
      </c>
      <c r="K63" s="2219">
        <f>6500000-1500000</f>
        <v>5000000</v>
      </c>
      <c r="L63" s="199">
        <f t="shared" si="39"/>
        <v>5000000</v>
      </c>
      <c r="M63" s="199">
        <f>+L63-5000000</f>
        <v>0</v>
      </c>
      <c r="N63" s="192">
        <f t="shared" si="39"/>
        <v>0</v>
      </c>
      <c r="O63" s="199">
        <f t="shared" si="39"/>
        <v>0</v>
      </c>
      <c r="P63" s="2237">
        <v>0</v>
      </c>
      <c r="Q63" s="193"/>
      <c r="R63" s="192">
        <f t="shared" si="3"/>
        <v>0</v>
      </c>
      <c r="S63" s="192">
        <f t="shared" si="4"/>
        <v>-5000000</v>
      </c>
      <c r="T63" s="192">
        <f t="shared" si="20"/>
        <v>0</v>
      </c>
      <c r="U63" s="192">
        <f t="shared" si="21"/>
        <v>0</v>
      </c>
      <c r="V63" s="192">
        <f t="shared" si="7"/>
        <v>0</v>
      </c>
    </row>
    <row r="64" spans="2:22" ht="15" customHeight="1">
      <c r="B64" s="530" t="s">
        <v>1635</v>
      </c>
      <c r="C64" s="197" t="s">
        <v>512</v>
      </c>
      <c r="D64" s="243" t="s">
        <v>1636</v>
      </c>
      <c r="E64" s="243">
        <v>2</v>
      </c>
      <c r="F64" s="197" t="s">
        <v>534</v>
      </c>
      <c r="G64" s="198">
        <v>9990001</v>
      </c>
      <c r="H64" s="204" t="s">
        <v>1517</v>
      </c>
      <c r="I64" s="199">
        <f>7000000</f>
        <v>7000000</v>
      </c>
      <c r="J64" s="2555">
        <v>2171451</v>
      </c>
      <c r="K64" s="2250">
        <f>7000000</f>
        <v>7000000</v>
      </c>
      <c r="L64" s="199">
        <f t="shared" si="39"/>
        <v>7000000</v>
      </c>
      <c r="M64" s="199">
        <f t="shared" si="39"/>
        <v>7000000</v>
      </c>
      <c r="N64" s="199">
        <f>+M64-1873163</f>
        <v>5126837</v>
      </c>
      <c r="O64" s="199">
        <f t="shared" si="39"/>
        <v>5126837</v>
      </c>
      <c r="P64" s="2237">
        <f>2125014-32714</f>
        <v>2092300</v>
      </c>
      <c r="Q64" s="193">
        <f t="shared" si="8"/>
        <v>0.40810737692655336</v>
      </c>
      <c r="R64" s="192">
        <f t="shared" si="3"/>
        <v>0</v>
      </c>
      <c r="S64" s="192">
        <f t="shared" si="4"/>
        <v>0</v>
      </c>
      <c r="T64" s="192">
        <f t="shared" si="20"/>
        <v>-1873163</v>
      </c>
      <c r="U64" s="192">
        <f t="shared" si="21"/>
        <v>0</v>
      </c>
      <c r="V64" s="192">
        <f t="shared" si="7"/>
        <v>3034537</v>
      </c>
    </row>
    <row r="65" spans="2:22">
      <c r="B65" s="214" t="s">
        <v>1516</v>
      </c>
      <c r="C65" s="214"/>
      <c r="D65" s="214"/>
      <c r="E65" s="214"/>
      <c r="F65" s="214"/>
      <c r="G65" s="214"/>
      <c r="H65" s="191" t="s">
        <v>1517</v>
      </c>
      <c r="I65" s="192">
        <f t="shared" ref="I65:O65" si="40">SUM(I62:I64)</f>
        <v>13380000</v>
      </c>
      <c r="J65" s="2550">
        <f t="shared" si="40"/>
        <v>3441401</v>
      </c>
      <c r="K65" s="2219">
        <f t="shared" si="40"/>
        <v>13495000</v>
      </c>
      <c r="L65" s="192">
        <f t="shared" si="40"/>
        <v>13495000</v>
      </c>
      <c r="M65" s="192">
        <f t="shared" si="40"/>
        <v>8495000</v>
      </c>
      <c r="N65" s="192">
        <f t="shared" si="40"/>
        <v>6621837</v>
      </c>
      <c r="O65" s="192">
        <f t="shared" si="40"/>
        <v>6621837</v>
      </c>
      <c r="P65" s="1014">
        <f>SUM(P62:P64)</f>
        <v>2322300</v>
      </c>
      <c r="Q65" s="193">
        <f t="shared" si="8"/>
        <v>0.35070328671635981</v>
      </c>
      <c r="R65" s="192">
        <f t="shared" si="3"/>
        <v>0</v>
      </c>
      <c r="S65" s="192">
        <f t="shared" si="4"/>
        <v>-5000000</v>
      </c>
      <c r="T65" s="192">
        <f t="shared" si="20"/>
        <v>-1873163</v>
      </c>
      <c r="U65" s="192">
        <f t="shared" si="21"/>
        <v>0</v>
      </c>
      <c r="V65" s="192">
        <f t="shared" si="7"/>
        <v>4299537</v>
      </c>
    </row>
    <row r="66" spans="2:22">
      <c r="B66" s="208" t="s">
        <v>96</v>
      </c>
      <c r="C66" s="208"/>
      <c r="D66" s="208"/>
      <c r="E66" s="208"/>
      <c r="F66" s="208"/>
      <c r="G66" s="208"/>
      <c r="H66" s="184" t="s">
        <v>1518</v>
      </c>
      <c r="I66" s="209">
        <f>SUM(I60:I65)-I62-I63-I64</f>
        <v>21816180</v>
      </c>
      <c r="J66" s="2549">
        <f t="shared" ref="J66:O66" si="41">SUM(J60:J65)-J62-J63-J64</f>
        <v>10908701</v>
      </c>
      <c r="K66" s="2347">
        <f t="shared" si="41"/>
        <v>21848310</v>
      </c>
      <c r="L66" s="209">
        <f t="shared" si="41"/>
        <v>21848310</v>
      </c>
      <c r="M66" s="209">
        <f t="shared" si="41"/>
        <v>16848310</v>
      </c>
      <c r="N66" s="209">
        <f t="shared" si="41"/>
        <v>14975147</v>
      </c>
      <c r="O66" s="209">
        <f t="shared" si="41"/>
        <v>14975147</v>
      </c>
      <c r="P66" s="1025">
        <f>SUM(P60:P65)-P62-P63-P64</f>
        <v>9933000</v>
      </c>
      <c r="Q66" s="210">
        <f t="shared" si="8"/>
        <v>0.66329899799981928</v>
      </c>
      <c r="R66" s="209">
        <f t="shared" si="3"/>
        <v>0</v>
      </c>
      <c r="S66" s="209">
        <f t="shared" si="4"/>
        <v>-5000000</v>
      </c>
      <c r="T66" s="209">
        <f t="shared" si="20"/>
        <v>-1873163</v>
      </c>
      <c r="U66" s="209">
        <f t="shared" si="21"/>
        <v>0</v>
      </c>
      <c r="V66" s="209">
        <f t="shared" si="7"/>
        <v>5042147</v>
      </c>
    </row>
    <row r="67" spans="2:22">
      <c r="B67" s="214" t="s">
        <v>1519</v>
      </c>
      <c r="C67" s="214"/>
      <c r="D67" s="214"/>
      <c r="E67" s="214"/>
      <c r="F67" s="214"/>
      <c r="G67" s="214"/>
      <c r="H67" s="191" t="s">
        <v>1520</v>
      </c>
      <c r="I67" s="192">
        <v>0</v>
      </c>
      <c r="J67" s="2550">
        <v>0</v>
      </c>
      <c r="K67" s="2219">
        <v>0</v>
      </c>
      <c r="L67" s="192">
        <f t="shared" ref="L67:L82" si="42">+K67</f>
        <v>0</v>
      </c>
      <c r="M67" s="192">
        <f t="shared" ref="M67:M80" si="43">+L67</f>
        <v>0</v>
      </c>
      <c r="N67" s="192">
        <f t="shared" ref="N67:N81" si="44">+M67</f>
        <v>0</v>
      </c>
      <c r="O67" s="192">
        <f t="shared" ref="O67:O82" si="45">+N67</f>
        <v>0</v>
      </c>
      <c r="P67" s="1014">
        <v>0</v>
      </c>
      <c r="Q67" s="193"/>
      <c r="R67" s="192">
        <f t="shared" si="3"/>
        <v>0</v>
      </c>
      <c r="S67" s="192">
        <f t="shared" si="4"/>
        <v>0</v>
      </c>
      <c r="T67" s="192">
        <f t="shared" si="20"/>
        <v>0</v>
      </c>
      <c r="U67" s="192">
        <f t="shared" si="21"/>
        <v>0</v>
      </c>
      <c r="V67" s="192">
        <f t="shared" si="7"/>
        <v>0</v>
      </c>
    </row>
    <row r="68" spans="2:22">
      <c r="B68" s="214" t="s">
        <v>1521</v>
      </c>
      <c r="C68" s="180" t="s">
        <v>512</v>
      </c>
      <c r="D68" s="239" t="s">
        <v>1637</v>
      </c>
      <c r="E68" s="239">
        <v>2</v>
      </c>
      <c r="F68" s="180" t="s">
        <v>534</v>
      </c>
      <c r="G68" s="190">
        <v>9990001</v>
      </c>
      <c r="H68" s="191" t="s">
        <v>1522</v>
      </c>
      <c r="I68" s="192">
        <f>2000000</f>
        <v>2000000</v>
      </c>
      <c r="J68" s="2550">
        <v>3383709</v>
      </c>
      <c r="K68" s="2219">
        <v>2589800</v>
      </c>
      <c r="L68" s="192">
        <f t="shared" si="42"/>
        <v>2589800</v>
      </c>
      <c r="M68" s="192">
        <f t="shared" si="43"/>
        <v>2589800</v>
      </c>
      <c r="N68" s="192">
        <f>+M68+1873163</f>
        <v>4462963</v>
      </c>
      <c r="O68" s="192">
        <f t="shared" si="45"/>
        <v>4462963</v>
      </c>
      <c r="P68" s="3005">
        <v>4462963</v>
      </c>
      <c r="Q68" s="193">
        <f t="shared" si="8"/>
        <v>1</v>
      </c>
      <c r="R68" s="192">
        <f t="shared" si="3"/>
        <v>0</v>
      </c>
      <c r="S68" s="192">
        <f t="shared" si="4"/>
        <v>0</v>
      </c>
      <c r="T68" s="192">
        <f t="shared" si="20"/>
        <v>1873163</v>
      </c>
      <c r="U68" s="192">
        <f t="shared" si="21"/>
        <v>0</v>
      </c>
      <c r="V68" s="192">
        <f t="shared" si="7"/>
        <v>0</v>
      </c>
    </row>
    <row r="69" spans="2:22">
      <c r="B69" s="214" t="s">
        <v>1523</v>
      </c>
      <c r="C69" s="180"/>
      <c r="D69" s="239"/>
      <c r="E69" s="239"/>
      <c r="F69" s="180"/>
      <c r="G69" s="190"/>
      <c r="H69" s="191" t="s">
        <v>1524</v>
      </c>
      <c r="I69" s="532">
        <v>0</v>
      </c>
      <c r="J69" s="2550">
        <v>0</v>
      </c>
      <c r="K69" s="2348">
        <v>0</v>
      </c>
      <c r="L69" s="192">
        <f t="shared" si="42"/>
        <v>0</v>
      </c>
      <c r="M69" s="192">
        <f t="shared" si="43"/>
        <v>0</v>
      </c>
      <c r="N69" s="192">
        <f t="shared" si="44"/>
        <v>0</v>
      </c>
      <c r="O69" s="192">
        <f t="shared" si="45"/>
        <v>0</v>
      </c>
      <c r="P69" s="1014">
        <v>0</v>
      </c>
      <c r="Q69" s="533"/>
      <c r="R69" s="532">
        <f t="shared" si="3"/>
        <v>0</v>
      </c>
      <c r="S69" s="532">
        <f t="shared" si="4"/>
        <v>0</v>
      </c>
      <c r="T69" s="532">
        <f t="shared" si="20"/>
        <v>0</v>
      </c>
      <c r="U69" s="532">
        <f t="shared" si="21"/>
        <v>0</v>
      </c>
      <c r="V69" s="532">
        <f t="shared" si="7"/>
        <v>0</v>
      </c>
    </row>
    <row r="70" spans="2:22">
      <c r="B70" s="530" t="s">
        <v>1638</v>
      </c>
      <c r="C70" s="180" t="s">
        <v>730</v>
      </c>
      <c r="D70" s="239" t="s">
        <v>1639</v>
      </c>
      <c r="E70" s="239">
        <v>2</v>
      </c>
      <c r="F70" s="180" t="s">
        <v>534</v>
      </c>
      <c r="G70" s="190">
        <v>9990001</v>
      </c>
      <c r="H70" s="191" t="s">
        <v>1640</v>
      </c>
      <c r="I70" s="199">
        <f>17000000</f>
        <v>17000000</v>
      </c>
      <c r="J70" s="2550">
        <v>16986090</v>
      </c>
      <c r="K70" s="2250">
        <v>17680000</v>
      </c>
      <c r="L70" s="199">
        <f t="shared" si="42"/>
        <v>17680000</v>
      </c>
      <c r="M70" s="199">
        <f t="shared" si="43"/>
        <v>17680000</v>
      </c>
      <c r="N70" s="199">
        <f>+M70+3500000</f>
        <v>21180000</v>
      </c>
      <c r="O70" s="199">
        <f t="shared" si="45"/>
        <v>21180000</v>
      </c>
      <c r="P70" s="2237">
        <v>20642829</v>
      </c>
      <c r="Q70" s="534">
        <f t="shared" si="8"/>
        <v>0.97463781869688382</v>
      </c>
      <c r="R70" s="535">
        <f t="shared" si="3"/>
        <v>0</v>
      </c>
      <c r="S70" s="535">
        <f t="shared" si="4"/>
        <v>0</v>
      </c>
      <c r="T70" s="535">
        <f t="shared" si="20"/>
        <v>3500000</v>
      </c>
      <c r="U70" s="535">
        <f t="shared" si="21"/>
        <v>0</v>
      </c>
      <c r="V70" s="535">
        <f t="shared" si="7"/>
        <v>537171</v>
      </c>
    </row>
    <row r="71" spans="2:22">
      <c r="B71" s="530" t="s">
        <v>1641</v>
      </c>
      <c r="C71" s="180" t="s">
        <v>730</v>
      </c>
      <c r="D71" s="239" t="s">
        <v>1642</v>
      </c>
      <c r="E71" s="239">
        <v>2</v>
      </c>
      <c r="F71" s="180" t="s">
        <v>534</v>
      </c>
      <c r="G71" s="190">
        <v>9990001</v>
      </c>
      <c r="H71" s="191" t="s">
        <v>1525</v>
      </c>
      <c r="I71" s="199">
        <f>700000</f>
        <v>700000</v>
      </c>
      <c r="J71" s="2550">
        <v>392340</v>
      </c>
      <c r="K71" s="2250">
        <f>700000</f>
        <v>700000</v>
      </c>
      <c r="L71" s="199">
        <f t="shared" si="42"/>
        <v>700000</v>
      </c>
      <c r="M71" s="199">
        <f t="shared" si="43"/>
        <v>700000</v>
      </c>
      <c r="N71" s="199">
        <f t="shared" si="44"/>
        <v>700000</v>
      </c>
      <c r="O71" s="199">
        <f t="shared" si="45"/>
        <v>700000</v>
      </c>
      <c r="P71" s="2237">
        <v>392340</v>
      </c>
      <c r="Q71" s="534">
        <f t="shared" si="8"/>
        <v>0.56048571428571425</v>
      </c>
      <c r="R71" s="535">
        <f t="shared" si="3"/>
        <v>0</v>
      </c>
      <c r="S71" s="535">
        <f t="shared" si="4"/>
        <v>0</v>
      </c>
      <c r="T71" s="535">
        <f t="shared" si="20"/>
        <v>0</v>
      </c>
      <c r="U71" s="535">
        <f t="shared" si="21"/>
        <v>0</v>
      </c>
      <c r="V71" s="192">
        <f t="shared" si="7"/>
        <v>307660</v>
      </c>
    </row>
    <row r="72" spans="2:22" ht="25.5">
      <c r="B72" s="531" t="s">
        <v>1643</v>
      </c>
      <c r="C72" s="180" t="s">
        <v>736</v>
      </c>
      <c r="D72" s="239" t="s">
        <v>1644</v>
      </c>
      <c r="E72" s="239">
        <v>2</v>
      </c>
      <c r="F72" s="180" t="s">
        <v>751</v>
      </c>
      <c r="G72" s="190">
        <v>680002</v>
      </c>
      <c r="H72" s="191" t="s">
        <v>1525</v>
      </c>
      <c r="I72" s="535">
        <v>0</v>
      </c>
      <c r="J72" s="2550">
        <v>0</v>
      </c>
      <c r="K72" s="2349">
        <v>0</v>
      </c>
      <c r="L72" s="199">
        <f t="shared" si="42"/>
        <v>0</v>
      </c>
      <c r="M72" s="199">
        <f t="shared" si="43"/>
        <v>0</v>
      </c>
      <c r="N72" s="199">
        <f t="shared" si="44"/>
        <v>0</v>
      </c>
      <c r="O72" s="199">
        <f t="shared" si="45"/>
        <v>0</v>
      </c>
      <c r="P72" s="1011">
        <v>0</v>
      </c>
      <c r="Q72" s="534"/>
      <c r="R72" s="535">
        <f t="shared" si="3"/>
        <v>0</v>
      </c>
      <c r="S72" s="535">
        <f t="shared" si="4"/>
        <v>0</v>
      </c>
      <c r="T72" s="535">
        <f t="shared" si="20"/>
        <v>0</v>
      </c>
      <c r="U72" s="535">
        <f t="shared" si="21"/>
        <v>0</v>
      </c>
      <c r="V72" s="192">
        <f t="shared" ref="V72:V135" si="46">+N72-P72</f>
        <v>0</v>
      </c>
    </row>
    <row r="73" spans="2:22">
      <c r="B73" s="530" t="s">
        <v>1645</v>
      </c>
      <c r="C73" s="180" t="s">
        <v>736</v>
      </c>
      <c r="D73" s="239" t="s">
        <v>1646</v>
      </c>
      <c r="E73" s="239">
        <v>2</v>
      </c>
      <c r="F73" s="180" t="s">
        <v>751</v>
      </c>
      <c r="G73" s="190">
        <v>680002</v>
      </c>
      <c r="H73" s="191" t="s">
        <v>1525</v>
      </c>
      <c r="I73" s="535">
        <v>0</v>
      </c>
      <c r="J73" s="2550">
        <v>0</v>
      </c>
      <c r="K73" s="2349">
        <v>0</v>
      </c>
      <c r="L73" s="199">
        <f t="shared" si="42"/>
        <v>0</v>
      </c>
      <c r="M73" s="199">
        <f t="shared" si="43"/>
        <v>0</v>
      </c>
      <c r="N73" s="199">
        <f t="shared" si="44"/>
        <v>0</v>
      </c>
      <c r="O73" s="199">
        <f t="shared" si="45"/>
        <v>0</v>
      </c>
      <c r="P73" s="1011">
        <v>0</v>
      </c>
      <c r="Q73" s="534"/>
      <c r="R73" s="535">
        <f t="shared" si="3"/>
        <v>0</v>
      </c>
      <c r="S73" s="535">
        <f t="shared" si="4"/>
        <v>0</v>
      </c>
      <c r="T73" s="535">
        <f t="shared" si="20"/>
        <v>0</v>
      </c>
      <c r="U73" s="535">
        <f t="shared" si="21"/>
        <v>0</v>
      </c>
      <c r="V73" s="192">
        <f t="shared" si="46"/>
        <v>0</v>
      </c>
    </row>
    <row r="74" spans="2:22">
      <c r="B74" s="530" t="s">
        <v>1647</v>
      </c>
      <c r="C74" s="180" t="s">
        <v>736</v>
      </c>
      <c r="D74" s="239" t="s">
        <v>1648</v>
      </c>
      <c r="E74" s="239">
        <v>2</v>
      </c>
      <c r="F74" s="180" t="s">
        <v>751</v>
      </c>
      <c r="G74" s="190">
        <v>680002</v>
      </c>
      <c r="H74" s="191" t="s">
        <v>1525</v>
      </c>
      <c r="I74" s="535">
        <v>0</v>
      </c>
      <c r="J74" s="2550">
        <v>0</v>
      </c>
      <c r="K74" s="2349">
        <v>0</v>
      </c>
      <c r="L74" s="199">
        <f t="shared" si="42"/>
        <v>0</v>
      </c>
      <c r="M74" s="199">
        <f t="shared" si="43"/>
        <v>0</v>
      </c>
      <c r="N74" s="199">
        <f t="shared" si="44"/>
        <v>0</v>
      </c>
      <c r="O74" s="199">
        <f t="shared" si="45"/>
        <v>0</v>
      </c>
      <c r="P74" s="1011">
        <v>0</v>
      </c>
      <c r="Q74" s="534"/>
      <c r="R74" s="535"/>
      <c r="S74" s="535"/>
      <c r="T74" s="535"/>
      <c r="U74" s="535">
        <f t="shared" si="21"/>
        <v>0</v>
      </c>
      <c r="V74" s="192">
        <f t="shared" si="46"/>
        <v>0</v>
      </c>
    </row>
    <row r="75" spans="2:22">
      <c r="B75" s="530" t="s">
        <v>1649</v>
      </c>
      <c r="C75" s="180" t="s">
        <v>730</v>
      </c>
      <c r="D75" s="239" t="s">
        <v>1650</v>
      </c>
      <c r="E75" s="239">
        <v>2</v>
      </c>
      <c r="F75" s="180" t="s">
        <v>534</v>
      </c>
      <c r="G75" s="190">
        <v>9990001</v>
      </c>
      <c r="H75" s="191" t="s">
        <v>1525</v>
      </c>
      <c r="I75" s="199">
        <v>0</v>
      </c>
      <c r="J75" s="2550">
        <v>0</v>
      </c>
      <c r="K75" s="2250">
        <v>0</v>
      </c>
      <c r="L75" s="199">
        <f t="shared" si="42"/>
        <v>0</v>
      </c>
      <c r="M75" s="199">
        <f t="shared" si="43"/>
        <v>0</v>
      </c>
      <c r="N75" s="199">
        <f t="shared" si="44"/>
        <v>0</v>
      </c>
      <c r="O75" s="199">
        <f t="shared" si="45"/>
        <v>0</v>
      </c>
      <c r="P75" s="1011">
        <v>0</v>
      </c>
      <c r="Q75" s="534"/>
      <c r="R75" s="535">
        <f t="shared" ref="R75:R122" si="47">+L75-K75</f>
        <v>0</v>
      </c>
      <c r="S75" s="535">
        <f t="shared" ref="S75:S125" si="48">+M75-L75</f>
        <v>0</v>
      </c>
      <c r="T75" s="535">
        <f t="shared" ref="T75:T125" si="49">+N75-M75</f>
        <v>0</v>
      </c>
      <c r="U75" s="535">
        <f t="shared" si="21"/>
        <v>0</v>
      </c>
      <c r="V75" s="192">
        <f t="shared" si="46"/>
        <v>0</v>
      </c>
    </row>
    <row r="76" spans="2:22">
      <c r="B76" s="530" t="s">
        <v>1651</v>
      </c>
      <c r="C76" s="180" t="s">
        <v>512</v>
      </c>
      <c r="D76" s="239" t="s">
        <v>1652</v>
      </c>
      <c r="E76" s="239">
        <v>2</v>
      </c>
      <c r="F76" s="180" t="s">
        <v>534</v>
      </c>
      <c r="G76" s="190">
        <v>9990001</v>
      </c>
      <c r="H76" s="191" t="s">
        <v>1525</v>
      </c>
      <c r="I76" s="535">
        <f>0</f>
        <v>0</v>
      </c>
      <c r="J76" s="2550">
        <v>0</v>
      </c>
      <c r="K76" s="2350">
        <f>0</f>
        <v>0</v>
      </c>
      <c r="L76" s="199">
        <f t="shared" si="42"/>
        <v>0</v>
      </c>
      <c r="M76" s="199">
        <f t="shared" si="43"/>
        <v>0</v>
      </c>
      <c r="N76" s="199">
        <f t="shared" si="44"/>
        <v>0</v>
      </c>
      <c r="O76" s="199">
        <f t="shared" si="45"/>
        <v>0</v>
      </c>
      <c r="P76" s="1011">
        <v>0</v>
      </c>
      <c r="Q76" s="534"/>
      <c r="R76" s="535">
        <f t="shared" si="47"/>
        <v>0</v>
      </c>
      <c r="S76" s="535">
        <f t="shared" si="48"/>
        <v>0</v>
      </c>
      <c r="T76" s="535">
        <f t="shared" si="49"/>
        <v>0</v>
      </c>
      <c r="U76" s="535">
        <f t="shared" si="21"/>
        <v>0</v>
      </c>
      <c r="V76" s="192">
        <f t="shared" si="46"/>
        <v>0</v>
      </c>
    </row>
    <row r="77" spans="2:22">
      <c r="B77" s="530" t="s">
        <v>1653</v>
      </c>
      <c r="C77" s="180" t="s">
        <v>656</v>
      </c>
      <c r="D77" s="239" t="s">
        <v>1654</v>
      </c>
      <c r="E77" s="239">
        <v>4</v>
      </c>
      <c r="F77" s="180" t="s">
        <v>1655</v>
      </c>
      <c r="G77" s="198">
        <v>750000</v>
      </c>
      <c r="H77" s="191" t="s">
        <v>1525</v>
      </c>
      <c r="I77" s="535">
        <v>1000000</v>
      </c>
      <c r="J77" s="2611">
        <v>600000</v>
      </c>
      <c r="K77" s="2349">
        <f>1000000-500000</f>
        <v>500000</v>
      </c>
      <c r="L77" s="1783">
        <f>+K77+100000</f>
        <v>600000</v>
      </c>
      <c r="M77" s="199">
        <f t="shared" si="43"/>
        <v>600000</v>
      </c>
      <c r="N77" s="199">
        <f t="shared" si="44"/>
        <v>600000</v>
      </c>
      <c r="O77" s="199">
        <f t="shared" si="45"/>
        <v>600000</v>
      </c>
      <c r="P77" s="2237">
        <v>600000</v>
      </c>
      <c r="Q77" s="534">
        <f t="shared" ref="Q77:Q126" si="50">+P77/N77</f>
        <v>1</v>
      </c>
      <c r="R77" s="535">
        <f t="shared" si="47"/>
        <v>100000</v>
      </c>
      <c r="S77" s="535">
        <f t="shared" si="48"/>
        <v>0</v>
      </c>
      <c r="T77" s="535">
        <f t="shared" si="49"/>
        <v>0</v>
      </c>
      <c r="U77" s="535">
        <f t="shared" si="21"/>
        <v>0</v>
      </c>
      <c r="V77" s="192">
        <f t="shared" si="46"/>
        <v>0</v>
      </c>
    </row>
    <row r="78" spans="2:22" ht="25.5">
      <c r="B78" s="530" t="s">
        <v>3891</v>
      </c>
      <c r="C78" s="180" t="s">
        <v>656</v>
      </c>
      <c r="D78" s="239" t="s">
        <v>1656</v>
      </c>
      <c r="E78" s="239">
        <v>4</v>
      </c>
      <c r="F78" s="180" t="s">
        <v>534</v>
      </c>
      <c r="G78" s="190">
        <v>9990001</v>
      </c>
      <c r="H78" s="191" t="s">
        <v>1525</v>
      </c>
      <c r="I78" s="535">
        <f>0+1000000</f>
        <v>1000000</v>
      </c>
      <c r="J78" s="2611">
        <v>0</v>
      </c>
      <c r="K78" s="2349">
        <f>0</f>
        <v>0</v>
      </c>
      <c r="L78" s="1783">
        <f t="shared" si="42"/>
        <v>0</v>
      </c>
      <c r="M78" s="199">
        <f>+L78+1873464</f>
        <v>1873464</v>
      </c>
      <c r="N78" s="199">
        <f>+M78+2000000</f>
        <v>3873464</v>
      </c>
      <c r="O78" s="199">
        <f t="shared" si="45"/>
        <v>3873464</v>
      </c>
      <c r="P78" s="2237">
        <f>0+1873464</f>
        <v>1873464</v>
      </c>
      <c r="Q78" s="534">
        <f t="shared" si="50"/>
        <v>0.483666299725517</v>
      </c>
      <c r="R78" s="535">
        <f t="shared" si="47"/>
        <v>0</v>
      </c>
      <c r="S78" s="535">
        <f t="shared" si="48"/>
        <v>1873464</v>
      </c>
      <c r="T78" s="535">
        <f t="shared" si="49"/>
        <v>2000000</v>
      </c>
      <c r="U78" s="535">
        <f t="shared" si="21"/>
        <v>0</v>
      </c>
      <c r="V78" s="192">
        <f t="shared" si="46"/>
        <v>2000000</v>
      </c>
    </row>
    <row r="79" spans="2:22">
      <c r="B79" s="530" t="s">
        <v>79</v>
      </c>
      <c r="C79" s="180" t="s">
        <v>656</v>
      </c>
      <c r="D79" s="239" t="s">
        <v>1657</v>
      </c>
      <c r="E79" s="239">
        <v>4</v>
      </c>
      <c r="F79" s="180" t="s">
        <v>534</v>
      </c>
      <c r="G79" s="190">
        <v>9990001</v>
      </c>
      <c r="H79" s="191" t="s">
        <v>1525</v>
      </c>
      <c r="I79" s="535">
        <f>1500000-1000000</f>
        <v>500000</v>
      </c>
      <c r="J79" s="2611">
        <v>0</v>
      </c>
      <c r="K79" s="2349">
        <f>500000</f>
        <v>500000</v>
      </c>
      <c r="L79" s="1783">
        <f t="shared" si="42"/>
        <v>500000</v>
      </c>
      <c r="M79" s="199">
        <f t="shared" si="43"/>
        <v>500000</v>
      </c>
      <c r="N79" s="199">
        <f>+M79</f>
        <v>500000</v>
      </c>
      <c r="O79" s="199">
        <f t="shared" si="45"/>
        <v>500000</v>
      </c>
      <c r="P79" s="2237">
        <v>0</v>
      </c>
      <c r="Q79" s="534">
        <f t="shared" si="50"/>
        <v>0</v>
      </c>
      <c r="R79" s="535">
        <f t="shared" si="47"/>
        <v>0</v>
      </c>
      <c r="S79" s="535">
        <f t="shared" si="48"/>
        <v>0</v>
      </c>
      <c r="T79" s="535">
        <f t="shared" si="49"/>
        <v>0</v>
      </c>
      <c r="U79" s="535">
        <f t="shared" si="21"/>
        <v>0</v>
      </c>
      <c r="V79" s="192">
        <f t="shared" si="46"/>
        <v>500000</v>
      </c>
    </row>
    <row r="80" spans="2:22">
      <c r="B80" s="530" t="s">
        <v>80</v>
      </c>
      <c r="C80" s="180" t="s">
        <v>656</v>
      </c>
      <c r="D80" s="239" t="s">
        <v>1658</v>
      </c>
      <c r="E80" s="239">
        <v>4</v>
      </c>
      <c r="F80" s="180" t="s">
        <v>534</v>
      </c>
      <c r="G80" s="190">
        <v>9990001</v>
      </c>
      <c r="H80" s="191" t="s">
        <v>1525</v>
      </c>
      <c r="I80" s="535">
        <v>1000000</v>
      </c>
      <c r="J80" s="2611">
        <v>0</v>
      </c>
      <c r="K80" s="2349">
        <f>1000000</f>
        <v>1000000</v>
      </c>
      <c r="L80" s="1783">
        <f t="shared" si="42"/>
        <v>1000000</v>
      </c>
      <c r="M80" s="199">
        <f t="shared" si="43"/>
        <v>1000000</v>
      </c>
      <c r="N80" s="199">
        <f>+M80</f>
        <v>1000000</v>
      </c>
      <c r="O80" s="199">
        <f t="shared" si="45"/>
        <v>1000000</v>
      </c>
      <c r="P80" s="2237">
        <v>0</v>
      </c>
      <c r="Q80" s="534">
        <f t="shared" si="50"/>
        <v>0</v>
      </c>
      <c r="R80" s="535">
        <f t="shared" si="47"/>
        <v>0</v>
      </c>
      <c r="S80" s="535">
        <f t="shared" si="48"/>
        <v>0</v>
      </c>
      <c r="T80" s="535">
        <f t="shared" si="49"/>
        <v>0</v>
      </c>
      <c r="U80" s="535">
        <f t="shared" si="21"/>
        <v>0</v>
      </c>
      <c r="V80" s="192">
        <f t="shared" si="46"/>
        <v>1000000</v>
      </c>
    </row>
    <row r="81" spans="2:22">
      <c r="B81" s="530" t="s">
        <v>78</v>
      </c>
      <c r="C81" s="180" t="s">
        <v>656</v>
      </c>
      <c r="D81" s="239" t="s">
        <v>1659</v>
      </c>
      <c r="E81" s="239">
        <v>4</v>
      </c>
      <c r="F81" s="180" t="s">
        <v>534</v>
      </c>
      <c r="G81" s="190">
        <v>9990001</v>
      </c>
      <c r="H81" s="191" t="s">
        <v>1525</v>
      </c>
      <c r="I81" s="535">
        <v>1500000</v>
      </c>
      <c r="J81" s="2611">
        <v>0</v>
      </c>
      <c r="K81" s="2349">
        <f>1500000</f>
        <v>1500000</v>
      </c>
      <c r="L81" s="1783">
        <f>+K81-100000</f>
        <v>1400000</v>
      </c>
      <c r="M81" s="199">
        <f>+L81+100000</f>
        <v>1500000</v>
      </c>
      <c r="N81" s="199">
        <f t="shared" si="44"/>
        <v>1500000</v>
      </c>
      <c r="O81" s="199">
        <f t="shared" si="45"/>
        <v>1500000</v>
      </c>
      <c r="P81" s="2237">
        <v>38176</v>
      </c>
      <c r="Q81" s="534">
        <f t="shared" si="50"/>
        <v>2.5450666666666667E-2</v>
      </c>
      <c r="R81" s="535">
        <f t="shared" si="47"/>
        <v>-100000</v>
      </c>
      <c r="S81" s="535">
        <f t="shared" si="48"/>
        <v>100000</v>
      </c>
      <c r="T81" s="535">
        <f t="shared" si="49"/>
        <v>0</v>
      </c>
      <c r="U81" s="535">
        <f t="shared" si="21"/>
        <v>0</v>
      </c>
      <c r="V81" s="192">
        <f t="shared" si="46"/>
        <v>1461824</v>
      </c>
    </row>
    <row r="82" spans="2:22" ht="25.5">
      <c r="B82" s="530" t="s">
        <v>1660</v>
      </c>
      <c r="C82" s="180" t="s">
        <v>512</v>
      </c>
      <c r="D82" s="239" t="s">
        <v>1661</v>
      </c>
      <c r="E82" s="239">
        <v>2</v>
      </c>
      <c r="F82" s="180" t="s">
        <v>534</v>
      </c>
      <c r="G82" s="190">
        <v>9990001</v>
      </c>
      <c r="H82" s="191" t="s">
        <v>1525</v>
      </c>
      <c r="I82" s="535">
        <f>15*38650</f>
        <v>579750</v>
      </c>
      <c r="J82" s="2550">
        <v>231900</v>
      </c>
      <c r="K82" s="2349">
        <f>15*38650</f>
        <v>579750</v>
      </c>
      <c r="L82" s="199">
        <f t="shared" si="42"/>
        <v>579750</v>
      </c>
      <c r="M82" s="199">
        <f>+L82</f>
        <v>579750</v>
      </c>
      <c r="N82" s="199">
        <f>+M82</f>
        <v>579750</v>
      </c>
      <c r="O82" s="199">
        <f t="shared" si="45"/>
        <v>579750</v>
      </c>
      <c r="P82" s="2237">
        <v>119815</v>
      </c>
      <c r="Q82" s="534">
        <f t="shared" si="50"/>
        <v>0.20666666666666667</v>
      </c>
      <c r="R82" s="535">
        <f t="shared" si="47"/>
        <v>0</v>
      </c>
      <c r="S82" s="535">
        <f t="shared" si="48"/>
        <v>0</v>
      </c>
      <c r="T82" s="535">
        <f t="shared" si="49"/>
        <v>0</v>
      </c>
      <c r="U82" s="535">
        <f t="shared" si="21"/>
        <v>0</v>
      </c>
      <c r="V82" s="535">
        <f t="shared" si="46"/>
        <v>459935</v>
      </c>
    </row>
    <row r="83" spans="2:22">
      <c r="B83" s="214" t="s">
        <v>77</v>
      </c>
      <c r="C83" s="214"/>
      <c r="D83" s="214"/>
      <c r="E83" s="214"/>
      <c r="F83" s="214"/>
      <c r="G83" s="214"/>
      <c r="H83" s="191" t="s">
        <v>1525</v>
      </c>
      <c r="I83" s="192">
        <f>SUM(I70:I82)</f>
        <v>23279750</v>
      </c>
      <c r="J83" s="2550">
        <f t="shared" ref="J83:O83" si="51">SUM(J70:J82)</f>
        <v>18210330</v>
      </c>
      <c r="K83" s="2219">
        <f>SUM(K70:K82)</f>
        <v>22459750</v>
      </c>
      <c r="L83" s="192">
        <f t="shared" si="51"/>
        <v>22459750</v>
      </c>
      <c r="M83" s="192">
        <f t="shared" si="51"/>
        <v>24433214</v>
      </c>
      <c r="N83" s="192">
        <f t="shared" si="51"/>
        <v>29933214</v>
      </c>
      <c r="O83" s="192">
        <f t="shared" si="51"/>
        <v>29933214</v>
      </c>
      <c r="P83" s="1014">
        <f>SUM(P70:P82)</f>
        <v>23666624</v>
      </c>
      <c r="Q83" s="193">
        <f t="shared" si="50"/>
        <v>0.79064760636796305</v>
      </c>
      <c r="R83" s="192">
        <f t="shared" si="47"/>
        <v>0</v>
      </c>
      <c r="S83" s="192">
        <f t="shared" si="48"/>
        <v>1973464</v>
      </c>
      <c r="T83" s="192">
        <f t="shared" si="49"/>
        <v>5500000</v>
      </c>
      <c r="U83" s="192">
        <f t="shared" si="21"/>
        <v>0</v>
      </c>
      <c r="V83" s="192">
        <f t="shared" si="46"/>
        <v>6266590</v>
      </c>
    </row>
    <row r="84" spans="2:22">
      <c r="B84" s="208" t="s">
        <v>74</v>
      </c>
      <c r="C84" s="208"/>
      <c r="D84" s="208"/>
      <c r="E84" s="208"/>
      <c r="F84" s="208"/>
      <c r="G84" s="208"/>
      <c r="H84" s="184" t="s">
        <v>1527</v>
      </c>
      <c r="I84" s="209">
        <f>SUM(I67:I83)-I83</f>
        <v>25279750</v>
      </c>
      <c r="J84" s="2549">
        <f t="shared" ref="J84:O84" si="52">SUM(J67:J83)-J83</f>
        <v>21594039</v>
      </c>
      <c r="K84" s="2347">
        <f t="shared" si="52"/>
        <v>25049550</v>
      </c>
      <c r="L84" s="209">
        <f t="shared" si="52"/>
        <v>25049550</v>
      </c>
      <c r="M84" s="209">
        <f t="shared" si="52"/>
        <v>27023014</v>
      </c>
      <c r="N84" s="209">
        <f t="shared" si="52"/>
        <v>34396177</v>
      </c>
      <c r="O84" s="209">
        <f t="shared" si="52"/>
        <v>34396177</v>
      </c>
      <c r="P84" s="1025">
        <f>SUM(P67:P83)-P83</f>
        <v>28129587</v>
      </c>
      <c r="Q84" s="210">
        <f t="shared" si="50"/>
        <v>0.81781143875378937</v>
      </c>
      <c r="R84" s="209">
        <f t="shared" si="47"/>
        <v>0</v>
      </c>
      <c r="S84" s="209">
        <f t="shared" si="48"/>
        <v>1973464</v>
      </c>
      <c r="T84" s="209">
        <f t="shared" si="49"/>
        <v>7373163</v>
      </c>
      <c r="U84" s="209">
        <f t="shared" si="21"/>
        <v>0</v>
      </c>
      <c r="V84" s="209">
        <f t="shared" si="46"/>
        <v>6266590</v>
      </c>
    </row>
    <row r="85" spans="2:22">
      <c r="B85" s="208" t="s">
        <v>1662</v>
      </c>
      <c r="C85" s="208"/>
      <c r="D85" s="208"/>
      <c r="E85" s="208"/>
      <c r="F85" s="208"/>
      <c r="G85" s="208"/>
      <c r="H85" s="184" t="s">
        <v>1529</v>
      </c>
      <c r="I85" s="209">
        <f>+I52+I53+I55+I56+I59+I66+I84</f>
        <v>102595930</v>
      </c>
      <c r="J85" s="2549">
        <f t="shared" ref="J85:P85" si="53">+J52+J53+J55+J56+J59+J66+J84</f>
        <v>77212265</v>
      </c>
      <c r="K85" s="2347">
        <f t="shared" si="53"/>
        <v>94897860</v>
      </c>
      <c r="L85" s="209">
        <f t="shared" si="53"/>
        <v>71897860</v>
      </c>
      <c r="M85" s="209">
        <f t="shared" si="53"/>
        <v>71973254</v>
      </c>
      <c r="N85" s="209">
        <f t="shared" si="53"/>
        <v>78473254</v>
      </c>
      <c r="O85" s="209">
        <f t="shared" si="53"/>
        <v>78473254</v>
      </c>
      <c r="P85" s="1025">
        <f t="shared" si="53"/>
        <v>59859925</v>
      </c>
      <c r="Q85" s="210">
        <f t="shared" si="50"/>
        <v>0.7628067137371416</v>
      </c>
      <c r="R85" s="209">
        <f t="shared" si="47"/>
        <v>-23000000</v>
      </c>
      <c r="S85" s="209">
        <f t="shared" si="48"/>
        <v>75394</v>
      </c>
      <c r="T85" s="209">
        <f t="shared" si="49"/>
        <v>6500000</v>
      </c>
      <c r="U85" s="209">
        <f t="shared" si="21"/>
        <v>0</v>
      </c>
      <c r="V85" s="209">
        <f t="shared" si="46"/>
        <v>18613329</v>
      </c>
    </row>
    <row r="86" spans="2:22">
      <c r="B86" s="531" t="s">
        <v>1663</v>
      </c>
      <c r="C86" s="180" t="s">
        <v>512</v>
      </c>
      <c r="D86" s="239" t="s">
        <v>1664</v>
      </c>
      <c r="E86" s="239">
        <v>2</v>
      </c>
      <c r="F86" s="180" t="s">
        <v>534</v>
      </c>
      <c r="G86" s="190">
        <v>9990001</v>
      </c>
      <c r="H86" s="191" t="s">
        <v>1531</v>
      </c>
      <c r="I86" s="199">
        <f>945000-945000</f>
        <v>0</v>
      </c>
      <c r="J86" s="2550">
        <v>630000</v>
      </c>
      <c r="K86" s="2250">
        <v>655200</v>
      </c>
      <c r="L86" s="199">
        <f>+K86</f>
        <v>655200</v>
      </c>
      <c r="M86" s="199">
        <f t="shared" ref="M86:O87" si="54">+L86</f>
        <v>655200</v>
      </c>
      <c r="N86" s="199">
        <f t="shared" si="54"/>
        <v>655200</v>
      </c>
      <c r="O86" s="199">
        <f t="shared" si="54"/>
        <v>655200</v>
      </c>
      <c r="P86" s="2237">
        <v>0</v>
      </c>
      <c r="Q86" s="200">
        <f t="shared" si="50"/>
        <v>0</v>
      </c>
      <c r="R86" s="199">
        <f t="shared" si="47"/>
        <v>0</v>
      </c>
      <c r="S86" s="199">
        <f t="shared" si="48"/>
        <v>0</v>
      </c>
      <c r="T86" s="199">
        <f t="shared" si="49"/>
        <v>0</v>
      </c>
      <c r="U86" s="199">
        <f t="shared" si="21"/>
        <v>0</v>
      </c>
      <c r="V86" s="192">
        <f t="shared" si="46"/>
        <v>655200</v>
      </c>
    </row>
    <row r="87" spans="2:22">
      <c r="B87" s="531" t="s">
        <v>1665</v>
      </c>
      <c r="C87" s="180" t="s">
        <v>574</v>
      </c>
      <c r="D87" s="239" t="s">
        <v>1666</v>
      </c>
      <c r="E87" s="239">
        <v>2</v>
      </c>
      <c r="F87" s="180" t="s">
        <v>534</v>
      </c>
      <c r="G87" s="190">
        <v>9990001</v>
      </c>
      <c r="H87" s="191" t="s">
        <v>1531</v>
      </c>
      <c r="I87" s="199">
        <f>5213100-829980</f>
        <v>4383120</v>
      </c>
      <c r="J87" s="2550">
        <v>1444796</v>
      </c>
      <c r="K87" s="2250">
        <f>4048800</f>
        <v>4048800</v>
      </c>
      <c r="L87" s="199">
        <f>+K87</f>
        <v>4048800</v>
      </c>
      <c r="M87" s="199">
        <f>+L87</f>
        <v>4048800</v>
      </c>
      <c r="N87" s="199">
        <f>+M87</f>
        <v>4048800</v>
      </c>
      <c r="O87" s="199">
        <f t="shared" si="54"/>
        <v>4048800</v>
      </c>
      <c r="P87" s="2237">
        <v>1111176</v>
      </c>
      <c r="Q87" s="200">
        <f t="shared" si="50"/>
        <v>0.2744457617071725</v>
      </c>
      <c r="R87" s="199">
        <f t="shared" si="47"/>
        <v>0</v>
      </c>
      <c r="S87" s="199">
        <f t="shared" si="48"/>
        <v>0</v>
      </c>
      <c r="T87" s="199">
        <f t="shared" si="49"/>
        <v>0</v>
      </c>
      <c r="U87" s="199">
        <f t="shared" si="21"/>
        <v>0</v>
      </c>
      <c r="V87" s="199">
        <f t="shared" si="46"/>
        <v>2937624</v>
      </c>
    </row>
    <row r="88" spans="2:22">
      <c r="B88" s="214" t="s">
        <v>1530</v>
      </c>
      <c r="C88" s="214"/>
      <c r="D88" s="214"/>
      <c r="E88" s="214"/>
      <c r="F88" s="214"/>
      <c r="G88" s="214"/>
      <c r="H88" s="191" t="s">
        <v>1531</v>
      </c>
      <c r="I88" s="192">
        <f t="shared" ref="I88:P88" si="55">SUM(I86:I87)</f>
        <v>4383120</v>
      </c>
      <c r="J88" s="2550">
        <f t="shared" si="55"/>
        <v>2074796</v>
      </c>
      <c r="K88" s="2219">
        <f t="shared" si="55"/>
        <v>4704000</v>
      </c>
      <c r="L88" s="192">
        <f t="shared" si="55"/>
        <v>4704000</v>
      </c>
      <c r="M88" s="192">
        <f t="shared" si="55"/>
        <v>4704000</v>
      </c>
      <c r="N88" s="192">
        <f t="shared" si="55"/>
        <v>4704000</v>
      </c>
      <c r="O88" s="192">
        <f t="shared" si="55"/>
        <v>4704000</v>
      </c>
      <c r="P88" s="1014">
        <f t="shared" si="55"/>
        <v>1111176</v>
      </c>
      <c r="Q88" s="193">
        <f t="shared" si="50"/>
        <v>0.23621938775510204</v>
      </c>
      <c r="R88" s="192">
        <f t="shared" si="47"/>
        <v>0</v>
      </c>
      <c r="S88" s="192">
        <f t="shared" si="48"/>
        <v>0</v>
      </c>
      <c r="T88" s="192">
        <f t="shared" si="49"/>
        <v>0</v>
      </c>
      <c r="U88" s="192">
        <f t="shared" si="21"/>
        <v>0</v>
      </c>
      <c r="V88" s="192">
        <f t="shared" si="46"/>
        <v>3592824</v>
      </c>
    </row>
    <row r="89" spans="2:22">
      <c r="B89" s="214" t="s">
        <v>1532</v>
      </c>
      <c r="C89" s="214"/>
      <c r="D89" s="214"/>
      <c r="E89" s="214"/>
      <c r="F89" s="214"/>
      <c r="G89" s="214"/>
      <c r="H89" s="191" t="s">
        <v>1533</v>
      </c>
      <c r="I89" s="192">
        <f>0</f>
        <v>0</v>
      </c>
      <c r="J89" s="2550">
        <v>0</v>
      </c>
      <c r="K89" s="2219">
        <f>0</f>
        <v>0</v>
      </c>
      <c r="L89" s="192">
        <f>+K89</f>
        <v>0</v>
      </c>
      <c r="M89" s="192">
        <f>+L89</f>
        <v>0</v>
      </c>
      <c r="N89" s="192">
        <f>+M89</f>
        <v>0</v>
      </c>
      <c r="O89" s="192">
        <f>+N89</f>
        <v>0</v>
      </c>
      <c r="P89" s="1014">
        <v>0</v>
      </c>
      <c r="Q89" s="193"/>
      <c r="R89" s="192">
        <f t="shared" si="47"/>
        <v>0</v>
      </c>
      <c r="S89" s="192">
        <f t="shared" si="48"/>
        <v>0</v>
      </c>
      <c r="T89" s="192">
        <f t="shared" si="49"/>
        <v>0</v>
      </c>
      <c r="U89" s="192">
        <f t="shared" si="21"/>
        <v>0</v>
      </c>
      <c r="V89" s="192">
        <f t="shared" si="46"/>
        <v>0</v>
      </c>
    </row>
    <row r="90" spans="2:22">
      <c r="B90" s="208" t="s">
        <v>1667</v>
      </c>
      <c r="C90" s="208"/>
      <c r="D90" s="208"/>
      <c r="E90" s="208"/>
      <c r="F90" s="208"/>
      <c r="G90" s="208"/>
      <c r="H90" s="184" t="s">
        <v>1535</v>
      </c>
      <c r="I90" s="209">
        <f>SUM(I88:I89)</f>
        <v>4383120</v>
      </c>
      <c r="J90" s="2549">
        <f t="shared" ref="J90:O90" si="56">SUM(J88:J89)</f>
        <v>2074796</v>
      </c>
      <c r="K90" s="2347">
        <f t="shared" si="56"/>
        <v>4704000</v>
      </c>
      <c r="L90" s="209">
        <f t="shared" si="56"/>
        <v>4704000</v>
      </c>
      <c r="M90" s="209">
        <f t="shared" si="56"/>
        <v>4704000</v>
      </c>
      <c r="N90" s="209">
        <f t="shared" si="56"/>
        <v>4704000</v>
      </c>
      <c r="O90" s="209">
        <f t="shared" si="56"/>
        <v>4704000</v>
      </c>
      <c r="P90" s="1025">
        <f>SUM(P88:P89)</f>
        <v>1111176</v>
      </c>
      <c r="Q90" s="210">
        <f t="shared" si="50"/>
        <v>0.23621938775510204</v>
      </c>
      <c r="R90" s="209">
        <f t="shared" si="47"/>
        <v>0</v>
      </c>
      <c r="S90" s="209">
        <f t="shared" si="48"/>
        <v>0</v>
      </c>
      <c r="T90" s="209">
        <f t="shared" si="49"/>
        <v>0</v>
      </c>
      <c r="U90" s="209">
        <f t="shared" si="21"/>
        <v>0</v>
      </c>
      <c r="V90" s="209">
        <f t="shared" si="46"/>
        <v>3592824</v>
      </c>
    </row>
    <row r="91" spans="2:22">
      <c r="B91" s="213" t="s">
        <v>1536</v>
      </c>
      <c r="C91" s="191" t="s">
        <v>512</v>
      </c>
      <c r="D91" s="213" t="s">
        <v>1668</v>
      </c>
      <c r="E91" s="213">
        <v>2</v>
      </c>
      <c r="F91" s="180" t="s">
        <v>534</v>
      </c>
      <c r="G91" s="213">
        <v>999001</v>
      </c>
      <c r="H91" s="184" t="s">
        <v>1537</v>
      </c>
      <c r="I91" s="209">
        <f>300000</f>
        <v>300000</v>
      </c>
      <c r="J91" s="2549">
        <v>337820</v>
      </c>
      <c r="K91" s="2347">
        <f>500000</f>
        <v>500000</v>
      </c>
      <c r="L91" s="209">
        <f>+K91</f>
        <v>500000</v>
      </c>
      <c r="M91" s="209">
        <f>+L91</f>
        <v>500000</v>
      </c>
      <c r="N91" s="209">
        <f>+M91</f>
        <v>500000</v>
      </c>
      <c r="O91" s="209">
        <f>+N91</f>
        <v>500000</v>
      </c>
      <c r="P91" s="3006">
        <v>184150</v>
      </c>
      <c r="Q91" s="210">
        <f t="shared" si="50"/>
        <v>0.36830000000000002</v>
      </c>
      <c r="R91" s="209">
        <f t="shared" si="47"/>
        <v>0</v>
      </c>
      <c r="S91" s="209">
        <f t="shared" si="48"/>
        <v>0</v>
      </c>
      <c r="T91" s="209">
        <f t="shared" si="49"/>
        <v>0</v>
      </c>
      <c r="U91" s="209">
        <f t="shared" si="21"/>
        <v>0</v>
      </c>
      <c r="V91" s="209">
        <f t="shared" si="46"/>
        <v>315850</v>
      </c>
    </row>
    <row r="92" spans="2:22">
      <c r="B92" s="208" t="s">
        <v>1669</v>
      </c>
      <c r="C92" s="208"/>
      <c r="D92" s="208"/>
      <c r="E92" s="208"/>
      <c r="F92" s="208"/>
      <c r="G92" s="208"/>
      <c r="H92" s="184" t="s">
        <v>1539</v>
      </c>
      <c r="I92" s="209">
        <f>+I90+I91</f>
        <v>4683120</v>
      </c>
      <c r="J92" s="2549">
        <f t="shared" ref="J92:P92" si="57">+J90+J91</f>
        <v>2412616</v>
      </c>
      <c r="K92" s="2347">
        <f t="shared" si="57"/>
        <v>5204000</v>
      </c>
      <c r="L92" s="209">
        <f t="shared" si="57"/>
        <v>5204000</v>
      </c>
      <c r="M92" s="209">
        <f t="shared" si="57"/>
        <v>5204000</v>
      </c>
      <c r="N92" s="209">
        <f t="shared" si="57"/>
        <v>5204000</v>
      </c>
      <c r="O92" s="209">
        <f t="shared" si="57"/>
        <v>5204000</v>
      </c>
      <c r="P92" s="1025">
        <f t="shared" si="57"/>
        <v>1295326</v>
      </c>
      <c r="Q92" s="210">
        <f t="shared" si="50"/>
        <v>0.24890968485780168</v>
      </c>
      <c r="R92" s="209">
        <f t="shared" si="47"/>
        <v>0</v>
      </c>
      <c r="S92" s="209">
        <f t="shared" si="48"/>
        <v>0</v>
      </c>
      <c r="T92" s="209">
        <f t="shared" si="49"/>
        <v>0</v>
      </c>
      <c r="U92" s="209">
        <f t="shared" si="21"/>
        <v>0</v>
      </c>
      <c r="V92" s="209">
        <f t="shared" si="46"/>
        <v>3908674</v>
      </c>
    </row>
    <row r="93" spans="2:22" ht="25.5">
      <c r="B93" s="214" t="s">
        <v>1540</v>
      </c>
      <c r="C93" s="214"/>
      <c r="D93" s="214"/>
      <c r="E93" s="214"/>
      <c r="F93" s="214"/>
      <c r="G93" s="214"/>
      <c r="H93" s="191" t="s">
        <v>1541</v>
      </c>
      <c r="I93" s="192">
        <v>0</v>
      </c>
      <c r="J93" s="2550">
        <v>0</v>
      </c>
      <c r="K93" s="2219">
        <v>0</v>
      </c>
      <c r="L93" s="192">
        <f t="shared" ref="L93:O94" si="58">+K93</f>
        <v>0</v>
      </c>
      <c r="M93" s="192">
        <f t="shared" si="58"/>
        <v>0</v>
      </c>
      <c r="N93" s="192">
        <f t="shared" si="58"/>
        <v>0</v>
      </c>
      <c r="O93" s="192">
        <f t="shared" si="58"/>
        <v>0</v>
      </c>
      <c r="P93" s="1014">
        <v>0</v>
      </c>
      <c r="Q93" s="193"/>
      <c r="R93" s="192">
        <f t="shared" si="47"/>
        <v>0</v>
      </c>
      <c r="S93" s="192">
        <f t="shared" si="48"/>
        <v>0</v>
      </c>
      <c r="T93" s="192">
        <f t="shared" si="49"/>
        <v>0</v>
      </c>
      <c r="U93" s="192">
        <f t="shared" si="21"/>
        <v>0</v>
      </c>
      <c r="V93" s="192">
        <f t="shared" si="46"/>
        <v>0</v>
      </c>
    </row>
    <row r="94" spans="2:22" ht="25.5">
      <c r="B94" s="214" t="s">
        <v>1542</v>
      </c>
      <c r="C94" s="180" t="s">
        <v>512</v>
      </c>
      <c r="D94" s="190" t="s">
        <v>1670</v>
      </c>
      <c r="E94" s="190">
        <v>2</v>
      </c>
      <c r="F94" s="180" t="s">
        <v>534</v>
      </c>
      <c r="G94" s="180" t="s">
        <v>572</v>
      </c>
      <c r="H94" s="191" t="s">
        <v>1543</v>
      </c>
      <c r="I94" s="192">
        <f>0</f>
        <v>0</v>
      </c>
      <c r="J94" s="2550">
        <v>0</v>
      </c>
      <c r="K94" s="2219">
        <f>0</f>
        <v>0</v>
      </c>
      <c r="L94" s="192">
        <f t="shared" si="58"/>
        <v>0</v>
      </c>
      <c r="M94" s="192">
        <f t="shared" si="58"/>
        <v>0</v>
      </c>
      <c r="N94" s="192">
        <f t="shared" si="58"/>
        <v>0</v>
      </c>
      <c r="O94" s="192">
        <f t="shared" si="58"/>
        <v>0</v>
      </c>
      <c r="P94" s="1014">
        <v>0</v>
      </c>
      <c r="Q94" s="193"/>
      <c r="R94" s="192">
        <f t="shared" si="47"/>
        <v>0</v>
      </c>
      <c r="S94" s="192">
        <f t="shared" si="48"/>
        <v>0</v>
      </c>
      <c r="T94" s="192">
        <f t="shared" si="49"/>
        <v>0</v>
      </c>
      <c r="U94" s="192">
        <f t="shared" si="21"/>
        <v>0</v>
      </c>
      <c r="V94" s="192">
        <f t="shared" si="46"/>
        <v>0</v>
      </c>
    </row>
    <row r="95" spans="2:22" ht="25.5">
      <c r="B95" s="213" t="s">
        <v>1671</v>
      </c>
      <c r="C95" s="213"/>
      <c r="D95" s="213"/>
      <c r="E95" s="213"/>
      <c r="F95" s="213"/>
      <c r="G95" s="213"/>
      <c r="H95" s="184" t="s">
        <v>1545</v>
      </c>
      <c r="I95" s="209">
        <f>SUM(I93:I94)</f>
        <v>0</v>
      </c>
      <c r="J95" s="2549">
        <f t="shared" ref="J95:O95" si="59">SUM(J93:J94)</f>
        <v>0</v>
      </c>
      <c r="K95" s="2347">
        <f t="shared" si="59"/>
        <v>0</v>
      </c>
      <c r="L95" s="209">
        <f t="shared" si="59"/>
        <v>0</v>
      </c>
      <c r="M95" s="209">
        <f t="shared" si="59"/>
        <v>0</v>
      </c>
      <c r="N95" s="209">
        <f t="shared" si="59"/>
        <v>0</v>
      </c>
      <c r="O95" s="209">
        <f t="shared" si="59"/>
        <v>0</v>
      </c>
      <c r="P95" s="1025">
        <f>SUM(P93:P94)</f>
        <v>0</v>
      </c>
      <c r="Q95" s="210"/>
      <c r="R95" s="209">
        <f t="shared" si="47"/>
        <v>0</v>
      </c>
      <c r="S95" s="209">
        <f t="shared" si="48"/>
        <v>0</v>
      </c>
      <c r="T95" s="209">
        <f t="shared" si="49"/>
        <v>0</v>
      </c>
      <c r="U95" s="209">
        <f t="shared" si="21"/>
        <v>0</v>
      </c>
      <c r="V95" s="209">
        <f t="shared" si="46"/>
        <v>0</v>
      </c>
    </row>
    <row r="96" spans="2:22" ht="38.25">
      <c r="B96" s="214" t="s">
        <v>1546</v>
      </c>
      <c r="C96" s="180" t="s">
        <v>512</v>
      </c>
      <c r="D96" s="190" t="s">
        <v>1670</v>
      </c>
      <c r="E96" s="190">
        <v>2</v>
      </c>
      <c r="F96" s="180" t="s">
        <v>534</v>
      </c>
      <c r="G96" s="180" t="s">
        <v>572</v>
      </c>
      <c r="H96" s="191" t="s">
        <v>1547</v>
      </c>
      <c r="I96" s="532">
        <f>3000000</f>
        <v>3000000</v>
      </c>
      <c r="J96" s="2550">
        <v>1811000</v>
      </c>
      <c r="K96" s="2348">
        <f>3000000</f>
        <v>3000000</v>
      </c>
      <c r="L96" s="192">
        <f t="shared" ref="L96:O98" si="60">+K96</f>
        <v>3000000</v>
      </c>
      <c r="M96" s="192">
        <f t="shared" si="60"/>
        <v>3000000</v>
      </c>
      <c r="N96" s="192">
        <f t="shared" si="60"/>
        <v>3000000</v>
      </c>
      <c r="O96" s="192">
        <f t="shared" si="60"/>
        <v>3000000</v>
      </c>
      <c r="P96" s="3005">
        <v>1987000</v>
      </c>
      <c r="Q96" s="193">
        <f t="shared" si="50"/>
        <v>0.66233333333333333</v>
      </c>
      <c r="R96" s="532">
        <f t="shared" si="47"/>
        <v>0</v>
      </c>
      <c r="S96" s="532">
        <f t="shared" si="48"/>
        <v>0</v>
      </c>
      <c r="T96" s="532">
        <f t="shared" si="49"/>
        <v>0</v>
      </c>
      <c r="U96" s="532">
        <f t="shared" si="21"/>
        <v>0</v>
      </c>
      <c r="V96" s="532">
        <f t="shared" si="46"/>
        <v>1013000</v>
      </c>
    </row>
    <row r="97" spans="2:23" ht="38.25">
      <c r="B97" s="214" t="s">
        <v>1548</v>
      </c>
      <c r="C97" s="180" t="s">
        <v>512</v>
      </c>
      <c r="D97" s="190" t="s">
        <v>1672</v>
      </c>
      <c r="E97" s="190">
        <v>2</v>
      </c>
      <c r="F97" s="180" t="s">
        <v>534</v>
      </c>
      <c r="G97" s="180" t="s">
        <v>572</v>
      </c>
      <c r="H97" s="191" t="s">
        <v>1549</v>
      </c>
      <c r="I97" s="536">
        <v>0</v>
      </c>
      <c r="J97" s="2550">
        <v>0</v>
      </c>
      <c r="K97" s="2351">
        <v>0</v>
      </c>
      <c r="L97" s="192">
        <f t="shared" si="60"/>
        <v>0</v>
      </c>
      <c r="M97" s="192">
        <f t="shared" si="60"/>
        <v>0</v>
      </c>
      <c r="N97" s="192">
        <f t="shared" si="60"/>
        <v>0</v>
      </c>
      <c r="O97" s="192">
        <f t="shared" si="60"/>
        <v>0</v>
      </c>
      <c r="P97" s="1014">
        <v>0</v>
      </c>
      <c r="Q97" s="537"/>
      <c r="R97" s="536">
        <f t="shared" si="47"/>
        <v>0</v>
      </c>
      <c r="S97" s="536">
        <f t="shared" si="48"/>
        <v>0</v>
      </c>
      <c r="T97" s="536">
        <f t="shared" si="49"/>
        <v>0</v>
      </c>
      <c r="U97" s="536">
        <f t="shared" si="21"/>
        <v>0</v>
      </c>
      <c r="V97" s="536">
        <f t="shared" si="46"/>
        <v>0</v>
      </c>
    </row>
    <row r="98" spans="2:23" ht="38.25">
      <c r="B98" s="214" t="s">
        <v>121</v>
      </c>
      <c r="C98" s="180" t="s">
        <v>512</v>
      </c>
      <c r="D98" s="190" t="s">
        <v>1673</v>
      </c>
      <c r="E98" s="190">
        <v>2</v>
      </c>
      <c r="F98" s="180" t="s">
        <v>534</v>
      </c>
      <c r="G98" s="180" t="s">
        <v>572</v>
      </c>
      <c r="H98" s="191" t="s">
        <v>1550</v>
      </c>
      <c r="I98" s="192">
        <v>0</v>
      </c>
      <c r="J98" s="2550">
        <v>0</v>
      </c>
      <c r="K98" s="2219">
        <v>0</v>
      </c>
      <c r="L98" s="192">
        <f t="shared" si="60"/>
        <v>0</v>
      </c>
      <c r="M98" s="192">
        <f t="shared" si="60"/>
        <v>0</v>
      </c>
      <c r="N98" s="192">
        <f t="shared" si="60"/>
        <v>0</v>
      </c>
      <c r="O98" s="192">
        <f t="shared" si="60"/>
        <v>0</v>
      </c>
      <c r="P98" s="1014">
        <v>0</v>
      </c>
      <c r="Q98" s="193"/>
      <c r="R98" s="192">
        <f t="shared" si="47"/>
        <v>0</v>
      </c>
      <c r="S98" s="192">
        <f t="shared" si="48"/>
        <v>0</v>
      </c>
      <c r="T98" s="192">
        <f t="shared" si="49"/>
        <v>0</v>
      </c>
      <c r="U98" s="192">
        <f t="shared" si="21"/>
        <v>0</v>
      </c>
      <c r="V98" s="192">
        <f t="shared" si="46"/>
        <v>0</v>
      </c>
    </row>
    <row r="99" spans="2:23">
      <c r="B99" s="208" t="s">
        <v>1674</v>
      </c>
      <c r="C99" s="208"/>
      <c r="D99" s="208"/>
      <c r="E99" s="208"/>
      <c r="F99" s="208"/>
      <c r="G99" s="208"/>
      <c r="H99" s="184" t="s">
        <v>1552</v>
      </c>
      <c r="I99" s="209">
        <f>SUM(I96:I98)</f>
        <v>3000000</v>
      </c>
      <c r="J99" s="2549">
        <f t="shared" ref="J99:O99" si="61">SUM(J96:J98)</f>
        <v>1811000</v>
      </c>
      <c r="K99" s="2347">
        <f t="shared" si="61"/>
        <v>3000000</v>
      </c>
      <c r="L99" s="209">
        <f t="shared" si="61"/>
        <v>3000000</v>
      </c>
      <c r="M99" s="209">
        <f t="shared" si="61"/>
        <v>3000000</v>
      </c>
      <c r="N99" s="209">
        <f t="shared" si="61"/>
        <v>3000000</v>
      </c>
      <c r="O99" s="209">
        <f t="shared" si="61"/>
        <v>3000000</v>
      </c>
      <c r="P99" s="1025">
        <f>SUM(P96:P98)</f>
        <v>1987000</v>
      </c>
      <c r="Q99" s="210">
        <f t="shared" si="50"/>
        <v>0.66233333333333333</v>
      </c>
      <c r="R99" s="209">
        <f t="shared" si="47"/>
        <v>0</v>
      </c>
      <c r="S99" s="209">
        <f t="shared" si="48"/>
        <v>0</v>
      </c>
      <c r="T99" s="209">
        <f t="shared" si="49"/>
        <v>0</v>
      </c>
      <c r="U99" s="209">
        <f t="shared" si="21"/>
        <v>0</v>
      </c>
      <c r="V99" s="209">
        <f t="shared" si="46"/>
        <v>1013000</v>
      </c>
    </row>
    <row r="100" spans="2:23">
      <c r="B100" s="214" t="s">
        <v>1553</v>
      </c>
      <c r="C100" s="214"/>
      <c r="D100" s="214"/>
      <c r="E100" s="214"/>
      <c r="F100" s="214"/>
      <c r="G100" s="214"/>
      <c r="H100" s="191" t="s">
        <v>1554</v>
      </c>
      <c r="I100" s="192">
        <v>0</v>
      </c>
      <c r="J100" s="2550">
        <v>0</v>
      </c>
      <c r="K100" s="2219">
        <v>0</v>
      </c>
      <c r="L100" s="192">
        <f t="shared" ref="L100:O101" si="62">+K100</f>
        <v>0</v>
      </c>
      <c r="M100" s="192">
        <f t="shared" si="62"/>
        <v>0</v>
      </c>
      <c r="N100" s="192">
        <f t="shared" si="62"/>
        <v>0</v>
      </c>
      <c r="O100" s="192">
        <f t="shared" si="62"/>
        <v>0</v>
      </c>
      <c r="P100" s="1014">
        <v>0</v>
      </c>
      <c r="Q100" s="193"/>
      <c r="R100" s="192">
        <f t="shared" si="47"/>
        <v>0</v>
      </c>
      <c r="S100" s="192">
        <f t="shared" si="48"/>
        <v>0</v>
      </c>
      <c r="T100" s="192">
        <f t="shared" si="49"/>
        <v>0</v>
      </c>
      <c r="U100" s="192">
        <f t="shared" si="21"/>
        <v>0</v>
      </c>
      <c r="V100" s="192">
        <f t="shared" si="46"/>
        <v>0</v>
      </c>
    </row>
    <row r="101" spans="2:23">
      <c r="B101" s="214" t="s">
        <v>1555</v>
      </c>
      <c r="C101" s="214"/>
      <c r="D101" s="214"/>
      <c r="E101" s="214"/>
      <c r="F101" s="214"/>
      <c r="G101" s="214"/>
      <c r="H101" s="191" t="s">
        <v>1556</v>
      </c>
      <c r="I101" s="192">
        <v>0</v>
      </c>
      <c r="J101" s="2550">
        <v>0</v>
      </c>
      <c r="K101" s="2219">
        <v>0</v>
      </c>
      <c r="L101" s="192">
        <f t="shared" si="62"/>
        <v>0</v>
      </c>
      <c r="M101" s="192">
        <f t="shared" si="62"/>
        <v>0</v>
      </c>
      <c r="N101" s="192">
        <f t="shared" si="62"/>
        <v>0</v>
      </c>
      <c r="O101" s="192">
        <f t="shared" si="62"/>
        <v>0</v>
      </c>
      <c r="P101" s="1014">
        <v>0</v>
      </c>
      <c r="Q101" s="193"/>
      <c r="R101" s="192">
        <f t="shared" si="47"/>
        <v>0</v>
      </c>
      <c r="S101" s="192">
        <f t="shared" si="48"/>
        <v>0</v>
      </c>
      <c r="T101" s="192">
        <f t="shared" si="49"/>
        <v>0</v>
      </c>
      <c r="U101" s="192">
        <f t="shared" si="21"/>
        <v>0</v>
      </c>
      <c r="V101" s="192">
        <f t="shared" si="46"/>
        <v>0</v>
      </c>
    </row>
    <row r="102" spans="2:23">
      <c r="B102" s="208" t="s">
        <v>1675</v>
      </c>
      <c r="C102" s="208"/>
      <c r="D102" s="208"/>
      <c r="E102" s="208"/>
      <c r="F102" s="208"/>
      <c r="G102" s="208"/>
      <c r="H102" s="184" t="s">
        <v>1558</v>
      </c>
      <c r="I102" s="209">
        <f>SUM(I100:I101)</f>
        <v>0</v>
      </c>
      <c r="J102" s="2549">
        <v>0</v>
      </c>
      <c r="K102" s="2347">
        <f t="shared" ref="K102:P102" si="63">SUM(K100:K101)</f>
        <v>0</v>
      </c>
      <c r="L102" s="209">
        <f t="shared" si="63"/>
        <v>0</v>
      </c>
      <c r="M102" s="209">
        <f t="shared" si="63"/>
        <v>0</v>
      </c>
      <c r="N102" s="209">
        <f t="shared" si="63"/>
        <v>0</v>
      </c>
      <c r="O102" s="209">
        <f t="shared" si="63"/>
        <v>0</v>
      </c>
      <c r="P102" s="1025">
        <f t="shared" si="63"/>
        <v>0</v>
      </c>
      <c r="Q102" s="210"/>
      <c r="R102" s="209">
        <f t="shared" si="47"/>
        <v>0</v>
      </c>
      <c r="S102" s="209">
        <f t="shared" si="48"/>
        <v>0</v>
      </c>
      <c r="T102" s="209">
        <f t="shared" si="49"/>
        <v>0</v>
      </c>
      <c r="U102" s="209">
        <f t="shared" si="21"/>
        <v>0</v>
      </c>
      <c r="V102" s="209">
        <f t="shared" si="46"/>
        <v>0</v>
      </c>
    </row>
    <row r="103" spans="2:23" s="522" customFormat="1">
      <c r="B103" s="208" t="s">
        <v>1559</v>
      </c>
      <c r="C103" s="208"/>
      <c r="D103" s="208"/>
      <c r="E103" s="208"/>
      <c r="F103" s="208"/>
      <c r="G103" s="208"/>
      <c r="H103" s="184" t="s">
        <v>1560</v>
      </c>
      <c r="I103" s="209">
        <v>0</v>
      </c>
      <c r="J103" s="2549">
        <v>0</v>
      </c>
      <c r="K103" s="2347">
        <v>0</v>
      </c>
      <c r="L103" s="209">
        <f t="shared" ref="L103:O106" si="64">+K103</f>
        <v>0</v>
      </c>
      <c r="M103" s="209">
        <f t="shared" si="64"/>
        <v>0</v>
      </c>
      <c r="N103" s="209">
        <f t="shared" si="64"/>
        <v>0</v>
      </c>
      <c r="O103" s="209">
        <f t="shared" si="64"/>
        <v>0</v>
      </c>
      <c r="P103" s="1025">
        <v>0</v>
      </c>
      <c r="Q103" s="210"/>
      <c r="R103" s="209">
        <f t="shared" si="47"/>
        <v>0</v>
      </c>
      <c r="S103" s="209">
        <f t="shared" si="48"/>
        <v>0</v>
      </c>
      <c r="T103" s="209">
        <f t="shared" si="49"/>
        <v>0</v>
      </c>
      <c r="U103" s="209">
        <f t="shared" si="21"/>
        <v>0</v>
      </c>
      <c r="V103" s="209">
        <f t="shared" si="46"/>
        <v>0</v>
      </c>
    </row>
    <row r="104" spans="2:23" s="522" customFormat="1">
      <c r="B104" s="214" t="s">
        <v>1676</v>
      </c>
      <c r="C104" s="191" t="s">
        <v>574</v>
      </c>
      <c r="D104" s="236" t="s">
        <v>1677</v>
      </c>
      <c r="E104" s="239">
        <v>4</v>
      </c>
      <c r="F104" s="180" t="s">
        <v>534</v>
      </c>
      <c r="G104" s="190">
        <v>9990001</v>
      </c>
      <c r="H104" s="191" t="s">
        <v>1561</v>
      </c>
      <c r="I104" s="192">
        <f>0</f>
        <v>0</v>
      </c>
      <c r="J104" s="2550">
        <v>0</v>
      </c>
      <c r="K104" s="2219">
        <f>0</f>
        <v>0</v>
      </c>
      <c r="L104" s="192">
        <f t="shared" si="64"/>
        <v>0</v>
      </c>
      <c r="M104" s="192">
        <f t="shared" si="64"/>
        <v>0</v>
      </c>
      <c r="N104" s="192">
        <f t="shared" si="64"/>
        <v>0</v>
      </c>
      <c r="O104" s="192">
        <f t="shared" si="64"/>
        <v>0</v>
      </c>
      <c r="P104" s="1014">
        <v>0</v>
      </c>
      <c r="Q104" s="193"/>
      <c r="R104" s="192">
        <f t="shared" si="47"/>
        <v>0</v>
      </c>
      <c r="S104" s="192">
        <f t="shared" si="48"/>
        <v>0</v>
      </c>
      <c r="T104" s="192">
        <f t="shared" si="49"/>
        <v>0</v>
      </c>
      <c r="U104" s="192">
        <f t="shared" si="21"/>
        <v>0</v>
      </c>
      <c r="V104" s="192">
        <f t="shared" si="46"/>
        <v>0</v>
      </c>
    </row>
    <row r="105" spans="2:23" s="522" customFormat="1">
      <c r="B105" s="214" t="s">
        <v>1678</v>
      </c>
      <c r="C105" s="191" t="s">
        <v>512</v>
      </c>
      <c r="D105" s="236" t="s">
        <v>1679</v>
      </c>
      <c r="E105" s="239">
        <v>2</v>
      </c>
      <c r="F105" s="180" t="s">
        <v>534</v>
      </c>
      <c r="G105" s="190">
        <v>9990001</v>
      </c>
      <c r="H105" s="191" t="s">
        <v>1561</v>
      </c>
      <c r="I105" s="192">
        <f>660000</f>
        <v>660000</v>
      </c>
      <c r="J105" s="2550">
        <v>733820</v>
      </c>
      <c r="K105" s="2219">
        <v>763200</v>
      </c>
      <c r="L105" s="192">
        <f>+K105+64520</f>
        <v>827720</v>
      </c>
      <c r="M105" s="192">
        <f>+L105</f>
        <v>827720</v>
      </c>
      <c r="N105" s="192">
        <f>+M105+82000+68016</f>
        <v>977736</v>
      </c>
      <c r="O105" s="192">
        <f t="shared" si="64"/>
        <v>977736</v>
      </c>
      <c r="P105" s="3005">
        <v>977736</v>
      </c>
      <c r="Q105" s="193">
        <f t="shared" si="50"/>
        <v>1</v>
      </c>
      <c r="R105" s="192">
        <f t="shared" si="47"/>
        <v>64520</v>
      </c>
      <c r="S105" s="192">
        <f t="shared" si="48"/>
        <v>0</v>
      </c>
      <c r="T105" s="192">
        <f t="shared" si="49"/>
        <v>150016</v>
      </c>
      <c r="U105" s="192">
        <f t="shared" si="21"/>
        <v>0</v>
      </c>
      <c r="V105" s="192">
        <f t="shared" si="46"/>
        <v>0</v>
      </c>
    </row>
    <row r="106" spans="2:23" s="522" customFormat="1" ht="25.5">
      <c r="B106" s="214" t="s">
        <v>1680</v>
      </c>
      <c r="C106" s="191" t="s">
        <v>512</v>
      </c>
      <c r="D106" s="239" t="s">
        <v>1681</v>
      </c>
      <c r="E106" s="239">
        <v>2</v>
      </c>
      <c r="F106" s="180" t="s">
        <v>534</v>
      </c>
      <c r="G106" s="190">
        <v>9990001</v>
      </c>
      <c r="H106" s="191" t="s">
        <v>1561</v>
      </c>
      <c r="I106" s="192">
        <f>500000-300000</f>
        <v>200000</v>
      </c>
      <c r="J106" s="2550">
        <v>756834</v>
      </c>
      <c r="K106" s="2219">
        <f>750000</f>
        <v>750000</v>
      </c>
      <c r="L106" s="192">
        <f t="shared" si="64"/>
        <v>750000</v>
      </c>
      <c r="M106" s="192">
        <f>+L106</f>
        <v>750000</v>
      </c>
      <c r="N106" s="192">
        <f>+M106</f>
        <v>750000</v>
      </c>
      <c r="O106" s="192">
        <f t="shared" si="64"/>
        <v>750000</v>
      </c>
      <c r="P106" s="3005">
        <f>2192460-1873464</f>
        <v>318996</v>
      </c>
      <c r="Q106" s="193">
        <f t="shared" si="50"/>
        <v>0.42532799999999998</v>
      </c>
      <c r="R106" s="192">
        <f t="shared" si="47"/>
        <v>0</v>
      </c>
      <c r="S106" s="192">
        <f t="shared" si="48"/>
        <v>0</v>
      </c>
      <c r="T106" s="192">
        <f t="shared" si="49"/>
        <v>0</v>
      </c>
      <c r="U106" s="192">
        <f t="shared" si="21"/>
        <v>0</v>
      </c>
      <c r="V106" s="192">
        <f t="shared" si="46"/>
        <v>431004</v>
      </c>
      <c r="W106" s="526">
        <f>318996+M78</f>
        <v>2192460</v>
      </c>
    </row>
    <row r="107" spans="2:23" ht="25.5">
      <c r="B107" s="214" t="s">
        <v>1682</v>
      </c>
      <c r="C107" s="180"/>
      <c r="D107" s="239"/>
      <c r="E107" s="239"/>
      <c r="F107" s="180"/>
      <c r="G107" s="190"/>
      <c r="H107" s="191" t="s">
        <v>1561</v>
      </c>
      <c r="I107" s="192">
        <f>SUM(I104:I106)</f>
        <v>860000</v>
      </c>
      <c r="J107" s="2550">
        <f t="shared" ref="J107:O107" si="65">SUM(J104:J106)</f>
        <v>1490654</v>
      </c>
      <c r="K107" s="2219">
        <f t="shared" si="65"/>
        <v>1513200</v>
      </c>
      <c r="L107" s="192">
        <f t="shared" si="65"/>
        <v>1577720</v>
      </c>
      <c r="M107" s="192">
        <f t="shared" si="65"/>
        <v>1577720</v>
      </c>
      <c r="N107" s="192">
        <f t="shared" si="65"/>
        <v>1727736</v>
      </c>
      <c r="O107" s="192">
        <f t="shared" si="65"/>
        <v>1727736</v>
      </c>
      <c r="P107" s="1014">
        <f>SUM(P104:P106)</f>
        <v>1296732</v>
      </c>
      <c r="Q107" s="193">
        <f t="shared" si="50"/>
        <v>0.75053827668115958</v>
      </c>
      <c r="R107" s="192">
        <f t="shared" si="47"/>
        <v>64520</v>
      </c>
      <c r="S107" s="192">
        <f t="shared" si="48"/>
        <v>0</v>
      </c>
      <c r="T107" s="192">
        <f t="shared" si="49"/>
        <v>150016</v>
      </c>
      <c r="U107" s="192">
        <f t="shared" si="21"/>
        <v>0</v>
      </c>
      <c r="V107" s="192">
        <f t="shared" si="46"/>
        <v>431004</v>
      </c>
    </row>
    <row r="108" spans="2:23" ht="38.25">
      <c r="B108" s="214" t="s">
        <v>1562</v>
      </c>
      <c r="C108" s="180"/>
      <c r="D108" s="239"/>
      <c r="E108" s="239"/>
      <c r="F108" s="180"/>
      <c r="G108" s="190"/>
      <c r="H108" s="191" t="s">
        <v>1563</v>
      </c>
      <c r="I108" s="192">
        <f>0</f>
        <v>0</v>
      </c>
      <c r="J108" s="2550">
        <v>0</v>
      </c>
      <c r="K108" s="2219">
        <f>0</f>
        <v>0</v>
      </c>
      <c r="L108" s="192">
        <f t="shared" ref="L108:L120" si="66">+K108</f>
        <v>0</v>
      </c>
      <c r="M108" s="192">
        <f t="shared" ref="M108:N120" si="67">+L108</f>
        <v>0</v>
      </c>
      <c r="N108" s="192">
        <f t="shared" ref="N108:N119" si="68">+M108</f>
        <v>0</v>
      </c>
      <c r="O108" s="192">
        <f t="shared" ref="O108:O121" si="69">+N108</f>
        <v>0</v>
      </c>
      <c r="P108" s="1014">
        <v>0</v>
      </c>
      <c r="Q108" s="193"/>
      <c r="R108" s="192">
        <f t="shared" si="47"/>
        <v>0</v>
      </c>
      <c r="S108" s="192">
        <f t="shared" si="48"/>
        <v>0</v>
      </c>
      <c r="T108" s="192">
        <f t="shared" si="49"/>
        <v>0</v>
      </c>
      <c r="U108" s="192">
        <f t="shared" si="21"/>
        <v>0</v>
      </c>
      <c r="V108" s="192">
        <f t="shared" si="46"/>
        <v>0</v>
      </c>
    </row>
    <row r="109" spans="2:23" ht="25.5" hidden="1">
      <c r="B109" s="213" t="s">
        <v>1683</v>
      </c>
      <c r="C109" s="180" t="s">
        <v>512</v>
      </c>
      <c r="D109" s="187" t="s">
        <v>1350</v>
      </c>
      <c r="E109" s="239">
        <v>4</v>
      </c>
      <c r="F109" s="191" t="s">
        <v>1351</v>
      </c>
      <c r="G109" s="190">
        <v>9990001</v>
      </c>
      <c r="H109" s="191" t="s">
        <v>1577</v>
      </c>
      <c r="I109" s="192">
        <v>0</v>
      </c>
      <c r="J109" s="2550">
        <v>0</v>
      </c>
      <c r="K109" s="2219">
        <v>0</v>
      </c>
      <c r="L109" s="192">
        <f t="shared" si="66"/>
        <v>0</v>
      </c>
      <c r="M109" s="192">
        <f t="shared" si="67"/>
        <v>0</v>
      </c>
      <c r="N109" s="192">
        <f t="shared" si="68"/>
        <v>0</v>
      </c>
      <c r="O109" s="192">
        <f t="shared" si="69"/>
        <v>0</v>
      </c>
      <c r="P109" s="1014">
        <v>0</v>
      </c>
      <c r="Q109" s="193"/>
      <c r="R109" s="192">
        <f t="shared" si="47"/>
        <v>0</v>
      </c>
      <c r="S109" s="192">
        <f t="shared" si="48"/>
        <v>0</v>
      </c>
      <c r="T109" s="192">
        <f t="shared" si="49"/>
        <v>0</v>
      </c>
      <c r="U109" s="192">
        <f t="shared" si="21"/>
        <v>0</v>
      </c>
      <c r="V109" s="192">
        <f t="shared" si="46"/>
        <v>0</v>
      </c>
    </row>
    <row r="110" spans="2:23" ht="25.5" hidden="1">
      <c r="B110" s="213" t="s">
        <v>1684</v>
      </c>
      <c r="C110" s="180" t="s">
        <v>512</v>
      </c>
      <c r="D110" s="187" t="s">
        <v>1353</v>
      </c>
      <c r="E110" s="239">
        <v>4</v>
      </c>
      <c r="F110" s="191" t="s">
        <v>1351</v>
      </c>
      <c r="G110" s="190">
        <v>9990001</v>
      </c>
      <c r="H110" s="191" t="s">
        <v>1577</v>
      </c>
      <c r="I110" s="192">
        <v>0</v>
      </c>
      <c r="J110" s="2550">
        <v>0</v>
      </c>
      <c r="K110" s="2219">
        <v>0</v>
      </c>
      <c r="L110" s="192">
        <f t="shared" si="66"/>
        <v>0</v>
      </c>
      <c r="M110" s="192">
        <f t="shared" si="67"/>
        <v>0</v>
      </c>
      <c r="N110" s="192">
        <f t="shared" si="68"/>
        <v>0</v>
      </c>
      <c r="O110" s="192">
        <f t="shared" si="69"/>
        <v>0</v>
      </c>
      <c r="P110" s="1014">
        <v>0</v>
      </c>
      <c r="Q110" s="193"/>
      <c r="R110" s="192">
        <f t="shared" si="47"/>
        <v>0</v>
      </c>
      <c r="S110" s="192">
        <f t="shared" si="48"/>
        <v>0</v>
      </c>
      <c r="T110" s="192">
        <f t="shared" si="49"/>
        <v>0</v>
      </c>
      <c r="U110" s="192">
        <f t="shared" si="21"/>
        <v>0</v>
      </c>
      <c r="V110" s="192">
        <f t="shared" si="46"/>
        <v>0</v>
      </c>
    </row>
    <row r="111" spans="2:23" ht="25.5" hidden="1">
      <c r="B111" s="213" t="s">
        <v>1685</v>
      </c>
      <c r="C111" s="180" t="s">
        <v>512</v>
      </c>
      <c r="D111" s="187" t="s">
        <v>1354</v>
      </c>
      <c r="E111" s="239">
        <v>4</v>
      </c>
      <c r="F111" s="191" t="s">
        <v>1351</v>
      </c>
      <c r="G111" s="190">
        <v>9990001</v>
      </c>
      <c r="H111" s="191" t="s">
        <v>1577</v>
      </c>
      <c r="I111" s="192">
        <v>0</v>
      </c>
      <c r="J111" s="2550">
        <v>0</v>
      </c>
      <c r="K111" s="2219">
        <v>0</v>
      </c>
      <c r="L111" s="192">
        <f t="shared" si="66"/>
        <v>0</v>
      </c>
      <c r="M111" s="192">
        <f t="shared" si="67"/>
        <v>0</v>
      </c>
      <c r="N111" s="192">
        <f t="shared" si="68"/>
        <v>0</v>
      </c>
      <c r="O111" s="192">
        <f t="shared" si="69"/>
        <v>0</v>
      </c>
      <c r="P111" s="1014">
        <v>0</v>
      </c>
      <c r="Q111" s="193"/>
      <c r="R111" s="192">
        <f t="shared" si="47"/>
        <v>0</v>
      </c>
      <c r="S111" s="192">
        <f t="shared" si="48"/>
        <v>0</v>
      </c>
      <c r="T111" s="192">
        <f t="shared" si="49"/>
        <v>0</v>
      </c>
      <c r="U111" s="192">
        <f t="shared" si="21"/>
        <v>0</v>
      </c>
      <c r="V111" s="192">
        <f t="shared" si="46"/>
        <v>0</v>
      </c>
    </row>
    <row r="112" spans="2:23" ht="25.5" hidden="1">
      <c r="B112" s="213" t="s">
        <v>1686</v>
      </c>
      <c r="C112" s="180" t="s">
        <v>512</v>
      </c>
      <c r="D112" s="187" t="s">
        <v>1355</v>
      </c>
      <c r="E112" s="239">
        <v>4</v>
      </c>
      <c r="F112" s="191" t="s">
        <v>1351</v>
      </c>
      <c r="G112" s="190">
        <v>9990001</v>
      </c>
      <c r="H112" s="191" t="s">
        <v>1577</v>
      </c>
      <c r="I112" s="192">
        <v>0</v>
      </c>
      <c r="J112" s="2550">
        <v>0</v>
      </c>
      <c r="K112" s="2219">
        <v>0</v>
      </c>
      <c r="L112" s="192">
        <f t="shared" si="66"/>
        <v>0</v>
      </c>
      <c r="M112" s="192">
        <f t="shared" si="67"/>
        <v>0</v>
      </c>
      <c r="N112" s="192">
        <f t="shared" si="68"/>
        <v>0</v>
      </c>
      <c r="O112" s="192">
        <f t="shared" si="69"/>
        <v>0</v>
      </c>
      <c r="P112" s="1014">
        <v>0</v>
      </c>
      <c r="Q112" s="193"/>
      <c r="R112" s="192">
        <f t="shared" si="47"/>
        <v>0</v>
      </c>
      <c r="S112" s="192">
        <f t="shared" si="48"/>
        <v>0</v>
      </c>
      <c r="T112" s="192">
        <f t="shared" si="49"/>
        <v>0</v>
      </c>
      <c r="U112" s="192">
        <f t="shared" si="21"/>
        <v>0</v>
      </c>
      <c r="V112" s="192">
        <f t="shared" si="46"/>
        <v>0</v>
      </c>
    </row>
    <row r="113" spans="2:22" ht="25.5" hidden="1">
      <c r="B113" s="539" t="s">
        <v>1687</v>
      </c>
      <c r="C113" s="180" t="s">
        <v>512</v>
      </c>
      <c r="D113" s="187" t="s">
        <v>1356</v>
      </c>
      <c r="E113" s="239">
        <v>4</v>
      </c>
      <c r="F113" s="191" t="s">
        <v>1351</v>
      </c>
      <c r="G113" s="190">
        <v>9990001</v>
      </c>
      <c r="H113" s="191" t="s">
        <v>1577</v>
      </c>
      <c r="I113" s="512">
        <v>0</v>
      </c>
      <c r="J113" s="2550">
        <v>0</v>
      </c>
      <c r="K113" s="2352">
        <v>0</v>
      </c>
      <c r="L113" s="192">
        <f t="shared" si="66"/>
        <v>0</v>
      </c>
      <c r="M113" s="192">
        <f t="shared" si="67"/>
        <v>0</v>
      </c>
      <c r="N113" s="192">
        <f t="shared" si="68"/>
        <v>0</v>
      </c>
      <c r="O113" s="192">
        <f t="shared" si="69"/>
        <v>0</v>
      </c>
      <c r="P113" s="1014">
        <v>0</v>
      </c>
      <c r="Q113" s="193"/>
      <c r="R113" s="192">
        <f t="shared" si="47"/>
        <v>0</v>
      </c>
      <c r="S113" s="192">
        <f t="shared" si="48"/>
        <v>0</v>
      </c>
      <c r="T113" s="192">
        <f t="shared" si="49"/>
        <v>0</v>
      </c>
      <c r="U113" s="192">
        <f t="shared" si="21"/>
        <v>0</v>
      </c>
      <c r="V113" s="192">
        <f t="shared" si="46"/>
        <v>0</v>
      </c>
    </row>
    <row r="114" spans="2:22" ht="25.5" hidden="1">
      <c r="B114" s="539" t="s">
        <v>1688</v>
      </c>
      <c r="C114" s="180" t="s">
        <v>512</v>
      </c>
      <c r="D114" s="187" t="s">
        <v>1357</v>
      </c>
      <c r="E114" s="239">
        <v>4</v>
      </c>
      <c r="F114" s="191" t="s">
        <v>1351</v>
      </c>
      <c r="G114" s="190">
        <v>9990001</v>
      </c>
      <c r="H114" s="191" t="s">
        <v>1577</v>
      </c>
      <c r="I114" s="512">
        <v>0</v>
      </c>
      <c r="J114" s="2550">
        <v>0</v>
      </c>
      <c r="K114" s="2352">
        <v>0</v>
      </c>
      <c r="L114" s="192">
        <f t="shared" si="66"/>
        <v>0</v>
      </c>
      <c r="M114" s="192">
        <f t="shared" si="67"/>
        <v>0</v>
      </c>
      <c r="N114" s="192">
        <f t="shared" si="68"/>
        <v>0</v>
      </c>
      <c r="O114" s="192">
        <f t="shared" si="69"/>
        <v>0</v>
      </c>
      <c r="P114" s="1014">
        <v>0</v>
      </c>
      <c r="Q114" s="193"/>
      <c r="R114" s="192">
        <f t="shared" si="47"/>
        <v>0</v>
      </c>
      <c r="S114" s="192">
        <f t="shared" si="48"/>
        <v>0</v>
      </c>
      <c r="T114" s="192">
        <f t="shared" si="49"/>
        <v>0</v>
      </c>
      <c r="U114" s="192">
        <f t="shared" si="21"/>
        <v>0</v>
      </c>
      <c r="V114" s="192">
        <f t="shared" si="46"/>
        <v>0</v>
      </c>
    </row>
    <row r="115" spans="2:22" ht="25.5" hidden="1">
      <c r="B115" s="213" t="s">
        <v>1689</v>
      </c>
      <c r="C115" s="180" t="s">
        <v>512</v>
      </c>
      <c r="D115" s="187" t="s">
        <v>1358</v>
      </c>
      <c r="E115" s="239">
        <v>4</v>
      </c>
      <c r="F115" s="191" t="s">
        <v>1351</v>
      </c>
      <c r="G115" s="190">
        <v>9990001</v>
      </c>
      <c r="H115" s="191" t="s">
        <v>1577</v>
      </c>
      <c r="I115" s="192">
        <v>0</v>
      </c>
      <c r="J115" s="2550">
        <v>0</v>
      </c>
      <c r="K115" s="2219">
        <v>0</v>
      </c>
      <c r="L115" s="192">
        <f t="shared" si="66"/>
        <v>0</v>
      </c>
      <c r="M115" s="192">
        <f t="shared" si="67"/>
        <v>0</v>
      </c>
      <c r="N115" s="192">
        <f t="shared" si="68"/>
        <v>0</v>
      </c>
      <c r="O115" s="192">
        <f t="shared" si="69"/>
        <v>0</v>
      </c>
      <c r="P115" s="1014"/>
      <c r="Q115" s="193"/>
      <c r="R115" s="192">
        <f t="shared" si="47"/>
        <v>0</v>
      </c>
      <c r="S115" s="192">
        <f t="shared" si="48"/>
        <v>0</v>
      </c>
      <c r="T115" s="192">
        <f t="shared" si="49"/>
        <v>0</v>
      </c>
      <c r="U115" s="192">
        <f t="shared" si="21"/>
        <v>0</v>
      </c>
      <c r="V115" s="192">
        <f t="shared" si="46"/>
        <v>0</v>
      </c>
    </row>
    <row r="116" spans="2:22" ht="25.5" hidden="1">
      <c r="B116" s="213" t="s">
        <v>1690</v>
      </c>
      <c r="C116" s="180" t="s">
        <v>512</v>
      </c>
      <c r="D116" s="187" t="s">
        <v>1359</v>
      </c>
      <c r="E116" s="239">
        <v>4</v>
      </c>
      <c r="F116" s="191" t="s">
        <v>1351</v>
      </c>
      <c r="G116" s="190">
        <v>9990001</v>
      </c>
      <c r="H116" s="191" t="s">
        <v>1577</v>
      </c>
      <c r="I116" s="192">
        <v>0</v>
      </c>
      <c r="J116" s="2550">
        <v>0</v>
      </c>
      <c r="K116" s="2219">
        <v>0</v>
      </c>
      <c r="L116" s="192">
        <f t="shared" si="66"/>
        <v>0</v>
      </c>
      <c r="M116" s="192">
        <f t="shared" si="67"/>
        <v>0</v>
      </c>
      <c r="N116" s="192">
        <f t="shared" si="68"/>
        <v>0</v>
      </c>
      <c r="O116" s="192">
        <f t="shared" si="69"/>
        <v>0</v>
      </c>
      <c r="P116" s="1014"/>
      <c r="Q116" s="193"/>
      <c r="R116" s="192">
        <f t="shared" si="47"/>
        <v>0</v>
      </c>
      <c r="S116" s="192">
        <f t="shared" si="48"/>
        <v>0</v>
      </c>
      <c r="T116" s="192">
        <f t="shared" si="49"/>
        <v>0</v>
      </c>
      <c r="U116" s="192">
        <f t="shared" si="21"/>
        <v>0</v>
      </c>
      <c r="V116" s="192">
        <f t="shared" si="46"/>
        <v>0</v>
      </c>
    </row>
    <row r="117" spans="2:22" hidden="1">
      <c r="B117" s="268" t="s">
        <v>1691</v>
      </c>
      <c r="C117" s="180" t="s">
        <v>512</v>
      </c>
      <c r="D117" s="187" t="s">
        <v>1395</v>
      </c>
      <c r="E117" s="239">
        <v>4</v>
      </c>
      <c r="F117" s="191" t="s">
        <v>1396</v>
      </c>
      <c r="G117" s="190">
        <v>9990001</v>
      </c>
      <c r="H117" s="191" t="s">
        <v>1577</v>
      </c>
      <c r="I117" s="192">
        <v>0</v>
      </c>
      <c r="J117" s="2550">
        <v>0</v>
      </c>
      <c r="K117" s="2219">
        <v>0</v>
      </c>
      <c r="L117" s="192">
        <f t="shared" si="66"/>
        <v>0</v>
      </c>
      <c r="M117" s="192">
        <f t="shared" si="67"/>
        <v>0</v>
      </c>
      <c r="N117" s="192">
        <f t="shared" si="68"/>
        <v>0</v>
      </c>
      <c r="O117" s="192">
        <f t="shared" si="69"/>
        <v>0</v>
      </c>
      <c r="P117" s="1014"/>
      <c r="Q117" s="193"/>
      <c r="R117" s="192">
        <f t="shared" si="47"/>
        <v>0</v>
      </c>
      <c r="S117" s="192">
        <f t="shared" si="48"/>
        <v>0</v>
      </c>
      <c r="T117" s="192">
        <f t="shared" si="49"/>
        <v>0</v>
      </c>
      <c r="U117" s="192">
        <f t="shared" si="21"/>
        <v>0</v>
      </c>
      <c r="V117" s="192">
        <f t="shared" si="46"/>
        <v>0</v>
      </c>
    </row>
    <row r="118" spans="2:22" hidden="1">
      <c r="B118" s="268" t="s">
        <v>1692</v>
      </c>
      <c r="C118" s="180" t="s">
        <v>512</v>
      </c>
      <c r="D118" s="187" t="s">
        <v>1398</v>
      </c>
      <c r="E118" s="239">
        <v>4</v>
      </c>
      <c r="F118" s="191" t="s">
        <v>1396</v>
      </c>
      <c r="G118" s="190">
        <v>9990001</v>
      </c>
      <c r="H118" s="191" t="s">
        <v>1577</v>
      </c>
      <c r="I118" s="192">
        <v>0</v>
      </c>
      <c r="J118" s="2550">
        <v>0</v>
      </c>
      <c r="K118" s="2219">
        <v>0</v>
      </c>
      <c r="L118" s="192">
        <f t="shared" si="66"/>
        <v>0</v>
      </c>
      <c r="M118" s="192">
        <f t="shared" si="67"/>
        <v>0</v>
      </c>
      <c r="N118" s="192">
        <f t="shared" si="68"/>
        <v>0</v>
      </c>
      <c r="O118" s="192">
        <f t="shared" si="69"/>
        <v>0</v>
      </c>
      <c r="P118" s="1014"/>
      <c r="Q118" s="193"/>
      <c r="R118" s="192">
        <f t="shared" si="47"/>
        <v>0</v>
      </c>
      <c r="S118" s="192">
        <f t="shared" si="48"/>
        <v>0</v>
      </c>
      <c r="T118" s="192">
        <f t="shared" si="49"/>
        <v>0</v>
      </c>
      <c r="U118" s="192">
        <f t="shared" si="21"/>
        <v>0</v>
      </c>
      <c r="V118" s="192">
        <f t="shared" si="46"/>
        <v>0</v>
      </c>
    </row>
    <row r="119" spans="2:22">
      <c r="B119" s="268" t="s">
        <v>3621</v>
      </c>
      <c r="C119" s="180" t="s">
        <v>512</v>
      </c>
      <c r="D119" s="187" t="s">
        <v>3281</v>
      </c>
      <c r="E119" s="239">
        <v>2</v>
      </c>
      <c r="F119" s="191" t="s">
        <v>3280</v>
      </c>
      <c r="G119" s="190"/>
      <c r="H119" s="191"/>
      <c r="I119" s="192">
        <f>0</f>
        <v>0</v>
      </c>
      <c r="J119" s="2550">
        <v>0</v>
      </c>
      <c r="K119" s="2219">
        <f>0</f>
        <v>0</v>
      </c>
      <c r="L119" s="192">
        <f t="shared" si="66"/>
        <v>0</v>
      </c>
      <c r="M119" s="192">
        <f t="shared" si="67"/>
        <v>0</v>
      </c>
      <c r="N119" s="192">
        <f t="shared" si="68"/>
        <v>0</v>
      </c>
      <c r="O119" s="192">
        <f t="shared" si="69"/>
        <v>0</v>
      </c>
      <c r="P119" s="1014">
        <v>0</v>
      </c>
      <c r="Q119" s="193"/>
      <c r="R119" s="192">
        <f t="shared" si="47"/>
        <v>0</v>
      </c>
      <c r="S119" s="192">
        <f t="shared" si="48"/>
        <v>0</v>
      </c>
      <c r="T119" s="192">
        <f t="shared" si="49"/>
        <v>0</v>
      </c>
      <c r="U119" s="192">
        <f t="shared" si="21"/>
        <v>0</v>
      </c>
      <c r="V119" s="192">
        <f t="shared" si="46"/>
        <v>0</v>
      </c>
    </row>
    <row r="120" spans="2:22">
      <c r="B120" s="214" t="s">
        <v>1693</v>
      </c>
      <c r="C120" s="180" t="s">
        <v>656</v>
      </c>
      <c r="D120" s="190" t="s">
        <v>1694</v>
      </c>
      <c r="E120" s="190">
        <v>2</v>
      </c>
      <c r="F120" s="191" t="s">
        <v>1312</v>
      </c>
      <c r="G120" s="190" t="s">
        <v>1313</v>
      </c>
      <c r="H120" s="191" t="s">
        <v>1695</v>
      </c>
      <c r="I120" s="192">
        <f>3000000-1000000</f>
        <v>2000000</v>
      </c>
      <c r="J120" s="2550">
        <v>1873861</v>
      </c>
      <c r="K120" s="2219">
        <f>3000000-1000000</f>
        <v>2000000</v>
      </c>
      <c r="L120" s="192">
        <f t="shared" si="66"/>
        <v>2000000</v>
      </c>
      <c r="M120" s="192">
        <f t="shared" si="67"/>
        <v>2000000</v>
      </c>
      <c r="N120" s="192">
        <f t="shared" si="67"/>
        <v>2000000</v>
      </c>
      <c r="O120" s="192">
        <f t="shared" si="69"/>
        <v>2000000</v>
      </c>
      <c r="P120" s="3005">
        <v>1224913</v>
      </c>
      <c r="Q120" s="193">
        <f t="shared" si="50"/>
        <v>0.61245649999999996</v>
      </c>
      <c r="R120" s="209">
        <f t="shared" si="47"/>
        <v>0</v>
      </c>
      <c r="S120" s="192">
        <f t="shared" si="48"/>
        <v>0</v>
      </c>
      <c r="T120" s="192">
        <f t="shared" si="49"/>
        <v>0</v>
      </c>
      <c r="U120" s="192">
        <f t="shared" si="21"/>
        <v>0</v>
      </c>
      <c r="V120" s="192">
        <f t="shared" si="46"/>
        <v>775087</v>
      </c>
    </row>
    <row r="121" spans="2:22">
      <c r="B121" s="214" t="s">
        <v>1696</v>
      </c>
      <c r="C121" s="180" t="s">
        <v>512</v>
      </c>
      <c r="D121" s="187" t="s">
        <v>1697</v>
      </c>
      <c r="E121" s="239">
        <v>2</v>
      </c>
      <c r="F121" s="191" t="s">
        <v>534</v>
      </c>
      <c r="G121" s="190">
        <v>9990001</v>
      </c>
      <c r="H121" s="191" t="s">
        <v>1577</v>
      </c>
      <c r="I121" s="192">
        <f>4000000</f>
        <v>4000000</v>
      </c>
      <c r="J121" s="2550">
        <v>0</v>
      </c>
      <c r="K121" s="2219">
        <f>4000000</f>
        <v>4000000</v>
      </c>
      <c r="L121" s="192">
        <f>+K121-60150-1-64520+1954327</f>
        <v>5829656</v>
      </c>
      <c r="M121" s="192">
        <f>+L121-1754142-344652-100000</f>
        <v>3630862</v>
      </c>
      <c r="N121" s="192">
        <f>+M121-82000-68016-800000-830563</f>
        <v>1850283</v>
      </c>
      <c r="O121" s="192">
        <f t="shared" si="69"/>
        <v>1850283</v>
      </c>
      <c r="P121" s="1014">
        <v>0</v>
      </c>
      <c r="Q121" s="193">
        <f t="shared" si="50"/>
        <v>0</v>
      </c>
      <c r="R121" s="209">
        <f t="shared" si="47"/>
        <v>1829656</v>
      </c>
      <c r="S121" s="192">
        <f t="shared" si="48"/>
        <v>-2198794</v>
      </c>
      <c r="T121" s="192">
        <f t="shared" si="49"/>
        <v>-1780579</v>
      </c>
      <c r="U121" s="192">
        <f t="shared" si="21"/>
        <v>0</v>
      </c>
      <c r="V121" s="192">
        <f t="shared" si="46"/>
        <v>1850283</v>
      </c>
    </row>
    <row r="122" spans="2:22">
      <c r="B122" s="214" t="s">
        <v>1698</v>
      </c>
      <c r="C122" s="180"/>
      <c r="D122" s="190"/>
      <c r="E122" s="190"/>
      <c r="F122" s="191"/>
      <c r="G122" s="190"/>
      <c r="H122" s="191" t="s">
        <v>1577</v>
      </c>
      <c r="I122" s="192">
        <f>SUM(I120:I121)</f>
        <v>6000000</v>
      </c>
      <c r="J122" s="2550">
        <f t="shared" ref="J122:P122" si="70">SUM(J120:J121)</f>
        <v>1873861</v>
      </c>
      <c r="K122" s="2219">
        <f t="shared" si="70"/>
        <v>6000000</v>
      </c>
      <c r="L122" s="192">
        <f t="shared" si="70"/>
        <v>7829656</v>
      </c>
      <c r="M122" s="192">
        <f t="shared" si="70"/>
        <v>5630862</v>
      </c>
      <c r="N122" s="192">
        <f t="shared" si="70"/>
        <v>3850283</v>
      </c>
      <c r="O122" s="192">
        <f t="shared" si="70"/>
        <v>3850283</v>
      </c>
      <c r="P122" s="1014">
        <f t="shared" si="70"/>
        <v>1224913</v>
      </c>
      <c r="Q122" s="193">
        <f t="shared" si="50"/>
        <v>0.31813583572947757</v>
      </c>
      <c r="R122" s="209">
        <f t="shared" si="47"/>
        <v>1829656</v>
      </c>
      <c r="S122" s="209">
        <f t="shared" si="48"/>
        <v>-2198794</v>
      </c>
      <c r="T122" s="209">
        <f t="shared" si="49"/>
        <v>-1780579</v>
      </c>
      <c r="U122" s="209">
        <f t="shared" si="21"/>
        <v>0</v>
      </c>
      <c r="V122" s="209">
        <f t="shared" si="46"/>
        <v>2625370</v>
      </c>
    </row>
    <row r="123" spans="2:22">
      <c r="B123" s="208" t="s">
        <v>1699</v>
      </c>
      <c r="C123" s="208"/>
      <c r="D123" s="208"/>
      <c r="E123" s="208"/>
      <c r="F123" s="208"/>
      <c r="G123" s="208"/>
      <c r="H123" s="184" t="s">
        <v>1578</v>
      </c>
      <c r="I123" s="209">
        <f t="shared" ref="I123:P123" si="71">SUM(I107:I122)-I120-I121</f>
        <v>6860000</v>
      </c>
      <c r="J123" s="2549">
        <f t="shared" si="71"/>
        <v>3364515</v>
      </c>
      <c r="K123" s="2347">
        <f t="shared" si="71"/>
        <v>7513200</v>
      </c>
      <c r="L123" s="209">
        <f t="shared" si="71"/>
        <v>9407376</v>
      </c>
      <c r="M123" s="209">
        <f t="shared" si="71"/>
        <v>7208582</v>
      </c>
      <c r="N123" s="209">
        <f t="shared" si="71"/>
        <v>5578019</v>
      </c>
      <c r="O123" s="209">
        <f t="shared" si="71"/>
        <v>5578019</v>
      </c>
      <c r="P123" s="1025">
        <f t="shared" si="71"/>
        <v>2521645</v>
      </c>
      <c r="Q123" s="210">
        <f t="shared" si="50"/>
        <v>0.4520681984052044</v>
      </c>
      <c r="R123" s="209">
        <f>SUM(R107:R122)-R120-R121</f>
        <v>1894176</v>
      </c>
      <c r="S123" s="209">
        <f t="shared" si="48"/>
        <v>-2198794</v>
      </c>
      <c r="T123" s="209">
        <f t="shared" si="49"/>
        <v>-1630563</v>
      </c>
      <c r="U123" s="209">
        <f t="shared" si="21"/>
        <v>0</v>
      </c>
      <c r="V123" s="209">
        <f t="shared" si="46"/>
        <v>3056374</v>
      </c>
    </row>
    <row r="124" spans="2:22">
      <c r="B124" s="208" t="s">
        <v>1700</v>
      </c>
      <c r="C124" s="208"/>
      <c r="D124" s="208"/>
      <c r="E124" s="208"/>
      <c r="F124" s="208"/>
      <c r="G124" s="208"/>
      <c r="H124" s="184" t="s">
        <v>1579</v>
      </c>
      <c r="I124" s="209">
        <f t="shared" ref="I124:P124" si="72">+I95+I99+I102+I103+I123</f>
        <v>9860000</v>
      </c>
      <c r="J124" s="2549">
        <f t="shared" si="72"/>
        <v>5175515</v>
      </c>
      <c r="K124" s="2347">
        <f t="shared" si="72"/>
        <v>10513200</v>
      </c>
      <c r="L124" s="209">
        <f t="shared" si="72"/>
        <v>12407376</v>
      </c>
      <c r="M124" s="209">
        <f t="shared" si="72"/>
        <v>10208582</v>
      </c>
      <c r="N124" s="209">
        <f t="shared" si="72"/>
        <v>8578019</v>
      </c>
      <c r="O124" s="209">
        <f t="shared" si="72"/>
        <v>8578019</v>
      </c>
      <c r="P124" s="1025">
        <f t="shared" si="72"/>
        <v>4508645</v>
      </c>
      <c r="Q124" s="210">
        <f t="shared" si="50"/>
        <v>0.52560445482809026</v>
      </c>
      <c r="R124" s="209">
        <f>+L124-K124</f>
        <v>1894176</v>
      </c>
      <c r="S124" s="209">
        <f t="shared" si="48"/>
        <v>-2198794</v>
      </c>
      <c r="T124" s="209">
        <f t="shared" si="49"/>
        <v>-1630563</v>
      </c>
      <c r="U124" s="209">
        <f t="shared" si="21"/>
        <v>0</v>
      </c>
      <c r="V124" s="209">
        <f t="shared" si="46"/>
        <v>4069374</v>
      </c>
    </row>
    <row r="125" spans="2:22" ht="18.75">
      <c r="B125" s="218" t="s">
        <v>10</v>
      </c>
      <c r="C125" s="218"/>
      <c r="D125" s="218"/>
      <c r="E125" s="218"/>
      <c r="F125" s="218"/>
      <c r="G125" s="218"/>
      <c r="H125" s="219" t="s">
        <v>1580</v>
      </c>
      <c r="I125" s="221">
        <f t="shared" ref="I125:P125" si="73">+I26+I42+I85+I92+I124</f>
        <v>175939050</v>
      </c>
      <c r="J125" s="2605">
        <f t="shared" si="73"/>
        <v>122594937</v>
      </c>
      <c r="K125" s="2353">
        <f t="shared" si="73"/>
        <v>154083060</v>
      </c>
      <c r="L125" s="221">
        <f t="shared" si="73"/>
        <v>132977236</v>
      </c>
      <c r="M125" s="221">
        <f t="shared" si="73"/>
        <v>128853836</v>
      </c>
      <c r="N125" s="221">
        <f t="shared" si="73"/>
        <v>133723273</v>
      </c>
      <c r="O125" s="221">
        <f t="shared" si="73"/>
        <v>133723273</v>
      </c>
      <c r="P125" s="1096">
        <f t="shared" si="73"/>
        <v>102382960</v>
      </c>
      <c r="Q125" s="223">
        <f t="shared" si="50"/>
        <v>0.76563306972003298</v>
      </c>
      <c r="R125" s="221">
        <f>+L125-K125</f>
        <v>-21105824</v>
      </c>
      <c r="S125" s="221">
        <f t="shared" si="48"/>
        <v>-4123400</v>
      </c>
      <c r="T125" s="221">
        <f t="shared" si="49"/>
        <v>4869437</v>
      </c>
      <c r="U125" s="221">
        <f t="shared" si="21"/>
        <v>0</v>
      </c>
      <c r="V125" s="221">
        <f t="shared" si="46"/>
        <v>31340313</v>
      </c>
    </row>
    <row r="126" spans="2:22">
      <c r="I126" s="169">
        <f t="shared" ref="I126:P126" si="74">+I7+I8+I9+I10+I11+I12+I15+I17+I18+I19+I20+I29+I30+I34+I37+I43+I46+I49+I56+I60+I61+I62+I63+I64+I68+I70+I71+I75+I77+I78+I79+I80+I81+I82+I86+I87+I91+I96+I104+I105+I106+I109+I110+I111+I112+I113+I114+I117+I118+I119+I120+I121</f>
        <v>175939050</v>
      </c>
      <c r="J126" s="2609">
        <f t="shared" si="74"/>
        <v>122493337</v>
      </c>
      <c r="K126" s="2332">
        <f t="shared" si="74"/>
        <v>154083060</v>
      </c>
      <c r="L126" s="169">
        <f t="shared" si="74"/>
        <v>132977236</v>
      </c>
      <c r="M126" s="169">
        <f t="shared" si="74"/>
        <v>128853836</v>
      </c>
      <c r="N126" s="169">
        <f t="shared" si="74"/>
        <v>133723273</v>
      </c>
      <c r="O126" s="169">
        <f t="shared" si="74"/>
        <v>133723273</v>
      </c>
      <c r="P126" s="1097">
        <f t="shared" si="74"/>
        <v>102382960</v>
      </c>
      <c r="Q126" s="193">
        <f t="shared" si="50"/>
        <v>0.76563306972003298</v>
      </c>
      <c r="R126" s="169"/>
      <c r="S126" s="169"/>
      <c r="T126" s="169"/>
      <c r="U126" s="169"/>
      <c r="V126" s="169">
        <f t="shared" si="46"/>
        <v>31340313</v>
      </c>
    </row>
    <row r="127" spans="2:22" ht="25.5">
      <c r="F127" s="518" t="s">
        <v>1183</v>
      </c>
      <c r="I127" s="169">
        <f>+I125-'11.mell. PMH Dologi'!I89</f>
        <v>0</v>
      </c>
      <c r="J127" s="2609">
        <f>+J125-'11.mell. PMH Dologi'!J89</f>
        <v>0</v>
      </c>
      <c r="K127" s="2332">
        <f>+K125-'11.mell. PMH Dologi'!K89</f>
        <v>0</v>
      </c>
      <c r="L127" s="169">
        <f>+L125-'11.mell. PMH Dologi'!L89</f>
        <v>0</v>
      </c>
      <c r="M127" s="169">
        <f>+M125-'11.mell. PMH Dologi'!M89</f>
        <v>0</v>
      </c>
      <c r="N127" s="169">
        <f>+N125-'11.mell. PMH Dologi'!N89</f>
        <v>0</v>
      </c>
      <c r="O127" s="169">
        <f>+O125-'11.mell. PMH Dologi'!O89</f>
        <v>0</v>
      </c>
      <c r="P127" s="1097">
        <f>+P125-'11.mell. PMH Dologi'!P89</f>
        <v>0</v>
      </c>
      <c r="Q127" s="169"/>
      <c r="R127" s="169"/>
      <c r="S127" s="169"/>
      <c r="T127" s="169"/>
      <c r="U127" s="169"/>
      <c r="V127" s="169">
        <f t="shared" si="46"/>
        <v>0</v>
      </c>
    </row>
    <row r="128" spans="2:22">
      <c r="B128" s="523" t="s">
        <v>1701</v>
      </c>
      <c r="I128" s="169"/>
      <c r="J128" s="2609"/>
      <c r="K128" s="2332"/>
      <c r="L128" s="169" t="s">
        <v>1702</v>
      </c>
      <c r="M128" s="169"/>
      <c r="N128" s="169"/>
      <c r="O128" s="169"/>
      <c r="P128" s="1097"/>
      <c r="Q128" s="169"/>
      <c r="R128" s="169"/>
      <c r="S128" s="169"/>
      <c r="T128" s="169"/>
      <c r="U128" s="169"/>
      <c r="V128" s="169">
        <f t="shared" si="46"/>
        <v>0</v>
      </c>
    </row>
    <row r="129" spans="2:22">
      <c r="B129" s="540" t="s">
        <v>1703</v>
      </c>
      <c r="C129" s="180" t="s">
        <v>512</v>
      </c>
      <c r="D129" s="540" t="s">
        <v>1704</v>
      </c>
      <c r="E129" s="541">
        <v>2</v>
      </c>
      <c r="F129" s="180" t="s">
        <v>534</v>
      </c>
      <c r="G129" s="190">
        <v>9990001</v>
      </c>
      <c r="H129" s="542" t="s">
        <v>1705</v>
      </c>
      <c r="I129" s="192">
        <v>0</v>
      </c>
      <c r="J129" s="2550">
        <v>0</v>
      </c>
      <c r="K129" s="2219">
        <v>0</v>
      </c>
      <c r="L129" s="192">
        <f>+K129+15359103</f>
        <v>15359103</v>
      </c>
      <c r="M129" s="192">
        <f>+L129</f>
        <v>15359103</v>
      </c>
      <c r="N129" s="192">
        <f>+M129</f>
        <v>15359103</v>
      </c>
      <c r="O129" s="192">
        <f>+N129</f>
        <v>15359103</v>
      </c>
      <c r="P129" s="1274">
        <v>15359103</v>
      </c>
      <c r="Q129" s="193">
        <f>+P129/N129</f>
        <v>1</v>
      </c>
      <c r="R129" s="209">
        <f t="shared" ref="R129:R136" si="75">+L129-K129</f>
        <v>15359103</v>
      </c>
      <c r="S129" s="192"/>
      <c r="T129" s="169"/>
      <c r="U129" s="169"/>
      <c r="V129" s="192">
        <f t="shared" si="46"/>
        <v>0</v>
      </c>
    </row>
    <row r="130" spans="2:22" ht="25.5">
      <c r="B130" s="540" t="s">
        <v>3318</v>
      </c>
      <c r="C130" s="180"/>
      <c r="D130" s="540"/>
      <c r="E130" s="541"/>
      <c r="F130" s="180"/>
      <c r="G130" s="190"/>
      <c r="H130" s="542"/>
      <c r="I130" s="192">
        <v>0</v>
      </c>
      <c r="J130" s="2550">
        <v>0</v>
      </c>
      <c r="K130" s="2219"/>
      <c r="L130" s="192">
        <f>+K130</f>
        <v>0</v>
      </c>
      <c r="M130" s="192">
        <f t="shared" ref="M130:P132" si="76">+L130</f>
        <v>0</v>
      </c>
      <c r="N130" s="192">
        <f t="shared" si="76"/>
        <v>0</v>
      </c>
      <c r="O130" s="192">
        <f t="shared" si="76"/>
        <v>0</v>
      </c>
      <c r="P130" s="1274"/>
      <c r="Q130" s="193"/>
      <c r="R130" s="209">
        <f t="shared" si="75"/>
        <v>0</v>
      </c>
      <c r="S130" s="209">
        <f t="shared" ref="S130:S136" si="77">+M130-L130</f>
        <v>0</v>
      </c>
      <c r="T130" s="209">
        <f t="shared" ref="T130:T136" si="78">+N130-M130</f>
        <v>0</v>
      </c>
      <c r="U130" s="209">
        <f t="shared" ref="U130:U136" si="79">+O130-N130</f>
        <v>0</v>
      </c>
      <c r="V130" s="192">
        <f t="shared" si="46"/>
        <v>0</v>
      </c>
    </row>
    <row r="131" spans="2:22">
      <c r="B131" s="540" t="s">
        <v>1706</v>
      </c>
      <c r="C131" s="180" t="s">
        <v>656</v>
      </c>
      <c r="D131" s="540" t="s">
        <v>1707</v>
      </c>
      <c r="E131" s="541">
        <v>2</v>
      </c>
      <c r="F131" s="180" t="s">
        <v>1312</v>
      </c>
      <c r="G131" s="190">
        <v>960900</v>
      </c>
      <c r="H131" s="542" t="s">
        <v>1708</v>
      </c>
      <c r="I131" s="192">
        <v>0</v>
      </c>
      <c r="J131" s="2550">
        <v>0</v>
      </c>
      <c r="K131" s="2219">
        <v>0</v>
      </c>
      <c r="L131" s="192">
        <f>+K131</f>
        <v>0</v>
      </c>
      <c r="M131" s="192">
        <f t="shared" si="76"/>
        <v>0</v>
      </c>
      <c r="N131" s="192">
        <f t="shared" si="76"/>
        <v>0</v>
      </c>
      <c r="O131" s="192">
        <f t="shared" si="76"/>
        <v>0</v>
      </c>
      <c r="P131" s="1014">
        <f t="shared" si="76"/>
        <v>0</v>
      </c>
      <c r="Q131" s="193"/>
      <c r="R131" s="209">
        <f t="shared" si="75"/>
        <v>0</v>
      </c>
      <c r="S131" s="209">
        <f t="shared" si="77"/>
        <v>0</v>
      </c>
      <c r="T131" s="209">
        <f t="shared" si="78"/>
        <v>0</v>
      </c>
      <c r="U131" s="209">
        <f t="shared" si="79"/>
        <v>0</v>
      </c>
      <c r="V131" s="192">
        <f t="shared" si="46"/>
        <v>0</v>
      </c>
    </row>
    <row r="132" spans="2:22">
      <c r="B132" s="540"/>
      <c r="C132" s="180"/>
      <c r="D132" s="540"/>
      <c r="E132" s="541"/>
      <c r="F132" s="180"/>
      <c r="G132" s="190"/>
      <c r="H132" s="542"/>
      <c r="I132" s="192">
        <v>0</v>
      </c>
      <c r="J132" s="2550">
        <v>0</v>
      </c>
      <c r="K132" s="2219">
        <v>0</v>
      </c>
      <c r="L132" s="192">
        <f>+K132</f>
        <v>0</v>
      </c>
      <c r="M132" s="192">
        <f t="shared" si="76"/>
        <v>0</v>
      </c>
      <c r="N132" s="192">
        <f t="shared" si="76"/>
        <v>0</v>
      </c>
      <c r="O132" s="192">
        <f t="shared" si="76"/>
        <v>0</v>
      </c>
      <c r="P132" s="1014">
        <f t="shared" si="76"/>
        <v>0</v>
      </c>
      <c r="Q132" s="193"/>
      <c r="R132" s="209">
        <f t="shared" si="75"/>
        <v>0</v>
      </c>
      <c r="S132" s="209">
        <f t="shared" si="77"/>
        <v>0</v>
      </c>
      <c r="T132" s="209">
        <f t="shared" si="78"/>
        <v>0</v>
      </c>
      <c r="U132" s="209">
        <f t="shared" si="79"/>
        <v>0</v>
      </c>
      <c r="V132" s="192">
        <f t="shared" si="46"/>
        <v>0</v>
      </c>
    </row>
    <row r="133" spans="2:22" s="522" customFormat="1">
      <c r="B133" s="543" t="s">
        <v>1709</v>
      </c>
      <c r="C133" s="205"/>
      <c r="D133" s="543"/>
      <c r="E133" s="544"/>
      <c r="F133" s="205"/>
      <c r="G133" s="207"/>
      <c r="H133" s="545"/>
      <c r="I133" s="209">
        <f>SUM(I130:I132)</f>
        <v>0</v>
      </c>
      <c r="J133" s="2549">
        <f>SUM(J129:J132)</f>
        <v>0</v>
      </c>
      <c r="K133" s="2347">
        <f t="shared" ref="K133:P133" si="80">SUM(K129:K132)</f>
        <v>0</v>
      </c>
      <c r="L133" s="209">
        <f t="shared" si="80"/>
        <v>15359103</v>
      </c>
      <c r="M133" s="209">
        <f t="shared" si="80"/>
        <v>15359103</v>
      </c>
      <c r="N133" s="209">
        <f t="shared" si="80"/>
        <v>15359103</v>
      </c>
      <c r="O133" s="209">
        <f t="shared" si="80"/>
        <v>15359103</v>
      </c>
      <c r="P133" s="1025">
        <f t="shared" si="80"/>
        <v>15359103</v>
      </c>
      <c r="Q133" s="210">
        <f>+P133/N133</f>
        <v>1</v>
      </c>
      <c r="R133" s="209">
        <f t="shared" si="75"/>
        <v>15359103</v>
      </c>
      <c r="S133" s="209">
        <f t="shared" si="77"/>
        <v>0</v>
      </c>
      <c r="T133" s="209">
        <f t="shared" si="78"/>
        <v>0</v>
      </c>
      <c r="U133" s="209">
        <f t="shared" si="79"/>
        <v>0</v>
      </c>
      <c r="V133" s="209">
        <f t="shared" si="46"/>
        <v>0</v>
      </c>
    </row>
    <row r="134" spans="2:22">
      <c r="B134" s="540" t="s">
        <v>1710</v>
      </c>
      <c r="C134" s="180" t="s">
        <v>512</v>
      </c>
      <c r="D134" s="540" t="s">
        <v>1711</v>
      </c>
      <c r="E134" s="541">
        <v>2</v>
      </c>
      <c r="F134" s="180" t="s">
        <v>534</v>
      </c>
      <c r="G134" s="190">
        <v>9990001</v>
      </c>
      <c r="H134" s="542" t="s">
        <v>1712</v>
      </c>
      <c r="I134" s="192">
        <f>2595-2595</f>
        <v>0</v>
      </c>
      <c r="J134" s="2550">
        <f>43031+11619+17000+4590</f>
        <v>76240</v>
      </c>
      <c r="K134" s="2219">
        <f>2*350-700</f>
        <v>0</v>
      </c>
      <c r="L134" s="192">
        <f t="shared" ref="L134:O135" si="81">+K134</f>
        <v>0</v>
      </c>
      <c r="M134" s="192">
        <f t="shared" si="81"/>
        <v>0</v>
      </c>
      <c r="N134" s="192">
        <f t="shared" si="81"/>
        <v>0</v>
      </c>
      <c r="O134" s="192">
        <f t="shared" si="81"/>
        <v>0</v>
      </c>
      <c r="P134" s="1014"/>
      <c r="Q134" s="193"/>
      <c r="R134" s="209">
        <f t="shared" si="75"/>
        <v>0</v>
      </c>
      <c r="S134" s="209">
        <f t="shared" si="77"/>
        <v>0</v>
      </c>
      <c r="T134" s="209">
        <f t="shared" si="78"/>
        <v>0</v>
      </c>
      <c r="U134" s="209">
        <f t="shared" si="79"/>
        <v>0</v>
      </c>
      <c r="V134" s="192">
        <f t="shared" si="46"/>
        <v>0</v>
      </c>
    </row>
    <row r="135" spans="2:22">
      <c r="B135" s="540" t="s">
        <v>1713</v>
      </c>
      <c r="C135" s="180" t="s">
        <v>730</v>
      </c>
      <c r="D135" s="540" t="s">
        <v>1714</v>
      </c>
      <c r="E135" s="541">
        <v>2</v>
      </c>
      <c r="F135" s="180" t="s">
        <v>534</v>
      </c>
      <c r="G135" s="190">
        <v>9990001</v>
      </c>
      <c r="H135" s="542" t="s">
        <v>1715</v>
      </c>
      <c r="I135" s="192">
        <f>0</f>
        <v>0</v>
      </c>
      <c r="J135" s="2550">
        <v>0</v>
      </c>
      <c r="K135" s="2219">
        <f>0</f>
        <v>0</v>
      </c>
      <c r="L135" s="192">
        <f t="shared" si="81"/>
        <v>0</v>
      </c>
      <c r="M135" s="192">
        <f t="shared" si="81"/>
        <v>0</v>
      </c>
      <c r="N135" s="192">
        <f t="shared" si="81"/>
        <v>0</v>
      </c>
      <c r="O135" s="192">
        <f t="shared" si="81"/>
        <v>0</v>
      </c>
      <c r="P135" s="1014">
        <f>+O135</f>
        <v>0</v>
      </c>
      <c r="Q135" s="193"/>
      <c r="R135" s="209">
        <f t="shared" si="75"/>
        <v>0</v>
      </c>
      <c r="S135" s="209">
        <f t="shared" si="77"/>
        <v>0</v>
      </c>
      <c r="T135" s="209">
        <f t="shared" si="78"/>
        <v>0</v>
      </c>
      <c r="U135" s="209">
        <f t="shared" si="79"/>
        <v>0</v>
      </c>
      <c r="V135" s="192">
        <f t="shared" si="46"/>
        <v>0</v>
      </c>
    </row>
    <row r="136" spans="2:22" s="522" customFormat="1">
      <c r="B136" s="543" t="s">
        <v>1716</v>
      </c>
      <c r="C136" s="205"/>
      <c r="D136" s="543"/>
      <c r="E136" s="544"/>
      <c r="F136" s="205"/>
      <c r="G136" s="207"/>
      <c r="H136" s="545"/>
      <c r="I136" s="209">
        <f t="shared" ref="I136:P136" si="82">SUM(I134:I135)</f>
        <v>0</v>
      </c>
      <c r="J136" s="2549">
        <f t="shared" si="82"/>
        <v>76240</v>
      </c>
      <c r="K136" s="2347">
        <f t="shared" si="82"/>
        <v>0</v>
      </c>
      <c r="L136" s="209">
        <f t="shared" si="82"/>
        <v>0</v>
      </c>
      <c r="M136" s="209">
        <f t="shared" si="82"/>
        <v>0</v>
      </c>
      <c r="N136" s="209">
        <f t="shared" si="82"/>
        <v>0</v>
      </c>
      <c r="O136" s="209">
        <f t="shared" si="82"/>
        <v>0</v>
      </c>
      <c r="P136" s="1025">
        <f t="shared" si="82"/>
        <v>0</v>
      </c>
      <c r="Q136" s="210"/>
      <c r="R136" s="209">
        <f t="shared" si="75"/>
        <v>0</v>
      </c>
      <c r="S136" s="209">
        <f t="shared" si="77"/>
        <v>0</v>
      </c>
      <c r="T136" s="209">
        <f t="shared" si="78"/>
        <v>0</v>
      </c>
      <c r="U136" s="209">
        <f t="shared" si="79"/>
        <v>0</v>
      </c>
      <c r="V136" s="209">
        <f>+N136-P136</f>
        <v>0</v>
      </c>
    </row>
    <row r="139" spans="2:22">
      <c r="S139" s="250">
        <f>+S111+S112</f>
        <v>0</v>
      </c>
    </row>
  </sheetData>
  <sheetProtection selectLockedCells="1" selectUnlockedCells="1"/>
  <mergeCells count="2">
    <mergeCell ref="A1:M1"/>
    <mergeCell ref="I2:K2"/>
  </mergeCells>
  <printOptions horizontalCentered="1"/>
  <pageMargins left="0.39370078740157483" right="0.19685039370078741" top="0.31496062992125984" bottom="0.43307086614173229" header="0.51181102362204722" footer="0.51181102362204722"/>
  <pageSetup paperSize="9" scale="59" firstPageNumber="0" fitToHeight="3" orientation="portrait" horizontalDpi="300"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DC09-22BB-461B-8E90-CCFECA37017E}">
  <sheetPr>
    <tabColor theme="9" tint="-0.499984740745262"/>
    <pageSetUpPr fitToPage="1"/>
  </sheetPr>
  <dimension ref="A1:AM64"/>
  <sheetViews>
    <sheetView view="pageBreakPreview" zoomScaleNormal="90" zoomScaleSheetLayoutView="100" workbookViewId="0">
      <pane xSplit="3" ySplit="6" topLeftCell="F7" activePane="bottomRight" state="frozen"/>
      <selection sqref="A1:AC1"/>
      <selection pane="topRight" sqref="A1:AC1"/>
      <selection pane="bottomLeft" sqref="A1:AC1"/>
      <selection pane="bottomRight" sqref="A1:AI1"/>
    </sheetView>
  </sheetViews>
  <sheetFormatPr defaultColWidth="8" defaultRowHeight="12.75"/>
  <cols>
    <col min="1" max="1" width="6.28515625" style="59" hidden="1" customWidth="1"/>
    <col min="2" max="2" width="7" style="547" customWidth="1"/>
    <col min="3" max="3" width="55.85546875" style="396" customWidth="1"/>
    <col min="4" max="5" width="12.8554687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46"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3.5703125" style="396" customWidth="1"/>
    <col min="36" max="36" width="13.5703125" style="396" hidden="1" customWidth="1"/>
    <col min="37" max="37" width="12.85546875" style="396" hidden="1" customWidth="1"/>
    <col min="38" max="38" width="10.85546875" style="396" bestFit="1" customWidth="1"/>
    <col min="39" max="16384" width="8" style="396"/>
  </cols>
  <sheetData>
    <row r="1" spans="1:37" s="397" customFormat="1" ht="21" customHeight="1">
      <c r="A1" s="3663" t="s">
        <v>4266</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row>
    <row r="2" spans="1:37" s="398" customFormat="1" ht="21" customHeight="1">
      <c r="A2" s="3661" t="s">
        <v>3434</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194"/>
      <c r="B4" s="1415"/>
      <c r="C4" s="1548" t="str">
        <f>+'9. mell. PMH'!C4</f>
        <v>A</v>
      </c>
      <c r="D4" s="1548" t="str">
        <f>+'9. mell. PMH'!D4</f>
        <v>B</v>
      </c>
      <c r="E4" s="1548" t="s">
        <v>2729</v>
      </c>
      <c r="F4" s="1301" t="s">
        <v>2729</v>
      </c>
      <c r="G4" s="1301" t="s">
        <v>2731</v>
      </c>
      <c r="H4" s="1301" t="s">
        <v>2732</v>
      </c>
      <c r="I4" s="1301" t="str">
        <f>+'9. mell. PMH'!I4</f>
        <v>C</v>
      </c>
      <c r="J4" s="1301" t="str">
        <f>+'9. mell. PMH'!J4</f>
        <v>F</v>
      </c>
      <c r="K4" s="1301" t="str">
        <f>+'9. mell. PMH'!K4</f>
        <v>D</v>
      </c>
      <c r="L4" s="1301" t="str">
        <f>+'9. mell. PMH'!L4</f>
        <v>E</v>
      </c>
      <c r="M4" s="1301" t="str">
        <f>+'9. mell. PMH'!M4</f>
        <v>F</v>
      </c>
      <c r="N4" s="1301" t="s">
        <v>2733</v>
      </c>
      <c r="O4" s="1301" t="str">
        <f>+'9. mell. PMH'!O4</f>
        <v>E</v>
      </c>
      <c r="P4" s="1301">
        <f>+'9. mell. PMH'!P4</f>
        <v>0</v>
      </c>
      <c r="Q4" s="1301" t="str">
        <f>+'9. mell. PMH'!Q4</f>
        <v>F</v>
      </c>
      <c r="R4" s="1301" t="str">
        <f>+'9. mell. PMH'!R4</f>
        <v>E</v>
      </c>
      <c r="S4" s="1301" t="str">
        <f>+'9. mell. PMH'!S4</f>
        <v>E</v>
      </c>
      <c r="T4" s="1301" t="s">
        <v>3463</v>
      </c>
      <c r="U4" s="1301" t="str">
        <f>+'9. mell. PMH'!U4</f>
        <v>G</v>
      </c>
      <c r="V4" s="1301">
        <f>+'9. mell. PMH'!V4</f>
        <v>0</v>
      </c>
      <c r="W4" s="1301" t="str">
        <f>+'9. mell. PMH'!W4</f>
        <v>H</v>
      </c>
      <c r="X4" s="1300"/>
      <c r="Y4" s="1300"/>
      <c r="Z4" s="1300"/>
      <c r="AA4" s="1300"/>
      <c r="AB4" s="1300"/>
      <c r="AC4" s="1300"/>
      <c r="AD4" s="1300"/>
      <c r="AE4" s="1300"/>
      <c r="AF4" s="1301" t="s">
        <v>3464</v>
      </c>
      <c r="AG4" s="1301" t="s">
        <v>3913</v>
      </c>
      <c r="AH4" s="1550"/>
      <c r="AI4" s="1845" t="s">
        <v>3913</v>
      </c>
    </row>
    <row r="5" spans="1:37" ht="79.5" customHeight="1">
      <c r="A5" s="2973" t="s">
        <v>6</v>
      </c>
      <c r="B5" s="1276" t="s">
        <v>6</v>
      </c>
      <c r="C5" s="1276" t="s">
        <v>475</v>
      </c>
      <c r="D5" s="2983" t="str">
        <f>+'1. mell.ÖSSZEVONT_MÉRLEG'!C5</f>
        <v>2024. évi eredeti előirányzat
forintban</v>
      </c>
      <c r="E5" s="2984" t="str">
        <f>+'1. mell.ÖSSZEVONT_MÉRLEG'!D5</f>
        <v>2024. évi teljesítés forintban</v>
      </c>
      <c r="F5" s="2983" t="str">
        <f>+'1. mell.ÖSSZEVONT_MÉRLEG'!E5</f>
        <v>2025. évi eredeti előirányzat forintban</v>
      </c>
      <c r="G5" s="2983" t="str">
        <f>+'1. mell.ÖSSZEVONT_MÉRLEG'!F5</f>
        <v>2025. évi I. számú módosított előirányzat
forintban</v>
      </c>
      <c r="H5" s="2983" t="str">
        <f>+'1. mell.ÖSSZEVONT_MÉRLEG'!G5</f>
        <v>2025. évi II. számú módosított előirányzat forintban</v>
      </c>
      <c r="I5" s="2983" t="str">
        <f>+'1. mell.ÖSSZEVONT_MÉRLEG'!H5</f>
        <v>2025. évi III. számú módosított előirányzat forintban</v>
      </c>
      <c r="J5" s="2983" t="str">
        <f>+'1. mell.ÖSSZEVONT_MÉRLEG'!I5</f>
        <v>2025. évi IV. számú módosított előirányzat forintban</v>
      </c>
      <c r="K5" s="1677" t="str">
        <f>+'1. mell.ÖSSZEVONT_MÉRLEG'!J5</f>
        <v>2025. évi
teljesítés forintban</v>
      </c>
      <c r="L5" s="1678" t="str">
        <f>+'8. mell. Intézmények összesen'!L5</f>
        <v>Önként vállalt feladat forintban</v>
      </c>
      <c r="M5" s="1678" t="str">
        <f>+'8. mell. Intézmények összesen'!M5</f>
        <v>Önként vállalt feladat I. módosítás
forintban</v>
      </c>
      <c r="N5" s="1678" t="str">
        <f>+'8. mell. Intézmények összesen'!N5</f>
        <v>Önként vállalt feladat II. módosítás forintban</v>
      </c>
      <c r="O5" s="1678" t="str">
        <f>+'8. mell. Intézmények összesen'!O5</f>
        <v>Önként vállalt feladat III. módosítás forintban</v>
      </c>
      <c r="P5" s="1678" t="str">
        <f>+'8. mell. Intézmények összesen'!P5</f>
        <v>Önként vállalt feladat IV. módosítás  forintban</v>
      </c>
      <c r="Q5" s="1678" t="str">
        <f>+'8. mell. Intézmények összesen'!Q5</f>
        <v>Önként vállalt teljesítés  forintban</v>
      </c>
      <c r="R5" s="1678" t="str">
        <f>+'8. mell. Intézmények összesen'!R5</f>
        <v>Kötelező feladat forintban</v>
      </c>
      <c r="S5" s="1678" t="str">
        <f>+'8. mell. Intézmények összesen'!S5</f>
        <v>Kötelező feladat 
I. módosítás
forintban</v>
      </c>
      <c r="T5" s="1678" t="str">
        <f>+'8. mell. Intézmények összesen'!T5</f>
        <v>Kötelező feladat II. módosítás forintban</v>
      </c>
      <c r="U5" s="1678" t="str">
        <f>+'8. mell. Intézmények összesen'!U5</f>
        <v>Kötelező feladat III. módosítás  forintban</v>
      </c>
      <c r="V5" s="1678" t="str">
        <f>+'8. mell. Intézmények összesen'!V5</f>
        <v>Kötelező feladat IV. módosítás  forintban</v>
      </c>
      <c r="W5" s="1678" t="str">
        <f>+'8. mell. Intézmények összesen'!W5</f>
        <v>Kötelező teljesítés  forintban</v>
      </c>
      <c r="X5" s="1678"/>
      <c r="Y5" s="1678"/>
      <c r="Z5" s="1678"/>
      <c r="AA5" s="1678"/>
      <c r="AB5" s="1276"/>
      <c r="AC5" s="1276"/>
      <c r="AD5" s="2953"/>
      <c r="AE5" s="1277" t="s">
        <v>1269</v>
      </c>
      <c r="AF5" s="2915" t="str">
        <f>+'8. mell. Intézmények összesen'!AF5</f>
        <v>Előirányzat-módosítások, előirányzat-átcsoportosítások összegszerű változásai</v>
      </c>
      <c r="AG5" s="2915" t="str">
        <f>+'8. mell. Intézmények összesen'!AG5</f>
        <v>Előirányzat-módosítások, előirányzat-átcsoportosítások összegszerű változásai a III. módosításnál</v>
      </c>
      <c r="AH5" s="2979" t="s">
        <v>1270</v>
      </c>
      <c r="AI5" s="184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1824">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1279">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2985"/>
      <c r="AE6" s="1278"/>
      <c r="AF6" s="1278"/>
      <c r="AG6" s="1278"/>
      <c r="AH6" s="1854"/>
      <c r="AI6" s="1825">
        <v>8</v>
      </c>
      <c r="AK6" s="401"/>
    </row>
    <row r="7" spans="1:37" s="405" customFormat="1" ht="15.75" hidden="1">
      <c r="A7" s="2974"/>
      <c r="B7" s="1276"/>
      <c r="C7" s="1276" t="s">
        <v>390</v>
      </c>
      <c r="D7" s="1276"/>
      <c r="E7" s="2714"/>
      <c r="F7" s="1276"/>
      <c r="G7" s="1276"/>
      <c r="H7" s="1276"/>
      <c r="I7" s="1276"/>
      <c r="J7" s="1276"/>
      <c r="K7" s="1280"/>
      <c r="L7" s="1276"/>
      <c r="M7" s="1276"/>
      <c r="N7" s="1276"/>
      <c r="O7" s="1276"/>
      <c r="P7" s="1276"/>
      <c r="Q7" s="1276"/>
      <c r="R7" s="1276"/>
      <c r="S7" s="1276"/>
      <c r="T7" s="1276"/>
      <c r="U7" s="1276"/>
      <c r="V7" s="1276"/>
      <c r="W7" s="1276"/>
      <c r="X7" s="1276"/>
      <c r="Y7" s="1276"/>
      <c r="Z7" s="1276"/>
      <c r="AA7" s="1276"/>
      <c r="AB7" s="1276"/>
      <c r="AC7" s="1276"/>
      <c r="AD7" s="2986"/>
      <c r="AE7" s="1276"/>
      <c r="AF7" s="1276"/>
      <c r="AG7" s="1276"/>
      <c r="AH7" s="2980"/>
      <c r="AI7" s="1847"/>
      <c r="AK7" s="406"/>
    </row>
    <row r="8" spans="1:37" s="416" customFormat="1" ht="15">
      <c r="A8" s="2933"/>
      <c r="B8" s="1282" t="s">
        <v>3353</v>
      </c>
      <c r="C8" s="1283" t="s">
        <v>1276</v>
      </c>
      <c r="D8" s="1213">
        <f t="shared" ref="D8:AC8" si="0">SUM(D9:D19)</f>
        <v>126346944</v>
      </c>
      <c r="E8" s="2715">
        <f t="shared" si="0"/>
        <v>131604886</v>
      </c>
      <c r="F8" s="1213">
        <f t="shared" si="0"/>
        <v>134623572</v>
      </c>
      <c r="G8" s="1298">
        <f t="shared" si="0"/>
        <v>134623572</v>
      </c>
      <c r="H8" s="1213">
        <f t="shared" si="0"/>
        <v>134623572</v>
      </c>
      <c r="I8" s="1213">
        <f t="shared" si="0"/>
        <v>122543149</v>
      </c>
      <c r="J8" s="1213">
        <f t="shared" si="0"/>
        <v>122543149</v>
      </c>
      <c r="K8" s="2630">
        <f>SUM(K9:K19)</f>
        <v>122543149</v>
      </c>
      <c r="L8" s="1213">
        <f t="shared" si="0"/>
        <v>0</v>
      </c>
      <c r="M8" s="1298">
        <f t="shared" si="0"/>
        <v>0</v>
      </c>
      <c r="N8" s="1213">
        <f t="shared" si="0"/>
        <v>0</v>
      </c>
      <c r="O8" s="1213">
        <f t="shared" si="0"/>
        <v>0</v>
      </c>
      <c r="P8" s="1213">
        <f t="shared" si="0"/>
        <v>0</v>
      </c>
      <c r="Q8" s="1213">
        <f t="shared" si="0"/>
        <v>0</v>
      </c>
      <c r="R8" s="1213">
        <f t="shared" si="0"/>
        <v>134623572</v>
      </c>
      <c r="S8" s="1298">
        <f t="shared" si="0"/>
        <v>134623572</v>
      </c>
      <c r="T8" s="1213">
        <f t="shared" si="0"/>
        <v>134623572</v>
      </c>
      <c r="U8" s="1213">
        <f t="shared" si="0"/>
        <v>122543149</v>
      </c>
      <c r="V8" s="1213">
        <f t="shared" si="0"/>
        <v>122543149</v>
      </c>
      <c r="W8" s="1213">
        <f t="shared" si="0"/>
        <v>122543149</v>
      </c>
      <c r="X8" s="1213">
        <f t="shared" si="0"/>
        <v>0</v>
      </c>
      <c r="Y8" s="1213">
        <f t="shared" si="0"/>
        <v>0</v>
      </c>
      <c r="Z8" s="1213">
        <f t="shared" si="0"/>
        <v>0</v>
      </c>
      <c r="AA8" s="1213">
        <f t="shared" si="0"/>
        <v>0</v>
      </c>
      <c r="AB8" s="1213">
        <f t="shared" si="0"/>
        <v>0</v>
      </c>
      <c r="AC8" s="1213">
        <f t="shared" si="0"/>
        <v>0</v>
      </c>
      <c r="AD8" s="2947"/>
      <c r="AE8" s="1213">
        <f t="shared" ref="AE8:AE56" si="1">+G8-F8</f>
        <v>0</v>
      </c>
      <c r="AF8" s="1213">
        <f t="shared" ref="AF8:AF55" si="2">+H8-G8</f>
        <v>0</v>
      </c>
      <c r="AG8" s="1213">
        <f t="shared" ref="AG8:AG55" si="3">+I8-H8</f>
        <v>-12080423</v>
      </c>
      <c r="AH8" s="2919">
        <f t="shared" ref="AH8:AH55" si="4">+J8-I8</f>
        <v>0</v>
      </c>
      <c r="AI8" s="3198">
        <f>+K8/I8</f>
        <v>1</v>
      </c>
      <c r="AJ8" s="417">
        <f>+F8-D8</f>
        <v>8276628</v>
      </c>
      <c r="AK8" s="412"/>
    </row>
    <row r="9" spans="1:37" s="416" customFormat="1" ht="15">
      <c r="A9" s="2933"/>
      <c r="B9" s="1285" t="s">
        <v>176</v>
      </c>
      <c r="C9" s="1286" t="s">
        <v>226</v>
      </c>
      <c r="D9" s="1287">
        <v>0</v>
      </c>
      <c r="E9" s="2716">
        <v>394</v>
      </c>
      <c r="F9" s="1287">
        <v>0</v>
      </c>
      <c r="G9" s="1287">
        <f t="shared" ref="G9:G17" si="5">+F9</f>
        <v>0</v>
      </c>
      <c r="H9" s="1287">
        <f t="shared" ref="H9:H19" si="6">+G9</f>
        <v>0</v>
      </c>
      <c r="I9" s="1287">
        <f>+H9+8288</f>
        <v>8288</v>
      </c>
      <c r="J9" s="1287">
        <f t="shared" ref="J9:J19" si="7">+I9</f>
        <v>8288</v>
      </c>
      <c r="K9" s="1288">
        <v>8288</v>
      </c>
      <c r="L9" s="1287">
        <v>0</v>
      </c>
      <c r="M9" s="1287">
        <f t="shared" ref="M9:M17" si="8">+L9</f>
        <v>0</v>
      </c>
      <c r="N9" s="1287">
        <f t="shared" ref="N9:N19" si="9">+M9</f>
        <v>0</v>
      </c>
      <c r="O9" s="1287">
        <f t="shared" ref="O9:O19" si="10">+N9</f>
        <v>0</v>
      </c>
      <c r="P9" s="1287">
        <f t="shared" ref="P9:P19" si="11">+O9</f>
        <v>0</v>
      </c>
      <c r="Q9" s="1287">
        <v>0</v>
      </c>
      <c r="R9" s="1287">
        <v>0</v>
      </c>
      <c r="S9" s="1287">
        <f t="shared" ref="S9:S19" si="12">+R9</f>
        <v>0</v>
      </c>
      <c r="T9" s="1287">
        <f t="shared" ref="T9:T19" si="13">+S9</f>
        <v>0</v>
      </c>
      <c r="U9" s="1287">
        <f>+T9+8288</f>
        <v>8288</v>
      </c>
      <c r="V9" s="1287">
        <f t="shared" ref="V9:V19" si="14">+U9</f>
        <v>8288</v>
      </c>
      <c r="W9" s="1287">
        <f>+K9</f>
        <v>8288</v>
      </c>
      <c r="X9" s="1287"/>
      <c r="Y9" s="1287">
        <f t="shared" ref="Y9:Y19" si="15">+X9</f>
        <v>0</v>
      </c>
      <c r="Z9" s="1287">
        <f t="shared" ref="Z9:Z19" si="16">+Y9</f>
        <v>0</v>
      </c>
      <c r="AA9" s="1287">
        <f t="shared" ref="AA9:AA19" si="17">+Z9</f>
        <v>0</v>
      </c>
      <c r="AB9" s="1287">
        <f t="shared" ref="AB9:AB19" si="18">+AA9</f>
        <v>0</v>
      </c>
      <c r="AC9" s="1287">
        <f t="shared" ref="AC9:AC19" si="19">+AB9</f>
        <v>0</v>
      </c>
      <c r="AD9" s="2949"/>
      <c r="AE9" s="1213">
        <f t="shared" si="1"/>
        <v>0</v>
      </c>
      <c r="AF9" s="1213">
        <f t="shared" si="2"/>
        <v>0</v>
      </c>
      <c r="AG9" s="1213">
        <f t="shared" si="3"/>
        <v>8288</v>
      </c>
      <c r="AH9" s="2919">
        <f t="shared" si="4"/>
        <v>0</v>
      </c>
      <c r="AI9" s="1848">
        <f>+K9/I9</f>
        <v>1</v>
      </c>
      <c r="AJ9" s="417">
        <f t="shared" ref="AJ9:AJ37" si="20">+F9-D9</f>
        <v>0</v>
      </c>
      <c r="AK9" s="420"/>
    </row>
    <row r="10" spans="1:37" s="416" customFormat="1" ht="15">
      <c r="A10" s="2933"/>
      <c r="B10" s="1285" t="s">
        <v>178</v>
      </c>
      <c r="C10" s="1286" t="s">
        <v>228</v>
      </c>
      <c r="D10" s="1287">
        <v>46955610</v>
      </c>
      <c r="E10" s="2716">
        <v>46997230</v>
      </c>
      <c r="F10" s="1287">
        <v>50706416</v>
      </c>
      <c r="G10" s="1287">
        <f>+F10</f>
        <v>50706416</v>
      </c>
      <c r="H10" s="1287">
        <f t="shared" si="6"/>
        <v>50706416</v>
      </c>
      <c r="I10" s="1287">
        <f>+H10+2813083</f>
        <v>53519499</v>
      </c>
      <c r="J10" s="1287">
        <f t="shared" si="7"/>
        <v>53519499</v>
      </c>
      <c r="K10" s="1288">
        <v>53519499</v>
      </c>
      <c r="L10" s="1287">
        <v>0</v>
      </c>
      <c r="M10" s="1287">
        <f t="shared" si="8"/>
        <v>0</v>
      </c>
      <c r="N10" s="1287">
        <f t="shared" si="9"/>
        <v>0</v>
      </c>
      <c r="O10" s="1287">
        <f t="shared" si="10"/>
        <v>0</v>
      </c>
      <c r="P10" s="1287">
        <f t="shared" si="11"/>
        <v>0</v>
      </c>
      <c r="Q10" s="1287">
        <v>0</v>
      </c>
      <c r="R10" s="1287">
        <f>+F10</f>
        <v>50706416</v>
      </c>
      <c r="S10" s="1287">
        <f>+R10</f>
        <v>50706416</v>
      </c>
      <c r="T10" s="1287">
        <f t="shared" si="13"/>
        <v>50706416</v>
      </c>
      <c r="U10" s="1287">
        <f>+T10+2813083</f>
        <v>53519499</v>
      </c>
      <c r="V10" s="1287">
        <f t="shared" si="14"/>
        <v>53519499</v>
      </c>
      <c r="W10" s="1287">
        <f t="shared" ref="W10:W22" si="21">+K10</f>
        <v>53519499</v>
      </c>
      <c r="X10" s="1287"/>
      <c r="Y10" s="1287">
        <f t="shared" si="15"/>
        <v>0</v>
      </c>
      <c r="Z10" s="1287">
        <f t="shared" si="16"/>
        <v>0</v>
      </c>
      <c r="AA10" s="1287">
        <f t="shared" si="17"/>
        <v>0</v>
      </c>
      <c r="AB10" s="1287">
        <f t="shared" si="18"/>
        <v>0</v>
      </c>
      <c r="AC10" s="1287">
        <f t="shared" si="19"/>
        <v>0</v>
      </c>
      <c r="AD10" s="2947"/>
      <c r="AE10" s="1213">
        <f t="shared" si="1"/>
        <v>0</v>
      </c>
      <c r="AF10" s="1213">
        <f t="shared" si="2"/>
        <v>0</v>
      </c>
      <c r="AG10" s="1213">
        <f t="shared" si="3"/>
        <v>2813083</v>
      </c>
      <c r="AH10" s="2919">
        <f t="shared" si="4"/>
        <v>0</v>
      </c>
      <c r="AI10" s="1848">
        <f>+K10/I10</f>
        <v>1</v>
      </c>
      <c r="AJ10" s="417">
        <f t="shared" si="20"/>
        <v>3750806</v>
      </c>
      <c r="AK10" s="420"/>
    </row>
    <row r="11" spans="1:37" s="416" customFormat="1" ht="15">
      <c r="A11" s="2933"/>
      <c r="B11" s="1289" t="s">
        <v>179</v>
      </c>
      <c r="C11" s="1286" t="s">
        <v>460</v>
      </c>
      <c r="D11" s="1287">
        <v>50701838</v>
      </c>
      <c r="E11" s="2716">
        <v>55292220</v>
      </c>
      <c r="F11" s="1287">
        <v>59827005</v>
      </c>
      <c r="G11" s="1287">
        <f t="shared" si="5"/>
        <v>59827005</v>
      </c>
      <c r="H11" s="1287">
        <f>+G11</f>
        <v>59827005</v>
      </c>
      <c r="I11" s="1287">
        <f>+H11-12643427</f>
        <v>47183578</v>
      </c>
      <c r="J11" s="1287">
        <f t="shared" si="7"/>
        <v>47183578</v>
      </c>
      <c r="K11" s="1288">
        <v>47183578</v>
      </c>
      <c r="L11" s="1287">
        <v>0</v>
      </c>
      <c r="M11" s="1287">
        <f t="shared" si="8"/>
        <v>0</v>
      </c>
      <c r="N11" s="1287">
        <f t="shared" si="9"/>
        <v>0</v>
      </c>
      <c r="O11" s="1287">
        <f t="shared" si="10"/>
        <v>0</v>
      </c>
      <c r="P11" s="1287">
        <f t="shared" si="11"/>
        <v>0</v>
      </c>
      <c r="Q11" s="1287">
        <v>0</v>
      </c>
      <c r="R11" s="1287">
        <f>+F11</f>
        <v>59827005</v>
      </c>
      <c r="S11" s="1287">
        <f t="shared" si="12"/>
        <v>59827005</v>
      </c>
      <c r="T11" s="1287">
        <f t="shared" si="13"/>
        <v>59827005</v>
      </c>
      <c r="U11" s="1287">
        <f>+T11-12643427</f>
        <v>47183578</v>
      </c>
      <c r="V11" s="1287">
        <f t="shared" si="14"/>
        <v>47183578</v>
      </c>
      <c r="W11" s="1287">
        <f t="shared" si="21"/>
        <v>47183578</v>
      </c>
      <c r="X11" s="1287"/>
      <c r="Y11" s="1287">
        <f t="shared" si="15"/>
        <v>0</v>
      </c>
      <c r="Z11" s="1287">
        <f t="shared" si="16"/>
        <v>0</v>
      </c>
      <c r="AA11" s="1287">
        <f t="shared" si="17"/>
        <v>0</v>
      </c>
      <c r="AB11" s="1287">
        <f t="shared" si="18"/>
        <v>0</v>
      </c>
      <c r="AC11" s="1287">
        <f t="shared" si="19"/>
        <v>0</v>
      </c>
      <c r="AD11" s="2947"/>
      <c r="AE11" s="1213">
        <f t="shared" si="1"/>
        <v>0</v>
      </c>
      <c r="AF11" s="1213">
        <f t="shared" si="2"/>
        <v>0</v>
      </c>
      <c r="AG11" s="1213">
        <f t="shared" si="3"/>
        <v>-12643427</v>
      </c>
      <c r="AH11" s="2919">
        <f t="shared" si="4"/>
        <v>0</v>
      </c>
      <c r="AI11" s="1848">
        <f>+K11/I11</f>
        <v>1</v>
      </c>
      <c r="AJ11" s="417">
        <f t="shared" si="20"/>
        <v>9125167</v>
      </c>
      <c r="AK11" s="420"/>
    </row>
    <row r="12" spans="1:37" s="416" customFormat="1" ht="15">
      <c r="A12" s="2933"/>
      <c r="B12" s="1289" t="s">
        <v>180</v>
      </c>
      <c r="C12" s="1286" t="s">
        <v>232</v>
      </c>
      <c r="D12" s="1287">
        <v>0</v>
      </c>
      <c r="E12" s="2716">
        <v>0</v>
      </c>
      <c r="F12" s="1287">
        <v>0</v>
      </c>
      <c r="G12" s="1287">
        <f t="shared" si="5"/>
        <v>0</v>
      </c>
      <c r="H12" s="1287">
        <f t="shared" si="6"/>
        <v>0</v>
      </c>
      <c r="I12" s="1287">
        <f t="shared" ref="I12:I18" si="22">+H12</f>
        <v>0</v>
      </c>
      <c r="J12" s="1287">
        <f t="shared" si="7"/>
        <v>0</v>
      </c>
      <c r="K12" s="1288">
        <v>0</v>
      </c>
      <c r="L12" s="1287">
        <v>0</v>
      </c>
      <c r="M12" s="1287">
        <f t="shared" si="8"/>
        <v>0</v>
      </c>
      <c r="N12" s="1287">
        <f t="shared" si="9"/>
        <v>0</v>
      </c>
      <c r="O12" s="1287">
        <f t="shared" si="10"/>
        <v>0</v>
      </c>
      <c r="P12" s="1287">
        <f t="shared" si="11"/>
        <v>0</v>
      </c>
      <c r="Q12" s="1287">
        <v>0</v>
      </c>
      <c r="R12" s="1287">
        <v>0</v>
      </c>
      <c r="S12" s="1287">
        <f t="shared" si="12"/>
        <v>0</v>
      </c>
      <c r="T12" s="1287">
        <f t="shared" si="13"/>
        <v>0</v>
      </c>
      <c r="U12" s="1287">
        <f t="shared" ref="U12:U18" si="23">+T12</f>
        <v>0</v>
      </c>
      <c r="V12" s="1287">
        <f t="shared" si="14"/>
        <v>0</v>
      </c>
      <c r="W12" s="1287">
        <f t="shared" si="21"/>
        <v>0</v>
      </c>
      <c r="X12" s="1287"/>
      <c r="Y12" s="1287">
        <f t="shared" si="15"/>
        <v>0</v>
      </c>
      <c r="Z12" s="1287">
        <f t="shared" si="16"/>
        <v>0</v>
      </c>
      <c r="AA12" s="1287">
        <f t="shared" si="17"/>
        <v>0</v>
      </c>
      <c r="AB12" s="1287">
        <f t="shared" si="18"/>
        <v>0</v>
      </c>
      <c r="AC12" s="1287">
        <f t="shared" si="19"/>
        <v>0</v>
      </c>
      <c r="AD12" s="2947"/>
      <c r="AE12" s="1213">
        <f t="shared" si="1"/>
        <v>0</v>
      </c>
      <c r="AF12" s="1213">
        <f t="shared" si="2"/>
        <v>0</v>
      </c>
      <c r="AG12" s="1213">
        <f t="shared" si="3"/>
        <v>0</v>
      </c>
      <c r="AH12" s="2919">
        <f t="shared" si="4"/>
        <v>0</v>
      </c>
      <c r="AI12" s="1848"/>
      <c r="AJ12" s="417">
        <f t="shared" si="20"/>
        <v>0</v>
      </c>
      <c r="AK12" s="420"/>
    </row>
    <row r="13" spans="1:37" s="416" customFormat="1" ht="15">
      <c r="A13" s="2933"/>
      <c r="B13" s="1289" t="s">
        <v>181</v>
      </c>
      <c r="C13" s="1286" t="s">
        <v>234</v>
      </c>
      <c r="D13" s="1287">
        <v>0</v>
      </c>
      <c r="E13" s="2716">
        <v>0</v>
      </c>
      <c r="F13" s="1287">
        <v>0</v>
      </c>
      <c r="G13" s="1287">
        <f t="shared" si="5"/>
        <v>0</v>
      </c>
      <c r="H13" s="1287">
        <f t="shared" si="6"/>
        <v>0</v>
      </c>
      <c r="I13" s="1287">
        <f t="shared" si="22"/>
        <v>0</v>
      </c>
      <c r="J13" s="1287">
        <f t="shared" si="7"/>
        <v>0</v>
      </c>
      <c r="K13" s="1288">
        <v>0</v>
      </c>
      <c r="L13" s="1287">
        <v>0</v>
      </c>
      <c r="M13" s="1287">
        <f t="shared" si="8"/>
        <v>0</v>
      </c>
      <c r="N13" s="1287">
        <f t="shared" si="9"/>
        <v>0</v>
      </c>
      <c r="O13" s="1287">
        <f t="shared" si="10"/>
        <v>0</v>
      </c>
      <c r="P13" s="1287">
        <f t="shared" si="11"/>
        <v>0</v>
      </c>
      <c r="Q13" s="1287">
        <v>0</v>
      </c>
      <c r="R13" s="1287">
        <v>0</v>
      </c>
      <c r="S13" s="1287">
        <f t="shared" si="12"/>
        <v>0</v>
      </c>
      <c r="T13" s="1287">
        <f t="shared" si="13"/>
        <v>0</v>
      </c>
      <c r="U13" s="1287">
        <f t="shared" si="23"/>
        <v>0</v>
      </c>
      <c r="V13" s="1287">
        <f t="shared" si="14"/>
        <v>0</v>
      </c>
      <c r="W13" s="1287">
        <f t="shared" si="21"/>
        <v>0</v>
      </c>
      <c r="X13" s="1287"/>
      <c r="Y13" s="1287">
        <f t="shared" si="15"/>
        <v>0</v>
      </c>
      <c r="Z13" s="1287">
        <f t="shared" si="16"/>
        <v>0</v>
      </c>
      <c r="AA13" s="1287">
        <f t="shared" si="17"/>
        <v>0</v>
      </c>
      <c r="AB13" s="1287">
        <f t="shared" si="18"/>
        <v>0</v>
      </c>
      <c r="AC13" s="1287">
        <f t="shared" si="19"/>
        <v>0</v>
      </c>
      <c r="AD13" s="2947"/>
      <c r="AE13" s="1213">
        <f t="shared" si="1"/>
        <v>0</v>
      </c>
      <c r="AF13" s="1213">
        <f t="shared" si="2"/>
        <v>0</v>
      </c>
      <c r="AG13" s="1213">
        <f t="shared" si="3"/>
        <v>0</v>
      </c>
      <c r="AH13" s="2919">
        <f t="shared" si="4"/>
        <v>0</v>
      </c>
      <c r="AI13" s="1848"/>
      <c r="AJ13" s="417">
        <f t="shared" si="20"/>
        <v>0</v>
      </c>
      <c r="AK13" s="420"/>
    </row>
    <row r="14" spans="1:37" s="416" customFormat="1" ht="15">
      <c r="A14" s="2933"/>
      <c r="B14" s="1289" t="s">
        <v>183</v>
      </c>
      <c r="C14" s="1286" t="s">
        <v>887</v>
      </c>
      <c r="D14" s="1287">
        <v>13689496</v>
      </c>
      <c r="E14" s="2716">
        <v>14535310</v>
      </c>
      <c r="F14" s="1287">
        <v>16153291</v>
      </c>
      <c r="G14" s="1287">
        <f t="shared" si="5"/>
        <v>16153291</v>
      </c>
      <c r="H14" s="1287">
        <f t="shared" si="6"/>
        <v>16153291</v>
      </c>
      <c r="I14" s="1287">
        <f>+H14-3828170</f>
        <v>12325121</v>
      </c>
      <c r="J14" s="1287">
        <f t="shared" si="7"/>
        <v>12325121</v>
      </c>
      <c r="K14" s="1288">
        <v>12325121</v>
      </c>
      <c r="L14" s="1287">
        <v>0</v>
      </c>
      <c r="M14" s="1287">
        <f t="shared" si="8"/>
        <v>0</v>
      </c>
      <c r="N14" s="1287">
        <f t="shared" si="9"/>
        <v>0</v>
      </c>
      <c r="O14" s="1287">
        <f t="shared" si="10"/>
        <v>0</v>
      </c>
      <c r="P14" s="1287">
        <f t="shared" si="11"/>
        <v>0</v>
      </c>
      <c r="Q14" s="1287">
        <v>0</v>
      </c>
      <c r="R14" s="1287">
        <f>+F14</f>
        <v>16153291</v>
      </c>
      <c r="S14" s="1287">
        <f t="shared" si="12"/>
        <v>16153291</v>
      </c>
      <c r="T14" s="1287">
        <f t="shared" si="13"/>
        <v>16153291</v>
      </c>
      <c r="U14" s="1287">
        <f>+T14-3828170</f>
        <v>12325121</v>
      </c>
      <c r="V14" s="1287">
        <f t="shared" si="14"/>
        <v>12325121</v>
      </c>
      <c r="W14" s="1287">
        <f t="shared" si="21"/>
        <v>12325121</v>
      </c>
      <c r="X14" s="1287"/>
      <c r="Y14" s="1287">
        <f t="shared" si="15"/>
        <v>0</v>
      </c>
      <c r="Z14" s="1287">
        <f t="shared" si="16"/>
        <v>0</v>
      </c>
      <c r="AA14" s="1287">
        <f t="shared" si="17"/>
        <v>0</v>
      </c>
      <c r="AB14" s="1287">
        <f t="shared" si="18"/>
        <v>0</v>
      </c>
      <c r="AC14" s="1287">
        <f t="shared" si="19"/>
        <v>0</v>
      </c>
      <c r="AD14" s="2947"/>
      <c r="AE14" s="1213">
        <f t="shared" si="1"/>
        <v>0</v>
      </c>
      <c r="AF14" s="1213">
        <f t="shared" si="2"/>
        <v>0</v>
      </c>
      <c r="AG14" s="1213">
        <f t="shared" si="3"/>
        <v>-3828170</v>
      </c>
      <c r="AH14" s="2919">
        <f t="shared" si="4"/>
        <v>0</v>
      </c>
      <c r="AI14" s="1848">
        <f>+K14/I14</f>
        <v>1</v>
      </c>
      <c r="AJ14" s="417">
        <f t="shared" si="20"/>
        <v>2463795</v>
      </c>
      <c r="AK14" s="420"/>
    </row>
    <row r="15" spans="1:37" s="416" customFormat="1" ht="15">
      <c r="A15" s="2933"/>
      <c r="B15" s="1289" t="s">
        <v>321</v>
      </c>
      <c r="C15" s="1290" t="s">
        <v>238</v>
      </c>
      <c r="D15" s="1287">
        <v>0</v>
      </c>
      <c r="E15" s="2716">
        <v>0</v>
      </c>
      <c r="F15" s="1287">
        <v>0</v>
      </c>
      <c r="G15" s="1287">
        <f t="shared" si="5"/>
        <v>0</v>
      </c>
      <c r="H15" s="1287">
        <f t="shared" si="6"/>
        <v>0</v>
      </c>
      <c r="I15" s="1287">
        <f t="shared" si="22"/>
        <v>0</v>
      </c>
      <c r="J15" s="1287">
        <f t="shared" si="7"/>
        <v>0</v>
      </c>
      <c r="K15" s="1288">
        <v>0</v>
      </c>
      <c r="L15" s="1287">
        <v>0</v>
      </c>
      <c r="M15" s="1287">
        <f t="shared" si="8"/>
        <v>0</v>
      </c>
      <c r="N15" s="1287">
        <f t="shared" si="9"/>
        <v>0</v>
      </c>
      <c r="O15" s="1287">
        <f t="shared" si="10"/>
        <v>0</v>
      </c>
      <c r="P15" s="1287">
        <f t="shared" si="11"/>
        <v>0</v>
      </c>
      <c r="Q15" s="1287">
        <v>0</v>
      </c>
      <c r="R15" s="1287">
        <v>0</v>
      </c>
      <c r="S15" s="1287">
        <f t="shared" si="12"/>
        <v>0</v>
      </c>
      <c r="T15" s="1287">
        <f t="shared" si="13"/>
        <v>0</v>
      </c>
      <c r="U15" s="1287">
        <f t="shared" si="23"/>
        <v>0</v>
      </c>
      <c r="V15" s="1287">
        <f t="shared" si="14"/>
        <v>0</v>
      </c>
      <c r="W15" s="1287">
        <f t="shared" si="21"/>
        <v>0</v>
      </c>
      <c r="X15" s="1287"/>
      <c r="Y15" s="1287">
        <f t="shared" si="15"/>
        <v>0</v>
      </c>
      <c r="Z15" s="1287">
        <f t="shared" si="16"/>
        <v>0</v>
      </c>
      <c r="AA15" s="1287">
        <f t="shared" si="17"/>
        <v>0</v>
      </c>
      <c r="AB15" s="1287">
        <f t="shared" si="18"/>
        <v>0</v>
      </c>
      <c r="AC15" s="1287">
        <f t="shared" si="19"/>
        <v>0</v>
      </c>
      <c r="AD15" s="2947"/>
      <c r="AE15" s="1213">
        <f t="shared" si="1"/>
        <v>0</v>
      </c>
      <c r="AF15" s="1213">
        <f t="shared" si="2"/>
        <v>0</v>
      </c>
      <c r="AG15" s="1213">
        <f t="shared" si="3"/>
        <v>0</v>
      </c>
      <c r="AH15" s="2919">
        <f t="shared" si="4"/>
        <v>0</v>
      </c>
      <c r="AI15" s="1848"/>
      <c r="AJ15" s="417">
        <f t="shared" si="20"/>
        <v>0</v>
      </c>
      <c r="AK15" s="420"/>
    </row>
    <row r="16" spans="1:37" s="416" customFormat="1" ht="15">
      <c r="A16" s="2933"/>
      <c r="B16" s="1289" t="s">
        <v>323</v>
      </c>
      <c r="C16" s="1286" t="s">
        <v>1277</v>
      </c>
      <c r="D16" s="1287">
        <v>15000000</v>
      </c>
      <c r="E16" s="2716">
        <v>13574921</v>
      </c>
      <c r="F16" s="1287">
        <v>7936860</v>
      </c>
      <c r="G16" s="1287">
        <f t="shared" si="5"/>
        <v>7936860</v>
      </c>
      <c r="H16" s="1287">
        <f t="shared" si="6"/>
        <v>7936860</v>
      </c>
      <c r="I16" s="1287">
        <f>+H16+1539766</f>
        <v>9476626</v>
      </c>
      <c r="J16" s="1287">
        <f t="shared" si="7"/>
        <v>9476626</v>
      </c>
      <c r="K16" s="1288">
        <v>9476626</v>
      </c>
      <c r="L16" s="1287">
        <v>0</v>
      </c>
      <c r="M16" s="1287">
        <f t="shared" si="8"/>
        <v>0</v>
      </c>
      <c r="N16" s="1287">
        <f t="shared" si="9"/>
        <v>0</v>
      </c>
      <c r="O16" s="1287">
        <f t="shared" si="10"/>
        <v>0</v>
      </c>
      <c r="P16" s="1287">
        <f t="shared" si="11"/>
        <v>0</v>
      </c>
      <c r="Q16" s="1287">
        <v>0</v>
      </c>
      <c r="R16" s="1287">
        <f>+F16</f>
        <v>7936860</v>
      </c>
      <c r="S16" s="1287">
        <f t="shared" si="12"/>
        <v>7936860</v>
      </c>
      <c r="T16" s="1287">
        <f t="shared" si="13"/>
        <v>7936860</v>
      </c>
      <c r="U16" s="1287">
        <f>+T16+1539766</f>
        <v>9476626</v>
      </c>
      <c r="V16" s="1287">
        <f t="shared" si="14"/>
        <v>9476626</v>
      </c>
      <c r="W16" s="1287">
        <f t="shared" si="21"/>
        <v>9476626</v>
      </c>
      <c r="X16" s="1287"/>
      <c r="Y16" s="1287">
        <f t="shared" si="15"/>
        <v>0</v>
      </c>
      <c r="Z16" s="1287">
        <f t="shared" si="16"/>
        <v>0</v>
      </c>
      <c r="AA16" s="1287">
        <f t="shared" si="17"/>
        <v>0</v>
      </c>
      <c r="AB16" s="1287">
        <f t="shared" si="18"/>
        <v>0</v>
      </c>
      <c r="AC16" s="1287">
        <f t="shared" si="19"/>
        <v>0</v>
      </c>
      <c r="AD16" s="2949"/>
      <c r="AE16" s="1213">
        <f t="shared" si="1"/>
        <v>0</v>
      </c>
      <c r="AF16" s="1213">
        <f t="shared" si="2"/>
        <v>0</v>
      </c>
      <c r="AG16" s="1213">
        <f t="shared" si="3"/>
        <v>1539766</v>
      </c>
      <c r="AH16" s="2919">
        <f t="shared" si="4"/>
        <v>0</v>
      </c>
      <c r="AI16" s="1848">
        <f>+K16/I16</f>
        <v>1</v>
      </c>
      <c r="AJ16" s="417">
        <f t="shared" si="20"/>
        <v>-7063140</v>
      </c>
      <c r="AK16" s="420"/>
    </row>
    <row r="17" spans="1:37" s="416" customFormat="1" ht="15">
      <c r="A17" s="2933"/>
      <c r="B17" s="1289" t="s">
        <v>325</v>
      </c>
      <c r="C17" s="1286" t="s">
        <v>242</v>
      </c>
      <c r="D17" s="1287">
        <v>0</v>
      </c>
      <c r="E17" s="2716">
        <v>10</v>
      </c>
      <c r="F17" s="1287">
        <v>0</v>
      </c>
      <c r="G17" s="1287">
        <f t="shared" si="5"/>
        <v>0</v>
      </c>
      <c r="H17" s="1287">
        <f t="shared" si="6"/>
        <v>0</v>
      </c>
      <c r="I17" s="1287">
        <f t="shared" si="22"/>
        <v>0</v>
      </c>
      <c r="J17" s="1287">
        <f t="shared" si="7"/>
        <v>0</v>
      </c>
      <c r="K17" s="1288">
        <v>0</v>
      </c>
      <c r="L17" s="1287">
        <v>0</v>
      </c>
      <c r="M17" s="1287">
        <f t="shared" si="8"/>
        <v>0</v>
      </c>
      <c r="N17" s="1287">
        <f t="shared" si="9"/>
        <v>0</v>
      </c>
      <c r="O17" s="1287">
        <f t="shared" si="10"/>
        <v>0</v>
      </c>
      <c r="P17" s="1287">
        <f t="shared" si="11"/>
        <v>0</v>
      </c>
      <c r="Q17" s="1287">
        <v>0</v>
      </c>
      <c r="R17" s="1287">
        <v>0</v>
      </c>
      <c r="S17" s="1287">
        <f t="shared" si="12"/>
        <v>0</v>
      </c>
      <c r="T17" s="1287">
        <f t="shared" si="13"/>
        <v>0</v>
      </c>
      <c r="U17" s="1287">
        <f t="shared" si="23"/>
        <v>0</v>
      </c>
      <c r="V17" s="1287">
        <f t="shared" si="14"/>
        <v>0</v>
      </c>
      <c r="W17" s="1287">
        <f t="shared" si="21"/>
        <v>0</v>
      </c>
      <c r="X17" s="1287"/>
      <c r="Y17" s="1287">
        <f t="shared" si="15"/>
        <v>0</v>
      </c>
      <c r="Z17" s="1287">
        <f t="shared" si="16"/>
        <v>0</v>
      </c>
      <c r="AA17" s="1287">
        <f t="shared" si="17"/>
        <v>0</v>
      </c>
      <c r="AB17" s="1287">
        <f t="shared" si="18"/>
        <v>0</v>
      </c>
      <c r="AC17" s="1287">
        <f t="shared" si="19"/>
        <v>0</v>
      </c>
      <c r="AD17" s="2949"/>
      <c r="AE17" s="1213">
        <f t="shared" si="1"/>
        <v>0</v>
      </c>
      <c r="AF17" s="1213">
        <f t="shared" si="2"/>
        <v>0</v>
      </c>
      <c r="AG17" s="1213">
        <f t="shared" si="3"/>
        <v>0</v>
      </c>
      <c r="AH17" s="2919">
        <f t="shared" si="4"/>
        <v>0</v>
      </c>
      <c r="AI17" s="1848"/>
      <c r="AJ17" s="417">
        <f t="shared" si="20"/>
        <v>0</v>
      </c>
      <c r="AK17" s="420"/>
    </row>
    <row r="18" spans="1:37" s="416" customFormat="1" ht="15">
      <c r="A18" s="2933"/>
      <c r="B18" s="1289" t="s">
        <v>327</v>
      </c>
      <c r="C18" s="1286" t="s">
        <v>163</v>
      </c>
      <c r="D18" s="1287">
        <v>0</v>
      </c>
      <c r="E18" s="2716">
        <v>0</v>
      </c>
      <c r="F18" s="1287">
        <v>0</v>
      </c>
      <c r="G18" s="1287">
        <v>0</v>
      </c>
      <c r="H18" s="1287">
        <f t="shared" si="6"/>
        <v>0</v>
      </c>
      <c r="I18" s="1287">
        <f t="shared" si="22"/>
        <v>0</v>
      </c>
      <c r="J18" s="1287">
        <f t="shared" si="7"/>
        <v>0</v>
      </c>
      <c r="K18" s="1288">
        <v>0</v>
      </c>
      <c r="L18" s="1287">
        <v>0</v>
      </c>
      <c r="M18" s="1287">
        <v>0</v>
      </c>
      <c r="N18" s="1287">
        <f t="shared" si="9"/>
        <v>0</v>
      </c>
      <c r="O18" s="1287">
        <f t="shared" si="10"/>
        <v>0</v>
      </c>
      <c r="P18" s="1287">
        <f t="shared" si="11"/>
        <v>0</v>
      </c>
      <c r="Q18" s="1287">
        <v>0</v>
      </c>
      <c r="R18" s="1287">
        <v>0</v>
      </c>
      <c r="S18" s="1287">
        <f t="shared" si="12"/>
        <v>0</v>
      </c>
      <c r="T18" s="1287">
        <f t="shared" si="13"/>
        <v>0</v>
      </c>
      <c r="U18" s="1287">
        <f t="shared" si="23"/>
        <v>0</v>
      </c>
      <c r="V18" s="1287">
        <f t="shared" si="14"/>
        <v>0</v>
      </c>
      <c r="W18" s="1287">
        <f t="shared" si="21"/>
        <v>0</v>
      </c>
      <c r="X18" s="1287"/>
      <c r="Y18" s="1287">
        <f t="shared" si="15"/>
        <v>0</v>
      </c>
      <c r="Z18" s="1287">
        <f t="shared" si="16"/>
        <v>0</v>
      </c>
      <c r="AA18" s="1287">
        <f t="shared" si="17"/>
        <v>0</v>
      </c>
      <c r="AB18" s="1287">
        <f t="shared" si="18"/>
        <v>0</v>
      </c>
      <c r="AC18" s="1287">
        <f t="shared" si="19"/>
        <v>0</v>
      </c>
      <c r="AD18" s="2947"/>
      <c r="AE18" s="1213">
        <f t="shared" si="1"/>
        <v>0</v>
      </c>
      <c r="AF18" s="1213">
        <f t="shared" si="2"/>
        <v>0</v>
      </c>
      <c r="AG18" s="1213">
        <f t="shared" si="3"/>
        <v>0</v>
      </c>
      <c r="AH18" s="2919">
        <f t="shared" si="4"/>
        <v>0</v>
      </c>
      <c r="AI18" s="1848"/>
      <c r="AJ18" s="417">
        <f t="shared" si="20"/>
        <v>0</v>
      </c>
      <c r="AK18" s="420"/>
    </row>
    <row r="19" spans="1:37" s="424" customFormat="1" ht="15">
      <c r="A19" s="2933"/>
      <c r="B19" s="1289" t="s">
        <v>329</v>
      </c>
      <c r="C19" s="1286" t="s">
        <v>162</v>
      </c>
      <c r="D19" s="1287">
        <v>0</v>
      </c>
      <c r="E19" s="2716">
        <v>1204801</v>
      </c>
      <c r="F19" s="1287">
        <v>0</v>
      </c>
      <c r="G19" s="1287">
        <f>+F19</f>
        <v>0</v>
      </c>
      <c r="H19" s="1287">
        <f t="shared" si="6"/>
        <v>0</v>
      </c>
      <c r="I19" s="1287">
        <f>+H19+30037</f>
        <v>30037</v>
      </c>
      <c r="J19" s="1287">
        <f t="shared" si="7"/>
        <v>30037</v>
      </c>
      <c r="K19" s="1288">
        <v>30037</v>
      </c>
      <c r="L19" s="1287">
        <v>0</v>
      </c>
      <c r="M19" s="1287">
        <f>+L19</f>
        <v>0</v>
      </c>
      <c r="N19" s="1287">
        <f t="shared" si="9"/>
        <v>0</v>
      </c>
      <c r="O19" s="1287">
        <f t="shared" si="10"/>
        <v>0</v>
      </c>
      <c r="P19" s="1287">
        <f t="shared" si="11"/>
        <v>0</v>
      </c>
      <c r="Q19" s="1287">
        <v>0</v>
      </c>
      <c r="R19" s="1287">
        <v>0</v>
      </c>
      <c r="S19" s="1287">
        <f t="shared" si="12"/>
        <v>0</v>
      </c>
      <c r="T19" s="1287">
        <f t="shared" si="13"/>
        <v>0</v>
      </c>
      <c r="U19" s="1287">
        <f>+T19+30037</f>
        <v>30037</v>
      </c>
      <c r="V19" s="1287">
        <f t="shared" si="14"/>
        <v>30037</v>
      </c>
      <c r="W19" s="1287">
        <f t="shared" si="21"/>
        <v>30037</v>
      </c>
      <c r="X19" s="1287"/>
      <c r="Y19" s="1287">
        <f t="shared" si="15"/>
        <v>0</v>
      </c>
      <c r="Z19" s="1287">
        <f t="shared" si="16"/>
        <v>0</v>
      </c>
      <c r="AA19" s="1287">
        <f t="shared" si="17"/>
        <v>0</v>
      </c>
      <c r="AB19" s="1287">
        <f t="shared" si="18"/>
        <v>0</v>
      </c>
      <c r="AC19" s="1287">
        <f t="shared" si="19"/>
        <v>0</v>
      </c>
      <c r="AD19" s="2949"/>
      <c r="AE19" s="1213">
        <f t="shared" si="1"/>
        <v>0</v>
      </c>
      <c r="AF19" s="1213">
        <f t="shared" si="2"/>
        <v>0</v>
      </c>
      <c r="AG19" s="1213">
        <f t="shared" si="3"/>
        <v>30037</v>
      </c>
      <c r="AH19" s="2919">
        <f t="shared" si="4"/>
        <v>0</v>
      </c>
      <c r="AI19" s="1848">
        <f>+K19/I19</f>
        <v>1</v>
      </c>
      <c r="AJ19" s="417">
        <f t="shared" si="20"/>
        <v>0</v>
      </c>
      <c r="AK19" s="420"/>
    </row>
    <row r="20" spans="1:37" s="424" customFormat="1" ht="15">
      <c r="A20" s="2934" t="s">
        <v>12</v>
      </c>
      <c r="B20" s="1282" t="s">
        <v>12</v>
      </c>
      <c r="C20" s="1283" t="s">
        <v>1278</v>
      </c>
      <c r="D20" s="1213">
        <f t="shared" ref="D20:AC20" si="24">SUM(D21:D22)</f>
        <v>0</v>
      </c>
      <c r="E20" s="2715">
        <f t="shared" si="24"/>
        <v>0</v>
      </c>
      <c r="F20" s="1213">
        <f t="shared" si="24"/>
        <v>0</v>
      </c>
      <c r="G20" s="1298">
        <f t="shared" si="24"/>
        <v>0</v>
      </c>
      <c r="H20" s="1213">
        <f t="shared" si="24"/>
        <v>0</v>
      </c>
      <c r="I20" s="1213">
        <f t="shared" si="24"/>
        <v>0</v>
      </c>
      <c r="J20" s="1213">
        <f t="shared" si="24"/>
        <v>0</v>
      </c>
      <c r="K20" s="2630">
        <f>SUM(K21:K22)</f>
        <v>0</v>
      </c>
      <c r="L20" s="1213">
        <f t="shared" si="24"/>
        <v>0</v>
      </c>
      <c r="M20" s="1298">
        <f t="shared" si="24"/>
        <v>0</v>
      </c>
      <c r="N20" s="1213">
        <f t="shared" si="24"/>
        <v>0</v>
      </c>
      <c r="O20" s="1213">
        <f t="shared" si="24"/>
        <v>0</v>
      </c>
      <c r="P20" s="1213">
        <f t="shared" si="24"/>
        <v>0</v>
      </c>
      <c r="Q20" s="1213">
        <f t="shared" si="24"/>
        <v>0</v>
      </c>
      <c r="R20" s="1213">
        <f t="shared" si="24"/>
        <v>0</v>
      </c>
      <c r="S20" s="1298">
        <f t="shared" si="24"/>
        <v>0</v>
      </c>
      <c r="T20" s="1213">
        <f t="shared" si="24"/>
        <v>0</v>
      </c>
      <c r="U20" s="1213">
        <f t="shared" si="24"/>
        <v>0</v>
      </c>
      <c r="V20" s="1213">
        <f t="shared" si="24"/>
        <v>0</v>
      </c>
      <c r="W20" s="1287">
        <f t="shared" si="21"/>
        <v>0</v>
      </c>
      <c r="X20" s="1213">
        <f t="shared" si="24"/>
        <v>0</v>
      </c>
      <c r="Y20" s="1213">
        <f t="shared" si="24"/>
        <v>0</v>
      </c>
      <c r="Z20" s="1213">
        <f t="shared" si="24"/>
        <v>0</v>
      </c>
      <c r="AA20" s="1213">
        <f t="shared" si="24"/>
        <v>0</v>
      </c>
      <c r="AB20" s="1213">
        <f t="shared" si="24"/>
        <v>0</v>
      </c>
      <c r="AC20" s="1213">
        <f t="shared" si="24"/>
        <v>0</v>
      </c>
      <c r="AD20" s="2947"/>
      <c r="AE20" s="1213">
        <f t="shared" si="1"/>
        <v>0</v>
      </c>
      <c r="AF20" s="1213">
        <f t="shared" si="2"/>
        <v>0</v>
      </c>
      <c r="AG20" s="1213">
        <f t="shared" si="3"/>
        <v>0</v>
      </c>
      <c r="AH20" s="2919">
        <f t="shared" si="4"/>
        <v>0</v>
      </c>
      <c r="AI20" s="1848"/>
      <c r="AJ20" s="417">
        <f t="shared" si="20"/>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1288">
        <v>0</v>
      </c>
      <c r="L21" s="1287">
        <v>0</v>
      </c>
      <c r="M21" s="1287">
        <f t="shared" ref="M21:P22" si="26">+L21</f>
        <v>0</v>
      </c>
      <c r="N21" s="1287">
        <f t="shared" si="26"/>
        <v>0</v>
      </c>
      <c r="O21" s="1287">
        <f t="shared" si="26"/>
        <v>0</v>
      </c>
      <c r="P21" s="1287">
        <f t="shared" si="26"/>
        <v>0</v>
      </c>
      <c r="Q21" s="1287">
        <v>0</v>
      </c>
      <c r="R21" s="1287">
        <v>0</v>
      </c>
      <c r="S21" s="1287">
        <f t="shared" ref="S21:V22" si="27">+R21</f>
        <v>0</v>
      </c>
      <c r="T21" s="1287">
        <f t="shared" si="27"/>
        <v>0</v>
      </c>
      <c r="U21" s="1287">
        <f t="shared" si="27"/>
        <v>0</v>
      </c>
      <c r="V21" s="1287">
        <f t="shared" si="27"/>
        <v>0</v>
      </c>
      <c r="W21" s="1287">
        <f t="shared" si="21"/>
        <v>0</v>
      </c>
      <c r="X21" s="1287"/>
      <c r="Y21" s="1287">
        <f t="shared" ref="Y21:AC22" si="28">+X21</f>
        <v>0</v>
      </c>
      <c r="Z21" s="1287">
        <f t="shared" si="28"/>
        <v>0</v>
      </c>
      <c r="AA21" s="1287">
        <f t="shared" si="28"/>
        <v>0</v>
      </c>
      <c r="AB21" s="1287">
        <f t="shared" si="28"/>
        <v>0</v>
      </c>
      <c r="AC21" s="1287">
        <f t="shared" si="28"/>
        <v>0</v>
      </c>
      <c r="AD21" s="2947"/>
      <c r="AE21" s="1213">
        <f t="shared" si="1"/>
        <v>0</v>
      </c>
      <c r="AF21" s="1213">
        <f t="shared" si="2"/>
        <v>0</v>
      </c>
      <c r="AG21" s="1213">
        <f t="shared" si="3"/>
        <v>0</v>
      </c>
      <c r="AH21" s="2919">
        <f t="shared" si="4"/>
        <v>0</v>
      </c>
      <c r="AI21" s="1848"/>
      <c r="AJ21" s="417">
        <f t="shared" si="20"/>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1288">
        <v>0</v>
      </c>
      <c r="L22" s="1287">
        <v>0</v>
      </c>
      <c r="M22" s="1287">
        <f t="shared" si="26"/>
        <v>0</v>
      </c>
      <c r="N22" s="1287">
        <f t="shared" si="26"/>
        <v>0</v>
      </c>
      <c r="O22" s="1287">
        <f t="shared" si="26"/>
        <v>0</v>
      </c>
      <c r="P22" s="1287">
        <f t="shared" si="26"/>
        <v>0</v>
      </c>
      <c r="Q22" s="1287">
        <v>0</v>
      </c>
      <c r="R22" s="1287">
        <v>0</v>
      </c>
      <c r="S22" s="1287">
        <f t="shared" si="27"/>
        <v>0</v>
      </c>
      <c r="T22" s="1287">
        <f t="shared" si="27"/>
        <v>0</v>
      </c>
      <c r="U22" s="1287">
        <f t="shared" si="27"/>
        <v>0</v>
      </c>
      <c r="V22" s="1287">
        <f t="shared" si="27"/>
        <v>0</v>
      </c>
      <c r="W22" s="1287">
        <f t="shared" si="21"/>
        <v>0</v>
      </c>
      <c r="X22" s="1287"/>
      <c r="Y22" s="1287">
        <f t="shared" si="28"/>
        <v>0</v>
      </c>
      <c r="Z22" s="1287">
        <f t="shared" si="28"/>
        <v>0</v>
      </c>
      <c r="AA22" s="1287">
        <f t="shared" si="28"/>
        <v>0</v>
      </c>
      <c r="AB22" s="1287">
        <f t="shared" si="28"/>
        <v>0</v>
      </c>
      <c r="AC22" s="1287">
        <f t="shared" si="28"/>
        <v>0</v>
      </c>
      <c r="AD22" s="2947"/>
      <c r="AE22" s="1213">
        <f t="shared" si="1"/>
        <v>0</v>
      </c>
      <c r="AF22" s="1213">
        <f t="shared" si="2"/>
        <v>0</v>
      </c>
      <c r="AG22" s="1213">
        <f t="shared" si="3"/>
        <v>0</v>
      </c>
      <c r="AH22" s="2919">
        <f t="shared" si="4"/>
        <v>0</v>
      </c>
      <c r="AI22" s="1848"/>
      <c r="AJ22" s="417">
        <f t="shared" si="20"/>
        <v>0</v>
      </c>
      <c r="AK22" s="420"/>
    </row>
    <row r="23" spans="1:37" s="416" customFormat="1" ht="15">
      <c r="A23" s="2934" t="s">
        <v>14</v>
      </c>
      <c r="B23" s="1282" t="s">
        <v>14</v>
      </c>
      <c r="C23" s="1283" t="s">
        <v>1279</v>
      </c>
      <c r="D23" s="1213">
        <f t="shared" ref="D23:AC23" si="29">D24+D25</f>
        <v>2776673736</v>
      </c>
      <c r="E23" s="2715">
        <f t="shared" si="29"/>
        <v>2779265126</v>
      </c>
      <c r="F23" s="1213">
        <f t="shared" si="29"/>
        <v>2803748742</v>
      </c>
      <c r="G23" s="1298">
        <f t="shared" si="29"/>
        <v>2803748742</v>
      </c>
      <c r="H23" s="1213">
        <f t="shared" si="29"/>
        <v>2803748742</v>
      </c>
      <c r="I23" s="1213">
        <f t="shared" si="29"/>
        <v>2889680859</v>
      </c>
      <c r="J23" s="1213">
        <f t="shared" si="29"/>
        <v>2889680859</v>
      </c>
      <c r="K23" s="2630">
        <f t="shared" si="29"/>
        <v>2889680859</v>
      </c>
      <c r="L23" s="1213">
        <f t="shared" si="29"/>
        <v>0</v>
      </c>
      <c r="M23" s="1298">
        <f t="shared" si="29"/>
        <v>0</v>
      </c>
      <c r="N23" s="1213">
        <f t="shared" si="29"/>
        <v>0</v>
      </c>
      <c r="O23" s="1213">
        <f t="shared" si="29"/>
        <v>0</v>
      </c>
      <c r="P23" s="1213">
        <f t="shared" si="29"/>
        <v>0</v>
      </c>
      <c r="Q23" s="1213">
        <f t="shared" si="29"/>
        <v>0</v>
      </c>
      <c r="R23" s="1213">
        <f t="shared" si="29"/>
        <v>2803748742</v>
      </c>
      <c r="S23" s="1298">
        <f t="shared" si="29"/>
        <v>2803748742</v>
      </c>
      <c r="T23" s="1213">
        <f t="shared" si="29"/>
        <v>2803748742</v>
      </c>
      <c r="U23" s="1213">
        <f t="shared" si="29"/>
        <v>2889680859</v>
      </c>
      <c r="V23" s="1213">
        <f t="shared" si="29"/>
        <v>2889680859</v>
      </c>
      <c r="W23" s="1213">
        <f t="shared" si="29"/>
        <v>2889680859</v>
      </c>
      <c r="X23" s="1213">
        <f t="shared" si="29"/>
        <v>0</v>
      </c>
      <c r="Y23" s="1213">
        <f t="shared" si="29"/>
        <v>0</v>
      </c>
      <c r="Z23" s="1213">
        <f t="shared" si="29"/>
        <v>0</v>
      </c>
      <c r="AA23" s="1213">
        <f t="shared" si="29"/>
        <v>0</v>
      </c>
      <c r="AB23" s="1213">
        <f t="shared" si="29"/>
        <v>0</v>
      </c>
      <c r="AC23" s="1213">
        <f t="shared" si="29"/>
        <v>0</v>
      </c>
      <c r="AD23" s="2987"/>
      <c r="AE23" s="1213">
        <f t="shared" si="1"/>
        <v>0</v>
      </c>
      <c r="AF23" s="1213">
        <f t="shared" si="2"/>
        <v>0</v>
      </c>
      <c r="AG23" s="1213">
        <f t="shared" si="3"/>
        <v>85932117</v>
      </c>
      <c r="AH23" s="2919">
        <f t="shared" si="4"/>
        <v>0</v>
      </c>
      <c r="AI23" s="3198">
        <f>+K23/I23</f>
        <v>1</v>
      </c>
      <c r="AJ23" s="417">
        <f t="shared" si="20"/>
        <v>27075006</v>
      </c>
      <c r="AK23" s="412"/>
    </row>
    <row r="24" spans="1:37" s="416" customFormat="1" ht="15">
      <c r="A24" s="2934"/>
      <c r="B24" s="1289" t="s">
        <v>198</v>
      </c>
      <c r="C24" s="1284" t="s">
        <v>186</v>
      </c>
      <c r="D24" s="1213">
        <v>0</v>
      </c>
      <c r="E24" s="2715">
        <v>0</v>
      </c>
      <c r="F24" s="1213">
        <v>0</v>
      </c>
      <c r="G24" s="1298">
        <f t="shared" ref="G24:G31" si="30">+F24</f>
        <v>0</v>
      </c>
      <c r="H24" s="1213">
        <f t="shared" ref="H24:H31" si="31">+G24</f>
        <v>0</v>
      </c>
      <c r="I24" s="1213">
        <f t="shared" ref="I24:I31" si="32">+H24</f>
        <v>0</v>
      </c>
      <c r="J24" s="1291">
        <f t="shared" ref="J24:J31" si="33">+I24</f>
        <v>0</v>
      </c>
      <c r="K24" s="2630">
        <f>0</f>
        <v>0</v>
      </c>
      <c r="L24" s="1213">
        <v>0</v>
      </c>
      <c r="M24" s="1298">
        <f t="shared" ref="M24:P26" si="34">+L24</f>
        <v>0</v>
      </c>
      <c r="N24" s="1213">
        <f t="shared" si="34"/>
        <v>0</v>
      </c>
      <c r="O24" s="1213">
        <f t="shared" si="34"/>
        <v>0</v>
      </c>
      <c r="P24" s="1213">
        <f t="shared" si="34"/>
        <v>0</v>
      </c>
      <c r="Q24" s="1213">
        <v>0</v>
      </c>
      <c r="R24" s="1213">
        <v>0</v>
      </c>
      <c r="S24" s="1298">
        <f t="shared" ref="S24:V27" si="35">+R24</f>
        <v>0</v>
      </c>
      <c r="T24" s="1213">
        <f t="shared" si="35"/>
        <v>0</v>
      </c>
      <c r="U24" s="1213">
        <f t="shared" si="35"/>
        <v>0</v>
      </c>
      <c r="V24" s="1213">
        <f t="shared" si="35"/>
        <v>0</v>
      </c>
      <c r="W24" s="1213">
        <v>0</v>
      </c>
      <c r="X24" s="1213"/>
      <c r="Y24" s="1213">
        <f t="shared" ref="Y24:AC26" si="36">+X24</f>
        <v>0</v>
      </c>
      <c r="Z24" s="1213">
        <f t="shared" si="36"/>
        <v>0</v>
      </c>
      <c r="AA24" s="1213">
        <f t="shared" si="36"/>
        <v>0</v>
      </c>
      <c r="AB24" s="1213">
        <f t="shared" si="36"/>
        <v>0</v>
      </c>
      <c r="AC24" s="1213">
        <f t="shared" si="36"/>
        <v>0</v>
      </c>
      <c r="AD24" s="2988"/>
      <c r="AE24" s="1213">
        <f t="shared" si="1"/>
        <v>0</v>
      </c>
      <c r="AF24" s="1213">
        <f t="shared" si="2"/>
        <v>0</v>
      </c>
      <c r="AG24" s="1213">
        <f t="shared" si="3"/>
        <v>0</v>
      </c>
      <c r="AH24" s="2919">
        <f t="shared" si="4"/>
        <v>0</v>
      </c>
      <c r="AI24" s="1848"/>
      <c r="AJ24" s="417">
        <f t="shared" si="20"/>
        <v>0</v>
      </c>
      <c r="AK24" s="412"/>
    </row>
    <row r="25" spans="1:37" s="424" customFormat="1" ht="15">
      <c r="A25" s="2933"/>
      <c r="B25" s="1289" t="s">
        <v>200</v>
      </c>
      <c r="C25" s="1286" t="s">
        <v>148</v>
      </c>
      <c r="D25" s="1287">
        <v>2776673736</v>
      </c>
      <c r="E25" s="2716">
        <v>2779265126</v>
      </c>
      <c r="F25" s="1287">
        <v>2803748742</v>
      </c>
      <c r="G25" s="1287">
        <f>+F25</f>
        <v>2803748742</v>
      </c>
      <c r="H25" s="1287">
        <f t="shared" si="31"/>
        <v>2803748742</v>
      </c>
      <c r="I25" s="1287">
        <f>+H25+85932117</f>
        <v>2889680859</v>
      </c>
      <c r="J25" s="1291">
        <f t="shared" si="33"/>
        <v>2889680859</v>
      </c>
      <c r="K25" s="1288">
        <v>2889680859</v>
      </c>
      <c r="L25" s="1287">
        <v>0</v>
      </c>
      <c r="M25" s="1287">
        <f t="shared" si="34"/>
        <v>0</v>
      </c>
      <c r="N25" s="1287">
        <f t="shared" si="34"/>
        <v>0</v>
      </c>
      <c r="O25" s="1287">
        <f t="shared" si="34"/>
        <v>0</v>
      </c>
      <c r="P25" s="1287">
        <f t="shared" si="34"/>
        <v>0</v>
      </c>
      <c r="Q25" s="1287">
        <v>0</v>
      </c>
      <c r="R25" s="1287">
        <f>+F25</f>
        <v>2803748742</v>
      </c>
      <c r="S25" s="1298">
        <f t="shared" si="35"/>
        <v>2803748742</v>
      </c>
      <c r="T25" s="1287">
        <f t="shared" si="35"/>
        <v>2803748742</v>
      </c>
      <c r="U25" s="1287">
        <f>+T25+85932117</f>
        <v>2889680859</v>
      </c>
      <c r="V25" s="1287">
        <f t="shared" si="35"/>
        <v>2889680859</v>
      </c>
      <c r="W25" s="1287">
        <f t="shared" ref="W25:W31" si="37">+K25</f>
        <v>2889680859</v>
      </c>
      <c r="X25" s="1287"/>
      <c r="Y25" s="1287">
        <f t="shared" si="36"/>
        <v>0</v>
      </c>
      <c r="Z25" s="1287">
        <f t="shared" si="36"/>
        <v>0</v>
      </c>
      <c r="AA25" s="1287">
        <f t="shared" si="36"/>
        <v>0</v>
      </c>
      <c r="AB25" s="1287">
        <f t="shared" si="36"/>
        <v>0</v>
      </c>
      <c r="AC25" s="1287">
        <f t="shared" si="36"/>
        <v>0</v>
      </c>
      <c r="AD25" s="2989"/>
      <c r="AE25" s="1213">
        <f t="shared" si="1"/>
        <v>0</v>
      </c>
      <c r="AF25" s="1213">
        <f t="shared" si="2"/>
        <v>0</v>
      </c>
      <c r="AG25" s="1213">
        <f t="shared" si="3"/>
        <v>85932117</v>
      </c>
      <c r="AH25" s="2919">
        <f t="shared" si="4"/>
        <v>0</v>
      </c>
      <c r="AI25" s="1848">
        <f>+K25/I25</f>
        <v>1</v>
      </c>
      <c r="AJ25" s="417">
        <f t="shared" si="20"/>
        <v>27075006</v>
      </c>
      <c r="AK25" s="420"/>
    </row>
    <row r="26" spans="1:37" s="424" customFormat="1" ht="15">
      <c r="A26" s="2933"/>
      <c r="B26" s="1289" t="s">
        <v>202</v>
      </c>
      <c r="C26" s="1290" t="s">
        <v>1280</v>
      </c>
      <c r="D26" s="1287">
        <v>0</v>
      </c>
      <c r="E26" s="2716">
        <v>0</v>
      </c>
      <c r="F26" s="1287">
        <v>0</v>
      </c>
      <c r="G26" s="1287">
        <f>+F26</f>
        <v>0</v>
      </c>
      <c r="H26" s="1287">
        <f t="shared" si="31"/>
        <v>0</v>
      </c>
      <c r="I26" s="1287">
        <f t="shared" si="32"/>
        <v>0</v>
      </c>
      <c r="J26" s="1291">
        <f t="shared" si="33"/>
        <v>0</v>
      </c>
      <c r="K26" s="1288">
        <v>0</v>
      </c>
      <c r="L26" s="1287">
        <f>+F26</f>
        <v>0</v>
      </c>
      <c r="M26" s="1287">
        <f t="shared" si="34"/>
        <v>0</v>
      </c>
      <c r="N26" s="1287">
        <f t="shared" si="34"/>
        <v>0</v>
      </c>
      <c r="O26" s="1287">
        <f t="shared" si="34"/>
        <v>0</v>
      </c>
      <c r="P26" s="1287">
        <f t="shared" si="34"/>
        <v>0</v>
      </c>
      <c r="Q26" s="1287">
        <v>0</v>
      </c>
      <c r="R26" s="1287">
        <v>0</v>
      </c>
      <c r="S26" s="1287">
        <f t="shared" si="35"/>
        <v>0</v>
      </c>
      <c r="T26" s="1287">
        <f t="shared" si="35"/>
        <v>0</v>
      </c>
      <c r="U26" s="1287">
        <f t="shared" si="35"/>
        <v>0</v>
      </c>
      <c r="V26" s="1287">
        <f t="shared" si="35"/>
        <v>0</v>
      </c>
      <c r="W26" s="1287">
        <f t="shared" si="37"/>
        <v>0</v>
      </c>
      <c r="X26" s="1287"/>
      <c r="Y26" s="1287">
        <f t="shared" si="36"/>
        <v>0</v>
      </c>
      <c r="Z26" s="1287">
        <f t="shared" si="36"/>
        <v>0</v>
      </c>
      <c r="AA26" s="1287">
        <f t="shared" si="36"/>
        <v>0</v>
      </c>
      <c r="AB26" s="1287">
        <f t="shared" si="36"/>
        <v>0</v>
      </c>
      <c r="AC26" s="1287">
        <f t="shared" si="36"/>
        <v>0</v>
      </c>
      <c r="AD26" s="2988"/>
      <c r="AE26" s="1213">
        <f t="shared" si="1"/>
        <v>0</v>
      </c>
      <c r="AF26" s="1213">
        <f t="shared" si="2"/>
        <v>0</v>
      </c>
      <c r="AG26" s="1213">
        <f t="shared" si="3"/>
        <v>0</v>
      </c>
      <c r="AH26" s="2919">
        <f t="shared" si="4"/>
        <v>0</v>
      </c>
      <c r="AI26" s="1848"/>
      <c r="AJ26" s="417">
        <f t="shared" si="20"/>
        <v>0</v>
      </c>
      <c r="AK26" s="420"/>
    </row>
    <row r="27" spans="1:37" s="424" customFormat="1" ht="15">
      <c r="A27" s="2934" t="s">
        <v>15</v>
      </c>
      <c r="B27" s="1282" t="s">
        <v>15</v>
      </c>
      <c r="C27" s="1292" t="s">
        <v>150</v>
      </c>
      <c r="D27" s="1293">
        <v>0</v>
      </c>
      <c r="E27" s="2718">
        <v>0</v>
      </c>
      <c r="F27" s="1227">
        <f>0</f>
        <v>0</v>
      </c>
      <c r="G27" s="2990">
        <f>+F27</f>
        <v>0</v>
      </c>
      <c r="H27" s="2990">
        <f t="shared" si="31"/>
        <v>0</v>
      </c>
      <c r="I27" s="1293">
        <f t="shared" si="32"/>
        <v>0</v>
      </c>
      <c r="J27" s="1293">
        <f t="shared" si="33"/>
        <v>0</v>
      </c>
      <c r="K27" s="2991">
        <v>0</v>
      </c>
      <c r="L27" s="1293">
        <v>0</v>
      </c>
      <c r="M27" s="2990">
        <v>0</v>
      </c>
      <c r="N27" s="1293">
        <v>0</v>
      </c>
      <c r="O27" s="1293">
        <v>0</v>
      </c>
      <c r="P27" s="1293">
        <v>0</v>
      </c>
      <c r="Q27" s="1293">
        <v>0</v>
      </c>
      <c r="R27" s="1227">
        <f>+F27</f>
        <v>0</v>
      </c>
      <c r="S27" s="1293">
        <f>+R27</f>
        <v>0</v>
      </c>
      <c r="T27" s="1293">
        <f t="shared" si="35"/>
        <v>0</v>
      </c>
      <c r="U27" s="2990">
        <f t="shared" si="35"/>
        <v>0</v>
      </c>
      <c r="V27" s="2990">
        <f t="shared" si="35"/>
        <v>0</v>
      </c>
      <c r="W27" s="1293">
        <f t="shared" si="37"/>
        <v>0</v>
      </c>
      <c r="X27" s="1293"/>
      <c r="Y27" s="1293"/>
      <c r="Z27" s="1293"/>
      <c r="AA27" s="1293"/>
      <c r="AB27" s="1293"/>
      <c r="AC27" s="1293"/>
      <c r="AD27" s="2988"/>
      <c r="AE27" s="1213">
        <f t="shared" si="1"/>
        <v>0</v>
      </c>
      <c r="AF27" s="1213">
        <f t="shared" si="2"/>
        <v>0</v>
      </c>
      <c r="AG27" s="1213">
        <f t="shared" si="3"/>
        <v>0</v>
      </c>
      <c r="AH27" s="2919">
        <f t="shared" si="4"/>
        <v>0</v>
      </c>
      <c r="AI27" s="1848"/>
      <c r="AJ27" s="417">
        <f t="shared" si="20"/>
        <v>0</v>
      </c>
      <c r="AK27" s="427"/>
    </row>
    <row r="28" spans="1:37" s="424" customFormat="1" ht="15">
      <c r="A28" s="2933"/>
      <c r="B28" s="1289" t="s">
        <v>212</v>
      </c>
      <c r="C28" s="1290" t="s">
        <v>1280</v>
      </c>
      <c r="D28" s="1287">
        <v>0</v>
      </c>
      <c r="E28" s="2716">
        <v>0</v>
      </c>
      <c r="F28" s="1287">
        <v>0</v>
      </c>
      <c r="G28" s="1287">
        <f t="shared" si="30"/>
        <v>0</v>
      </c>
      <c r="H28" s="1287">
        <f t="shared" si="31"/>
        <v>0</v>
      </c>
      <c r="I28" s="1287">
        <f t="shared" si="32"/>
        <v>0</v>
      </c>
      <c r="J28" s="1287">
        <f t="shared" si="33"/>
        <v>0</v>
      </c>
      <c r="K28" s="1288">
        <v>0</v>
      </c>
      <c r="L28" s="1287">
        <f>+F28</f>
        <v>0</v>
      </c>
      <c r="M28" s="1287">
        <f t="shared" ref="M28:P31" si="38">+L28</f>
        <v>0</v>
      </c>
      <c r="N28" s="1287">
        <f t="shared" si="38"/>
        <v>0</v>
      </c>
      <c r="O28" s="1287">
        <f t="shared" si="38"/>
        <v>0</v>
      </c>
      <c r="P28" s="1287">
        <f t="shared" si="38"/>
        <v>0</v>
      </c>
      <c r="Q28" s="1287">
        <v>0</v>
      </c>
      <c r="R28" s="1287">
        <v>0</v>
      </c>
      <c r="S28" s="1287">
        <v>0</v>
      </c>
      <c r="T28" s="1287"/>
      <c r="U28" s="1287">
        <v>0</v>
      </c>
      <c r="V28" s="1287"/>
      <c r="W28" s="1287">
        <f t="shared" si="37"/>
        <v>0</v>
      </c>
      <c r="X28" s="1287"/>
      <c r="Y28" s="1287">
        <f t="shared" ref="Y28:AC31" si="39">+X28</f>
        <v>0</v>
      </c>
      <c r="Z28" s="1287">
        <f t="shared" si="39"/>
        <v>0</v>
      </c>
      <c r="AA28" s="1287">
        <f t="shared" si="39"/>
        <v>0</v>
      </c>
      <c r="AB28" s="1287">
        <f t="shared" si="39"/>
        <v>0</v>
      </c>
      <c r="AC28" s="1287">
        <f t="shared" si="39"/>
        <v>0</v>
      </c>
      <c r="AD28" s="2992"/>
      <c r="AE28" s="1213">
        <f t="shared" si="1"/>
        <v>0</v>
      </c>
      <c r="AF28" s="1213">
        <f t="shared" si="2"/>
        <v>0</v>
      </c>
      <c r="AG28" s="1213">
        <f t="shared" si="3"/>
        <v>0</v>
      </c>
      <c r="AH28" s="2919">
        <f t="shared" si="4"/>
        <v>0</v>
      </c>
      <c r="AI28" s="1848"/>
      <c r="AJ28" s="417">
        <f t="shared" si="20"/>
        <v>0</v>
      </c>
      <c r="AK28" s="420"/>
    </row>
    <row r="29" spans="1:37" s="424" customFormat="1" ht="15">
      <c r="A29" s="2934" t="s">
        <v>17</v>
      </c>
      <c r="B29" s="1474" t="s">
        <v>17</v>
      </c>
      <c r="C29" s="1292" t="s">
        <v>153</v>
      </c>
      <c r="D29" s="1213">
        <v>0</v>
      </c>
      <c r="E29" s="2715">
        <v>0</v>
      </c>
      <c r="F29" s="1213">
        <v>0</v>
      </c>
      <c r="G29" s="1298">
        <f>+F29</f>
        <v>0</v>
      </c>
      <c r="H29" s="1298">
        <f>+G29</f>
        <v>0</v>
      </c>
      <c r="I29" s="1213">
        <f t="shared" si="32"/>
        <v>0</v>
      </c>
      <c r="J29" s="1213">
        <f t="shared" si="33"/>
        <v>0</v>
      </c>
      <c r="K29" s="2991">
        <v>0</v>
      </c>
      <c r="L29" s="1213">
        <v>0</v>
      </c>
      <c r="M29" s="1298">
        <f t="shared" si="38"/>
        <v>0</v>
      </c>
      <c r="N29" s="1213">
        <f t="shared" si="38"/>
        <v>0</v>
      </c>
      <c r="O29" s="1213">
        <f t="shared" si="38"/>
        <v>0</v>
      </c>
      <c r="P29" s="1213">
        <f t="shared" si="38"/>
        <v>0</v>
      </c>
      <c r="Q29" s="1213">
        <v>0</v>
      </c>
      <c r="R29" s="1213">
        <v>0</v>
      </c>
      <c r="S29" s="1298">
        <f>+R29</f>
        <v>0</v>
      </c>
      <c r="T29" s="1293">
        <f>+S29</f>
        <v>0</v>
      </c>
      <c r="U29" s="1213">
        <f t="shared" ref="U29:V31" si="40">+T29</f>
        <v>0</v>
      </c>
      <c r="V29" s="1213">
        <f t="shared" si="40"/>
        <v>0</v>
      </c>
      <c r="W29" s="1213">
        <f t="shared" si="37"/>
        <v>0</v>
      </c>
      <c r="X29" s="1213"/>
      <c r="Y29" s="1213">
        <f t="shared" si="39"/>
        <v>0</v>
      </c>
      <c r="Z29" s="1213">
        <f t="shared" si="39"/>
        <v>0</v>
      </c>
      <c r="AA29" s="1213">
        <f t="shared" si="39"/>
        <v>0</v>
      </c>
      <c r="AB29" s="1213">
        <f t="shared" si="39"/>
        <v>0</v>
      </c>
      <c r="AC29" s="1213">
        <f t="shared" si="39"/>
        <v>0</v>
      </c>
      <c r="AD29" s="2989"/>
      <c r="AE29" s="1213">
        <f t="shared" si="1"/>
        <v>0</v>
      </c>
      <c r="AF29" s="1213">
        <f t="shared" si="2"/>
        <v>0</v>
      </c>
      <c r="AG29" s="1213">
        <f t="shared" si="3"/>
        <v>0</v>
      </c>
      <c r="AH29" s="2919">
        <f t="shared" si="4"/>
        <v>0</v>
      </c>
      <c r="AI29" s="1848"/>
      <c r="AJ29" s="417">
        <f t="shared" si="20"/>
        <v>0</v>
      </c>
      <c r="AK29" s="412"/>
    </row>
    <row r="30" spans="1:37" s="416" customFormat="1" ht="15">
      <c r="A30" s="2934" t="s">
        <v>19</v>
      </c>
      <c r="B30" s="1282" t="s">
        <v>19</v>
      </c>
      <c r="C30" s="1292" t="s">
        <v>1281</v>
      </c>
      <c r="D30" s="1293">
        <v>0</v>
      </c>
      <c r="E30" s="2718">
        <v>0</v>
      </c>
      <c r="F30" s="1293">
        <v>0</v>
      </c>
      <c r="G30" s="2990">
        <f t="shared" si="30"/>
        <v>0</v>
      </c>
      <c r="H30" s="1293">
        <f t="shared" si="31"/>
        <v>0</v>
      </c>
      <c r="I30" s="1293">
        <f t="shared" si="32"/>
        <v>0</v>
      </c>
      <c r="J30" s="1293">
        <f t="shared" si="33"/>
        <v>0</v>
      </c>
      <c r="K30" s="2991">
        <v>0</v>
      </c>
      <c r="L30" s="1293">
        <v>0</v>
      </c>
      <c r="M30" s="2990">
        <f t="shared" si="38"/>
        <v>0</v>
      </c>
      <c r="N30" s="1293">
        <f t="shared" si="38"/>
        <v>0</v>
      </c>
      <c r="O30" s="1293">
        <f t="shared" si="38"/>
        <v>0</v>
      </c>
      <c r="P30" s="1293">
        <f t="shared" si="38"/>
        <v>0</v>
      </c>
      <c r="Q30" s="1293">
        <v>0</v>
      </c>
      <c r="R30" s="1293">
        <f>+I30</f>
        <v>0</v>
      </c>
      <c r="S30" s="2990">
        <f>+R30</f>
        <v>0</v>
      </c>
      <c r="T30" s="1293">
        <v>0</v>
      </c>
      <c r="U30" s="1293">
        <f t="shared" si="40"/>
        <v>0</v>
      </c>
      <c r="V30" s="1293">
        <f t="shared" si="40"/>
        <v>0</v>
      </c>
      <c r="W30" s="1293">
        <f t="shared" si="37"/>
        <v>0</v>
      </c>
      <c r="X30" s="1293"/>
      <c r="Y30" s="1293">
        <f t="shared" si="39"/>
        <v>0</v>
      </c>
      <c r="Z30" s="1293">
        <f t="shared" si="39"/>
        <v>0</v>
      </c>
      <c r="AA30" s="1293">
        <f t="shared" si="39"/>
        <v>0</v>
      </c>
      <c r="AB30" s="1293">
        <f t="shared" si="39"/>
        <v>0</v>
      </c>
      <c r="AC30" s="1293">
        <f t="shared" si="39"/>
        <v>0</v>
      </c>
      <c r="AD30" s="2947"/>
      <c r="AE30" s="1213">
        <f t="shared" si="1"/>
        <v>0</v>
      </c>
      <c r="AF30" s="1213">
        <f t="shared" si="2"/>
        <v>0</v>
      </c>
      <c r="AG30" s="1213">
        <f t="shared" si="3"/>
        <v>0</v>
      </c>
      <c r="AH30" s="2919">
        <f t="shared" si="4"/>
        <v>0</v>
      </c>
      <c r="AI30" s="1848"/>
      <c r="AJ30" s="417">
        <f t="shared" si="20"/>
        <v>0</v>
      </c>
      <c r="AK30" s="427"/>
    </row>
    <row r="31" spans="1:37" s="416" customFormat="1" ht="15">
      <c r="A31" s="2934" t="s">
        <v>21</v>
      </c>
      <c r="B31" s="1282" t="s">
        <v>21</v>
      </c>
      <c r="C31" s="1292" t="s">
        <v>393</v>
      </c>
      <c r="D31" s="1227">
        <v>0</v>
      </c>
      <c r="E31" s="2719">
        <v>0</v>
      </c>
      <c r="F31" s="1227">
        <v>0</v>
      </c>
      <c r="G31" s="1287">
        <f t="shared" si="30"/>
        <v>0</v>
      </c>
      <c r="H31" s="1227">
        <f t="shared" si="31"/>
        <v>0</v>
      </c>
      <c r="I31" s="1227">
        <f t="shared" si="32"/>
        <v>0</v>
      </c>
      <c r="J31" s="1227">
        <f t="shared" si="33"/>
        <v>0</v>
      </c>
      <c r="K31" s="1295">
        <v>0</v>
      </c>
      <c r="L31" s="1293">
        <v>0</v>
      </c>
      <c r="M31" s="2990">
        <f t="shared" si="38"/>
        <v>0</v>
      </c>
      <c r="N31" s="1293">
        <f t="shared" si="38"/>
        <v>0</v>
      </c>
      <c r="O31" s="1293">
        <f t="shared" si="38"/>
        <v>0</v>
      </c>
      <c r="P31" s="1293">
        <f t="shared" si="38"/>
        <v>0</v>
      </c>
      <c r="Q31" s="1293">
        <v>0</v>
      </c>
      <c r="R31" s="1227">
        <f>+G31</f>
        <v>0</v>
      </c>
      <c r="S31" s="2990">
        <f>+R31</f>
        <v>0</v>
      </c>
      <c r="T31" s="1293">
        <f>+S31</f>
        <v>0</v>
      </c>
      <c r="U31" s="1293">
        <f t="shared" si="40"/>
        <v>0</v>
      </c>
      <c r="V31" s="1293">
        <f t="shared" si="40"/>
        <v>0</v>
      </c>
      <c r="W31" s="1293">
        <f t="shared" si="37"/>
        <v>0</v>
      </c>
      <c r="X31" s="1293"/>
      <c r="Y31" s="1293">
        <f t="shared" si="39"/>
        <v>0</v>
      </c>
      <c r="Z31" s="1293">
        <f t="shared" si="39"/>
        <v>0</v>
      </c>
      <c r="AA31" s="1293">
        <f t="shared" si="39"/>
        <v>0</v>
      </c>
      <c r="AB31" s="1227">
        <f t="shared" si="39"/>
        <v>0</v>
      </c>
      <c r="AC31" s="1227">
        <f t="shared" si="39"/>
        <v>0</v>
      </c>
      <c r="AD31" s="2947"/>
      <c r="AE31" s="1213">
        <f t="shared" si="1"/>
        <v>0</v>
      </c>
      <c r="AF31" s="1213">
        <f t="shared" si="2"/>
        <v>0</v>
      </c>
      <c r="AG31" s="1213">
        <f t="shared" si="3"/>
        <v>0</v>
      </c>
      <c r="AH31" s="2919">
        <f t="shared" si="4"/>
        <v>0</v>
      </c>
      <c r="AI31" s="1848"/>
      <c r="AJ31" s="417">
        <f t="shared" si="20"/>
        <v>0</v>
      </c>
      <c r="AK31" s="430"/>
    </row>
    <row r="32" spans="1:37" s="416" customFormat="1" ht="15">
      <c r="A32" s="2934" t="s">
        <v>23</v>
      </c>
      <c r="B32" s="1474" t="s">
        <v>23</v>
      </c>
      <c r="C32" s="1292" t="s">
        <v>1282</v>
      </c>
      <c r="D32" s="1213">
        <f t="shared" ref="D32:AC32" si="41">+D8+D20+D23+D27+D29+D30+D31</f>
        <v>2903020680</v>
      </c>
      <c r="E32" s="2715">
        <f>+E8+E20+E23+E27+E29+E30+E31</f>
        <v>2910870012</v>
      </c>
      <c r="F32" s="1213">
        <f t="shared" si="41"/>
        <v>2938372314</v>
      </c>
      <c r="G32" s="1298">
        <f t="shared" si="41"/>
        <v>2938372314</v>
      </c>
      <c r="H32" s="1213">
        <f t="shared" si="41"/>
        <v>2938372314</v>
      </c>
      <c r="I32" s="1213">
        <f t="shared" si="41"/>
        <v>3012224008</v>
      </c>
      <c r="J32" s="1213">
        <f t="shared" si="41"/>
        <v>3012224008</v>
      </c>
      <c r="K32" s="2630">
        <f t="shared" si="41"/>
        <v>3012224008</v>
      </c>
      <c r="L32" s="1213">
        <f t="shared" si="41"/>
        <v>0</v>
      </c>
      <c r="M32" s="1298">
        <f t="shared" si="41"/>
        <v>0</v>
      </c>
      <c r="N32" s="1213">
        <f t="shared" si="41"/>
        <v>0</v>
      </c>
      <c r="O32" s="1213">
        <f t="shared" si="41"/>
        <v>0</v>
      </c>
      <c r="P32" s="1213">
        <f t="shared" si="41"/>
        <v>0</v>
      </c>
      <c r="Q32" s="1213">
        <f t="shared" si="41"/>
        <v>0</v>
      </c>
      <c r="R32" s="1213">
        <f t="shared" si="41"/>
        <v>2938372314</v>
      </c>
      <c r="S32" s="1298">
        <f t="shared" si="41"/>
        <v>2938372314</v>
      </c>
      <c r="T32" s="1213">
        <f t="shared" si="41"/>
        <v>2938372314</v>
      </c>
      <c r="U32" s="1213">
        <f t="shared" si="41"/>
        <v>3012224008</v>
      </c>
      <c r="V32" s="1213">
        <f t="shared" si="41"/>
        <v>3012224008</v>
      </c>
      <c r="W32" s="1213">
        <f t="shared" si="41"/>
        <v>3012224008</v>
      </c>
      <c r="X32" s="1213">
        <f t="shared" si="41"/>
        <v>0</v>
      </c>
      <c r="Y32" s="1213">
        <f t="shared" si="41"/>
        <v>0</v>
      </c>
      <c r="Z32" s="1213">
        <f t="shared" si="41"/>
        <v>0</v>
      </c>
      <c r="AA32" s="1213">
        <f t="shared" si="41"/>
        <v>0</v>
      </c>
      <c r="AB32" s="1213">
        <f t="shared" si="41"/>
        <v>0</v>
      </c>
      <c r="AC32" s="1213">
        <f t="shared" si="41"/>
        <v>0</v>
      </c>
      <c r="AD32" s="2993"/>
      <c r="AE32" s="1213">
        <f t="shared" si="1"/>
        <v>0</v>
      </c>
      <c r="AF32" s="1213">
        <f t="shared" si="2"/>
        <v>0</v>
      </c>
      <c r="AG32" s="1213">
        <f t="shared" si="3"/>
        <v>73851694</v>
      </c>
      <c r="AH32" s="2919">
        <f t="shared" si="4"/>
        <v>0</v>
      </c>
      <c r="AI32" s="3198">
        <f>+K32/I32</f>
        <v>1</v>
      </c>
      <c r="AJ32" s="417">
        <f t="shared" si="20"/>
        <v>35351634</v>
      </c>
      <c r="AK32" s="412"/>
    </row>
    <row r="33" spans="1:39" s="424" customFormat="1" ht="15">
      <c r="A33" s="2975" t="s">
        <v>25</v>
      </c>
      <c r="B33" s="1282" t="s">
        <v>25</v>
      </c>
      <c r="C33" s="1292" t="s">
        <v>1305</v>
      </c>
      <c r="D33" s="1213">
        <f t="shared" ref="D33:AC33" si="42">SUM(D34:D36)</f>
        <v>775290562</v>
      </c>
      <c r="E33" s="2715">
        <f>SUM(E34:E36)</f>
        <v>995556691</v>
      </c>
      <c r="F33" s="1213">
        <f t="shared" si="42"/>
        <v>847108558</v>
      </c>
      <c r="G33" s="1298">
        <f t="shared" si="42"/>
        <v>1003536178</v>
      </c>
      <c r="H33" s="1213">
        <f t="shared" si="42"/>
        <v>1009397869</v>
      </c>
      <c r="I33" s="1213">
        <f t="shared" si="42"/>
        <v>940759149</v>
      </c>
      <c r="J33" s="1213">
        <f t="shared" si="42"/>
        <v>940759149</v>
      </c>
      <c r="K33" s="2630">
        <f>SUM(K34:K36)</f>
        <v>940759149</v>
      </c>
      <c r="L33" s="1213">
        <f t="shared" si="42"/>
        <v>0</v>
      </c>
      <c r="M33" s="1298">
        <f t="shared" si="42"/>
        <v>0</v>
      </c>
      <c r="N33" s="1213">
        <f t="shared" si="42"/>
        <v>0</v>
      </c>
      <c r="O33" s="1213">
        <f t="shared" si="42"/>
        <v>0</v>
      </c>
      <c r="P33" s="1213">
        <f t="shared" si="42"/>
        <v>0</v>
      </c>
      <c r="Q33" s="1213">
        <f t="shared" si="42"/>
        <v>0</v>
      </c>
      <c r="R33" s="1213">
        <f t="shared" si="42"/>
        <v>847108558</v>
      </c>
      <c r="S33" s="1298">
        <f t="shared" si="42"/>
        <v>1003536178</v>
      </c>
      <c r="T33" s="1213">
        <f t="shared" si="42"/>
        <v>1009397869</v>
      </c>
      <c r="U33" s="1213">
        <f t="shared" si="42"/>
        <v>940759149</v>
      </c>
      <c r="V33" s="1213">
        <f t="shared" si="42"/>
        <v>940759149</v>
      </c>
      <c r="W33" s="1213">
        <f t="shared" si="42"/>
        <v>940759149</v>
      </c>
      <c r="X33" s="1213">
        <f t="shared" si="42"/>
        <v>0</v>
      </c>
      <c r="Y33" s="1213">
        <f t="shared" si="42"/>
        <v>0</v>
      </c>
      <c r="Z33" s="1213">
        <f t="shared" si="42"/>
        <v>0</v>
      </c>
      <c r="AA33" s="1213">
        <f t="shared" si="42"/>
        <v>0</v>
      </c>
      <c r="AB33" s="1213">
        <f t="shared" si="42"/>
        <v>0</v>
      </c>
      <c r="AC33" s="1213">
        <f t="shared" si="42"/>
        <v>0</v>
      </c>
      <c r="AD33" s="2947"/>
      <c r="AE33" s="1213">
        <f t="shared" si="1"/>
        <v>156427620</v>
      </c>
      <c r="AF33" s="1213">
        <f t="shared" si="2"/>
        <v>5861691</v>
      </c>
      <c r="AG33" s="1213">
        <f t="shared" si="3"/>
        <v>-68638720</v>
      </c>
      <c r="AH33" s="2919">
        <f t="shared" si="4"/>
        <v>0</v>
      </c>
      <c r="AI33" s="3198">
        <f>+K33/I33</f>
        <v>1</v>
      </c>
      <c r="AJ33" s="417">
        <f t="shared" si="20"/>
        <v>71817996</v>
      </c>
      <c r="AK33" s="412"/>
    </row>
    <row r="34" spans="1:39" s="424" customFormat="1" ht="15">
      <c r="A34" s="2933"/>
      <c r="B34" s="1477" t="s">
        <v>1284</v>
      </c>
      <c r="C34" s="1286" t="s">
        <v>1285</v>
      </c>
      <c r="D34" s="1227">
        <v>0</v>
      </c>
      <c r="E34" s="2719">
        <v>191099373</v>
      </c>
      <c r="F34" s="1227">
        <v>0</v>
      </c>
      <c r="G34" s="1287">
        <f>+F34+136874367</f>
        <v>136874367</v>
      </c>
      <c r="H34" s="1227">
        <f t="shared" ref="G34:J36" si="43">+G34</f>
        <v>136874367</v>
      </c>
      <c r="I34" s="1227">
        <f t="shared" si="43"/>
        <v>136874367</v>
      </c>
      <c r="J34" s="1227">
        <f t="shared" si="43"/>
        <v>136874367</v>
      </c>
      <c r="K34" s="1295">
        <v>136874367</v>
      </c>
      <c r="L34" s="1227">
        <v>0</v>
      </c>
      <c r="M34" s="1287">
        <f t="shared" ref="M34:P36" si="44">+L34</f>
        <v>0</v>
      </c>
      <c r="N34" s="1227">
        <f t="shared" si="44"/>
        <v>0</v>
      </c>
      <c r="O34" s="1227">
        <f t="shared" si="44"/>
        <v>0</v>
      </c>
      <c r="P34" s="1227">
        <f t="shared" si="44"/>
        <v>0</v>
      </c>
      <c r="Q34" s="1227">
        <v>0</v>
      </c>
      <c r="R34" s="1227">
        <f>+F34</f>
        <v>0</v>
      </c>
      <c r="S34" s="1287">
        <f>+R34+136874367</f>
        <v>136874367</v>
      </c>
      <c r="T34" s="1227">
        <f t="shared" ref="S34:V35" si="45">+S34</f>
        <v>136874367</v>
      </c>
      <c r="U34" s="1227">
        <f t="shared" si="45"/>
        <v>136874367</v>
      </c>
      <c r="V34" s="1227">
        <f t="shared" si="45"/>
        <v>136874367</v>
      </c>
      <c r="W34" s="1227">
        <f>+K34</f>
        <v>136874367</v>
      </c>
      <c r="X34" s="1227"/>
      <c r="Y34" s="1227">
        <f t="shared" ref="Y34:AC36" si="46">+X34</f>
        <v>0</v>
      </c>
      <c r="Z34" s="1227">
        <f t="shared" si="46"/>
        <v>0</v>
      </c>
      <c r="AA34" s="1227">
        <f t="shared" si="46"/>
        <v>0</v>
      </c>
      <c r="AB34" s="1227">
        <f t="shared" si="46"/>
        <v>0</v>
      </c>
      <c r="AC34" s="1227">
        <f t="shared" si="46"/>
        <v>0</v>
      </c>
      <c r="AD34" s="2947"/>
      <c r="AE34" s="1213">
        <f t="shared" si="1"/>
        <v>136874367</v>
      </c>
      <c r="AF34" s="1213">
        <f t="shared" si="2"/>
        <v>0</v>
      </c>
      <c r="AG34" s="1213">
        <f t="shared" si="3"/>
        <v>0</v>
      </c>
      <c r="AH34" s="2919">
        <f t="shared" si="4"/>
        <v>0</v>
      </c>
      <c r="AI34" s="1848">
        <f>+K34/I34</f>
        <v>1</v>
      </c>
      <c r="AJ34" s="417">
        <f t="shared" si="20"/>
        <v>0</v>
      </c>
      <c r="AK34" s="430"/>
    </row>
    <row r="35" spans="1:39" s="424" customFormat="1" ht="15">
      <c r="A35" s="2933"/>
      <c r="B35" s="1477" t="s">
        <v>1286</v>
      </c>
      <c r="C35" s="1286" t="s">
        <v>1287</v>
      </c>
      <c r="D35" s="1227">
        <v>0</v>
      </c>
      <c r="E35" s="2719">
        <v>0</v>
      </c>
      <c r="F35" s="1227">
        <v>0</v>
      </c>
      <c r="G35" s="1287">
        <f t="shared" si="43"/>
        <v>0</v>
      </c>
      <c r="H35" s="1227">
        <f t="shared" si="43"/>
        <v>0</v>
      </c>
      <c r="I35" s="1227">
        <f t="shared" si="43"/>
        <v>0</v>
      </c>
      <c r="J35" s="1227">
        <f t="shared" si="43"/>
        <v>0</v>
      </c>
      <c r="K35" s="1295">
        <v>0</v>
      </c>
      <c r="L35" s="1227">
        <v>0</v>
      </c>
      <c r="M35" s="1287">
        <f t="shared" si="44"/>
        <v>0</v>
      </c>
      <c r="N35" s="1227">
        <f t="shared" si="44"/>
        <v>0</v>
      </c>
      <c r="O35" s="1227">
        <f t="shared" si="44"/>
        <v>0</v>
      </c>
      <c r="P35" s="1227">
        <f t="shared" si="44"/>
        <v>0</v>
      </c>
      <c r="Q35" s="1227">
        <v>0</v>
      </c>
      <c r="R35" s="1227">
        <v>0</v>
      </c>
      <c r="S35" s="1287">
        <f t="shared" si="45"/>
        <v>0</v>
      </c>
      <c r="T35" s="1227">
        <f t="shared" si="45"/>
        <v>0</v>
      </c>
      <c r="U35" s="1227">
        <f t="shared" si="45"/>
        <v>0</v>
      </c>
      <c r="V35" s="1227">
        <f t="shared" si="45"/>
        <v>0</v>
      </c>
      <c r="W35" s="1227">
        <v>0</v>
      </c>
      <c r="X35" s="1227"/>
      <c r="Y35" s="1227">
        <f t="shared" si="46"/>
        <v>0</v>
      </c>
      <c r="Z35" s="1227">
        <f t="shared" si="46"/>
        <v>0</v>
      </c>
      <c r="AA35" s="1227">
        <f t="shared" si="46"/>
        <v>0</v>
      </c>
      <c r="AB35" s="1227">
        <f t="shared" si="46"/>
        <v>0</v>
      </c>
      <c r="AC35" s="1227">
        <f t="shared" si="46"/>
        <v>0</v>
      </c>
      <c r="AD35" s="2069"/>
      <c r="AE35" s="1213">
        <f t="shared" si="1"/>
        <v>0</v>
      </c>
      <c r="AF35" s="1213">
        <f t="shared" si="2"/>
        <v>0</v>
      </c>
      <c r="AG35" s="1213">
        <f t="shared" si="3"/>
        <v>0</v>
      </c>
      <c r="AH35" s="2919">
        <f t="shared" si="4"/>
        <v>0</v>
      </c>
      <c r="AI35" s="1848"/>
      <c r="AJ35" s="417">
        <f t="shared" si="20"/>
        <v>0</v>
      </c>
      <c r="AK35" s="430"/>
    </row>
    <row r="36" spans="1:39" s="424" customFormat="1" ht="15">
      <c r="A36" s="2976"/>
      <c r="B36" s="1477" t="s">
        <v>1288</v>
      </c>
      <c r="C36" s="1286" t="s">
        <v>1289</v>
      </c>
      <c r="D36" s="1227">
        <f>763405217+11885345</f>
        <v>775290562</v>
      </c>
      <c r="E36" s="2719">
        <v>804457318</v>
      </c>
      <c r="F36" s="1227">
        <v>847108558</v>
      </c>
      <c r="G36" s="1287">
        <f>+F36+985484+2032000+277495+635000+1638872+13984402</f>
        <v>866661811</v>
      </c>
      <c r="H36" s="1227">
        <f>+G36+282500+300000+300000+381000+1483815+587600+300000+300000+1926776</f>
        <v>872523502</v>
      </c>
      <c r="I36" s="1227">
        <f>+H36+300000*4+282500+1152715+312080-71586015</f>
        <v>803884782</v>
      </c>
      <c r="J36" s="1227">
        <f t="shared" si="43"/>
        <v>803884782</v>
      </c>
      <c r="K36" s="1295">
        <v>803884782</v>
      </c>
      <c r="L36" s="1227">
        <v>0</v>
      </c>
      <c r="M36" s="1287">
        <f t="shared" si="44"/>
        <v>0</v>
      </c>
      <c r="N36" s="1227">
        <f t="shared" si="44"/>
        <v>0</v>
      </c>
      <c r="O36" s="1227">
        <f t="shared" si="44"/>
        <v>0</v>
      </c>
      <c r="P36" s="1227">
        <f t="shared" si="44"/>
        <v>0</v>
      </c>
      <c r="Q36" s="1227">
        <v>0</v>
      </c>
      <c r="R36" s="1227">
        <f>+F36</f>
        <v>847108558</v>
      </c>
      <c r="S36" s="1287">
        <f>+R36+985484+2032000+277495+635000+1638872+13984402</f>
        <v>866661811</v>
      </c>
      <c r="T36" s="1227">
        <f>+S36+282500+300000+300000+381000+1483815+587600+300000+300000+1926776</f>
        <v>872523502</v>
      </c>
      <c r="U36" s="1227">
        <f>+T36+300000*4+282500+1152715+312080-71586015</f>
        <v>803884782</v>
      </c>
      <c r="V36" s="1227">
        <f>+U36</f>
        <v>803884782</v>
      </c>
      <c r="W36" s="1227">
        <f>+K36</f>
        <v>803884782</v>
      </c>
      <c r="X36" s="1227"/>
      <c r="Y36" s="1227">
        <f t="shared" si="46"/>
        <v>0</v>
      </c>
      <c r="Z36" s="1227">
        <f t="shared" si="46"/>
        <v>0</v>
      </c>
      <c r="AA36" s="1227">
        <f t="shared" si="46"/>
        <v>0</v>
      </c>
      <c r="AB36" s="1227">
        <f t="shared" si="46"/>
        <v>0</v>
      </c>
      <c r="AC36" s="1227">
        <f t="shared" si="46"/>
        <v>0</v>
      </c>
      <c r="AD36" s="2949"/>
      <c r="AE36" s="1213">
        <f t="shared" si="1"/>
        <v>19553253</v>
      </c>
      <c r="AF36" s="1213">
        <f t="shared" si="2"/>
        <v>5861691</v>
      </c>
      <c r="AG36" s="1213">
        <f t="shared" si="3"/>
        <v>-68638720</v>
      </c>
      <c r="AH36" s="2919">
        <f t="shared" si="4"/>
        <v>0</v>
      </c>
      <c r="AI36" s="1848">
        <f>+K36/I36</f>
        <v>1</v>
      </c>
      <c r="AJ36" s="417">
        <f t="shared" si="20"/>
        <v>71817996</v>
      </c>
      <c r="AK36" s="430"/>
    </row>
    <row r="37" spans="1:39" s="405" customFormat="1" ht="15.75">
      <c r="A37" s="2975" t="s">
        <v>27</v>
      </c>
      <c r="B37" s="1475" t="s">
        <v>27</v>
      </c>
      <c r="C37" s="1297" t="s">
        <v>1290</v>
      </c>
      <c r="D37" s="1298">
        <f t="shared" ref="D37:AC37" si="47">+D32+D33</f>
        <v>3678311242</v>
      </c>
      <c r="E37" s="2720">
        <v>3906426703</v>
      </c>
      <c r="F37" s="1298">
        <f t="shared" si="47"/>
        <v>3785480872</v>
      </c>
      <c r="G37" s="1298">
        <f t="shared" si="47"/>
        <v>3941908492</v>
      </c>
      <c r="H37" s="1298">
        <f t="shared" si="47"/>
        <v>3947770183</v>
      </c>
      <c r="I37" s="1298">
        <f t="shared" si="47"/>
        <v>3952983157</v>
      </c>
      <c r="J37" s="1298">
        <f t="shared" si="47"/>
        <v>3952983157</v>
      </c>
      <c r="K37" s="2631">
        <f t="shared" si="47"/>
        <v>3952983157</v>
      </c>
      <c r="L37" s="1298">
        <f t="shared" si="47"/>
        <v>0</v>
      </c>
      <c r="M37" s="1298">
        <f t="shared" si="47"/>
        <v>0</v>
      </c>
      <c r="N37" s="1298">
        <f t="shared" si="47"/>
        <v>0</v>
      </c>
      <c r="O37" s="1298">
        <f t="shared" si="47"/>
        <v>0</v>
      </c>
      <c r="P37" s="1298">
        <f t="shared" si="47"/>
        <v>0</v>
      </c>
      <c r="Q37" s="1298">
        <f t="shared" si="47"/>
        <v>0</v>
      </c>
      <c r="R37" s="1298">
        <f t="shared" si="47"/>
        <v>3785480872</v>
      </c>
      <c r="S37" s="1298">
        <f t="shared" si="47"/>
        <v>3941908492</v>
      </c>
      <c r="T37" s="1298">
        <f t="shared" si="47"/>
        <v>3947770183</v>
      </c>
      <c r="U37" s="1298">
        <f t="shared" si="47"/>
        <v>3952983157</v>
      </c>
      <c r="V37" s="1298">
        <f t="shared" si="47"/>
        <v>3952983157</v>
      </c>
      <c r="W37" s="1298">
        <f t="shared" si="47"/>
        <v>3952983157</v>
      </c>
      <c r="X37" s="1298">
        <f t="shared" si="47"/>
        <v>0</v>
      </c>
      <c r="Y37" s="1298">
        <f t="shared" si="47"/>
        <v>0</v>
      </c>
      <c r="Z37" s="1298">
        <f t="shared" si="47"/>
        <v>0</v>
      </c>
      <c r="AA37" s="1298">
        <f t="shared" si="47"/>
        <v>0</v>
      </c>
      <c r="AB37" s="1298">
        <f t="shared" si="47"/>
        <v>0</v>
      </c>
      <c r="AC37" s="1298">
        <f t="shared" si="47"/>
        <v>0</v>
      </c>
      <c r="AD37" s="2951"/>
      <c r="AE37" s="1213">
        <f t="shared" si="1"/>
        <v>156427620</v>
      </c>
      <c r="AF37" s="1213">
        <f t="shared" si="2"/>
        <v>5861691</v>
      </c>
      <c r="AG37" s="1213">
        <f t="shared" si="3"/>
        <v>5212974</v>
      </c>
      <c r="AH37" s="2919">
        <f t="shared" si="4"/>
        <v>0</v>
      </c>
      <c r="AI37" s="1829">
        <f>+K37/I37</f>
        <v>1</v>
      </c>
      <c r="AJ37" s="417">
        <f t="shared" si="20"/>
        <v>107169630</v>
      </c>
      <c r="AK37" s="436"/>
    </row>
    <row r="38" spans="1:39" s="439" customFormat="1" ht="15">
      <c r="A38" s="2917"/>
      <c r="B38" s="2922"/>
      <c r="C38" s="2923"/>
      <c r="D38" s="2924"/>
      <c r="E38" s="2925"/>
      <c r="F38" s="2924"/>
      <c r="G38" s="2924"/>
      <c r="H38" s="2924"/>
      <c r="I38" s="2924"/>
      <c r="J38" s="2924"/>
      <c r="K38" s="3223"/>
      <c r="L38" s="2926"/>
      <c r="M38" s="2926"/>
      <c r="N38" s="2926"/>
      <c r="O38" s="2926"/>
      <c r="P38" s="2926"/>
      <c r="Q38" s="2926"/>
      <c r="R38" s="2924"/>
      <c r="S38" s="2926"/>
      <c r="T38" s="2926"/>
      <c r="U38" s="2926"/>
      <c r="V38" s="2926"/>
      <c r="W38" s="2926"/>
      <c r="X38" s="2926"/>
      <c r="Y38" s="2926"/>
      <c r="Z38" s="2926"/>
      <c r="AA38" s="2926"/>
      <c r="AB38" s="2924"/>
      <c r="AC38" s="2924"/>
      <c r="AD38" s="2927"/>
      <c r="AE38" s="2928"/>
      <c r="AF38" s="2928"/>
      <c r="AG38" s="2928"/>
      <c r="AH38" s="2919">
        <f t="shared" si="4"/>
        <v>0</v>
      </c>
      <c r="AI38" s="1849"/>
      <c r="AJ38" s="417"/>
      <c r="AK38" s="436"/>
    </row>
    <row r="39" spans="1:39" ht="15">
      <c r="A39" s="2932"/>
      <c r="B39" s="1285"/>
      <c r="C39" s="1548" t="str">
        <f t="shared" ref="C39:S40" si="48">+C4</f>
        <v>A</v>
      </c>
      <c r="D39" s="1548" t="str">
        <f t="shared" si="48"/>
        <v>B</v>
      </c>
      <c r="E39" s="2945" t="str">
        <f t="shared" si="48"/>
        <v>B</v>
      </c>
      <c r="F39" s="1301" t="str">
        <f t="shared" si="48"/>
        <v>B</v>
      </c>
      <c r="G39" s="1301" t="str">
        <f t="shared" si="48"/>
        <v>D</v>
      </c>
      <c r="H39" s="1301" t="str">
        <f t="shared" si="48"/>
        <v>E</v>
      </c>
      <c r="I39" s="1301" t="str">
        <f t="shared" si="48"/>
        <v>C</v>
      </c>
      <c r="J39" s="1301" t="str">
        <f t="shared" si="48"/>
        <v>F</v>
      </c>
      <c r="K39" s="1301" t="str">
        <f t="shared" si="48"/>
        <v>D</v>
      </c>
      <c r="L39" s="1301" t="str">
        <f t="shared" si="48"/>
        <v>E</v>
      </c>
      <c r="M39" s="1301" t="str">
        <f t="shared" si="48"/>
        <v>F</v>
      </c>
      <c r="N39" s="1301" t="str">
        <f t="shared" si="48"/>
        <v>F</v>
      </c>
      <c r="O39" s="1301" t="str">
        <f t="shared" si="48"/>
        <v>E</v>
      </c>
      <c r="P39" s="1301">
        <f t="shared" si="48"/>
        <v>0</v>
      </c>
      <c r="Q39" s="1301" t="str">
        <f t="shared" si="48"/>
        <v>F</v>
      </c>
      <c r="R39" s="1301" t="str">
        <f t="shared" si="48"/>
        <v>E</v>
      </c>
      <c r="S39" s="1301" t="str">
        <f t="shared" si="48"/>
        <v>E</v>
      </c>
      <c r="T39" s="1301" t="str">
        <f t="shared" ref="T39:AI39" si="49">+T4</f>
        <v>G</v>
      </c>
      <c r="U39" s="1301" t="str">
        <f t="shared" si="49"/>
        <v>G</v>
      </c>
      <c r="V39" s="1301">
        <f t="shared" si="49"/>
        <v>0</v>
      </c>
      <c r="W39" s="1301" t="str">
        <f t="shared" si="49"/>
        <v>H</v>
      </c>
      <c r="X39" s="1301">
        <f t="shared" si="49"/>
        <v>0</v>
      </c>
      <c r="Y39" s="1301">
        <f t="shared" si="49"/>
        <v>0</v>
      </c>
      <c r="Z39" s="1301">
        <f t="shared" si="49"/>
        <v>0</v>
      </c>
      <c r="AA39" s="1301">
        <f t="shared" si="49"/>
        <v>0</v>
      </c>
      <c r="AB39" s="1301">
        <f t="shared" si="49"/>
        <v>0</v>
      </c>
      <c r="AC39" s="1301">
        <f t="shared" si="49"/>
        <v>0</v>
      </c>
      <c r="AD39" s="1301"/>
      <c r="AE39" s="1301"/>
      <c r="AF39" s="1301" t="str">
        <f>+AF4</f>
        <v>H</v>
      </c>
      <c r="AG39" s="1301" t="str">
        <f>+AG4</f>
        <v>I</v>
      </c>
      <c r="AH39" s="2942"/>
      <c r="AI39" s="1850" t="str">
        <f t="shared" si="49"/>
        <v>I</v>
      </c>
      <c r="AJ39" s="417"/>
      <c r="AK39" s="1548"/>
      <c r="AL39" s="439"/>
      <c r="AM39" s="439"/>
    </row>
    <row r="40" spans="1:39" ht="73.5">
      <c r="A40" s="2933"/>
      <c r="B40" s="1278" t="s">
        <v>6</v>
      </c>
      <c r="C40" s="1276" t="str">
        <f t="shared" si="48"/>
        <v>Kiemelt előirányzat, előirányzat megnevezése</v>
      </c>
      <c r="D40" s="1278" t="str">
        <f t="shared" si="48"/>
        <v>2024. évi eredeti előirányzat
forintban</v>
      </c>
      <c r="E40" s="2596" t="str">
        <f>+E5</f>
        <v>2024. évi teljesítés forintban</v>
      </c>
      <c r="F40" s="1276" t="str">
        <f t="shared" si="48"/>
        <v>2025. évi eredeti előirányzat forintban</v>
      </c>
      <c r="G40" s="1276" t="str">
        <f t="shared" ref="G40:AJ40" si="50">+G5</f>
        <v>2025. évi I. számú módosított előirányzat
forintban</v>
      </c>
      <c r="H40" s="1276" t="str">
        <f t="shared" si="50"/>
        <v>2025. évi II. számú módosított előirányzat forintban</v>
      </c>
      <c r="I40" s="1276" t="str">
        <f t="shared" si="50"/>
        <v>2025. évi III. számú módosított előirányzat forintban</v>
      </c>
      <c r="J40" s="1276" t="str">
        <f t="shared" si="50"/>
        <v>2025. évi IV. számú módosított előirányzat forintban</v>
      </c>
      <c r="K40" s="3197" t="str">
        <f t="shared" si="50"/>
        <v>2025. évi
teljesítés forintban</v>
      </c>
      <c r="L40" s="1276" t="str">
        <f t="shared" si="50"/>
        <v>Önként vállalt feladat forintban</v>
      </c>
      <c r="M40" s="1276" t="str">
        <f t="shared" si="50"/>
        <v>Önként vállalt feladat I. módosítás
forintban</v>
      </c>
      <c r="N40" s="1276" t="str">
        <f t="shared" si="50"/>
        <v>Önként vállalt feladat II. módosítás forintban</v>
      </c>
      <c r="O40" s="1276" t="str">
        <f t="shared" si="50"/>
        <v>Önként vállalt feladat III. módosítás forintban</v>
      </c>
      <c r="P40" s="1276" t="str">
        <f t="shared" si="50"/>
        <v>Önként vállalt feladat IV. módosítás  forintban</v>
      </c>
      <c r="Q40" s="1276" t="str">
        <f t="shared" si="50"/>
        <v>Önként vállalt teljesítés  forintban</v>
      </c>
      <c r="R40" s="1276" t="str">
        <f t="shared" si="50"/>
        <v>Kötelező feladat forintban</v>
      </c>
      <c r="S40" s="1276" t="str">
        <f t="shared" si="50"/>
        <v>Kötelező feladat 
I. módosítás
forintban</v>
      </c>
      <c r="T40" s="1276" t="str">
        <f t="shared" si="50"/>
        <v>Kötelező feladat II. módosítás forintban</v>
      </c>
      <c r="U40" s="1276" t="str">
        <f t="shared" si="50"/>
        <v>Kötelező feladat III. módosítás  forintban</v>
      </c>
      <c r="V40" s="1278" t="str">
        <f t="shared" si="50"/>
        <v>Kötelező feladat IV. módosítás  forintban</v>
      </c>
      <c r="W40" s="1278" t="str">
        <f t="shared" si="50"/>
        <v>Kötelező teljesítés  forintban</v>
      </c>
      <c r="X40" s="1278">
        <f t="shared" si="50"/>
        <v>0</v>
      </c>
      <c r="Y40" s="1278">
        <f t="shared" si="50"/>
        <v>0</v>
      </c>
      <c r="Z40" s="1278">
        <f t="shared" si="50"/>
        <v>0</v>
      </c>
      <c r="AA40" s="1278">
        <f t="shared" si="50"/>
        <v>0</v>
      </c>
      <c r="AB40" s="1278">
        <f t="shared" si="50"/>
        <v>0</v>
      </c>
      <c r="AC40" s="1278">
        <f t="shared" si="50"/>
        <v>0</v>
      </c>
      <c r="AD40" s="1278"/>
      <c r="AE40" s="1278" t="str">
        <f t="shared" si="50"/>
        <v>I. változás</v>
      </c>
      <c r="AF40" s="1278" t="str">
        <f t="shared" si="50"/>
        <v>Előirányzat-módosítások, előirányzat-átcsoportosítások összegszerű változásai</v>
      </c>
      <c r="AG40" s="2915" t="str">
        <f t="shared" si="50"/>
        <v>Előirányzat-módosítások, előirányzat-átcsoportosítások összegszerű változásai a III. módosításnál</v>
      </c>
      <c r="AH40" s="1844" t="str">
        <f t="shared" si="50"/>
        <v>IV. változás</v>
      </c>
      <c r="AI40" s="1851" t="str">
        <f>+AI5</f>
        <v xml:space="preserve"> 2025. évi teljesítés / 2025. évi III. számú módosított előirányzat</v>
      </c>
      <c r="AJ40" s="1844" t="str">
        <f t="shared" si="50"/>
        <v>Változás Eredeti előző évhez 
Ft-ban</v>
      </c>
      <c r="AK40" s="2595"/>
      <c r="AL40" s="439"/>
      <c r="AM40" s="439"/>
    </row>
    <row r="41" spans="1:39" ht="15">
      <c r="A41" s="2934" t="s">
        <v>6</v>
      </c>
      <c r="B41" s="2946" t="s">
        <v>3353</v>
      </c>
      <c r="C41" s="1292" t="s">
        <v>1291</v>
      </c>
      <c r="D41" s="1213">
        <f t="shared" ref="D41:AC41" si="51">SUM(D42:D46)</f>
        <v>3654526871</v>
      </c>
      <c r="E41" s="2715">
        <f t="shared" si="51"/>
        <v>3604227100</v>
      </c>
      <c r="F41" s="1213">
        <f t="shared" si="51"/>
        <v>3777562630</v>
      </c>
      <c r="G41" s="1298">
        <f t="shared" si="51"/>
        <v>3913004745</v>
      </c>
      <c r="H41" s="1213">
        <f t="shared" si="51"/>
        <v>3915074845</v>
      </c>
      <c r="I41" s="1213">
        <f t="shared" si="51"/>
        <v>3892200873</v>
      </c>
      <c r="J41" s="1213">
        <f t="shared" si="51"/>
        <v>3892200873</v>
      </c>
      <c r="K41" s="2630">
        <f>SUM(K42:K46)</f>
        <v>3694620548</v>
      </c>
      <c r="L41" s="1213">
        <f t="shared" si="51"/>
        <v>0</v>
      </c>
      <c r="M41" s="1298">
        <f t="shared" si="51"/>
        <v>0</v>
      </c>
      <c r="N41" s="1213">
        <f t="shared" si="51"/>
        <v>0</v>
      </c>
      <c r="O41" s="1213">
        <f t="shared" si="51"/>
        <v>0</v>
      </c>
      <c r="P41" s="1213">
        <f t="shared" si="51"/>
        <v>0</v>
      </c>
      <c r="Q41" s="1213">
        <f t="shared" si="51"/>
        <v>0</v>
      </c>
      <c r="R41" s="1213">
        <f t="shared" si="51"/>
        <v>3777562630</v>
      </c>
      <c r="S41" s="1298">
        <f t="shared" si="51"/>
        <v>3913004745</v>
      </c>
      <c r="T41" s="1213">
        <f t="shared" si="51"/>
        <v>3915074845</v>
      </c>
      <c r="U41" s="1213">
        <f t="shared" si="51"/>
        <v>3892200873</v>
      </c>
      <c r="V41" s="1213">
        <f t="shared" si="51"/>
        <v>3892200873</v>
      </c>
      <c r="W41" s="1213">
        <f t="shared" si="51"/>
        <v>3694620548</v>
      </c>
      <c r="X41" s="1213">
        <f t="shared" si="51"/>
        <v>0</v>
      </c>
      <c r="Y41" s="1213">
        <f t="shared" si="51"/>
        <v>0</v>
      </c>
      <c r="Z41" s="1213">
        <f t="shared" si="51"/>
        <v>0</v>
      </c>
      <c r="AA41" s="1213">
        <f t="shared" si="51"/>
        <v>0</v>
      </c>
      <c r="AB41" s="1213">
        <f t="shared" si="51"/>
        <v>0</v>
      </c>
      <c r="AC41" s="1213">
        <f t="shared" si="51"/>
        <v>0</v>
      </c>
      <c r="AD41" s="2947"/>
      <c r="AE41" s="1213">
        <f t="shared" si="1"/>
        <v>135442115</v>
      </c>
      <c r="AF41" s="1213">
        <f t="shared" si="2"/>
        <v>2070100</v>
      </c>
      <c r="AG41" s="1213">
        <f t="shared" si="3"/>
        <v>-22873972</v>
      </c>
      <c r="AH41" s="2919">
        <f t="shared" si="4"/>
        <v>0</v>
      </c>
      <c r="AI41" s="1848">
        <f t="shared" ref="AI41:AI54" si="52">+K41/I41</f>
        <v>0.9492368632948508</v>
      </c>
      <c r="AJ41" s="417">
        <f t="shared" ref="AJ41:AJ54" si="53">+F41-D41</f>
        <v>123035759</v>
      </c>
      <c r="AK41" s="412"/>
      <c r="AL41" s="439"/>
      <c r="AM41" s="439"/>
    </row>
    <row r="42" spans="1:39" ht="15">
      <c r="A42" s="2934"/>
      <c r="B42" s="2948" t="s">
        <v>176</v>
      </c>
      <c r="C42" s="1290" t="s">
        <v>147</v>
      </c>
      <c r="D42" s="1227">
        <f>2417428012+10672091</f>
        <v>2428100103</v>
      </c>
      <c r="E42" s="2719">
        <v>2427688525</v>
      </c>
      <c r="F42" s="1227">
        <v>2563854309</v>
      </c>
      <c r="G42" s="1287">
        <f>+F42+13251566</f>
        <v>2577105875</v>
      </c>
      <c r="H42" s="1287">
        <f>+G42+250000+520000</f>
        <v>2577875875</v>
      </c>
      <c r="I42" s="1227">
        <f>+H42+250000+234576-55926574</f>
        <v>2522433877</v>
      </c>
      <c r="J42" s="1227">
        <f>+I42</f>
        <v>2522433877</v>
      </c>
      <c r="K42" s="1295">
        <v>2500256599</v>
      </c>
      <c r="L42" s="1227">
        <v>0</v>
      </c>
      <c r="M42" s="1287">
        <f t="shared" ref="M42:P46" si="54">+L42</f>
        <v>0</v>
      </c>
      <c r="N42" s="1227">
        <f t="shared" si="54"/>
        <v>0</v>
      </c>
      <c r="O42" s="1227">
        <f t="shared" si="54"/>
        <v>0</v>
      </c>
      <c r="P42" s="1227">
        <f t="shared" si="54"/>
        <v>0</v>
      </c>
      <c r="Q42" s="1227">
        <v>0</v>
      </c>
      <c r="R42" s="1227">
        <f>+F42</f>
        <v>2563854309</v>
      </c>
      <c r="S42" s="1287">
        <f>+R42+13251566</f>
        <v>2577105875</v>
      </c>
      <c r="T42" s="1287">
        <f>+S42+250000+520000</f>
        <v>2577875875</v>
      </c>
      <c r="U42" s="1287">
        <f>+T42+250000+234576-55926574</f>
        <v>2522433877</v>
      </c>
      <c r="V42" s="1287">
        <f>+U42</f>
        <v>2522433877</v>
      </c>
      <c r="W42" s="1227">
        <f>+K42</f>
        <v>2500256599</v>
      </c>
      <c r="X42" s="1227"/>
      <c r="Y42" s="1227">
        <f t="shared" ref="Y42:AC46" si="55">+X42</f>
        <v>0</v>
      </c>
      <c r="Z42" s="1227">
        <f t="shared" si="55"/>
        <v>0</v>
      </c>
      <c r="AA42" s="1227">
        <f t="shared" si="55"/>
        <v>0</v>
      </c>
      <c r="AB42" s="1227">
        <f t="shared" si="55"/>
        <v>0</v>
      </c>
      <c r="AC42" s="1227">
        <f t="shared" si="55"/>
        <v>0</v>
      </c>
      <c r="AD42" s="2949"/>
      <c r="AE42" s="1213">
        <f t="shared" si="1"/>
        <v>13251566</v>
      </c>
      <c r="AF42" s="1213">
        <f t="shared" si="2"/>
        <v>770000</v>
      </c>
      <c r="AG42" s="1213">
        <f t="shared" si="3"/>
        <v>-55441998</v>
      </c>
      <c r="AH42" s="2919">
        <f t="shared" si="4"/>
        <v>0</v>
      </c>
      <c r="AI42" s="1848">
        <f t="shared" si="52"/>
        <v>0.99120798439863322</v>
      </c>
      <c r="AJ42" s="417">
        <f t="shared" si="53"/>
        <v>135754206</v>
      </c>
      <c r="AK42" s="430"/>
      <c r="AL42" s="439"/>
      <c r="AM42" s="439"/>
    </row>
    <row r="43" spans="1:39" ht="15">
      <c r="A43" s="2934"/>
      <c r="B43" s="2948" t="s">
        <v>178</v>
      </c>
      <c r="C43" s="1290" t="s">
        <v>8</v>
      </c>
      <c r="D43" s="1227">
        <f>329340779+1396372</f>
        <v>330737151</v>
      </c>
      <c r="E43" s="2719">
        <v>267822468</v>
      </c>
      <c r="F43" s="1227">
        <v>330707914</v>
      </c>
      <c r="G43" s="1287">
        <f>+F43+6759674</f>
        <v>337467588</v>
      </c>
      <c r="H43" s="1287">
        <f>+G43+32500+67600</f>
        <v>337567688</v>
      </c>
      <c r="I43" s="1227">
        <f>+H43+32500+77504-15659441</f>
        <v>322018251</v>
      </c>
      <c r="J43" s="1227">
        <f>+I43</f>
        <v>322018251</v>
      </c>
      <c r="K43" s="1295">
        <v>284163856</v>
      </c>
      <c r="L43" s="1227">
        <v>0</v>
      </c>
      <c r="M43" s="1287">
        <f t="shared" si="54"/>
        <v>0</v>
      </c>
      <c r="N43" s="1227">
        <f t="shared" si="54"/>
        <v>0</v>
      </c>
      <c r="O43" s="1227">
        <f t="shared" si="54"/>
        <v>0</v>
      </c>
      <c r="P43" s="1227">
        <f t="shared" si="54"/>
        <v>0</v>
      </c>
      <c r="Q43" s="1227">
        <v>0</v>
      </c>
      <c r="R43" s="1227">
        <f>+F43</f>
        <v>330707914</v>
      </c>
      <c r="S43" s="1287">
        <f>+R43+6759674</f>
        <v>337467588</v>
      </c>
      <c r="T43" s="1287">
        <f>+S43+32500+67600</f>
        <v>337567688</v>
      </c>
      <c r="U43" s="1287">
        <f>+T43+32500+77504-15659441</f>
        <v>322018251</v>
      </c>
      <c r="V43" s="1287">
        <f>+U43</f>
        <v>322018251</v>
      </c>
      <c r="W43" s="1227">
        <f>+K43</f>
        <v>284163856</v>
      </c>
      <c r="X43" s="1227"/>
      <c r="Y43" s="1227">
        <f t="shared" si="55"/>
        <v>0</v>
      </c>
      <c r="Z43" s="1227">
        <f t="shared" si="55"/>
        <v>0</v>
      </c>
      <c r="AA43" s="1227">
        <f t="shared" si="55"/>
        <v>0</v>
      </c>
      <c r="AB43" s="1227">
        <f t="shared" si="55"/>
        <v>0</v>
      </c>
      <c r="AC43" s="1227">
        <f t="shared" si="55"/>
        <v>0</v>
      </c>
      <c r="AD43" s="2949"/>
      <c r="AE43" s="1213">
        <f t="shared" si="1"/>
        <v>6759674</v>
      </c>
      <c r="AF43" s="1213">
        <f t="shared" si="2"/>
        <v>100100</v>
      </c>
      <c r="AG43" s="1213">
        <f t="shared" si="3"/>
        <v>-15549437</v>
      </c>
      <c r="AH43" s="2919">
        <f t="shared" si="4"/>
        <v>0</v>
      </c>
      <c r="AI43" s="1848">
        <f t="shared" si="52"/>
        <v>0.8824464300316941</v>
      </c>
      <c r="AJ43" s="417">
        <f t="shared" si="53"/>
        <v>-29237</v>
      </c>
      <c r="AK43" s="430"/>
      <c r="AL43" s="439"/>
      <c r="AM43" s="439"/>
    </row>
    <row r="44" spans="1:39" ht="15">
      <c r="A44" s="2934"/>
      <c r="B44" s="2948" t="s">
        <v>179</v>
      </c>
      <c r="C44" s="1290" t="s">
        <v>317</v>
      </c>
      <c r="D44" s="1227">
        <f>884038577+11651040</f>
        <v>895689617</v>
      </c>
      <c r="E44" s="2719">
        <v>908716107</v>
      </c>
      <c r="F44" s="1227">
        <v>883000407</v>
      </c>
      <c r="G44" s="1287">
        <f>+F44+985484+78703560</f>
        <v>962689451</v>
      </c>
      <c r="H44" s="1287">
        <f>+G44+300000+300000+300000+300000</f>
        <v>963889451</v>
      </c>
      <c r="I44" s="1227">
        <f>+H44+300000*4+1152715+85932117-12080423-28086946</f>
        <v>1012006914</v>
      </c>
      <c r="J44" s="1227">
        <f>+I44</f>
        <v>1012006914</v>
      </c>
      <c r="K44" s="1295">
        <v>874458262</v>
      </c>
      <c r="L44" s="1227">
        <v>0</v>
      </c>
      <c r="M44" s="1287">
        <f t="shared" si="54"/>
        <v>0</v>
      </c>
      <c r="N44" s="1227">
        <f t="shared" si="54"/>
        <v>0</v>
      </c>
      <c r="O44" s="1227">
        <f t="shared" si="54"/>
        <v>0</v>
      </c>
      <c r="P44" s="1227">
        <f t="shared" si="54"/>
        <v>0</v>
      </c>
      <c r="Q44" s="1227">
        <v>0</v>
      </c>
      <c r="R44" s="1227">
        <f>+F44</f>
        <v>883000407</v>
      </c>
      <c r="S44" s="1287">
        <f>+R44+985484+78703560</f>
        <v>962689451</v>
      </c>
      <c r="T44" s="1287">
        <f>+S44+300000+300000+300000+300000</f>
        <v>963889451</v>
      </c>
      <c r="U44" s="1287">
        <f>+T44+300000*4+1152715+85932117-12080423-28086946</f>
        <v>1012006914</v>
      </c>
      <c r="V44" s="1287">
        <f>+U44</f>
        <v>1012006914</v>
      </c>
      <c r="W44" s="1227">
        <f>+K44</f>
        <v>874458262</v>
      </c>
      <c r="X44" s="1227"/>
      <c r="Y44" s="1227">
        <f t="shared" si="55"/>
        <v>0</v>
      </c>
      <c r="Z44" s="1227">
        <f t="shared" si="55"/>
        <v>0</v>
      </c>
      <c r="AA44" s="1227">
        <f t="shared" si="55"/>
        <v>0</v>
      </c>
      <c r="AB44" s="1227">
        <f t="shared" si="55"/>
        <v>0</v>
      </c>
      <c r="AC44" s="1227">
        <f t="shared" si="55"/>
        <v>0</v>
      </c>
      <c r="AD44" s="2949"/>
      <c r="AE44" s="1213">
        <f t="shared" si="1"/>
        <v>79689044</v>
      </c>
      <c r="AF44" s="1213">
        <f t="shared" si="2"/>
        <v>1200000</v>
      </c>
      <c r="AG44" s="1213">
        <f t="shared" si="3"/>
        <v>48117463</v>
      </c>
      <c r="AH44" s="2919">
        <f t="shared" si="4"/>
        <v>0</v>
      </c>
      <c r="AI44" s="1848">
        <f t="shared" si="52"/>
        <v>0.86408328826891789</v>
      </c>
      <c r="AJ44" s="417">
        <f t="shared" si="53"/>
        <v>-12689210</v>
      </c>
      <c r="AK44" s="430"/>
      <c r="AL44" s="439"/>
      <c r="AM44" s="439"/>
    </row>
    <row r="45" spans="1:39" s="439" customFormat="1" ht="15">
      <c r="A45" s="2934"/>
      <c r="B45" s="2948" t="s">
        <v>180</v>
      </c>
      <c r="C45" s="1290" t="s">
        <v>318</v>
      </c>
      <c r="D45" s="1227">
        <v>0</v>
      </c>
      <c r="E45" s="2719">
        <v>0</v>
      </c>
      <c r="F45" s="1227">
        <v>0</v>
      </c>
      <c r="G45" s="1287">
        <f t="shared" ref="G45:J46" si="56">+F45</f>
        <v>0</v>
      </c>
      <c r="H45" s="1287">
        <f t="shared" si="56"/>
        <v>0</v>
      </c>
      <c r="I45" s="1227">
        <f t="shared" si="56"/>
        <v>0</v>
      </c>
      <c r="J45" s="1227">
        <f t="shared" si="56"/>
        <v>0</v>
      </c>
      <c r="K45" s="1295">
        <v>0</v>
      </c>
      <c r="L45" s="1227">
        <v>0</v>
      </c>
      <c r="M45" s="1287">
        <f t="shared" si="54"/>
        <v>0</v>
      </c>
      <c r="N45" s="1227">
        <f t="shared" si="54"/>
        <v>0</v>
      </c>
      <c r="O45" s="1227">
        <f t="shared" si="54"/>
        <v>0</v>
      </c>
      <c r="P45" s="1227">
        <f t="shared" si="54"/>
        <v>0</v>
      </c>
      <c r="Q45" s="1227">
        <v>0</v>
      </c>
      <c r="R45" s="1227">
        <v>0</v>
      </c>
      <c r="S45" s="1287">
        <f t="shared" ref="S45:U46" si="57">+R45</f>
        <v>0</v>
      </c>
      <c r="T45" s="1287">
        <f t="shared" si="57"/>
        <v>0</v>
      </c>
      <c r="U45" s="1287">
        <f t="shared" si="57"/>
        <v>0</v>
      </c>
      <c r="V45" s="1287">
        <f>+U45</f>
        <v>0</v>
      </c>
      <c r="W45" s="1227">
        <v>0</v>
      </c>
      <c r="X45" s="1227"/>
      <c r="Y45" s="1227">
        <f t="shared" si="55"/>
        <v>0</v>
      </c>
      <c r="Z45" s="1227">
        <f t="shared" si="55"/>
        <v>0</v>
      </c>
      <c r="AA45" s="1227">
        <f t="shared" si="55"/>
        <v>0</v>
      </c>
      <c r="AB45" s="1227">
        <f t="shared" si="55"/>
        <v>0</v>
      </c>
      <c r="AC45" s="1227">
        <f t="shared" si="55"/>
        <v>0</v>
      </c>
      <c r="AD45" s="2947"/>
      <c r="AE45" s="1213">
        <f t="shared" si="1"/>
        <v>0</v>
      </c>
      <c r="AF45" s="1213">
        <f t="shared" si="2"/>
        <v>0</v>
      </c>
      <c r="AG45" s="1213">
        <f t="shared" si="3"/>
        <v>0</v>
      </c>
      <c r="AH45" s="2919">
        <f t="shared" si="4"/>
        <v>0</v>
      </c>
      <c r="AI45" s="1848"/>
      <c r="AJ45" s="417">
        <f t="shared" si="53"/>
        <v>0</v>
      </c>
      <c r="AK45" s="430"/>
    </row>
    <row r="46" spans="1:39" ht="15">
      <c r="A46" s="2934"/>
      <c r="B46" s="1477" t="s">
        <v>181</v>
      </c>
      <c r="C46" s="1286" t="s">
        <v>3319</v>
      </c>
      <c r="D46" s="1227">
        <v>0</v>
      </c>
      <c r="E46" s="2719">
        <v>0</v>
      </c>
      <c r="F46" s="1227">
        <v>0</v>
      </c>
      <c r="G46" s="1287">
        <f>+F46+35741831</f>
        <v>35741831</v>
      </c>
      <c r="H46" s="1287">
        <f t="shared" si="56"/>
        <v>35741831</v>
      </c>
      <c r="I46" s="1227">
        <f t="shared" si="56"/>
        <v>35741831</v>
      </c>
      <c r="J46" s="1227">
        <f t="shared" si="56"/>
        <v>35741831</v>
      </c>
      <c r="K46" s="1295">
        <v>35741831</v>
      </c>
      <c r="L46" s="1227">
        <v>0</v>
      </c>
      <c r="M46" s="1287">
        <f t="shared" si="54"/>
        <v>0</v>
      </c>
      <c r="N46" s="1227">
        <f t="shared" si="54"/>
        <v>0</v>
      </c>
      <c r="O46" s="1227">
        <f t="shared" si="54"/>
        <v>0</v>
      </c>
      <c r="P46" s="1227">
        <f t="shared" si="54"/>
        <v>0</v>
      </c>
      <c r="Q46" s="1227">
        <v>0</v>
      </c>
      <c r="R46" s="1227">
        <v>0</v>
      </c>
      <c r="S46" s="1287">
        <f>+R46+35741831</f>
        <v>35741831</v>
      </c>
      <c r="T46" s="1287">
        <f t="shared" si="57"/>
        <v>35741831</v>
      </c>
      <c r="U46" s="1287">
        <f t="shared" si="57"/>
        <v>35741831</v>
      </c>
      <c r="V46" s="1287">
        <f>+U46</f>
        <v>35741831</v>
      </c>
      <c r="W46" s="1227">
        <f>+K46</f>
        <v>35741831</v>
      </c>
      <c r="X46" s="1227"/>
      <c r="Y46" s="1227">
        <f t="shared" si="55"/>
        <v>0</v>
      </c>
      <c r="Z46" s="1227">
        <f t="shared" si="55"/>
        <v>0</v>
      </c>
      <c r="AA46" s="1227">
        <f t="shared" si="55"/>
        <v>0</v>
      </c>
      <c r="AB46" s="1227">
        <f t="shared" si="55"/>
        <v>0</v>
      </c>
      <c r="AC46" s="1227">
        <f t="shared" si="55"/>
        <v>0</v>
      </c>
      <c r="AD46" s="2947"/>
      <c r="AE46" s="1213">
        <f t="shared" si="1"/>
        <v>35741831</v>
      </c>
      <c r="AF46" s="1213">
        <f t="shared" si="2"/>
        <v>0</v>
      </c>
      <c r="AG46" s="1213">
        <f t="shared" si="3"/>
        <v>0</v>
      </c>
      <c r="AH46" s="2919">
        <f t="shared" si="4"/>
        <v>0</v>
      </c>
      <c r="AI46" s="1848">
        <f t="shared" si="52"/>
        <v>1</v>
      </c>
      <c r="AJ46" s="417">
        <f t="shared" si="53"/>
        <v>0</v>
      </c>
      <c r="AK46" s="430"/>
      <c r="AL46" s="439"/>
      <c r="AM46" s="439"/>
    </row>
    <row r="47" spans="1:39" ht="15">
      <c r="A47" s="2934" t="s">
        <v>12</v>
      </c>
      <c r="B47" s="2946" t="s">
        <v>12</v>
      </c>
      <c r="C47" s="1292" t="s">
        <v>1292</v>
      </c>
      <c r="D47" s="1213">
        <f t="shared" ref="D47:AC47" si="58">SUM(D48:D50)</f>
        <v>23784370.93</v>
      </c>
      <c r="E47" s="2715">
        <f t="shared" si="58"/>
        <v>165325236</v>
      </c>
      <c r="F47" s="1213">
        <f t="shared" si="58"/>
        <v>7918242</v>
      </c>
      <c r="G47" s="1298">
        <f t="shared" si="58"/>
        <v>28903747</v>
      </c>
      <c r="H47" s="1298">
        <f t="shared" si="58"/>
        <v>32695338</v>
      </c>
      <c r="I47" s="1213">
        <f t="shared" si="58"/>
        <v>60782284</v>
      </c>
      <c r="J47" s="1213">
        <f t="shared" si="58"/>
        <v>60782284</v>
      </c>
      <c r="K47" s="2630">
        <f>SUM(K48:K50)</f>
        <v>36791012</v>
      </c>
      <c r="L47" s="1213">
        <f t="shared" si="58"/>
        <v>0</v>
      </c>
      <c r="M47" s="1298">
        <f t="shared" si="58"/>
        <v>0</v>
      </c>
      <c r="N47" s="1213">
        <f t="shared" si="58"/>
        <v>0</v>
      </c>
      <c r="O47" s="1213">
        <f t="shared" si="58"/>
        <v>0</v>
      </c>
      <c r="P47" s="1213">
        <f t="shared" si="58"/>
        <v>0</v>
      </c>
      <c r="Q47" s="1213">
        <f t="shared" si="58"/>
        <v>0</v>
      </c>
      <c r="R47" s="1213">
        <f t="shared" si="58"/>
        <v>7918242</v>
      </c>
      <c r="S47" s="1298">
        <f t="shared" si="58"/>
        <v>28903747</v>
      </c>
      <c r="T47" s="1298">
        <f t="shared" si="58"/>
        <v>32695338</v>
      </c>
      <c r="U47" s="1213">
        <f t="shared" si="58"/>
        <v>60782284</v>
      </c>
      <c r="V47" s="1213">
        <f t="shared" si="58"/>
        <v>60782284</v>
      </c>
      <c r="W47" s="1213">
        <f t="shared" si="58"/>
        <v>36791012</v>
      </c>
      <c r="X47" s="1213">
        <f t="shared" si="58"/>
        <v>0</v>
      </c>
      <c r="Y47" s="1213">
        <f t="shared" si="58"/>
        <v>0</v>
      </c>
      <c r="Z47" s="1213">
        <f t="shared" si="58"/>
        <v>0</v>
      </c>
      <c r="AA47" s="1213">
        <f t="shared" si="58"/>
        <v>0</v>
      </c>
      <c r="AB47" s="1213">
        <f t="shared" si="58"/>
        <v>0</v>
      </c>
      <c r="AC47" s="1213">
        <f t="shared" si="58"/>
        <v>0</v>
      </c>
      <c r="AD47" s="2947"/>
      <c r="AE47" s="1213">
        <f t="shared" si="1"/>
        <v>20985505</v>
      </c>
      <c r="AF47" s="1213">
        <f t="shared" si="2"/>
        <v>3791591</v>
      </c>
      <c r="AG47" s="1213">
        <f t="shared" si="3"/>
        <v>28086946</v>
      </c>
      <c r="AH47" s="2919">
        <f t="shared" si="4"/>
        <v>0</v>
      </c>
      <c r="AI47" s="1848">
        <f t="shared" si="52"/>
        <v>0.60529169979857944</v>
      </c>
      <c r="AJ47" s="417">
        <f t="shared" si="53"/>
        <v>-15866128.93</v>
      </c>
      <c r="AK47" s="412"/>
    </row>
    <row r="48" spans="1:39" ht="15">
      <c r="A48" s="2934"/>
      <c r="B48" s="2948" t="s">
        <v>185</v>
      </c>
      <c r="C48" s="1290" t="s">
        <v>82</v>
      </c>
      <c r="D48" s="1227">
        <v>10234369.93</v>
      </c>
      <c r="E48" s="2719">
        <v>165325236</v>
      </c>
      <c r="F48" s="1227">
        <v>7918242</v>
      </c>
      <c r="G48" s="1287">
        <f>+F48+2417736+2032000+277495+635000+1638872+13984402</f>
        <v>28903747</v>
      </c>
      <c r="H48" s="1227">
        <f>+G48+381000+1926776</f>
        <v>31211523</v>
      </c>
      <c r="I48" s="1227">
        <f>+H48+1483815+28086946</f>
        <v>60782284</v>
      </c>
      <c r="J48" s="1227">
        <f t="shared" ref="G48:J51" si="59">+I48</f>
        <v>60782284</v>
      </c>
      <c r="K48" s="1295">
        <v>36791012</v>
      </c>
      <c r="L48" s="1227">
        <v>0</v>
      </c>
      <c r="M48" s="1287">
        <f t="shared" ref="M48:P51" si="60">+L48</f>
        <v>0</v>
      </c>
      <c r="N48" s="1227">
        <f t="shared" si="60"/>
        <v>0</v>
      </c>
      <c r="O48" s="1227">
        <f t="shared" si="60"/>
        <v>0</v>
      </c>
      <c r="P48" s="1227">
        <f t="shared" si="60"/>
        <v>0</v>
      </c>
      <c r="Q48" s="1227">
        <v>0</v>
      </c>
      <c r="R48" s="1227">
        <f>+F48</f>
        <v>7918242</v>
      </c>
      <c r="S48" s="1287">
        <f>+R48+2417736+2032000+277495+635000+1638872+13984402</f>
        <v>28903747</v>
      </c>
      <c r="T48" s="1227">
        <f>+S48+381000+1926776</f>
        <v>31211523</v>
      </c>
      <c r="U48" s="1287">
        <f>+T48+1483815+28086946</f>
        <v>60782284</v>
      </c>
      <c r="V48" s="1287">
        <f>+U48</f>
        <v>60782284</v>
      </c>
      <c r="W48" s="1227">
        <f>+K48</f>
        <v>36791012</v>
      </c>
      <c r="X48" s="1227"/>
      <c r="Y48" s="1227">
        <f t="shared" ref="Y48:AC51" si="61">+X48</f>
        <v>0</v>
      </c>
      <c r="Z48" s="1227">
        <f t="shared" si="61"/>
        <v>0</v>
      </c>
      <c r="AA48" s="1227">
        <f t="shared" si="61"/>
        <v>0</v>
      </c>
      <c r="AB48" s="1227">
        <f t="shared" si="61"/>
        <v>0</v>
      </c>
      <c r="AC48" s="1227">
        <f t="shared" si="61"/>
        <v>0</v>
      </c>
      <c r="AD48" s="2947"/>
      <c r="AE48" s="1213">
        <f t="shared" si="1"/>
        <v>20985505</v>
      </c>
      <c r="AF48" s="1213">
        <f t="shared" si="2"/>
        <v>2307776</v>
      </c>
      <c r="AG48" s="1213">
        <f t="shared" si="3"/>
        <v>29570761</v>
      </c>
      <c r="AH48" s="2919">
        <f t="shared" si="4"/>
        <v>0</v>
      </c>
      <c r="AI48" s="1848">
        <f t="shared" si="52"/>
        <v>0.60529169979857944</v>
      </c>
      <c r="AJ48" s="417">
        <f t="shared" si="53"/>
        <v>-2316127.9299999997</v>
      </c>
      <c r="AK48" s="430"/>
    </row>
    <row r="49" spans="1:37" ht="15">
      <c r="A49" s="2934"/>
      <c r="B49" s="2948" t="s">
        <v>187</v>
      </c>
      <c r="C49" s="1290" t="s">
        <v>344</v>
      </c>
      <c r="D49" s="1227">
        <v>13550001</v>
      </c>
      <c r="E49" s="2719">
        <v>0</v>
      </c>
      <c r="F49" s="1227">
        <v>0</v>
      </c>
      <c r="G49" s="1287">
        <f>+F49</f>
        <v>0</v>
      </c>
      <c r="H49" s="1227">
        <f>+G49+1483815</f>
        <v>1483815</v>
      </c>
      <c r="I49" s="1227">
        <f>+H49-1483815</f>
        <v>0</v>
      </c>
      <c r="J49" s="1227">
        <f t="shared" si="59"/>
        <v>0</v>
      </c>
      <c r="K49" s="1295">
        <v>0</v>
      </c>
      <c r="L49" s="1227">
        <v>0</v>
      </c>
      <c r="M49" s="1287">
        <f t="shared" si="60"/>
        <v>0</v>
      </c>
      <c r="N49" s="1227">
        <f t="shared" si="60"/>
        <v>0</v>
      </c>
      <c r="O49" s="1227">
        <f t="shared" si="60"/>
        <v>0</v>
      </c>
      <c r="P49" s="1227">
        <f t="shared" si="60"/>
        <v>0</v>
      </c>
      <c r="Q49" s="1227">
        <v>0</v>
      </c>
      <c r="R49" s="1227">
        <f>+F49</f>
        <v>0</v>
      </c>
      <c r="S49" s="1287">
        <f>+R49</f>
        <v>0</v>
      </c>
      <c r="T49" s="1227">
        <f>+S49+1483815</f>
        <v>1483815</v>
      </c>
      <c r="U49" s="1287">
        <f>+T49-1483815</f>
        <v>0</v>
      </c>
      <c r="V49" s="1287">
        <f>+U49</f>
        <v>0</v>
      </c>
      <c r="W49" s="1227">
        <f>+K49</f>
        <v>0</v>
      </c>
      <c r="X49" s="1227"/>
      <c r="Y49" s="1227">
        <f t="shared" si="61"/>
        <v>0</v>
      </c>
      <c r="Z49" s="1227">
        <f t="shared" si="61"/>
        <v>0</v>
      </c>
      <c r="AA49" s="1227">
        <f t="shared" si="61"/>
        <v>0</v>
      </c>
      <c r="AB49" s="1227">
        <f t="shared" si="61"/>
        <v>0</v>
      </c>
      <c r="AC49" s="1227">
        <f t="shared" si="61"/>
        <v>0</v>
      </c>
      <c r="AD49" s="2947"/>
      <c r="AE49" s="1213">
        <f t="shared" si="1"/>
        <v>0</v>
      </c>
      <c r="AF49" s="1213">
        <f t="shared" si="2"/>
        <v>1483815</v>
      </c>
      <c r="AG49" s="1213">
        <f t="shared" si="3"/>
        <v>-1483815</v>
      </c>
      <c r="AH49" s="2919">
        <f t="shared" si="4"/>
        <v>0</v>
      </c>
      <c r="AI49" s="1848"/>
      <c r="AJ49" s="417">
        <f t="shared" si="53"/>
        <v>-13550001</v>
      </c>
      <c r="AK49" s="430"/>
    </row>
    <row r="50" spans="1:37" ht="15">
      <c r="A50" s="2934"/>
      <c r="B50" s="1477" t="s">
        <v>189</v>
      </c>
      <c r="C50" s="1286" t="s">
        <v>1293</v>
      </c>
      <c r="D50" s="1227">
        <v>0</v>
      </c>
      <c r="E50" s="2719">
        <v>0</v>
      </c>
      <c r="F50" s="1227">
        <v>0</v>
      </c>
      <c r="G50" s="1287">
        <f t="shared" si="59"/>
        <v>0</v>
      </c>
      <c r="H50" s="1227">
        <f>+G50</f>
        <v>0</v>
      </c>
      <c r="I50" s="1227">
        <f t="shared" si="59"/>
        <v>0</v>
      </c>
      <c r="J50" s="1227">
        <f t="shared" si="59"/>
        <v>0</v>
      </c>
      <c r="K50" s="1295">
        <v>0</v>
      </c>
      <c r="L50" s="1227">
        <v>0</v>
      </c>
      <c r="M50" s="1287">
        <f t="shared" si="60"/>
        <v>0</v>
      </c>
      <c r="N50" s="1227">
        <f t="shared" si="60"/>
        <v>0</v>
      </c>
      <c r="O50" s="1227">
        <f t="shared" si="60"/>
        <v>0</v>
      </c>
      <c r="P50" s="1227">
        <f t="shared" si="60"/>
        <v>0</v>
      </c>
      <c r="Q50" s="1227">
        <v>0</v>
      </c>
      <c r="R50" s="1227">
        <f>0</f>
        <v>0</v>
      </c>
      <c r="S50" s="1287">
        <f t="shared" ref="S50:V51" si="62">+R50</f>
        <v>0</v>
      </c>
      <c r="T50" s="1227">
        <f>+S50</f>
        <v>0</v>
      </c>
      <c r="U50" s="1227">
        <f t="shared" si="62"/>
        <v>0</v>
      </c>
      <c r="V50" s="1227">
        <f t="shared" si="62"/>
        <v>0</v>
      </c>
      <c r="W50" s="1227">
        <v>0</v>
      </c>
      <c r="X50" s="1227"/>
      <c r="Y50" s="1227">
        <f t="shared" si="61"/>
        <v>0</v>
      </c>
      <c r="Z50" s="1227">
        <f t="shared" si="61"/>
        <v>0</v>
      </c>
      <c r="AA50" s="1227">
        <f t="shared" si="61"/>
        <v>0</v>
      </c>
      <c r="AB50" s="1227">
        <f t="shared" si="61"/>
        <v>0</v>
      </c>
      <c r="AC50" s="1227">
        <f t="shared" si="61"/>
        <v>0</v>
      </c>
      <c r="AD50" s="2947"/>
      <c r="AE50" s="1213">
        <f t="shared" si="1"/>
        <v>0</v>
      </c>
      <c r="AF50" s="1213">
        <f t="shared" si="2"/>
        <v>0</v>
      </c>
      <c r="AG50" s="1213">
        <f t="shared" si="3"/>
        <v>0</v>
      </c>
      <c r="AH50" s="2919">
        <f t="shared" si="4"/>
        <v>0</v>
      </c>
      <c r="AI50" s="1848"/>
      <c r="AJ50" s="417">
        <f t="shared" si="53"/>
        <v>0</v>
      </c>
      <c r="AK50" s="430"/>
    </row>
    <row r="51" spans="1:37" ht="15">
      <c r="A51" s="2934"/>
      <c r="B51" s="1477" t="s">
        <v>191</v>
      </c>
      <c r="C51" s="1290" t="s">
        <v>1294</v>
      </c>
      <c r="D51" s="1227">
        <v>0</v>
      </c>
      <c r="E51" s="2719">
        <v>0</v>
      </c>
      <c r="F51" s="1227">
        <v>0</v>
      </c>
      <c r="G51" s="1287">
        <f t="shared" si="59"/>
        <v>0</v>
      </c>
      <c r="H51" s="1227">
        <f t="shared" si="59"/>
        <v>0</v>
      </c>
      <c r="I51" s="1227">
        <f t="shared" si="59"/>
        <v>0</v>
      </c>
      <c r="J51" s="1227">
        <f t="shared" si="59"/>
        <v>0</v>
      </c>
      <c r="K51" s="1295">
        <v>0</v>
      </c>
      <c r="L51" s="1227">
        <f>+F51</f>
        <v>0</v>
      </c>
      <c r="M51" s="1287">
        <f t="shared" si="60"/>
        <v>0</v>
      </c>
      <c r="N51" s="1227">
        <f t="shared" si="60"/>
        <v>0</v>
      </c>
      <c r="O51" s="1227">
        <f t="shared" si="60"/>
        <v>0</v>
      </c>
      <c r="P51" s="1227">
        <f t="shared" si="60"/>
        <v>0</v>
      </c>
      <c r="Q51" s="1227">
        <v>0</v>
      </c>
      <c r="R51" s="1227">
        <v>0</v>
      </c>
      <c r="S51" s="1287">
        <f t="shared" si="62"/>
        <v>0</v>
      </c>
      <c r="T51" s="1227">
        <f t="shared" si="62"/>
        <v>0</v>
      </c>
      <c r="U51" s="1227">
        <f t="shared" si="62"/>
        <v>0</v>
      </c>
      <c r="V51" s="1227">
        <f t="shared" si="62"/>
        <v>0</v>
      </c>
      <c r="W51" s="1227">
        <v>0</v>
      </c>
      <c r="X51" s="1227"/>
      <c r="Y51" s="1227">
        <f t="shared" si="61"/>
        <v>0</v>
      </c>
      <c r="Z51" s="1227">
        <f t="shared" si="61"/>
        <v>0</v>
      </c>
      <c r="AA51" s="1227">
        <f t="shared" si="61"/>
        <v>0</v>
      </c>
      <c r="AB51" s="1227">
        <f t="shared" si="61"/>
        <v>0</v>
      </c>
      <c r="AC51" s="1227">
        <f t="shared" si="61"/>
        <v>0</v>
      </c>
      <c r="AD51" s="2947"/>
      <c r="AE51" s="1213">
        <f t="shared" si="1"/>
        <v>0</v>
      </c>
      <c r="AF51" s="1213">
        <f t="shared" si="2"/>
        <v>0</v>
      </c>
      <c r="AG51" s="1213">
        <f t="shared" si="3"/>
        <v>0</v>
      </c>
      <c r="AH51" s="2919">
        <f t="shared" si="4"/>
        <v>0</v>
      </c>
      <c r="AI51" s="1848"/>
      <c r="AJ51" s="417">
        <f t="shared" si="53"/>
        <v>0</v>
      </c>
      <c r="AK51" s="430"/>
    </row>
    <row r="52" spans="1:37" ht="15">
      <c r="A52" s="2934" t="s">
        <v>14</v>
      </c>
      <c r="B52" s="1282" t="s">
        <v>14</v>
      </c>
      <c r="C52" s="2950" t="s">
        <v>1295</v>
      </c>
      <c r="D52" s="1298">
        <f t="shared" ref="D52:AC52" si="63">+D41+D47</f>
        <v>3678311241.9299998</v>
      </c>
      <c r="E52" s="2720">
        <f t="shared" si="63"/>
        <v>3769552336</v>
      </c>
      <c r="F52" s="1298">
        <f t="shared" si="63"/>
        <v>3785480872</v>
      </c>
      <c r="G52" s="1298">
        <f t="shared" si="63"/>
        <v>3941908492</v>
      </c>
      <c r="H52" s="1298">
        <f t="shared" si="63"/>
        <v>3947770183</v>
      </c>
      <c r="I52" s="1298">
        <f t="shared" si="63"/>
        <v>3952983157</v>
      </c>
      <c r="J52" s="1298">
        <f t="shared" si="63"/>
        <v>3952983157</v>
      </c>
      <c r="K52" s="2631">
        <f t="shared" si="63"/>
        <v>3731411560</v>
      </c>
      <c r="L52" s="1298">
        <f t="shared" si="63"/>
        <v>0</v>
      </c>
      <c r="M52" s="1298">
        <f t="shared" si="63"/>
        <v>0</v>
      </c>
      <c r="N52" s="1298">
        <f t="shared" si="63"/>
        <v>0</v>
      </c>
      <c r="O52" s="1298">
        <f t="shared" si="63"/>
        <v>0</v>
      </c>
      <c r="P52" s="1298">
        <f t="shared" si="63"/>
        <v>0</v>
      </c>
      <c r="Q52" s="1298">
        <f t="shared" si="63"/>
        <v>0</v>
      </c>
      <c r="R52" s="1298">
        <f t="shared" si="63"/>
        <v>3785480872</v>
      </c>
      <c r="S52" s="1298">
        <f t="shared" si="63"/>
        <v>3941908492</v>
      </c>
      <c r="T52" s="1298">
        <f t="shared" si="63"/>
        <v>3947770183</v>
      </c>
      <c r="U52" s="1298">
        <f t="shared" si="63"/>
        <v>3952983157</v>
      </c>
      <c r="V52" s="1298">
        <f t="shared" si="63"/>
        <v>3952983157</v>
      </c>
      <c r="W52" s="1298">
        <f t="shared" si="63"/>
        <v>3731411560</v>
      </c>
      <c r="X52" s="1298">
        <f t="shared" si="63"/>
        <v>0</v>
      </c>
      <c r="Y52" s="1298">
        <f t="shared" si="63"/>
        <v>0</v>
      </c>
      <c r="Z52" s="1298">
        <f t="shared" si="63"/>
        <v>0</v>
      </c>
      <c r="AA52" s="1298">
        <f t="shared" si="63"/>
        <v>0</v>
      </c>
      <c r="AB52" s="1298">
        <f t="shared" si="63"/>
        <v>0</v>
      </c>
      <c r="AC52" s="1298">
        <f t="shared" si="63"/>
        <v>0</v>
      </c>
      <c r="AD52" s="2951"/>
      <c r="AE52" s="1213">
        <f t="shared" si="1"/>
        <v>156427620</v>
      </c>
      <c r="AF52" s="1213">
        <f t="shared" si="2"/>
        <v>5861691</v>
      </c>
      <c r="AG52" s="1213">
        <f t="shared" si="3"/>
        <v>5212974</v>
      </c>
      <c r="AH52" s="2919">
        <f t="shared" si="4"/>
        <v>0</v>
      </c>
      <c r="AI52" s="1829">
        <f t="shared" si="52"/>
        <v>0.9439482567468982</v>
      </c>
      <c r="AJ52" s="417">
        <f t="shared" si="53"/>
        <v>107169630.07000017</v>
      </c>
      <c r="AK52" s="436"/>
    </row>
    <row r="53" spans="1:37" ht="15" hidden="1">
      <c r="A53" s="2935"/>
      <c r="B53" s="1277"/>
      <c r="C53" s="1193"/>
      <c r="D53" s="1299"/>
      <c r="E53" s="2952"/>
      <c r="F53" s="1299"/>
      <c r="G53" s="1299"/>
      <c r="H53" s="1299"/>
      <c r="I53" s="1299"/>
      <c r="J53" s="1299"/>
      <c r="K53" s="2632"/>
      <c r="L53" s="1193"/>
      <c r="M53" s="1193"/>
      <c r="N53" s="1193"/>
      <c r="O53" s="1193"/>
      <c r="P53" s="1193"/>
      <c r="Q53" s="1193"/>
      <c r="R53" s="1299"/>
      <c r="S53" s="1193"/>
      <c r="T53" s="1193"/>
      <c r="U53" s="1193"/>
      <c r="V53" s="1193"/>
      <c r="W53" s="1193"/>
      <c r="X53" s="1193"/>
      <c r="Y53" s="1193"/>
      <c r="Z53" s="1193"/>
      <c r="AA53" s="1193"/>
      <c r="AB53" s="1299"/>
      <c r="AC53" s="1299"/>
      <c r="AD53" s="2947"/>
      <c r="AE53" s="1213">
        <f t="shared" si="1"/>
        <v>0</v>
      </c>
      <c r="AF53" s="1213">
        <f t="shared" si="2"/>
        <v>0</v>
      </c>
      <c r="AG53" s="1213">
        <f t="shared" si="3"/>
        <v>0</v>
      </c>
      <c r="AH53" s="2919">
        <f t="shared" si="4"/>
        <v>0</v>
      </c>
      <c r="AI53" s="1848" t="e">
        <f t="shared" si="52"/>
        <v>#DIV/0!</v>
      </c>
      <c r="AJ53" s="417">
        <f t="shared" si="53"/>
        <v>0</v>
      </c>
      <c r="AK53" s="549"/>
    </row>
    <row r="54" spans="1:37" ht="21.75" thickBot="1">
      <c r="A54" s="2936"/>
      <c r="B54" s="2946" t="s">
        <v>15</v>
      </c>
      <c r="C54" s="1292" t="str">
        <f>+'8. mell. Intézmények összesen'!C54</f>
        <v>Létszám előirányzat (státusz) - Teljesítés: Munkajogi zárólétszám (az időszak végén munkaviszonyban állók létszáma)</v>
      </c>
      <c r="D54" s="2955">
        <v>205.32499999999999</v>
      </c>
      <c r="E54" s="2956">
        <v>193</v>
      </c>
      <c r="F54" s="2955">
        <v>205.32499999999999</v>
      </c>
      <c r="G54" s="2955">
        <f>+F54</f>
        <v>205.32499999999999</v>
      </c>
      <c r="H54" s="2955">
        <f>+G54</f>
        <v>205.32499999999999</v>
      </c>
      <c r="I54" s="2957">
        <f>+H54</f>
        <v>205.32499999999999</v>
      </c>
      <c r="J54" s="2957">
        <f>+I54</f>
        <v>205.32499999999999</v>
      </c>
      <c r="K54" s="2633">
        <v>189</v>
      </c>
      <c r="L54" s="2957">
        <v>0</v>
      </c>
      <c r="M54" s="2957">
        <f>+L54</f>
        <v>0</v>
      </c>
      <c r="N54" s="2957">
        <f>+M54</f>
        <v>0</v>
      </c>
      <c r="O54" s="2957">
        <f>+N54</f>
        <v>0</v>
      </c>
      <c r="P54" s="2957">
        <f>+O54</f>
        <v>0</v>
      </c>
      <c r="Q54" s="2957">
        <f>+P54</f>
        <v>0</v>
      </c>
      <c r="R54" s="2957">
        <f>+F54</f>
        <v>205.32499999999999</v>
      </c>
      <c r="S54" s="2957">
        <f>+R54</f>
        <v>205.32499999999999</v>
      </c>
      <c r="T54" s="2957">
        <f>+S54</f>
        <v>205.32499999999999</v>
      </c>
      <c r="U54" s="2957">
        <f>+T54</f>
        <v>205.32499999999999</v>
      </c>
      <c r="V54" s="2957">
        <f>+U54</f>
        <v>205.32499999999999</v>
      </c>
      <c r="W54" s="2957">
        <f>+V54</f>
        <v>205.32499999999999</v>
      </c>
      <c r="X54" s="2957"/>
      <c r="Y54" s="2957">
        <f>+X54</f>
        <v>0</v>
      </c>
      <c r="Z54" s="2957">
        <f>+Y54</f>
        <v>0</v>
      </c>
      <c r="AA54" s="2957">
        <f>+Z54</f>
        <v>0</v>
      </c>
      <c r="AB54" s="2957">
        <f>+AA54</f>
        <v>0</v>
      </c>
      <c r="AC54" s="2957">
        <f>+AB54</f>
        <v>0</v>
      </c>
      <c r="AD54" s="2958"/>
      <c r="AE54" s="2959">
        <f t="shared" si="1"/>
        <v>0</v>
      </c>
      <c r="AF54" s="1213">
        <f t="shared" si="2"/>
        <v>0</v>
      </c>
      <c r="AG54" s="1213">
        <f t="shared" si="3"/>
        <v>0</v>
      </c>
      <c r="AH54" s="2943">
        <f t="shared" si="4"/>
        <v>0</v>
      </c>
      <c r="AI54" s="1829">
        <f t="shared" si="52"/>
        <v>0.92049190308048223</v>
      </c>
      <c r="AJ54" s="550">
        <f t="shared" si="53"/>
        <v>0</v>
      </c>
      <c r="AK54" s="1852"/>
    </row>
    <row r="55" spans="1:37" ht="15" hidden="1">
      <c r="A55" s="551" t="s">
        <v>1296</v>
      </c>
      <c r="B55" s="1476"/>
      <c r="C55" s="552"/>
      <c r="D55" s="553"/>
      <c r="E55" s="553"/>
      <c r="F55" s="553"/>
      <c r="G55" s="553"/>
      <c r="H55" s="553"/>
      <c r="I55" s="553"/>
      <c r="J55" s="553"/>
      <c r="K55" s="553"/>
      <c r="L55" s="553"/>
      <c r="M55" s="553"/>
      <c r="N55" s="553"/>
      <c r="O55" s="553"/>
      <c r="P55" s="553"/>
      <c r="Q55" s="553"/>
      <c r="R55" s="553"/>
      <c r="S55" s="553"/>
      <c r="T55" s="553"/>
      <c r="U55" s="553"/>
      <c r="V55" s="553">
        <f>+U55</f>
        <v>0</v>
      </c>
      <c r="W55" s="553"/>
      <c r="X55" s="553"/>
      <c r="Y55" s="459">
        <f t="shared" ref="Y55:AB56" si="64">+X55</f>
        <v>0</v>
      </c>
      <c r="Z55" s="459">
        <f t="shared" si="64"/>
        <v>0</v>
      </c>
      <c r="AA55" s="459">
        <f t="shared" si="64"/>
        <v>0</v>
      </c>
      <c r="AB55" s="459">
        <f t="shared" si="64"/>
        <v>0</v>
      </c>
      <c r="AC55" s="459"/>
      <c r="AD55" s="554"/>
      <c r="AE55" s="555">
        <f t="shared" si="1"/>
        <v>0</v>
      </c>
      <c r="AF55" s="555">
        <f t="shared" si="2"/>
        <v>0</v>
      </c>
      <c r="AG55" s="555">
        <f t="shared" si="3"/>
        <v>0</v>
      </c>
      <c r="AH55" s="555">
        <f t="shared" si="4"/>
        <v>0</v>
      </c>
      <c r="AI55" s="417">
        <f>+F55-D55</f>
        <v>0</v>
      </c>
      <c r="AJ55" s="417">
        <f>+F55-D55</f>
        <v>0</v>
      </c>
    </row>
    <row r="56" spans="1:37" ht="25.5" hidden="1" customHeight="1">
      <c r="A56" s="3662" t="s">
        <v>486</v>
      </c>
      <c r="B56" s="3662"/>
      <c r="C56" s="556" t="s">
        <v>1717</v>
      </c>
      <c r="D56" s="461"/>
      <c r="E56" s="461"/>
      <c r="F56" s="461"/>
      <c r="G56" s="461"/>
      <c r="H56" s="461"/>
      <c r="I56" s="461"/>
      <c r="J56" s="461"/>
      <c r="K56" s="461"/>
      <c r="L56" s="460"/>
      <c r="M56" s="460"/>
      <c r="N56" s="460"/>
      <c r="O56" s="460"/>
      <c r="P56" s="460"/>
      <c r="Q56" s="460"/>
      <c r="R56" s="460"/>
      <c r="S56" s="553"/>
      <c r="T56" s="553"/>
      <c r="U56" s="553"/>
      <c r="V56" s="553">
        <f>+U56</f>
        <v>0</v>
      </c>
      <c r="W56" s="553"/>
      <c r="X56" s="460"/>
      <c r="Y56" s="459">
        <f t="shared" si="64"/>
        <v>0</v>
      </c>
      <c r="Z56" s="459">
        <f t="shared" si="64"/>
        <v>0</v>
      </c>
      <c r="AA56" s="459">
        <f t="shared" si="64"/>
        <v>0</v>
      </c>
      <c r="AB56" s="459">
        <f t="shared" si="64"/>
        <v>0</v>
      </c>
      <c r="AC56" s="459"/>
      <c r="AD56" s="554"/>
      <c r="AE56" s="555">
        <f t="shared" si="1"/>
        <v>0</v>
      </c>
      <c r="AF56" s="555"/>
      <c r="AG56" s="555"/>
      <c r="AH56" s="555"/>
      <c r="AI56" s="417">
        <f>+F56-D56</f>
        <v>0</v>
      </c>
      <c r="AJ56" s="417">
        <f>+F56-D56</f>
        <v>0</v>
      </c>
    </row>
    <row r="57" spans="1:37" ht="15.75">
      <c r="B57" s="3205" t="s">
        <v>17</v>
      </c>
      <c r="C57" s="3207" t="s">
        <v>4053</v>
      </c>
      <c r="D57" s="3206">
        <f>+D37-D52</f>
        <v>7.0000171661376953E-2</v>
      </c>
      <c r="E57" s="3199">
        <f>+E37-E52</f>
        <v>136874367</v>
      </c>
      <c r="F57" s="3200"/>
      <c r="G57" s="3201"/>
      <c r="H57" s="3201"/>
      <c r="I57" s="3201"/>
      <c r="J57" s="3201">
        <f>+J37-J52</f>
        <v>0</v>
      </c>
      <c r="K57" s="2198">
        <f>+K37-K52</f>
        <v>221571597</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2417736</v>
      </c>
      <c r="G58" s="1589">
        <f>+F58</f>
        <v>2417736</v>
      </c>
      <c r="H58" s="396">
        <f>+G58</f>
        <v>2417736</v>
      </c>
      <c r="I58" s="396">
        <f>+H58</f>
        <v>2417736</v>
      </c>
      <c r="J58" s="460">
        <f>+I58</f>
        <v>2417736</v>
      </c>
      <c r="K58" s="460">
        <f>+J58</f>
        <v>2417736</v>
      </c>
    </row>
    <row r="59" spans="1:37" ht="12.75" hidden="1" customHeight="1">
      <c r="C59" s="461" t="s">
        <v>1300</v>
      </c>
      <c r="F59" s="3644" t="s">
        <v>1301</v>
      </c>
      <c r="G59" s="3644"/>
    </row>
    <row r="60" spans="1:37" hidden="1">
      <c r="C60" s="460" t="s">
        <v>1302</v>
      </c>
      <c r="D60" s="396">
        <f t="shared" ref="D60:AB60" si="65">+D37-D52</f>
        <v>7.0000171661376953E-2</v>
      </c>
      <c r="E60" s="396">
        <f>+E37-E52</f>
        <v>136874367</v>
      </c>
      <c r="F60" s="396">
        <f t="shared" si="65"/>
        <v>0</v>
      </c>
      <c r="G60" s="396">
        <f t="shared" si="65"/>
        <v>0</v>
      </c>
      <c r="H60" s="396">
        <f t="shared" si="65"/>
        <v>0</v>
      </c>
      <c r="I60" s="396">
        <f t="shared" si="65"/>
        <v>0</v>
      </c>
      <c r="J60" s="460">
        <f t="shared" si="65"/>
        <v>0</v>
      </c>
      <c r="K60" s="460">
        <f t="shared" si="65"/>
        <v>221571597</v>
      </c>
      <c r="L60" s="460">
        <f t="shared" si="65"/>
        <v>0</v>
      </c>
      <c r="M60" s="460">
        <f t="shared" si="65"/>
        <v>0</v>
      </c>
      <c r="N60" s="460">
        <f t="shared" si="65"/>
        <v>0</v>
      </c>
      <c r="O60" s="460">
        <f t="shared" si="65"/>
        <v>0</v>
      </c>
      <c r="P60" s="460">
        <f t="shared" si="65"/>
        <v>0</v>
      </c>
      <c r="Q60" s="460">
        <f t="shared" si="65"/>
        <v>0</v>
      </c>
      <c r="R60" s="460">
        <f t="shared" si="65"/>
        <v>0</v>
      </c>
      <c r="S60" s="460">
        <f t="shared" si="65"/>
        <v>0</v>
      </c>
      <c r="T60" s="460">
        <f t="shared" si="65"/>
        <v>0</v>
      </c>
      <c r="U60" s="460">
        <f t="shared" si="65"/>
        <v>0</v>
      </c>
      <c r="V60" s="460">
        <f t="shared" si="65"/>
        <v>0</v>
      </c>
      <c r="W60" s="460">
        <f t="shared" si="65"/>
        <v>221571597</v>
      </c>
      <c r="X60" s="396">
        <f t="shared" si="65"/>
        <v>0</v>
      </c>
      <c r="Y60" s="396">
        <f t="shared" si="65"/>
        <v>0</v>
      </c>
      <c r="Z60" s="396">
        <f t="shared" si="65"/>
        <v>0</v>
      </c>
      <c r="AA60" s="396">
        <f t="shared" si="65"/>
        <v>0</v>
      </c>
      <c r="AB60" s="396">
        <f t="shared" si="65"/>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row r="63" spans="1:37" hidden="1"/>
    <row r="64" spans="1:37" hidden="1">
      <c r="F64" s="396">
        <f>+F61-F62</f>
        <v>0</v>
      </c>
    </row>
  </sheetData>
  <sheetProtection algorithmName="SHA-512" hashValue="kriXVXYT1szcREmNEGroox3UVbxlhpWe192V3uwA24NwXGxFXzU8JHEQF5Z2zFJfJoK7hooBu028i7cTIRN6dg==" saltValue="SDAMgERzbOZibA0uDLnz6g==" spinCount="100000" sheet="1" selectLockedCells="1" selectUnlockedCells="1"/>
  <mergeCells count="5">
    <mergeCell ref="A2:AI2"/>
    <mergeCell ref="A56:B56"/>
    <mergeCell ref="F59:G59"/>
    <mergeCell ref="A1:AI1"/>
    <mergeCell ref="A3:B3"/>
  </mergeCells>
  <printOptions horizontalCentered="1"/>
  <pageMargins left="0.15748031496062992" right="0.27559055118110237" top="0.51181102362204722" bottom="0.59055118110236227" header="0.51181102362204722" footer="0.27559055118110237"/>
  <pageSetup paperSize="9" scale="66" firstPageNumber="0" orientation="portrait" r:id="rId1"/>
  <headerFooter alignWithMargins="0">
    <oddFooter>&amp;C&amp;"Arial CE,Félkövér"&amp;14&amp;P/&amp;N</oddFooter>
  </headerFooter>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532BD-1972-47E0-AAF4-EDBD8FB84F93}">
  <sheetPr>
    <tabColor theme="9" tint="-0.499984740745262"/>
    <pageSetUpPr fitToPage="1"/>
  </sheetPr>
  <dimension ref="A1:AL62"/>
  <sheetViews>
    <sheetView view="pageBreakPreview" zoomScaleSheetLayoutView="100" workbookViewId="0">
      <pane xSplit="3" ySplit="6" topLeftCell="F19" activePane="bottomRight" state="frozen"/>
      <selection sqref="A1:AC1"/>
      <selection pane="topRight" sqref="A1:AC1"/>
      <selection pane="bottomLeft" sqref="A1:AC1"/>
      <selection pane="bottomRight" sqref="A1:AI1"/>
    </sheetView>
  </sheetViews>
  <sheetFormatPr defaultColWidth="8" defaultRowHeight="12.75"/>
  <cols>
    <col min="1" max="1" width="7.42578125" style="59" hidden="1" customWidth="1"/>
    <col min="2" max="2" width="7" style="547" customWidth="1"/>
    <col min="3" max="3" width="50.140625" style="396" customWidth="1"/>
    <col min="4" max="5" width="12.28515625" style="396" hidden="1" customWidth="1"/>
    <col min="6" max="6" width="12"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38" width="8" style="396"/>
    <col min="39" max="39" width="11.5703125" style="396" customWidth="1"/>
    <col min="40" max="16384" width="8" style="396"/>
  </cols>
  <sheetData>
    <row r="1" spans="1:37" s="397" customFormat="1" ht="21" customHeight="1">
      <c r="A1" s="3663" t="s">
        <v>4267</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row>
    <row r="2" spans="1:37" s="398" customFormat="1" ht="23.25" customHeight="1">
      <c r="A2" s="3665" t="s">
        <v>3433</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4.2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AC8" si="0">SUM(D9:D19)</f>
        <v>202929</v>
      </c>
      <c r="E8" s="2715">
        <f t="shared" si="0"/>
        <v>79415</v>
      </c>
      <c r="F8" s="1213">
        <f t="shared" si="0"/>
        <v>50543</v>
      </c>
      <c r="G8" s="1213">
        <f t="shared" si="0"/>
        <v>50543</v>
      </c>
      <c r="H8" s="1213">
        <f t="shared" si="0"/>
        <v>50543</v>
      </c>
      <c r="I8" s="1213">
        <f t="shared" si="0"/>
        <v>64897</v>
      </c>
      <c r="J8" s="1213">
        <f t="shared" si="0"/>
        <v>64897</v>
      </c>
      <c r="K8" s="3208">
        <f>SUM(K9:K19)</f>
        <v>64897</v>
      </c>
      <c r="L8" s="1213">
        <f t="shared" si="0"/>
        <v>0</v>
      </c>
      <c r="M8" s="1213">
        <f t="shared" si="0"/>
        <v>0</v>
      </c>
      <c r="N8" s="1213">
        <f t="shared" si="0"/>
        <v>0</v>
      </c>
      <c r="O8" s="1213">
        <f t="shared" si="0"/>
        <v>0</v>
      </c>
      <c r="P8" s="1213">
        <f t="shared" si="0"/>
        <v>0</v>
      </c>
      <c r="Q8" s="1213">
        <f t="shared" si="0"/>
        <v>0</v>
      </c>
      <c r="R8" s="1213">
        <f t="shared" si="0"/>
        <v>50543</v>
      </c>
      <c r="S8" s="1213">
        <f t="shared" si="0"/>
        <v>50543</v>
      </c>
      <c r="T8" s="1213">
        <f t="shared" si="0"/>
        <v>50543</v>
      </c>
      <c r="U8" s="1213">
        <f t="shared" si="0"/>
        <v>64897</v>
      </c>
      <c r="V8" s="1213">
        <f t="shared" si="0"/>
        <v>64897</v>
      </c>
      <c r="W8" s="1213">
        <f t="shared" si="0"/>
        <v>64897</v>
      </c>
      <c r="X8" s="1213">
        <f t="shared" si="0"/>
        <v>0</v>
      </c>
      <c r="Y8" s="1213">
        <f t="shared" si="0"/>
        <v>0</v>
      </c>
      <c r="Z8" s="1213">
        <f t="shared" si="0"/>
        <v>0</v>
      </c>
      <c r="AA8" s="1213">
        <f t="shared" si="0"/>
        <v>0</v>
      </c>
      <c r="AB8" s="1213">
        <f t="shared" si="0"/>
        <v>0</v>
      </c>
      <c r="AC8" s="1213">
        <f t="shared" si="0"/>
        <v>0</v>
      </c>
      <c r="AD8" s="1284"/>
      <c r="AE8" s="1213">
        <f t="shared" ref="AE8:AE56" si="1">+G8-F8</f>
        <v>0</v>
      </c>
      <c r="AF8" s="1213">
        <f t="shared" ref="AF8:AF55" si="2">+H8-G8</f>
        <v>0</v>
      </c>
      <c r="AG8" s="1213">
        <f t="shared" ref="AG8:AG55" si="3">+I8-H8</f>
        <v>14354</v>
      </c>
      <c r="AH8" s="2919">
        <f t="shared" ref="AH8:AH55" si="4">+J8-I8</f>
        <v>0</v>
      </c>
      <c r="AI8" s="1831">
        <f>+K8/I8</f>
        <v>1</v>
      </c>
      <c r="AJ8" s="417">
        <f>+F8-D8</f>
        <v>-152386</v>
      </c>
      <c r="AK8" s="412"/>
    </row>
    <row r="9" spans="1:37" s="416" customFormat="1" ht="15">
      <c r="A9" s="2933"/>
      <c r="B9" s="1285" t="s">
        <v>176</v>
      </c>
      <c r="C9" s="1286" t="s">
        <v>226</v>
      </c>
      <c r="D9" s="1287">
        <v>0</v>
      </c>
      <c r="E9" s="2716">
        <v>0</v>
      </c>
      <c r="F9" s="1287">
        <v>0</v>
      </c>
      <c r="G9" s="1287">
        <f t="shared" ref="G9:G17" si="5">+F9</f>
        <v>0</v>
      </c>
      <c r="H9" s="1287">
        <f t="shared" ref="H9:H19" si="6">+G9</f>
        <v>0</v>
      </c>
      <c r="I9" s="1287">
        <f t="shared" ref="I9:I17" si="7">+H9</f>
        <v>0</v>
      </c>
      <c r="J9" s="1287">
        <f t="shared" ref="J9:J19" si="8">+I9</f>
        <v>0</v>
      </c>
      <c r="K9" s="3219">
        <v>0</v>
      </c>
      <c r="L9" s="1287">
        <v>0</v>
      </c>
      <c r="M9" s="1287">
        <f t="shared" ref="M9:M17" si="9">+L9</f>
        <v>0</v>
      </c>
      <c r="N9" s="1287">
        <f t="shared" ref="N9:N19" si="10">+M9</f>
        <v>0</v>
      </c>
      <c r="O9" s="1287">
        <f t="shared" ref="O9:O17" si="11">+N9</f>
        <v>0</v>
      </c>
      <c r="P9" s="1287">
        <f t="shared" ref="P9:P17" si="12">+O9</f>
        <v>0</v>
      </c>
      <c r="Q9" s="1287">
        <v>0</v>
      </c>
      <c r="R9" s="1287">
        <v>0</v>
      </c>
      <c r="S9" s="1287">
        <f t="shared" ref="S9:S17" si="13">+R9</f>
        <v>0</v>
      </c>
      <c r="T9" s="1287">
        <f t="shared" ref="T9:T19" si="14">+S9</f>
        <v>0</v>
      </c>
      <c r="U9" s="1287">
        <f t="shared" ref="U9:U17" si="15">+T9</f>
        <v>0</v>
      </c>
      <c r="V9" s="1287">
        <f t="shared" ref="V9:V17" si="16">+U9</f>
        <v>0</v>
      </c>
      <c r="W9" s="1287">
        <f>+K9</f>
        <v>0</v>
      </c>
      <c r="X9" s="1287"/>
      <c r="Y9" s="1287">
        <f t="shared" ref="Y9:Y17" si="17">+X9</f>
        <v>0</v>
      </c>
      <c r="Z9" s="1287">
        <f t="shared" ref="Z9:Z17" si="18">+Y9</f>
        <v>0</v>
      </c>
      <c r="AA9" s="1287">
        <f t="shared" ref="AA9:AA17" si="19">+Z9</f>
        <v>0</v>
      </c>
      <c r="AB9" s="1287">
        <f t="shared" ref="AB9:AB17" si="20">+AA9</f>
        <v>0</v>
      </c>
      <c r="AC9" s="1287">
        <f t="shared" ref="AC9:AC17" si="21">+AB9</f>
        <v>0</v>
      </c>
      <c r="AD9" s="1284"/>
      <c r="AE9" s="1213">
        <f t="shared" si="1"/>
        <v>0</v>
      </c>
      <c r="AF9" s="1213">
        <f t="shared" si="2"/>
        <v>0</v>
      </c>
      <c r="AG9" s="1213">
        <f t="shared" si="3"/>
        <v>0</v>
      </c>
      <c r="AH9" s="2919">
        <f t="shared" si="4"/>
        <v>0</v>
      </c>
      <c r="AI9" s="1834"/>
      <c r="AJ9" s="417">
        <f t="shared" ref="AJ9:AJ37" si="22">+F9-D9</f>
        <v>0</v>
      </c>
      <c r="AK9" s="420"/>
    </row>
    <row r="10" spans="1:37" s="416" customFormat="1" ht="15">
      <c r="A10" s="2933"/>
      <c r="B10" s="1285" t="s">
        <v>178</v>
      </c>
      <c r="C10" s="1286" t="s">
        <v>228</v>
      </c>
      <c r="D10" s="1287">
        <v>0</v>
      </c>
      <c r="E10" s="2716">
        <v>0</v>
      </c>
      <c r="F10" s="1287">
        <v>0</v>
      </c>
      <c r="G10" s="1287">
        <f t="shared" si="5"/>
        <v>0</v>
      </c>
      <c r="H10" s="1287">
        <f t="shared" si="6"/>
        <v>0</v>
      </c>
      <c r="I10" s="1287">
        <f t="shared" si="7"/>
        <v>0</v>
      </c>
      <c r="J10" s="1287">
        <f t="shared" si="8"/>
        <v>0</v>
      </c>
      <c r="K10" s="3219">
        <v>0</v>
      </c>
      <c r="L10" s="1287">
        <v>0</v>
      </c>
      <c r="M10" s="1287">
        <f t="shared" si="9"/>
        <v>0</v>
      </c>
      <c r="N10" s="1287">
        <f t="shared" si="10"/>
        <v>0</v>
      </c>
      <c r="O10" s="1287">
        <f t="shared" si="11"/>
        <v>0</v>
      </c>
      <c r="P10" s="1287">
        <f t="shared" si="12"/>
        <v>0</v>
      </c>
      <c r="Q10" s="1287">
        <v>0</v>
      </c>
      <c r="R10" s="1287">
        <v>0</v>
      </c>
      <c r="S10" s="1287">
        <f t="shared" si="13"/>
        <v>0</v>
      </c>
      <c r="T10" s="1287">
        <f t="shared" si="14"/>
        <v>0</v>
      </c>
      <c r="U10" s="1287">
        <f t="shared" si="15"/>
        <v>0</v>
      </c>
      <c r="V10" s="1287">
        <f t="shared" si="16"/>
        <v>0</v>
      </c>
      <c r="W10" s="1287">
        <f t="shared" ref="W10:W19" si="23">+K10</f>
        <v>0</v>
      </c>
      <c r="X10" s="1287"/>
      <c r="Y10" s="1287">
        <f t="shared" si="17"/>
        <v>0</v>
      </c>
      <c r="Z10" s="1287">
        <f t="shared" si="18"/>
        <v>0</v>
      </c>
      <c r="AA10" s="1287">
        <f t="shared" si="19"/>
        <v>0</v>
      </c>
      <c r="AB10" s="1287">
        <f t="shared" si="20"/>
        <v>0</v>
      </c>
      <c r="AC10" s="1287">
        <f t="shared" si="21"/>
        <v>0</v>
      </c>
      <c r="AD10" s="1284"/>
      <c r="AE10" s="1213">
        <f t="shared" si="1"/>
        <v>0</v>
      </c>
      <c r="AF10" s="1213">
        <f t="shared" si="2"/>
        <v>0</v>
      </c>
      <c r="AG10" s="1213">
        <f t="shared" si="3"/>
        <v>0</v>
      </c>
      <c r="AH10" s="2919">
        <f t="shared" si="4"/>
        <v>0</v>
      </c>
      <c r="AI10" s="1834"/>
      <c r="AJ10" s="417">
        <f t="shared" si="22"/>
        <v>0</v>
      </c>
      <c r="AK10" s="420"/>
    </row>
    <row r="11" spans="1:37" s="416" customFormat="1" ht="15">
      <c r="A11" s="2933"/>
      <c r="B11" s="1289" t="s">
        <v>179</v>
      </c>
      <c r="C11" s="1286" t="s">
        <v>460</v>
      </c>
      <c r="D11" s="1287">
        <v>0</v>
      </c>
      <c r="E11" s="2716">
        <v>0</v>
      </c>
      <c r="F11" s="1287">
        <v>0</v>
      </c>
      <c r="G11" s="1287">
        <f t="shared" si="5"/>
        <v>0</v>
      </c>
      <c r="H11" s="1287">
        <f t="shared" si="6"/>
        <v>0</v>
      </c>
      <c r="I11" s="1287">
        <f t="shared" si="7"/>
        <v>0</v>
      </c>
      <c r="J11" s="1287">
        <f t="shared" si="8"/>
        <v>0</v>
      </c>
      <c r="K11" s="3219">
        <v>0</v>
      </c>
      <c r="L11" s="1287">
        <v>0</v>
      </c>
      <c r="M11" s="1287">
        <f t="shared" si="9"/>
        <v>0</v>
      </c>
      <c r="N11" s="1287">
        <f t="shared" si="10"/>
        <v>0</v>
      </c>
      <c r="O11" s="1287">
        <f t="shared" si="11"/>
        <v>0</v>
      </c>
      <c r="P11" s="1287">
        <f t="shared" si="12"/>
        <v>0</v>
      </c>
      <c r="Q11" s="1287">
        <v>0</v>
      </c>
      <c r="R11" s="1287">
        <v>0</v>
      </c>
      <c r="S11" s="1287">
        <f t="shared" si="13"/>
        <v>0</v>
      </c>
      <c r="T11" s="1287">
        <f t="shared" si="14"/>
        <v>0</v>
      </c>
      <c r="U11" s="1287">
        <f t="shared" si="15"/>
        <v>0</v>
      </c>
      <c r="V11" s="1287">
        <f t="shared" si="16"/>
        <v>0</v>
      </c>
      <c r="W11" s="1287">
        <f t="shared" si="23"/>
        <v>0</v>
      </c>
      <c r="X11" s="1287"/>
      <c r="Y11" s="1287">
        <f t="shared" si="17"/>
        <v>0</v>
      </c>
      <c r="Z11" s="1287">
        <f t="shared" si="18"/>
        <v>0</v>
      </c>
      <c r="AA11" s="1287">
        <f t="shared" si="19"/>
        <v>0</v>
      </c>
      <c r="AB11" s="1287">
        <f t="shared" si="20"/>
        <v>0</v>
      </c>
      <c r="AC11" s="1287">
        <f t="shared" si="21"/>
        <v>0</v>
      </c>
      <c r="AD11" s="2069"/>
      <c r="AE11" s="1213">
        <f t="shared" si="1"/>
        <v>0</v>
      </c>
      <c r="AF11" s="1213">
        <f t="shared" si="2"/>
        <v>0</v>
      </c>
      <c r="AG11" s="1213">
        <f t="shared" si="3"/>
        <v>0</v>
      </c>
      <c r="AH11" s="2919">
        <f t="shared" si="4"/>
        <v>0</v>
      </c>
      <c r="AI11" s="1834"/>
      <c r="AJ11" s="417">
        <f t="shared" si="22"/>
        <v>0</v>
      </c>
      <c r="AK11" s="420"/>
    </row>
    <row r="12" spans="1:37" s="416" customFormat="1" ht="15">
      <c r="A12" s="2933"/>
      <c r="B12" s="1289" t="s">
        <v>180</v>
      </c>
      <c r="C12" s="1286" t="s">
        <v>232</v>
      </c>
      <c r="D12" s="1287">
        <v>0</v>
      </c>
      <c r="E12" s="2716">
        <v>0</v>
      </c>
      <c r="F12" s="1287">
        <v>0</v>
      </c>
      <c r="G12" s="1287">
        <f t="shared" si="5"/>
        <v>0</v>
      </c>
      <c r="H12" s="1287">
        <f t="shared" si="6"/>
        <v>0</v>
      </c>
      <c r="I12" s="1287">
        <f t="shared" si="7"/>
        <v>0</v>
      </c>
      <c r="J12" s="1287">
        <f t="shared" si="8"/>
        <v>0</v>
      </c>
      <c r="K12" s="3219">
        <v>0</v>
      </c>
      <c r="L12" s="1287">
        <v>0</v>
      </c>
      <c r="M12" s="1287">
        <f t="shared" si="9"/>
        <v>0</v>
      </c>
      <c r="N12" s="1287">
        <f t="shared" si="10"/>
        <v>0</v>
      </c>
      <c r="O12" s="1287">
        <f t="shared" si="11"/>
        <v>0</v>
      </c>
      <c r="P12" s="1287">
        <f t="shared" si="12"/>
        <v>0</v>
      </c>
      <c r="Q12" s="1287">
        <v>0</v>
      </c>
      <c r="R12" s="1287">
        <v>0</v>
      </c>
      <c r="S12" s="1287">
        <f t="shared" si="13"/>
        <v>0</v>
      </c>
      <c r="T12" s="1287">
        <f t="shared" si="14"/>
        <v>0</v>
      </c>
      <c r="U12" s="1287">
        <f t="shared" si="15"/>
        <v>0</v>
      </c>
      <c r="V12" s="1287">
        <f t="shared" si="16"/>
        <v>0</v>
      </c>
      <c r="W12" s="1287">
        <f t="shared" si="23"/>
        <v>0</v>
      </c>
      <c r="X12" s="1287"/>
      <c r="Y12" s="1287">
        <f t="shared" si="17"/>
        <v>0</v>
      </c>
      <c r="Z12" s="1287">
        <f t="shared" si="18"/>
        <v>0</v>
      </c>
      <c r="AA12" s="1287">
        <f t="shared" si="19"/>
        <v>0</v>
      </c>
      <c r="AB12" s="1287">
        <f t="shared" si="20"/>
        <v>0</v>
      </c>
      <c r="AC12" s="1287">
        <f t="shared" si="21"/>
        <v>0</v>
      </c>
      <c r="AD12" s="1284"/>
      <c r="AE12" s="1213">
        <f t="shared" si="1"/>
        <v>0</v>
      </c>
      <c r="AF12" s="1213">
        <f t="shared" si="2"/>
        <v>0</v>
      </c>
      <c r="AG12" s="1213">
        <f t="shared" si="3"/>
        <v>0</v>
      </c>
      <c r="AH12" s="2919">
        <f t="shared" si="4"/>
        <v>0</v>
      </c>
      <c r="AI12" s="1834"/>
      <c r="AJ12" s="417">
        <f t="shared" si="22"/>
        <v>0</v>
      </c>
      <c r="AK12" s="420"/>
    </row>
    <row r="13" spans="1:37" s="416" customFormat="1" ht="15">
      <c r="A13" s="2933"/>
      <c r="B13" s="1289" t="s">
        <v>181</v>
      </c>
      <c r="C13" s="1286" t="s">
        <v>234</v>
      </c>
      <c r="D13" s="1287">
        <v>0</v>
      </c>
      <c r="E13" s="2716">
        <v>0</v>
      </c>
      <c r="F13" s="1287">
        <v>0</v>
      </c>
      <c r="G13" s="1287">
        <f t="shared" si="5"/>
        <v>0</v>
      </c>
      <c r="H13" s="1287">
        <f t="shared" si="6"/>
        <v>0</v>
      </c>
      <c r="I13" s="1287">
        <f t="shared" si="7"/>
        <v>0</v>
      </c>
      <c r="J13" s="1287">
        <f t="shared" si="8"/>
        <v>0</v>
      </c>
      <c r="K13" s="3219">
        <v>0</v>
      </c>
      <c r="L13" s="1287">
        <v>0</v>
      </c>
      <c r="M13" s="1287">
        <f t="shared" si="9"/>
        <v>0</v>
      </c>
      <c r="N13" s="1287">
        <f t="shared" si="10"/>
        <v>0</v>
      </c>
      <c r="O13" s="1287">
        <f t="shared" si="11"/>
        <v>0</v>
      </c>
      <c r="P13" s="1287">
        <f t="shared" si="12"/>
        <v>0</v>
      </c>
      <c r="Q13" s="1287">
        <v>0</v>
      </c>
      <c r="R13" s="1287">
        <v>0</v>
      </c>
      <c r="S13" s="1287">
        <f t="shared" si="13"/>
        <v>0</v>
      </c>
      <c r="T13" s="1287">
        <f t="shared" si="14"/>
        <v>0</v>
      </c>
      <c r="U13" s="1287">
        <f t="shared" si="15"/>
        <v>0</v>
      </c>
      <c r="V13" s="1287">
        <f t="shared" si="16"/>
        <v>0</v>
      </c>
      <c r="W13" s="1287">
        <f t="shared" si="23"/>
        <v>0</v>
      </c>
      <c r="X13" s="1287"/>
      <c r="Y13" s="1287">
        <f t="shared" si="17"/>
        <v>0</v>
      </c>
      <c r="Z13" s="1287">
        <f t="shared" si="18"/>
        <v>0</v>
      </c>
      <c r="AA13" s="1287">
        <f t="shared" si="19"/>
        <v>0</v>
      </c>
      <c r="AB13" s="1287">
        <f t="shared" si="20"/>
        <v>0</v>
      </c>
      <c r="AC13" s="1287">
        <f t="shared" si="21"/>
        <v>0</v>
      </c>
      <c r="AD13" s="1284"/>
      <c r="AE13" s="1213">
        <f t="shared" si="1"/>
        <v>0</v>
      </c>
      <c r="AF13" s="1213">
        <f t="shared" si="2"/>
        <v>0</v>
      </c>
      <c r="AG13" s="1213">
        <f t="shared" si="3"/>
        <v>0</v>
      </c>
      <c r="AH13" s="2919">
        <f t="shared" si="4"/>
        <v>0</v>
      </c>
      <c r="AI13" s="1834"/>
      <c r="AJ13" s="417">
        <f t="shared" si="22"/>
        <v>0</v>
      </c>
      <c r="AK13" s="420"/>
    </row>
    <row r="14" spans="1:37" s="416" customFormat="1" ht="15">
      <c r="A14" s="2933"/>
      <c r="B14" s="1289" t="s">
        <v>183</v>
      </c>
      <c r="C14" s="1286" t="s">
        <v>887</v>
      </c>
      <c r="D14" s="1287">
        <v>0</v>
      </c>
      <c r="E14" s="2716">
        <v>0</v>
      </c>
      <c r="F14" s="1287">
        <v>0</v>
      </c>
      <c r="G14" s="1287">
        <f t="shared" si="5"/>
        <v>0</v>
      </c>
      <c r="H14" s="1287">
        <f t="shared" si="6"/>
        <v>0</v>
      </c>
      <c r="I14" s="1287">
        <f t="shared" si="7"/>
        <v>0</v>
      </c>
      <c r="J14" s="1287">
        <f t="shared" si="8"/>
        <v>0</v>
      </c>
      <c r="K14" s="3219">
        <v>0</v>
      </c>
      <c r="L14" s="1287">
        <v>0</v>
      </c>
      <c r="M14" s="1287">
        <f t="shared" si="9"/>
        <v>0</v>
      </c>
      <c r="N14" s="1287">
        <f t="shared" si="10"/>
        <v>0</v>
      </c>
      <c r="O14" s="1287">
        <f t="shared" si="11"/>
        <v>0</v>
      </c>
      <c r="P14" s="1287">
        <f t="shared" si="12"/>
        <v>0</v>
      </c>
      <c r="Q14" s="1287">
        <v>0</v>
      </c>
      <c r="R14" s="1287">
        <v>0</v>
      </c>
      <c r="S14" s="1287">
        <f t="shared" si="13"/>
        <v>0</v>
      </c>
      <c r="T14" s="1287">
        <f t="shared" si="14"/>
        <v>0</v>
      </c>
      <c r="U14" s="1287">
        <f t="shared" si="15"/>
        <v>0</v>
      </c>
      <c r="V14" s="1287">
        <f t="shared" si="16"/>
        <v>0</v>
      </c>
      <c r="W14" s="1287">
        <f t="shared" si="23"/>
        <v>0</v>
      </c>
      <c r="X14" s="1287"/>
      <c r="Y14" s="1287">
        <f t="shared" si="17"/>
        <v>0</v>
      </c>
      <c r="Z14" s="1287">
        <f t="shared" si="18"/>
        <v>0</v>
      </c>
      <c r="AA14" s="1287">
        <f t="shared" si="19"/>
        <v>0</v>
      </c>
      <c r="AB14" s="1287">
        <f t="shared" si="20"/>
        <v>0</v>
      </c>
      <c r="AC14" s="1287">
        <f t="shared" si="21"/>
        <v>0</v>
      </c>
      <c r="AD14" s="2069"/>
      <c r="AE14" s="1213">
        <f t="shared" si="1"/>
        <v>0</v>
      </c>
      <c r="AF14" s="1213">
        <f t="shared" si="2"/>
        <v>0</v>
      </c>
      <c r="AG14" s="1213">
        <f t="shared" si="3"/>
        <v>0</v>
      </c>
      <c r="AH14" s="2919">
        <f t="shared" si="4"/>
        <v>0</v>
      </c>
      <c r="AI14" s="1834"/>
      <c r="AJ14" s="417">
        <f t="shared" si="22"/>
        <v>0</v>
      </c>
      <c r="AK14" s="420"/>
    </row>
    <row r="15" spans="1:37" s="416" customFormat="1" ht="15">
      <c r="A15" s="2933"/>
      <c r="B15" s="1289" t="s">
        <v>321</v>
      </c>
      <c r="C15" s="1290" t="s">
        <v>238</v>
      </c>
      <c r="D15" s="1287">
        <v>0</v>
      </c>
      <c r="E15" s="2716">
        <v>0</v>
      </c>
      <c r="F15" s="1287">
        <v>0</v>
      </c>
      <c r="G15" s="1287">
        <f t="shared" si="5"/>
        <v>0</v>
      </c>
      <c r="H15" s="1287">
        <f t="shared" si="6"/>
        <v>0</v>
      </c>
      <c r="I15" s="1287">
        <f t="shared" si="7"/>
        <v>0</v>
      </c>
      <c r="J15" s="1287">
        <f t="shared" si="8"/>
        <v>0</v>
      </c>
      <c r="K15" s="3219">
        <v>0</v>
      </c>
      <c r="L15" s="1287">
        <v>0</v>
      </c>
      <c r="M15" s="1287">
        <f t="shared" si="9"/>
        <v>0</v>
      </c>
      <c r="N15" s="1287">
        <f t="shared" si="10"/>
        <v>0</v>
      </c>
      <c r="O15" s="1287">
        <f t="shared" si="11"/>
        <v>0</v>
      </c>
      <c r="P15" s="1287">
        <f t="shared" si="12"/>
        <v>0</v>
      </c>
      <c r="Q15" s="1287">
        <v>0</v>
      </c>
      <c r="R15" s="1287">
        <v>0</v>
      </c>
      <c r="S15" s="1287">
        <f t="shared" si="13"/>
        <v>0</v>
      </c>
      <c r="T15" s="1287">
        <f t="shared" si="14"/>
        <v>0</v>
      </c>
      <c r="U15" s="1287">
        <f t="shared" si="15"/>
        <v>0</v>
      </c>
      <c r="V15" s="1287">
        <f t="shared" si="16"/>
        <v>0</v>
      </c>
      <c r="W15" s="1287">
        <f t="shared" si="23"/>
        <v>0</v>
      </c>
      <c r="X15" s="1287"/>
      <c r="Y15" s="1287">
        <f t="shared" si="17"/>
        <v>0</v>
      </c>
      <c r="Z15" s="1287">
        <f t="shared" si="18"/>
        <v>0</v>
      </c>
      <c r="AA15" s="1287">
        <f t="shared" si="19"/>
        <v>0</v>
      </c>
      <c r="AB15" s="1287">
        <f t="shared" si="20"/>
        <v>0</v>
      </c>
      <c r="AC15" s="1287">
        <f t="shared" si="21"/>
        <v>0</v>
      </c>
      <c r="AD15" s="1284"/>
      <c r="AE15" s="1213">
        <f t="shared" si="1"/>
        <v>0</v>
      </c>
      <c r="AF15" s="1213">
        <f t="shared" si="2"/>
        <v>0</v>
      </c>
      <c r="AG15" s="1213">
        <f t="shared" si="3"/>
        <v>0</v>
      </c>
      <c r="AH15" s="2919">
        <f t="shared" si="4"/>
        <v>0</v>
      </c>
      <c r="AI15" s="1834"/>
      <c r="AJ15" s="417">
        <f t="shared" si="22"/>
        <v>0</v>
      </c>
      <c r="AK15" s="420"/>
    </row>
    <row r="16" spans="1:37" s="416" customFormat="1" ht="15">
      <c r="A16" s="2933"/>
      <c r="B16" s="1289" t="s">
        <v>323</v>
      </c>
      <c r="C16" s="1286" t="s">
        <v>1277</v>
      </c>
      <c r="D16" s="1287">
        <v>202929</v>
      </c>
      <c r="E16" s="2716">
        <v>79415</v>
      </c>
      <c r="F16" s="1287">
        <v>50543</v>
      </c>
      <c r="G16" s="1287">
        <f t="shared" si="5"/>
        <v>50543</v>
      </c>
      <c r="H16" s="1287">
        <f t="shared" si="6"/>
        <v>50543</v>
      </c>
      <c r="I16" s="1287">
        <f>+H16+12706</f>
        <v>63249</v>
      </c>
      <c r="J16" s="1287">
        <f t="shared" si="8"/>
        <v>63249</v>
      </c>
      <c r="K16" s="3219">
        <v>63249</v>
      </c>
      <c r="L16" s="1287">
        <v>0</v>
      </c>
      <c r="M16" s="1287">
        <f t="shared" si="9"/>
        <v>0</v>
      </c>
      <c r="N16" s="1287">
        <f t="shared" si="10"/>
        <v>0</v>
      </c>
      <c r="O16" s="1287">
        <f t="shared" si="11"/>
        <v>0</v>
      </c>
      <c r="P16" s="1287">
        <f t="shared" si="12"/>
        <v>0</v>
      </c>
      <c r="Q16" s="1287">
        <v>0</v>
      </c>
      <c r="R16" s="1287">
        <f>+F16</f>
        <v>50543</v>
      </c>
      <c r="S16" s="1287">
        <f t="shared" si="13"/>
        <v>50543</v>
      </c>
      <c r="T16" s="1287">
        <f>+S16</f>
        <v>50543</v>
      </c>
      <c r="U16" s="1287">
        <f>+T16+12706</f>
        <v>63249</v>
      </c>
      <c r="V16" s="1287">
        <f t="shared" si="16"/>
        <v>63249</v>
      </c>
      <c r="W16" s="1287">
        <f t="shared" si="23"/>
        <v>63249</v>
      </c>
      <c r="X16" s="1287"/>
      <c r="Y16" s="1287">
        <f t="shared" si="17"/>
        <v>0</v>
      </c>
      <c r="Z16" s="1287">
        <f t="shared" si="18"/>
        <v>0</v>
      </c>
      <c r="AA16" s="1287">
        <f t="shared" si="19"/>
        <v>0</v>
      </c>
      <c r="AB16" s="1287">
        <f t="shared" si="20"/>
        <v>0</v>
      </c>
      <c r="AC16" s="1287">
        <f t="shared" si="21"/>
        <v>0</v>
      </c>
      <c r="AD16" s="1665"/>
      <c r="AE16" s="1213">
        <f t="shared" si="1"/>
        <v>0</v>
      </c>
      <c r="AF16" s="1213">
        <f t="shared" si="2"/>
        <v>0</v>
      </c>
      <c r="AG16" s="1213">
        <f t="shared" si="3"/>
        <v>12706</v>
      </c>
      <c r="AH16" s="2919">
        <f t="shared" si="4"/>
        <v>0</v>
      </c>
      <c r="AI16" s="1834">
        <f>+K16/I16</f>
        <v>1</v>
      </c>
      <c r="AJ16" s="417">
        <f t="shared" si="22"/>
        <v>-152386</v>
      </c>
      <c r="AK16" s="420"/>
    </row>
    <row r="17" spans="1:37" s="416" customFormat="1" ht="15">
      <c r="A17" s="2933"/>
      <c r="B17" s="1289" t="s">
        <v>325</v>
      </c>
      <c r="C17" s="1286" t="s">
        <v>242</v>
      </c>
      <c r="D17" s="1287">
        <v>0</v>
      </c>
      <c r="E17" s="2716">
        <v>0</v>
      </c>
      <c r="F17" s="1287">
        <v>0</v>
      </c>
      <c r="G17" s="1287">
        <f t="shared" si="5"/>
        <v>0</v>
      </c>
      <c r="H17" s="1287">
        <f t="shared" si="6"/>
        <v>0</v>
      </c>
      <c r="I17" s="1287">
        <f t="shared" si="7"/>
        <v>0</v>
      </c>
      <c r="J17" s="1287">
        <f t="shared" si="8"/>
        <v>0</v>
      </c>
      <c r="K17" s="3219">
        <v>0</v>
      </c>
      <c r="L17" s="1287">
        <v>0</v>
      </c>
      <c r="M17" s="1287">
        <f t="shared" si="9"/>
        <v>0</v>
      </c>
      <c r="N17" s="1287">
        <f t="shared" si="10"/>
        <v>0</v>
      </c>
      <c r="O17" s="1287">
        <f t="shared" si="11"/>
        <v>0</v>
      </c>
      <c r="P17" s="1287">
        <f t="shared" si="12"/>
        <v>0</v>
      </c>
      <c r="Q17" s="1287">
        <v>0</v>
      </c>
      <c r="R17" s="1287">
        <v>0</v>
      </c>
      <c r="S17" s="1287">
        <f t="shared" si="13"/>
        <v>0</v>
      </c>
      <c r="T17" s="1287">
        <f t="shared" si="14"/>
        <v>0</v>
      </c>
      <c r="U17" s="1287">
        <f t="shared" si="15"/>
        <v>0</v>
      </c>
      <c r="V17" s="1287">
        <f t="shared" si="16"/>
        <v>0</v>
      </c>
      <c r="W17" s="1287">
        <f t="shared" si="23"/>
        <v>0</v>
      </c>
      <c r="X17" s="1287"/>
      <c r="Y17" s="1287">
        <f t="shared" si="17"/>
        <v>0</v>
      </c>
      <c r="Z17" s="1287">
        <f t="shared" si="18"/>
        <v>0</v>
      </c>
      <c r="AA17" s="1287">
        <f t="shared" si="19"/>
        <v>0</v>
      </c>
      <c r="AB17" s="1287">
        <f t="shared" si="20"/>
        <v>0</v>
      </c>
      <c r="AC17" s="1287">
        <f t="shared" si="21"/>
        <v>0</v>
      </c>
      <c r="AD17" s="1284"/>
      <c r="AE17" s="1213">
        <f t="shared" si="1"/>
        <v>0</v>
      </c>
      <c r="AF17" s="1213">
        <f t="shared" si="2"/>
        <v>0</v>
      </c>
      <c r="AG17" s="1213">
        <f t="shared" si="3"/>
        <v>0</v>
      </c>
      <c r="AH17" s="2919">
        <f t="shared" si="4"/>
        <v>0</v>
      </c>
      <c r="AI17" s="1834"/>
      <c r="AJ17" s="417">
        <f t="shared" si="22"/>
        <v>0</v>
      </c>
      <c r="AK17" s="420"/>
    </row>
    <row r="18" spans="1:37" s="416" customFormat="1" ht="15">
      <c r="A18" s="2933"/>
      <c r="B18" s="1289" t="s">
        <v>327</v>
      </c>
      <c r="C18" s="1286" t="s">
        <v>163</v>
      </c>
      <c r="D18" s="1287">
        <v>0</v>
      </c>
      <c r="E18" s="2716">
        <v>0</v>
      </c>
      <c r="F18" s="1287">
        <v>0</v>
      </c>
      <c r="G18" s="1287">
        <f>+F18</f>
        <v>0</v>
      </c>
      <c r="H18" s="1287">
        <f>+G18</f>
        <v>0</v>
      </c>
      <c r="I18" s="1287">
        <f>+H18</f>
        <v>0</v>
      </c>
      <c r="J18" s="1287">
        <f t="shared" si="8"/>
        <v>0</v>
      </c>
      <c r="K18" s="3219">
        <v>0</v>
      </c>
      <c r="L18" s="1287">
        <v>0</v>
      </c>
      <c r="M18" s="1287">
        <v>0</v>
      </c>
      <c r="N18" s="1287">
        <f t="shared" si="10"/>
        <v>0</v>
      </c>
      <c r="O18" s="1287">
        <v>0</v>
      </c>
      <c r="P18" s="1287"/>
      <c r="Q18" s="1287">
        <v>0</v>
      </c>
      <c r="R18" s="1287">
        <v>0</v>
      </c>
      <c r="S18" s="1287">
        <v>0</v>
      </c>
      <c r="T18" s="1287">
        <f t="shared" si="14"/>
        <v>0</v>
      </c>
      <c r="U18" s="1287">
        <v>0</v>
      </c>
      <c r="V18" s="1287"/>
      <c r="W18" s="1287">
        <f t="shared" si="23"/>
        <v>0</v>
      </c>
      <c r="X18" s="1287"/>
      <c r="Y18" s="1287"/>
      <c r="Z18" s="1287"/>
      <c r="AA18" s="1287"/>
      <c r="AB18" s="1287"/>
      <c r="AC18" s="1287"/>
      <c r="AD18" s="1284"/>
      <c r="AE18" s="1213">
        <f t="shared" si="1"/>
        <v>0</v>
      </c>
      <c r="AF18" s="1213">
        <f t="shared" si="2"/>
        <v>0</v>
      </c>
      <c r="AG18" s="1213">
        <f t="shared" si="3"/>
        <v>0</v>
      </c>
      <c r="AH18" s="2919">
        <f t="shared" si="4"/>
        <v>0</v>
      </c>
      <c r="AI18" s="1834"/>
      <c r="AJ18" s="417">
        <f t="shared" si="22"/>
        <v>0</v>
      </c>
      <c r="AK18" s="420"/>
    </row>
    <row r="19" spans="1:37" s="424" customFormat="1" ht="15">
      <c r="A19" s="2933"/>
      <c r="B19" s="1289" t="s">
        <v>329</v>
      </c>
      <c r="C19" s="1286" t="s">
        <v>162</v>
      </c>
      <c r="D19" s="1287">
        <v>0</v>
      </c>
      <c r="E19" s="2716">
        <v>0</v>
      </c>
      <c r="F19" s="1287">
        <v>0</v>
      </c>
      <c r="G19" s="1287">
        <v>0</v>
      </c>
      <c r="H19" s="1287">
        <f t="shared" si="6"/>
        <v>0</v>
      </c>
      <c r="I19" s="1287">
        <f>+H19+1648</f>
        <v>1648</v>
      </c>
      <c r="J19" s="1287">
        <f t="shared" si="8"/>
        <v>1648</v>
      </c>
      <c r="K19" s="3219">
        <v>1648</v>
      </c>
      <c r="L19" s="1287">
        <v>0</v>
      </c>
      <c r="M19" s="1287">
        <f>+L19</f>
        <v>0</v>
      </c>
      <c r="N19" s="1287">
        <f t="shared" si="10"/>
        <v>0</v>
      </c>
      <c r="O19" s="1287">
        <f>+N19</f>
        <v>0</v>
      </c>
      <c r="P19" s="1287">
        <f>+O19</f>
        <v>0</v>
      </c>
      <c r="Q19" s="1287">
        <v>0</v>
      </c>
      <c r="R19" s="1287">
        <v>0</v>
      </c>
      <c r="S19" s="1287">
        <v>0</v>
      </c>
      <c r="T19" s="1287">
        <f t="shared" si="14"/>
        <v>0</v>
      </c>
      <c r="U19" s="1287">
        <f>+T19+1648</f>
        <v>1648</v>
      </c>
      <c r="V19" s="1287">
        <f>+U19</f>
        <v>1648</v>
      </c>
      <c r="W19" s="1287">
        <f t="shared" si="23"/>
        <v>1648</v>
      </c>
      <c r="X19" s="1287"/>
      <c r="Y19" s="1287">
        <f>+X19</f>
        <v>0</v>
      </c>
      <c r="Z19" s="1287">
        <f>+Y19</f>
        <v>0</v>
      </c>
      <c r="AA19" s="1287">
        <f>+Z19</f>
        <v>0</v>
      </c>
      <c r="AB19" s="1287">
        <f>+AA19</f>
        <v>0</v>
      </c>
      <c r="AC19" s="1287">
        <f>+AB19</f>
        <v>0</v>
      </c>
      <c r="AD19" s="1284"/>
      <c r="AE19" s="1213">
        <f t="shared" si="1"/>
        <v>0</v>
      </c>
      <c r="AF19" s="1213">
        <f t="shared" si="2"/>
        <v>0</v>
      </c>
      <c r="AG19" s="1213">
        <f t="shared" si="3"/>
        <v>1648</v>
      </c>
      <c r="AH19" s="2919">
        <f t="shared" si="4"/>
        <v>0</v>
      </c>
      <c r="AI19" s="1834">
        <f>+K19/I19</f>
        <v>1</v>
      </c>
      <c r="AJ19" s="417">
        <f t="shared" si="22"/>
        <v>0</v>
      </c>
      <c r="AK19" s="420"/>
    </row>
    <row r="20" spans="1:37" s="424" customFormat="1" ht="15">
      <c r="A20" s="2934" t="s">
        <v>12</v>
      </c>
      <c r="B20" s="1282" t="s">
        <v>12</v>
      </c>
      <c r="C20" s="1283" t="s">
        <v>1278</v>
      </c>
      <c r="D20" s="1213">
        <f t="shared" ref="D20:AC20" si="24">SUM(D21:D22)</f>
        <v>0</v>
      </c>
      <c r="E20" s="2715">
        <f t="shared" si="24"/>
        <v>0</v>
      </c>
      <c r="F20" s="1213">
        <f t="shared" si="24"/>
        <v>0</v>
      </c>
      <c r="G20" s="1213">
        <f t="shared" si="24"/>
        <v>0</v>
      </c>
      <c r="H20" s="1213">
        <f t="shared" si="24"/>
        <v>0</v>
      </c>
      <c r="I20" s="1213">
        <f t="shared" si="24"/>
        <v>0</v>
      </c>
      <c r="J20" s="1213">
        <f t="shared" si="24"/>
        <v>0</v>
      </c>
      <c r="K20" s="3208">
        <f>SUM(K21:K22)</f>
        <v>0</v>
      </c>
      <c r="L20" s="1213">
        <f t="shared" si="24"/>
        <v>0</v>
      </c>
      <c r="M20" s="1213">
        <f t="shared" si="24"/>
        <v>0</v>
      </c>
      <c r="N20" s="1213">
        <f t="shared" si="24"/>
        <v>0</v>
      </c>
      <c r="O20" s="1213">
        <f t="shared" si="24"/>
        <v>0</v>
      </c>
      <c r="P20" s="1213">
        <f t="shared" si="24"/>
        <v>0</v>
      </c>
      <c r="Q20" s="1213">
        <f t="shared" si="24"/>
        <v>0</v>
      </c>
      <c r="R20" s="1213">
        <f t="shared" si="24"/>
        <v>0</v>
      </c>
      <c r="S20" s="1213">
        <f t="shared" si="24"/>
        <v>0</v>
      </c>
      <c r="T20" s="1213">
        <f t="shared" si="24"/>
        <v>0</v>
      </c>
      <c r="U20" s="1213">
        <f t="shared" si="24"/>
        <v>0</v>
      </c>
      <c r="V20" s="1213">
        <f t="shared" si="24"/>
        <v>0</v>
      </c>
      <c r="W20" s="1213">
        <f t="shared" si="24"/>
        <v>0</v>
      </c>
      <c r="X20" s="1213">
        <f t="shared" si="24"/>
        <v>0</v>
      </c>
      <c r="Y20" s="1213">
        <f t="shared" si="24"/>
        <v>0</v>
      </c>
      <c r="Z20" s="1213">
        <f t="shared" si="24"/>
        <v>0</v>
      </c>
      <c r="AA20" s="1213">
        <f t="shared" si="24"/>
        <v>0</v>
      </c>
      <c r="AB20" s="1213">
        <f t="shared" si="24"/>
        <v>0</v>
      </c>
      <c r="AC20" s="1213">
        <f t="shared" si="24"/>
        <v>0</v>
      </c>
      <c r="AD20" s="1284"/>
      <c r="AE20" s="1213">
        <f t="shared" si="1"/>
        <v>0</v>
      </c>
      <c r="AF20" s="1213">
        <f t="shared" si="2"/>
        <v>0</v>
      </c>
      <c r="AG20" s="1213">
        <f t="shared" si="3"/>
        <v>0</v>
      </c>
      <c r="AH20" s="2919">
        <f t="shared" si="4"/>
        <v>0</v>
      </c>
      <c r="AI20" s="1829"/>
      <c r="AJ20" s="417">
        <f t="shared" si="22"/>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3219">
        <v>0</v>
      </c>
      <c r="L21" s="1287">
        <v>0</v>
      </c>
      <c r="M21" s="1287">
        <f t="shared" ref="M21:P22" si="26">+L21</f>
        <v>0</v>
      </c>
      <c r="N21" s="1287">
        <f t="shared" si="26"/>
        <v>0</v>
      </c>
      <c r="O21" s="1287">
        <f t="shared" si="26"/>
        <v>0</v>
      </c>
      <c r="P21" s="1287">
        <f t="shared" si="26"/>
        <v>0</v>
      </c>
      <c r="Q21" s="1287">
        <v>0</v>
      </c>
      <c r="R21" s="1287">
        <v>0</v>
      </c>
      <c r="S21" s="1287">
        <f t="shared" ref="S21:V22" si="27">+R21</f>
        <v>0</v>
      </c>
      <c r="T21" s="1287">
        <f t="shared" si="27"/>
        <v>0</v>
      </c>
      <c r="U21" s="1287">
        <f t="shared" si="27"/>
        <v>0</v>
      </c>
      <c r="V21" s="1287">
        <f t="shared" si="27"/>
        <v>0</v>
      </c>
      <c r="W21" s="1287">
        <f>+K21</f>
        <v>0</v>
      </c>
      <c r="X21" s="1287"/>
      <c r="Y21" s="1287">
        <f t="shared" ref="Y21:AC22" si="28">+X21</f>
        <v>0</v>
      </c>
      <c r="Z21" s="1287">
        <f t="shared" si="28"/>
        <v>0</v>
      </c>
      <c r="AA21" s="1287">
        <f t="shared" si="28"/>
        <v>0</v>
      </c>
      <c r="AB21" s="1287">
        <f t="shared" si="28"/>
        <v>0</v>
      </c>
      <c r="AC21" s="1287">
        <f t="shared" si="28"/>
        <v>0</v>
      </c>
      <c r="AD21" s="1284"/>
      <c r="AE21" s="1213">
        <f t="shared" si="1"/>
        <v>0</v>
      </c>
      <c r="AF21" s="1213">
        <f t="shared" si="2"/>
        <v>0</v>
      </c>
      <c r="AG21" s="1213">
        <f t="shared" si="3"/>
        <v>0</v>
      </c>
      <c r="AH21" s="2919">
        <f t="shared" si="4"/>
        <v>0</v>
      </c>
      <c r="AI21" s="1834"/>
      <c r="AJ21" s="417">
        <f t="shared" si="22"/>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3219">
        <v>0</v>
      </c>
      <c r="L22" s="1287">
        <v>0</v>
      </c>
      <c r="M22" s="1287">
        <f t="shared" si="26"/>
        <v>0</v>
      </c>
      <c r="N22" s="1287">
        <f t="shared" si="26"/>
        <v>0</v>
      </c>
      <c r="O22" s="1287">
        <f t="shared" si="26"/>
        <v>0</v>
      </c>
      <c r="P22" s="1287">
        <f t="shared" si="26"/>
        <v>0</v>
      </c>
      <c r="Q22" s="1287">
        <v>0</v>
      </c>
      <c r="R22" s="1287">
        <v>0</v>
      </c>
      <c r="S22" s="1287">
        <f t="shared" si="27"/>
        <v>0</v>
      </c>
      <c r="T22" s="1287">
        <f t="shared" si="27"/>
        <v>0</v>
      </c>
      <c r="U22" s="1287">
        <f t="shared" si="27"/>
        <v>0</v>
      </c>
      <c r="V22" s="1287">
        <f t="shared" si="27"/>
        <v>0</v>
      </c>
      <c r="W22" s="1287">
        <f>+K22</f>
        <v>0</v>
      </c>
      <c r="X22" s="1287"/>
      <c r="Y22" s="1287">
        <f t="shared" si="28"/>
        <v>0</v>
      </c>
      <c r="Z22" s="1287">
        <f t="shared" si="28"/>
        <v>0</v>
      </c>
      <c r="AA22" s="1287">
        <f t="shared" si="28"/>
        <v>0</v>
      </c>
      <c r="AB22" s="1287">
        <f t="shared" si="28"/>
        <v>0</v>
      </c>
      <c r="AC22" s="1287">
        <f t="shared" si="28"/>
        <v>0</v>
      </c>
      <c r="AD22" s="1284"/>
      <c r="AE22" s="1213">
        <f t="shared" si="1"/>
        <v>0</v>
      </c>
      <c r="AF22" s="1213">
        <f t="shared" si="2"/>
        <v>0</v>
      </c>
      <c r="AG22" s="1213">
        <f t="shared" si="3"/>
        <v>0</v>
      </c>
      <c r="AH22" s="2919">
        <f t="shared" si="4"/>
        <v>0</v>
      </c>
      <c r="AI22" s="1834"/>
      <c r="AJ22" s="417">
        <f t="shared" si="22"/>
        <v>0</v>
      </c>
      <c r="AK22" s="420"/>
    </row>
    <row r="23" spans="1:37" s="416" customFormat="1" ht="21">
      <c r="A23" s="2934" t="s">
        <v>14</v>
      </c>
      <c r="B23" s="1282" t="s">
        <v>14</v>
      </c>
      <c r="C23" s="1283" t="s">
        <v>1279</v>
      </c>
      <c r="D23" s="1213">
        <f t="shared" ref="D23:AC23" si="29">D24+D25</f>
        <v>0</v>
      </c>
      <c r="E23" s="2715">
        <f t="shared" si="29"/>
        <v>0</v>
      </c>
      <c r="F23" s="1213">
        <f t="shared" si="29"/>
        <v>0</v>
      </c>
      <c r="G23" s="1213">
        <f t="shared" si="29"/>
        <v>0</v>
      </c>
      <c r="H23" s="1213">
        <f t="shared" si="29"/>
        <v>0</v>
      </c>
      <c r="I23" s="1213">
        <f t="shared" si="29"/>
        <v>0</v>
      </c>
      <c r="J23" s="1213">
        <f t="shared" si="29"/>
        <v>0</v>
      </c>
      <c r="K23" s="3208">
        <f t="shared" si="29"/>
        <v>0</v>
      </c>
      <c r="L23" s="1213">
        <f t="shared" si="29"/>
        <v>0</v>
      </c>
      <c r="M23" s="1213">
        <f t="shared" si="29"/>
        <v>0</v>
      </c>
      <c r="N23" s="1213">
        <f t="shared" si="29"/>
        <v>0</v>
      </c>
      <c r="O23" s="1213">
        <f t="shared" si="29"/>
        <v>0</v>
      </c>
      <c r="P23" s="1213">
        <f t="shared" si="29"/>
        <v>0</v>
      </c>
      <c r="Q23" s="1213">
        <f t="shared" si="29"/>
        <v>0</v>
      </c>
      <c r="R23" s="1213">
        <f t="shared" si="29"/>
        <v>0</v>
      </c>
      <c r="S23" s="1213">
        <f t="shared" si="29"/>
        <v>0</v>
      </c>
      <c r="T23" s="1213">
        <f t="shared" si="29"/>
        <v>0</v>
      </c>
      <c r="U23" s="1213">
        <f t="shared" si="29"/>
        <v>0</v>
      </c>
      <c r="V23" s="1213">
        <f t="shared" si="29"/>
        <v>0</v>
      </c>
      <c r="W23" s="1213">
        <f t="shared" si="29"/>
        <v>0</v>
      </c>
      <c r="X23" s="1213">
        <f t="shared" si="29"/>
        <v>0</v>
      </c>
      <c r="Y23" s="1213">
        <f t="shared" si="29"/>
        <v>0</v>
      </c>
      <c r="Z23" s="1213">
        <f t="shared" si="29"/>
        <v>0</v>
      </c>
      <c r="AA23" s="1213">
        <f t="shared" si="29"/>
        <v>0</v>
      </c>
      <c r="AB23" s="1213">
        <f t="shared" si="29"/>
        <v>0</v>
      </c>
      <c r="AC23" s="1213">
        <f t="shared" si="29"/>
        <v>0</v>
      </c>
      <c r="AD23" s="1284"/>
      <c r="AE23" s="1213">
        <f t="shared" si="1"/>
        <v>0</v>
      </c>
      <c r="AF23" s="1213">
        <f t="shared" si="2"/>
        <v>0</v>
      </c>
      <c r="AG23" s="1213">
        <f t="shared" si="3"/>
        <v>0</v>
      </c>
      <c r="AH23" s="2919">
        <f t="shared" si="4"/>
        <v>0</v>
      </c>
      <c r="AI23" s="1829"/>
      <c r="AJ23" s="417">
        <f t="shared" si="22"/>
        <v>0</v>
      </c>
      <c r="AK23" s="412"/>
    </row>
    <row r="24" spans="1:37" s="416" customFormat="1" ht="15">
      <c r="A24" s="2934"/>
      <c r="B24" s="1289" t="s">
        <v>198</v>
      </c>
      <c r="C24" s="1284" t="s">
        <v>186</v>
      </c>
      <c r="D24" s="1213">
        <v>0</v>
      </c>
      <c r="E24" s="2715">
        <v>0</v>
      </c>
      <c r="F24" s="1213">
        <v>0</v>
      </c>
      <c r="G24" s="1213">
        <f t="shared" ref="G24:G31" si="30">+F24</f>
        <v>0</v>
      </c>
      <c r="H24" s="1213">
        <f t="shared" ref="H24:H31" si="31">+G24</f>
        <v>0</v>
      </c>
      <c r="I24" s="1213">
        <f t="shared" ref="I24:I31" si="32">+H24</f>
        <v>0</v>
      </c>
      <c r="J24" s="1291">
        <f t="shared" ref="J24:J31" si="33">+I24</f>
        <v>0</v>
      </c>
      <c r="K24" s="3219">
        <f>0</f>
        <v>0</v>
      </c>
      <c r="L24" s="1213">
        <v>0</v>
      </c>
      <c r="M24" s="1213">
        <f t="shared" ref="M24:M31" si="34">+L24</f>
        <v>0</v>
      </c>
      <c r="N24" s="1213">
        <f t="shared" ref="N24:N31" si="35">+M24</f>
        <v>0</v>
      </c>
      <c r="O24" s="1213">
        <f t="shared" ref="O24:O31" si="36">+N24</f>
        <v>0</v>
      </c>
      <c r="P24" s="1213">
        <f t="shared" ref="P24:P31" si="37">+O24</f>
        <v>0</v>
      </c>
      <c r="Q24" s="1213">
        <v>0</v>
      </c>
      <c r="R24" s="1213">
        <v>0</v>
      </c>
      <c r="S24" s="1213">
        <f t="shared" ref="S24:S31" si="38">+R24</f>
        <v>0</v>
      </c>
      <c r="T24" s="1213">
        <f t="shared" ref="T24:T31" si="39">+S24</f>
        <v>0</v>
      </c>
      <c r="U24" s="1213">
        <f t="shared" ref="U24:V27" si="40">+T24</f>
        <v>0</v>
      </c>
      <c r="V24" s="1213">
        <f t="shared" si="40"/>
        <v>0</v>
      </c>
      <c r="W24" s="1291">
        <f t="shared" ref="W24:W31" si="41">+K24</f>
        <v>0</v>
      </c>
      <c r="X24" s="1213"/>
      <c r="Y24" s="1213">
        <f t="shared" ref="Y24:Y31" si="42">+X24</f>
        <v>0</v>
      </c>
      <c r="Z24" s="1213">
        <f t="shared" ref="Z24:Z31" si="43">+Y24</f>
        <v>0</v>
      </c>
      <c r="AA24" s="1213">
        <f t="shared" ref="AA24:AA31" si="44">+Z24</f>
        <v>0</v>
      </c>
      <c r="AB24" s="1213">
        <f t="shared" ref="AB24:AB31" si="45">+AA24</f>
        <v>0</v>
      </c>
      <c r="AC24" s="1213">
        <f t="shared" ref="AC24:AC31" si="46">+AB24</f>
        <v>0</v>
      </c>
      <c r="AD24" s="1284"/>
      <c r="AE24" s="1213">
        <f t="shared" si="1"/>
        <v>0</v>
      </c>
      <c r="AF24" s="1213">
        <f t="shared" si="2"/>
        <v>0</v>
      </c>
      <c r="AG24" s="1213">
        <f t="shared" si="3"/>
        <v>0</v>
      </c>
      <c r="AH24" s="2919">
        <f t="shared" si="4"/>
        <v>0</v>
      </c>
      <c r="AI24" s="1829"/>
      <c r="AJ24" s="417">
        <f t="shared" si="22"/>
        <v>0</v>
      </c>
      <c r="AK24" s="412"/>
    </row>
    <row r="25" spans="1:37" s="424" customFormat="1" ht="15">
      <c r="A25" s="2933"/>
      <c r="B25" s="1289" t="s">
        <v>200</v>
      </c>
      <c r="C25" s="1286" t="s">
        <v>148</v>
      </c>
      <c r="D25" s="1287">
        <v>0</v>
      </c>
      <c r="E25" s="2716">
        <v>0</v>
      </c>
      <c r="F25" s="1287">
        <v>0</v>
      </c>
      <c r="G25" s="1287">
        <f>+F25</f>
        <v>0</v>
      </c>
      <c r="H25" s="1287">
        <f t="shared" si="31"/>
        <v>0</v>
      </c>
      <c r="I25" s="1287">
        <f t="shared" si="32"/>
        <v>0</v>
      </c>
      <c r="J25" s="1291">
        <f t="shared" si="33"/>
        <v>0</v>
      </c>
      <c r="K25" s="3219"/>
      <c r="L25" s="1287">
        <v>0</v>
      </c>
      <c r="M25" s="1287">
        <f t="shared" si="34"/>
        <v>0</v>
      </c>
      <c r="N25" s="1287">
        <f t="shared" si="35"/>
        <v>0</v>
      </c>
      <c r="O25" s="1287">
        <f t="shared" si="36"/>
        <v>0</v>
      </c>
      <c r="P25" s="1287">
        <f t="shared" si="37"/>
        <v>0</v>
      </c>
      <c r="Q25" s="1287">
        <v>0</v>
      </c>
      <c r="R25" s="1287">
        <v>0</v>
      </c>
      <c r="S25" s="1287">
        <f t="shared" si="38"/>
        <v>0</v>
      </c>
      <c r="T25" s="1287">
        <f t="shared" si="39"/>
        <v>0</v>
      </c>
      <c r="U25" s="1287">
        <f t="shared" si="40"/>
        <v>0</v>
      </c>
      <c r="V25" s="1287">
        <f t="shared" si="40"/>
        <v>0</v>
      </c>
      <c r="W25" s="1291">
        <f t="shared" si="41"/>
        <v>0</v>
      </c>
      <c r="X25" s="1287"/>
      <c r="Y25" s="1287">
        <f t="shared" si="42"/>
        <v>0</v>
      </c>
      <c r="Z25" s="1287">
        <f t="shared" si="43"/>
        <v>0</v>
      </c>
      <c r="AA25" s="1287">
        <f t="shared" si="44"/>
        <v>0</v>
      </c>
      <c r="AB25" s="1287">
        <f t="shared" si="45"/>
        <v>0</v>
      </c>
      <c r="AC25" s="1287">
        <f t="shared" si="46"/>
        <v>0</v>
      </c>
      <c r="AD25" s="1284"/>
      <c r="AE25" s="1213">
        <f t="shared" si="1"/>
        <v>0</v>
      </c>
      <c r="AF25" s="1213">
        <f t="shared" si="2"/>
        <v>0</v>
      </c>
      <c r="AG25" s="1213">
        <f t="shared" si="3"/>
        <v>0</v>
      </c>
      <c r="AH25" s="2919">
        <f t="shared" si="4"/>
        <v>0</v>
      </c>
      <c r="AI25" s="1834"/>
      <c r="AJ25" s="417">
        <f t="shared" si="22"/>
        <v>0</v>
      </c>
      <c r="AK25" s="420"/>
    </row>
    <row r="26" spans="1:37" s="424" customFormat="1" ht="15">
      <c r="A26" s="2933"/>
      <c r="B26" s="1289" t="s">
        <v>202</v>
      </c>
      <c r="C26" s="1290" t="s">
        <v>1280</v>
      </c>
      <c r="D26" s="1287">
        <v>0</v>
      </c>
      <c r="E26" s="2716">
        <v>0</v>
      </c>
      <c r="F26" s="1287">
        <v>0</v>
      </c>
      <c r="G26" s="1213">
        <f t="shared" si="30"/>
        <v>0</v>
      </c>
      <c r="H26" s="1213">
        <f t="shared" si="31"/>
        <v>0</v>
      </c>
      <c r="I26" s="1287">
        <f t="shared" si="32"/>
        <v>0</v>
      </c>
      <c r="J26" s="1291">
        <f t="shared" si="33"/>
        <v>0</v>
      </c>
      <c r="K26" s="3219">
        <v>0</v>
      </c>
      <c r="L26" s="1287">
        <v>0</v>
      </c>
      <c r="M26" s="1287">
        <f t="shared" si="34"/>
        <v>0</v>
      </c>
      <c r="N26" s="1287">
        <f t="shared" si="35"/>
        <v>0</v>
      </c>
      <c r="O26" s="1287">
        <f t="shared" si="36"/>
        <v>0</v>
      </c>
      <c r="P26" s="1287">
        <f t="shared" si="37"/>
        <v>0</v>
      </c>
      <c r="Q26" s="1287">
        <v>0</v>
      </c>
      <c r="R26" s="1287">
        <v>0</v>
      </c>
      <c r="S26" s="1287">
        <f t="shared" si="38"/>
        <v>0</v>
      </c>
      <c r="T26" s="1287">
        <f t="shared" si="39"/>
        <v>0</v>
      </c>
      <c r="U26" s="1287">
        <f t="shared" si="40"/>
        <v>0</v>
      </c>
      <c r="V26" s="1287">
        <f t="shared" si="40"/>
        <v>0</v>
      </c>
      <c r="W26" s="1291">
        <f t="shared" si="41"/>
        <v>0</v>
      </c>
      <c r="X26" s="1287"/>
      <c r="Y26" s="1287">
        <f t="shared" si="42"/>
        <v>0</v>
      </c>
      <c r="Z26" s="1287">
        <f t="shared" si="43"/>
        <v>0</v>
      </c>
      <c r="AA26" s="1287">
        <f t="shared" si="44"/>
        <v>0</v>
      </c>
      <c r="AB26" s="1287">
        <f t="shared" si="45"/>
        <v>0</v>
      </c>
      <c r="AC26" s="1287">
        <f t="shared" si="46"/>
        <v>0</v>
      </c>
      <c r="AD26" s="1284"/>
      <c r="AE26" s="1213">
        <f t="shared" si="1"/>
        <v>0</v>
      </c>
      <c r="AF26" s="1213">
        <f t="shared" si="2"/>
        <v>0</v>
      </c>
      <c r="AG26" s="1213">
        <f t="shared" si="3"/>
        <v>0</v>
      </c>
      <c r="AH26" s="2919">
        <f t="shared" si="4"/>
        <v>0</v>
      </c>
      <c r="AI26" s="1834"/>
      <c r="AJ26" s="417">
        <f t="shared" si="22"/>
        <v>0</v>
      </c>
      <c r="AK26" s="420"/>
    </row>
    <row r="27" spans="1:37" s="424" customFormat="1" ht="15">
      <c r="A27" s="2934" t="s">
        <v>15</v>
      </c>
      <c r="B27" s="1282" t="s">
        <v>15</v>
      </c>
      <c r="C27" s="1292" t="s">
        <v>150</v>
      </c>
      <c r="D27" s="1293">
        <v>0</v>
      </c>
      <c r="E27" s="2718">
        <v>0</v>
      </c>
      <c r="F27" s="1293">
        <v>0</v>
      </c>
      <c r="G27" s="1293">
        <f t="shared" si="30"/>
        <v>0</v>
      </c>
      <c r="H27" s="1293">
        <f t="shared" si="31"/>
        <v>0</v>
      </c>
      <c r="I27" s="1293">
        <f t="shared" si="32"/>
        <v>0</v>
      </c>
      <c r="J27" s="1293">
        <f t="shared" si="33"/>
        <v>0</v>
      </c>
      <c r="K27" s="3219">
        <v>0</v>
      </c>
      <c r="L27" s="1293">
        <v>0</v>
      </c>
      <c r="M27" s="1293">
        <f t="shared" si="34"/>
        <v>0</v>
      </c>
      <c r="N27" s="1293">
        <f t="shared" si="35"/>
        <v>0</v>
      </c>
      <c r="O27" s="1293">
        <f t="shared" si="36"/>
        <v>0</v>
      </c>
      <c r="P27" s="1293">
        <f t="shared" si="37"/>
        <v>0</v>
      </c>
      <c r="Q27" s="1293">
        <v>0</v>
      </c>
      <c r="R27" s="1293">
        <v>0</v>
      </c>
      <c r="S27" s="1293">
        <f t="shared" si="38"/>
        <v>0</v>
      </c>
      <c r="T27" s="1293">
        <f t="shared" si="39"/>
        <v>0</v>
      </c>
      <c r="U27" s="1293">
        <f t="shared" si="40"/>
        <v>0</v>
      </c>
      <c r="V27" s="1293">
        <f t="shared" si="40"/>
        <v>0</v>
      </c>
      <c r="W27" s="1293">
        <f t="shared" si="41"/>
        <v>0</v>
      </c>
      <c r="X27" s="1293"/>
      <c r="Y27" s="1293">
        <f t="shared" si="42"/>
        <v>0</v>
      </c>
      <c r="Z27" s="1293">
        <f t="shared" si="43"/>
        <v>0</v>
      </c>
      <c r="AA27" s="1293">
        <f t="shared" si="44"/>
        <v>0</v>
      </c>
      <c r="AB27" s="1293">
        <f t="shared" si="45"/>
        <v>0</v>
      </c>
      <c r="AC27" s="1293">
        <f t="shared" si="46"/>
        <v>0</v>
      </c>
      <c r="AD27" s="1284"/>
      <c r="AE27" s="1213">
        <f t="shared" si="1"/>
        <v>0</v>
      </c>
      <c r="AF27" s="1213">
        <f t="shared" si="2"/>
        <v>0</v>
      </c>
      <c r="AG27" s="1213">
        <f t="shared" si="3"/>
        <v>0</v>
      </c>
      <c r="AH27" s="2919">
        <f t="shared" si="4"/>
        <v>0</v>
      </c>
      <c r="AI27" s="1834"/>
      <c r="AJ27" s="417">
        <f t="shared" si="22"/>
        <v>0</v>
      </c>
      <c r="AK27" s="427"/>
    </row>
    <row r="28" spans="1:37" s="424" customFormat="1" ht="15">
      <c r="A28" s="2933"/>
      <c r="B28" s="1289" t="s">
        <v>212</v>
      </c>
      <c r="C28" s="1290" t="s">
        <v>1280</v>
      </c>
      <c r="D28" s="1287">
        <v>0</v>
      </c>
      <c r="E28" s="2716">
        <v>0</v>
      </c>
      <c r="F28" s="1287">
        <v>0</v>
      </c>
      <c r="G28" s="1287">
        <f t="shared" si="30"/>
        <v>0</v>
      </c>
      <c r="H28" s="1287">
        <f t="shared" si="31"/>
        <v>0</v>
      </c>
      <c r="I28" s="1287">
        <f t="shared" si="32"/>
        <v>0</v>
      </c>
      <c r="J28" s="1287">
        <f t="shared" si="33"/>
        <v>0</v>
      </c>
      <c r="K28" s="3219">
        <v>0</v>
      </c>
      <c r="L28" s="1287">
        <v>0</v>
      </c>
      <c r="M28" s="1287">
        <f t="shared" si="34"/>
        <v>0</v>
      </c>
      <c r="N28" s="1287">
        <f t="shared" si="35"/>
        <v>0</v>
      </c>
      <c r="O28" s="1287">
        <f t="shared" si="36"/>
        <v>0</v>
      </c>
      <c r="P28" s="1287">
        <f t="shared" si="37"/>
        <v>0</v>
      </c>
      <c r="Q28" s="1287">
        <v>0</v>
      </c>
      <c r="R28" s="1287">
        <f>+P28</f>
        <v>0</v>
      </c>
      <c r="S28" s="1287">
        <f t="shared" si="38"/>
        <v>0</v>
      </c>
      <c r="T28" s="1287">
        <f t="shared" si="39"/>
        <v>0</v>
      </c>
      <c r="U28" s="1287">
        <v>0</v>
      </c>
      <c r="V28" s="1287"/>
      <c r="W28" s="1287">
        <f t="shared" si="41"/>
        <v>0</v>
      </c>
      <c r="X28" s="1287"/>
      <c r="Y28" s="1287">
        <f t="shared" si="42"/>
        <v>0</v>
      </c>
      <c r="Z28" s="1287">
        <f t="shared" si="43"/>
        <v>0</v>
      </c>
      <c r="AA28" s="1287">
        <f t="shared" si="44"/>
        <v>0</v>
      </c>
      <c r="AB28" s="1287">
        <f t="shared" si="45"/>
        <v>0</v>
      </c>
      <c r="AC28" s="1287">
        <f t="shared" si="46"/>
        <v>0</v>
      </c>
      <c r="AD28" s="1284"/>
      <c r="AE28" s="1213">
        <f t="shared" si="1"/>
        <v>0</v>
      </c>
      <c r="AF28" s="1213">
        <f t="shared" si="2"/>
        <v>0</v>
      </c>
      <c r="AG28" s="1213">
        <f t="shared" si="3"/>
        <v>0</v>
      </c>
      <c r="AH28" s="2919">
        <f t="shared" si="4"/>
        <v>0</v>
      </c>
      <c r="AI28" s="1834"/>
      <c r="AJ28" s="417">
        <f t="shared" si="22"/>
        <v>0</v>
      </c>
      <c r="AK28" s="420"/>
    </row>
    <row r="29" spans="1:37" s="424" customFormat="1" ht="15">
      <c r="A29" s="2934" t="s">
        <v>17</v>
      </c>
      <c r="B29" s="1474" t="s">
        <v>17</v>
      </c>
      <c r="C29" s="1292" t="s">
        <v>153</v>
      </c>
      <c r="D29" s="1213">
        <v>0</v>
      </c>
      <c r="E29" s="2715">
        <v>0</v>
      </c>
      <c r="F29" s="1213">
        <v>0</v>
      </c>
      <c r="G29" s="1213">
        <f t="shared" si="30"/>
        <v>0</v>
      </c>
      <c r="H29" s="1213">
        <f t="shared" si="31"/>
        <v>0</v>
      </c>
      <c r="I29" s="1213">
        <f t="shared" si="32"/>
        <v>0</v>
      </c>
      <c r="J29" s="1213">
        <f t="shared" si="33"/>
        <v>0</v>
      </c>
      <c r="K29" s="3219"/>
      <c r="L29" s="1213">
        <v>0</v>
      </c>
      <c r="M29" s="1213">
        <f t="shared" si="34"/>
        <v>0</v>
      </c>
      <c r="N29" s="1213">
        <f t="shared" si="35"/>
        <v>0</v>
      </c>
      <c r="O29" s="1213">
        <f t="shared" si="36"/>
        <v>0</v>
      </c>
      <c r="P29" s="1213">
        <f t="shared" si="37"/>
        <v>0</v>
      </c>
      <c r="Q29" s="1213">
        <v>0</v>
      </c>
      <c r="R29" s="1213">
        <v>0</v>
      </c>
      <c r="S29" s="1213">
        <f t="shared" si="38"/>
        <v>0</v>
      </c>
      <c r="T29" s="1213">
        <f t="shared" si="39"/>
        <v>0</v>
      </c>
      <c r="U29" s="1213">
        <f t="shared" ref="U29:V31" si="47">+T29</f>
        <v>0</v>
      </c>
      <c r="V29" s="1213">
        <f t="shared" si="47"/>
        <v>0</v>
      </c>
      <c r="W29" s="1213">
        <f t="shared" si="41"/>
        <v>0</v>
      </c>
      <c r="X29" s="1213"/>
      <c r="Y29" s="1213">
        <f t="shared" si="42"/>
        <v>0</v>
      </c>
      <c r="Z29" s="1213">
        <f t="shared" si="43"/>
        <v>0</v>
      </c>
      <c r="AA29" s="1213">
        <f t="shared" si="44"/>
        <v>0</v>
      </c>
      <c r="AB29" s="1213">
        <f t="shared" si="45"/>
        <v>0</v>
      </c>
      <c r="AC29" s="1213">
        <f t="shared" si="46"/>
        <v>0</v>
      </c>
      <c r="AD29" s="1284"/>
      <c r="AE29" s="1213">
        <f t="shared" si="1"/>
        <v>0</v>
      </c>
      <c r="AF29" s="1213">
        <f t="shared" si="2"/>
        <v>0</v>
      </c>
      <c r="AG29" s="1213">
        <f t="shared" si="3"/>
        <v>0</v>
      </c>
      <c r="AH29" s="2919">
        <f t="shared" si="4"/>
        <v>0</v>
      </c>
      <c r="AI29" s="1829"/>
      <c r="AJ29" s="417">
        <f t="shared" si="22"/>
        <v>0</v>
      </c>
      <c r="AK29" s="412"/>
    </row>
    <row r="30" spans="1:37" s="416" customFormat="1" ht="15">
      <c r="A30" s="2934" t="s">
        <v>19</v>
      </c>
      <c r="B30" s="1282" t="s">
        <v>19</v>
      </c>
      <c r="C30" s="1292" t="s">
        <v>1281</v>
      </c>
      <c r="D30" s="1293">
        <v>0</v>
      </c>
      <c r="E30" s="2718">
        <v>0</v>
      </c>
      <c r="F30" s="1293">
        <v>0</v>
      </c>
      <c r="G30" s="1293">
        <f t="shared" si="30"/>
        <v>0</v>
      </c>
      <c r="H30" s="1293">
        <f t="shared" si="31"/>
        <v>0</v>
      </c>
      <c r="I30" s="1293">
        <f t="shared" si="32"/>
        <v>0</v>
      </c>
      <c r="J30" s="1293">
        <f t="shared" si="33"/>
        <v>0</v>
      </c>
      <c r="K30" s="3219">
        <v>0</v>
      </c>
      <c r="L30" s="1293">
        <v>0</v>
      </c>
      <c r="M30" s="1293">
        <f t="shared" si="34"/>
        <v>0</v>
      </c>
      <c r="N30" s="1293">
        <f t="shared" si="35"/>
        <v>0</v>
      </c>
      <c r="O30" s="1293">
        <f t="shared" si="36"/>
        <v>0</v>
      </c>
      <c r="P30" s="1293">
        <f t="shared" si="37"/>
        <v>0</v>
      </c>
      <c r="Q30" s="1293">
        <v>0</v>
      </c>
      <c r="R30" s="1293">
        <v>0</v>
      </c>
      <c r="S30" s="1293">
        <f t="shared" si="38"/>
        <v>0</v>
      </c>
      <c r="T30" s="1293">
        <f t="shared" si="39"/>
        <v>0</v>
      </c>
      <c r="U30" s="1293">
        <f t="shared" si="47"/>
        <v>0</v>
      </c>
      <c r="V30" s="1293">
        <f t="shared" si="47"/>
        <v>0</v>
      </c>
      <c r="W30" s="1293">
        <f t="shared" si="41"/>
        <v>0</v>
      </c>
      <c r="X30" s="1293"/>
      <c r="Y30" s="1293">
        <f t="shared" si="42"/>
        <v>0</v>
      </c>
      <c r="Z30" s="1293">
        <f t="shared" si="43"/>
        <v>0</v>
      </c>
      <c r="AA30" s="1293">
        <f t="shared" si="44"/>
        <v>0</v>
      </c>
      <c r="AB30" s="1293">
        <f t="shared" si="45"/>
        <v>0</v>
      </c>
      <c r="AC30" s="1293">
        <f t="shared" si="46"/>
        <v>0</v>
      </c>
      <c r="AD30" s="1284"/>
      <c r="AE30" s="1213">
        <f t="shared" si="1"/>
        <v>0</v>
      </c>
      <c r="AF30" s="1213">
        <f t="shared" si="2"/>
        <v>0</v>
      </c>
      <c r="AG30" s="1213">
        <f t="shared" si="3"/>
        <v>0</v>
      </c>
      <c r="AH30" s="2919">
        <f t="shared" si="4"/>
        <v>0</v>
      </c>
      <c r="AI30" s="1834"/>
      <c r="AJ30" s="417">
        <f t="shared" si="22"/>
        <v>0</v>
      </c>
      <c r="AK30" s="427"/>
    </row>
    <row r="31" spans="1:37" s="416" customFormat="1" ht="15">
      <c r="A31" s="2934" t="s">
        <v>21</v>
      </c>
      <c r="B31" s="1282" t="s">
        <v>21</v>
      </c>
      <c r="C31" s="1292" t="s">
        <v>393</v>
      </c>
      <c r="D31" s="1227">
        <v>0</v>
      </c>
      <c r="E31" s="2719">
        <v>0</v>
      </c>
      <c r="F31" s="1227">
        <v>0</v>
      </c>
      <c r="G31" s="1227">
        <f t="shared" si="30"/>
        <v>0</v>
      </c>
      <c r="H31" s="1227">
        <f t="shared" si="31"/>
        <v>0</v>
      </c>
      <c r="I31" s="1227">
        <f t="shared" si="32"/>
        <v>0</v>
      </c>
      <c r="J31" s="1227">
        <f t="shared" si="33"/>
        <v>0</v>
      </c>
      <c r="K31" s="3219">
        <v>0</v>
      </c>
      <c r="L31" s="1227">
        <v>0</v>
      </c>
      <c r="M31" s="1227">
        <f t="shared" si="34"/>
        <v>0</v>
      </c>
      <c r="N31" s="1227">
        <f t="shared" si="35"/>
        <v>0</v>
      </c>
      <c r="O31" s="1227">
        <f t="shared" si="36"/>
        <v>0</v>
      </c>
      <c r="P31" s="1227">
        <f t="shared" si="37"/>
        <v>0</v>
      </c>
      <c r="Q31" s="1227">
        <v>0</v>
      </c>
      <c r="R31" s="1227">
        <v>0</v>
      </c>
      <c r="S31" s="1227">
        <f t="shared" si="38"/>
        <v>0</v>
      </c>
      <c r="T31" s="1227">
        <f t="shared" si="39"/>
        <v>0</v>
      </c>
      <c r="U31" s="1227">
        <f t="shared" si="47"/>
        <v>0</v>
      </c>
      <c r="V31" s="1227">
        <f t="shared" si="47"/>
        <v>0</v>
      </c>
      <c r="W31" s="1227">
        <f t="shared" si="41"/>
        <v>0</v>
      </c>
      <c r="X31" s="1227"/>
      <c r="Y31" s="1227">
        <f t="shared" si="42"/>
        <v>0</v>
      </c>
      <c r="Z31" s="1227">
        <f t="shared" si="43"/>
        <v>0</v>
      </c>
      <c r="AA31" s="1227">
        <f t="shared" si="44"/>
        <v>0</v>
      </c>
      <c r="AB31" s="1227">
        <f t="shared" si="45"/>
        <v>0</v>
      </c>
      <c r="AC31" s="1227">
        <f t="shared" si="46"/>
        <v>0</v>
      </c>
      <c r="AD31" s="1284"/>
      <c r="AE31" s="1213">
        <f t="shared" si="1"/>
        <v>0</v>
      </c>
      <c r="AF31" s="1213">
        <f t="shared" si="2"/>
        <v>0</v>
      </c>
      <c r="AG31" s="1213">
        <f t="shared" si="3"/>
        <v>0</v>
      </c>
      <c r="AH31" s="2919">
        <f t="shared" si="4"/>
        <v>0</v>
      </c>
      <c r="AI31" s="1834"/>
      <c r="AJ31" s="417">
        <f t="shared" si="22"/>
        <v>0</v>
      </c>
      <c r="AK31" s="430"/>
    </row>
    <row r="32" spans="1:37" s="416" customFormat="1" ht="15">
      <c r="A32" s="2934" t="s">
        <v>23</v>
      </c>
      <c r="B32" s="1474" t="s">
        <v>23</v>
      </c>
      <c r="C32" s="1292" t="s">
        <v>1282</v>
      </c>
      <c r="D32" s="1213">
        <f t="shared" ref="D32:AC32" si="48">+D8+D20+D23+D27+D29+D30+D31</f>
        <v>202929</v>
      </c>
      <c r="E32" s="2715">
        <f>+E8+E20+E23+E27+E29+E30+E31</f>
        <v>79415</v>
      </c>
      <c r="F32" s="1213">
        <f t="shared" si="48"/>
        <v>50543</v>
      </c>
      <c r="G32" s="1213">
        <f t="shared" si="48"/>
        <v>50543</v>
      </c>
      <c r="H32" s="1213">
        <f t="shared" si="48"/>
        <v>50543</v>
      </c>
      <c r="I32" s="1213">
        <f t="shared" si="48"/>
        <v>64897</v>
      </c>
      <c r="J32" s="1213">
        <f t="shared" si="48"/>
        <v>64897</v>
      </c>
      <c r="K32" s="3208">
        <f t="shared" si="48"/>
        <v>64897</v>
      </c>
      <c r="L32" s="1213">
        <f t="shared" si="48"/>
        <v>0</v>
      </c>
      <c r="M32" s="1213">
        <f t="shared" si="48"/>
        <v>0</v>
      </c>
      <c r="N32" s="1213">
        <f t="shared" si="48"/>
        <v>0</v>
      </c>
      <c r="O32" s="1213">
        <f t="shared" si="48"/>
        <v>0</v>
      </c>
      <c r="P32" s="1213">
        <f t="shared" si="48"/>
        <v>0</v>
      </c>
      <c r="Q32" s="1213">
        <f t="shared" si="48"/>
        <v>0</v>
      </c>
      <c r="R32" s="1213">
        <f t="shared" si="48"/>
        <v>50543</v>
      </c>
      <c r="S32" s="1213">
        <f t="shared" si="48"/>
        <v>50543</v>
      </c>
      <c r="T32" s="1213">
        <f t="shared" si="48"/>
        <v>50543</v>
      </c>
      <c r="U32" s="1213">
        <f t="shared" si="48"/>
        <v>64897</v>
      </c>
      <c r="V32" s="1213">
        <f t="shared" si="48"/>
        <v>64897</v>
      </c>
      <c r="W32" s="1213">
        <f t="shared" si="48"/>
        <v>64897</v>
      </c>
      <c r="X32" s="1213">
        <f t="shared" si="48"/>
        <v>0</v>
      </c>
      <c r="Y32" s="1213">
        <f t="shared" si="48"/>
        <v>0</v>
      </c>
      <c r="Z32" s="1213">
        <f t="shared" si="48"/>
        <v>0</v>
      </c>
      <c r="AA32" s="1213">
        <f t="shared" si="48"/>
        <v>0</v>
      </c>
      <c r="AB32" s="1213">
        <f t="shared" si="48"/>
        <v>0</v>
      </c>
      <c r="AC32" s="1213">
        <f t="shared" si="48"/>
        <v>0</v>
      </c>
      <c r="AD32" s="1283"/>
      <c r="AE32" s="1213">
        <f t="shared" si="1"/>
        <v>0</v>
      </c>
      <c r="AF32" s="1213">
        <f t="shared" si="2"/>
        <v>0</v>
      </c>
      <c r="AG32" s="1213">
        <f t="shared" si="3"/>
        <v>14354</v>
      </c>
      <c r="AH32" s="2919">
        <f t="shared" si="4"/>
        <v>0</v>
      </c>
      <c r="AI32" s="1829">
        <f>+K32/I32</f>
        <v>1</v>
      </c>
      <c r="AJ32" s="417">
        <f t="shared" si="22"/>
        <v>-152386</v>
      </c>
      <c r="AK32" s="412"/>
    </row>
    <row r="33" spans="1:38" s="424" customFormat="1" ht="15">
      <c r="A33" s="2975" t="s">
        <v>25</v>
      </c>
      <c r="B33" s="1282" t="s">
        <v>25</v>
      </c>
      <c r="C33" s="1292" t="s">
        <v>1305</v>
      </c>
      <c r="D33" s="1213">
        <f t="shared" ref="D33:AC33" si="49">SUM(D34:D36)</f>
        <v>156481373</v>
      </c>
      <c r="E33" s="2715">
        <f>SUM(E34:E36)</f>
        <v>157977096</v>
      </c>
      <c r="F33" s="1213">
        <f t="shared" si="49"/>
        <v>196862924</v>
      </c>
      <c r="G33" s="1213">
        <f t="shared" si="49"/>
        <v>199167851</v>
      </c>
      <c r="H33" s="1213">
        <f t="shared" si="49"/>
        <v>199513151</v>
      </c>
      <c r="I33" s="1213">
        <f t="shared" si="49"/>
        <v>200635249</v>
      </c>
      <c r="J33" s="1213">
        <f t="shared" si="49"/>
        <v>200635249</v>
      </c>
      <c r="K33" s="3208">
        <f>SUM(K34:K36)</f>
        <v>200635249</v>
      </c>
      <c r="L33" s="1213">
        <f t="shared" si="49"/>
        <v>0</v>
      </c>
      <c r="M33" s="1213">
        <f t="shared" si="49"/>
        <v>0</v>
      </c>
      <c r="N33" s="1213">
        <f t="shared" si="49"/>
        <v>0</v>
      </c>
      <c r="O33" s="1213">
        <f t="shared" si="49"/>
        <v>0</v>
      </c>
      <c r="P33" s="1213">
        <f t="shared" si="49"/>
        <v>0</v>
      </c>
      <c r="Q33" s="1213">
        <f t="shared" si="49"/>
        <v>0</v>
      </c>
      <c r="R33" s="1213">
        <f t="shared" si="49"/>
        <v>196862924</v>
      </c>
      <c r="S33" s="1213">
        <f t="shared" si="49"/>
        <v>199167851</v>
      </c>
      <c r="T33" s="1213">
        <f t="shared" si="49"/>
        <v>199513151</v>
      </c>
      <c r="U33" s="1213">
        <f t="shared" si="49"/>
        <v>200635249</v>
      </c>
      <c r="V33" s="1213">
        <f t="shared" si="49"/>
        <v>200635249</v>
      </c>
      <c r="W33" s="1213">
        <f t="shared" si="49"/>
        <v>200635249</v>
      </c>
      <c r="X33" s="1213">
        <f t="shared" si="49"/>
        <v>0</v>
      </c>
      <c r="Y33" s="1213">
        <f t="shared" si="49"/>
        <v>0</v>
      </c>
      <c r="Z33" s="1213">
        <f t="shared" si="49"/>
        <v>0</v>
      </c>
      <c r="AA33" s="1213">
        <f t="shared" si="49"/>
        <v>0</v>
      </c>
      <c r="AB33" s="1213">
        <f t="shared" si="49"/>
        <v>0</v>
      </c>
      <c r="AC33" s="1213">
        <f t="shared" si="49"/>
        <v>0</v>
      </c>
      <c r="AD33" s="1284"/>
      <c r="AE33" s="1213">
        <f t="shared" si="1"/>
        <v>2304927</v>
      </c>
      <c r="AF33" s="1213">
        <f t="shared" si="2"/>
        <v>345300</v>
      </c>
      <c r="AG33" s="1213">
        <f t="shared" si="3"/>
        <v>1122098</v>
      </c>
      <c r="AH33" s="2919">
        <f t="shared" si="4"/>
        <v>0</v>
      </c>
      <c r="AI33" s="1829">
        <f>+K33/I33</f>
        <v>1</v>
      </c>
      <c r="AJ33" s="417">
        <f t="shared" si="22"/>
        <v>40381551</v>
      </c>
      <c r="AK33" s="412"/>
    </row>
    <row r="34" spans="1:38" s="424" customFormat="1" ht="15">
      <c r="A34" s="2975"/>
      <c r="B34" s="1477" t="s">
        <v>1284</v>
      </c>
      <c r="C34" s="1286" t="s">
        <v>1285</v>
      </c>
      <c r="D34" s="1291">
        <v>0</v>
      </c>
      <c r="E34" s="2717">
        <v>1423209</v>
      </c>
      <c r="F34" s="1291">
        <v>0</v>
      </c>
      <c r="G34" s="1227">
        <f>+F34+2042799</f>
        <v>2042799</v>
      </c>
      <c r="H34" s="1227">
        <f t="shared" ref="G34:J36" si="50">+G34</f>
        <v>2042799</v>
      </c>
      <c r="I34" s="1227">
        <f t="shared" si="50"/>
        <v>2042799</v>
      </c>
      <c r="J34" s="1227">
        <f t="shared" si="50"/>
        <v>2042799</v>
      </c>
      <c r="K34" s="3220">
        <v>2042799</v>
      </c>
      <c r="L34" s="1291">
        <v>0</v>
      </c>
      <c r="M34" s="1291">
        <f t="shared" ref="M34:P36" si="51">+L34</f>
        <v>0</v>
      </c>
      <c r="N34" s="1291">
        <f t="shared" si="51"/>
        <v>0</v>
      </c>
      <c r="O34" s="1291">
        <f t="shared" si="51"/>
        <v>0</v>
      </c>
      <c r="P34" s="1291">
        <f t="shared" si="51"/>
        <v>0</v>
      </c>
      <c r="Q34" s="1291">
        <v>0</v>
      </c>
      <c r="R34" s="1291">
        <f>+F34</f>
        <v>0</v>
      </c>
      <c r="S34" s="1227">
        <f>+R34+2042799</f>
        <v>2042799</v>
      </c>
      <c r="T34" s="1213">
        <f t="shared" ref="S34:V36" si="52">+S34</f>
        <v>2042799</v>
      </c>
      <c r="U34" s="1291">
        <f t="shared" si="52"/>
        <v>2042799</v>
      </c>
      <c r="V34" s="1291">
        <f t="shared" si="52"/>
        <v>2042799</v>
      </c>
      <c r="W34" s="1291">
        <f>+K34</f>
        <v>2042799</v>
      </c>
      <c r="X34" s="1213"/>
      <c r="Y34" s="1213">
        <f t="shared" ref="Y34:AC36" si="53">+X34</f>
        <v>0</v>
      </c>
      <c r="Z34" s="1213">
        <f t="shared" si="53"/>
        <v>0</v>
      </c>
      <c r="AA34" s="1213">
        <f t="shared" si="53"/>
        <v>0</v>
      </c>
      <c r="AB34" s="1213">
        <f t="shared" si="53"/>
        <v>0</v>
      </c>
      <c r="AC34" s="1213">
        <f t="shared" si="53"/>
        <v>0</v>
      </c>
      <c r="AD34" s="2947"/>
      <c r="AE34" s="1213">
        <f t="shared" si="1"/>
        <v>2042799</v>
      </c>
      <c r="AF34" s="1213">
        <f t="shared" si="2"/>
        <v>0</v>
      </c>
      <c r="AG34" s="1213">
        <f t="shared" si="3"/>
        <v>0</v>
      </c>
      <c r="AH34" s="2919">
        <f t="shared" si="4"/>
        <v>0</v>
      </c>
      <c r="AI34" s="1834">
        <f>+K34/I34</f>
        <v>1</v>
      </c>
      <c r="AJ34" s="417">
        <f t="shared" si="22"/>
        <v>0</v>
      </c>
      <c r="AK34" s="548"/>
    </row>
    <row r="35" spans="1:38" s="424" customFormat="1" ht="15">
      <c r="A35" s="2933"/>
      <c r="B35" s="1477" t="s">
        <v>1286</v>
      </c>
      <c r="C35" s="1286" t="s">
        <v>1287</v>
      </c>
      <c r="D35" s="1227">
        <v>0</v>
      </c>
      <c r="E35" s="2719">
        <v>0</v>
      </c>
      <c r="F35" s="1227">
        <v>0</v>
      </c>
      <c r="G35" s="1227">
        <f t="shared" si="50"/>
        <v>0</v>
      </c>
      <c r="H35" s="1227">
        <f t="shared" si="50"/>
        <v>0</v>
      </c>
      <c r="I35" s="1227">
        <f t="shared" si="50"/>
        <v>0</v>
      </c>
      <c r="J35" s="1227">
        <f t="shared" si="50"/>
        <v>0</v>
      </c>
      <c r="K35" s="3209">
        <v>0</v>
      </c>
      <c r="L35" s="1227">
        <v>0</v>
      </c>
      <c r="M35" s="1227">
        <f t="shared" si="51"/>
        <v>0</v>
      </c>
      <c r="N35" s="1227">
        <f t="shared" si="51"/>
        <v>0</v>
      </c>
      <c r="O35" s="1227">
        <f t="shared" si="51"/>
        <v>0</v>
      </c>
      <c r="P35" s="1227">
        <f t="shared" si="51"/>
        <v>0</v>
      </c>
      <c r="Q35" s="1227">
        <v>0</v>
      </c>
      <c r="R35" s="1227">
        <v>0</v>
      </c>
      <c r="S35" s="1227">
        <f t="shared" si="52"/>
        <v>0</v>
      </c>
      <c r="T35" s="1227">
        <f t="shared" si="52"/>
        <v>0</v>
      </c>
      <c r="U35" s="1227">
        <f t="shared" si="52"/>
        <v>0</v>
      </c>
      <c r="V35" s="1227">
        <f t="shared" si="52"/>
        <v>0</v>
      </c>
      <c r="W35" s="1227">
        <f>+K35</f>
        <v>0</v>
      </c>
      <c r="X35" s="1227"/>
      <c r="Y35" s="1227">
        <f t="shared" si="53"/>
        <v>0</v>
      </c>
      <c r="Z35" s="1227">
        <f t="shared" si="53"/>
        <v>0</v>
      </c>
      <c r="AA35" s="1227">
        <f t="shared" si="53"/>
        <v>0</v>
      </c>
      <c r="AB35" s="1227">
        <f t="shared" si="53"/>
        <v>0</v>
      </c>
      <c r="AC35" s="1227">
        <f t="shared" si="53"/>
        <v>0</v>
      </c>
      <c r="AD35" s="1284"/>
      <c r="AE35" s="1213">
        <f t="shared" si="1"/>
        <v>0</v>
      </c>
      <c r="AF35" s="1213">
        <f t="shared" si="2"/>
        <v>0</v>
      </c>
      <c r="AG35" s="1213">
        <f t="shared" si="3"/>
        <v>0</v>
      </c>
      <c r="AH35" s="2919">
        <f t="shared" si="4"/>
        <v>0</v>
      </c>
      <c r="AI35" s="1834"/>
      <c r="AJ35" s="417">
        <f t="shared" si="22"/>
        <v>0</v>
      </c>
      <c r="AK35" s="430"/>
    </row>
    <row r="36" spans="1:38" s="424" customFormat="1" ht="15">
      <c r="A36" s="2976"/>
      <c r="B36" s="1477" t="s">
        <v>1288</v>
      </c>
      <c r="C36" s="1286" t="s">
        <v>1289</v>
      </c>
      <c r="D36" s="1227">
        <v>156481373</v>
      </c>
      <c r="E36" s="2719">
        <v>156553887</v>
      </c>
      <c r="F36" s="1227">
        <v>196862924</v>
      </c>
      <c r="G36" s="1227">
        <f>+F36+262128</f>
        <v>197125052</v>
      </c>
      <c r="H36" s="1227">
        <f>+G36+9000*12+237300</f>
        <v>197470352</v>
      </c>
      <c r="I36" s="1227">
        <f>+H36+169500+952598</f>
        <v>198592450</v>
      </c>
      <c r="J36" s="1227">
        <f t="shared" si="50"/>
        <v>198592450</v>
      </c>
      <c r="K36" s="3209">
        <v>198592450</v>
      </c>
      <c r="L36" s="1227">
        <v>0</v>
      </c>
      <c r="M36" s="1227">
        <f t="shared" si="51"/>
        <v>0</v>
      </c>
      <c r="N36" s="1227">
        <f t="shared" si="51"/>
        <v>0</v>
      </c>
      <c r="O36" s="1227">
        <f t="shared" si="51"/>
        <v>0</v>
      </c>
      <c r="P36" s="1227">
        <f t="shared" si="51"/>
        <v>0</v>
      </c>
      <c r="Q36" s="1227">
        <v>0</v>
      </c>
      <c r="R36" s="1227">
        <f>+F36</f>
        <v>196862924</v>
      </c>
      <c r="S36" s="1227">
        <f>+R36+262128</f>
        <v>197125052</v>
      </c>
      <c r="T36" s="1227">
        <f>+S36+9000*12+237300</f>
        <v>197470352</v>
      </c>
      <c r="U36" s="1227">
        <f>+T36+169500+952598</f>
        <v>198592450</v>
      </c>
      <c r="V36" s="1227">
        <f t="shared" si="52"/>
        <v>198592450</v>
      </c>
      <c r="W36" s="1227">
        <f>+K36</f>
        <v>198592450</v>
      </c>
      <c r="X36" s="1227"/>
      <c r="Y36" s="1227">
        <f t="shared" si="53"/>
        <v>0</v>
      </c>
      <c r="Z36" s="1227">
        <f t="shared" si="53"/>
        <v>0</v>
      </c>
      <c r="AA36" s="1227">
        <f t="shared" si="53"/>
        <v>0</v>
      </c>
      <c r="AB36" s="1227">
        <f t="shared" si="53"/>
        <v>0</v>
      </c>
      <c r="AC36" s="1227">
        <f t="shared" si="53"/>
        <v>0</v>
      </c>
      <c r="AD36" s="1284"/>
      <c r="AE36" s="1213">
        <f t="shared" si="1"/>
        <v>262128</v>
      </c>
      <c r="AF36" s="1213">
        <f t="shared" si="2"/>
        <v>345300</v>
      </c>
      <c r="AG36" s="1213">
        <f t="shared" si="3"/>
        <v>1122098</v>
      </c>
      <c r="AH36" s="2919">
        <f t="shared" si="4"/>
        <v>0</v>
      </c>
      <c r="AI36" s="1834">
        <f>+K36/I36</f>
        <v>1</v>
      </c>
      <c r="AJ36" s="417">
        <f t="shared" si="22"/>
        <v>40381551</v>
      </c>
      <c r="AK36" s="430"/>
    </row>
    <row r="37" spans="1:38" s="405" customFormat="1" ht="15.75">
      <c r="A37" s="2975" t="s">
        <v>27</v>
      </c>
      <c r="B37" s="1475" t="s">
        <v>27</v>
      </c>
      <c r="C37" s="1297" t="s">
        <v>1290</v>
      </c>
      <c r="D37" s="1298">
        <f t="shared" ref="D37:AC37" si="54">+D32+D33</f>
        <v>156684302</v>
      </c>
      <c r="E37" s="2720">
        <f t="shared" si="54"/>
        <v>158056511</v>
      </c>
      <c r="F37" s="1298">
        <f t="shared" si="54"/>
        <v>196913467</v>
      </c>
      <c r="G37" s="1298">
        <f t="shared" si="54"/>
        <v>199218394</v>
      </c>
      <c r="H37" s="1298">
        <f t="shared" si="54"/>
        <v>199563694</v>
      </c>
      <c r="I37" s="1298">
        <f t="shared" si="54"/>
        <v>200700146</v>
      </c>
      <c r="J37" s="1298">
        <f t="shared" si="54"/>
        <v>200700146</v>
      </c>
      <c r="K37" s="3210">
        <f t="shared" si="54"/>
        <v>200700146</v>
      </c>
      <c r="L37" s="1298">
        <f t="shared" si="54"/>
        <v>0</v>
      </c>
      <c r="M37" s="1298">
        <f t="shared" si="54"/>
        <v>0</v>
      </c>
      <c r="N37" s="1298">
        <f t="shared" si="54"/>
        <v>0</v>
      </c>
      <c r="O37" s="1298">
        <f t="shared" si="54"/>
        <v>0</v>
      </c>
      <c r="P37" s="1298">
        <f t="shared" si="54"/>
        <v>0</v>
      </c>
      <c r="Q37" s="1298">
        <f t="shared" si="54"/>
        <v>0</v>
      </c>
      <c r="R37" s="1298">
        <f t="shared" si="54"/>
        <v>196913467</v>
      </c>
      <c r="S37" s="1298">
        <f t="shared" si="54"/>
        <v>199218394</v>
      </c>
      <c r="T37" s="1298">
        <f t="shared" si="54"/>
        <v>199563694</v>
      </c>
      <c r="U37" s="1298">
        <f t="shared" si="54"/>
        <v>200700146</v>
      </c>
      <c r="V37" s="1298">
        <f t="shared" si="54"/>
        <v>200700146</v>
      </c>
      <c r="W37" s="1298">
        <f t="shared" si="54"/>
        <v>200700146</v>
      </c>
      <c r="X37" s="1298">
        <f t="shared" si="54"/>
        <v>0</v>
      </c>
      <c r="Y37" s="1298">
        <f t="shared" si="54"/>
        <v>0</v>
      </c>
      <c r="Z37" s="1298">
        <f t="shared" si="54"/>
        <v>0</v>
      </c>
      <c r="AA37" s="1298">
        <f t="shared" si="54"/>
        <v>0</v>
      </c>
      <c r="AB37" s="1298">
        <f t="shared" si="54"/>
        <v>0</v>
      </c>
      <c r="AC37" s="1298">
        <f t="shared" si="54"/>
        <v>0</v>
      </c>
      <c r="AD37" s="1284"/>
      <c r="AE37" s="1213">
        <f t="shared" si="1"/>
        <v>2304927</v>
      </c>
      <c r="AF37" s="1213">
        <f t="shared" si="2"/>
        <v>345300</v>
      </c>
      <c r="AG37" s="1213">
        <f t="shared" si="3"/>
        <v>1136452</v>
      </c>
      <c r="AH37" s="2919">
        <f t="shared" si="4"/>
        <v>0</v>
      </c>
      <c r="AI37" s="1829">
        <f>+K37/I37</f>
        <v>1</v>
      </c>
      <c r="AJ37" s="417">
        <f t="shared" si="22"/>
        <v>40229165</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58"/>
      <c r="AJ38" s="417"/>
      <c r="AK38" s="436"/>
    </row>
    <row r="39" spans="1:38" ht="15">
      <c r="A39" s="2932"/>
      <c r="B39" s="1285"/>
      <c r="C39" s="1548" t="str">
        <f t="shared" ref="C39:T40" si="55">+C4</f>
        <v>A</v>
      </c>
      <c r="D39" s="1549" t="str">
        <f t="shared" si="55"/>
        <v>B</v>
      </c>
      <c r="E39" s="2960" t="str">
        <f t="shared" si="55"/>
        <v>B</v>
      </c>
      <c r="F39" s="1345" t="str">
        <f t="shared" si="55"/>
        <v>B</v>
      </c>
      <c r="G39" s="1345" t="str">
        <f t="shared" si="55"/>
        <v>D</v>
      </c>
      <c r="H39" s="1345" t="str">
        <f t="shared" si="55"/>
        <v>E</v>
      </c>
      <c r="I39" s="1345" t="str">
        <f t="shared" si="55"/>
        <v>C</v>
      </c>
      <c r="J39" s="1345" t="str">
        <f t="shared" si="55"/>
        <v>F</v>
      </c>
      <c r="K39" s="1345" t="str">
        <f t="shared" si="55"/>
        <v>D</v>
      </c>
      <c r="L39" s="1345" t="str">
        <f t="shared" si="55"/>
        <v>E</v>
      </c>
      <c r="M39" s="1345" t="str">
        <f t="shared" si="55"/>
        <v>F</v>
      </c>
      <c r="N39" s="1345" t="str">
        <f t="shared" si="55"/>
        <v>F</v>
      </c>
      <c r="O39" s="1345" t="str">
        <f t="shared" si="55"/>
        <v>E</v>
      </c>
      <c r="P39" s="1345">
        <f t="shared" si="55"/>
        <v>0</v>
      </c>
      <c r="Q39" s="1345" t="str">
        <f t="shared" si="55"/>
        <v>F</v>
      </c>
      <c r="R39" s="1345" t="str">
        <f t="shared" si="55"/>
        <v>E</v>
      </c>
      <c r="S39" s="1345" t="str">
        <f t="shared" si="55"/>
        <v>E</v>
      </c>
      <c r="T39" s="1345" t="str">
        <f t="shared" si="55"/>
        <v>G</v>
      </c>
      <c r="U39" s="1345" t="str">
        <f t="shared" ref="U39:AI39" si="56">+U4</f>
        <v>G</v>
      </c>
      <c r="V39" s="1345">
        <f t="shared" si="56"/>
        <v>0</v>
      </c>
      <c r="W39" s="1345" t="str">
        <f t="shared" si="56"/>
        <v>H</v>
      </c>
      <c r="X39" s="1345">
        <f t="shared" si="56"/>
        <v>0</v>
      </c>
      <c r="Y39" s="1345">
        <f t="shared" si="56"/>
        <v>0</v>
      </c>
      <c r="Z39" s="1345">
        <f t="shared" si="56"/>
        <v>0</v>
      </c>
      <c r="AA39" s="1345">
        <f t="shared" si="56"/>
        <v>0</v>
      </c>
      <c r="AB39" s="1345">
        <f t="shared" si="56"/>
        <v>0</v>
      </c>
      <c r="AC39" s="1345">
        <f t="shared" si="56"/>
        <v>0</v>
      </c>
      <c r="AD39" s="1345"/>
      <c r="AE39" s="1345"/>
      <c r="AF39" s="1345" t="str">
        <f>+AF4</f>
        <v>H</v>
      </c>
      <c r="AG39" s="1301" t="str">
        <f>+AG4</f>
        <v>I</v>
      </c>
      <c r="AH39" s="2944"/>
      <c r="AI39" s="1859" t="str">
        <f t="shared" si="56"/>
        <v>I</v>
      </c>
      <c r="AJ39" s="417"/>
      <c r="AK39" s="1549"/>
      <c r="AL39" s="439"/>
    </row>
    <row r="40" spans="1:38" ht="73.5">
      <c r="A40" s="2933"/>
      <c r="B40" s="1278" t="s">
        <v>6</v>
      </c>
      <c r="C40" s="1276" t="str">
        <f t="shared" si="55"/>
        <v>Kiemelt előirányzat, előirányzat megnevezése</v>
      </c>
      <c r="D40" s="1278" t="str">
        <f t="shared" si="55"/>
        <v>2024. évi eredeti előirányzat
forintban</v>
      </c>
      <c r="E40" s="2596" t="str">
        <f>+E5</f>
        <v>2024. évi teljesítés forintban</v>
      </c>
      <c r="F40" s="1276" t="str">
        <f t="shared" si="55"/>
        <v>2025. évi eredeti előirányzat forintban</v>
      </c>
      <c r="G40" s="1276" t="str">
        <f t="shared" ref="G40:AJ40" si="57">+G5</f>
        <v>2025. évi I. számú módosított előirányzat
forintban</v>
      </c>
      <c r="H40" s="1276" t="str">
        <f t="shared" si="57"/>
        <v>2025. évi II. számú módosított előirányzat forintban</v>
      </c>
      <c r="I40" s="1276" t="str">
        <f t="shared" si="57"/>
        <v>2025. évi III. számú módosított előirányzat forintban</v>
      </c>
      <c r="J40" s="1276" t="str">
        <f t="shared" si="57"/>
        <v>2025. évi IV. számú módosított előirányzat forintban</v>
      </c>
      <c r="K40" s="3197" t="str">
        <f t="shared" si="57"/>
        <v>2025. évi
teljesítés forintban</v>
      </c>
      <c r="L40" s="1276" t="str">
        <f t="shared" si="57"/>
        <v>Önként vállalt feladat forintban</v>
      </c>
      <c r="M40" s="1276" t="str">
        <f t="shared" si="57"/>
        <v>Önként vállalt feladat I. módosítás
forintban</v>
      </c>
      <c r="N40" s="1276" t="str">
        <f t="shared" si="57"/>
        <v>Önként vállalt feladat II. módosítás forintban</v>
      </c>
      <c r="O40" s="1276" t="str">
        <f t="shared" si="57"/>
        <v>Önként vállalt feladat III. módosítás forintban</v>
      </c>
      <c r="P40" s="1276" t="str">
        <f t="shared" si="57"/>
        <v>Önként vállalt feladat IV. módosítás  forintban</v>
      </c>
      <c r="Q40" s="1276" t="str">
        <f t="shared" si="57"/>
        <v>Önként vállalt teljesítés  forintban</v>
      </c>
      <c r="R40" s="1276" t="str">
        <f t="shared" si="57"/>
        <v>Kötelező feladat forintban</v>
      </c>
      <c r="S40" s="1276" t="str">
        <f t="shared" si="57"/>
        <v>Kötelező feladat 
I. módosítás
forintban</v>
      </c>
      <c r="T40" s="1276" t="str">
        <f t="shared" si="57"/>
        <v>Kötelező feladat II. módosítás forintban</v>
      </c>
      <c r="U40" s="1276" t="str">
        <f t="shared" si="57"/>
        <v>Kötelező feladat III. módosítás  forintban</v>
      </c>
      <c r="V40" s="1278" t="str">
        <f t="shared" si="57"/>
        <v>Kötelező feladat IV. módosítás  forintban</v>
      </c>
      <c r="W40" s="1278" t="str">
        <f t="shared" si="57"/>
        <v>Kötelező teljesítés  forintban</v>
      </c>
      <c r="X40" s="1278">
        <f t="shared" si="57"/>
        <v>0</v>
      </c>
      <c r="Y40" s="1278">
        <f t="shared" si="57"/>
        <v>0</v>
      </c>
      <c r="Z40" s="1278">
        <f t="shared" si="57"/>
        <v>0</v>
      </c>
      <c r="AA40" s="1278">
        <f t="shared" si="57"/>
        <v>0</v>
      </c>
      <c r="AB40" s="1278">
        <f t="shared" si="57"/>
        <v>0</v>
      </c>
      <c r="AC40" s="1278">
        <f t="shared" si="57"/>
        <v>0</v>
      </c>
      <c r="AD40" s="1278"/>
      <c r="AE40" s="1278" t="str">
        <f t="shared" si="57"/>
        <v>I. változás</v>
      </c>
      <c r="AF40" s="1278" t="str">
        <f t="shared" si="57"/>
        <v>Előirányzat-módosítások, előirányzat-átcsoportosítások összegszerű változásai</v>
      </c>
      <c r="AG40" s="2916" t="str">
        <f t="shared" si="57"/>
        <v>Előirányzat-módosítások, előirányzat-átcsoportosítások összegszerű változásai a III. módosításnál</v>
      </c>
      <c r="AH40" s="1854" t="str">
        <f t="shared" si="57"/>
        <v>IV. változás</v>
      </c>
      <c r="AI40" s="1825" t="str">
        <f t="shared" si="57"/>
        <v xml:space="preserve"> 2025. évi teljesítés / 2025. évi III. számú módosított előirányzat</v>
      </c>
      <c r="AJ40" s="1854" t="str">
        <f t="shared" si="57"/>
        <v>Változás Eredeti előző évhez 
Ft-ban</v>
      </c>
      <c r="AK40" s="2595"/>
      <c r="AL40" s="439"/>
    </row>
    <row r="41" spans="1:38" ht="15">
      <c r="A41" s="2934" t="s">
        <v>6</v>
      </c>
      <c r="B41" s="2946" t="s">
        <v>3353</v>
      </c>
      <c r="C41" s="1292" t="s">
        <v>1291</v>
      </c>
      <c r="D41" s="1213">
        <f t="shared" ref="D41:AC41" si="58">SUM(D42:D46)</f>
        <v>156684302</v>
      </c>
      <c r="E41" s="2715">
        <f t="shared" si="58"/>
        <v>155989715</v>
      </c>
      <c r="F41" s="1213">
        <f t="shared" si="58"/>
        <v>196913467</v>
      </c>
      <c r="G41" s="1213">
        <f t="shared" si="58"/>
        <v>199218394</v>
      </c>
      <c r="H41" s="1213">
        <f t="shared" si="58"/>
        <v>199552704</v>
      </c>
      <c r="I41" s="1213">
        <f t="shared" si="58"/>
        <v>200689156</v>
      </c>
      <c r="J41" s="1213">
        <f t="shared" si="58"/>
        <v>200689156</v>
      </c>
      <c r="K41" s="3208">
        <f t="shared" si="58"/>
        <v>197477717</v>
      </c>
      <c r="L41" s="1213">
        <f t="shared" si="58"/>
        <v>0</v>
      </c>
      <c r="M41" s="1213">
        <f t="shared" si="58"/>
        <v>0</v>
      </c>
      <c r="N41" s="1213">
        <f t="shared" si="58"/>
        <v>0</v>
      </c>
      <c r="O41" s="1213">
        <f t="shared" si="58"/>
        <v>0</v>
      </c>
      <c r="P41" s="1213">
        <f t="shared" si="58"/>
        <v>0</v>
      </c>
      <c r="Q41" s="1213">
        <f t="shared" si="58"/>
        <v>0</v>
      </c>
      <c r="R41" s="1213">
        <f t="shared" si="58"/>
        <v>196913467</v>
      </c>
      <c r="S41" s="1213">
        <f t="shared" si="58"/>
        <v>199218394</v>
      </c>
      <c r="T41" s="1213">
        <f t="shared" si="58"/>
        <v>199552704</v>
      </c>
      <c r="U41" s="1213">
        <f t="shared" si="58"/>
        <v>200689156</v>
      </c>
      <c r="V41" s="1213">
        <f t="shared" si="58"/>
        <v>200689156</v>
      </c>
      <c r="W41" s="1213">
        <f t="shared" si="58"/>
        <v>197477717</v>
      </c>
      <c r="X41" s="1213">
        <f t="shared" si="58"/>
        <v>0</v>
      </c>
      <c r="Y41" s="1213">
        <f t="shared" si="58"/>
        <v>0</v>
      </c>
      <c r="Z41" s="1213">
        <f t="shared" si="58"/>
        <v>0</v>
      </c>
      <c r="AA41" s="1213">
        <f t="shared" si="58"/>
        <v>0</v>
      </c>
      <c r="AB41" s="1213">
        <f t="shared" si="58"/>
        <v>0</v>
      </c>
      <c r="AC41" s="1213">
        <f t="shared" si="58"/>
        <v>0</v>
      </c>
      <c r="AD41" s="1284"/>
      <c r="AE41" s="1213">
        <f t="shared" si="1"/>
        <v>2304927</v>
      </c>
      <c r="AF41" s="1213">
        <f t="shared" si="2"/>
        <v>334310</v>
      </c>
      <c r="AG41" s="1213">
        <f t="shared" si="3"/>
        <v>1136452</v>
      </c>
      <c r="AH41" s="2919">
        <f t="shared" si="4"/>
        <v>0</v>
      </c>
      <c r="AI41" s="1829">
        <f t="shared" ref="AI41:AI54" si="59">+K41/I41</f>
        <v>0.98399794456258516</v>
      </c>
      <c r="AJ41" s="417">
        <f t="shared" ref="AJ41:AJ54" si="60">+F41-D41</f>
        <v>40229165</v>
      </c>
      <c r="AK41" s="412"/>
      <c r="AL41" s="439"/>
    </row>
    <row r="42" spans="1:38" ht="15">
      <c r="A42" s="2934"/>
      <c r="B42" s="2948" t="s">
        <v>176</v>
      </c>
      <c r="C42" s="1290" t="s">
        <v>147</v>
      </c>
      <c r="D42" s="1227">
        <v>128218020</v>
      </c>
      <c r="E42" s="2719">
        <v>128022176</v>
      </c>
      <c r="F42" s="1227">
        <v>163557042</v>
      </c>
      <c r="G42" s="1227">
        <f>+F42</f>
        <v>163557042</v>
      </c>
      <c r="H42" s="1227">
        <f>+G42+9000*12+210000</f>
        <v>163875042</v>
      </c>
      <c r="I42" s="1227">
        <f>+H42+150000+14354+952598</f>
        <v>164991994</v>
      </c>
      <c r="J42" s="1227">
        <f>+I42</f>
        <v>164991994</v>
      </c>
      <c r="K42" s="3209">
        <v>163548633</v>
      </c>
      <c r="L42" s="1227">
        <v>0</v>
      </c>
      <c r="M42" s="1227">
        <f t="shared" ref="M42:P46" si="61">+L42</f>
        <v>0</v>
      </c>
      <c r="N42" s="1227">
        <f t="shared" si="61"/>
        <v>0</v>
      </c>
      <c r="O42" s="1227">
        <f t="shared" si="61"/>
        <v>0</v>
      </c>
      <c r="P42" s="1227">
        <f t="shared" si="61"/>
        <v>0</v>
      </c>
      <c r="Q42" s="1227">
        <v>0</v>
      </c>
      <c r="R42" s="1227">
        <f>+F42</f>
        <v>163557042</v>
      </c>
      <c r="S42" s="1227">
        <f>+R42</f>
        <v>163557042</v>
      </c>
      <c r="T42" s="1227">
        <f>+S42+9000*12+210000</f>
        <v>163875042</v>
      </c>
      <c r="U42" s="1227">
        <f>+T42+150000+14354+952598</f>
        <v>164991994</v>
      </c>
      <c r="V42" s="1227">
        <f t="shared" ref="S42:V46" si="62">+U42</f>
        <v>164991994</v>
      </c>
      <c r="W42" s="1227">
        <f>+K42</f>
        <v>163548633</v>
      </c>
      <c r="X42" s="1227"/>
      <c r="Y42" s="1227">
        <f t="shared" ref="Y42:AC46" si="63">+X42</f>
        <v>0</v>
      </c>
      <c r="Z42" s="1227">
        <f t="shared" si="63"/>
        <v>0</v>
      </c>
      <c r="AA42" s="1227">
        <f t="shared" si="63"/>
        <v>0</v>
      </c>
      <c r="AB42" s="1227">
        <f t="shared" si="63"/>
        <v>0</v>
      </c>
      <c r="AC42" s="1227">
        <f t="shared" si="63"/>
        <v>0</v>
      </c>
      <c r="AD42" s="1665"/>
      <c r="AE42" s="1213">
        <f t="shared" si="1"/>
        <v>0</v>
      </c>
      <c r="AF42" s="1213">
        <f t="shared" si="2"/>
        <v>318000</v>
      </c>
      <c r="AG42" s="1213">
        <f t="shared" si="3"/>
        <v>1116952</v>
      </c>
      <c r="AH42" s="2919">
        <f t="shared" si="4"/>
        <v>0</v>
      </c>
      <c r="AI42" s="1834">
        <f t="shared" si="59"/>
        <v>0.99125193310894832</v>
      </c>
      <c r="AJ42" s="417">
        <f t="shared" si="60"/>
        <v>35339022</v>
      </c>
      <c r="AK42" s="430"/>
      <c r="AL42" s="439"/>
    </row>
    <row r="43" spans="1:38" ht="15">
      <c r="A43" s="2934"/>
      <c r="B43" s="2948" t="s">
        <v>178</v>
      </c>
      <c r="C43" s="1290" t="s">
        <v>8</v>
      </c>
      <c r="D43" s="1227">
        <v>17909940</v>
      </c>
      <c r="E43" s="2719">
        <v>17483004</v>
      </c>
      <c r="F43" s="1227">
        <v>22549390</v>
      </c>
      <c r="G43" s="1227">
        <f>+F43</f>
        <v>22549390</v>
      </c>
      <c r="H43" s="1227">
        <f>+G43+27300</f>
        <v>22576690</v>
      </c>
      <c r="I43" s="1227">
        <f>+H43+19500</f>
        <v>22596190</v>
      </c>
      <c r="J43" s="1227">
        <f>+I43</f>
        <v>22596190</v>
      </c>
      <c r="K43" s="3209">
        <v>22277975</v>
      </c>
      <c r="L43" s="1227">
        <v>0</v>
      </c>
      <c r="M43" s="1227">
        <f t="shared" si="61"/>
        <v>0</v>
      </c>
      <c r="N43" s="1227">
        <f t="shared" si="61"/>
        <v>0</v>
      </c>
      <c r="O43" s="1227">
        <f t="shared" si="61"/>
        <v>0</v>
      </c>
      <c r="P43" s="1227">
        <f t="shared" si="61"/>
        <v>0</v>
      </c>
      <c r="Q43" s="1227">
        <v>0</v>
      </c>
      <c r="R43" s="1227">
        <f>+F43</f>
        <v>22549390</v>
      </c>
      <c r="S43" s="1227">
        <f>+R43</f>
        <v>22549390</v>
      </c>
      <c r="T43" s="1227">
        <f>+S43+27300</f>
        <v>22576690</v>
      </c>
      <c r="U43" s="1227">
        <f>+T43+19500</f>
        <v>22596190</v>
      </c>
      <c r="V43" s="1227">
        <f t="shared" si="62"/>
        <v>22596190</v>
      </c>
      <c r="W43" s="1227">
        <f>+K43</f>
        <v>22277975</v>
      </c>
      <c r="X43" s="1227"/>
      <c r="Y43" s="1227">
        <f t="shared" si="63"/>
        <v>0</v>
      </c>
      <c r="Z43" s="1227">
        <f t="shared" si="63"/>
        <v>0</v>
      </c>
      <c r="AA43" s="1227">
        <f t="shared" si="63"/>
        <v>0</v>
      </c>
      <c r="AB43" s="1227">
        <f t="shared" si="63"/>
        <v>0</v>
      </c>
      <c r="AC43" s="1227">
        <f t="shared" si="63"/>
        <v>0</v>
      </c>
      <c r="AD43" s="1665"/>
      <c r="AE43" s="1213">
        <f t="shared" si="1"/>
        <v>0</v>
      </c>
      <c r="AF43" s="1213">
        <f t="shared" si="2"/>
        <v>27300</v>
      </c>
      <c r="AG43" s="1213">
        <f t="shared" si="3"/>
        <v>19500</v>
      </c>
      <c r="AH43" s="2919">
        <f t="shared" si="4"/>
        <v>0</v>
      </c>
      <c r="AI43" s="1834">
        <f t="shared" si="59"/>
        <v>0.98591731614931544</v>
      </c>
      <c r="AJ43" s="417">
        <f t="shared" si="60"/>
        <v>4639450</v>
      </c>
      <c r="AK43" s="430"/>
      <c r="AL43" s="439"/>
    </row>
    <row r="44" spans="1:38" ht="15">
      <c r="A44" s="2934"/>
      <c r="B44" s="2948" t="s">
        <v>179</v>
      </c>
      <c r="C44" s="1290" t="s">
        <v>317</v>
      </c>
      <c r="D44" s="1227">
        <v>10556342</v>
      </c>
      <c r="E44" s="2719">
        <v>9239408</v>
      </c>
      <c r="F44" s="1227">
        <v>10807035</v>
      </c>
      <c r="G44" s="1227">
        <f>+F44+308794+262128</f>
        <v>11377957</v>
      </c>
      <c r="H44" s="1227">
        <f>+G44-10990</f>
        <v>11366967</v>
      </c>
      <c r="I44" s="1227">
        <f>+H44</f>
        <v>11366967</v>
      </c>
      <c r="J44" s="1227">
        <f>+I44</f>
        <v>11366967</v>
      </c>
      <c r="K44" s="3209">
        <v>9917104</v>
      </c>
      <c r="L44" s="1227">
        <v>0</v>
      </c>
      <c r="M44" s="1227">
        <f t="shared" si="61"/>
        <v>0</v>
      </c>
      <c r="N44" s="1227">
        <f t="shared" si="61"/>
        <v>0</v>
      </c>
      <c r="O44" s="1227">
        <f t="shared" si="61"/>
        <v>0</v>
      </c>
      <c r="P44" s="1227">
        <f t="shared" si="61"/>
        <v>0</v>
      </c>
      <c r="Q44" s="1227">
        <v>0</v>
      </c>
      <c r="R44" s="1227">
        <f>+F44</f>
        <v>10807035</v>
      </c>
      <c r="S44" s="1227">
        <f>+R44+308794+262128</f>
        <v>11377957</v>
      </c>
      <c r="T44" s="1227">
        <f>+S44-10990</f>
        <v>11366967</v>
      </c>
      <c r="U44" s="1227">
        <f>+T44</f>
        <v>11366967</v>
      </c>
      <c r="V44" s="1227">
        <f t="shared" si="62"/>
        <v>11366967</v>
      </c>
      <c r="W44" s="1227">
        <f>+K44</f>
        <v>9917104</v>
      </c>
      <c r="X44" s="1227"/>
      <c r="Y44" s="1227">
        <f t="shared" si="63"/>
        <v>0</v>
      </c>
      <c r="Z44" s="1227">
        <f t="shared" si="63"/>
        <v>0</v>
      </c>
      <c r="AA44" s="1227">
        <f t="shared" si="63"/>
        <v>0</v>
      </c>
      <c r="AB44" s="1227">
        <f t="shared" si="63"/>
        <v>0</v>
      </c>
      <c r="AC44" s="1227">
        <f t="shared" si="63"/>
        <v>0</v>
      </c>
      <c r="AD44" s="2947"/>
      <c r="AE44" s="1213">
        <f t="shared" si="1"/>
        <v>570922</v>
      </c>
      <c r="AF44" s="1213">
        <f t="shared" si="2"/>
        <v>-10990</v>
      </c>
      <c r="AG44" s="1213">
        <f t="shared" si="3"/>
        <v>0</v>
      </c>
      <c r="AH44" s="2919">
        <f t="shared" si="4"/>
        <v>0</v>
      </c>
      <c r="AI44" s="1834">
        <f t="shared" si="59"/>
        <v>0.87244944055876994</v>
      </c>
      <c r="AJ44" s="417">
        <f t="shared" si="60"/>
        <v>250693</v>
      </c>
      <c r="AK44" s="430"/>
    </row>
    <row r="45" spans="1:38" s="439" customFormat="1" ht="15">
      <c r="A45" s="2934"/>
      <c r="B45" s="2948" t="s">
        <v>180</v>
      </c>
      <c r="C45" s="1290" t="s">
        <v>318</v>
      </c>
      <c r="D45" s="1227">
        <v>0</v>
      </c>
      <c r="E45" s="2719">
        <v>0</v>
      </c>
      <c r="F45" s="1227">
        <v>0</v>
      </c>
      <c r="G45" s="1227">
        <f t="shared" ref="G45:J48" si="64">+F45</f>
        <v>0</v>
      </c>
      <c r="H45" s="1227">
        <f t="shared" si="64"/>
        <v>0</v>
      </c>
      <c r="I45" s="1227">
        <f t="shared" si="64"/>
        <v>0</v>
      </c>
      <c r="J45" s="1227">
        <f t="shared" si="64"/>
        <v>0</v>
      </c>
      <c r="K45" s="3209">
        <v>0</v>
      </c>
      <c r="L45" s="1227">
        <v>0</v>
      </c>
      <c r="M45" s="1227">
        <f t="shared" si="61"/>
        <v>0</v>
      </c>
      <c r="N45" s="1227">
        <f t="shared" si="61"/>
        <v>0</v>
      </c>
      <c r="O45" s="1227">
        <f t="shared" si="61"/>
        <v>0</v>
      </c>
      <c r="P45" s="1227">
        <f t="shared" si="61"/>
        <v>0</v>
      </c>
      <c r="Q45" s="1227">
        <v>0</v>
      </c>
      <c r="R45" s="1227">
        <v>0</v>
      </c>
      <c r="S45" s="1227">
        <f t="shared" si="62"/>
        <v>0</v>
      </c>
      <c r="T45" s="1227">
        <f t="shared" si="62"/>
        <v>0</v>
      </c>
      <c r="U45" s="1227">
        <f t="shared" si="62"/>
        <v>0</v>
      </c>
      <c r="V45" s="1227">
        <f t="shared" si="62"/>
        <v>0</v>
      </c>
      <c r="W45" s="1227">
        <f>+K45</f>
        <v>0</v>
      </c>
      <c r="X45" s="1227"/>
      <c r="Y45" s="1227">
        <f t="shared" si="63"/>
        <v>0</v>
      </c>
      <c r="Z45" s="1227">
        <f t="shared" si="63"/>
        <v>0</v>
      </c>
      <c r="AA45" s="1227">
        <f t="shared" si="63"/>
        <v>0</v>
      </c>
      <c r="AB45" s="1227">
        <f t="shared" si="63"/>
        <v>0</v>
      </c>
      <c r="AC45" s="1227">
        <f t="shared" si="63"/>
        <v>0</v>
      </c>
      <c r="AD45" s="1284"/>
      <c r="AE45" s="1213">
        <f t="shared" si="1"/>
        <v>0</v>
      </c>
      <c r="AF45" s="1213">
        <f t="shared" si="2"/>
        <v>0</v>
      </c>
      <c r="AG45" s="1213">
        <f t="shared" si="3"/>
        <v>0</v>
      </c>
      <c r="AH45" s="2919">
        <f t="shared" si="4"/>
        <v>0</v>
      </c>
      <c r="AI45" s="1834"/>
      <c r="AJ45" s="417">
        <f t="shared" si="60"/>
        <v>0</v>
      </c>
      <c r="AK45" s="430"/>
    </row>
    <row r="46" spans="1:38" ht="15">
      <c r="A46" s="2934"/>
      <c r="B46" s="1477" t="s">
        <v>181</v>
      </c>
      <c r="C46" s="1286" t="s">
        <v>151</v>
      </c>
      <c r="D46" s="1227">
        <v>0</v>
      </c>
      <c r="E46" s="2719">
        <v>1245127</v>
      </c>
      <c r="F46" s="1227">
        <v>0</v>
      </c>
      <c r="G46" s="1227">
        <f>+F46+1734005</f>
        <v>1734005</v>
      </c>
      <c r="H46" s="1227">
        <f t="shared" si="64"/>
        <v>1734005</v>
      </c>
      <c r="I46" s="1227">
        <f t="shared" si="64"/>
        <v>1734005</v>
      </c>
      <c r="J46" s="1227">
        <f t="shared" si="64"/>
        <v>1734005</v>
      </c>
      <c r="K46" s="3209">
        <v>1734005</v>
      </c>
      <c r="L46" s="1227">
        <v>0</v>
      </c>
      <c r="M46" s="1227">
        <f t="shared" si="61"/>
        <v>0</v>
      </c>
      <c r="N46" s="1227">
        <f t="shared" si="61"/>
        <v>0</v>
      </c>
      <c r="O46" s="1227">
        <f t="shared" si="61"/>
        <v>0</v>
      </c>
      <c r="P46" s="1227">
        <f t="shared" si="61"/>
        <v>0</v>
      </c>
      <c r="Q46" s="1227">
        <v>0</v>
      </c>
      <c r="R46" s="1227">
        <v>0</v>
      </c>
      <c r="S46" s="1227">
        <f>+R46+1734005</f>
        <v>1734005</v>
      </c>
      <c r="T46" s="1227">
        <f t="shared" si="62"/>
        <v>1734005</v>
      </c>
      <c r="U46" s="1227">
        <f t="shared" si="62"/>
        <v>1734005</v>
      </c>
      <c r="V46" s="1227">
        <f t="shared" si="62"/>
        <v>1734005</v>
      </c>
      <c r="W46" s="1227">
        <f>+K46</f>
        <v>1734005</v>
      </c>
      <c r="X46" s="1227"/>
      <c r="Y46" s="1227">
        <f t="shared" si="63"/>
        <v>0</v>
      </c>
      <c r="Z46" s="1227">
        <f t="shared" si="63"/>
        <v>0</v>
      </c>
      <c r="AA46" s="1227">
        <f t="shared" si="63"/>
        <v>0</v>
      </c>
      <c r="AB46" s="1227">
        <f t="shared" si="63"/>
        <v>0</v>
      </c>
      <c r="AC46" s="1227">
        <f t="shared" si="63"/>
        <v>0</v>
      </c>
      <c r="AD46" s="2947"/>
      <c r="AE46" s="1213">
        <f t="shared" si="1"/>
        <v>1734005</v>
      </c>
      <c r="AF46" s="1213">
        <f t="shared" si="2"/>
        <v>0</v>
      </c>
      <c r="AG46" s="1213">
        <f t="shared" si="3"/>
        <v>0</v>
      </c>
      <c r="AH46" s="2919">
        <f t="shared" si="4"/>
        <v>0</v>
      </c>
      <c r="AI46" s="1834">
        <f t="shared" si="59"/>
        <v>1</v>
      </c>
      <c r="AJ46" s="417">
        <f t="shared" si="60"/>
        <v>0</v>
      </c>
      <c r="AK46" s="430"/>
    </row>
    <row r="47" spans="1:38" ht="15">
      <c r="A47" s="2934" t="s">
        <v>12</v>
      </c>
      <c r="B47" s="2946" t="s">
        <v>12</v>
      </c>
      <c r="C47" s="1292" t="s">
        <v>1292</v>
      </c>
      <c r="D47" s="1213">
        <f t="shared" ref="D47:AC47" si="65">SUM(D48:D50)</f>
        <v>0</v>
      </c>
      <c r="E47" s="2715">
        <f t="shared" si="65"/>
        <v>23997</v>
      </c>
      <c r="F47" s="1213">
        <f t="shared" si="65"/>
        <v>0</v>
      </c>
      <c r="G47" s="1213">
        <f t="shared" si="65"/>
        <v>0</v>
      </c>
      <c r="H47" s="1213">
        <f t="shared" si="65"/>
        <v>10990</v>
      </c>
      <c r="I47" s="1213">
        <f t="shared" si="65"/>
        <v>10990</v>
      </c>
      <c r="J47" s="1213">
        <f t="shared" si="65"/>
        <v>10990</v>
      </c>
      <c r="K47" s="3208">
        <f>SUM(K48:K50)</f>
        <v>10990</v>
      </c>
      <c r="L47" s="1213">
        <f t="shared" si="65"/>
        <v>0</v>
      </c>
      <c r="M47" s="1213">
        <f t="shared" si="65"/>
        <v>0</v>
      </c>
      <c r="N47" s="1213">
        <f t="shared" si="65"/>
        <v>0</v>
      </c>
      <c r="O47" s="1213">
        <f t="shared" si="65"/>
        <v>0</v>
      </c>
      <c r="P47" s="1213">
        <f t="shared" si="65"/>
        <v>0</v>
      </c>
      <c r="Q47" s="1213">
        <f t="shared" si="65"/>
        <v>0</v>
      </c>
      <c r="R47" s="1213">
        <f t="shared" si="65"/>
        <v>0</v>
      </c>
      <c r="S47" s="1213">
        <f t="shared" si="65"/>
        <v>0</v>
      </c>
      <c r="T47" s="1213">
        <f t="shared" si="65"/>
        <v>10990</v>
      </c>
      <c r="U47" s="1213">
        <f t="shared" si="65"/>
        <v>10990</v>
      </c>
      <c r="V47" s="1213">
        <f t="shared" si="65"/>
        <v>10990</v>
      </c>
      <c r="W47" s="1213">
        <f t="shared" si="65"/>
        <v>10990</v>
      </c>
      <c r="X47" s="1213">
        <f t="shared" si="65"/>
        <v>0</v>
      </c>
      <c r="Y47" s="1213">
        <f t="shared" si="65"/>
        <v>0</v>
      </c>
      <c r="Z47" s="1213">
        <f t="shared" si="65"/>
        <v>0</v>
      </c>
      <c r="AA47" s="1213">
        <f t="shared" si="65"/>
        <v>0</v>
      </c>
      <c r="AB47" s="1213">
        <f t="shared" si="65"/>
        <v>0</v>
      </c>
      <c r="AC47" s="1213">
        <f t="shared" si="65"/>
        <v>0</v>
      </c>
      <c r="AD47" s="1284"/>
      <c r="AE47" s="1213">
        <f t="shared" si="1"/>
        <v>0</v>
      </c>
      <c r="AF47" s="1213">
        <f t="shared" si="2"/>
        <v>10990</v>
      </c>
      <c r="AG47" s="1213">
        <f t="shared" si="3"/>
        <v>0</v>
      </c>
      <c r="AH47" s="2919">
        <f t="shared" si="4"/>
        <v>0</v>
      </c>
      <c r="AI47" s="1829">
        <f t="shared" si="59"/>
        <v>1</v>
      </c>
      <c r="AJ47" s="417">
        <f t="shared" si="60"/>
        <v>0</v>
      </c>
      <c r="AK47" s="412"/>
    </row>
    <row r="48" spans="1:38" ht="15">
      <c r="A48" s="2934"/>
      <c r="B48" s="2948" t="s">
        <v>185</v>
      </c>
      <c r="C48" s="1290" t="s">
        <v>82</v>
      </c>
      <c r="D48" s="1227">
        <v>0</v>
      </c>
      <c r="E48" s="2719">
        <v>23997</v>
      </c>
      <c r="F48" s="1227">
        <v>0</v>
      </c>
      <c r="G48" s="1227">
        <f t="shared" si="64"/>
        <v>0</v>
      </c>
      <c r="H48" s="1227">
        <f>+G48+10990</f>
        <v>10990</v>
      </c>
      <c r="I48" s="1227">
        <f t="shared" si="64"/>
        <v>10990</v>
      </c>
      <c r="J48" s="1227">
        <f t="shared" si="64"/>
        <v>10990</v>
      </c>
      <c r="K48" s="3209">
        <v>10990</v>
      </c>
      <c r="L48" s="1227">
        <v>0</v>
      </c>
      <c r="M48" s="1227">
        <f t="shared" ref="M48:P51" si="66">+L48</f>
        <v>0</v>
      </c>
      <c r="N48" s="1227">
        <f t="shared" si="66"/>
        <v>0</v>
      </c>
      <c r="O48" s="1227">
        <f t="shared" si="66"/>
        <v>0</v>
      </c>
      <c r="P48" s="1227">
        <f t="shared" si="66"/>
        <v>0</v>
      </c>
      <c r="Q48" s="1227">
        <v>0</v>
      </c>
      <c r="R48" s="1227">
        <f>+F48</f>
        <v>0</v>
      </c>
      <c r="S48" s="1227">
        <f>+R48</f>
        <v>0</v>
      </c>
      <c r="T48" s="1227">
        <f>+S48+10990</f>
        <v>10990</v>
      </c>
      <c r="U48" s="1227">
        <f>+T48</f>
        <v>10990</v>
      </c>
      <c r="V48" s="1227">
        <f>+U48</f>
        <v>10990</v>
      </c>
      <c r="W48" s="1227">
        <f>+K48</f>
        <v>10990</v>
      </c>
      <c r="X48" s="1227"/>
      <c r="Y48" s="1227">
        <f t="shared" ref="Y48:AC51" si="67">+X48</f>
        <v>0</v>
      </c>
      <c r="Z48" s="1227">
        <f t="shared" si="67"/>
        <v>0</v>
      </c>
      <c r="AA48" s="1227">
        <f t="shared" si="67"/>
        <v>0</v>
      </c>
      <c r="AB48" s="1227">
        <f t="shared" si="67"/>
        <v>0</v>
      </c>
      <c r="AC48" s="1227">
        <f t="shared" si="67"/>
        <v>0</v>
      </c>
      <c r="AD48" s="2947"/>
      <c r="AE48" s="1213">
        <f t="shared" si="1"/>
        <v>0</v>
      </c>
      <c r="AF48" s="1213">
        <f t="shared" si="2"/>
        <v>10990</v>
      </c>
      <c r="AG48" s="1213">
        <f t="shared" si="3"/>
        <v>0</v>
      </c>
      <c r="AH48" s="2919">
        <f t="shared" si="4"/>
        <v>0</v>
      </c>
      <c r="AI48" s="1834">
        <f t="shared" si="59"/>
        <v>1</v>
      </c>
      <c r="AJ48" s="417">
        <f t="shared" si="60"/>
        <v>0</v>
      </c>
      <c r="AK48" s="430"/>
    </row>
    <row r="49" spans="1:37" ht="15">
      <c r="A49" s="2934"/>
      <c r="B49" s="2948" t="s">
        <v>187</v>
      </c>
      <c r="C49" s="1290" t="s">
        <v>344</v>
      </c>
      <c r="D49" s="1227">
        <v>0</v>
      </c>
      <c r="E49" s="2719">
        <v>0</v>
      </c>
      <c r="F49" s="1227">
        <v>0</v>
      </c>
      <c r="G49" s="1227">
        <f t="shared" ref="G49:J51" si="68">+F49</f>
        <v>0</v>
      </c>
      <c r="H49" s="1227">
        <f t="shared" si="68"/>
        <v>0</v>
      </c>
      <c r="I49" s="1227">
        <f t="shared" si="68"/>
        <v>0</v>
      </c>
      <c r="J49" s="1227">
        <f t="shared" si="68"/>
        <v>0</v>
      </c>
      <c r="K49" s="3209">
        <v>0</v>
      </c>
      <c r="L49" s="1227">
        <v>0</v>
      </c>
      <c r="M49" s="1227">
        <f t="shared" si="66"/>
        <v>0</v>
      </c>
      <c r="N49" s="1227">
        <f t="shared" si="66"/>
        <v>0</v>
      </c>
      <c r="O49" s="1227">
        <f t="shared" si="66"/>
        <v>0</v>
      </c>
      <c r="P49" s="1227">
        <f t="shared" si="66"/>
        <v>0</v>
      </c>
      <c r="Q49" s="1227">
        <v>0</v>
      </c>
      <c r="R49" s="1227">
        <v>0</v>
      </c>
      <c r="S49" s="1227">
        <f t="shared" ref="S49:V51" si="69">+R49</f>
        <v>0</v>
      </c>
      <c r="T49" s="1227">
        <f t="shared" si="69"/>
        <v>0</v>
      </c>
      <c r="U49" s="1227">
        <f t="shared" si="69"/>
        <v>0</v>
      </c>
      <c r="V49" s="1227">
        <f t="shared" si="69"/>
        <v>0</v>
      </c>
      <c r="W49" s="1227">
        <f>+K49</f>
        <v>0</v>
      </c>
      <c r="X49" s="1227"/>
      <c r="Y49" s="1227">
        <f t="shared" si="67"/>
        <v>0</v>
      </c>
      <c r="Z49" s="1227">
        <f t="shared" si="67"/>
        <v>0</v>
      </c>
      <c r="AA49" s="1227">
        <f t="shared" si="67"/>
        <v>0</v>
      </c>
      <c r="AB49" s="1227">
        <f t="shared" si="67"/>
        <v>0</v>
      </c>
      <c r="AC49" s="1227">
        <f t="shared" si="67"/>
        <v>0</v>
      </c>
      <c r="AD49" s="1284"/>
      <c r="AE49" s="1213">
        <f t="shared" si="1"/>
        <v>0</v>
      </c>
      <c r="AF49" s="1213">
        <f t="shared" si="2"/>
        <v>0</v>
      </c>
      <c r="AG49" s="1213">
        <f t="shared" si="3"/>
        <v>0</v>
      </c>
      <c r="AH49" s="2919">
        <f t="shared" si="4"/>
        <v>0</v>
      </c>
      <c r="AI49" s="1834"/>
      <c r="AJ49" s="417">
        <f t="shared" si="60"/>
        <v>0</v>
      </c>
      <c r="AK49" s="430"/>
    </row>
    <row r="50" spans="1:37" ht="15">
      <c r="A50" s="2934"/>
      <c r="B50" s="1477" t="s">
        <v>189</v>
      </c>
      <c r="C50" s="1286" t="s">
        <v>1293</v>
      </c>
      <c r="D50" s="1227">
        <v>0</v>
      </c>
      <c r="E50" s="2719">
        <v>0</v>
      </c>
      <c r="F50" s="1227">
        <v>0</v>
      </c>
      <c r="G50" s="1227">
        <f t="shared" si="68"/>
        <v>0</v>
      </c>
      <c r="H50" s="1227">
        <f t="shared" si="68"/>
        <v>0</v>
      </c>
      <c r="I50" s="1227">
        <f t="shared" si="68"/>
        <v>0</v>
      </c>
      <c r="J50" s="1227">
        <f t="shared" si="68"/>
        <v>0</v>
      </c>
      <c r="K50" s="3209">
        <v>0</v>
      </c>
      <c r="L50" s="1227">
        <v>0</v>
      </c>
      <c r="M50" s="1227">
        <f t="shared" si="66"/>
        <v>0</v>
      </c>
      <c r="N50" s="1227">
        <f t="shared" si="66"/>
        <v>0</v>
      </c>
      <c r="O50" s="1227">
        <f t="shared" si="66"/>
        <v>0</v>
      </c>
      <c r="P50" s="1227">
        <f t="shared" si="66"/>
        <v>0</v>
      </c>
      <c r="Q50" s="1227">
        <v>0</v>
      </c>
      <c r="R50" s="1227">
        <v>0</v>
      </c>
      <c r="S50" s="1227">
        <f t="shared" si="69"/>
        <v>0</v>
      </c>
      <c r="T50" s="1227">
        <f t="shared" si="69"/>
        <v>0</v>
      </c>
      <c r="U50" s="1227">
        <f t="shared" si="69"/>
        <v>0</v>
      </c>
      <c r="V50" s="1227">
        <f t="shared" si="69"/>
        <v>0</v>
      </c>
      <c r="W50" s="1227">
        <f>+K50</f>
        <v>0</v>
      </c>
      <c r="X50" s="1227"/>
      <c r="Y50" s="1227">
        <f t="shared" si="67"/>
        <v>0</v>
      </c>
      <c r="Z50" s="1227">
        <f t="shared" si="67"/>
        <v>0</v>
      </c>
      <c r="AA50" s="1227">
        <f t="shared" si="67"/>
        <v>0</v>
      </c>
      <c r="AB50" s="1227">
        <f t="shared" si="67"/>
        <v>0</v>
      </c>
      <c r="AC50" s="1227">
        <f t="shared" si="67"/>
        <v>0</v>
      </c>
      <c r="AD50" s="1284"/>
      <c r="AE50" s="1213">
        <f t="shared" si="1"/>
        <v>0</v>
      </c>
      <c r="AF50" s="1213">
        <f t="shared" si="2"/>
        <v>0</v>
      </c>
      <c r="AG50" s="1213">
        <f t="shared" si="3"/>
        <v>0</v>
      </c>
      <c r="AH50" s="2919">
        <f t="shared" si="4"/>
        <v>0</v>
      </c>
      <c r="AI50" s="1834"/>
      <c r="AJ50" s="417">
        <f t="shared" si="60"/>
        <v>0</v>
      </c>
      <c r="AK50" s="430"/>
    </row>
    <row r="51" spans="1:37" ht="15">
      <c r="A51" s="2934"/>
      <c r="B51" s="1477" t="s">
        <v>191</v>
      </c>
      <c r="C51" s="1290" t="s">
        <v>1294</v>
      </c>
      <c r="D51" s="1227">
        <v>0</v>
      </c>
      <c r="E51" s="2719">
        <v>0</v>
      </c>
      <c r="F51" s="1227">
        <v>0</v>
      </c>
      <c r="G51" s="1227">
        <f t="shared" si="68"/>
        <v>0</v>
      </c>
      <c r="H51" s="1227">
        <f t="shared" si="68"/>
        <v>0</v>
      </c>
      <c r="I51" s="1227">
        <f t="shared" si="68"/>
        <v>0</v>
      </c>
      <c r="J51" s="1227">
        <f t="shared" si="68"/>
        <v>0</v>
      </c>
      <c r="K51" s="3209">
        <v>0</v>
      </c>
      <c r="L51" s="1227">
        <v>0</v>
      </c>
      <c r="M51" s="1227">
        <f t="shared" si="66"/>
        <v>0</v>
      </c>
      <c r="N51" s="1227">
        <f t="shared" si="66"/>
        <v>0</v>
      </c>
      <c r="O51" s="1227">
        <f t="shared" si="66"/>
        <v>0</v>
      </c>
      <c r="P51" s="1227">
        <f t="shared" si="66"/>
        <v>0</v>
      </c>
      <c r="Q51" s="1227">
        <v>0</v>
      </c>
      <c r="R51" s="1227">
        <v>0</v>
      </c>
      <c r="S51" s="1227">
        <f t="shared" si="69"/>
        <v>0</v>
      </c>
      <c r="T51" s="1227">
        <f t="shared" si="69"/>
        <v>0</v>
      </c>
      <c r="U51" s="1227">
        <f t="shared" si="69"/>
        <v>0</v>
      </c>
      <c r="V51" s="1227">
        <f t="shared" si="69"/>
        <v>0</v>
      </c>
      <c r="W51" s="1227">
        <f>+K51</f>
        <v>0</v>
      </c>
      <c r="X51" s="1227"/>
      <c r="Y51" s="1227">
        <f t="shared" si="67"/>
        <v>0</v>
      </c>
      <c r="Z51" s="1227">
        <f t="shared" si="67"/>
        <v>0</v>
      </c>
      <c r="AA51" s="1227">
        <f t="shared" si="67"/>
        <v>0</v>
      </c>
      <c r="AB51" s="1227">
        <f t="shared" si="67"/>
        <v>0</v>
      </c>
      <c r="AC51" s="1227">
        <f t="shared" si="67"/>
        <v>0</v>
      </c>
      <c r="AD51" s="1284"/>
      <c r="AE51" s="1213">
        <f t="shared" si="1"/>
        <v>0</v>
      </c>
      <c r="AF51" s="1213">
        <f t="shared" si="2"/>
        <v>0</v>
      </c>
      <c r="AG51" s="1213">
        <f t="shared" si="3"/>
        <v>0</v>
      </c>
      <c r="AH51" s="2919">
        <f t="shared" si="4"/>
        <v>0</v>
      </c>
      <c r="AI51" s="1834"/>
      <c r="AJ51" s="417">
        <f t="shared" si="60"/>
        <v>0</v>
      </c>
      <c r="AK51" s="430"/>
    </row>
    <row r="52" spans="1:37" ht="15">
      <c r="A52" s="2934" t="s">
        <v>14</v>
      </c>
      <c r="B52" s="1282" t="s">
        <v>14</v>
      </c>
      <c r="C52" s="2950" t="s">
        <v>1295</v>
      </c>
      <c r="D52" s="1298">
        <f t="shared" ref="D52:AC52" si="70">+D41+D47</f>
        <v>156684302</v>
      </c>
      <c r="E52" s="2720">
        <f t="shared" si="70"/>
        <v>156013712</v>
      </c>
      <c r="F52" s="1298">
        <f t="shared" si="70"/>
        <v>196913467</v>
      </c>
      <c r="G52" s="1298">
        <f t="shared" si="70"/>
        <v>199218394</v>
      </c>
      <c r="H52" s="1298">
        <f t="shared" si="70"/>
        <v>199563694</v>
      </c>
      <c r="I52" s="1298">
        <f t="shared" si="70"/>
        <v>200700146</v>
      </c>
      <c r="J52" s="1298">
        <f t="shared" si="70"/>
        <v>200700146</v>
      </c>
      <c r="K52" s="3210">
        <f t="shared" si="70"/>
        <v>197488707</v>
      </c>
      <c r="L52" s="1298">
        <f t="shared" si="70"/>
        <v>0</v>
      </c>
      <c r="M52" s="1298">
        <f t="shared" si="70"/>
        <v>0</v>
      </c>
      <c r="N52" s="1298">
        <f t="shared" si="70"/>
        <v>0</v>
      </c>
      <c r="O52" s="1298">
        <f t="shared" si="70"/>
        <v>0</v>
      </c>
      <c r="P52" s="1298">
        <f t="shared" si="70"/>
        <v>0</v>
      </c>
      <c r="Q52" s="1298">
        <f t="shared" si="70"/>
        <v>0</v>
      </c>
      <c r="R52" s="1298">
        <f t="shared" si="70"/>
        <v>196913467</v>
      </c>
      <c r="S52" s="1298">
        <f t="shared" si="70"/>
        <v>199218394</v>
      </c>
      <c r="T52" s="1298">
        <f t="shared" si="70"/>
        <v>199563694</v>
      </c>
      <c r="U52" s="1298">
        <f t="shared" si="70"/>
        <v>200700146</v>
      </c>
      <c r="V52" s="1298">
        <f t="shared" si="70"/>
        <v>200700146</v>
      </c>
      <c r="W52" s="1298">
        <f t="shared" si="70"/>
        <v>197488707</v>
      </c>
      <c r="X52" s="1298">
        <f t="shared" si="70"/>
        <v>0</v>
      </c>
      <c r="Y52" s="1298">
        <f t="shared" si="70"/>
        <v>0</v>
      </c>
      <c r="Z52" s="1298">
        <f t="shared" si="70"/>
        <v>0</v>
      </c>
      <c r="AA52" s="1298">
        <f t="shared" si="70"/>
        <v>0</v>
      </c>
      <c r="AB52" s="1298">
        <f t="shared" si="70"/>
        <v>0</v>
      </c>
      <c r="AC52" s="1298">
        <f t="shared" si="70"/>
        <v>0</v>
      </c>
      <c r="AD52" s="1284"/>
      <c r="AE52" s="1213">
        <f t="shared" si="1"/>
        <v>2304927</v>
      </c>
      <c r="AF52" s="1213">
        <f t="shared" si="2"/>
        <v>345300</v>
      </c>
      <c r="AG52" s="1213">
        <f t="shared" si="3"/>
        <v>1136452</v>
      </c>
      <c r="AH52" s="2919">
        <f t="shared" si="4"/>
        <v>0</v>
      </c>
      <c r="AI52" s="1829">
        <f t="shared" si="59"/>
        <v>0.98399882080803269</v>
      </c>
      <c r="AJ52" s="417">
        <f t="shared" si="60"/>
        <v>40229165</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9"/>
        <v>#DIV/0!</v>
      </c>
      <c r="AJ53" s="417">
        <f t="shared" si="60"/>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5">
        <v>15.75</v>
      </c>
      <c r="E54" s="2956">
        <v>16</v>
      </c>
      <c r="F54" s="2957">
        <v>15.75</v>
      </c>
      <c r="G54" s="2957">
        <f>+F54</f>
        <v>15.75</v>
      </c>
      <c r="H54" s="2957">
        <f>+G54</f>
        <v>15.75</v>
      </c>
      <c r="I54" s="2957">
        <f>+H54</f>
        <v>15.75</v>
      </c>
      <c r="J54" s="2957">
        <f>+I54</f>
        <v>15.75</v>
      </c>
      <c r="K54" s="3212">
        <v>16</v>
      </c>
      <c r="L54" s="2957">
        <v>0</v>
      </c>
      <c r="M54" s="2957">
        <f>+L54</f>
        <v>0</v>
      </c>
      <c r="N54" s="2957">
        <f>+M54</f>
        <v>0</v>
      </c>
      <c r="O54" s="2957">
        <f>+N54</f>
        <v>0</v>
      </c>
      <c r="P54" s="2957">
        <f>+O54</f>
        <v>0</v>
      </c>
      <c r="Q54" s="2957">
        <f>+P54</f>
        <v>0</v>
      </c>
      <c r="R54" s="2957">
        <f>+F54</f>
        <v>15.75</v>
      </c>
      <c r="S54" s="2957">
        <f>+R54</f>
        <v>15.75</v>
      </c>
      <c r="T54" s="2957">
        <f>+S54</f>
        <v>15.75</v>
      </c>
      <c r="U54" s="2957">
        <f>+T54</f>
        <v>15.75</v>
      </c>
      <c r="V54" s="2957">
        <f>+U54</f>
        <v>15.75</v>
      </c>
      <c r="W54" s="2957">
        <f>+V54</f>
        <v>15.75</v>
      </c>
      <c r="X54" s="2957"/>
      <c r="Y54" s="2957">
        <f>+X54</f>
        <v>0</v>
      </c>
      <c r="Z54" s="2957">
        <f>+Y54</f>
        <v>0</v>
      </c>
      <c r="AA54" s="2957">
        <f>+Z54</f>
        <v>0</v>
      </c>
      <c r="AB54" s="2957">
        <f>+AA54</f>
        <v>0</v>
      </c>
      <c r="AC54" s="2957">
        <f>+AB54</f>
        <v>0</v>
      </c>
      <c r="AD54" s="2970"/>
      <c r="AE54" s="2963">
        <f t="shared" si="1"/>
        <v>0</v>
      </c>
      <c r="AF54" s="1213">
        <f t="shared" si="2"/>
        <v>0</v>
      </c>
      <c r="AG54" s="1213">
        <f t="shared" si="3"/>
        <v>0</v>
      </c>
      <c r="AH54" s="2943">
        <f t="shared" si="4"/>
        <v>0</v>
      </c>
      <c r="AI54" s="1829">
        <f t="shared" si="59"/>
        <v>1.0158730158730158</v>
      </c>
      <c r="AJ54" s="550">
        <f t="shared" si="60"/>
        <v>0</v>
      </c>
      <c r="AK54" s="1852"/>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1">+X55</f>
        <v>0</v>
      </c>
      <c r="Z55" s="459">
        <f t="shared" si="71"/>
        <v>0</v>
      </c>
      <c r="AA55" s="459">
        <f t="shared" si="71"/>
        <v>0</v>
      </c>
      <c r="AB55" s="459">
        <f t="shared" si="71"/>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71"/>
        <v>0</v>
      </c>
      <c r="Z56" s="459">
        <f t="shared" si="71"/>
        <v>0</v>
      </c>
      <c r="AA56" s="459">
        <f t="shared" si="71"/>
        <v>0</v>
      </c>
      <c r="AB56" s="459">
        <f t="shared" si="71"/>
        <v>0</v>
      </c>
      <c r="AC56" s="459"/>
      <c r="AD56" s="557"/>
      <c r="AE56" s="555">
        <f t="shared" si="1"/>
        <v>0</v>
      </c>
      <c r="AF56" s="555"/>
      <c r="AG56" s="555"/>
      <c r="AH56" s="555"/>
      <c r="AJ56" s="417">
        <f>+F56-D56</f>
        <v>0</v>
      </c>
    </row>
    <row r="57" spans="1:37" ht="15.75">
      <c r="B57" s="3205" t="s">
        <v>17</v>
      </c>
      <c r="C57" s="3207" t="s">
        <v>4053</v>
      </c>
      <c r="D57" s="3206">
        <f t="shared" ref="D57:K57" si="72">+D37-D52</f>
        <v>0</v>
      </c>
      <c r="E57" s="3199">
        <f>+E37-E52</f>
        <v>2042799</v>
      </c>
      <c r="F57" s="3200">
        <f t="shared" si="72"/>
        <v>0</v>
      </c>
      <c r="G57" s="3201">
        <f t="shared" si="72"/>
        <v>0</v>
      </c>
      <c r="H57" s="3201">
        <f t="shared" si="72"/>
        <v>0</v>
      </c>
      <c r="I57" s="3201"/>
      <c r="J57" s="3201">
        <f t="shared" si="72"/>
        <v>0</v>
      </c>
      <c r="K57" s="2198">
        <f t="shared" si="72"/>
        <v>3211439</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3">+D37-D52</f>
        <v>0</v>
      </c>
      <c r="E60" s="396">
        <f>+E37-E52</f>
        <v>2042799</v>
      </c>
      <c r="F60" s="396">
        <f t="shared" si="73"/>
        <v>0</v>
      </c>
      <c r="G60" s="396">
        <f t="shared" si="73"/>
        <v>0</v>
      </c>
      <c r="H60" s="396">
        <f t="shared" si="73"/>
        <v>0</v>
      </c>
      <c r="I60" s="396">
        <f t="shared" si="73"/>
        <v>0</v>
      </c>
      <c r="J60" s="460">
        <f t="shared" si="73"/>
        <v>0</v>
      </c>
      <c r="K60" s="460">
        <f t="shared" si="73"/>
        <v>3211439</v>
      </c>
      <c r="L60" s="460">
        <f t="shared" si="73"/>
        <v>0</v>
      </c>
      <c r="M60" s="460">
        <f t="shared" si="73"/>
        <v>0</v>
      </c>
      <c r="N60" s="460">
        <f t="shared" si="73"/>
        <v>0</v>
      </c>
      <c r="O60" s="460">
        <f t="shared" si="73"/>
        <v>0</v>
      </c>
      <c r="P60" s="460">
        <f t="shared" si="73"/>
        <v>0</v>
      </c>
      <c r="Q60" s="460">
        <f t="shared" si="73"/>
        <v>0</v>
      </c>
      <c r="R60" s="460">
        <f t="shared" si="73"/>
        <v>0</v>
      </c>
      <c r="S60" s="460">
        <f t="shared" si="73"/>
        <v>0</v>
      </c>
      <c r="T60" s="460">
        <f t="shared" si="73"/>
        <v>0</v>
      </c>
      <c r="U60" s="460">
        <f t="shared" si="73"/>
        <v>0</v>
      </c>
      <c r="V60" s="460">
        <f t="shared" si="73"/>
        <v>0</v>
      </c>
      <c r="W60" s="460">
        <f t="shared" si="73"/>
        <v>3211439</v>
      </c>
      <c r="X60" s="396">
        <f t="shared" si="73"/>
        <v>0</v>
      </c>
      <c r="Y60" s="396">
        <f t="shared" si="73"/>
        <v>0</v>
      </c>
      <c r="Z60" s="396">
        <f t="shared" si="73"/>
        <v>0</v>
      </c>
      <c r="AA60" s="396">
        <f t="shared" si="73"/>
        <v>0</v>
      </c>
      <c r="AB60" s="396">
        <f t="shared" si="73"/>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PhPtZMx8yAEAE/QIxrsChKlJ+4/7dc39fmClF715mg8GYHsPA2S7JaNsYWOebUfYpy6RtDIauO5LDas/YnKqkQ==" saltValue="k4eMEXLih7c6hC5iyHFs1Q==" spinCount="100000" sheet="1" selectLockedCells="1" selectUnlockedCells="1"/>
  <mergeCells count="5">
    <mergeCell ref="A2:AI2"/>
    <mergeCell ref="A56:B56"/>
    <mergeCell ref="F59:G59"/>
    <mergeCell ref="A1:AI1"/>
    <mergeCell ref="A3:B3"/>
  </mergeCells>
  <phoneticPr fontId="143" type="noConversion"/>
  <printOptions horizontalCentered="1"/>
  <pageMargins left="0.15748031496062992" right="0.15748031496062992" top="0.47244094488188981" bottom="0.55118110236220474" header="0.51181102362204722" footer="0.31496062992125984"/>
  <pageSetup paperSize="9" scale="70" firstPageNumber="0" orientation="portrait" r:id="rId1"/>
  <headerFooter alignWithMargins="0">
    <oddFooter>&amp;C&amp;"Arial CE,Félkövér"&amp;14&amp;P/&amp;N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80A08-ADE4-4FCB-9500-7FF01C2D73C8}">
  <sheetPr>
    <tabColor indexed="60"/>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2"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16384" width="8" style="396"/>
  </cols>
  <sheetData>
    <row r="1" spans="1:37" s="397" customFormat="1" ht="21" customHeight="1">
      <c r="A1" s="3666" t="s">
        <v>4268</v>
      </c>
      <c r="B1" s="3666"/>
      <c r="C1" s="3666"/>
      <c r="D1" s="3666"/>
      <c r="E1" s="3666"/>
      <c r="F1" s="3666"/>
      <c r="G1" s="3666"/>
      <c r="H1" s="3666"/>
      <c r="I1" s="3666"/>
      <c r="J1" s="3666"/>
      <c r="K1" s="3666"/>
      <c r="L1" s="3666"/>
      <c r="M1" s="3666"/>
      <c r="N1" s="3666"/>
      <c r="O1" s="3666"/>
      <c r="P1" s="3666"/>
      <c r="Q1" s="3666"/>
      <c r="R1" s="3666"/>
      <c r="S1" s="3666"/>
      <c r="T1" s="3666"/>
      <c r="U1" s="3666"/>
      <c r="V1" s="3666"/>
      <c r="W1" s="3666"/>
      <c r="X1" s="3666"/>
      <c r="Y1" s="3666"/>
      <c r="Z1" s="3666"/>
      <c r="AA1" s="3666"/>
      <c r="AB1" s="3666"/>
      <c r="AC1" s="3666"/>
      <c r="AD1" s="3666"/>
      <c r="AE1" s="3666"/>
      <c r="AF1" s="3666"/>
      <c r="AG1" s="3666"/>
      <c r="AH1" s="3666"/>
      <c r="AI1" s="3666"/>
    </row>
    <row r="2" spans="1:37" s="398" customFormat="1" ht="21" customHeight="1">
      <c r="A2" s="3661" t="s">
        <v>3432</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4.2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AC8" si="0">SUM(D9:D19)</f>
        <v>15767512</v>
      </c>
      <c r="E8" s="2715">
        <f t="shared" si="0"/>
        <v>21244277</v>
      </c>
      <c r="F8" s="1213">
        <f t="shared" si="0"/>
        <v>17273276</v>
      </c>
      <c r="G8" s="1213">
        <f t="shared" si="0"/>
        <v>18171520</v>
      </c>
      <c r="H8" s="1213">
        <f t="shared" si="0"/>
        <v>20054626</v>
      </c>
      <c r="I8" s="1213">
        <f t="shared" si="0"/>
        <v>22318910</v>
      </c>
      <c r="J8" s="1213">
        <f t="shared" si="0"/>
        <v>22318910</v>
      </c>
      <c r="K8" s="3208">
        <f t="shared" si="0"/>
        <v>22318910</v>
      </c>
      <c r="L8" s="1213">
        <f t="shared" si="0"/>
        <v>0</v>
      </c>
      <c r="M8" s="1213">
        <f t="shared" si="0"/>
        <v>0</v>
      </c>
      <c r="N8" s="1213">
        <f t="shared" si="0"/>
        <v>0</v>
      </c>
      <c r="O8" s="1213">
        <f t="shared" si="0"/>
        <v>0</v>
      </c>
      <c r="P8" s="1213">
        <f t="shared" si="0"/>
        <v>0</v>
      </c>
      <c r="Q8" s="1213">
        <f t="shared" si="0"/>
        <v>0</v>
      </c>
      <c r="R8" s="1213">
        <f t="shared" si="0"/>
        <v>17273276</v>
      </c>
      <c r="S8" s="1213">
        <f t="shared" si="0"/>
        <v>18171520</v>
      </c>
      <c r="T8" s="1213">
        <f t="shared" si="0"/>
        <v>20054626</v>
      </c>
      <c r="U8" s="1213">
        <f t="shared" si="0"/>
        <v>22318910</v>
      </c>
      <c r="V8" s="1213">
        <f t="shared" si="0"/>
        <v>22318910</v>
      </c>
      <c r="W8" s="1213">
        <f t="shared" si="0"/>
        <v>22318910</v>
      </c>
      <c r="X8" s="1213">
        <f t="shared" si="0"/>
        <v>0</v>
      </c>
      <c r="Y8" s="1213">
        <f t="shared" si="0"/>
        <v>0</v>
      </c>
      <c r="Z8" s="1213">
        <f t="shared" si="0"/>
        <v>0</v>
      </c>
      <c r="AA8" s="1213">
        <f t="shared" si="0"/>
        <v>0</v>
      </c>
      <c r="AB8" s="1213">
        <f t="shared" si="0"/>
        <v>0</v>
      </c>
      <c r="AC8" s="1213">
        <f t="shared" si="0"/>
        <v>0</v>
      </c>
      <c r="AD8" s="1284"/>
      <c r="AE8" s="1213">
        <f t="shared" ref="AE8:AE17" si="1">+G8-F8</f>
        <v>898244</v>
      </c>
      <c r="AF8" s="1213">
        <f t="shared" ref="AF8:AF37" si="2">+H8-G8</f>
        <v>1883106</v>
      </c>
      <c r="AG8" s="1213">
        <f t="shared" ref="AG8:AH10" si="3">+I8-H8</f>
        <v>2264284</v>
      </c>
      <c r="AH8" s="2919">
        <f t="shared" si="3"/>
        <v>0</v>
      </c>
      <c r="AI8" s="1829">
        <f>+K8/I8</f>
        <v>1</v>
      </c>
      <c r="AJ8" s="417">
        <f>+F8-D8</f>
        <v>1505764</v>
      </c>
      <c r="AK8" s="412"/>
    </row>
    <row r="9" spans="1:37" s="416" customFormat="1" ht="15">
      <c r="A9" s="2933"/>
      <c r="B9" s="1285" t="s">
        <v>176</v>
      </c>
      <c r="C9" s="1286" t="s">
        <v>226</v>
      </c>
      <c r="D9" s="1287">
        <v>0</v>
      </c>
      <c r="E9" s="2716">
        <v>0</v>
      </c>
      <c r="F9" s="1287">
        <v>0</v>
      </c>
      <c r="G9" s="1287">
        <f t="shared" ref="G9:G17" si="4">+F9</f>
        <v>0</v>
      </c>
      <c r="H9" s="1287">
        <f t="shared" ref="H9:H19" si="5">+G9</f>
        <v>0</v>
      </c>
      <c r="I9" s="1287">
        <f t="shared" ref="I9:I17" si="6">+H9</f>
        <v>0</v>
      </c>
      <c r="J9" s="1287">
        <f t="shared" ref="J9:J19" si="7">+I9</f>
        <v>0</v>
      </c>
      <c r="K9" s="3219">
        <v>0</v>
      </c>
      <c r="L9" s="1287">
        <v>0</v>
      </c>
      <c r="M9" s="1287">
        <f t="shared" ref="M9:M17" si="8">+L9</f>
        <v>0</v>
      </c>
      <c r="N9" s="1287">
        <f t="shared" ref="N9:N19" si="9">+M9</f>
        <v>0</v>
      </c>
      <c r="O9" s="1287">
        <f t="shared" ref="O9:O17" si="10">+N9</f>
        <v>0</v>
      </c>
      <c r="P9" s="1287">
        <f t="shared" ref="P9:P17" si="11">+O9</f>
        <v>0</v>
      </c>
      <c r="Q9" s="1287">
        <v>0</v>
      </c>
      <c r="R9" s="1287">
        <v>0</v>
      </c>
      <c r="S9" s="1287">
        <f t="shared" ref="S9:S17" si="12">+R9</f>
        <v>0</v>
      </c>
      <c r="T9" s="1287">
        <f t="shared" ref="T9:T19" si="13">+S9</f>
        <v>0</v>
      </c>
      <c r="U9" s="1287">
        <f t="shared" ref="U9:U17" si="14">+T9</f>
        <v>0</v>
      </c>
      <c r="V9" s="1287">
        <f t="shared" ref="V9:V17" si="15">+U9</f>
        <v>0</v>
      </c>
      <c r="W9" s="1287">
        <f>+K9</f>
        <v>0</v>
      </c>
      <c r="X9" s="1287"/>
      <c r="Y9" s="1287">
        <f t="shared" ref="Y9:Y17" si="16">+X9</f>
        <v>0</v>
      </c>
      <c r="Z9" s="1287">
        <f t="shared" ref="Z9:Z17" si="17">+Y9</f>
        <v>0</v>
      </c>
      <c r="AA9" s="1287">
        <f t="shared" ref="AA9:AA17" si="18">+Z9</f>
        <v>0</v>
      </c>
      <c r="AB9" s="1287">
        <f t="shared" ref="AB9:AB17" si="19">+AA9</f>
        <v>0</v>
      </c>
      <c r="AC9" s="1287">
        <f t="shared" ref="AC9:AC17" si="20">+AB9</f>
        <v>0</v>
      </c>
      <c r="AD9" s="1284"/>
      <c r="AE9" s="1213">
        <f t="shared" si="1"/>
        <v>0</v>
      </c>
      <c r="AF9" s="1213">
        <f t="shared" si="2"/>
        <v>0</v>
      </c>
      <c r="AG9" s="1213">
        <f t="shared" si="3"/>
        <v>0</v>
      </c>
      <c r="AH9" s="2919">
        <f t="shared" si="3"/>
        <v>0</v>
      </c>
      <c r="AI9" s="1834"/>
      <c r="AJ9" s="417">
        <f t="shared" ref="AJ9:AJ37" si="21">+F9-D9</f>
        <v>0</v>
      </c>
      <c r="AK9" s="420"/>
    </row>
    <row r="10" spans="1:37" s="416" customFormat="1" ht="15">
      <c r="A10" s="2933"/>
      <c r="B10" s="1285" t="s">
        <v>178</v>
      </c>
      <c r="C10" s="1286" t="s">
        <v>1718</v>
      </c>
      <c r="D10" s="1287">
        <v>313193</v>
      </c>
      <c r="E10" s="2716">
        <v>236033</v>
      </c>
      <c r="F10" s="1287">
        <v>188852</v>
      </c>
      <c r="G10" s="1287">
        <f t="shared" si="4"/>
        <v>188852</v>
      </c>
      <c r="H10" s="1287">
        <f t="shared" si="5"/>
        <v>188852</v>
      </c>
      <c r="I10" s="1287">
        <f>+H10-81591</f>
        <v>107261</v>
      </c>
      <c r="J10" s="1287">
        <f t="shared" si="7"/>
        <v>107261</v>
      </c>
      <c r="K10" s="3219">
        <v>107261</v>
      </c>
      <c r="L10" s="1287">
        <v>0</v>
      </c>
      <c r="M10" s="1287">
        <f t="shared" si="8"/>
        <v>0</v>
      </c>
      <c r="N10" s="1287">
        <f t="shared" si="9"/>
        <v>0</v>
      </c>
      <c r="O10" s="1287">
        <f t="shared" si="10"/>
        <v>0</v>
      </c>
      <c r="P10" s="1287">
        <f t="shared" si="11"/>
        <v>0</v>
      </c>
      <c r="Q10" s="1287">
        <v>0</v>
      </c>
      <c r="R10" s="1287">
        <f>+F10</f>
        <v>188852</v>
      </c>
      <c r="S10" s="1287">
        <f t="shared" si="12"/>
        <v>188852</v>
      </c>
      <c r="T10" s="1287">
        <f t="shared" si="13"/>
        <v>188852</v>
      </c>
      <c r="U10" s="1287">
        <f>+T10-81591</f>
        <v>107261</v>
      </c>
      <c r="V10" s="1287">
        <f t="shared" si="15"/>
        <v>107261</v>
      </c>
      <c r="W10" s="1287">
        <f t="shared" ref="W10:W19" si="22">+K10</f>
        <v>107261</v>
      </c>
      <c r="X10" s="1287"/>
      <c r="Y10" s="1287">
        <f t="shared" si="16"/>
        <v>0</v>
      </c>
      <c r="Z10" s="1287">
        <f t="shared" si="17"/>
        <v>0</v>
      </c>
      <c r="AA10" s="1287">
        <f t="shared" si="18"/>
        <v>0</v>
      </c>
      <c r="AB10" s="1287">
        <f t="shared" si="19"/>
        <v>0</v>
      </c>
      <c r="AC10" s="1287">
        <f t="shared" si="20"/>
        <v>0</v>
      </c>
      <c r="AD10" s="1284"/>
      <c r="AE10" s="1213">
        <f t="shared" si="1"/>
        <v>0</v>
      </c>
      <c r="AF10" s="1213">
        <f t="shared" si="2"/>
        <v>0</v>
      </c>
      <c r="AG10" s="1213">
        <f t="shared" si="3"/>
        <v>-81591</v>
      </c>
      <c r="AH10" s="2919">
        <f t="shared" si="3"/>
        <v>0</v>
      </c>
      <c r="AI10" s="1834">
        <f>+K10/I10</f>
        <v>1</v>
      </c>
      <c r="AJ10" s="417">
        <f t="shared" si="21"/>
        <v>-124341</v>
      </c>
      <c r="AK10" s="420"/>
    </row>
    <row r="11" spans="1:37" s="416" customFormat="1" ht="15">
      <c r="A11" s="2933"/>
      <c r="B11" s="1289" t="s">
        <v>179</v>
      </c>
      <c r="C11" s="1286" t="s">
        <v>460</v>
      </c>
      <c r="D11" s="1287">
        <v>0</v>
      </c>
      <c r="E11" s="2716">
        <v>0</v>
      </c>
      <c r="F11" s="1287">
        <v>0</v>
      </c>
      <c r="G11" s="1287">
        <f t="shared" si="4"/>
        <v>0</v>
      </c>
      <c r="H11" s="1287">
        <f t="shared" si="5"/>
        <v>0</v>
      </c>
      <c r="I11" s="1287">
        <f t="shared" si="6"/>
        <v>0</v>
      </c>
      <c r="J11" s="1287">
        <f t="shared" si="7"/>
        <v>0</v>
      </c>
      <c r="K11" s="3219">
        <v>0</v>
      </c>
      <c r="L11" s="1287">
        <v>0</v>
      </c>
      <c r="M11" s="1287">
        <f t="shared" si="8"/>
        <v>0</v>
      </c>
      <c r="N11" s="1287">
        <f t="shared" si="9"/>
        <v>0</v>
      </c>
      <c r="O11" s="1287">
        <f t="shared" si="10"/>
        <v>0</v>
      </c>
      <c r="P11" s="1287">
        <f t="shared" si="11"/>
        <v>0</v>
      </c>
      <c r="Q11" s="1287">
        <v>0</v>
      </c>
      <c r="R11" s="1287">
        <v>0</v>
      </c>
      <c r="S11" s="1287">
        <f t="shared" si="12"/>
        <v>0</v>
      </c>
      <c r="T11" s="1287">
        <f t="shared" si="13"/>
        <v>0</v>
      </c>
      <c r="U11" s="1287">
        <f t="shared" si="14"/>
        <v>0</v>
      </c>
      <c r="V11" s="1287">
        <f t="shared" si="15"/>
        <v>0</v>
      </c>
      <c r="W11" s="1287">
        <f t="shared" si="22"/>
        <v>0</v>
      </c>
      <c r="X11" s="1287"/>
      <c r="Y11" s="1287">
        <f t="shared" si="16"/>
        <v>0</v>
      </c>
      <c r="Z11" s="1287">
        <f t="shared" si="17"/>
        <v>0</v>
      </c>
      <c r="AA11" s="1287">
        <f t="shared" si="18"/>
        <v>0</v>
      </c>
      <c r="AB11" s="1287">
        <f t="shared" si="19"/>
        <v>0</v>
      </c>
      <c r="AC11" s="1287">
        <f t="shared" si="20"/>
        <v>0</v>
      </c>
      <c r="AD11" s="1284"/>
      <c r="AE11" s="1213">
        <f t="shared" si="1"/>
        <v>0</v>
      </c>
      <c r="AF11" s="1213">
        <f t="shared" si="2"/>
        <v>0</v>
      </c>
      <c r="AG11" s="1213">
        <f t="shared" ref="AG11:AG16" si="23">+I11-H11</f>
        <v>0</v>
      </c>
      <c r="AH11" s="2919">
        <f t="shared" ref="AH11:AH16" si="24">+J11-I11</f>
        <v>0</v>
      </c>
      <c r="AI11" s="1834"/>
      <c r="AJ11" s="417">
        <f t="shared" si="21"/>
        <v>0</v>
      </c>
      <c r="AK11" s="420"/>
    </row>
    <row r="12" spans="1:37" s="416" customFormat="1" ht="15">
      <c r="A12" s="2933"/>
      <c r="B12" s="1289" t="s">
        <v>180</v>
      </c>
      <c r="C12" s="1286" t="s">
        <v>232</v>
      </c>
      <c r="D12" s="1287">
        <v>0</v>
      </c>
      <c r="E12" s="2716">
        <v>0</v>
      </c>
      <c r="F12" s="1287">
        <v>0</v>
      </c>
      <c r="G12" s="1287">
        <f t="shared" si="4"/>
        <v>0</v>
      </c>
      <c r="H12" s="1287">
        <f t="shared" si="5"/>
        <v>0</v>
      </c>
      <c r="I12" s="1287">
        <f t="shared" si="6"/>
        <v>0</v>
      </c>
      <c r="J12" s="1287">
        <f t="shared" si="7"/>
        <v>0</v>
      </c>
      <c r="K12" s="3219">
        <v>0</v>
      </c>
      <c r="L12" s="1287">
        <v>0</v>
      </c>
      <c r="M12" s="1287">
        <f t="shared" si="8"/>
        <v>0</v>
      </c>
      <c r="N12" s="1287">
        <f t="shared" si="9"/>
        <v>0</v>
      </c>
      <c r="O12" s="1287">
        <f t="shared" si="10"/>
        <v>0</v>
      </c>
      <c r="P12" s="1287">
        <f t="shared" si="11"/>
        <v>0</v>
      </c>
      <c r="Q12" s="1287">
        <v>0</v>
      </c>
      <c r="R12" s="1287">
        <v>0</v>
      </c>
      <c r="S12" s="1287">
        <f t="shared" si="12"/>
        <v>0</v>
      </c>
      <c r="T12" s="1287">
        <f t="shared" si="13"/>
        <v>0</v>
      </c>
      <c r="U12" s="1287">
        <f t="shared" si="14"/>
        <v>0</v>
      </c>
      <c r="V12" s="1287">
        <f t="shared" si="15"/>
        <v>0</v>
      </c>
      <c r="W12" s="1287">
        <f t="shared" si="22"/>
        <v>0</v>
      </c>
      <c r="X12" s="1287"/>
      <c r="Y12" s="1287">
        <f t="shared" si="16"/>
        <v>0</v>
      </c>
      <c r="Z12" s="1287">
        <f t="shared" si="17"/>
        <v>0</v>
      </c>
      <c r="AA12" s="1287">
        <f t="shared" si="18"/>
        <v>0</v>
      </c>
      <c r="AB12" s="1287">
        <f t="shared" si="19"/>
        <v>0</v>
      </c>
      <c r="AC12" s="1287">
        <f t="shared" si="20"/>
        <v>0</v>
      </c>
      <c r="AD12" s="1284"/>
      <c r="AE12" s="1213">
        <f t="shared" si="1"/>
        <v>0</v>
      </c>
      <c r="AF12" s="1213">
        <f t="shared" si="2"/>
        <v>0</v>
      </c>
      <c r="AG12" s="1213">
        <f t="shared" si="23"/>
        <v>0</v>
      </c>
      <c r="AH12" s="2919">
        <f t="shared" si="24"/>
        <v>0</v>
      </c>
      <c r="AI12" s="1834"/>
      <c r="AJ12" s="417">
        <f t="shared" si="21"/>
        <v>0</v>
      </c>
      <c r="AK12" s="420"/>
    </row>
    <row r="13" spans="1:37" s="416" customFormat="1" ht="15">
      <c r="A13" s="2933"/>
      <c r="B13" s="1289" t="s">
        <v>181</v>
      </c>
      <c r="C13" s="1286" t="s">
        <v>234</v>
      </c>
      <c r="D13" s="1287">
        <v>11272261</v>
      </c>
      <c r="E13" s="2716">
        <v>11774452</v>
      </c>
      <c r="F13" s="1287">
        <v>12916467</v>
      </c>
      <c r="G13" s="1287">
        <f t="shared" si="4"/>
        <v>12916467</v>
      </c>
      <c r="H13" s="1287">
        <f t="shared" si="5"/>
        <v>12916467</v>
      </c>
      <c r="I13" s="1287">
        <f>+H13+52540</f>
        <v>12969007</v>
      </c>
      <c r="J13" s="1287">
        <f t="shared" si="7"/>
        <v>12969007</v>
      </c>
      <c r="K13" s="3219">
        <v>12969007</v>
      </c>
      <c r="L13" s="1287">
        <v>0</v>
      </c>
      <c r="M13" s="1287">
        <f t="shared" si="8"/>
        <v>0</v>
      </c>
      <c r="N13" s="1287">
        <f t="shared" si="9"/>
        <v>0</v>
      </c>
      <c r="O13" s="1287">
        <f t="shared" si="10"/>
        <v>0</v>
      </c>
      <c r="P13" s="1287">
        <f t="shared" si="11"/>
        <v>0</v>
      </c>
      <c r="Q13" s="1287">
        <v>0</v>
      </c>
      <c r="R13" s="1287">
        <f>+F13</f>
        <v>12916467</v>
      </c>
      <c r="S13" s="1287">
        <f t="shared" si="12"/>
        <v>12916467</v>
      </c>
      <c r="T13" s="1287">
        <f t="shared" si="13"/>
        <v>12916467</v>
      </c>
      <c r="U13" s="1287">
        <f>+T13+52540</f>
        <v>12969007</v>
      </c>
      <c r="V13" s="1287">
        <f t="shared" si="15"/>
        <v>12969007</v>
      </c>
      <c r="W13" s="1287">
        <f t="shared" si="22"/>
        <v>12969007</v>
      </c>
      <c r="X13" s="1287"/>
      <c r="Y13" s="1287">
        <f t="shared" si="16"/>
        <v>0</v>
      </c>
      <c r="Z13" s="1287">
        <f t="shared" si="17"/>
        <v>0</v>
      </c>
      <c r="AA13" s="1287">
        <f t="shared" si="18"/>
        <v>0</v>
      </c>
      <c r="AB13" s="1287">
        <f t="shared" si="19"/>
        <v>0</v>
      </c>
      <c r="AC13" s="1287">
        <f t="shared" si="20"/>
        <v>0</v>
      </c>
      <c r="AD13" s="1284"/>
      <c r="AE13" s="1213">
        <f t="shared" si="1"/>
        <v>0</v>
      </c>
      <c r="AF13" s="1213">
        <f t="shared" si="2"/>
        <v>0</v>
      </c>
      <c r="AG13" s="1213">
        <f t="shared" si="23"/>
        <v>52540</v>
      </c>
      <c r="AH13" s="2919">
        <f t="shared" si="24"/>
        <v>0</v>
      </c>
      <c r="AI13" s="1834">
        <f>+K13/I13</f>
        <v>1</v>
      </c>
      <c r="AJ13" s="417">
        <f t="shared" si="21"/>
        <v>1644206</v>
      </c>
      <c r="AK13" s="420"/>
    </row>
    <row r="14" spans="1:37" s="416" customFormat="1" ht="15">
      <c r="A14" s="2933"/>
      <c r="B14" s="1289" t="s">
        <v>183</v>
      </c>
      <c r="C14" s="1286" t="s">
        <v>887</v>
      </c>
      <c r="D14" s="1287">
        <v>3128073</v>
      </c>
      <c r="E14" s="2716">
        <v>3250319</v>
      </c>
      <c r="F14" s="1287">
        <v>3538436</v>
      </c>
      <c r="G14" s="1287">
        <f t="shared" si="4"/>
        <v>3538436</v>
      </c>
      <c r="H14" s="1287">
        <f t="shared" si="5"/>
        <v>3538436</v>
      </c>
      <c r="I14" s="1287">
        <f>+H14-28370</f>
        <v>3510066</v>
      </c>
      <c r="J14" s="1287">
        <f t="shared" si="7"/>
        <v>3510066</v>
      </c>
      <c r="K14" s="3219">
        <v>3510066</v>
      </c>
      <c r="L14" s="1287">
        <v>0</v>
      </c>
      <c r="M14" s="1287">
        <f t="shared" si="8"/>
        <v>0</v>
      </c>
      <c r="N14" s="1287">
        <f t="shared" si="9"/>
        <v>0</v>
      </c>
      <c r="O14" s="1287">
        <f t="shared" si="10"/>
        <v>0</v>
      </c>
      <c r="P14" s="1287">
        <f t="shared" si="11"/>
        <v>0</v>
      </c>
      <c r="Q14" s="1287">
        <v>0</v>
      </c>
      <c r="R14" s="1287">
        <f>+F14</f>
        <v>3538436</v>
      </c>
      <c r="S14" s="1287">
        <f t="shared" si="12"/>
        <v>3538436</v>
      </c>
      <c r="T14" s="1287">
        <f t="shared" si="13"/>
        <v>3538436</v>
      </c>
      <c r="U14" s="1287">
        <f>+T14-28370</f>
        <v>3510066</v>
      </c>
      <c r="V14" s="1287">
        <f t="shared" si="15"/>
        <v>3510066</v>
      </c>
      <c r="W14" s="1287">
        <f t="shared" si="22"/>
        <v>3510066</v>
      </c>
      <c r="X14" s="1287"/>
      <c r="Y14" s="1287">
        <f t="shared" si="16"/>
        <v>0</v>
      </c>
      <c r="Z14" s="1287">
        <f t="shared" si="17"/>
        <v>0</v>
      </c>
      <c r="AA14" s="1287">
        <f t="shared" si="18"/>
        <v>0</v>
      </c>
      <c r="AB14" s="1287">
        <f t="shared" si="19"/>
        <v>0</v>
      </c>
      <c r="AC14" s="1287">
        <f t="shared" si="20"/>
        <v>0</v>
      </c>
      <c r="AD14" s="1284"/>
      <c r="AE14" s="1213">
        <f t="shared" si="1"/>
        <v>0</v>
      </c>
      <c r="AF14" s="1213">
        <f t="shared" si="2"/>
        <v>0</v>
      </c>
      <c r="AG14" s="1213">
        <f t="shared" si="23"/>
        <v>-28370</v>
      </c>
      <c r="AH14" s="2919">
        <f t="shared" si="24"/>
        <v>0</v>
      </c>
      <c r="AI14" s="1834">
        <f>+K14/I14</f>
        <v>1</v>
      </c>
      <c r="AJ14" s="417">
        <f t="shared" si="21"/>
        <v>410363</v>
      </c>
      <c r="AK14" s="420"/>
    </row>
    <row r="15" spans="1:37" s="416" customFormat="1" ht="15">
      <c r="A15" s="2933"/>
      <c r="B15" s="1289" t="s">
        <v>321</v>
      </c>
      <c r="C15" s="1290" t="s">
        <v>238</v>
      </c>
      <c r="D15" s="1287">
        <v>0</v>
      </c>
      <c r="E15" s="2716">
        <v>4700982</v>
      </c>
      <c r="F15" s="1287">
        <v>0</v>
      </c>
      <c r="G15" s="1287">
        <f>+F15+898244</f>
        <v>898244</v>
      </c>
      <c r="H15" s="1287">
        <f>+G15+1883106</f>
        <v>2781350</v>
      </c>
      <c r="I15" s="1287">
        <f>+H15+701273+1851000</f>
        <v>5333623</v>
      </c>
      <c r="J15" s="1287">
        <f t="shared" si="7"/>
        <v>5333623</v>
      </c>
      <c r="K15" s="3219">
        <v>5333623</v>
      </c>
      <c r="L15" s="1287">
        <v>0</v>
      </c>
      <c r="M15" s="1287">
        <f t="shared" si="8"/>
        <v>0</v>
      </c>
      <c r="N15" s="1287">
        <f t="shared" si="9"/>
        <v>0</v>
      </c>
      <c r="O15" s="1287">
        <f t="shared" si="10"/>
        <v>0</v>
      </c>
      <c r="P15" s="1287">
        <f t="shared" si="11"/>
        <v>0</v>
      </c>
      <c r="Q15" s="1287">
        <v>0</v>
      </c>
      <c r="R15" s="1287">
        <f>0</f>
        <v>0</v>
      </c>
      <c r="S15" s="1287">
        <f>+R15+898244</f>
        <v>898244</v>
      </c>
      <c r="T15" s="1287">
        <f>+S15+1883106</f>
        <v>2781350</v>
      </c>
      <c r="U15" s="1287">
        <f>+T15+701273+1851000</f>
        <v>5333623</v>
      </c>
      <c r="V15" s="1287">
        <f t="shared" si="15"/>
        <v>5333623</v>
      </c>
      <c r="W15" s="1287">
        <f t="shared" si="22"/>
        <v>5333623</v>
      </c>
      <c r="X15" s="1287"/>
      <c r="Y15" s="1287">
        <f t="shared" si="16"/>
        <v>0</v>
      </c>
      <c r="Z15" s="1287">
        <f t="shared" si="17"/>
        <v>0</v>
      </c>
      <c r="AA15" s="1287">
        <f t="shared" si="18"/>
        <v>0</v>
      </c>
      <c r="AB15" s="1287">
        <f t="shared" si="19"/>
        <v>0</v>
      </c>
      <c r="AC15" s="1287">
        <f t="shared" si="20"/>
        <v>0</v>
      </c>
      <c r="AD15" s="1284"/>
      <c r="AE15" s="1213">
        <f t="shared" si="1"/>
        <v>898244</v>
      </c>
      <c r="AF15" s="1213">
        <f t="shared" si="2"/>
        <v>1883106</v>
      </c>
      <c r="AG15" s="1213">
        <f t="shared" si="23"/>
        <v>2552273</v>
      </c>
      <c r="AH15" s="2919">
        <f t="shared" si="24"/>
        <v>0</v>
      </c>
      <c r="AI15" s="1834">
        <f>+K15/I15</f>
        <v>1</v>
      </c>
      <c r="AJ15" s="417">
        <f t="shared" si="21"/>
        <v>0</v>
      </c>
      <c r="AK15" s="420"/>
    </row>
    <row r="16" spans="1:37" s="416" customFormat="1" ht="15">
      <c r="A16" s="2933"/>
      <c r="B16" s="1289" t="s">
        <v>323</v>
      </c>
      <c r="C16" s="1286" t="s">
        <v>1277</v>
      </c>
      <c r="D16" s="1287">
        <v>1053985</v>
      </c>
      <c r="E16" s="2716">
        <v>1055883</v>
      </c>
      <c r="F16" s="1287">
        <v>629521</v>
      </c>
      <c r="G16" s="1287">
        <f>+F16</f>
        <v>629521</v>
      </c>
      <c r="H16" s="1287">
        <f>+G16</f>
        <v>629521</v>
      </c>
      <c r="I16" s="1287">
        <f>+H16-248363</f>
        <v>381158</v>
      </c>
      <c r="J16" s="1287">
        <f t="shared" si="7"/>
        <v>381158</v>
      </c>
      <c r="K16" s="3219">
        <v>381158</v>
      </c>
      <c r="L16" s="1287">
        <v>0</v>
      </c>
      <c r="M16" s="1287">
        <f t="shared" si="8"/>
        <v>0</v>
      </c>
      <c r="N16" s="1287">
        <f t="shared" si="9"/>
        <v>0</v>
      </c>
      <c r="O16" s="1287">
        <f t="shared" si="10"/>
        <v>0</v>
      </c>
      <c r="P16" s="1287">
        <f t="shared" si="11"/>
        <v>0</v>
      </c>
      <c r="Q16" s="1287">
        <v>0</v>
      </c>
      <c r="R16" s="1287">
        <f>+F16</f>
        <v>629521</v>
      </c>
      <c r="S16" s="1287">
        <f>+R16</f>
        <v>629521</v>
      </c>
      <c r="T16" s="1287">
        <f>+S16</f>
        <v>629521</v>
      </c>
      <c r="U16" s="1287">
        <f>+T16-248363</f>
        <v>381158</v>
      </c>
      <c r="V16" s="1287">
        <f t="shared" si="15"/>
        <v>381158</v>
      </c>
      <c r="W16" s="1287">
        <f t="shared" si="22"/>
        <v>381158</v>
      </c>
      <c r="X16" s="1287"/>
      <c r="Y16" s="1287">
        <f t="shared" si="16"/>
        <v>0</v>
      </c>
      <c r="Z16" s="1287">
        <f t="shared" si="17"/>
        <v>0</v>
      </c>
      <c r="AA16" s="1287">
        <f t="shared" si="18"/>
        <v>0</v>
      </c>
      <c r="AB16" s="1287">
        <f t="shared" si="19"/>
        <v>0</v>
      </c>
      <c r="AC16" s="1287">
        <f t="shared" si="20"/>
        <v>0</v>
      </c>
      <c r="AD16" s="1665"/>
      <c r="AE16" s="1213">
        <f t="shared" si="1"/>
        <v>0</v>
      </c>
      <c r="AF16" s="1213">
        <f t="shared" si="2"/>
        <v>0</v>
      </c>
      <c r="AG16" s="1213">
        <f t="shared" si="23"/>
        <v>-248363</v>
      </c>
      <c r="AH16" s="2919">
        <f t="shared" si="24"/>
        <v>0</v>
      </c>
      <c r="AI16" s="1834">
        <f>+K16/I16</f>
        <v>1</v>
      </c>
      <c r="AJ16" s="417">
        <f t="shared" si="21"/>
        <v>-424464</v>
      </c>
      <c r="AK16" s="420"/>
    </row>
    <row r="17" spans="1:37" s="416" customFormat="1" ht="15">
      <c r="A17" s="2933"/>
      <c r="B17" s="1289" t="s">
        <v>325</v>
      </c>
      <c r="C17" s="1286" t="s">
        <v>242</v>
      </c>
      <c r="D17" s="1287">
        <v>0</v>
      </c>
      <c r="E17" s="2716">
        <v>0</v>
      </c>
      <c r="F17" s="1287">
        <v>0</v>
      </c>
      <c r="G17" s="1287">
        <f t="shared" si="4"/>
        <v>0</v>
      </c>
      <c r="H17" s="1287">
        <f t="shared" si="5"/>
        <v>0</v>
      </c>
      <c r="I17" s="1287">
        <f t="shared" si="6"/>
        <v>0</v>
      </c>
      <c r="J17" s="1287">
        <f t="shared" si="7"/>
        <v>0</v>
      </c>
      <c r="K17" s="3219">
        <v>0</v>
      </c>
      <c r="L17" s="1287">
        <v>0</v>
      </c>
      <c r="M17" s="1287">
        <f t="shared" si="8"/>
        <v>0</v>
      </c>
      <c r="N17" s="1287">
        <f t="shared" si="9"/>
        <v>0</v>
      </c>
      <c r="O17" s="1287">
        <f t="shared" si="10"/>
        <v>0</v>
      </c>
      <c r="P17" s="1287">
        <f t="shared" si="11"/>
        <v>0</v>
      </c>
      <c r="Q17" s="1287">
        <v>0</v>
      </c>
      <c r="R17" s="1287">
        <v>0</v>
      </c>
      <c r="S17" s="1287">
        <f t="shared" si="12"/>
        <v>0</v>
      </c>
      <c r="T17" s="1287">
        <f t="shared" si="13"/>
        <v>0</v>
      </c>
      <c r="U17" s="1287">
        <f t="shared" si="14"/>
        <v>0</v>
      </c>
      <c r="V17" s="1287">
        <f t="shared" si="15"/>
        <v>0</v>
      </c>
      <c r="W17" s="1287">
        <f t="shared" si="22"/>
        <v>0</v>
      </c>
      <c r="X17" s="1287"/>
      <c r="Y17" s="1287">
        <f t="shared" si="16"/>
        <v>0</v>
      </c>
      <c r="Z17" s="1287">
        <f t="shared" si="17"/>
        <v>0</v>
      </c>
      <c r="AA17" s="1287">
        <f t="shared" si="18"/>
        <v>0</v>
      </c>
      <c r="AB17" s="1287">
        <f t="shared" si="19"/>
        <v>0</v>
      </c>
      <c r="AC17" s="1287">
        <f t="shared" si="20"/>
        <v>0</v>
      </c>
      <c r="AD17" s="1284"/>
      <c r="AE17" s="1213">
        <f t="shared" si="1"/>
        <v>0</v>
      </c>
      <c r="AF17" s="1213">
        <f t="shared" si="2"/>
        <v>0</v>
      </c>
      <c r="AG17" s="1213">
        <f t="shared" ref="AG17:AG22" si="25">+I17-H17</f>
        <v>0</v>
      </c>
      <c r="AH17" s="2919">
        <f t="shared" ref="AH17:AH22" si="26">+J17-I17</f>
        <v>0</v>
      </c>
      <c r="AI17" s="1834"/>
      <c r="AJ17" s="417">
        <f t="shared" si="21"/>
        <v>0</v>
      </c>
      <c r="AK17" s="420"/>
    </row>
    <row r="18" spans="1:37" s="416" customFormat="1" ht="15">
      <c r="A18" s="2933"/>
      <c r="B18" s="1289" t="s">
        <v>327</v>
      </c>
      <c r="C18" s="1286" t="s">
        <v>163</v>
      </c>
      <c r="D18" s="1287">
        <v>0</v>
      </c>
      <c r="E18" s="2716">
        <v>0</v>
      </c>
      <c r="F18" s="1287">
        <v>0</v>
      </c>
      <c r="G18" s="1287">
        <v>0</v>
      </c>
      <c r="H18" s="1287">
        <f t="shared" si="5"/>
        <v>0</v>
      </c>
      <c r="I18" s="1287">
        <v>0</v>
      </c>
      <c r="J18" s="1287">
        <f t="shared" si="7"/>
        <v>0</v>
      </c>
      <c r="K18" s="3219">
        <v>0</v>
      </c>
      <c r="L18" s="1287">
        <v>0</v>
      </c>
      <c r="M18" s="1287">
        <v>0</v>
      </c>
      <c r="N18" s="1287">
        <f t="shared" si="9"/>
        <v>0</v>
      </c>
      <c r="O18" s="1287">
        <v>0</v>
      </c>
      <c r="P18" s="1287"/>
      <c r="Q18" s="1287">
        <v>0</v>
      </c>
      <c r="R18" s="1287">
        <v>0</v>
      </c>
      <c r="S18" s="1287">
        <v>0</v>
      </c>
      <c r="T18" s="1287">
        <f t="shared" si="13"/>
        <v>0</v>
      </c>
      <c r="U18" s="1287">
        <v>0</v>
      </c>
      <c r="V18" s="1287"/>
      <c r="W18" s="1287">
        <f t="shared" si="22"/>
        <v>0</v>
      </c>
      <c r="X18" s="1287"/>
      <c r="Y18" s="1287"/>
      <c r="Z18" s="1287"/>
      <c r="AA18" s="1287"/>
      <c r="AB18" s="1287"/>
      <c r="AC18" s="1287"/>
      <c r="AD18" s="1284"/>
      <c r="AE18" s="1213"/>
      <c r="AF18" s="1213">
        <f t="shared" si="2"/>
        <v>0</v>
      </c>
      <c r="AG18" s="1213">
        <f t="shared" si="25"/>
        <v>0</v>
      </c>
      <c r="AH18" s="2919">
        <f t="shared" si="26"/>
        <v>0</v>
      </c>
      <c r="AI18" s="1834"/>
      <c r="AJ18" s="417">
        <f t="shared" si="21"/>
        <v>0</v>
      </c>
      <c r="AK18" s="420"/>
    </row>
    <row r="19" spans="1:37" s="424" customFormat="1" ht="15">
      <c r="A19" s="2933"/>
      <c r="B19" s="1289" t="s">
        <v>329</v>
      </c>
      <c r="C19" s="1286" t="s">
        <v>162</v>
      </c>
      <c r="D19" s="1287">
        <v>0</v>
      </c>
      <c r="E19" s="2716">
        <v>226608</v>
      </c>
      <c r="F19" s="1287">
        <v>0</v>
      </c>
      <c r="G19" s="1287">
        <f>+F19</f>
        <v>0</v>
      </c>
      <c r="H19" s="1287">
        <f t="shared" si="5"/>
        <v>0</v>
      </c>
      <c r="I19" s="1287">
        <f>+H19+17795</f>
        <v>17795</v>
      </c>
      <c r="J19" s="1287">
        <f t="shared" si="7"/>
        <v>17795</v>
      </c>
      <c r="K19" s="3219">
        <v>17795</v>
      </c>
      <c r="L19" s="1287">
        <v>0</v>
      </c>
      <c r="M19" s="1287">
        <f>+L19</f>
        <v>0</v>
      </c>
      <c r="N19" s="1287">
        <f t="shared" si="9"/>
        <v>0</v>
      </c>
      <c r="O19" s="1287">
        <f>+N19</f>
        <v>0</v>
      </c>
      <c r="P19" s="1287">
        <f>+O19</f>
        <v>0</v>
      </c>
      <c r="Q19" s="1287">
        <v>0</v>
      </c>
      <c r="R19" s="1287">
        <v>0</v>
      </c>
      <c r="S19" s="1287">
        <f>+R19</f>
        <v>0</v>
      </c>
      <c r="T19" s="1287">
        <f t="shared" si="13"/>
        <v>0</v>
      </c>
      <c r="U19" s="1287">
        <f>+T19+17795</f>
        <v>17795</v>
      </c>
      <c r="V19" s="1287">
        <f>+U19</f>
        <v>17795</v>
      </c>
      <c r="W19" s="1287">
        <f t="shared" si="22"/>
        <v>17795</v>
      </c>
      <c r="X19" s="1287"/>
      <c r="Y19" s="1287">
        <f>+X19</f>
        <v>0</v>
      </c>
      <c r="Z19" s="1287">
        <f>+Y19</f>
        <v>0</v>
      </c>
      <c r="AA19" s="1287">
        <f>+Z19</f>
        <v>0</v>
      </c>
      <c r="AB19" s="1287">
        <f>+AA19</f>
        <v>0</v>
      </c>
      <c r="AC19" s="1287">
        <f>+AB19</f>
        <v>0</v>
      </c>
      <c r="AD19" s="1284"/>
      <c r="AE19" s="1213">
        <f t="shared" ref="AE19:AE37" si="27">+G19-F19</f>
        <v>0</v>
      </c>
      <c r="AF19" s="1213">
        <f t="shared" si="2"/>
        <v>0</v>
      </c>
      <c r="AG19" s="1213">
        <f t="shared" si="25"/>
        <v>17795</v>
      </c>
      <c r="AH19" s="2919">
        <f t="shared" si="26"/>
        <v>0</v>
      </c>
      <c r="AI19" s="1834">
        <f>+K19/I19</f>
        <v>1</v>
      </c>
      <c r="AJ19" s="417">
        <f t="shared" si="21"/>
        <v>0</v>
      </c>
      <c r="AK19" s="420"/>
    </row>
    <row r="20" spans="1:37" s="424" customFormat="1" ht="15">
      <c r="A20" s="2934" t="s">
        <v>12</v>
      </c>
      <c r="B20" s="1282" t="s">
        <v>12</v>
      </c>
      <c r="C20" s="1283" t="s">
        <v>1278</v>
      </c>
      <c r="D20" s="1213">
        <f t="shared" ref="D20:AC20" si="28">SUM(D21:D22)</f>
        <v>0</v>
      </c>
      <c r="E20" s="2715">
        <f t="shared" si="28"/>
        <v>0</v>
      </c>
      <c r="F20" s="1213">
        <f t="shared" si="28"/>
        <v>0</v>
      </c>
      <c r="G20" s="1213">
        <f t="shared" si="28"/>
        <v>0</v>
      </c>
      <c r="H20" s="1213">
        <f t="shared" si="28"/>
        <v>0</v>
      </c>
      <c r="I20" s="1213">
        <f t="shared" si="28"/>
        <v>0</v>
      </c>
      <c r="J20" s="1213">
        <f t="shared" si="28"/>
        <v>0</v>
      </c>
      <c r="K20" s="3208">
        <f>SUM(K21:K22)</f>
        <v>0</v>
      </c>
      <c r="L20" s="1213">
        <f t="shared" si="28"/>
        <v>0</v>
      </c>
      <c r="M20" s="1213">
        <f t="shared" si="28"/>
        <v>0</v>
      </c>
      <c r="N20" s="1213">
        <f t="shared" si="28"/>
        <v>0</v>
      </c>
      <c r="O20" s="1213">
        <f t="shared" si="28"/>
        <v>0</v>
      </c>
      <c r="P20" s="1213">
        <f t="shared" si="28"/>
        <v>0</v>
      </c>
      <c r="Q20" s="1213">
        <f t="shared" si="28"/>
        <v>0</v>
      </c>
      <c r="R20" s="1213">
        <f t="shared" si="28"/>
        <v>0</v>
      </c>
      <c r="S20" s="1213">
        <f t="shared" si="28"/>
        <v>0</v>
      </c>
      <c r="T20" s="1213">
        <f t="shared" si="28"/>
        <v>0</v>
      </c>
      <c r="U20" s="1213">
        <f t="shared" si="28"/>
        <v>0</v>
      </c>
      <c r="V20" s="1213">
        <f t="shared" si="28"/>
        <v>0</v>
      </c>
      <c r="W20" s="1213">
        <f t="shared" si="28"/>
        <v>0</v>
      </c>
      <c r="X20" s="1213">
        <f t="shared" si="28"/>
        <v>0</v>
      </c>
      <c r="Y20" s="1213">
        <f t="shared" si="28"/>
        <v>0</v>
      </c>
      <c r="Z20" s="1213">
        <f t="shared" si="28"/>
        <v>0</v>
      </c>
      <c r="AA20" s="1213">
        <f t="shared" si="28"/>
        <v>0</v>
      </c>
      <c r="AB20" s="1213">
        <f t="shared" si="28"/>
        <v>0</v>
      </c>
      <c r="AC20" s="1213">
        <f t="shared" si="28"/>
        <v>0</v>
      </c>
      <c r="AD20" s="1284"/>
      <c r="AE20" s="1213">
        <f t="shared" si="27"/>
        <v>0</v>
      </c>
      <c r="AF20" s="1213">
        <f t="shared" si="2"/>
        <v>0</v>
      </c>
      <c r="AG20" s="1213">
        <f t="shared" si="25"/>
        <v>0</v>
      </c>
      <c r="AH20" s="2919">
        <f t="shared" si="26"/>
        <v>0</v>
      </c>
      <c r="AI20" s="1829"/>
      <c r="AJ20" s="417">
        <f t="shared" si="21"/>
        <v>0</v>
      </c>
      <c r="AK20" s="412"/>
    </row>
    <row r="21" spans="1:37" s="424" customFormat="1" ht="15">
      <c r="A21" s="2933"/>
      <c r="B21" s="1289" t="s">
        <v>185</v>
      </c>
      <c r="C21" s="1286" t="s">
        <v>247</v>
      </c>
      <c r="D21" s="1287">
        <v>0</v>
      </c>
      <c r="E21" s="2716">
        <v>0</v>
      </c>
      <c r="F21" s="1287">
        <v>0</v>
      </c>
      <c r="G21" s="1287">
        <f t="shared" ref="G21:J22" si="29">+F21</f>
        <v>0</v>
      </c>
      <c r="H21" s="1287">
        <f t="shared" si="29"/>
        <v>0</v>
      </c>
      <c r="I21" s="1287">
        <f t="shared" si="29"/>
        <v>0</v>
      </c>
      <c r="J21" s="1287">
        <f t="shared" si="29"/>
        <v>0</v>
      </c>
      <c r="K21" s="3219">
        <v>0</v>
      </c>
      <c r="L21" s="1287">
        <v>0</v>
      </c>
      <c r="M21" s="1287">
        <f t="shared" ref="M21:P22" si="30">+L21</f>
        <v>0</v>
      </c>
      <c r="N21" s="1287">
        <f t="shared" si="30"/>
        <v>0</v>
      </c>
      <c r="O21" s="1287">
        <f t="shared" si="30"/>
        <v>0</v>
      </c>
      <c r="P21" s="1287">
        <f t="shared" si="30"/>
        <v>0</v>
      </c>
      <c r="Q21" s="1287">
        <v>0</v>
      </c>
      <c r="R21" s="1287">
        <v>0</v>
      </c>
      <c r="S21" s="1287">
        <f t="shared" ref="S21:V22" si="31">+R21</f>
        <v>0</v>
      </c>
      <c r="T21" s="1287">
        <f t="shared" si="31"/>
        <v>0</v>
      </c>
      <c r="U21" s="1287">
        <f t="shared" si="31"/>
        <v>0</v>
      </c>
      <c r="V21" s="1287">
        <f t="shared" si="31"/>
        <v>0</v>
      </c>
      <c r="W21" s="1287">
        <f>+K21</f>
        <v>0</v>
      </c>
      <c r="X21" s="1287"/>
      <c r="Y21" s="1287">
        <f t="shared" ref="Y21:AC22" si="32">+X21</f>
        <v>0</v>
      </c>
      <c r="Z21" s="1287">
        <f t="shared" si="32"/>
        <v>0</v>
      </c>
      <c r="AA21" s="1287">
        <f t="shared" si="32"/>
        <v>0</v>
      </c>
      <c r="AB21" s="1287">
        <f t="shared" si="32"/>
        <v>0</v>
      </c>
      <c r="AC21" s="1287">
        <f t="shared" si="32"/>
        <v>0</v>
      </c>
      <c r="AD21" s="1284"/>
      <c r="AE21" s="1213">
        <f t="shared" si="27"/>
        <v>0</v>
      </c>
      <c r="AF21" s="1213">
        <f t="shared" si="2"/>
        <v>0</v>
      </c>
      <c r="AG21" s="1213">
        <f t="shared" si="25"/>
        <v>0</v>
      </c>
      <c r="AH21" s="2919">
        <f t="shared" si="26"/>
        <v>0</v>
      </c>
      <c r="AI21" s="1834"/>
      <c r="AJ21" s="417">
        <f t="shared" si="21"/>
        <v>0</v>
      </c>
      <c r="AK21" s="420"/>
    </row>
    <row r="22" spans="1:37" s="424" customFormat="1" ht="15">
      <c r="A22" s="2933"/>
      <c r="B22" s="1289" t="s">
        <v>187</v>
      </c>
      <c r="C22" s="1286" t="s">
        <v>155</v>
      </c>
      <c r="D22" s="1287">
        <v>0</v>
      </c>
      <c r="E22" s="2716">
        <v>0</v>
      </c>
      <c r="F22" s="1287">
        <v>0</v>
      </c>
      <c r="G22" s="1287">
        <f t="shared" si="29"/>
        <v>0</v>
      </c>
      <c r="H22" s="1287">
        <f t="shared" si="29"/>
        <v>0</v>
      </c>
      <c r="I22" s="1287">
        <f t="shared" si="29"/>
        <v>0</v>
      </c>
      <c r="J22" s="1287">
        <f t="shared" si="29"/>
        <v>0</v>
      </c>
      <c r="K22" s="3219">
        <v>0</v>
      </c>
      <c r="L22" s="1287">
        <v>0</v>
      </c>
      <c r="M22" s="1287">
        <f t="shared" si="30"/>
        <v>0</v>
      </c>
      <c r="N22" s="1287">
        <f t="shared" si="30"/>
        <v>0</v>
      </c>
      <c r="O22" s="1287">
        <f t="shared" si="30"/>
        <v>0</v>
      </c>
      <c r="P22" s="1287">
        <f t="shared" si="30"/>
        <v>0</v>
      </c>
      <c r="Q22" s="1287">
        <v>0</v>
      </c>
      <c r="R22" s="1287">
        <v>0</v>
      </c>
      <c r="S22" s="1287">
        <f t="shared" si="31"/>
        <v>0</v>
      </c>
      <c r="T22" s="1287">
        <f t="shared" si="31"/>
        <v>0</v>
      </c>
      <c r="U22" s="1287">
        <f t="shared" si="31"/>
        <v>0</v>
      </c>
      <c r="V22" s="1287">
        <f t="shared" si="31"/>
        <v>0</v>
      </c>
      <c r="W22" s="1287">
        <f>+K22</f>
        <v>0</v>
      </c>
      <c r="X22" s="1287"/>
      <c r="Y22" s="1287">
        <f t="shared" si="32"/>
        <v>0</v>
      </c>
      <c r="Z22" s="1287">
        <f t="shared" si="32"/>
        <v>0</v>
      </c>
      <c r="AA22" s="1287">
        <f t="shared" si="32"/>
        <v>0</v>
      </c>
      <c r="AB22" s="1287">
        <f t="shared" si="32"/>
        <v>0</v>
      </c>
      <c r="AC22" s="1287">
        <f t="shared" si="32"/>
        <v>0</v>
      </c>
      <c r="AD22" s="1284"/>
      <c r="AE22" s="1213">
        <f t="shared" si="27"/>
        <v>0</v>
      </c>
      <c r="AF22" s="1213">
        <f t="shared" si="2"/>
        <v>0</v>
      </c>
      <c r="AG22" s="1213">
        <f t="shared" si="25"/>
        <v>0</v>
      </c>
      <c r="AH22" s="2919">
        <f t="shared" si="26"/>
        <v>0</v>
      </c>
      <c r="AI22" s="1834"/>
      <c r="AJ22" s="417">
        <f t="shared" si="21"/>
        <v>0</v>
      </c>
      <c r="AK22" s="420"/>
    </row>
    <row r="23" spans="1:37" s="416" customFormat="1" ht="21">
      <c r="A23" s="2934" t="s">
        <v>14</v>
      </c>
      <c r="B23" s="1282" t="s">
        <v>14</v>
      </c>
      <c r="C23" s="1283" t="s">
        <v>1279</v>
      </c>
      <c r="D23" s="1213">
        <f t="shared" ref="D23:AC23" si="33">D24+D25</f>
        <v>0</v>
      </c>
      <c r="E23" s="2715">
        <f t="shared" si="33"/>
        <v>46406</v>
      </c>
      <c r="F23" s="1213">
        <f t="shared" si="33"/>
        <v>0</v>
      </c>
      <c r="G23" s="1213">
        <f t="shared" si="33"/>
        <v>0</v>
      </c>
      <c r="H23" s="1213">
        <f t="shared" si="33"/>
        <v>0</v>
      </c>
      <c r="I23" s="1213">
        <f t="shared" si="33"/>
        <v>0</v>
      </c>
      <c r="J23" s="1213">
        <f t="shared" si="33"/>
        <v>0</v>
      </c>
      <c r="K23" s="3208">
        <f t="shared" si="33"/>
        <v>0</v>
      </c>
      <c r="L23" s="1213">
        <f t="shared" si="33"/>
        <v>0</v>
      </c>
      <c r="M23" s="1213">
        <f t="shared" si="33"/>
        <v>0</v>
      </c>
      <c r="N23" s="1213">
        <f t="shared" si="33"/>
        <v>0</v>
      </c>
      <c r="O23" s="1213">
        <f t="shared" si="33"/>
        <v>0</v>
      </c>
      <c r="P23" s="1213">
        <f t="shared" si="33"/>
        <v>0</v>
      </c>
      <c r="Q23" s="1213">
        <f t="shared" si="33"/>
        <v>0</v>
      </c>
      <c r="R23" s="1213">
        <f t="shared" si="33"/>
        <v>0</v>
      </c>
      <c r="S23" s="1213">
        <f t="shared" si="33"/>
        <v>0</v>
      </c>
      <c r="T23" s="1213">
        <f t="shared" si="33"/>
        <v>0</v>
      </c>
      <c r="U23" s="1213">
        <f t="shared" si="33"/>
        <v>0</v>
      </c>
      <c r="V23" s="1213">
        <f t="shared" si="33"/>
        <v>0</v>
      </c>
      <c r="W23" s="1213">
        <f t="shared" si="33"/>
        <v>0</v>
      </c>
      <c r="X23" s="1213">
        <f t="shared" si="33"/>
        <v>0</v>
      </c>
      <c r="Y23" s="1213">
        <f t="shared" si="33"/>
        <v>0</v>
      </c>
      <c r="Z23" s="1213">
        <f t="shared" si="33"/>
        <v>0</v>
      </c>
      <c r="AA23" s="1213">
        <f t="shared" si="33"/>
        <v>0</v>
      </c>
      <c r="AB23" s="1213">
        <f t="shared" si="33"/>
        <v>0</v>
      </c>
      <c r="AC23" s="1213">
        <f t="shared" si="33"/>
        <v>0</v>
      </c>
      <c r="AD23" s="1284"/>
      <c r="AE23" s="1213">
        <f t="shared" si="27"/>
        <v>0</v>
      </c>
      <c r="AF23" s="1213">
        <f t="shared" si="2"/>
        <v>0</v>
      </c>
      <c r="AG23" s="1213">
        <f>+I23-H23</f>
        <v>0</v>
      </c>
      <c r="AH23" s="2919">
        <f>+J23-I23</f>
        <v>0</v>
      </c>
      <c r="AI23" s="1829"/>
      <c r="AJ23" s="417">
        <f t="shared" si="21"/>
        <v>0</v>
      </c>
      <c r="AK23" s="412"/>
    </row>
    <row r="24" spans="1:37" s="416" customFormat="1" ht="15">
      <c r="A24" s="2934"/>
      <c r="B24" s="1289" t="s">
        <v>198</v>
      </c>
      <c r="C24" s="1284" t="s">
        <v>186</v>
      </c>
      <c r="D24" s="1213">
        <v>0</v>
      </c>
      <c r="E24" s="2715">
        <v>0</v>
      </c>
      <c r="F24" s="1213">
        <v>0</v>
      </c>
      <c r="G24" s="1213">
        <f t="shared" ref="G24:G31" si="34">+F24</f>
        <v>0</v>
      </c>
      <c r="H24" s="1213">
        <f t="shared" ref="H24:H31" si="35">+G24</f>
        <v>0</v>
      </c>
      <c r="I24" s="1213">
        <f t="shared" ref="I24:I31" si="36">+H24</f>
        <v>0</v>
      </c>
      <c r="J24" s="1291">
        <f t="shared" ref="J24:J31" si="37">+I24</f>
        <v>0</v>
      </c>
      <c r="K24" s="3219">
        <f>0</f>
        <v>0</v>
      </c>
      <c r="L24" s="1213">
        <v>0</v>
      </c>
      <c r="M24" s="1213">
        <f t="shared" ref="M24:M31" si="38">+L24</f>
        <v>0</v>
      </c>
      <c r="N24" s="1213">
        <f t="shared" ref="N24:N31" si="39">+M24</f>
        <v>0</v>
      </c>
      <c r="O24" s="1213">
        <f t="shared" ref="O24:O31" si="40">+N24</f>
        <v>0</v>
      </c>
      <c r="P24" s="1213">
        <f t="shared" ref="P24:P31" si="41">+O24</f>
        <v>0</v>
      </c>
      <c r="Q24" s="1213">
        <v>0</v>
      </c>
      <c r="R24" s="1213">
        <v>0</v>
      </c>
      <c r="S24" s="1213">
        <f t="shared" ref="S24:V27" si="42">+R24</f>
        <v>0</v>
      </c>
      <c r="T24" s="1213">
        <f t="shared" si="42"/>
        <v>0</v>
      </c>
      <c r="U24" s="1213">
        <f t="shared" si="42"/>
        <v>0</v>
      </c>
      <c r="V24" s="1213">
        <f t="shared" si="42"/>
        <v>0</v>
      </c>
      <c r="W24" s="1291">
        <f t="shared" ref="W24:W31" si="43">+K24</f>
        <v>0</v>
      </c>
      <c r="X24" s="1213"/>
      <c r="Y24" s="1213">
        <f t="shared" ref="Y24:Y31" si="44">+X24</f>
        <v>0</v>
      </c>
      <c r="Z24" s="1213">
        <f t="shared" ref="Z24:Z31" si="45">+Y24</f>
        <v>0</v>
      </c>
      <c r="AA24" s="1213">
        <f t="shared" ref="AA24:AA31" si="46">+Z24</f>
        <v>0</v>
      </c>
      <c r="AB24" s="1213">
        <f t="shared" ref="AB24:AB31" si="47">+AA24</f>
        <v>0</v>
      </c>
      <c r="AC24" s="1213">
        <f t="shared" ref="AC24:AC31" si="48">+AB24</f>
        <v>0</v>
      </c>
      <c r="AD24" s="1284"/>
      <c r="AE24" s="1213">
        <f t="shared" si="27"/>
        <v>0</v>
      </c>
      <c r="AF24" s="1213">
        <f t="shared" si="2"/>
        <v>0</v>
      </c>
      <c r="AG24" s="1213">
        <f>+I24-H24</f>
        <v>0</v>
      </c>
      <c r="AH24" s="2919">
        <f>+J24-I24</f>
        <v>0</v>
      </c>
      <c r="AI24" s="1829"/>
      <c r="AJ24" s="417">
        <f t="shared" si="21"/>
        <v>0</v>
      </c>
      <c r="AK24" s="412"/>
    </row>
    <row r="25" spans="1:37" s="424" customFormat="1" ht="15">
      <c r="A25" s="2933"/>
      <c r="B25" s="1289" t="s">
        <v>200</v>
      </c>
      <c r="C25" s="1286" t="s">
        <v>148</v>
      </c>
      <c r="D25" s="1287">
        <v>0</v>
      </c>
      <c r="E25" s="2716">
        <v>46406</v>
      </c>
      <c r="F25" s="1287">
        <v>0</v>
      </c>
      <c r="G25" s="1287">
        <f t="shared" si="34"/>
        <v>0</v>
      </c>
      <c r="H25" s="1213">
        <f t="shared" si="35"/>
        <v>0</v>
      </c>
      <c r="I25" s="1287">
        <f t="shared" si="36"/>
        <v>0</v>
      </c>
      <c r="J25" s="1291">
        <f t="shared" si="37"/>
        <v>0</v>
      </c>
      <c r="K25" s="3219">
        <v>0</v>
      </c>
      <c r="L25" s="1287">
        <v>0</v>
      </c>
      <c r="M25" s="1287">
        <f t="shared" si="38"/>
        <v>0</v>
      </c>
      <c r="N25" s="1287">
        <f t="shared" si="39"/>
        <v>0</v>
      </c>
      <c r="O25" s="1287">
        <f t="shared" si="40"/>
        <v>0</v>
      </c>
      <c r="P25" s="1287">
        <f t="shared" si="41"/>
        <v>0</v>
      </c>
      <c r="Q25" s="1287">
        <v>0</v>
      </c>
      <c r="R25" s="1287">
        <v>0</v>
      </c>
      <c r="S25" s="1287">
        <f t="shared" si="42"/>
        <v>0</v>
      </c>
      <c r="T25" s="1287">
        <f t="shared" si="42"/>
        <v>0</v>
      </c>
      <c r="U25" s="1287">
        <f t="shared" si="42"/>
        <v>0</v>
      </c>
      <c r="V25" s="1287">
        <f t="shared" si="42"/>
        <v>0</v>
      </c>
      <c r="W25" s="1291">
        <f t="shared" si="43"/>
        <v>0</v>
      </c>
      <c r="X25" s="1287"/>
      <c r="Y25" s="1287">
        <f t="shared" si="44"/>
        <v>0</v>
      </c>
      <c r="Z25" s="1287">
        <f t="shared" si="45"/>
        <v>0</v>
      </c>
      <c r="AA25" s="1287">
        <f t="shared" si="46"/>
        <v>0</v>
      </c>
      <c r="AB25" s="1287">
        <f t="shared" si="47"/>
        <v>0</v>
      </c>
      <c r="AC25" s="1287">
        <f t="shared" si="48"/>
        <v>0</v>
      </c>
      <c r="AD25" s="1284"/>
      <c r="AE25" s="1213">
        <f t="shared" si="27"/>
        <v>0</v>
      </c>
      <c r="AF25" s="1213">
        <f t="shared" si="2"/>
        <v>0</v>
      </c>
      <c r="AG25" s="1213">
        <f t="shared" ref="AG25:AG32" si="49">+I25-H25</f>
        <v>0</v>
      </c>
      <c r="AH25" s="2919">
        <f t="shared" ref="AH25:AH33" si="50">+J25-I25</f>
        <v>0</v>
      </c>
      <c r="AI25" s="1834"/>
      <c r="AJ25" s="417">
        <f t="shared" si="21"/>
        <v>0</v>
      </c>
      <c r="AK25" s="420"/>
    </row>
    <row r="26" spans="1:37" s="424" customFormat="1" ht="15">
      <c r="A26" s="2933"/>
      <c r="B26" s="1289" t="s">
        <v>202</v>
      </c>
      <c r="C26" s="1290" t="s">
        <v>1280</v>
      </c>
      <c r="D26" s="1287">
        <v>0</v>
      </c>
      <c r="E26" s="2716">
        <v>0</v>
      </c>
      <c r="F26" s="1287">
        <v>0</v>
      </c>
      <c r="G26" s="1213">
        <f t="shared" si="34"/>
        <v>0</v>
      </c>
      <c r="H26" s="1213">
        <f t="shared" si="35"/>
        <v>0</v>
      </c>
      <c r="I26" s="1287">
        <f t="shared" si="36"/>
        <v>0</v>
      </c>
      <c r="J26" s="1291">
        <f t="shared" si="37"/>
        <v>0</v>
      </c>
      <c r="K26" s="3219">
        <v>0</v>
      </c>
      <c r="L26" s="1287">
        <v>0</v>
      </c>
      <c r="M26" s="1287">
        <f t="shared" si="38"/>
        <v>0</v>
      </c>
      <c r="N26" s="1287">
        <f t="shared" si="39"/>
        <v>0</v>
      </c>
      <c r="O26" s="1287">
        <f t="shared" si="40"/>
        <v>0</v>
      </c>
      <c r="P26" s="1287">
        <f t="shared" si="41"/>
        <v>0</v>
      </c>
      <c r="Q26" s="1287">
        <v>0</v>
      </c>
      <c r="R26" s="1287">
        <v>0</v>
      </c>
      <c r="S26" s="1287">
        <f t="shared" si="42"/>
        <v>0</v>
      </c>
      <c r="T26" s="1287">
        <f t="shared" si="42"/>
        <v>0</v>
      </c>
      <c r="U26" s="1287">
        <f t="shared" si="42"/>
        <v>0</v>
      </c>
      <c r="V26" s="1287">
        <f t="shared" si="42"/>
        <v>0</v>
      </c>
      <c r="W26" s="1291">
        <f t="shared" si="43"/>
        <v>0</v>
      </c>
      <c r="X26" s="1287"/>
      <c r="Y26" s="1287">
        <f t="shared" si="44"/>
        <v>0</v>
      </c>
      <c r="Z26" s="1287">
        <f t="shared" si="45"/>
        <v>0</v>
      </c>
      <c r="AA26" s="1287">
        <f t="shared" si="46"/>
        <v>0</v>
      </c>
      <c r="AB26" s="1287">
        <f t="shared" si="47"/>
        <v>0</v>
      </c>
      <c r="AC26" s="1287">
        <f t="shared" si="48"/>
        <v>0</v>
      </c>
      <c r="AD26" s="1284"/>
      <c r="AE26" s="1213">
        <f t="shared" si="27"/>
        <v>0</v>
      </c>
      <c r="AF26" s="1213">
        <f t="shared" si="2"/>
        <v>0</v>
      </c>
      <c r="AG26" s="1213">
        <f t="shared" si="49"/>
        <v>0</v>
      </c>
      <c r="AH26" s="2919">
        <f t="shared" si="50"/>
        <v>0</v>
      </c>
      <c r="AI26" s="1834"/>
      <c r="AJ26" s="417">
        <f t="shared" si="21"/>
        <v>0</v>
      </c>
      <c r="AK26" s="420"/>
    </row>
    <row r="27" spans="1:37" s="424" customFormat="1" ht="15">
      <c r="A27" s="2934" t="s">
        <v>15</v>
      </c>
      <c r="B27" s="1282" t="s">
        <v>15</v>
      </c>
      <c r="C27" s="1292" t="s">
        <v>150</v>
      </c>
      <c r="D27" s="1293">
        <v>0</v>
      </c>
      <c r="E27" s="2718">
        <v>0</v>
      </c>
      <c r="F27" s="1293">
        <v>0</v>
      </c>
      <c r="G27" s="1293">
        <f t="shared" si="34"/>
        <v>0</v>
      </c>
      <c r="H27" s="1293">
        <f t="shared" si="35"/>
        <v>0</v>
      </c>
      <c r="I27" s="1293">
        <f t="shared" si="36"/>
        <v>0</v>
      </c>
      <c r="J27" s="1293">
        <f t="shared" si="37"/>
        <v>0</v>
      </c>
      <c r="K27" s="3219">
        <v>0</v>
      </c>
      <c r="L27" s="1293">
        <v>0</v>
      </c>
      <c r="M27" s="1293">
        <f t="shared" si="38"/>
        <v>0</v>
      </c>
      <c r="N27" s="1293">
        <f t="shared" si="39"/>
        <v>0</v>
      </c>
      <c r="O27" s="1293">
        <f t="shared" si="40"/>
        <v>0</v>
      </c>
      <c r="P27" s="1293">
        <f t="shared" si="41"/>
        <v>0</v>
      </c>
      <c r="Q27" s="1293">
        <v>0</v>
      </c>
      <c r="R27" s="1293">
        <v>0</v>
      </c>
      <c r="S27" s="1293">
        <f t="shared" si="42"/>
        <v>0</v>
      </c>
      <c r="T27" s="1293">
        <f t="shared" si="42"/>
        <v>0</v>
      </c>
      <c r="U27" s="1293">
        <f t="shared" si="42"/>
        <v>0</v>
      </c>
      <c r="V27" s="1293">
        <f t="shared" si="42"/>
        <v>0</v>
      </c>
      <c r="W27" s="1293">
        <f t="shared" si="43"/>
        <v>0</v>
      </c>
      <c r="X27" s="1293">
        <f>+V27</f>
        <v>0</v>
      </c>
      <c r="Y27" s="1293">
        <f t="shared" si="44"/>
        <v>0</v>
      </c>
      <c r="Z27" s="1293">
        <f t="shared" si="45"/>
        <v>0</v>
      </c>
      <c r="AA27" s="1293">
        <f t="shared" si="46"/>
        <v>0</v>
      </c>
      <c r="AB27" s="1293">
        <f t="shared" si="47"/>
        <v>0</v>
      </c>
      <c r="AC27" s="1293">
        <f t="shared" si="48"/>
        <v>0</v>
      </c>
      <c r="AD27" s="1284"/>
      <c r="AE27" s="1213">
        <f t="shared" si="27"/>
        <v>0</v>
      </c>
      <c r="AF27" s="1213">
        <f t="shared" si="2"/>
        <v>0</v>
      </c>
      <c r="AG27" s="1213">
        <f t="shared" si="49"/>
        <v>0</v>
      </c>
      <c r="AH27" s="2919">
        <f t="shared" si="50"/>
        <v>0</v>
      </c>
      <c r="AI27" s="1834"/>
      <c r="AJ27" s="417">
        <f t="shared" si="21"/>
        <v>0</v>
      </c>
      <c r="AK27" s="427"/>
    </row>
    <row r="28" spans="1:37" s="424" customFormat="1" ht="15">
      <c r="A28" s="2933"/>
      <c r="B28" s="1289" t="s">
        <v>212</v>
      </c>
      <c r="C28" s="1290" t="s">
        <v>1280</v>
      </c>
      <c r="D28" s="1287">
        <v>0</v>
      </c>
      <c r="E28" s="2716">
        <v>0</v>
      </c>
      <c r="F28" s="1287">
        <v>0</v>
      </c>
      <c r="G28" s="1287">
        <f t="shared" si="34"/>
        <v>0</v>
      </c>
      <c r="H28" s="1287">
        <f t="shared" si="35"/>
        <v>0</v>
      </c>
      <c r="I28" s="1287">
        <f t="shared" si="36"/>
        <v>0</v>
      </c>
      <c r="J28" s="1287">
        <f t="shared" si="37"/>
        <v>0</v>
      </c>
      <c r="K28" s="3219">
        <v>0</v>
      </c>
      <c r="L28" s="1287">
        <v>0</v>
      </c>
      <c r="M28" s="1287">
        <f t="shared" si="38"/>
        <v>0</v>
      </c>
      <c r="N28" s="1287">
        <f t="shared" si="39"/>
        <v>0</v>
      </c>
      <c r="O28" s="1287">
        <f t="shared" si="40"/>
        <v>0</v>
      </c>
      <c r="P28" s="1287">
        <f t="shared" si="41"/>
        <v>0</v>
      </c>
      <c r="Q28" s="1287">
        <v>0</v>
      </c>
      <c r="R28" s="1287">
        <v>0</v>
      </c>
      <c r="S28" s="1287"/>
      <c r="T28" s="1287">
        <v>0</v>
      </c>
      <c r="U28" s="1287">
        <v>0</v>
      </c>
      <c r="V28" s="1287"/>
      <c r="W28" s="1287">
        <f t="shared" si="43"/>
        <v>0</v>
      </c>
      <c r="X28" s="1287"/>
      <c r="Y28" s="1287">
        <f t="shared" si="44"/>
        <v>0</v>
      </c>
      <c r="Z28" s="1287">
        <f t="shared" si="45"/>
        <v>0</v>
      </c>
      <c r="AA28" s="1287">
        <f t="shared" si="46"/>
        <v>0</v>
      </c>
      <c r="AB28" s="1287">
        <f t="shared" si="47"/>
        <v>0</v>
      </c>
      <c r="AC28" s="1287">
        <f t="shared" si="48"/>
        <v>0</v>
      </c>
      <c r="AD28" s="1284"/>
      <c r="AE28" s="1213">
        <f t="shared" si="27"/>
        <v>0</v>
      </c>
      <c r="AF28" s="1213">
        <f t="shared" si="2"/>
        <v>0</v>
      </c>
      <c r="AG28" s="1213">
        <f t="shared" si="49"/>
        <v>0</v>
      </c>
      <c r="AH28" s="2919">
        <f t="shared" si="50"/>
        <v>0</v>
      </c>
      <c r="AI28" s="1834"/>
      <c r="AJ28" s="417">
        <f t="shared" si="21"/>
        <v>0</v>
      </c>
      <c r="AK28" s="420"/>
    </row>
    <row r="29" spans="1:37" s="424" customFormat="1" ht="15">
      <c r="A29" s="2934" t="s">
        <v>17</v>
      </c>
      <c r="B29" s="1474" t="s">
        <v>17</v>
      </c>
      <c r="C29" s="1292" t="s">
        <v>153</v>
      </c>
      <c r="D29" s="1213">
        <v>0</v>
      </c>
      <c r="E29" s="2715">
        <v>0</v>
      </c>
      <c r="F29" s="1213">
        <v>0</v>
      </c>
      <c r="G29" s="1213">
        <f t="shared" si="34"/>
        <v>0</v>
      </c>
      <c r="H29" s="1213">
        <f t="shared" si="35"/>
        <v>0</v>
      </c>
      <c r="I29" s="1213">
        <f t="shared" si="36"/>
        <v>0</v>
      </c>
      <c r="J29" s="1213">
        <f t="shared" si="37"/>
        <v>0</v>
      </c>
      <c r="K29" s="3219">
        <v>0</v>
      </c>
      <c r="L29" s="1213">
        <v>0</v>
      </c>
      <c r="M29" s="1213">
        <f t="shared" si="38"/>
        <v>0</v>
      </c>
      <c r="N29" s="1213">
        <f t="shared" si="39"/>
        <v>0</v>
      </c>
      <c r="O29" s="1213">
        <f t="shared" si="40"/>
        <v>0</v>
      </c>
      <c r="P29" s="1213">
        <f t="shared" si="41"/>
        <v>0</v>
      </c>
      <c r="Q29" s="1213">
        <v>0</v>
      </c>
      <c r="R29" s="1213">
        <v>0</v>
      </c>
      <c r="S29" s="1213">
        <f t="shared" ref="S29:V31" si="51">+R29</f>
        <v>0</v>
      </c>
      <c r="T29" s="1213">
        <f t="shared" si="51"/>
        <v>0</v>
      </c>
      <c r="U29" s="1213">
        <f t="shared" si="51"/>
        <v>0</v>
      </c>
      <c r="V29" s="1213">
        <f t="shared" si="51"/>
        <v>0</v>
      </c>
      <c r="W29" s="1213">
        <f t="shared" si="43"/>
        <v>0</v>
      </c>
      <c r="X29" s="1213"/>
      <c r="Y29" s="1213">
        <f t="shared" si="44"/>
        <v>0</v>
      </c>
      <c r="Z29" s="1213">
        <f t="shared" si="45"/>
        <v>0</v>
      </c>
      <c r="AA29" s="1213">
        <f t="shared" si="46"/>
        <v>0</v>
      </c>
      <c r="AB29" s="1213">
        <f t="shared" si="47"/>
        <v>0</v>
      </c>
      <c r="AC29" s="1213">
        <f t="shared" si="48"/>
        <v>0</v>
      </c>
      <c r="AD29" s="1284"/>
      <c r="AE29" s="1213">
        <f t="shared" si="27"/>
        <v>0</v>
      </c>
      <c r="AF29" s="1213">
        <f t="shared" si="2"/>
        <v>0</v>
      </c>
      <c r="AG29" s="1213">
        <f t="shared" si="49"/>
        <v>0</v>
      </c>
      <c r="AH29" s="2919">
        <f t="shared" si="50"/>
        <v>0</v>
      </c>
      <c r="AI29" s="1829"/>
      <c r="AJ29" s="417">
        <f t="shared" si="21"/>
        <v>0</v>
      </c>
      <c r="AK29" s="412"/>
    </row>
    <row r="30" spans="1:37" s="416" customFormat="1" ht="15">
      <c r="A30" s="2934" t="s">
        <v>19</v>
      </c>
      <c r="B30" s="1282" t="s">
        <v>19</v>
      </c>
      <c r="C30" s="1292" t="s">
        <v>1281</v>
      </c>
      <c r="D30" s="1293">
        <v>0</v>
      </c>
      <c r="E30" s="2718">
        <v>0</v>
      </c>
      <c r="F30" s="1293">
        <v>0</v>
      </c>
      <c r="G30" s="1293">
        <f t="shared" si="34"/>
        <v>0</v>
      </c>
      <c r="H30" s="1293">
        <f t="shared" si="35"/>
        <v>0</v>
      </c>
      <c r="I30" s="1293">
        <f t="shared" si="36"/>
        <v>0</v>
      </c>
      <c r="J30" s="1293">
        <f t="shared" si="37"/>
        <v>0</v>
      </c>
      <c r="K30" s="3219">
        <v>0</v>
      </c>
      <c r="L30" s="1293">
        <v>0</v>
      </c>
      <c r="M30" s="1293">
        <f t="shared" si="38"/>
        <v>0</v>
      </c>
      <c r="N30" s="1293">
        <f t="shared" si="39"/>
        <v>0</v>
      </c>
      <c r="O30" s="1293">
        <f t="shared" si="40"/>
        <v>0</v>
      </c>
      <c r="P30" s="1293">
        <f t="shared" si="41"/>
        <v>0</v>
      </c>
      <c r="Q30" s="1293">
        <v>0</v>
      </c>
      <c r="R30" s="1293">
        <v>0</v>
      </c>
      <c r="S30" s="1293">
        <f t="shared" si="51"/>
        <v>0</v>
      </c>
      <c r="T30" s="1293">
        <f t="shared" si="51"/>
        <v>0</v>
      </c>
      <c r="U30" s="1293">
        <f t="shared" si="51"/>
        <v>0</v>
      </c>
      <c r="V30" s="1293">
        <f t="shared" si="51"/>
        <v>0</v>
      </c>
      <c r="W30" s="1293">
        <f t="shared" si="43"/>
        <v>0</v>
      </c>
      <c r="X30" s="1293"/>
      <c r="Y30" s="1293">
        <f t="shared" si="44"/>
        <v>0</v>
      </c>
      <c r="Z30" s="1293">
        <f t="shared" si="45"/>
        <v>0</v>
      </c>
      <c r="AA30" s="1293">
        <f t="shared" si="46"/>
        <v>0</v>
      </c>
      <c r="AB30" s="1293">
        <f t="shared" si="47"/>
        <v>0</v>
      </c>
      <c r="AC30" s="1293">
        <f t="shared" si="48"/>
        <v>0</v>
      </c>
      <c r="AD30" s="1284"/>
      <c r="AE30" s="1213">
        <f t="shared" si="27"/>
        <v>0</v>
      </c>
      <c r="AF30" s="1213">
        <f t="shared" si="2"/>
        <v>0</v>
      </c>
      <c r="AG30" s="1213">
        <f t="shared" si="49"/>
        <v>0</v>
      </c>
      <c r="AH30" s="2919">
        <f t="shared" si="50"/>
        <v>0</v>
      </c>
      <c r="AI30" s="1834"/>
      <c r="AJ30" s="417">
        <f t="shared" si="21"/>
        <v>0</v>
      </c>
      <c r="AK30" s="427"/>
    </row>
    <row r="31" spans="1:37" s="416" customFormat="1" ht="15">
      <c r="A31" s="2934" t="s">
        <v>21</v>
      </c>
      <c r="B31" s="1282" t="s">
        <v>21</v>
      </c>
      <c r="C31" s="1292" t="s">
        <v>393</v>
      </c>
      <c r="D31" s="1227">
        <v>0</v>
      </c>
      <c r="E31" s="2719">
        <v>0</v>
      </c>
      <c r="F31" s="1227">
        <v>0</v>
      </c>
      <c r="G31" s="1227">
        <f t="shared" si="34"/>
        <v>0</v>
      </c>
      <c r="H31" s="1227">
        <f t="shared" si="35"/>
        <v>0</v>
      </c>
      <c r="I31" s="1227">
        <f t="shared" si="36"/>
        <v>0</v>
      </c>
      <c r="J31" s="1227">
        <f t="shared" si="37"/>
        <v>0</v>
      </c>
      <c r="K31" s="3219">
        <v>0</v>
      </c>
      <c r="L31" s="1227">
        <v>0</v>
      </c>
      <c r="M31" s="1227">
        <f t="shared" si="38"/>
        <v>0</v>
      </c>
      <c r="N31" s="1227">
        <f t="shared" si="39"/>
        <v>0</v>
      </c>
      <c r="O31" s="1227">
        <f t="shared" si="40"/>
        <v>0</v>
      </c>
      <c r="P31" s="1227">
        <f t="shared" si="41"/>
        <v>0</v>
      </c>
      <c r="Q31" s="1227">
        <v>0</v>
      </c>
      <c r="R31" s="1227">
        <v>0</v>
      </c>
      <c r="S31" s="1227">
        <f t="shared" si="51"/>
        <v>0</v>
      </c>
      <c r="T31" s="1227">
        <f t="shared" si="51"/>
        <v>0</v>
      </c>
      <c r="U31" s="1227">
        <f t="shared" si="51"/>
        <v>0</v>
      </c>
      <c r="V31" s="1227">
        <f t="shared" si="51"/>
        <v>0</v>
      </c>
      <c r="W31" s="1227">
        <f t="shared" si="43"/>
        <v>0</v>
      </c>
      <c r="X31" s="1227"/>
      <c r="Y31" s="1227">
        <f t="shared" si="44"/>
        <v>0</v>
      </c>
      <c r="Z31" s="1227">
        <f t="shared" si="45"/>
        <v>0</v>
      </c>
      <c r="AA31" s="1227">
        <f t="shared" si="46"/>
        <v>0</v>
      </c>
      <c r="AB31" s="1227">
        <f t="shared" si="47"/>
        <v>0</v>
      </c>
      <c r="AC31" s="1227">
        <f t="shared" si="48"/>
        <v>0</v>
      </c>
      <c r="AD31" s="1284"/>
      <c r="AE31" s="1213">
        <f t="shared" si="27"/>
        <v>0</v>
      </c>
      <c r="AF31" s="1213">
        <f t="shared" si="2"/>
        <v>0</v>
      </c>
      <c r="AG31" s="1213">
        <f t="shared" si="49"/>
        <v>0</v>
      </c>
      <c r="AH31" s="2919">
        <f t="shared" si="50"/>
        <v>0</v>
      </c>
      <c r="AI31" s="1834"/>
      <c r="AJ31" s="417">
        <f t="shared" si="21"/>
        <v>0</v>
      </c>
      <c r="AK31" s="430"/>
    </row>
    <row r="32" spans="1:37" s="416" customFormat="1" ht="15">
      <c r="A32" s="2934" t="s">
        <v>23</v>
      </c>
      <c r="B32" s="1474" t="s">
        <v>23</v>
      </c>
      <c r="C32" s="1292" t="s">
        <v>1282</v>
      </c>
      <c r="D32" s="1213">
        <f t="shared" ref="D32:AC32" si="52">+D8+D20+D23+D27+D29+D30+D31</f>
        <v>15767512</v>
      </c>
      <c r="E32" s="2715">
        <f>+E8+E20+E23+E27+E29+E30+E31</f>
        <v>21290683</v>
      </c>
      <c r="F32" s="1213">
        <f t="shared" si="52"/>
        <v>17273276</v>
      </c>
      <c r="G32" s="1213">
        <f t="shared" si="52"/>
        <v>18171520</v>
      </c>
      <c r="H32" s="1213">
        <f t="shared" si="52"/>
        <v>20054626</v>
      </c>
      <c r="I32" s="1213">
        <f t="shared" si="52"/>
        <v>22318910</v>
      </c>
      <c r="J32" s="1213">
        <f t="shared" si="52"/>
        <v>22318910</v>
      </c>
      <c r="K32" s="3208">
        <f t="shared" si="52"/>
        <v>22318910</v>
      </c>
      <c r="L32" s="1213">
        <f t="shared" si="52"/>
        <v>0</v>
      </c>
      <c r="M32" s="1213">
        <f t="shared" si="52"/>
        <v>0</v>
      </c>
      <c r="N32" s="1213">
        <f t="shared" si="52"/>
        <v>0</v>
      </c>
      <c r="O32" s="1213">
        <f t="shared" si="52"/>
        <v>0</v>
      </c>
      <c r="P32" s="1213">
        <f t="shared" si="52"/>
        <v>0</v>
      </c>
      <c r="Q32" s="1213">
        <f t="shared" si="52"/>
        <v>0</v>
      </c>
      <c r="R32" s="1213">
        <f t="shared" si="52"/>
        <v>17273276</v>
      </c>
      <c r="S32" s="1213">
        <f t="shared" si="52"/>
        <v>18171520</v>
      </c>
      <c r="T32" s="1213">
        <f t="shared" si="52"/>
        <v>20054626</v>
      </c>
      <c r="U32" s="1213">
        <f t="shared" si="52"/>
        <v>22318910</v>
      </c>
      <c r="V32" s="1213">
        <f t="shared" si="52"/>
        <v>22318910</v>
      </c>
      <c r="W32" s="1213">
        <f t="shared" si="52"/>
        <v>22318910</v>
      </c>
      <c r="X32" s="1213">
        <f t="shared" si="52"/>
        <v>0</v>
      </c>
      <c r="Y32" s="1213">
        <f t="shared" si="52"/>
        <v>0</v>
      </c>
      <c r="Z32" s="1213">
        <f t="shared" si="52"/>
        <v>0</v>
      </c>
      <c r="AA32" s="1213">
        <f t="shared" si="52"/>
        <v>0</v>
      </c>
      <c r="AB32" s="1213">
        <f t="shared" si="52"/>
        <v>0</v>
      </c>
      <c r="AC32" s="1213">
        <f t="shared" si="52"/>
        <v>0</v>
      </c>
      <c r="AD32" s="1283"/>
      <c r="AE32" s="1213">
        <f t="shared" si="27"/>
        <v>898244</v>
      </c>
      <c r="AF32" s="1213">
        <f t="shared" si="2"/>
        <v>1883106</v>
      </c>
      <c r="AG32" s="1213">
        <f t="shared" si="49"/>
        <v>2264284</v>
      </c>
      <c r="AH32" s="2919">
        <f t="shared" si="50"/>
        <v>0</v>
      </c>
      <c r="AI32" s="1829">
        <f>+K32/I32</f>
        <v>1</v>
      </c>
      <c r="AJ32" s="417">
        <f t="shared" si="21"/>
        <v>1505764</v>
      </c>
      <c r="AK32" s="412"/>
    </row>
    <row r="33" spans="1:38" s="424" customFormat="1" ht="15">
      <c r="A33" s="2975" t="s">
        <v>25</v>
      </c>
      <c r="B33" s="1282" t="s">
        <v>25</v>
      </c>
      <c r="C33" s="1292" t="s">
        <v>1305</v>
      </c>
      <c r="D33" s="1213">
        <f t="shared" ref="D33:AC33" si="53">SUM(D34:D36)</f>
        <v>525698336</v>
      </c>
      <c r="E33" s="2715">
        <f>SUM(E34:E36)</f>
        <v>551728098</v>
      </c>
      <c r="F33" s="1213">
        <f t="shared" si="53"/>
        <v>617220903</v>
      </c>
      <c r="G33" s="1213">
        <f t="shared" si="53"/>
        <v>633844224</v>
      </c>
      <c r="H33" s="1213">
        <f t="shared" si="53"/>
        <v>634162224</v>
      </c>
      <c r="I33" s="1213">
        <f t="shared" si="53"/>
        <v>641492764</v>
      </c>
      <c r="J33" s="1213">
        <f t="shared" si="53"/>
        <v>641492764</v>
      </c>
      <c r="K33" s="3208">
        <f>SUM(K34:K36)</f>
        <v>626752067</v>
      </c>
      <c r="L33" s="1213">
        <f t="shared" si="53"/>
        <v>0</v>
      </c>
      <c r="M33" s="1213">
        <f t="shared" si="53"/>
        <v>0</v>
      </c>
      <c r="N33" s="1213">
        <f t="shared" si="53"/>
        <v>0</v>
      </c>
      <c r="O33" s="1213">
        <f t="shared" si="53"/>
        <v>0</v>
      </c>
      <c r="P33" s="1213">
        <f t="shared" si="53"/>
        <v>0</v>
      </c>
      <c r="Q33" s="1213">
        <f t="shared" si="53"/>
        <v>0</v>
      </c>
      <c r="R33" s="1213">
        <f t="shared" si="53"/>
        <v>617220903</v>
      </c>
      <c r="S33" s="1213">
        <f t="shared" si="53"/>
        <v>633844224</v>
      </c>
      <c r="T33" s="1213">
        <f t="shared" si="53"/>
        <v>634162224</v>
      </c>
      <c r="U33" s="1213">
        <f t="shared" si="53"/>
        <v>641492764</v>
      </c>
      <c r="V33" s="1213">
        <f t="shared" si="53"/>
        <v>641492764</v>
      </c>
      <c r="W33" s="1213">
        <f t="shared" si="53"/>
        <v>626752067</v>
      </c>
      <c r="X33" s="1213">
        <f t="shared" si="53"/>
        <v>0</v>
      </c>
      <c r="Y33" s="1213">
        <f t="shared" si="53"/>
        <v>0</v>
      </c>
      <c r="Z33" s="1213">
        <f t="shared" si="53"/>
        <v>0</v>
      </c>
      <c r="AA33" s="1213">
        <f t="shared" si="53"/>
        <v>0</v>
      </c>
      <c r="AB33" s="1213">
        <f t="shared" si="53"/>
        <v>0</v>
      </c>
      <c r="AC33" s="1213">
        <f t="shared" si="53"/>
        <v>0</v>
      </c>
      <c r="AD33" s="1284"/>
      <c r="AE33" s="1213">
        <f t="shared" si="27"/>
        <v>16623321</v>
      </c>
      <c r="AF33" s="1213">
        <f t="shared" si="2"/>
        <v>318000</v>
      </c>
      <c r="AG33" s="1213">
        <f>+I33-H33</f>
        <v>7330540</v>
      </c>
      <c r="AH33" s="2919">
        <f t="shared" si="50"/>
        <v>0</v>
      </c>
      <c r="AI33" s="1829">
        <f>+K33/I33</f>
        <v>0.97702125756168312</v>
      </c>
      <c r="AJ33" s="417">
        <f t="shared" si="21"/>
        <v>91522567</v>
      </c>
      <c r="AK33" s="412"/>
    </row>
    <row r="34" spans="1:38" s="424" customFormat="1" ht="15">
      <c r="A34" s="2975"/>
      <c r="B34" s="1477" t="s">
        <v>1284</v>
      </c>
      <c r="C34" s="1286" t="s">
        <v>1285</v>
      </c>
      <c r="D34" s="1291">
        <v>0</v>
      </c>
      <c r="E34" s="2717">
        <v>22333867</v>
      </c>
      <c r="F34" s="1291">
        <v>0</v>
      </c>
      <c r="G34" s="1227">
        <f>+F34+15734321</f>
        <v>15734321</v>
      </c>
      <c r="H34" s="1227">
        <f t="shared" ref="G34:J36" si="54">+G34</f>
        <v>15734321</v>
      </c>
      <c r="I34" s="1291">
        <f t="shared" si="54"/>
        <v>15734321</v>
      </c>
      <c r="J34" s="1291">
        <f t="shared" si="54"/>
        <v>15734321</v>
      </c>
      <c r="K34" s="3220">
        <v>15734321</v>
      </c>
      <c r="L34" s="1291">
        <v>0</v>
      </c>
      <c r="M34" s="1291">
        <f t="shared" ref="M34:P36" si="55">+L34</f>
        <v>0</v>
      </c>
      <c r="N34" s="1291">
        <f t="shared" si="55"/>
        <v>0</v>
      </c>
      <c r="O34" s="1291">
        <f t="shared" si="55"/>
        <v>0</v>
      </c>
      <c r="P34" s="1291">
        <f t="shared" si="55"/>
        <v>0</v>
      </c>
      <c r="Q34" s="1291">
        <v>0</v>
      </c>
      <c r="R34" s="1227">
        <v>0</v>
      </c>
      <c r="S34" s="1227">
        <f>+R34+15734321</f>
        <v>15734321</v>
      </c>
      <c r="T34" s="1227">
        <f t="shared" ref="T34:V36" si="56">+S34</f>
        <v>15734321</v>
      </c>
      <c r="U34" s="1227">
        <f t="shared" si="56"/>
        <v>15734321</v>
      </c>
      <c r="V34" s="1227">
        <f t="shared" si="56"/>
        <v>15734321</v>
      </c>
      <c r="W34" s="1291">
        <f>+K34</f>
        <v>15734321</v>
      </c>
      <c r="X34" s="1213"/>
      <c r="Y34" s="1213">
        <f t="shared" ref="Y34:AC36" si="57">+X34</f>
        <v>0</v>
      </c>
      <c r="Z34" s="1213">
        <f t="shared" si="57"/>
        <v>0</v>
      </c>
      <c r="AA34" s="1213">
        <f t="shared" si="57"/>
        <v>0</v>
      </c>
      <c r="AB34" s="1213">
        <f t="shared" si="57"/>
        <v>0</v>
      </c>
      <c r="AC34" s="1213">
        <f t="shared" si="57"/>
        <v>0</v>
      </c>
      <c r="AD34" s="2947"/>
      <c r="AE34" s="1213">
        <f t="shared" si="27"/>
        <v>15734321</v>
      </c>
      <c r="AF34" s="1213">
        <f t="shared" si="2"/>
        <v>0</v>
      </c>
      <c r="AG34" s="1213">
        <f>+I34-H34</f>
        <v>0</v>
      </c>
      <c r="AH34" s="2919">
        <f>+J34-I34</f>
        <v>0</v>
      </c>
      <c r="AI34" s="1834">
        <f>+K34/I34</f>
        <v>1</v>
      </c>
      <c r="AJ34" s="417">
        <f t="shared" si="21"/>
        <v>0</v>
      </c>
      <c r="AK34" s="548"/>
    </row>
    <row r="35" spans="1:38" s="424" customFormat="1" ht="15">
      <c r="A35" s="2933"/>
      <c r="B35" s="1477" t="s">
        <v>1286</v>
      </c>
      <c r="C35" s="1286" t="s">
        <v>1287</v>
      </c>
      <c r="D35" s="1227">
        <v>0</v>
      </c>
      <c r="E35" s="2719">
        <v>0</v>
      </c>
      <c r="F35" s="1227">
        <v>0</v>
      </c>
      <c r="G35" s="1227">
        <f t="shared" si="54"/>
        <v>0</v>
      </c>
      <c r="H35" s="1227">
        <f t="shared" si="54"/>
        <v>0</v>
      </c>
      <c r="I35" s="1227">
        <f t="shared" si="54"/>
        <v>0</v>
      </c>
      <c r="J35" s="1227">
        <f t="shared" si="54"/>
        <v>0</v>
      </c>
      <c r="K35" s="3209">
        <v>0</v>
      </c>
      <c r="L35" s="1227">
        <v>0</v>
      </c>
      <c r="M35" s="1227">
        <f t="shared" si="55"/>
        <v>0</v>
      </c>
      <c r="N35" s="1227">
        <f t="shared" si="55"/>
        <v>0</v>
      </c>
      <c r="O35" s="1227">
        <f t="shared" si="55"/>
        <v>0</v>
      </c>
      <c r="P35" s="1227">
        <f t="shared" si="55"/>
        <v>0</v>
      </c>
      <c r="Q35" s="1227">
        <v>0</v>
      </c>
      <c r="R35" s="1227">
        <v>0</v>
      </c>
      <c r="S35" s="1227">
        <f>+R35</f>
        <v>0</v>
      </c>
      <c r="T35" s="1227">
        <f t="shared" si="56"/>
        <v>0</v>
      </c>
      <c r="U35" s="1227">
        <f t="shared" si="56"/>
        <v>0</v>
      </c>
      <c r="V35" s="1227">
        <f t="shared" si="56"/>
        <v>0</v>
      </c>
      <c r="W35" s="1227">
        <f>+K35</f>
        <v>0</v>
      </c>
      <c r="X35" s="1227">
        <f>+V35</f>
        <v>0</v>
      </c>
      <c r="Y35" s="1227">
        <f t="shared" si="57"/>
        <v>0</v>
      </c>
      <c r="Z35" s="1227">
        <f t="shared" si="57"/>
        <v>0</v>
      </c>
      <c r="AA35" s="1227">
        <f t="shared" si="57"/>
        <v>0</v>
      </c>
      <c r="AB35" s="1227">
        <f t="shared" si="57"/>
        <v>0</v>
      </c>
      <c r="AC35" s="1227">
        <f t="shared" si="57"/>
        <v>0</v>
      </c>
      <c r="AD35" s="1284"/>
      <c r="AE35" s="1213">
        <f t="shared" si="27"/>
        <v>0</v>
      </c>
      <c r="AF35" s="1213">
        <f t="shared" si="2"/>
        <v>0</v>
      </c>
      <c r="AG35" s="1213">
        <f t="shared" ref="AG35:AH37" si="58">+I35-H35</f>
        <v>0</v>
      </c>
      <c r="AH35" s="2919">
        <f t="shared" si="58"/>
        <v>0</v>
      </c>
      <c r="AI35" s="1834"/>
      <c r="AJ35" s="417">
        <f t="shared" si="21"/>
        <v>0</v>
      </c>
      <c r="AK35" s="430"/>
    </row>
    <row r="36" spans="1:38" s="424" customFormat="1" ht="15">
      <c r="A36" s="2976"/>
      <c r="B36" s="1477" t="s">
        <v>1288</v>
      </c>
      <c r="C36" s="1286" t="s">
        <v>1289</v>
      </c>
      <c r="D36" s="1227">
        <f>507955591+9993859+7748886</f>
        <v>525698336</v>
      </c>
      <c r="E36" s="2719">
        <v>529394231</v>
      </c>
      <c r="F36" s="1227">
        <v>617220903</v>
      </c>
      <c r="G36" s="1227">
        <f>+F36+889000</f>
        <v>618109903</v>
      </c>
      <c r="H36" s="1227">
        <f>+G36+9000*12+210000</f>
        <v>618427903</v>
      </c>
      <c r="I36" s="1227">
        <f>+H36+210000+7120540</f>
        <v>625758443</v>
      </c>
      <c r="J36" s="1227">
        <f t="shared" si="54"/>
        <v>625758443</v>
      </c>
      <c r="K36" s="3209">
        <v>611017746</v>
      </c>
      <c r="L36" s="1227">
        <v>0</v>
      </c>
      <c r="M36" s="1227">
        <f t="shared" si="55"/>
        <v>0</v>
      </c>
      <c r="N36" s="1227">
        <f t="shared" si="55"/>
        <v>0</v>
      </c>
      <c r="O36" s="1227">
        <f t="shared" si="55"/>
        <v>0</v>
      </c>
      <c r="P36" s="1227">
        <f t="shared" si="55"/>
        <v>0</v>
      </c>
      <c r="Q36" s="1227">
        <v>0</v>
      </c>
      <c r="R36" s="1227">
        <f>+F36</f>
        <v>617220903</v>
      </c>
      <c r="S36" s="1227">
        <f>+R36+889000</f>
        <v>618109903</v>
      </c>
      <c r="T36" s="1227">
        <f>+S36+9000*12+210000</f>
        <v>618427903</v>
      </c>
      <c r="U36" s="1227">
        <f>+T36+210000+7120540</f>
        <v>625758443</v>
      </c>
      <c r="V36" s="1227">
        <f t="shared" si="56"/>
        <v>625758443</v>
      </c>
      <c r="W36" s="1227">
        <f>+K36</f>
        <v>611017746</v>
      </c>
      <c r="X36" s="1227"/>
      <c r="Y36" s="1227">
        <f t="shared" si="57"/>
        <v>0</v>
      </c>
      <c r="Z36" s="1227">
        <f t="shared" si="57"/>
        <v>0</v>
      </c>
      <c r="AA36" s="1227">
        <f t="shared" si="57"/>
        <v>0</v>
      </c>
      <c r="AB36" s="1227">
        <f t="shared" si="57"/>
        <v>0</v>
      </c>
      <c r="AC36" s="1227">
        <f t="shared" si="57"/>
        <v>0</v>
      </c>
      <c r="AD36" s="1284"/>
      <c r="AE36" s="1213">
        <f t="shared" si="27"/>
        <v>889000</v>
      </c>
      <c r="AF36" s="1213">
        <f t="shared" si="2"/>
        <v>318000</v>
      </c>
      <c r="AG36" s="1213">
        <f t="shared" si="58"/>
        <v>7330540</v>
      </c>
      <c r="AH36" s="2919">
        <f t="shared" si="58"/>
        <v>0</v>
      </c>
      <c r="AI36" s="1834">
        <f>+K36/I36</f>
        <v>0.97644347085541439</v>
      </c>
      <c r="AJ36" s="417">
        <f t="shared" si="21"/>
        <v>91522567</v>
      </c>
      <c r="AK36" s="430"/>
    </row>
    <row r="37" spans="1:38" s="405" customFormat="1" ht="15.75">
      <c r="A37" s="2975" t="s">
        <v>27</v>
      </c>
      <c r="B37" s="1475" t="s">
        <v>27</v>
      </c>
      <c r="C37" s="1297" t="s">
        <v>1290</v>
      </c>
      <c r="D37" s="1298">
        <f t="shared" ref="D37:AC37" si="59">+D32+D33</f>
        <v>541465848</v>
      </c>
      <c r="E37" s="2720">
        <f t="shared" si="59"/>
        <v>573018781</v>
      </c>
      <c r="F37" s="1298">
        <f t="shared" si="59"/>
        <v>634494179</v>
      </c>
      <c r="G37" s="1298">
        <f t="shared" si="59"/>
        <v>652015744</v>
      </c>
      <c r="H37" s="1298">
        <f t="shared" si="59"/>
        <v>654216850</v>
      </c>
      <c r="I37" s="1298">
        <f t="shared" si="59"/>
        <v>663811674</v>
      </c>
      <c r="J37" s="1298">
        <f t="shared" si="59"/>
        <v>663811674</v>
      </c>
      <c r="K37" s="3210">
        <f t="shared" si="59"/>
        <v>649070977</v>
      </c>
      <c r="L37" s="1298">
        <f t="shared" si="59"/>
        <v>0</v>
      </c>
      <c r="M37" s="1298">
        <f t="shared" si="59"/>
        <v>0</v>
      </c>
      <c r="N37" s="1298">
        <f t="shared" si="59"/>
        <v>0</v>
      </c>
      <c r="O37" s="1298">
        <f t="shared" si="59"/>
        <v>0</v>
      </c>
      <c r="P37" s="1298">
        <f t="shared" si="59"/>
        <v>0</v>
      </c>
      <c r="Q37" s="1298">
        <f t="shared" si="59"/>
        <v>0</v>
      </c>
      <c r="R37" s="1298">
        <f t="shared" si="59"/>
        <v>634494179</v>
      </c>
      <c r="S37" s="1298">
        <f t="shared" si="59"/>
        <v>652015744</v>
      </c>
      <c r="T37" s="1298">
        <f t="shared" si="59"/>
        <v>654216850</v>
      </c>
      <c r="U37" s="1298">
        <f t="shared" si="59"/>
        <v>663811674</v>
      </c>
      <c r="V37" s="1298">
        <f t="shared" si="59"/>
        <v>663811674</v>
      </c>
      <c r="W37" s="1298">
        <f t="shared" si="59"/>
        <v>649070977</v>
      </c>
      <c r="X37" s="1298">
        <f t="shared" si="59"/>
        <v>0</v>
      </c>
      <c r="Y37" s="1298">
        <f t="shared" si="59"/>
        <v>0</v>
      </c>
      <c r="Z37" s="1298">
        <f t="shared" si="59"/>
        <v>0</v>
      </c>
      <c r="AA37" s="1298">
        <f t="shared" si="59"/>
        <v>0</v>
      </c>
      <c r="AB37" s="1298">
        <f t="shared" si="59"/>
        <v>0</v>
      </c>
      <c r="AC37" s="1298">
        <f t="shared" si="59"/>
        <v>0</v>
      </c>
      <c r="AD37" s="1284"/>
      <c r="AE37" s="1213">
        <f t="shared" si="27"/>
        <v>17521565</v>
      </c>
      <c r="AF37" s="1213">
        <f t="shared" si="2"/>
        <v>2201106</v>
      </c>
      <c r="AG37" s="1213">
        <f t="shared" si="58"/>
        <v>9594824</v>
      </c>
      <c r="AH37" s="2919">
        <f t="shared" si="58"/>
        <v>0</v>
      </c>
      <c r="AI37" s="1829">
        <f>+K37/I37</f>
        <v>0.97779385693659859</v>
      </c>
      <c r="AJ37" s="417">
        <f t="shared" si="21"/>
        <v>93028331</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9"/>
      <c r="AF38" s="2929"/>
      <c r="AG38" s="2929"/>
      <c r="AH38" s="2921"/>
      <c r="AI38" s="1858"/>
      <c r="AJ38" s="417"/>
      <c r="AK38" s="436"/>
    </row>
    <row r="39" spans="1:38" ht="15">
      <c r="A39" s="2932"/>
      <c r="B39" s="1285"/>
      <c r="C39" s="1548" t="str">
        <f t="shared" ref="C39:T40" si="60">+C4</f>
        <v>A</v>
      </c>
      <c r="D39" s="1549" t="str">
        <f t="shared" si="60"/>
        <v>B</v>
      </c>
      <c r="E39" s="2960" t="str">
        <f t="shared" si="60"/>
        <v>B</v>
      </c>
      <c r="F39" s="1345" t="str">
        <f t="shared" si="60"/>
        <v>B</v>
      </c>
      <c r="G39" s="1345" t="str">
        <f t="shared" si="60"/>
        <v>D</v>
      </c>
      <c r="H39" s="1345" t="str">
        <f t="shared" si="60"/>
        <v>E</v>
      </c>
      <c r="I39" s="1345" t="str">
        <f t="shared" si="60"/>
        <v>C</v>
      </c>
      <c r="J39" s="1345" t="str">
        <f t="shared" si="60"/>
        <v>F</v>
      </c>
      <c r="K39" s="1345" t="str">
        <f t="shared" si="60"/>
        <v>D</v>
      </c>
      <c r="L39" s="1345" t="str">
        <f t="shared" si="60"/>
        <v>E</v>
      </c>
      <c r="M39" s="1345" t="str">
        <f t="shared" si="60"/>
        <v>F</v>
      </c>
      <c r="N39" s="1345" t="str">
        <f t="shared" si="60"/>
        <v>F</v>
      </c>
      <c r="O39" s="1345" t="str">
        <f t="shared" si="60"/>
        <v>E</v>
      </c>
      <c r="P39" s="1345">
        <f t="shared" si="60"/>
        <v>0</v>
      </c>
      <c r="Q39" s="1345" t="str">
        <f t="shared" si="60"/>
        <v>F</v>
      </c>
      <c r="R39" s="1345" t="str">
        <f t="shared" si="60"/>
        <v>E</v>
      </c>
      <c r="S39" s="1345" t="str">
        <f t="shared" si="60"/>
        <v>E</v>
      </c>
      <c r="T39" s="1345" t="str">
        <f t="shared" si="60"/>
        <v>G</v>
      </c>
      <c r="U39" s="1345" t="str">
        <f>+U4</f>
        <v>G</v>
      </c>
      <c r="V39" s="1345">
        <f>+V4</f>
        <v>0</v>
      </c>
      <c r="W39" s="1345" t="str">
        <f>+W4</f>
        <v>H</v>
      </c>
      <c r="X39" s="2961"/>
      <c r="Y39" s="2961"/>
      <c r="Z39" s="2961"/>
      <c r="AA39" s="2961"/>
      <c r="AB39" s="2961"/>
      <c r="AC39" s="2961"/>
      <c r="AD39" s="2962"/>
      <c r="AE39" s="2961"/>
      <c r="AF39" s="1345" t="str">
        <f>+AF4</f>
        <v>H</v>
      </c>
      <c r="AG39" s="1301" t="str">
        <f>+AG4</f>
        <v>I</v>
      </c>
      <c r="AH39" s="1551"/>
      <c r="AI39" s="1845" t="str">
        <f>+AI4</f>
        <v>I</v>
      </c>
      <c r="AJ39" s="417"/>
      <c r="AK39" s="1549"/>
      <c r="AL39" s="439"/>
    </row>
    <row r="40" spans="1:38" ht="73.5">
      <c r="A40" s="2933"/>
      <c r="B40" s="1278" t="s">
        <v>6</v>
      </c>
      <c r="C40" s="1276" t="str">
        <f t="shared" si="60"/>
        <v>Kiemelt előirányzat, előirányzat megnevezése</v>
      </c>
      <c r="D40" s="1278" t="str">
        <f t="shared" si="60"/>
        <v>2024. évi eredeti előirányzat
forintban</v>
      </c>
      <c r="E40" s="2596" t="str">
        <f>+E5</f>
        <v>2024. évi teljesítés forintban</v>
      </c>
      <c r="F40" s="1276" t="str">
        <f t="shared" si="60"/>
        <v>2025. évi eredeti előirányzat forintban</v>
      </c>
      <c r="G40" s="1276" t="str">
        <f t="shared" ref="G40:AJ40" si="61">+G5</f>
        <v>2025. évi I. számú módosított előirányzat
forintban</v>
      </c>
      <c r="H40" s="1276" t="str">
        <f t="shared" si="61"/>
        <v>2025. évi II. számú módosított előirányzat forintban</v>
      </c>
      <c r="I40" s="1276" t="str">
        <f t="shared" si="61"/>
        <v>2025. évi III. számú módosított előirányzat forintban</v>
      </c>
      <c r="J40" s="1276" t="str">
        <f t="shared" si="61"/>
        <v>2025. évi IV. számú módosított előirányzat forintban</v>
      </c>
      <c r="K40" s="3197" t="str">
        <f t="shared" si="61"/>
        <v>2025. évi
teljesítés forintban</v>
      </c>
      <c r="L40" s="1276" t="str">
        <f t="shared" si="61"/>
        <v>Önként vállalt feladat forintban</v>
      </c>
      <c r="M40" s="1276" t="str">
        <f t="shared" si="61"/>
        <v>Önként vállalt feladat I. módosítás
forintban</v>
      </c>
      <c r="N40" s="1276" t="str">
        <f t="shared" si="61"/>
        <v>Önként vállalt feladat II. módosítás forintban</v>
      </c>
      <c r="O40" s="1276" t="str">
        <f t="shared" si="61"/>
        <v>Önként vállalt feladat III. módosítás forintban</v>
      </c>
      <c r="P40" s="1276" t="str">
        <f t="shared" si="61"/>
        <v>Önként vállalt feladat IV. módosítás  forintban</v>
      </c>
      <c r="Q40" s="1276" t="str">
        <f t="shared" si="61"/>
        <v>Önként vállalt teljesítés  forintban</v>
      </c>
      <c r="R40" s="1276" t="str">
        <f t="shared" si="61"/>
        <v>Kötelező feladat forintban</v>
      </c>
      <c r="S40" s="1276" t="str">
        <f t="shared" si="61"/>
        <v>Kötelező feladat 
I. módosítás
forintban</v>
      </c>
      <c r="T40" s="1276" t="str">
        <f t="shared" si="61"/>
        <v>Kötelező feladat II. módosítás forintban</v>
      </c>
      <c r="U40" s="1276" t="str">
        <f t="shared" si="61"/>
        <v>Kötelező feladat III. módosítás  forintban</v>
      </c>
      <c r="V40" s="1278" t="str">
        <f t="shared" si="61"/>
        <v>Kötelező feladat IV. módosítás  forintban</v>
      </c>
      <c r="W40" s="1278" t="str">
        <f t="shared" si="61"/>
        <v>Kötelező teljesítés  forintban</v>
      </c>
      <c r="X40" s="1278">
        <f t="shared" si="61"/>
        <v>0</v>
      </c>
      <c r="Y40" s="1278">
        <f t="shared" si="61"/>
        <v>0</v>
      </c>
      <c r="Z40" s="1278">
        <f t="shared" si="61"/>
        <v>0</v>
      </c>
      <c r="AA40" s="1278">
        <f t="shared" si="61"/>
        <v>0</v>
      </c>
      <c r="AB40" s="1278">
        <f t="shared" si="61"/>
        <v>0</v>
      </c>
      <c r="AC40" s="1278">
        <f t="shared" si="61"/>
        <v>0</v>
      </c>
      <c r="AD40" s="1278"/>
      <c r="AE40" s="1278" t="str">
        <f t="shared" si="61"/>
        <v>I. változás</v>
      </c>
      <c r="AF40" s="1278" t="str">
        <f t="shared" si="61"/>
        <v>Előirányzat-módosítások, előirányzat-átcsoportosítások összegszerű változásai</v>
      </c>
      <c r="AG40" s="2916" t="str">
        <f t="shared" si="61"/>
        <v>Előirányzat-módosítások, előirányzat-átcsoportosítások összegszerű változásai a III. módosításnál</v>
      </c>
      <c r="AH40" s="1854" t="str">
        <f t="shared" si="61"/>
        <v>IV. változás</v>
      </c>
      <c r="AI40" s="1825" t="str">
        <f t="shared" si="61"/>
        <v xml:space="preserve"> 2025. évi teljesítés / 2025. évi III. számú módosított előirányzat</v>
      </c>
      <c r="AJ40" s="1854" t="str">
        <f t="shared" si="61"/>
        <v>Változás Eredeti előző évhez 
Ft-ban</v>
      </c>
      <c r="AK40" s="2595"/>
      <c r="AL40" s="439"/>
    </row>
    <row r="41" spans="1:38" ht="15">
      <c r="A41" s="2934" t="s">
        <v>6</v>
      </c>
      <c r="B41" s="2946" t="s">
        <v>3353</v>
      </c>
      <c r="C41" s="1292" t="s">
        <v>1291</v>
      </c>
      <c r="D41" s="1213">
        <f t="shared" ref="D41:AC41" si="62">SUM(D42:D46)</f>
        <v>540322848</v>
      </c>
      <c r="E41" s="2715">
        <f t="shared" si="62"/>
        <v>555747312</v>
      </c>
      <c r="F41" s="1213">
        <f t="shared" si="62"/>
        <v>633813459</v>
      </c>
      <c r="G41" s="1213">
        <f t="shared" si="62"/>
        <v>651335024</v>
      </c>
      <c r="H41" s="1213">
        <f t="shared" si="62"/>
        <v>653536130</v>
      </c>
      <c r="I41" s="1213">
        <f t="shared" si="62"/>
        <v>662980954</v>
      </c>
      <c r="J41" s="1213">
        <f t="shared" si="62"/>
        <v>662980954</v>
      </c>
      <c r="K41" s="3208">
        <f t="shared" si="62"/>
        <v>625253737</v>
      </c>
      <c r="L41" s="1213">
        <f t="shared" si="62"/>
        <v>0</v>
      </c>
      <c r="M41" s="1213">
        <f t="shared" si="62"/>
        <v>0</v>
      </c>
      <c r="N41" s="1213">
        <f t="shared" si="62"/>
        <v>0</v>
      </c>
      <c r="O41" s="1213">
        <f t="shared" si="62"/>
        <v>0</v>
      </c>
      <c r="P41" s="1213">
        <f t="shared" si="62"/>
        <v>0</v>
      </c>
      <c r="Q41" s="1213">
        <f t="shared" si="62"/>
        <v>0</v>
      </c>
      <c r="R41" s="1213">
        <f t="shared" si="62"/>
        <v>633813459</v>
      </c>
      <c r="S41" s="1213">
        <f t="shared" si="62"/>
        <v>651335024</v>
      </c>
      <c r="T41" s="1213">
        <f t="shared" si="62"/>
        <v>653536130</v>
      </c>
      <c r="U41" s="1213">
        <f t="shared" si="62"/>
        <v>662980954</v>
      </c>
      <c r="V41" s="1213">
        <f t="shared" si="62"/>
        <v>662980954</v>
      </c>
      <c r="W41" s="1213">
        <f t="shared" si="62"/>
        <v>625253737</v>
      </c>
      <c r="X41" s="1213">
        <f t="shared" si="62"/>
        <v>0</v>
      </c>
      <c r="Y41" s="1213">
        <f t="shared" si="62"/>
        <v>0</v>
      </c>
      <c r="Z41" s="1213">
        <f t="shared" si="62"/>
        <v>0</v>
      </c>
      <c r="AA41" s="1213">
        <f t="shared" si="62"/>
        <v>0</v>
      </c>
      <c r="AB41" s="1213">
        <f t="shared" si="62"/>
        <v>0</v>
      </c>
      <c r="AC41" s="1213">
        <f t="shared" si="62"/>
        <v>0</v>
      </c>
      <c r="AD41" s="1284"/>
      <c r="AE41" s="1213">
        <f t="shared" ref="AE41:AE56" si="63">+G41-F41</f>
        <v>17521565</v>
      </c>
      <c r="AF41" s="1213">
        <f t="shared" ref="AF41:AF52" si="64">+H41-G41</f>
        <v>2201106</v>
      </c>
      <c r="AG41" s="1213">
        <f t="shared" ref="AG41:AG55" si="65">+I41-H41</f>
        <v>9444824</v>
      </c>
      <c r="AH41" s="2919">
        <f t="shared" ref="AH41:AH55" si="66">+J41-I41</f>
        <v>0</v>
      </c>
      <c r="AI41" s="1829">
        <f t="shared" ref="AI41:AI54" si="67">+K41/I41</f>
        <v>0.94309456889767607</v>
      </c>
      <c r="AJ41" s="417">
        <f t="shared" ref="AJ41:AJ54" si="68">+F41-D41</f>
        <v>93490611</v>
      </c>
      <c r="AK41" s="412"/>
      <c r="AL41" s="439"/>
    </row>
    <row r="42" spans="1:38" ht="15">
      <c r="A42" s="2934"/>
      <c r="B42" s="2948" t="s">
        <v>176</v>
      </c>
      <c r="C42" s="1290" t="s">
        <v>147</v>
      </c>
      <c r="D42" s="1227">
        <v>381673142</v>
      </c>
      <c r="E42" s="2719">
        <v>375128501</v>
      </c>
      <c r="F42" s="1227">
        <v>463767909</v>
      </c>
      <c r="G42" s="1227">
        <f t="shared" ref="G42:I43" si="69">+F42</f>
        <v>463767909</v>
      </c>
      <c r="H42" s="1227">
        <f>+G42+9000*12+210000</f>
        <v>464085909</v>
      </c>
      <c r="I42" s="1227">
        <f>+H42+210000-7039655+1325401</f>
        <v>458581655</v>
      </c>
      <c r="J42" s="1227">
        <f t="shared" ref="G42:J46" si="70">+I42</f>
        <v>458581655</v>
      </c>
      <c r="K42" s="3209">
        <v>444689981</v>
      </c>
      <c r="L42" s="1227">
        <v>0</v>
      </c>
      <c r="M42" s="1227">
        <f t="shared" ref="M42:P46" si="71">+L42</f>
        <v>0</v>
      </c>
      <c r="N42" s="1227">
        <f t="shared" si="71"/>
        <v>0</v>
      </c>
      <c r="O42" s="1227">
        <f t="shared" si="71"/>
        <v>0</v>
      </c>
      <c r="P42" s="1227">
        <f t="shared" si="71"/>
        <v>0</v>
      </c>
      <c r="Q42" s="1227">
        <v>0</v>
      </c>
      <c r="R42" s="1227">
        <f>+F42</f>
        <v>463767909</v>
      </c>
      <c r="S42" s="1227">
        <f t="shared" ref="S42:U43" si="72">+R42</f>
        <v>463767909</v>
      </c>
      <c r="T42" s="1227">
        <f>+S42+9000*12+210000</f>
        <v>464085909</v>
      </c>
      <c r="U42" s="1227">
        <f>+T42+210000-7039655+1325401</f>
        <v>458581655</v>
      </c>
      <c r="V42" s="1227">
        <f t="shared" ref="S42:V46" si="73">+U42</f>
        <v>458581655</v>
      </c>
      <c r="W42" s="1227">
        <f>+K42</f>
        <v>444689981</v>
      </c>
      <c r="X42" s="1227"/>
      <c r="Y42" s="1227">
        <f t="shared" ref="Y42:AC46" si="74">+X42</f>
        <v>0</v>
      </c>
      <c r="Z42" s="1227">
        <f t="shared" si="74"/>
        <v>0</v>
      </c>
      <c r="AA42" s="1227">
        <f t="shared" si="74"/>
        <v>0</v>
      </c>
      <c r="AB42" s="1227">
        <f t="shared" si="74"/>
        <v>0</v>
      </c>
      <c r="AC42" s="1227">
        <f t="shared" si="74"/>
        <v>0</v>
      </c>
      <c r="AD42" s="1284"/>
      <c r="AE42" s="1213">
        <f t="shared" si="63"/>
        <v>0</v>
      </c>
      <c r="AF42" s="1213">
        <f t="shared" si="64"/>
        <v>318000</v>
      </c>
      <c r="AG42" s="1213">
        <f t="shared" si="65"/>
        <v>-5504254</v>
      </c>
      <c r="AH42" s="2919">
        <f t="shared" si="66"/>
        <v>0</v>
      </c>
      <c r="AI42" s="1834">
        <f t="shared" si="67"/>
        <v>0.96970730545250439</v>
      </c>
      <c r="AJ42" s="417">
        <f t="shared" si="68"/>
        <v>82094767</v>
      </c>
      <c r="AK42" s="430"/>
      <c r="AL42" s="439"/>
    </row>
    <row r="43" spans="1:38" ht="15">
      <c r="A43" s="2934"/>
      <c r="B43" s="2948" t="s">
        <v>178</v>
      </c>
      <c r="C43" s="1290" t="s">
        <v>8</v>
      </c>
      <c r="D43" s="1227">
        <v>60725593</v>
      </c>
      <c r="E43" s="2719">
        <v>52522121</v>
      </c>
      <c r="F43" s="1227">
        <v>71015971</v>
      </c>
      <c r="G43" s="1227">
        <f t="shared" si="69"/>
        <v>71015971</v>
      </c>
      <c r="H43" s="1227">
        <f t="shared" si="69"/>
        <v>71015971</v>
      </c>
      <c r="I43" s="1227">
        <f t="shared" si="69"/>
        <v>71015971</v>
      </c>
      <c r="J43" s="1227">
        <f t="shared" si="70"/>
        <v>71015971</v>
      </c>
      <c r="K43" s="3209">
        <v>61884352</v>
      </c>
      <c r="L43" s="1227">
        <v>0</v>
      </c>
      <c r="M43" s="1227">
        <f t="shared" si="71"/>
        <v>0</v>
      </c>
      <c r="N43" s="1227">
        <f t="shared" si="71"/>
        <v>0</v>
      </c>
      <c r="O43" s="1227">
        <f t="shared" si="71"/>
        <v>0</v>
      </c>
      <c r="P43" s="1227">
        <f t="shared" si="71"/>
        <v>0</v>
      </c>
      <c r="Q43" s="1227">
        <v>0</v>
      </c>
      <c r="R43" s="1227">
        <f>+F43</f>
        <v>71015971</v>
      </c>
      <c r="S43" s="1227">
        <f t="shared" si="72"/>
        <v>71015971</v>
      </c>
      <c r="T43" s="1227">
        <f t="shared" si="72"/>
        <v>71015971</v>
      </c>
      <c r="U43" s="1227">
        <f t="shared" si="72"/>
        <v>71015971</v>
      </c>
      <c r="V43" s="1227">
        <f t="shared" si="73"/>
        <v>71015971</v>
      </c>
      <c r="W43" s="1227">
        <f>+K43</f>
        <v>61884352</v>
      </c>
      <c r="X43" s="1227"/>
      <c r="Y43" s="1227">
        <f t="shared" si="74"/>
        <v>0</v>
      </c>
      <c r="Z43" s="1227">
        <f t="shared" si="74"/>
        <v>0</v>
      </c>
      <c r="AA43" s="1227">
        <f t="shared" si="74"/>
        <v>0</v>
      </c>
      <c r="AB43" s="1227">
        <f t="shared" si="74"/>
        <v>0</v>
      </c>
      <c r="AC43" s="1227">
        <f t="shared" si="74"/>
        <v>0</v>
      </c>
      <c r="AD43" s="1665"/>
      <c r="AE43" s="1213">
        <f t="shared" si="63"/>
        <v>0</v>
      </c>
      <c r="AF43" s="1213">
        <f t="shared" si="64"/>
        <v>0</v>
      </c>
      <c r="AG43" s="1213">
        <f t="shared" si="65"/>
        <v>0</v>
      </c>
      <c r="AH43" s="2919">
        <f t="shared" si="66"/>
        <v>0</v>
      </c>
      <c r="AI43" s="1834">
        <f t="shared" si="67"/>
        <v>0.87141457236429254</v>
      </c>
      <c r="AJ43" s="417">
        <f t="shared" si="68"/>
        <v>10290378</v>
      </c>
      <c r="AK43" s="430"/>
      <c r="AL43" s="439"/>
    </row>
    <row r="44" spans="1:38" ht="15">
      <c r="A44" s="2934"/>
      <c r="B44" s="2948" t="s">
        <v>179</v>
      </c>
      <c r="C44" s="1290" t="s">
        <v>317</v>
      </c>
      <c r="D44" s="1227">
        <v>97924113</v>
      </c>
      <c r="E44" s="2719">
        <v>112649044</v>
      </c>
      <c r="F44" s="1227">
        <v>99029579</v>
      </c>
      <c r="G44" s="1227">
        <f>+F44+889000+256849+898244</f>
        <v>101073672</v>
      </c>
      <c r="H44" s="1227">
        <f>+G44+1883106</f>
        <v>102956778</v>
      </c>
      <c r="I44" s="1227">
        <f>+H44-30000-120000+7039655+701273+7120540+237610</f>
        <v>117905856</v>
      </c>
      <c r="J44" s="1227">
        <f t="shared" si="70"/>
        <v>117905856</v>
      </c>
      <c r="K44" s="3209">
        <v>103201932</v>
      </c>
      <c r="L44" s="1227">
        <v>0</v>
      </c>
      <c r="M44" s="1227">
        <f t="shared" si="71"/>
        <v>0</v>
      </c>
      <c r="N44" s="1227">
        <f t="shared" si="71"/>
        <v>0</v>
      </c>
      <c r="O44" s="1227">
        <f t="shared" si="71"/>
        <v>0</v>
      </c>
      <c r="P44" s="1227">
        <f t="shared" si="71"/>
        <v>0</v>
      </c>
      <c r="Q44" s="1227">
        <v>0</v>
      </c>
      <c r="R44" s="1227">
        <f>+F44</f>
        <v>99029579</v>
      </c>
      <c r="S44" s="1227">
        <f>+R44+889000+256849+898244</f>
        <v>101073672</v>
      </c>
      <c r="T44" s="1227">
        <f>+S44+1883106</f>
        <v>102956778</v>
      </c>
      <c r="U44" s="1227">
        <f>+T44-30000-120000+7039655+701273+7120540+237610</f>
        <v>117905856</v>
      </c>
      <c r="V44" s="1227">
        <f t="shared" si="73"/>
        <v>117905856</v>
      </c>
      <c r="W44" s="1227">
        <f>+K44</f>
        <v>103201932</v>
      </c>
      <c r="X44" s="1227"/>
      <c r="Y44" s="1227">
        <f t="shared" si="74"/>
        <v>0</v>
      </c>
      <c r="Z44" s="1227">
        <f t="shared" si="74"/>
        <v>0</v>
      </c>
      <c r="AA44" s="1227">
        <f t="shared" si="74"/>
        <v>0</v>
      </c>
      <c r="AB44" s="1227">
        <f t="shared" si="74"/>
        <v>0</v>
      </c>
      <c r="AC44" s="1227">
        <f t="shared" si="74"/>
        <v>0</v>
      </c>
      <c r="AD44" s="2947"/>
      <c r="AE44" s="1213">
        <f t="shared" si="63"/>
        <v>2044093</v>
      </c>
      <c r="AF44" s="1213">
        <f t="shared" si="64"/>
        <v>1883106</v>
      </c>
      <c r="AG44" s="1213">
        <f t="shared" si="65"/>
        <v>14949078</v>
      </c>
      <c r="AH44" s="2919">
        <f t="shared" si="66"/>
        <v>0</v>
      </c>
      <c r="AI44" s="1834">
        <f t="shared" si="67"/>
        <v>0.87529097791376875</v>
      </c>
      <c r="AJ44" s="417">
        <f t="shared" si="68"/>
        <v>1105466</v>
      </c>
      <c r="AK44" s="430"/>
    </row>
    <row r="45" spans="1:38" s="439" customFormat="1" ht="15">
      <c r="A45" s="2934"/>
      <c r="B45" s="2948" t="s">
        <v>180</v>
      </c>
      <c r="C45" s="1290" t="s">
        <v>318</v>
      </c>
      <c r="D45" s="1227">
        <v>0</v>
      </c>
      <c r="E45" s="2719">
        <v>0</v>
      </c>
      <c r="F45" s="1227">
        <v>0</v>
      </c>
      <c r="G45" s="1227">
        <f t="shared" si="70"/>
        <v>0</v>
      </c>
      <c r="H45" s="1227">
        <f t="shared" si="70"/>
        <v>0</v>
      </c>
      <c r="I45" s="1227">
        <f t="shared" si="70"/>
        <v>0</v>
      </c>
      <c r="J45" s="1227">
        <f t="shared" si="70"/>
        <v>0</v>
      </c>
      <c r="K45" s="3209">
        <v>0</v>
      </c>
      <c r="L45" s="1227">
        <v>0</v>
      </c>
      <c r="M45" s="1227">
        <f t="shared" si="71"/>
        <v>0</v>
      </c>
      <c r="N45" s="1227">
        <f t="shared" si="71"/>
        <v>0</v>
      </c>
      <c r="O45" s="1227">
        <f t="shared" si="71"/>
        <v>0</v>
      </c>
      <c r="P45" s="1227">
        <f t="shared" si="71"/>
        <v>0</v>
      </c>
      <c r="Q45" s="1227">
        <v>0</v>
      </c>
      <c r="R45" s="1227">
        <v>0</v>
      </c>
      <c r="S45" s="1227">
        <f t="shared" si="73"/>
        <v>0</v>
      </c>
      <c r="T45" s="1227">
        <f t="shared" si="73"/>
        <v>0</v>
      </c>
      <c r="U45" s="1227">
        <f t="shared" si="73"/>
        <v>0</v>
      </c>
      <c r="V45" s="1227">
        <f t="shared" si="73"/>
        <v>0</v>
      </c>
      <c r="W45" s="1227">
        <f>+K45</f>
        <v>0</v>
      </c>
      <c r="X45" s="1227"/>
      <c r="Y45" s="1227">
        <f t="shared" si="74"/>
        <v>0</v>
      </c>
      <c r="Z45" s="1227">
        <f t="shared" si="74"/>
        <v>0</v>
      </c>
      <c r="AA45" s="1227">
        <f t="shared" si="74"/>
        <v>0</v>
      </c>
      <c r="AB45" s="1227">
        <f t="shared" si="74"/>
        <v>0</v>
      </c>
      <c r="AC45" s="1227">
        <f t="shared" si="74"/>
        <v>0</v>
      </c>
      <c r="AD45" s="1284"/>
      <c r="AE45" s="1213">
        <f t="shared" si="63"/>
        <v>0</v>
      </c>
      <c r="AF45" s="1213">
        <f t="shared" si="64"/>
        <v>0</v>
      </c>
      <c r="AG45" s="1213">
        <f t="shared" si="65"/>
        <v>0</v>
      </c>
      <c r="AH45" s="2919">
        <f t="shared" si="66"/>
        <v>0</v>
      </c>
      <c r="AI45" s="1834"/>
      <c r="AJ45" s="417">
        <f t="shared" si="68"/>
        <v>0</v>
      </c>
      <c r="AK45" s="430"/>
    </row>
    <row r="46" spans="1:38" ht="15">
      <c r="A46" s="2934"/>
      <c r="B46" s="1477" t="s">
        <v>181</v>
      </c>
      <c r="C46" s="1286" t="s">
        <v>3319</v>
      </c>
      <c r="D46" s="1227">
        <v>0</v>
      </c>
      <c r="E46" s="2719">
        <v>15447646</v>
      </c>
      <c r="F46" s="1227">
        <v>0</v>
      </c>
      <c r="G46" s="1227">
        <f>+F46+15477472</f>
        <v>15477472</v>
      </c>
      <c r="H46" s="1227">
        <f t="shared" si="70"/>
        <v>15477472</v>
      </c>
      <c r="I46" s="1227">
        <f t="shared" si="70"/>
        <v>15477472</v>
      </c>
      <c r="J46" s="1227">
        <f t="shared" si="70"/>
        <v>15477472</v>
      </c>
      <c r="K46" s="3209">
        <v>15477472</v>
      </c>
      <c r="L46" s="1227">
        <v>0</v>
      </c>
      <c r="M46" s="1227">
        <f t="shared" si="71"/>
        <v>0</v>
      </c>
      <c r="N46" s="1227">
        <f t="shared" si="71"/>
        <v>0</v>
      </c>
      <c r="O46" s="1227">
        <f t="shared" si="71"/>
        <v>0</v>
      </c>
      <c r="P46" s="1227">
        <f t="shared" si="71"/>
        <v>0</v>
      </c>
      <c r="Q46" s="1227">
        <v>0</v>
      </c>
      <c r="R46" s="1227">
        <v>0</v>
      </c>
      <c r="S46" s="1227">
        <f>+R46+15477472</f>
        <v>15477472</v>
      </c>
      <c r="T46" s="1227">
        <f t="shared" si="73"/>
        <v>15477472</v>
      </c>
      <c r="U46" s="1227">
        <f t="shared" si="73"/>
        <v>15477472</v>
      </c>
      <c r="V46" s="1227">
        <f t="shared" si="73"/>
        <v>15477472</v>
      </c>
      <c r="W46" s="1227">
        <f>+K46</f>
        <v>15477472</v>
      </c>
      <c r="X46" s="1227"/>
      <c r="Y46" s="1227">
        <f t="shared" si="74"/>
        <v>0</v>
      </c>
      <c r="Z46" s="1227">
        <f t="shared" si="74"/>
        <v>0</v>
      </c>
      <c r="AA46" s="1227">
        <f t="shared" si="74"/>
        <v>0</v>
      </c>
      <c r="AB46" s="1227">
        <f t="shared" si="74"/>
        <v>0</v>
      </c>
      <c r="AC46" s="1227">
        <f t="shared" si="74"/>
        <v>0</v>
      </c>
      <c r="AD46" s="2947"/>
      <c r="AE46" s="1213">
        <f t="shared" si="63"/>
        <v>15477472</v>
      </c>
      <c r="AF46" s="1213">
        <f t="shared" si="64"/>
        <v>0</v>
      </c>
      <c r="AG46" s="1213">
        <f t="shared" si="65"/>
        <v>0</v>
      </c>
      <c r="AH46" s="2919">
        <f t="shared" si="66"/>
        <v>0</v>
      </c>
      <c r="AI46" s="1834">
        <f t="shared" si="67"/>
        <v>1</v>
      </c>
      <c r="AJ46" s="417">
        <f t="shared" si="68"/>
        <v>0</v>
      </c>
      <c r="AK46" s="430"/>
    </row>
    <row r="47" spans="1:38" ht="15">
      <c r="A47" s="2934" t="s">
        <v>12</v>
      </c>
      <c r="B47" s="2946" t="s">
        <v>12</v>
      </c>
      <c r="C47" s="1292" t="s">
        <v>1292</v>
      </c>
      <c r="D47" s="1213">
        <f t="shared" ref="D47:AC47" si="75">SUM(D48:D50)</f>
        <v>1143000</v>
      </c>
      <c r="E47" s="2715">
        <f t="shared" si="75"/>
        <v>1537148</v>
      </c>
      <c r="F47" s="1213">
        <f t="shared" si="75"/>
        <v>680720</v>
      </c>
      <c r="G47" s="1213">
        <f t="shared" si="75"/>
        <v>680720</v>
      </c>
      <c r="H47" s="1213">
        <f t="shared" si="75"/>
        <v>680720</v>
      </c>
      <c r="I47" s="1213">
        <f t="shared" si="75"/>
        <v>830720</v>
      </c>
      <c r="J47" s="1213">
        <f t="shared" si="75"/>
        <v>830720</v>
      </c>
      <c r="K47" s="3208">
        <f>SUM(K48:K50)</f>
        <v>650014</v>
      </c>
      <c r="L47" s="1213">
        <f t="shared" si="75"/>
        <v>0</v>
      </c>
      <c r="M47" s="1213">
        <f t="shared" si="75"/>
        <v>0</v>
      </c>
      <c r="N47" s="1213">
        <f t="shared" si="75"/>
        <v>0</v>
      </c>
      <c r="O47" s="1213">
        <f t="shared" si="75"/>
        <v>0</v>
      </c>
      <c r="P47" s="1213">
        <f t="shared" si="75"/>
        <v>0</v>
      </c>
      <c r="Q47" s="1213">
        <f t="shared" si="75"/>
        <v>0</v>
      </c>
      <c r="R47" s="1213">
        <f t="shared" si="75"/>
        <v>680720</v>
      </c>
      <c r="S47" s="1213">
        <f t="shared" si="75"/>
        <v>680720</v>
      </c>
      <c r="T47" s="1213">
        <f t="shared" si="75"/>
        <v>680720</v>
      </c>
      <c r="U47" s="1213">
        <f t="shared" si="75"/>
        <v>830720</v>
      </c>
      <c r="V47" s="1213">
        <f t="shared" si="75"/>
        <v>830720</v>
      </c>
      <c r="W47" s="1213">
        <f t="shared" si="75"/>
        <v>650014</v>
      </c>
      <c r="X47" s="1213">
        <f t="shared" si="75"/>
        <v>0</v>
      </c>
      <c r="Y47" s="1213">
        <f t="shared" si="75"/>
        <v>0</v>
      </c>
      <c r="Z47" s="1213">
        <f t="shared" si="75"/>
        <v>0</v>
      </c>
      <c r="AA47" s="1213">
        <f t="shared" si="75"/>
        <v>0</v>
      </c>
      <c r="AB47" s="1213">
        <f t="shared" si="75"/>
        <v>0</v>
      </c>
      <c r="AC47" s="1213">
        <f t="shared" si="75"/>
        <v>0</v>
      </c>
      <c r="AD47" s="1284"/>
      <c r="AE47" s="1213">
        <f t="shared" si="63"/>
        <v>0</v>
      </c>
      <c r="AF47" s="1213">
        <f t="shared" si="64"/>
        <v>0</v>
      </c>
      <c r="AG47" s="1213">
        <f t="shared" si="65"/>
        <v>150000</v>
      </c>
      <c r="AH47" s="2919">
        <f t="shared" si="66"/>
        <v>0</v>
      </c>
      <c r="AI47" s="1829">
        <f t="shared" si="67"/>
        <v>0.78247062788906008</v>
      </c>
      <c r="AJ47" s="417">
        <f t="shared" si="68"/>
        <v>-462280</v>
      </c>
      <c r="AK47" s="412"/>
    </row>
    <row r="48" spans="1:38" ht="15">
      <c r="A48" s="2934"/>
      <c r="B48" s="2948" t="s">
        <v>185</v>
      </c>
      <c r="C48" s="1290" t="s">
        <v>82</v>
      </c>
      <c r="D48" s="1227">
        <v>1143000</v>
      </c>
      <c r="E48" s="2719">
        <v>1537148</v>
      </c>
      <c r="F48" s="1227">
        <v>680720</v>
      </c>
      <c r="G48" s="1227">
        <f>+F48</f>
        <v>680720</v>
      </c>
      <c r="H48" s="1227">
        <f t="shared" ref="G48:J51" si="76">+G48</f>
        <v>680720</v>
      </c>
      <c r="I48" s="1227">
        <f>+H48+30000+120000</f>
        <v>830720</v>
      </c>
      <c r="J48" s="1227">
        <f>+I48</f>
        <v>830720</v>
      </c>
      <c r="K48" s="3209">
        <v>650014</v>
      </c>
      <c r="L48" s="1227">
        <v>0</v>
      </c>
      <c r="M48" s="1227">
        <f t="shared" ref="M48:P51" si="77">+L48</f>
        <v>0</v>
      </c>
      <c r="N48" s="1227">
        <f t="shared" si="77"/>
        <v>0</v>
      </c>
      <c r="O48" s="1227">
        <f t="shared" si="77"/>
        <v>0</v>
      </c>
      <c r="P48" s="1227">
        <f t="shared" si="77"/>
        <v>0</v>
      </c>
      <c r="Q48" s="1227">
        <v>0</v>
      </c>
      <c r="R48" s="1227">
        <f>+F48</f>
        <v>680720</v>
      </c>
      <c r="S48" s="1227">
        <f>+R48</f>
        <v>680720</v>
      </c>
      <c r="T48" s="1227">
        <f t="shared" ref="S48:V51" si="78">+S48</f>
        <v>680720</v>
      </c>
      <c r="U48" s="1227">
        <f>+T48+30000+120000</f>
        <v>830720</v>
      </c>
      <c r="V48" s="1227">
        <f>+U48</f>
        <v>830720</v>
      </c>
      <c r="W48" s="1227">
        <f>+K48</f>
        <v>650014</v>
      </c>
      <c r="X48" s="1227"/>
      <c r="Y48" s="1227">
        <f t="shared" ref="Y48:AC51" si="79">+X48</f>
        <v>0</v>
      </c>
      <c r="Z48" s="1227">
        <f t="shared" si="79"/>
        <v>0</v>
      </c>
      <c r="AA48" s="1227">
        <f t="shared" si="79"/>
        <v>0</v>
      </c>
      <c r="AB48" s="1227">
        <f t="shared" si="79"/>
        <v>0</v>
      </c>
      <c r="AC48" s="1227">
        <f t="shared" si="79"/>
        <v>0</v>
      </c>
      <c r="AD48" s="1284"/>
      <c r="AE48" s="1213">
        <f t="shared" si="63"/>
        <v>0</v>
      </c>
      <c r="AF48" s="1213">
        <f t="shared" si="64"/>
        <v>0</v>
      </c>
      <c r="AG48" s="1213">
        <f t="shared" si="65"/>
        <v>150000</v>
      </c>
      <c r="AH48" s="2919">
        <f t="shared" si="66"/>
        <v>0</v>
      </c>
      <c r="AI48" s="1834">
        <f t="shared" si="67"/>
        <v>0.78247062788906008</v>
      </c>
      <c r="AJ48" s="417">
        <f t="shared" si="68"/>
        <v>-462280</v>
      </c>
      <c r="AK48" s="430"/>
    </row>
    <row r="49" spans="1:37" ht="15">
      <c r="A49" s="2934"/>
      <c r="B49" s="2948" t="s">
        <v>187</v>
      </c>
      <c r="C49" s="1290" t="s">
        <v>344</v>
      </c>
      <c r="D49" s="1227">
        <v>0</v>
      </c>
      <c r="E49" s="2719">
        <v>0</v>
      </c>
      <c r="F49" s="1227">
        <v>0</v>
      </c>
      <c r="G49" s="1227">
        <f t="shared" si="76"/>
        <v>0</v>
      </c>
      <c r="H49" s="1227">
        <f t="shared" si="76"/>
        <v>0</v>
      </c>
      <c r="I49" s="1227">
        <f t="shared" si="76"/>
        <v>0</v>
      </c>
      <c r="J49" s="1227">
        <f t="shared" si="76"/>
        <v>0</v>
      </c>
      <c r="K49" s="3209">
        <v>0</v>
      </c>
      <c r="L49" s="1227">
        <v>0</v>
      </c>
      <c r="M49" s="1227">
        <f t="shared" si="77"/>
        <v>0</v>
      </c>
      <c r="N49" s="1227">
        <f t="shared" si="77"/>
        <v>0</v>
      </c>
      <c r="O49" s="1227">
        <f t="shared" si="77"/>
        <v>0</v>
      </c>
      <c r="P49" s="1227">
        <f t="shared" si="77"/>
        <v>0</v>
      </c>
      <c r="Q49" s="1227">
        <v>0</v>
      </c>
      <c r="R49" s="1227">
        <f>+F49</f>
        <v>0</v>
      </c>
      <c r="S49" s="1227">
        <f t="shared" si="78"/>
        <v>0</v>
      </c>
      <c r="T49" s="1227">
        <f t="shared" si="78"/>
        <v>0</v>
      </c>
      <c r="U49" s="1227">
        <f t="shared" si="78"/>
        <v>0</v>
      </c>
      <c r="V49" s="1227">
        <f t="shared" si="78"/>
        <v>0</v>
      </c>
      <c r="W49" s="1227">
        <f>+K49</f>
        <v>0</v>
      </c>
      <c r="X49" s="1227"/>
      <c r="Y49" s="1227">
        <f t="shared" si="79"/>
        <v>0</v>
      </c>
      <c r="Z49" s="1227">
        <f t="shared" si="79"/>
        <v>0</v>
      </c>
      <c r="AA49" s="1227">
        <f t="shared" si="79"/>
        <v>0</v>
      </c>
      <c r="AB49" s="1227">
        <f t="shared" si="79"/>
        <v>0</v>
      </c>
      <c r="AC49" s="1227">
        <f t="shared" si="79"/>
        <v>0</v>
      </c>
      <c r="AD49" s="1284"/>
      <c r="AE49" s="1213">
        <f t="shared" si="63"/>
        <v>0</v>
      </c>
      <c r="AF49" s="1213">
        <f t="shared" si="64"/>
        <v>0</v>
      </c>
      <c r="AG49" s="1213">
        <f t="shared" si="65"/>
        <v>0</v>
      </c>
      <c r="AH49" s="2919">
        <f t="shared" si="66"/>
        <v>0</v>
      </c>
      <c r="AI49" s="1834"/>
      <c r="AJ49" s="417">
        <f t="shared" si="68"/>
        <v>0</v>
      </c>
      <c r="AK49" s="430"/>
    </row>
    <row r="50" spans="1:37" ht="15">
      <c r="A50" s="2934"/>
      <c r="B50" s="1477" t="s">
        <v>189</v>
      </c>
      <c r="C50" s="1286" t="s">
        <v>1293</v>
      </c>
      <c r="D50" s="1227">
        <v>0</v>
      </c>
      <c r="E50" s="2719">
        <v>0</v>
      </c>
      <c r="F50" s="1227">
        <v>0</v>
      </c>
      <c r="G50" s="1227">
        <f>+F50</f>
        <v>0</v>
      </c>
      <c r="H50" s="1227">
        <f t="shared" si="76"/>
        <v>0</v>
      </c>
      <c r="I50" s="1227">
        <f t="shared" si="76"/>
        <v>0</v>
      </c>
      <c r="J50" s="1227">
        <f t="shared" si="76"/>
        <v>0</v>
      </c>
      <c r="K50" s="3209">
        <v>0</v>
      </c>
      <c r="L50" s="1227">
        <v>0</v>
      </c>
      <c r="M50" s="1227">
        <f t="shared" si="77"/>
        <v>0</v>
      </c>
      <c r="N50" s="1227">
        <f t="shared" si="77"/>
        <v>0</v>
      </c>
      <c r="O50" s="1227">
        <f t="shared" si="77"/>
        <v>0</v>
      </c>
      <c r="P50" s="1227">
        <f t="shared" si="77"/>
        <v>0</v>
      </c>
      <c r="Q50" s="1227">
        <v>0</v>
      </c>
      <c r="R50" s="1227">
        <v>0</v>
      </c>
      <c r="S50" s="1227">
        <f>+R50</f>
        <v>0</v>
      </c>
      <c r="T50" s="1227">
        <f t="shared" si="78"/>
        <v>0</v>
      </c>
      <c r="U50" s="1227">
        <f t="shared" si="78"/>
        <v>0</v>
      </c>
      <c r="V50" s="1227">
        <f t="shared" si="78"/>
        <v>0</v>
      </c>
      <c r="W50" s="1227">
        <f>+K50</f>
        <v>0</v>
      </c>
      <c r="X50" s="1227"/>
      <c r="Y50" s="1227">
        <f t="shared" si="79"/>
        <v>0</v>
      </c>
      <c r="Z50" s="1227">
        <f t="shared" si="79"/>
        <v>0</v>
      </c>
      <c r="AA50" s="1227">
        <f t="shared" si="79"/>
        <v>0</v>
      </c>
      <c r="AB50" s="1227">
        <f t="shared" si="79"/>
        <v>0</v>
      </c>
      <c r="AC50" s="1227">
        <f t="shared" si="79"/>
        <v>0</v>
      </c>
      <c r="AD50" s="1284"/>
      <c r="AE50" s="1213">
        <f t="shared" si="63"/>
        <v>0</v>
      </c>
      <c r="AF50" s="1213">
        <f t="shared" si="64"/>
        <v>0</v>
      </c>
      <c r="AG50" s="1213">
        <f t="shared" si="65"/>
        <v>0</v>
      </c>
      <c r="AH50" s="2919">
        <f t="shared" si="66"/>
        <v>0</v>
      </c>
      <c r="AI50" s="1834"/>
      <c r="AJ50" s="417">
        <f t="shared" si="68"/>
        <v>0</v>
      </c>
      <c r="AK50" s="430"/>
    </row>
    <row r="51" spans="1:37" ht="15">
      <c r="A51" s="2934"/>
      <c r="B51" s="1477" t="s">
        <v>191</v>
      </c>
      <c r="C51" s="1290" t="s">
        <v>1294</v>
      </c>
      <c r="D51" s="1227">
        <v>0</v>
      </c>
      <c r="E51" s="2719">
        <v>0</v>
      </c>
      <c r="F51" s="1227">
        <v>0</v>
      </c>
      <c r="G51" s="1227">
        <f t="shared" si="76"/>
        <v>0</v>
      </c>
      <c r="H51" s="1227">
        <f t="shared" si="76"/>
        <v>0</v>
      </c>
      <c r="I51" s="1227">
        <f t="shared" si="76"/>
        <v>0</v>
      </c>
      <c r="J51" s="1227">
        <f t="shared" si="76"/>
        <v>0</v>
      </c>
      <c r="K51" s="3209">
        <v>0</v>
      </c>
      <c r="L51" s="1227">
        <v>0</v>
      </c>
      <c r="M51" s="1227">
        <f t="shared" si="77"/>
        <v>0</v>
      </c>
      <c r="N51" s="1227">
        <f t="shared" si="77"/>
        <v>0</v>
      </c>
      <c r="O51" s="1227">
        <f t="shared" si="77"/>
        <v>0</v>
      </c>
      <c r="P51" s="1227">
        <f t="shared" si="77"/>
        <v>0</v>
      </c>
      <c r="Q51" s="1227">
        <v>0</v>
      </c>
      <c r="R51" s="1227">
        <v>0</v>
      </c>
      <c r="S51" s="1227">
        <f t="shared" si="78"/>
        <v>0</v>
      </c>
      <c r="T51" s="1227">
        <f t="shared" si="78"/>
        <v>0</v>
      </c>
      <c r="U51" s="1227">
        <f t="shared" si="78"/>
        <v>0</v>
      </c>
      <c r="V51" s="1227">
        <f t="shared" si="78"/>
        <v>0</v>
      </c>
      <c r="W51" s="1227">
        <f>+K51</f>
        <v>0</v>
      </c>
      <c r="X51" s="1227"/>
      <c r="Y51" s="1227">
        <f t="shared" si="79"/>
        <v>0</v>
      </c>
      <c r="Z51" s="1227">
        <f t="shared" si="79"/>
        <v>0</v>
      </c>
      <c r="AA51" s="1227">
        <f t="shared" si="79"/>
        <v>0</v>
      </c>
      <c r="AB51" s="1227">
        <f t="shared" si="79"/>
        <v>0</v>
      </c>
      <c r="AC51" s="1227">
        <f t="shared" si="79"/>
        <v>0</v>
      </c>
      <c r="AD51" s="1284"/>
      <c r="AE51" s="1213">
        <f t="shared" si="63"/>
        <v>0</v>
      </c>
      <c r="AF51" s="1213">
        <f t="shared" si="64"/>
        <v>0</v>
      </c>
      <c r="AG51" s="1213">
        <f t="shared" si="65"/>
        <v>0</v>
      </c>
      <c r="AH51" s="2919">
        <f t="shared" si="66"/>
        <v>0</v>
      </c>
      <c r="AI51" s="1834"/>
      <c r="AJ51" s="417">
        <f t="shared" si="68"/>
        <v>0</v>
      </c>
      <c r="AK51" s="430"/>
    </row>
    <row r="52" spans="1:37" ht="15">
      <c r="A52" s="2934" t="s">
        <v>14</v>
      </c>
      <c r="B52" s="1282" t="s">
        <v>14</v>
      </c>
      <c r="C52" s="2950" t="s">
        <v>1295</v>
      </c>
      <c r="D52" s="1298">
        <f t="shared" ref="D52:AC52" si="80">+D41+D47</f>
        <v>541465848</v>
      </c>
      <c r="E52" s="2720">
        <f t="shared" si="80"/>
        <v>557284460</v>
      </c>
      <c r="F52" s="1298">
        <f t="shared" si="80"/>
        <v>634494179</v>
      </c>
      <c r="G52" s="1298">
        <f t="shared" si="80"/>
        <v>652015744</v>
      </c>
      <c r="H52" s="1298">
        <f t="shared" si="80"/>
        <v>654216850</v>
      </c>
      <c r="I52" s="1298">
        <f t="shared" si="80"/>
        <v>663811674</v>
      </c>
      <c r="J52" s="1298">
        <f t="shared" si="80"/>
        <v>663811674</v>
      </c>
      <c r="K52" s="3210">
        <f t="shared" si="80"/>
        <v>625903751</v>
      </c>
      <c r="L52" s="1298">
        <f t="shared" si="80"/>
        <v>0</v>
      </c>
      <c r="M52" s="1298">
        <f t="shared" si="80"/>
        <v>0</v>
      </c>
      <c r="N52" s="1298">
        <f t="shared" si="80"/>
        <v>0</v>
      </c>
      <c r="O52" s="1298">
        <f t="shared" si="80"/>
        <v>0</v>
      </c>
      <c r="P52" s="1298">
        <f t="shared" si="80"/>
        <v>0</v>
      </c>
      <c r="Q52" s="1298">
        <f t="shared" si="80"/>
        <v>0</v>
      </c>
      <c r="R52" s="1298">
        <f t="shared" si="80"/>
        <v>634494179</v>
      </c>
      <c r="S52" s="1298">
        <f t="shared" si="80"/>
        <v>652015744</v>
      </c>
      <c r="T52" s="1298">
        <f t="shared" si="80"/>
        <v>654216850</v>
      </c>
      <c r="U52" s="1298">
        <f t="shared" si="80"/>
        <v>663811674</v>
      </c>
      <c r="V52" s="1298">
        <f t="shared" si="80"/>
        <v>663811674</v>
      </c>
      <c r="W52" s="1298">
        <f t="shared" si="80"/>
        <v>625903751</v>
      </c>
      <c r="X52" s="1298">
        <f t="shared" si="80"/>
        <v>0</v>
      </c>
      <c r="Y52" s="1298">
        <f t="shared" si="80"/>
        <v>0</v>
      </c>
      <c r="Z52" s="1298">
        <f t="shared" si="80"/>
        <v>0</v>
      </c>
      <c r="AA52" s="1298">
        <f t="shared" si="80"/>
        <v>0</v>
      </c>
      <c r="AB52" s="1298">
        <f t="shared" si="80"/>
        <v>0</v>
      </c>
      <c r="AC52" s="1298">
        <f t="shared" si="80"/>
        <v>0</v>
      </c>
      <c r="AD52" s="1284"/>
      <c r="AE52" s="1213">
        <f t="shared" si="63"/>
        <v>17521565</v>
      </c>
      <c r="AF52" s="1213">
        <f t="shared" si="64"/>
        <v>2201106</v>
      </c>
      <c r="AG52" s="1213">
        <f t="shared" si="65"/>
        <v>9594824</v>
      </c>
      <c r="AH52" s="2919">
        <f t="shared" si="66"/>
        <v>0</v>
      </c>
      <c r="AI52" s="1829">
        <f t="shared" si="67"/>
        <v>0.94289355778940398</v>
      </c>
      <c r="AJ52" s="417">
        <f t="shared" si="68"/>
        <v>93028331</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63"/>
        <v>0</v>
      </c>
      <c r="AF53" s="1213"/>
      <c r="AG53" s="1213">
        <f t="shared" si="65"/>
        <v>0</v>
      </c>
      <c r="AH53" s="2919">
        <f t="shared" si="66"/>
        <v>0</v>
      </c>
      <c r="AI53" s="1860" t="e">
        <f t="shared" si="67"/>
        <v>#DIV/0!</v>
      </c>
      <c r="AJ53" s="417">
        <f t="shared" si="68"/>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5">
        <v>53.5</v>
      </c>
      <c r="E54" s="2956">
        <v>55</v>
      </c>
      <c r="F54" s="2957">
        <v>52.5</v>
      </c>
      <c r="G54" s="2957">
        <f>+F54</f>
        <v>52.5</v>
      </c>
      <c r="H54" s="2957">
        <f>+G54-6</f>
        <v>46.5</v>
      </c>
      <c r="I54" s="2957">
        <f>+H54</f>
        <v>46.5</v>
      </c>
      <c r="J54" s="2957">
        <f>+I54</f>
        <v>46.5</v>
      </c>
      <c r="K54" s="3212">
        <v>51</v>
      </c>
      <c r="L54" s="2957">
        <v>0</v>
      </c>
      <c r="M54" s="2957">
        <f>+L54</f>
        <v>0</v>
      </c>
      <c r="N54" s="2957">
        <f>+M54</f>
        <v>0</v>
      </c>
      <c r="O54" s="2957">
        <f>+N54</f>
        <v>0</v>
      </c>
      <c r="P54" s="2957">
        <f>+O54</f>
        <v>0</v>
      </c>
      <c r="Q54" s="2957">
        <f>+P54</f>
        <v>0</v>
      </c>
      <c r="R54" s="2957">
        <f>+F54</f>
        <v>52.5</v>
      </c>
      <c r="S54" s="2957">
        <f>+R54</f>
        <v>52.5</v>
      </c>
      <c r="T54" s="2957">
        <f>+S54-6</f>
        <v>46.5</v>
      </c>
      <c r="U54" s="2957">
        <f>+T54</f>
        <v>46.5</v>
      </c>
      <c r="V54" s="2957">
        <f>+U54</f>
        <v>46.5</v>
      </c>
      <c r="W54" s="2957">
        <f>+V54</f>
        <v>46.5</v>
      </c>
      <c r="X54" s="2957"/>
      <c r="Y54" s="2957">
        <f>+X54</f>
        <v>0</v>
      </c>
      <c r="Z54" s="2957">
        <f>+Y54</f>
        <v>0</v>
      </c>
      <c r="AA54" s="2957">
        <f>+Z54</f>
        <v>0</v>
      </c>
      <c r="AB54" s="2957">
        <f>+AA54</f>
        <v>0</v>
      </c>
      <c r="AC54" s="2957">
        <f>+AB54</f>
        <v>0</v>
      </c>
      <c r="AD54" s="2965"/>
      <c r="AE54" s="2959">
        <f t="shared" si="63"/>
        <v>0</v>
      </c>
      <c r="AF54" s="1213">
        <f>+H54-G54</f>
        <v>-6</v>
      </c>
      <c r="AG54" s="1213">
        <f t="shared" si="65"/>
        <v>0</v>
      </c>
      <c r="AH54" s="2943">
        <f t="shared" si="66"/>
        <v>0</v>
      </c>
      <c r="AI54" s="1829">
        <f t="shared" si="67"/>
        <v>1.096774193548387</v>
      </c>
      <c r="AJ54" s="550">
        <f t="shared" si="68"/>
        <v>-1</v>
      </c>
      <c r="AK54" s="1852"/>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81">+X55</f>
        <v>0</v>
      </c>
      <c r="Z55" s="459">
        <f t="shared" si="81"/>
        <v>0</v>
      </c>
      <c r="AA55" s="459">
        <f t="shared" si="81"/>
        <v>0</v>
      </c>
      <c r="AB55" s="459">
        <f t="shared" si="81"/>
        <v>0</v>
      </c>
      <c r="AC55" s="459"/>
      <c r="AD55" s="557"/>
      <c r="AE55" s="555">
        <f t="shared" si="63"/>
        <v>0</v>
      </c>
      <c r="AF55" s="555">
        <f>+H55-G55</f>
        <v>0</v>
      </c>
      <c r="AG55" s="555">
        <f t="shared" si="65"/>
        <v>0</v>
      </c>
      <c r="AH55" s="555">
        <f t="shared" si="66"/>
        <v>0</v>
      </c>
      <c r="AI55" s="553"/>
      <c r="AJ55" s="417">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81"/>
        <v>0</v>
      </c>
      <c r="Z56" s="459">
        <f t="shared" si="81"/>
        <v>0</v>
      </c>
      <c r="AA56" s="459">
        <f t="shared" si="81"/>
        <v>0</v>
      </c>
      <c r="AB56" s="459">
        <f t="shared" si="81"/>
        <v>0</v>
      </c>
      <c r="AC56" s="459"/>
      <c r="AD56" s="557"/>
      <c r="AE56" s="555">
        <f t="shared" si="63"/>
        <v>0</v>
      </c>
      <c r="AF56" s="555"/>
      <c r="AG56" s="555"/>
      <c r="AH56" s="555"/>
      <c r="AJ56" s="417">
        <f>+F56-D56</f>
        <v>0</v>
      </c>
    </row>
    <row r="57" spans="1:37" ht="15.75">
      <c r="B57" s="3205" t="s">
        <v>17</v>
      </c>
      <c r="C57" s="3207" t="s">
        <v>4053</v>
      </c>
      <c r="D57" s="3206">
        <f t="shared" ref="D57:K57" si="82">+D37-D52</f>
        <v>0</v>
      </c>
      <c r="E57" s="3199">
        <f>+E37-E52</f>
        <v>15734321</v>
      </c>
      <c r="F57" s="3200">
        <f t="shared" si="82"/>
        <v>0</v>
      </c>
      <c r="G57" s="3201">
        <f t="shared" si="82"/>
        <v>0</v>
      </c>
      <c r="H57" s="3201">
        <f t="shared" si="82"/>
        <v>0</v>
      </c>
      <c r="I57" s="3201"/>
      <c r="J57" s="3201">
        <f t="shared" si="82"/>
        <v>0</v>
      </c>
      <c r="K57" s="2198">
        <f t="shared" si="82"/>
        <v>23167226</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83">+D37-D52</f>
        <v>0</v>
      </c>
      <c r="E60" s="396">
        <f>+E37-E52</f>
        <v>15734321</v>
      </c>
      <c r="F60" s="396">
        <f t="shared" si="83"/>
        <v>0</v>
      </c>
      <c r="G60" s="396">
        <f t="shared" si="83"/>
        <v>0</v>
      </c>
      <c r="H60" s="396">
        <f t="shared" si="83"/>
        <v>0</v>
      </c>
      <c r="I60" s="396">
        <f t="shared" si="83"/>
        <v>0</v>
      </c>
      <c r="J60" s="460">
        <f t="shared" si="83"/>
        <v>0</v>
      </c>
      <c r="K60" s="460">
        <f t="shared" si="83"/>
        <v>23167226</v>
      </c>
      <c r="L60" s="460">
        <f t="shared" si="83"/>
        <v>0</v>
      </c>
      <c r="M60" s="460">
        <f t="shared" si="83"/>
        <v>0</v>
      </c>
      <c r="N60" s="460">
        <f t="shared" si="83"/>
        <v>0</v>
      </c>
      <c r="O60" s="460">
        <f t="shared" si="83"/>
        <v>0</v>
      </c>
      <c r="P60" s="460">
        <f t="shared" si="83"/>
        <v>0</v>
      </c>
      <c r="Q60" s="460">
        <f t="shared" si="83"/>
        <v>0</v>
      </c>
      <c r="R60" s="460">
        <f t="shared" si="83"/>
        <v>0</v>
      </c>
      <c r="S60" s="460">
        <f t="shared" si="83"/>
        <v>0</v>
      </c>
      <c r="T60" s="460">
        <f t="shared" si="83"/>
        <v>0</v>
      </c>
      <c r="U60" s="460">
        <f t="shared" si="83"/>
        <v>0</v>
      </c>
      <c r="V60" s="460">
        <f t="shared" si="83"/>
        <v>0</v>
      </c>
      <c r="W60" s="460">
        <f t="shared" si="83"/>
        <v>23167226</v>
      </c>
      <c r="X60" s="396">
        <f t="shared" si="83"/>
        <v>0</v>
      </c>
      <c r="Y60" s="396">
        <f t="shared" si="83"/>
        <v>0</v>
      </c>
      <c r="Z60" s="396">
        <f t="shared" si="83"/>
        <v>0</v>
      </c>
      <c r="AA60" s="396">
        <f t="shared" si="83"/>
        <v>0</v>
      </c>
      <c r="AB60" s="396">
        <f t="shared" si="83"/>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J9eiBHpb45SvFkDK04wd0+RKeVsL4R1heYMo8lime7yA4KB9KzzihoVh4ODOZpSGPfsuj+Cs7m2NqHiJIx90EQ==" saltValue="j3qbWmMfQ6qEBo7/tzWkLw=="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rowBreaks count="1" manualBreakCount="1">
    <brk id="54" max="16383" man="1"/>
  </rowBreaks>
  <colBreaks count="1" manualBreakCount="1">
    <brk id="32" max="56"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1194-3D06-4732-81E6-563521F42A89}">
  <sheetPr>
    <tabColor indexed="60"/>
    <pageSetUpPr fitToPage="1"/>
  </sheetPr>
  <dimension ref="A1:AL62"/>
  <sheetViews>
    <sheetView view="pageBreakPreview" zoomScaleSheetLayoutView="100" workbookViewId="0">
      <pane xSplit="3" ySplit="6" topLeftCell="E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2.4257812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38" width="10.140625" style="396" customWidth="1"/>
    <col min="39" max="16384" width="8" style="396"/>
  </cols>
  <sheetData>
    <row r="1" spans="1:37" s="397" customFormat="1" ht="21" customHeight="1">
      <c r="A1" s="3667" t="s">
        <v>4269</v>
      </c>
      <c r="B1" s="3667"/>
      <c r="C1" s="3667"/>
      <c r="D1" s="3667"/>
      <c r="E1" s="3667"/>
      <c r="F1" s="3667"/>
      <c r="G1" s="3667"/>
      <c r="H1" s="3667"/>
      <c r="I1" s="3667"/>
      <c r="J1" s="3667"/>
      <c r="K1" s="3667"/>
      <c r="L1" s="3667"/>
      <c r="M1" s="3667"/>
      <c r="N1" s="3667"/>
      <c r="O1" s="3667"/>
      <c r="P1" s="3667"/>
      <c r="Q1" s="3667"/>
      <c r="R1" s="3667"/>
      <c r="S1" s="3667"/>
      <c r="T1" s="3667"/>
      <c r="U1" s="3667"/>
      <c r="V1" s="3667"/>
      <c r="W1" s="3667"/>
      <c r="X1" s="3667"/>
      <c r="Y1" s="3667"/>
      <c r="Z1" s="3667"/>
      <c r="AA1" s="3667"/>
      <c r="AB1" s="3667"/>
      <c r="AC1" s="3667"/>
      <c r="AD1" s="3667"/>
      <c r="AE1" s="3667"/>
      <c r="AF1" s="3667"/>
      <c r="AG1" s="3667"/>
      <c r="AH1" s="3667"/>
      <c r="AI1" s="3667"/>
    </row>
    <row r="2" spans="1:37" s="398" customFormat="1" ht="18" customHeight="1">
      <c r="A2" s="3661" t="s">
        <v>3431</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3.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AC8" si="0">SUM(D9:D19)</f>
        <v>14200317</v>
      </c>
      <c r="E8" s="2715">
        <f t="shared" si="0"/>
        <v>27136833</v>
      </c>
      <c r="F8" s="1213">
        <f t="shared" si="0"/>
        <v>22379080.269680001</v>
      </c>
      <c r="G8" s="1213">
        <f t="shared" si="0"/>
        <v>23599445.269680001</v>
      </c>
      <c r="H8" s="1213">
        <f t="shared" si="0"/>
        <v>26122921.269680001</v>
      </c>
      <c r="I8" s="1213">
        <f t="shared" si="0"/>
        <v>34611177.269680001</v>
      </c>
      <c r="J8" s="1213">
        <f t="shared" si="0"/>
        <v>34611177.269680001</v>
      </c>
      <c r="K8" s="3208">
        <f t="shared" si="0"/>
        <v>34611177</v>
      </c>
      <c r="L8" s="1213">
        <f t="shared" si="0"/>
        <v>0</v>
      </c>
      <c r="M8" s="1213">
        <f t="shared" si="0"/>
        <v>0</v>
      </c>
      <c r="N8" s="1213">
        <f t="shared" si="0"/>
        <v>0</v>
      </c>
      <c r="O8" s="1213">
        <f t="shared" si="0"/>
        <v>0</v>
      </c>
      <c r="P8" s="1213">
        <f t="shared" si="0"/>
        <v>0</v>
      </c>
      <c r="Q8" s="1213">
        <f t="shared" si="0"/>
        <v>0</v>
      </c>
      <c r="R8" s="1213">
        <f t="shared" si="0"/>
        <v>22379080.269680001</v>
      </c>
      <c r="S8" s="1213">
        <f t="shared" si="0"/>
        <v>23599445.269680001</v>
      </c>
      <c r="T8" s="1213">
        <f t="shared" si="0"/>
        <v>26122921.269680001</v>
      </c>
      <c r="U8" s="1213">
        <f t="shared" si="0"/>
        <v>34611177.269680001</v>
      </c>
      <c r="V8" s="1213">
        <f t="shared" si="0"/>
        <v>34611177.269680001</v>
      </c>
      <c r="W8" s="1213">
        <f t="shared" si="0"/>
        <v>34611177</v>
      </c>
      <c r="X8" s="1213">
        <f t="shared" si="0"/>
        <v>0</v>
      </c>
      <c r="Y8" s="1213">
        <f t="shared" si="0"/>
        <v>0</v>
      </c>
      <c r="Z8" s="1213">
        <f t="shared" si="0"/>
        <v>0</v>
      </c>
      <c r="AA8" s="1213">
        <f t="shared" si="0"/>
        <v>0</v>
      </c>
      <c r="AB8" s="1213">
        <f t="shared" si="0"/>
        <v>0</v>
      </c>
      <c r="AC8" s="1213">
        <f t="shared" si="0"/>
        <v>0</v>
      </c>
      <c r="AD8" s="1284"/>
      <c r="AE8" s="1213">
        <f t="shared" ref="AE8:AE17" si="1">+G8-F8</f>
        <v>1220365</v>
      </c>
      <c r="AF8" s="1213">
        <f>+H8-G8</f>
        <v>2523476</v>
      </c>
      <c r="AG8" s="1213">
        <f>+I8-H8</f>
        <v>8488256</v>
      </c>
      <c r="AH8" s="2919">
        <f>+J8-I8</f>
        <v>0</v>
      </c>
      <c r="AI8" s="1829">
        <f>+K8/I8</f>
        <v>0.99999999220829738</v>
      </c>
      <c r="AJ8" s="417">
        <f>+F8-D8</f>
        <v>8178763.2696800008</v>
      </c>
      <c r="AK8" s="412"/>
    </row>
    <row r="9" spans="1:37" s="416" customFormat="1" ht="15">
      <c r="A9" s="2933"/>
      <c r="B9" s="1285" t="s">
        <v>176</v>
      </c>
      <c r="C9" s="1286" t="s">
        <v>226</v>
      </c>
      <c r="D9" s="1287">
        <v>0</v>
      </c>
      <c r="E9" s="2716">
        <v>0</v>
      </c>
      <c r="F9" s="1287">
        <v>0</v>
      </c>
      <c r="G9" s="1287">
        <f t="shared" ref="G9:G17" si="2">+F9</f>
        <v>0</v>
      </c>
      <c r="H9" s="1287">
        <f t="shared" ref="H9:H19" si="3">+G9</f>
        <v>0</v>
      </c>
      <c r="I9" s="1287">
        <f t="shared" ref="I9:I18" si="4">+H9</f>
        <v>0</v>
      </c>
      <c r="J9" s="1287">
        <f t="shared" ref="J9:J19" si="5">+I9</f>
        <v>0</v>
      </c>
      <c r="K9" s="3219">
        <v>0</v>
      </c>
      <c r="L9" s="1287">
        <v>0</v>
      </c>
      <c r="M9" s="1287">
        <f t="shared" ref="M9:M17" si="6">+L9</f>
        <v>0</v>
      </c>
      <c r="N9" s="1287">
        <f t="shared" ref="N9:N17" si="7">+M9</f>
        <v>0</v>
      </c>
      <c r="O9" s="1287">
        <f t="shared" ref="O9:O17" si="8">+N9</f>
        <v>0</v>
      </c>
      <c r="P9" s="1287">
        <f t="shared" ref="P9:P17" si="9">+O9</f>
        <v>0</v>
      </c>
      <c r="Q9" s="1287">
        <v>0</v>
      </c>
      <c r="R9" s="1287">
        <v>0</v>
      </c>
      <c r="S9" s="1287">
        <f t="shared" ref="S9:S17" si="10">+R9</f>
        <v>0</v>
      </c>
      <c r="T9" s="1287">
        <f t="shared" ref="T9:T17" si="11">+S9</f>
        <v>0</v>
      </c>
      <c r="U9" s="1287">
        <f t="shared" ref="U9:U17" si="12">+T9</f>
        <v>0</v>
      </c>
      <c r="V9" s="1287">
        <f t="shared" ref="V9:V17" si="13">+U9</f>
        <v>0</v>
      </c>
      <c r="W9" s="1287">
        <f>+K9</f>
        <v>0</v>
      </c>
      <c r="X9" s="1287"/>
      <c r="Y9" s="1287">
        <f t="shared" ref="Y9:Y17" si="14">+X9</f>
        <v>0</v>
      </c>
      <c r="Z9" s="1287">
        <f t="shared" ref="Z9:Z17" si="15">+Y9</f>
        <v>0</v>
      </c>
      <c r="AA9" s="1287">
        <f t="shared" ref="AA9:AA17" si="16">+Z9</f>
        <v>0</v>
      </c>
      <c r="AB9" s="1287">
        <f t="shared" ref="AB9:AB17" si="17">+AA9</f>
        <v>0</v>
      </c>
      <c r="AC9" s="1287">
        <f t="shared" ref="AC9:AC17" si="18">+AB9</f>
        <v>0</v>
      </c>
      <c r="AD9" s="1284"/>
      <c r="AE9" s="1213">
        <f t="shared" si="1"/>
        <v>0</v>
      </c>
      <c r="AF9" s="1213">
        <f t="shared" ref="AF9:AF33" si="19">+H9-G9</f>
        <v>0</v>
      </c>
      <c r="AG9" s="1213">
        <f t="shared" ref="AG9:AG33" si="20">+I9-H9</f>
        <v>0</v>
      </c>
      <c r="AH9" s="2919">
        <f t="shared" ref="AH9:AH33" si="21">+J9-I9</f>
        <v>0</v>
      </c>
      <c r="AI9" s="1834"/>
      <c r="AJ9" s="417">
        <f t="shared" ref="AJ9:AJ37" si="22">+F9-D9</f>
        <v>0</v>
      </c>
      <c r="AK9" s="420"/>
    </row>
    <row r="10" spans="1:37" s="416" customFormat="1" ht="15">
      <c r="A10" s="2933"/>
      <c r="B10" s="1285" t="s">
        <v>178</v>
      </c>
      <c r="C10" s="1286" t="s">
        <v>228</v>
      </c>
      <c r="D10" s="1287">
        <v>1605382</v>
      </c>
      <c r="E10" s="2716">
        <v>1939049</v>
      </c>
      <c r="F10" s="1287">
        <v>3000828</v>
      </c>
      <c r="G10" s="1287">
        <f t="shared" si="2"/>
        <v>3000828</v>
      </c>
      <c r="H10" s="1287">
        <f t="shared" si="3"/>
        <v>3000828</v>
      </c>
      <c r="I10" s="1287">
        <f>+H10-550410</f>
        <v>2450418</v>
      </c>
      <c r="J10" s="1287">
        <f t="shared" si="5"/>
        <v>2450418</v>
      </c>
      <c r="K10" s="3219">
        <v>2450418</v>
      </c>
      <c r="L10" s="1287">
        <v>0</v>
      </c>
      <c r="M10" s="1287">
        <f t="shared" si="6"/>
        <v>0</v>
      </c>
      <c r="N10" s="1287">
        <f t="shared" si="7"/>
        <v>0</v>
      </c>
      <c r="O10" s="1287">
        <f t="shared" si="8"/>
        <v>0</v>
      </c>
      <c r="P10" s="1287">
        <f t="shared" si="9"/>
        <v>0</v>
      </c>
      <c r="Q10" s="1287">
        <v>0</v>
      </c>
      <c r="R10" s="1287">
        <f>+F10</f>
        <v>3000828</v>
      </c>
      <c r="S10" s="1287">
        <f t="shared" si="10"/>
        <v>3000828</v>
      </c>
      <c r="T10" s="1287">
        <f t="shared" si="11"/>
        <v>3000828</v>
      </c>
      <c r="U10" s="1287">
        <f>+T10-550410</f>
        <v>2450418</v>
      </c>
      <c r="V10" s="1287">
        <f t="shared" si="13"/>
        <v>2450418</v>
      </c>
      <c r="W10" s="1287">
        <f t="shared" ref="W10:W19" si="23">+K10</f>
        <v>2450418</v>
      </c>
      <c r="X10" s="1287"/>
      <c r="Y10" s="1287">
        <f t="shared" si="14"/>
        <v>0</v>
      </c>
      <c r="Z10" s="1287">
        <f t="shared" si="15"/>
        <v>0</v>
      </c>
      <c r="AA10" s="1287">
        <f t="shared" si="16"/>
        <v>0</v>
      </c>
      <c r="AB10" s="1287">
        <f t="shared" si="17"/>
        <v>0</v>
      </c>
      <c r="AC10" s="1287">
        <f t="shared" si="18"/>
        <v>0</v>
      </c>
      <c r="AD10" s="1284"/>
      <c r="AE10" s="1213">
        <f t="shared" si="1"/>
        <v>0</v>
      </c>
      <c r="AF10" s="1213">
        <f t="shared" si="19"/>
        <v>0</v>
      </c>
      <c r="AG10" s="1213">
        <f t="shared" si="20"/>
        <v>-550410</v>
      </c>
      <c r="AH10" s="2919">
        <f t="shared" si="21"/>
        <v>0</v>
      </c>
      <c r="AI10" s="1834">
        <f>+K10/I10</f>
        <v>1</v>
      </c>
      <c r="AJ10" s="417">
        <f t="shared" si="22"/>
        <v>1395446</v>
      </c>
      <c r="AK10" s="420"/>
    </row>
    <row r="11" spans="1:37" s="416" customFormat="1" ht="15">
      <c r="A11" s="2933"/>
      <c r="B11" s="1289" t="s">
        <v>179</v>
      </c>
      <c r="C11" s="1286" t="s">
        <v>460</v>
      </c>
      <c r="D11" s="1287">
        <v>0</v>
      </c>
      <c r="E11" s="2716">
        <v>0</v>
      </c>
      <c r="F11" s="1287">
        <v>0</v>
      </c>
      <c r="G11" s="1287">
        <f t="shared" si="2"/>
        <v>0</v>
      </c>
      <c r="H11" s="1287">
        <f t="shared" si="3"/>
        <v>0</v>
      </c>
      <c r="I11" s="1287">
        <f t="shared" si="4"/>
        <v>0</v>
      </c>
      <c r="J11" s="1287">
        <f t="shared" si="5"/>
        <v>0</v>
      </c>
      <c r="K11" s="3219">
        <v>0</v>
      </c>
      <c r="L11" s="1287">
        <v>0</v>
      </c>
      <c r="M11" s="1287">
        <f t="shared" si="6"/>
        <v>0</v>
      </c>
      <c r="N11" s="1287">
        <f t="shared" si="7"/>
        <v>0</v>
      </c>
      <c r="O11" s="1287">
        <f t="shared" si="8"/>
        <v>0</v>
      </c>
      <c r="P11" s="1287">
        <f t="shared" si="9"/>
        <v>0</v>
      </c>
      <c r="Q11" s="1287">
        <v>0</v>
      </c>
      <c r="R11" s="1287">
        <v>0</v>
      </c>
      <c r="S11" s="1287">
        <f t="shared" si="10"/>
        <v>0</v>
      </c>
      <c r="T11" s="1287">
        <f t="shared" si="11"/>
        <v>0</v>
      </c>
      <c r="U11" s="1287">
        <f t="shared" si="12"/>
        <v>0</v>
      </c>
      <c r="V11" s="1287">
        <f t="shared" si="13"/>
        <v>0</v>
      </c>
      <c r="W11" s="1287">
        <f t="shared" si="23"/>
        <v>0</v>
      </c>
      <c r="X11" s="1287"/>
      <c r="Y11" s="1287">
        <f t="shared" si="14"/>
        <v>0</v>
      </c>
      <c r="Z11" s="1287">
        <f t="shared" si="15"/>
        <v>0</v>
      </c>
      <c r="AA11" s="1287">
        <f t="shared" si="16"/>
        <v>0</v>
      </c>
      <c r="AB11" s="1287">
        <f t="shared" si="17"/>
        <v>0</v>
      </c>
      <c r="AC11" s="1287">
        <f t="shared" si="18"/>
        <v>0</v>
      </c>
      <c r="AD11" s="1284"/>
      <c r="AE11" s="1213">
        <f t="shared" si="1"/>
        <v>0</v>
      </c>
      <c r="AF11" s="1213">
        <f t="shared" si="19"/>
        <v>0</v>
      </c>
      <c r="AG11" s="1213">
        <f t="shared" si="20"/>
        <v>0</v>
      </c>
      <c r="AH11" s="2919">
        <f t="shared" si="21"/>
        <v>0</v>
      </c>
      <c r="AI11" s="1834"/>
      <c r="AJ11" s="417">
        <f t="shared" si="22"/>
        <v>0</v>
      </c>
      <c r="AK11" s="420"/>
    </row>
    <row r="12" spans="1:37" s="416" customFormat="1" ht="15">
      <c r="A12" s="2933"/>
      <c r="B12" s="1289" t="s">
        <v>180</v>
      </c>
      <c r="C12" s="1286" t="s">
        <v>232</v>
      </c>
      <c r="D12" s="1287">
        <v>0</v>
      </c>
      <c r="E12" s="2716">
        <v>0</v>
      </c>
      <c r="F12" s="1287">
        <v>0</v>
      </c>
      <c r="G12" s="1287">
        <f t="shared" si="2"/>
        <v>0</v>
      </c>
      <c r="H12" s="1287">
        <f t="shared" si="3"/>
        <v>0</v>
      </c>
      <c r="I12" s="1287">
        <f t="shared" si="4"/>
        <v>0</v>
      </c>
      <c r="J12" s="1287">
        <f t="shared" si="5"/>
        <v>0</v>
      </c>
      <c r="K12" s="3219">
        <v>0</v>
      </c>
      <c r="L12" s="1287">
        <v>0</v>
      </c>
      <c r="M12" s="1287">
        <f t="shared" si="6"/>
        <v>0</v>
      </c>
      <c r="N12" s="1287">
        <f t="shared" si="7"/>
        <v>0</v>
      </c>
      <c r="O12" s="1287">
        <f t="shared" si="8"/>
        <v>0</v>
      </c>
      <c r="P12" s="1287">
        <f t="shared" si="9"/>
        <v>0</v>
      </c>
      <c r="Q12" s="1287">
        <v>0</v>
      </c>
      <c r="R12" s="1287">
        <v>0</v>
      </c>
      <c r="S12" s="1287">
        <f t="shared" si="10"/>
        <v>0</v>
      </c>
      <c r="T12" s="1287">
        <f t="shared" si="11"/>
        <v>0</v>
      </c>
      <c r="U12" s="1287">
        <f t="shared" si="12"/>
        <v>0</v>
      </c>
      <c r="V12" s="1287">
        <f t="shared" si="13"/>
        <v>0</v>
      </c>
      <c r="W12" s="1287">
        <f t="shared" si="23"/>
        <v>0</v>
      </c>
      <c r="X12" s="1287"/>
      <c r="Y12" s="1287">
        <f t="shared" si="14"/>
        <v>0</v>
      </c>
      <c r="Z12" s="1287">
        <f t="shared" si="15"/>
        <v>0</v>
      </c>
      <c r="AA12" s="1287">
        <f t="shared" si="16"/>
        <v>0</v>
      </c>
      <c r="AB12" s="1287">
        <f t="shared" si="17"/>
        <v>0</v>
      </c>
      <c r="AC12" s="1287">
        <f t="shared" si="18"/>
        <v>0</v>
      </c>
      <c r="AD12" s="1284"/>
      <c r="AE12" s="1213">
        <f t="shared" si="1"/>
        <v>0</v>
      </c>
      <c r="AF12" s="1213">
        <f t="shared" si="19"/>
        <v>0</v>
      </c>
      <c r="AG12" s="1213">
        <f t="shared" si="20"/>
        <v>0</v>
      </c>
      <c r="AH12" s="2919">
        <f t="shared" si="21"/>
        <v>0</v>
      </c>
      <c r="AI12" s="1834"/>
      <c r="AJ12" s="417">
        <f t="shared" si="22"/>
        <v>0</v>
      </c>
      <c r="AK12" s="420"/>
    </row>
    <row r="13" spans="1:37" s="416" customFormat="1" ht="15">
      <c r="A13" s="2933"/>
      <c r="B13" s="1289" t="s">
        <v>181</v>
      </c>
      <c r="C13" s="1286" t="s">
        <v>234</v>
      </c>
      <c r="D13" s="1287">
        <v>8770526</v>
      </c>
      <c r="E13" s="2716">
        <v>12930385</v>
      </c>
      <c r="F13" s="1287">
        <v>13959758</v>
      </c>
      <c r="G13" s="1287">
        <f t="shared" si="2"/>
        <v>13959758</v>
      </c>
      <c r="H13" s="1287">
        <f t="shared" si="3"/>
        <v>13959758</v>
      </c>
      <c r="I13" s="1287">
        <f>+H13+4067637</f>
        <v>18027395</v>
      </c>
      <c r="J13" s="1287">
        <f t="shared" si="5"/>
        <v>18027395</v>
      </c>
      <c r="K13" s="3219">
        <v>18027395</v>
      </c>
      <c r="L13" s="1287">
        <v>0</v>
      </c>
      <c r="M13" s="1287">
        <f t="shared" si="6"/>
        <v>0</v>
      </c>
      <c r="N13" s="1287">
        <f t="shared" si="7"/>
        <v>0</v>
      </c>
      <c r="O13" s="1287">
        <f t="shared" si="8"/>
        <v>0</v>
      </c>
      <c r="P13" s="1287">
        <f t="shared" si="9"/>
        <v>0</v>
      </c>
      <c r="Q13" s="1287">
        <v>0</v>
      </c>
      <c r="R13" s="1287">
        <f>+F13</f>
        <v>13959758</v>
      </c>
      <c r="S13" s="1287">
        <f t="shared" si="10"/>
        <v>13959758</v>
      </c>
      <c r="T13" s="1287">
        <f t="shared" si="11"/>
        <v>13959758</v>
      </c>
      <c r="U13" s="1287">
        <f>+T13+4067637</f>
        <v>18027395</v>
      </c>
      <c r="V13" s="1287">
        <f t="shared" si="13"/>
        <v>18027395</v>
      </c>
      <c r="W13" s="1287">
        <f t="shared" si="23"/>
        <v>18027395</v>
      </c>
      <c r="X13" s="1287"/>
      <c r="Y13" s="1287">
        <f t="shared" si="14"/>
        <v>0</v>
      </c>
      <c r="Z13" s="1287">
        <f t="shared" si="15"/>
        <v>0</v>
      </c>
      <c r="AA13" s="1287">
        <f t="shared" si="16"/>
        <v>0</v>
      </c>
      <c r="AB13" s="1287">
        <f t="shared" si="17"/>
        <v>0</v>
      </c>
      <c r="AC13" s="1287">
        <f t="shared" si="18"/>
        <v>0</v>
      </c>
      <c r="AD13" s="1284"/>
      <c r="AE13" s="1213">
        <f t="shared" si="1"/>
        <v>0</v>
      </c>
      <c r="AF13" s="1213">
        <f t="shared" si="19"/>
        <v>0</v>
      </c>
      <c r="AG13" s="1213">
        <f t="shared" si="20"/>
        <v>4067637</v>
      </c>
      <c r="AH13" s="2919">
        <f t="shared" si="21"/>
        <v>0</v>
      </c>
      <c r="AI13" s="1834">
        <f>+K13/I13</f>
        <v>1</v>
      </c>
      <c r="AJ13" s="417">
        <f t="shared" si="22"/>
        <v>5189232</v>
      </c>
      <c r="AK13" s="420"/>
    </row>
    <row r="14" spans="1:37" s="416" customFormat="1" ht="15">
      <c r="A14" s="2933"/>
      <c r="B14" s="1289" t="s">
        <v>183</v>
      </c>
      <c r="C14" s="1286" t="s">
        <v>887</v>
      </c>
      <c r="D14" s="1287">
        <v>2801495</v>
      </c>
      <c r="E14" s="2716">
        <v>3905509</v>
      </c>
      <c r="F14" s="1287">
        <v>4579358.2696800018</v>
      </c>
      <c r="G14" s="1287">
        <f t="shared" si="2"/>
        <v>4579358.2696800018</v>
      </c>
      <c r="H14" s="1287">
        <f t="shared" si="3"/>
        <v>4579358.2696800018</v>
      </c>
      <c r="I14" s="1287">
        <f>+H14+734109</f>
        <v>5313467.2696800018</v>
      </c>
      <c r="J14" s="1287">
        <f t="shared" si="5"/>
        <v>5313467.2696800018</v>
      </c>
      <c r="K14" s="3219">
        <v>5313467</v>
      </c>
      <c r="L14" s="1287">
        <v>0</v>
      </c>
      <c r="M14" s="1287">
        <f t="shared" si="6"/>
        <v>0</v>
      </c>
      <c r="N14" s="1287">
        <f t="shared" si="7"/>
        <v>0</v>
      </c>
      <c r="O14" s="1287">
        <f t="shared" si="8"/>
        <v>0</v>
      </c>
      <c r="P14" s="1287">
        <f t="shared" si="9"/>
        <v>0</v>
      </c>
      <c r="Q14" s="1287">
        <v>0</v>
      </c>
      <c r="R14" s="1287">
        <f>+F14</f>
        <v>4579358.2696800018</v>
      </c>
      <c r="S14" s="1287">
        <f t="shared" si="10"/>
        <v>4579358.2696800018</v>
      </c>
      <c r="T14" s="1287">
        <f t="shared" si="11"/>
        <v>4579358.2696800018</v>
      </c>
      <c r="U14" s="1287">
        <f>+T14+734109</f>
        <v>5313467.2696800018</v>
      </c>
      <c r="V14" s="1287">
        <f t="shared" si="13"/>
        <v>5313467.2696800018</v>
      </c>
      <c r="W14" s="1287">
        <f t="shared" si="23"/>
        <v>5313467</v>
      </c>
      <c r="X14" s="1287"/>
      <c r="Y14" s="1287">
        <f t="shared" si="14"/>
        <v>0</v>
      </c>
      <c r="Z14" s="1287">
        <f t="shared" si="15"/>
        <v>0</v>
      </c>
      <c r="AA14" s="1287">
        <f t="shared" si="16"/>
        <v>0</v>
      </c>
      <c r="AB14" s="1287">
        <f t="shared" si="17"/>
        <v>0</v>
      </c>
      <c r="AC14" s="1287">
        <f t="shared" si="18"/>
        <v>0</v>
      </c>
      <c r="AD14" s="1665"/>
      <c r="AE14" s="1213">
        <f t="shared" si="1"/>
        <v>0</v>
      </c>
      <c r="AF14" s="1213">
        <f t="shared" si="19"/>
        <v>0</v>
      </c>
      <c r="AG14" s="1213">
        <f t="shared" si="20"/>
        <v>734109</v>
      </c>
      <c r="AH14" s="2919">
        <f t="shared" si="21"/>
        <v>0</v>
      </c>
      <c r="AI14" s="1834">
        <f>+K14/I14</f>
        <v>0.9999999492459466</v>
      </c>
      <c r="AJ14" s="417">
        <f t="shared" si="22"/>
        <v>1777863.2696800018</v>
      </c>
      <c r="AK14" s="420"/>
    </row>
    <row r="15" spans="1:37" s="416" customFormat="1" ht="15">
      <c r="A15" s="2933"/>
      <c r="B15" s="1289" t="s">
        <v>321</v>
      </c>
      <c r="C15" s="1290" t="s">
        <v>238</v>
      </c>
      <c r="D15" s="1287">
        <v>0</v>
      </c>
      <c r="E15" s="2716">
        <v>6940124</v>
      </c>
      <c r="F15" s="1287">
        <v>0</v>
      </c>
      <c r="G15" s="1287">
        <f>+F15+1220365</f>
        <v>1220365</v>
      </c>
      <c r="H15" s="1287">
        <f>+G15+2523476</f>
        <v>3743841</v>
      </c>
      <c r="I15" s="1287">
        <f>+H15+1258116+3228234</f>
        <v>8230191</v>
      </c>
      <c r="J15" s="1287">
        <f t="shared" si="5"/>
        <v>8230191</v>
      </c>
      <c r="K15" s="3219">
        <v>8230191</v>
      </c>
      <c r="L15" s="1287">
        <v>0</v>
      </c>
      <c r="M15" s="1287">
        <f t="shared" si="6"/>
        <v>0</v>
      </c>
      <c r="N15" s="1287">
        <f t="shared" si="7"/>
        <v>0</v>
      </c>
      <c r="O15" s="1287">
        <f t="shared" si="8"/>
        <v>0</v>
      </c>
      <c r="P15" s="1287">
        <f t="shared" si="9"/>
        <v>0</v>
      </c>
      <c r="Q15" s="1287">
        <v>0</v>
      </c>
      <c r="R15" s="1287">
        <f>0</f>
        <v>0</v>
      </c>
      <c r="S15" s="1287">
        <f>+R15+1220365</f>
        <v>1220365</v>
      </c>
      <c r="T15" s="1287">
        <f>+S15+2523476</f>
        <v>3743841</v>
      </c>
      <c r="U15" s="1287">
        <f>+T15+1258116+3228234</f>
        <v>8230191</v>
      </c>
      <c r="V15" s="1287">
        <f t="shared" si="13"/>
        <v>8230191</v>
      </c>
      <c r="W15" s="1287">
        <f t="shared" si="23"/>
        <v>8230191</v>
      </c>
      <c r="X15" s="1287"/>
      <c r="Y15" s="1287">
        <f t="shared" si="14"/>
        <v>0</v>
      </c>
      <c r="Z15" s="1287">
        <f t="shared" si="15"/>
        <v>0</v>
      </c>
      <c r="AA15" s="1287">
        <f t="shared" si="16"/>
        <v>0</v>
      </c>
      <c r="AB15" s="1287">
        <f t="shared" si="17"/>
        <v>0</v>
      </c>
      <c r="AC15" s="1287">
        <f t="shared" si="18"/>
        <v>0</v>
      </c>
      <c r="AD15" s="1284"/>
      <c r="AE15" s="1213">
        <f t="shared" si="1"/>
        <v>1220365</v>
      </c>
      <c r="AF15" s="1213">
        <f t="shared" si="19"/>
        <v>2523476</v>
      </c>
      <c r="AG15" s="1213">
        <f t="shared" si="20"/>
        <v>4486350</v>
      </c>
      <c r="AH15" s="2919">
        <f t="shared" si="21"/>
        <v>0</v>
      </c>
      <c r="AI15" s="1834">
        <f>+K15/I15</f>
        <v>1</v>
      </c>
      <c r="AJ15" s="417">
        <f t="shared" si="22"/>
        <v>0</v>
      </c>
      <c r="AK15" s="420"/>
    </row>
    <row r="16" spans="1:37" s="416" customFormat="1" ht="15">
      <c r="A16" s="2933"/>
      <c r="B16" s="1289" t="s">
        <v>323</v>
      </c>
      <c r="C16" s="1286" t="s">
        <v>1277</v>
      </c>
      <c r="D16" s="1287">
        <v>1022914</v>
      </c>
      <c r="E16" s="2716">
        <v>1397866</v>
      </c>
      <c r="F16" s="1287">
        <v>839136</v>
      </c>
      <c r="G16" s="1287">
        <f>+F16</f>
        <v>839136</v>
      </c>
      <c r="H16" s="1287">
        <f>+G16</f>
        <v>839136</v>
      </c>
      <c r="I16" s="1287">
        <f>+H16-468775</f>
        <v>370361</v>
      </c>
      <c r="J16" s="1287">
        <f t="shared" si="5"/>
        <v>370361</v>
      </c>
      <c r="K16" s="3219">
        <v>370361</v>
      </c>
      <c r="L16" s="1287">
        <v>0</v>
      </c>
      <c r="M16" s="1287">
        <f t="shared" si="6"/>
        <v>0</v>
      </c>
      <c r="N16" s="1287">
        <f t="shared" si="7"/>
        <v>0</v>
      </c>
      <c r="O16" s="1287">
        <f t="shared" si="8"/>
        <v>0</v>
      </c>
      <c r="P16" s="1287">
        <f t="shared" si="9"/>
        <v>0</v>
      </c>
      <c r="Q16" s="1287">
        <v>0</v>
      </c>
      <c r="R16" s="1287">
        <f>+F16</f>
        <v>839136</v>
      </c>
      <c r="S16" s="1287">
        <f>+R16</f>
        <v>839136</v>
      </c>
      <c r="T16" s="1287">
        <f>+S16</f>
        <v>839136</v>
      </c>
      <c r="U16" s="1287">
        <f>+T16-468775</f>
        <v>370361</v>
      </c>
      <c r="V16" s="1287">
        <f t="shared" si="13"/>
        <v>370361</v>
      </c>
      <c r="W16" s="1287">
        <f t="shared" si="23"/>
        <v>370361</v>
      </c>
      <c r="X16" s="1287"/>
      <c r="Y16" s="1287">
        <f t="shared" si="14"/>
        <v>0</v>
      </c>
      <c r="Z16" s="1287">
        <f t="shared" si="15"/>
        <v>0</v>
      </c>
      <c r="AA16" s="1287">
        <f t="shared" si="16"/>
        <v>0</v>
      </c>
      <c r="AB16" s="1287">
        <f t="shared" si="17"/>
        <v>0</v>
      </c>
      <c r="AC16" s="1287">
        <f t="shared" si="18"/>
        <v>0</v>
      </c>
      <c r="AD16" s="1665"/>
      <c r="AE16" s="1213">
        <f t="shared" si="1"/>
        <v>0</v>
      </c>
      <c r="AF16" s="1213">
        <f t="shared" si="19"/>
        <v>0</v>
      </c>
      <c r="AG16" s="1213">
        <f t="shared" si="20"/>
        <v>-468775</v>
      </c>
      <c r="AH16" s="2919">
        <f t="shared" si="21"/>
        <v>0</v>
      </c>
      <c r="AI16" s="1834">
        <f>+K16/I16</f>
        <v>1</v>
      </c>
      <c r="AJ16" s="417">
        <f t="shared" si="22"/>
        <v>-183778</v>
      </c>
      <c r="AK16" s="420"/>
    </row>
    <row r="17" spans="1:37" s="416" customFormat="1" ht="15">
      <c r="A17" s="2933"/>
      <c r="B17" s="1289" t="s">
        <v>325</v>
      </c>
      <c r="C17" s="1286" t="s">
        <v>242</v>
      </c>
      <c r="D17" s="1287">
        <v>0</v>
      </c>
      <c r="E17" s="2716">
        <v>0</v>
      </c>
      <c r="F17" s="1287">
        <v>0</v>
      </c>
      <c r="G17" s="1287">
        <f t="shared" si="2"/>
        <v>0</v>
      </c>
      <c r="H17" s="1287">
        <f t="shared" si="3"/>
        <v>0</v>
      </c>
      <c r="I17" s="1287">
        <f t="shared" si="4"/>
        <v>0</v>
      </c>
      <c r="J17" s="1287">
        <f t="shared" si="5"/>
        <v>0</v>
      </c>
      <c r="K17" s="3219">
        <v>0</v>
      </c>
      <c r="L17" s="1287">
        <v>0</v>
      </c>
      <c r="M17" s="1287">
        <f t="shared" si="6"/>
        <v>0</v>
      </c>
      <c r="N17" s="1287">
        <f t="shared" si="7"/>
        <v>0</v>
      </c>
      <c r="O17" s="1287">
        <f t="shared" si="8"/>
        <v>0</v>
      </c>
      <c r="P17" s="1287">
        <f t="shared" si="9"/>
        <v>0</v>
      </c>
      <c r="Q17" s="1287">
        <v>0</v>
      </c>
      <c r="R17" s="1287">
        <v>0</v>
      </c>
      <c r="S17" s="1287">
        <f t="shared" si="10"/>
        <v>0</v>
      </c>
      <c r="T17" s="1287">
        <f t="shared" si="11"/>
        <v>0</v>
      </c>
      <c r="U17" s="1287">
        <f t="shared" si="12"/>
        <v>0</v>
      </c>
      <c r="V17" s="1287">
        <f t="shared" si="13"/>
        <v>0</v>
      </c>
      <c r="W17" s="1287">
        <f t="shared" si="23"/>
        <v>0</v>
      </c>
      <c r="X17" s="1287"/>
      <c r="Y17" s="1287">
        <f t="shared" si="14"/>
        <v>0</v>
      </c>
      <c r="Z17" s="1287">
        <f t="shared" si="15"/>
        <v>0</v>
      </c>
      <c r="AA17" s="1287">
        <f t="shared" si="16"/>
        <v>0</v>
      </c>
      <c r="AB17" s="1287">
        <f t="shared" si="17"/>
        <v>0</v>
      </c>
      <c r="AC17" s="1287">
        <f t="shared" si="18"/>
        <v>0</v>
      </c>
      <c r="AD17" s="1284"/>
      <c r="AE17" s="1213">
        <f t="shared" si="1"/>
        <v>0</v>
      </c>
      <c r="AF17" s="1213">
        <f t="shared" si="19"/>
        <v>0</v>
      </c>
      <c r="AG17" s="1213">
        <f t="shared" si="20"/>
        <v>0</v>
      </c>
      <c r="AH17" s="2919">
        <f t="shared" si="21"/>
        <v>0</v>
      </c>
      <c r="AI17" s="1834"/>
      <c r="AJ17" s="417">
        <f t="shared" si="22"/>
        <v>0</v>
      </c>
      <c r="AK17" s="420"/>
    </row>
    <row r="18" spans="1:37" s="416" customFormat="1" ht="15">
      <c r="A18" s="2933"/>
      <c r="B18" s="1289" t="s">
        <v>327</v>
      </c>
      <c r="C18" s="1286" t="s">
        <v>163</v>
      </c>
      <c r="D18" s="1287">
        <v>0</v>
      </c>
      <c r="E18" s="2716">
        <v>0</v>
      </c>
      <c r="F18" s="1287">
        <v>0</v>
      </c>
      <c r="G18" s="1287">
        <v>0</v>
      </c>
      <c r="H18" s="1287">
        <f t="shared" si="3"/>
        <v>0</v>
      </c>
      <c r="I18" s="1287">
        <f t="shared" si="4"/>
        <v>0</v>
      </c>
      <c r="J18" s="1287">
        <f t="shared" si="5"/>
        <v>0</v>
      </c>
      <c r="K18" s="3219">
        <v>0</v>
      </c>
      <c r="L18" s="1287">
        <v>0</v>
      </c>
      <c r="M18" s="1287">
        <v>0</v>
      </c>
      <c r="N18" s="1287"/>
      <c r="O18" s="1287">
        <v>0</v>
      </c>
      <c r="P18" s="1287"/>
      <c r="Q18" s="1287">
        <v>0</v>
      </c>
      <c r="R18" s="1287">
        <v>0</v>
      </c>
      <c r="S18" s="1287">
        <v>0</v>
      </c>
      <c r="T18" s="1287"/>
      <c r="U18" s="1287">
        <v>0</v>
      </c>
      <c r="V18" s="1287"/>
      <c r="W18" s="1287">
        <f t="shared" si="23"/>
        <v>0</v>
      </c>
      <c r="X18" s="1287"/>
      <c r="Y18" s="1287"/>
      <c r="Z18" s="1287"/>
      <c r="AA18" s="1287"/>
      <c r="AB18" s="1287"/>
      <c r="AC18" s="1287"/>
      <c r="AD18" s="1284"/>
      <c r="AE18" s="1213"/>
      <c r="AF18" s="1213">
        <f t="shared" si="19"/>
        <v>0</v>
      </c>
      <c r="AG18" s="1213">
        <f t="shared" si="20"/>
        <v>0</v>
      </c>
      <c r="AH18" s="2919">
        <f t="shared" si="21"/>
        <v>0</v>
      </c>
      <c r="AI18" s="1834"/>
      <c r="AJ18" s="417">
        <f t="shared" si="22"/>
        <v>0</v>
      </c>
      <c r="AK18" s="420"/>
    </row>
    <row r="19" spans="1:37" s="424" customFormat="1" ht="15">
      <c r="A19" s="2933"/>
      <c r="B19" s="1289" t="s">
        <v>329</v>
      </c>
      <c r="C19" s="1286" t="s">
        <v>162</v>
      </c>
      <c r="D19" s="1287">
        <v>0</v>
      </c>
      <c r="E19" s="2716">
        <v>23900</v>
      </c>
      <c r="F19" s="1287">
        <v>0</v>
      </c>
      <c r="G19" s="1287">
        <v>0</v>
      </c>
      <c r="H19" s="1287">
        <f t="shared" si="3"/>
        <v>0</v>
      </c>
      <c r="I19" s="1287">
        <f>+H19+219345</f>
        <v>219345</v>
      </c>
      <c r="J19" s="1287">
        <f t="shared" si="5"/>
        <v>219345</v>
      </c>
      <c r="K19" s="3219">
        <v>219345</v>
      </c>
      <c r="L19" s="1287">
        <v>0</v>
      </c>
      <c r="M19" s="1287">
        <f>+L19</f>
        <v>0</v>
      </c>
      <c r="N19" s="1287">
        <f>+M19</f>
        <v>0</v>
      </c>
      <c r="O19" s="1287">
        <f>+N19</f>
        <v>0</v>
      </c>
      <c r="P19" s="1287">
        <f>+O19</f>
        <v>0</v>
      </c>
      <c r="Q19" s="1287">
        <v>0</v>
      </c>
      <c r="R19" s="1287">
        <v>0</v>
      </c>
      <c r="S19" s="1287">
        <v>0</v>
      </c>
      <c r="T19" s="1287">
        <f>+S19</f>
        <v>0</v>
      </c>
      <c r="U19" s="1287">
        <f>+T19+219345</f>
        <v>219345</v>
      </c>
      <c r="V19" s="1287">
        <f>+U19</f>
        <v>219345</v>
      </c>
      <c r="W19" s="1287">
        <f t="shared" si="23"/>
        <v>219345</v>
      </c>
      <c r="X19" s="1287"/>
      <c r="Y19" s="1287">
        <f>+X19</f>
        <v>0</v>
      </c>
      <c r="Z19" s="1287">
        <f>+Y19</f>
        <v>0</v>
      </c>
      <c r="AA19" s="1287">
        <f>+Z19</f>
        <v>0</v>
      </c>
      <c r="AB19" s="1287">
        <f>+AA19</f>
        <v>0</v>
      </c>
      <c r="AC19" s="1287">
        <f>+AB19</f>
        <v>0</v>
      </c>
      <c r="AD19" s="1284"/>
      <c r="AE19" s="1213">
        <f t="shared" ref="AE19:AE37" si="24">+G19-F19</f>
        <v>0</v>
      </c>
      <c r="AF19" s="1213">
        <f t="shared" si="19"/>
        <v>0</v>
      </c>
      <c r="AG19" s="1213">
        <f t="shared" si="20"/>
        <v>219345</v>
      </c>
      <c r="AH19" s="2919">
        <f t="shared" si="21"/>
        <v>0</v>
      </c>
      <c r="AI19" s="1834">
        <f>+K19/I19</f>
        <v>1</v>
      </c>
      <c r="AJ19" s="417">
        <f t="shared" si="22"/>
        <v>0</v>
      </c>
      <c r="AK19" s="420"/>
    </row>
    <row r="20" spans="1:37" s="424" customFormat="1" ht="15">
      <c r="A20" s="2934" t="s">
        <v>12</v>
      </c>
      <c r="B20" s="1282" t="s">
        <v>12</v>
      </c>
      <c r="C20" s="1283" t="s">
        <v>1278</v>
      </c>
      <c r="D20" s="1213">
        <f t="shared" ref="D20:AC20" si="25">SUM(D21:D22)</f>
        <v>0</v>
      </c>
      <c r="E20" s="2715">
        <f t="shared" si="25"/>
        <v>0</v>
      </c>
      <c r="F20" s="1213">
        <f t="shared" si="25"/>
        <v>0</v>
      </c>
      <c r="G20" s="1213">
        <f t="shared" si="25"/>
        <v>0</v>
      </c>
      <c r="H20" s="1213">
        <f t="shared" si="25"/>
        <v>0</v>
      </c>
      <c r="I20" s="1213">
        <f t="shared" si="25"/>
        <v>0</v>
      </c>
      <c r="J20" s="1213">
        <f t="shared" si="25"/>
        <v>0</v>
      </c>
      <c r="K20" s="3208">
        <f>SUM(K21:K22)</f>
        <v>0</v>
      </c>
      <c r="L20" s="1213">
        <f t="shared" si="25"/>
        <v>0</v>
      </c>
      <c r="M20" s="1213">
        <f t="shared" si="25"/>
        <v>0</v>
      </c>
      <c r="N20" s="1213">
        <f t="shared" si="25"/>
        <v>0</v>
      </c>
      <c r="O20" s="1213">
        <f t="shared" si="25"/>
        <v>0</v>
      </c>
      <c r="P20" s="1213">
        <f t="shared" si="25"/>
        <v>0</v>
      </c>
      <c r="Q20" s="1213">
        <f t="shared" si="25"/>
        <v>0</v>
      </c>
      <c r="R20" s="1213">
        <f t="shared" si="25"/>
        <v>0</v>
      </c>
      <c r="S20" s="1213">
        <f t="shared" si="25"/>
        <v>0</v>
      </c>
      <c r="T20" s="1213">
        <f t="shared" si="25"/>
        <v>0</v>
      </c>
      <c r="U20" s="1213">
        <f t="shared" si="25"/>
        <v>0</v>
      </c>
      <c r="V20" s="1213">
        <f t="shared" si="25"/>
        <v>0</v>
      </c>
      <c r="W20" s="1213">
        <f t="shared" si="25"/>
        <v>0</v>
      </c>
      <c r="X20" s="1213">
        <f t="shared" si="25"/>
        <v>0</v>
      </c>
      <c r="Y20" s="1213">
        <f t="shared" si="25"/>
        <v>0</v>
      </c>
      <c r="Z20" s="1213">
        <f t="shared" si="25"/>
        <v>0</v>
      </c>
      <c r="AA20" s="1213">
        <f t="shared" si="25"/>
        <v>0</v>
      </c>
      <c r="AB20" s="1213">
        <f t="shared" si="25"/>
        <v>0</v>
      </c>
      <c r="AC20" s="1213">
        <f t="shared" si="25"/>
        <v>0</v>
      </c>
      <c r="AD20" s="1284"/>
      <c r="AE20" s="1213">
        <f t="shared" si="24"/>
        <v>0</v>
      </c>
      <c r="AF20" s="1213">
        <f t="shared" si="19"/>
        <v>0</v>
      </c>
      <c r="AG20" s="1213">
        <f t="shared" si="20"/>
        <v>0</v>
      </c>
      <c r="AH20" s="2919">
        <f t="shared" si="21"/>
        <v>0</v>
      </c>
      <c r="AI20" s="1829"/>
      <c r="AJ20" s="417">
        <f t="shared" si="22"/>
        <v>0</v>
      </c>
      <c r="AK20" s="412"/>
    </row>
    <row r="21" spans="1:37" s="424" customFormat="1" ht="15">
      <c r="A21" s="2933"/>
      <c r="B21" s="1289" t="s">
        <v>185</v>
      </c>
      <c r="C21" s="1286" t="s">
        <v>247</v>
      </c>
      <c r="D21" s="1287">
        <v>0</v>
      </c>
      <c r="E21" s="2716">
        <v>0</v>
      </c>
      <c r="F21" s="1287">
        <v>0</v>
      </c>
      <c r="G21" s="1287">
        <f t="shared" ref="G21:J22" si="26">+F21</f>
        <v>0</v>
      </c>
      <c r="H21" s="1287">
        <f t="shared" si="26"/>
        <v>0</v>
      </c>
      <c r="I21" s="1287">
        <f t="shared" si="26"/>
        <v>0</v>
      </c>
      <c r="J21" s="1287">
        <f t="shared" si="26"/>
        <v>0</v>
      </c>
      <c r="K21" s="3219">
        <v>0</v>
      </c>
      <c r="L21" s="1287">
        <v>0</v>
      </c>
      <c r="M21" s="1287">
        <f t="shared" ref="M21:P22" si="27">+L21</f>
        <v>0</v>
      </c>
      <c r="N21" s="1287">
        <f t="shared" si="27"/>
        <v>0</v>
      </c>
      <c r="O21" s="1287">
        <f t="shared" si="27"/>
        <v>0</v>
      </c>
      <c r="P21" s="1287">
        <f t="shared" si="27"/>
        <v>0</v>
      </c>
      <c r="Q21" s="1287">
        <v>0</v>
      </c>
      <c r="R21" s="1287">
        <v>0</v>
      </c>
      <c r="S21" s="1287">
        <f t="shared" ref="S21:V22" si="28">+R21</f>
        <v>0</v>
      </c>
      <c r="T21" s="1287">
        <f t="shared" si="28"/>
        <v>0</v>
      </c>
      <c r="U21" s="1287">
        <f t="shared" si="28"/>
        <v>0</v>
      </c>
      <c r="V21" s="1287">
        <f t="shared" si="28"/>
        <v>0</v>
      </c>
      <c r="W21" s="1287">
        <f>+K21</f>
        <v>0</v>
      </c>
      <c r="X21" s="1287"/>
      <c r="Y21" s="1287">
        <f t="shared" ref="Y21:AC22" si="29">+X21</f>
        <v>0</v>
      </c>
      <c r="Z21" s="1287">
        <f t="shared" si="29"/>
        <v>0</v>
      </c>
      <c r="AA21" s="1287">
        <f t="shared" si="29"/>
        <v>0</v>
      </c>
      <c r="AB21" s="1287">
        <f t="shared" si="29"/>
        <v>0</v>
      </c>
      <c r="AC21" s="1287">
        <f t="shared" si="29"/>
        <v>0</v>
      </c>
      <c r="AD21" s="1284"/>
      <c r="AE21" s="1213">
        <f t="shared" si="24"/>
        <v>0</v>
      </c>
      <c r="AF21" s="1213">
        <f t="shared" si="19"/>
        <v>0</v>
      </c>
      <c r="AG21" s="1213">
        <f t="shared" si="20"/>
        <v>0</v>
      </c>
      <c r="AH21" s="2919">
        <f t="shared" si="21"/>
        <v>0</v>
      </c>
      <c r="AI21" s="1834"/>
      <c r="AJ21" s="417">
        <f t="shared" si="22"/>
        <v>0</v>
      </c>
      <c r="AK21" s="420"/>
    </row>
    <row r="22" spans="1:37" s="424" customFormat="1" ht="15">
      <c r="A22" s="2933"/>
      <c r="B22" s="1289" t="s">
        <v>187</v>
      </c>
      <c r="C22" s="1286" t="s">
        <v>155</v>
      </c>
      <c r="D22" s="1287">
        <v>0</v>
      </c>
      <c r="E22" s="2716">
        <v>0</v>
      </c>
      <c r="F22" s="1287">
        <v>0</v>
      </c>
      <c r="G22" s="1287">
        <f t="shared" si="26"/>
        <v>0</v>
      </c>
      <c r="H22" s="1287">
        <f t="shared" si="26"/>
        <v>0</v>
      </c>
      <c r="I22" s="1287">
        <f t="shared" si="26"/>
        <v>0</v>
      </c>
      <c r="J22" s="1287">
        <f t="shared" si="26"/>
        <v>0</v>
      </c>
      <c r="K22" s="3219">
        <v>0</v>
      </c>
      <c r="L22" s="1287">
        <v>0</v>
      </c>
      <c r="M22" s="1287">
        <f t="shared" si="27"/>
        <v>0</v>
      </c>
      <c r="N22" s="1287">
        <f t="shared" si="27"/>
        <v>0</v>
      </c>
      <c r="O22" s="1287">
        <f t="shared" si="27"/>
        <v>0</v>
      </c>
      <c r="P22" s="1287">
        <f t="shared" si="27"/>
        <v>0</v>
      </c>
      <c r="Q22" s="1287">
        <v>0</v>
      </c>
      <c r="R22" s="1287">
        <v>0</v>
      </c>
      <c r="S22" s="1287">
        <f t="shared" si="28"/>
        <v>0</v>
      </c>
      <c r="T22" s="1287">
        <f t="shared" si="28"/>
        <v>0</v>
      </c>
      <c r="U22" s="1287">
        <f t="shared" si="28"/>
        <v>0</v>
      </c>
      <c r="V22" s="1287">
        <f t="shared" si="28"/>
        <v>0</v>
      </c>
      <c r="W22" s="1287">
        <f>+K22</f>
        <v>0</v>
      </c>
      <c r="X22" s="1287"/>
      <c r="Y22" s="1287">
        <f t="shared" si="29"/>
        <v>0</v>
      </c>
      <c r="Z22" s="1287">
        <f t="shared" si="29"/>
        <v>0</v>
      </c>
      <c r="AA22" s="1287">
        <f t="shared" si="29"/>
        <v>0</v>
      </c>
      <c r="AB22" s="1287">
        <f t="shared" si="29"/>
        <v>0</v>
      </c>
      <c r="AC22" s="1287">
        <f t="shared" si="29"/>
        <v>0</v>
      </c>
      <c r="AD22" s="1284"/>
      <c r="AE22" s="1213">
        <f t="shared" si="24"/>
        <v>0</v>
      </c>
      <c r="AF22" s="1213">
        <f t="shared" si="19"/>
        <v>0</v>
      </c>
      <c r="AG22" s="1213">
        <f t="shared" si="20"/>
        <v>0</v>
      </c>
      <c r="AH22" s="2919">
        <f t="shared" si="21"/>
        <v>0</v>
      </c>
      <c r="AI22" s="1834"/>
      <c r="AJ22" s="417">
        <f t="shared" si="22"/>
        <v>0</v>
      </c>
      <c r="AK22" s="420"/>
    </row>
    <row r="23" spans="1:37" s="416" customFormat="1" ht="21">
      <c r="A23" s="2934" t="s">
        <v>14</v>
      </c>
      <c r="B23" s="1282" t="s">
        <v>14</v>
      </c>
      <c r="C23" s="1283" t="s">
        <v>1279</v>
      </c>
      <c r="D23" s="1213">
        <f t="shared" ref="D23:AC23" si="30">D24+D25</f>
        <v>0</v>
      </c>
      <c r="E23" s="2715">
        <f t="shared" si="30"/>
        <v>0</v>
      </c>
      <c r="F23" s="1213">
        <f t="shared" si="30"/>
        <v>0</v>
      </c>
      <c r="G23" s="1213">
        <f t="shared" si="30"/>
        <v>0</v>
      </c>
      <c r="H23" s="1213">
        <f t="shared" si="30"/>
        <v>0</v>
      </c>
      <c r="I23" s="1213">
        <f t="shared" si="30"/>
        <v>0</v>
      </c>
      <c r="J23" s="1213">
        <f t="shared" si="30"/>
        <v>0</v>
      </c>
      <c r="K23" s="3208">
        <f t="shared" si="30"/>
        <v>0</v>
      </c>
      <c r="L23" s="1213">
        <f t="shared" si="30"/>
        <v>0</v>
      </c>
      <c r="M23" s="1213">
        <f t="shared" si="30"/>
        <v>0</v>
      </c>
      <c r="N23" s="1213">
        <f t="shared" si="30"/>
        <v>0</v>
      </c>
      <c r="O23" s="1213">
        <f t="shared" si="30"/>
        <v>0</v>
      </c>
      <c r="P23" s="1213">
        <f t="shared" si="30"/>
        <v>0</v>
      </c>
      <c r="Q23" s="1213">
        <f t="shared" si="30"/>
        <v>0</v>
      </c>
      <c r="R23" s="1213">
        <f t="shared" si="30"/>
        <v>0</v>
      </c>
      <c r="S23" s="1213">
        <f t="shared" si="30"/>
        <v>0</v>
      </c>
      <c r="T23" s="1213">
        <f t="shared" si="30"/>
        <v>0</v>
      </c>
      <c r="U23" s="1213">
        <f t="shared" si="30"/>
        <v>0</v>
      </c>
      <c r="V23" s="1213">
        <f t="shared" si="30"/>
        <v>0</v>
      </c>
      <c r="W23" s="1213">
        <f t="shared" si="30"/>
        <v>0</v>
      </c>
      <c r="X23" s="1213">
        <f t="shared" si="30"/>
        <v>0</v>
      </c>
      <c r="Y23" s="1213">
        <f t="shared" si="30"/>
        <v>0</v>
      </c>
      <c r="Z23" s="1213">
        <f t="shared" si="30"/>
        <v>0</v>
      </c>
      <c r="AA23" s="1213">
        <f t="shared" si="30"/>
        <v>0</v>
      </c>
      <c r="AB23" s="1213">
        <f t="shared" si="30"/>
        <v>0</v>
      </c>
      <c r="AC23" s="1213">
        <f t="shared" si="30"/>
        <v>0</v>
      </c>
      <c r="AD23" s="1284"/>
      <c r="AE23" s="1213">
        <f t="shared" si="24"/>
        <v>0</v>
      </c>
      <c r="AF23" s="1213">
        <f t="shared" si="19"/>
        <v>0</v>
      </c>
      <c r="AG23" s="1213">
        <f t="shared" si="20"/>
        <v>0</v>
      </c>
      <c r="AH23" s="2919">
        <f t="shared" si="21"/>
        <v>0</v>
      </c>
      <c r="AI23" s="1829"/>
      <c r="AJ23" s="417">
        <f t="shared" si="22"/>
        <v>0</v>
      </c>
      <c r="AK23" s="412"/>
    </row>
    <row r="24" spans="1:37" s="416" customFormat="1" ht="15">
      <c r="A24" s="2934"/>
      <c r="B24" s="1289" t="s">
        <v>198</v>
      </c>
      <c r="C24" s="1284" t="s">
        <v>186</v>
      </c>
      <c r="D24" s="1213">
        <v>0</v>
      </c>
      <c r="E24" s="2715">
        <v>0</v>
      </c>
      <c r="F24" s="1213">
        <v>0</v>
      </c>
      <c r="G24" s="1213">
        <f t="shared" ref="G24:G31" si="31">+F24</f>
        <v>0</v>
      </c>
      <c r="H24" s="1213">
        <f t="shared" ref="H24:H31" si="32">+G24</f>
        <v>0</v>
      </c>
      <c r="I24" s="1213">
        <f t="shared" ref="I24:I31" si="33">+H24</f>
        <v>0</v>
      </c>
      <c r="J24" s="1291">
        <f t="shared" ref="J24:J31" si="34">+I24</f>
        <v>0</v>
      </c>
      <c r="K24" s="3219">
        <f>0</f>
        <v>0</v>
      </c>
      <c r="L24" s="1213">
        <v>0</v>
      </c>
      <c r="M24" s="1213">
        <f t="shared" ref="M24:M31" si="35">+L24</f>
        <v>0</v>
      </c>
      <c r="N24" s="1213">
        <f t="shared" ref="N24:N31" si="36">+M24</f>
        <v>0</v>
      </c>
      <c r="O24" s="1213">
        <f t="shared" ref="O24:O31" si="37">+N24</f>
        <v>0</v>
      </c>
      <c r="P24" s="1213">
        <f t="shared" ref="P24:P31" si="38">+O24</f>
        <v>0</v>
      </c>
      <c r="Q24" s="1213">
        <v>0</v>
      </c>
      <c r="R24" s="1213">
        <v>0</v>
      </c>
      <c r="S24" s="1213">
        <f t="shared" ref="S24:V27" si="39">+R24</f>
        <v>0</v>
      </c>
      <c r="T24" s="1213">
        <f t="shared" si="39"/>
        <v>0</v>
      </c>
      <c r="U24" s="1213">
        <f t="shared" si="39"/>
        <v>0</v>
      </c>
      <c r="V24" s="1213">
        <f t="shared" si="39"/>
        <v>0</v>
      </c>
      <c r="W24" s="1291">
        <f t="shared" ref="W24:W31" si="40">+K24</f>
        <v>0</v>
      </c>
      <c r="X24" s="1213"/>
      <c r="Y24" s="1213">
        <f t="shared" ref="Y24:Y31" si="41">+X24</f>
        <v>0</v>
      </c>
      <c r="Z24" s="1213">
        <f t="shared" ref="Z24:Z31" si="42">+Y24</f>
        <v>0</v>
      </c>
      <c r="AA24" s="1213">
        <f t="shared" ref="AA24:AA31" si="43">+Z24</f>
        <v>0</v>
      </c>
      <c r="AB24" s="1213">
        <f t="shared" ref="AB24:AB31" si="44">+AA24</f>
        <v>0</v>
      </c>
      <c r="AC24" s="1213">
        <f t="shared" ref="AC24:AC31" si="45">+AB24</f>
        <v>0</v>
      </c>
      <c r="AD24" s="1284"/>
      <c r="AE24" s="1213">
        <f t="shared" si="24"/>
        <v>0</v>
      </c>
      <c r="AF24" s="1213">
        <f t="shared" si="19"/>
        <v>0</v>
      </c>
      <c r="AG24" s="1213">
        <f t="shared" si="20"/>
        <v>0</v>
      </c>
      <c r="AH24" s="2919">
        <f t="shared" si="21"/>
        <v>0</v>
      </c>
      <c r="AI24" s="1829"/>
      <c r="AJ24" s="417">
        <f t="shared" si="22"/>
        <v>0</v>
      </c>
      <c r="AK24" s="412"/>
    </row>
    <row r="25" spans="1:37" s="424" customFormat="1" ht="15">
      <c r="A25" s="2933"/>
      <c r="B25" s="1289" t="s">
        <v>200</v>
      </c>
      <c r="C25" s="1286" t="s">
        <v>148</v>
      </c>
      <c r="D25" s="1287">
        <v>0</v>
      </c>
      <c r="E25" s="2716">
        <v>0</v>
      </c>
      <c r="F25" s="1287">
        <v>0</v>
      </c>
      <c r="G25" s="1291">
        <f t="shared" si="31"/>
        <v>0</v>
      </c>
      <c r="H25" s="1291">
        <f t="shared" si="32"/>
        <v>0</v>
      </c>
      <c r="I25" s="1287">
        <f t="shared" si="33"/>
        <v>0</v>
      </c>
      <c r="J25" s="1291">
        <f t="shared" si="34"/>
        <v>0</v>
      </c>
      <c r="K25" s="3219">
        <v>0</v>
      </c>
      <c r="L25" s="1287">
        <v>0</v>
      </c>
      <c r="M25" s="1287">
        <f t="shared" si="35"/>
        <v>0</v>
      </c>
      <c r="N25" s="1287">
        <f t="shared" si="36"/>
        <v>0</v>
      </c>
      <c r="O25" s="1287">
        <f t="shared" si="37"/>
        <v>0</v>
      </c>
      <c r="P25" s="1287">
        <f t="shared" si="38"/>
        <v>0</v>
      </c>
      <c r="Q25" s="1287">
        <v>0</v>
      </c>
      <c r="R25" s="1287">
        <v>0</v>
      </c>
      <c r="S25" s="1287">
        <f t="shared" si="39"/>
        <v>0</v>
      </c>
      <c r="T25" s="1287">
        <f t="shared" si="39"/>
        <v>0</v>
      </c>
      <c r="U25" s="1287">
        <f t="shared" si="39"/>
        <v>0</v>
      </c>
      <c r="V25" s="1287">
        <f t="shared" si="39"/>
        <v>0</v>
      </c>
      <c r="W25" s="1291">
        <f t="shared" si="40"/>
        <v>0</v>
      </c>
      <c r="X25" s="1287"/>
      <c r="Y25" s="1287">
        <f t="shared" si="41"/>
        <v>0</v>
      </c>
      <c r="Z25" s="1287">
        <f t="shared" si="42"/>
        <v>0</v>
      </c>
      <c r="AA25" s="1287">
        <f t="shared" si="43"/>
        <v>0</v>
      </c>
      <c r="AB25" s="1287">
        <f t="shared" si="44"/>
        <v>0</v>
      </c>
      <c r="AC25" s="1287">
        <f t="shared" si="45"/>
        <v>0</v>
      </c>
      <c r="AD25" s="1284"/>
      <c r="AE25" s="1213">
        <f t="shared" si="24"/>
        <v>0</v>
      </c>
      <c r="AF25" s="1213">
        <f t="shared" si="19"/>
        <v>0</v>
      </c>
      <c r="AG25" s="1213">
        <f t="shared" si="20"/>
        <v>0</v>
      </c>
      <c r="AH25" s="2919">
        <f t="shared" si="21"/>
        <v>0</v>
      </c>
      <c r="AI25" s="1834"/>
      <c r="AJ25" s="417">
        <f t="shared" si="22"/>
        <v>0</v>
      </c>
      <c r="AK25" s="420"/>
    </row>
    <row r="26" spans="1:37" s="424" customFormat="1" ht="15">
      <c r="A26" s="2933"/>
      <c r="B26" s="1289" t="s">
        <v>202</v>
      </c>
      <c r="C26" s="1290" t="s">
        <v>1280</v>
      </c>
      <c r="D26" s="1287">
        <v>0</v>
      </c>
      <c r="E26" s="2716">
        <v>0</v>
      </c>
      <c r="F26" s="1287">
        <v>0</v>
      </c>
      <c r="G26" s="1291">
        <f t="shared" si="31"/>
        <v>0</v>
      </c>
      <c r="H26" s="1291">
        <f t="shared" si="32"/>
        <v>0</v>
      </c>
      <c r="I26" s="1287">
        <f t="shared" si="33"/>
        <v>0</v>
      </c>
      <c r="J26" s="1291">
        <f t="shared" si="34"/>
        <v>0</v>
      </c>
      <c r="K26" s="3219">
        <v>0</v>
      </c>
      <c r="L26" s="1287">
        <v>0</v>
      </c>
      <c r="M26" s="1287">
        <f t="shared" si="35"/>
        <v>0</v>
      </c>
      <c r="N26" s="1287">
        <f t="shared" si="36"/>
        <v>0</v>
      </c>
      <c r="O26" s="1287">
        <f t="shared" si="37"/>
        <v>0</v>
      </c>
      <c r="P26" s="1287">
        <f t="shared" si="38"/>
        <v>0</v>
      </c>
      <c r="Q26" s="1287">
        <v>0</v>
      </c>
      <c r="R26" s="1287">
        <v>0</v>
      </c>
      <c r="S26" s="1287">
        <f t="shared" si="39"/>
        <v>0</v>
      </c>
      <c r="T26" s="1287">
        <f t="shared" si="39"/>
        <v>0</v>
      </c>
      <c r="U26" s="1287">
        <f t="shared" si="39"/>
        <v>0</v>
      </c>
      <c r="V26" s="1287">
        <f t="shared" si="39"/>
        <v>0</v>
      </c>
      <c r="W26" s="1291">
        <f t="shared" si="40"/>
        <v>0</v>
      </c>
      <c r="X26" s="1287"/>
      <c r="Y26" s="1287">
        <f t="shared" si="41"/>
        <v>0</v>
      </c>
      <c r="Z26" s="1287">
        <f t="shared" si="42"/>
        <v>0</v>
      </c>
      <c r="AA26" s="1287">
        <f t="shared" si="43"/>
        <v>0</v>
      </c>
      <c r="AB26" s="1287">
        <f t="shared" si="44"/>
        <v>0</v>
      </c>
      <c r="AC26" s="1287">
        <f t="shared" si="45"/>
        <v>0</v>
      </c>
      <c r="AD26" s="1284"/>
      <c r="AE26" s="1213">
        <f t="shared" si="24"/>
        <v>0</v>
      </c>
      <c r="AF26" s="1213">
        <f t="shared" si="19"/>
        <v>0</v>
      </c>
      <c r="AG26" s="1213">
        <f t="shared" si="20"/>
        <v>0</v>
      </c>
      <c r="AH26" s="2919">
        <f t="shared" si="21"/>
        <v>0</v>
      </c>
      <c r="AI26" s="1834"/>
      <c r="AJ26" s="417">
        <f t="shared" si="22"/>
        <v>0</v>
      </c>
      <c r="AK26" s="420"/>
    </row>
    <row r="27" spans="1:37" s="424" customFormat="1" ht="15">
      <c r="A27" s="2934" t="s">
        <v>15</v>
      </c>
      <c r="B27" s="1282" t="s">
        <v>15</v>
      </c>
      <c r="C27" s="1292" t="s">
        <v>150</v>
      </c>
      <c r="D27" s="1293">
        <v>0</v>
      </c>
      <c r="E27" s="2718">
        <v>0</v>
      </c>
      <c r="F27" s="1293">
        <v>0</v>
      </c>
      <c r="G27" s="1293">
        <f t="shared" si="31"/>
        <v>0</v>
      </c>
      <c r="H27" s="1293">
        <f t="shared" si="32"/>
        <v>0</v>
      </c>
      <c r="I27" s="1293">
        <f t="shared" si="33"/>
        <v>0</v>
      </c>
      <c r="J27" s="1293">
        <f t="shared" si="34"/>
        <v>0</v>
      </c>
      <c r="K27" s="3219">
        <v>0</v>
      </c>
      <c r="L27" s="1293">
        <v>0</v>
      </c>
      <c r="M27" s="1293">
        <f t="shared" si="35"/>
        <v>0</v>
      </c>
      <c r="N27" s="1293">
        <f t="shared" si="36"/>
        <v>0</v>
      </c>
      <c r="O27" s="1293">
        <f t="shared" si="37"/>
        <v>0</v>
      </c>
      <c r="P27" s="1293">
        <f t="shared" si="38"/>
        <v>0</v>
      </c>
      <c r="Q27" s="1293">
        <v>0</v>
      </c>
      <c r="R27" s="1293">
        <v>0</v>
      </c>
      <c r="S27" s="1293">
        <f t="shared" si="39"/>
        <v>0</v>
      </c>
      <c r="T27" s="1293">
        <f t="shared" si="39"/>
        <v>0</v>
      </c>
      <c r="U27" s="1293">
        <f t="shared" si="39"/>
        <v>0</v>
      </c>
      <c r="V27" s="1293">
        <f t="shared" si="39"/>
        <v>0</v>
      </c>
      <c r="W27" s="1293">
        <f t="shared" si="40"/>
        <v>0</v>
      </c>
      <c r="X27" s="1293">
        <f>+V27</f>
        <v>0</v>
      </c>
      <c r="Y27" s="1293">
        <f t="shared" si="41"/>
        <v>0</v>
      </c>
      <c r="Z27" s="1293">
        <f t="shared" si="42"/>
        <v>0</v>
      </c>
      <c r="AA27" s="1293">
        <f t="shared" si="43"/>
        <v>0</v>
      </c>
      <c r="AB27" s="1293">
        <f t="shared" si="44"/>
        <v>0</v>
      </c>
      <c r="AC27" s="1293">
        <f t="shared" si="45"/>
        <v>0</v>
      </c>
      <c r="AD27" s="1284"/>
      <c r="AE27" s="1213">
        <f t="shared" si="24"/>
        <v>0</v>
      </c>
      <c r="AF27" s="1213">
        <f t="shared" si="19"/>
        <v>0</v>
      </c>
      <c r="AG27" s="1213">
        <f t="shared" si="20"/>
        <v>0</v>
      </c>
      <c r="AH27" s="2919">
        <f t="shared" si="21"/>
        <v>0</v>
      </c>
      <c r="AI27" s="1834"/>
      <c r="AJ27" s="417">
        <f t="shared" si="22"/>
        <v>0</v>
      </c>
      <c r="AK27" s="427"/>
    </row>
    <row r="28" spans="1:37" s="424" customFormat="1" ht="15">
      <c r="A28" s="2933"/>
      <c r="B28" s="1289" t="s">
        <v>212</v>
      </c>
      <c r="C28" s="1290" t="s">
        <v>1280</v>
      </c>
      <c r="D28" s="1287">
        <v>0</v>
      </c>
      <c r="E28" s="2716">
        <v>0</v>
      </c>
      <c r="F28" s="1287">
        <v>0</v>
      </c>
      <c r="G28" s="1287">
        <f t="shared" si="31"/>
        <v>0</v>
      </c>
      <c r="H28" s="1287">
        <f t="shared" si="32"/>
        <v>0</v>
      </c>
      <c r="I28" s="1287">
        <f t="shared" si="33"/>
        <v>0</v>
      </c>
      <c r="J28" s="1287">
        <f t="shared" si="34"/>
        <v>0</v>
      </c>
      <c r="K28" s="3219">
        <v>0</v>
      </c>
      <c r="L28" s="1287">
        <v>0</v>
      </c>
      <c r="M28" s="1287">
        <f t="shared" si="35"/>
        <v>0</v>
      </c>
      <c r="N28" s="1287">
        <f t="shared" si="36"/>
        <v>0</v>
      </c>
      <c r="O28" s="1287">
        <f t="shared" si="37"/>
        <v>0</v>
      </c>
      <c r="P28" s="1287">
        <f t="shared" si="38"/>
        <v>0</v>
      </c>
      <c r="Q28" s="1287">
        <v>0</v>
      </c>
      <c r="R28" s="1287">
        <v>0</v>
      </c>
      <c r="S28" s="1287"/>
      <c r="T28" s="1287">
        <v>0</v>
      </c>
      <c r="U28" s="1287">
        <v>0</v>
      </c>
      <c r="V28" s="1287"/>
      <c r="W28" s="1287">
        <f t="shared" si="40"/>
        <v>0</v>
      </c>
      <c r="X28" s="1287"/>
      <c r="Y28" s="1287">
        <f t="shared" si="41"/>
        <v>0</v>
      </c>
      <c r="Z28" s="1287">
        <f t="shared" si="42"/>
        <v>0</v>
      </c>
      <c r="AA28" s="1287">
        <f t="shared" si="43"/>
        <v>0</v>
      </c>
      <c r="AB28" s="1287">
        <f t="shared" si="44"/>
        <v>0</v>
      </c>
      <c r="AC28" s="1287">
        <f t="shared" si="45"/>
        <v>0</v>
      </c>
      <c r="AD28" s="1284"/>
      <c r="AE28" s="1213">
        <f t="shared" si="24"/>
        <v>0</v>
      </c>
      <c r="AF28" s="1213">
        <f t="shared" si="19"/>
        <v>0</v>
      </c>
      <c r="AG28" s="1213">
        <f t="shared" si="20"/>
        <v>0</v>
      </c>
      <c r="AH28" s="2919">
        <f t="shared" si="21"/>
        <v>0</v>
      </c>
      <c r="AI28" s="1834"/>
      <c r="AJ28" s="417">
        <f t="shared" si="22"/>
        <v>0</v>
      </c>
      <c r="AK28" s="420"/>
    </row>
    <row r="29" spans="1:37" s="424" customFormat="1" ht="15">
      <c r="A29" s="2934" t="s">
        <v>17</v>
      </c>
      <c r="B29" s="1474" t="s">
        <v>17</v>
      </c>
      <c r="C29" s="1292" t="s">
        <v>153</v>
      </c>
      <c r="D29" s="1213">
        <v>0</v>
      </c>
      <c r="E29" s="2715">
        <v>0</v>
      </c>
      <c r="F29" s="1213">
        <v>0</v>
      </c>
      <c r="G29" s="1213">
        <f t="shared" si="31"/>
        <v>0</v>
      </c>
      <c r="H29" s="1213">
        <f t="shared" si="32"/>
        <v>0</v>
      </c>
      <c r="I29" s="1213">
        <f t="shared" si="33"/>
        <v>0</v>
      </c>
      <c r="J29" s="1213">
        <f t="shared" si="34"/>
        <v>0</v>
      </c>
      <c r="K29" s="3219">
        <v>0</v>
      </c>
      <c r="L29" s="1213">
        <v>0</v>
      </c>
      <c r="M29" s="1213">
        <f t="shared" si="35"/>
        <v>0</v>
      </c>
      <c r="N29" s="1213">
        <f t="shared" si="36"/>
        <v>0</v>
      </c>
      <c r="O29" s="1213">
        <f t="shared" si="37"/>
        <v>0</v>
      </c>
      <c r="P29" s="1213">
        <f t="shared" si="38"/>
        <v>0</v>
      </c>
      <c r="Q29" s="1213">
        <v>0</v>
      </c>
      <c r="R29" s="1213">
        <v>0</v>
      </c>
      <c r="S29" s="1213">
        <f t="shared" ref="S29:V31" si="46">+R29</f>
        <v>0</v>
      </c>
      <c r="T29" s="1213">
        <f t="shared" si="46"/>
        <v>0</v>
      </c>
      <c r="U29" s="1213">
        <f t="shared" si="46"/>
        <v>0</v>
      </c>
      <c r="V29" s="1213">
        <f t="shared" si="46"/>
        <v>0</v>
      </c>
      <c r="W29" s="1213">
        <f t="shared" si="40"/>
        <v>0</v>
      </c>
      <c r="X29" s="1213"/>
      <c r="Y29" s="1213">
        <f t="shared" si="41"/>
        <v>0</v>
      </c>
      <c r="Z29" s="1213">
        <f t="shared" si="42"/>
        <v>0</v>
      </c>
      <c r="AA29" s="1213">
        <f t="shared" si="43"/>
        <v>0</v>
      </c>
      <c r="AB29" s="1213">
        <f t="shared" si="44"/>
        <v>0</v>
      </c>
      <c r="AC29" s="1213">
        <f t="shared" si="45"/>
        <v>0</v>
      </c>
      <c r="AD29" s="1284"/>
      <c r="AE29" s="1213">
        <f t="shared" si="24"/>
        <v>0</v>
      </c>
      <c r="AF29" s="1213">
        <f t="shared" si="19"/>
        <v>0</v>
      </c>
      <c r="AG29" s="1213">
        <f t="shared" si="20"/>
        <v>0</v>
      </c>
      <c r="AH29" s="2919">
        <f t="shared" si="21"/>
        <v>0</v>
      </c>
      <c r="AI29" s="1829"/>
      <c r="AJ29" s="417">
        <f t="shared" si="22"/>
        <v>0</v>
      </c>
      <c r="AK29" s="412"/>
    </row>
    <row r="30" spans="1:37" s="416" customFormat="1" ht="15">
      <c r="A30" s="2934" t="s">
        <v>19</v>
      </c>
      <c r="B30" s="1282" t="s">
        <v>19</v>
      </c>
      <c r="C30" s="1292" t="s">
        <v>1281</v>
      </c>
      <c r="D30" s="1293">
        <v>0</v>
      </c>
      <c r="E30" s="2718">
        <v>0</v>
      </c>
      <c r="F30" s="1293">
        <v>0</v>
      </c>
      <c r="G30" s="1293">
        <f t="shared" si="31"/>
        <v>0</v>
      </c>
      <c r="H30" s="1293">
        <f t="shared" si="32"/>
        <v>0</v>
      </c>
      <c r="I30" s="1293">
        <f t="shared" si="33"/>
        <v>0</v>
      </c>
      <c r="J30" s="1293">
        <f t="shared" si="34"/>
        <v>0</v>
      </c>
      <c r="K30" s="3219">
        <v>0</v>
      </c>
      <c r="L30" s="1293">
        <v>0</v>
      </c>
      <c r="M30" s="1293">
        <f t="shared" si="35"/>
        <v>0</v>
      </c>
      <c r="N30" s="1293">
        <f t="shared" si="36"/>
        <v>0</v>
      </c>
      <c r="O30" s="1293">
        <f t="shared" si="37"/>
        <v>0</v>
      </c>
      <c r="P30" s="1293">
        <f t="shared" si="38"/>
        <v>0</v>
      </c>
      <c r="Q30" s="1293">
        <v>0</v>
      </c>
      <c r="R30" s="1293">
        <v>0</v>
      </c>
      <c r="S30" s="1293">
        <f t="shared" si="46"/>
        <v>0</v>
      </c>
      <c r="T30" s="1293">
        <f t="shared" si="46"/>
        <v>0</v>
      </c>
      <c r="U30" s="1293">
        <f t="shared" si="46"/>
        <v>0</v>
      </c>
      <c r="V30" s="1293">
        <f t="shared" si="46"/>
        <v>0</v>
      </c>
      <c r="W30" s="1293">
        <f t="shared" si="40"/>
        <v>0</v>
      </c>
      <c r="X30" s="1293"/>
      <c r="Y30" s="1293">
        <f t="shared" si="41"/>
        <v>0</v>
      </c>
      <c r="Z30" s="1293">
        <f t="shared" si="42"/>
        <v>0</v>
      </c>
      <c r="AA30" s="1293">
        <f t="shared" si="43"/>
        <v>0</v>
      </c>
      <c r="AB30" s="1293">
        <f t="shared" si="44"/>
        <v>0</v>
      </c>
      <c r="AC30" s="1293">
        <f t="shared" si="45"/>
        <v>0</v>
      </c>
      <c r="AD30" s="1284"/>
      <c r="AE30" s="1213">
        <f t="shared" si="24"/>
        <v>0</v>
      </c>
      <c r="AF30" s="1213">
        <f t="shared" si="19"/>
        <v>0</v>
      </c>
      <c r="AG30" s="1213">
        <f t="shared" si="20"/>
        <v>0</v>
      </c>
      <c r="AH30" s="2919">
        <f t="shared" si="21"/>
        <v>0</v>
      </c>
      <c r="AI30" s="1834"/>
      <c r="AJ30" s="417">
        <f t="shared" si="22"/>
        <v>0</v>
      </c>
      <c r="AK30" s="427"/>
    </row>
    <row r="31" spans="1:37" s="416" customFormat="1" ht="15">
      <c r="A31" s="2934" t="s">
        <v>21</v>
      </c>
      <c r="B31" s="1282" t="s">
        <v>21</v>
      </c>
      <c r="C31" s="1292" t="s">
        <v>393</v>
      </c>
      <c r="D31" s="1227">
        <v>0</v>
      </c>
      <c r="E31" s="2719">
        <v>0</v>
      </c>
      <c r="F31" s="1227">
        <v>0</v>
      </c>
      <c r="G31" s="1227">
        <f t="shared" si="31"/>
        <v>0</v>
      </c>
      <c r="H31" s="1227">
        <f t="shared" si="32"/>
        <v>0</v>
      </c>
      <c r="I31" s="1227">
        <f t="shared" si="33"/>
        <v>0</v>
      </c>
      <c r="J31" s="1227">
        <f t="shared" si="34"/>
        <v>0</v>
      </c>
      <c r="K31" s="3219">
        <v>0</v>
      </c>
      <c r="L31" s="1227">
        <v>0</v>
      </c>
      <c r="M31" s="1227">
        <f t="shared" si="35"/>
        <v>0</v>
      </c>
      <c r="N31" s="1227">
        <f t="shared" si="36"/>
        <v>0</v>
      </c>
      <c r="O31" s="1227">
        <f t="shared" si="37"/>
        <v>0</v>
      </c>
      <c r="P31" s="1227">
        <f t="shared" si="38"/>
        <v>0</v>
      </c>
      <c r="Q31" s="1227">
        <v>0</v>
      </c>
      <c r="R31" s="1227">
        <v>0</v>
      </c>
      <c r="S31" s="1227">
        <f t="shared" si="46"/>
        <v>0</v>
      </c>
      <c r="T31" s="1227">
        <f t="shared" si="46"/>
        <v>0</v>
      </c>
      <c r="U31" s="1227">
        <f t="shared" si="46"/>
        <v>0</v>
      </c>
      <c r="V31" s="1227">
        <f t="shared" si="46"/>
        <v>0</v>
      </c>
      <c r="W31" s="1227">
        <f t="shared" si="40"/>
        <v>0</v>
      </c>
      <c r="X31" s="1227"/>
      <c r="Y31" s="1227">
        <f t="shared" si="41"/>
        <v>0</v>
      </c>
      <c r="Z31" s="1227">
        <f t="shared" si="42"/>
        <v>0</v>
      </c>
      <c r="AA31" s="1227">
        <f t="shared" si="43"/>
        <v>0</v>
      </c>
      <c r="AB31" s="1227">
        <f t="shared" si="44"/>
        <v>0</v>
      </c>
      <c r="AC31" s="1227">
        <f t="shared" si="45"/>
        <v>0</v>
      </c>
      <c r="AD31" s="1284"/>
      <c r="AE31" s="1213">
        <f t="shared" si="24"/>
        <v>0</v>
      </c>
      <c r="AF31" s="1213">
        <f t="shared" si="19"/>
        <v>0</v>
      </c>
      <c r="AG31" s="1213">
        <f t="shared" si="20"/>
        <v>0</v>
      </c>
      <c r="AH31" s="2919">
        <f t="shared" si="21"/>
        <v>0</v>
      </c>
      <c r="AI31" s="1834"/>
      <c r="AJ31" s="417">
        <f t="shared" si="22"/>
        <v>0</v>
      </c>
      <c r="AK31" s="430"/>
    </row>
    <row r="32" spans="1:37" s="416" customFormat="1" ht="15">
      <c r="A32" s="2934" t="s">
        <v>23</v>
      </c>
      <c r="B32" s="1474" t="s">
        <v>23</v>
      </c>
      <c r="C32" s="1292" t="s">
        <v>1282</v>
      </c>
      <c r="D32" s="1213">
        <f t="shared" ref="D32:AC32" si="47">+D8+D20+D23+D27+D29+D30+D31</f>
        <v>14200317</v>
      </c>
      <c r="E32" s="2715">
        <f>+E8+E20+E23+E27+E29+E30+E31</f>
        <v>27136833</v>
      </c>
      <c r="F32" s="1213">
        <f t="shared" si="47"/>
        <v>22379080.269680001</v>
      </c>
      <c r="G32" s="1213">
        <f t="shared" si="47"/>
        <v>23599445.269680001</v>
      </c>
      <c r="H32" s="1213">
        <f t="shared" si="47"/>
        <v>26122921.269680001</v>
      </c>
      <c r="I32" s="1213">
        <f t="shared" si="47"/>
        <v>34611177.269680001</v>
      </c>
      <c r="J32" s="1213">
        <f t="shared" si="47"/>
        <v>34611177.269680001</v>
      </c>
      <c r="K32" s="3208">
        <f t="shared" si="47"/>
        <v>34611177</v>
      </c>
      <c r="L32" s="1213">
        <f t="shared" si="47"/>
        <v>0</v>
      </c>
      <c r="M32" s="1213">
        <f t="shared" si="47"/>
        <v>0</v>
      </c>
      <c r="N32" s="1213">
        <f t="shared" si="47"/>
        <v>0</v>
      </c>
      <c r="O32" s="1213">
        <f t="shared" si="47"/>
        <v>0</v>
      </c>
      <c r="P32" s="1213">
        <f t="shared" si="47"/>
        <v>0</v>
      </c>
      <c r="Q32" s="1213">
        <f t="shared" si="47"/>
        <v>0</v>
      </c>
      <c r="R32" s="1213">
        <f t="shared" si="47"/>
        <v>22379080.269680001</v>
      </c>
      <c r="S32" s="1213">
        <f t="shared" si="47"/>
        <v>23599445.269680001</v>
      </c>
      <c r="T32" s="1213">
        <f t="shared" si="47"/>
        <v>26122921.269680001</v>
      </c>
      <c r="U32" s="1213">
        <f t="shared" si="47"/>
        <v>34611177.269680001</v>
      </c>
      <c r="V32" s="1213">
        <f t="shared" si="47"/>
        <v>34611177.269680001</v>
      </c>
      <c r="W32" s="1213">
        <f t="shared" si="47"/>
        <v>34611177</v>
      </c>
      <c r="X32" s="1213">
        <f t="shared" si="47"/>
        <v>0</v>
      </c>
      <c r="Y32" s="1213">
        <f t="shared" si="47"/>
        <v>0</v>
      </c>
      <c r="Z32" s="1213">
        <f t="shared" si="47"/>
        <v>0</v>
      </c>
      <c r="AA32" s="1213">
        <f t="shared" si="47"/>
        <v>0</v>
      </c>
      <c r="AB32" s="1213">
        <f t="shared" si="47"/>
        <v>0</v>
      </c>
      <c r="AC32" s="1213">
        <f t="shared" si="47"/>
        <v>0</v>
      </c>
      <c r="AD32" s="1283"/>
      <c r="AE32" s="1213">
        <f t="shared" si="24"/>
        <v>1220365</v>
      </c>
      <c r="AF32" s="1213">
        <f t="shared" si="19"/>
        <v>2523476</v>
      </c>
      <c r="AG32" s="1213">
        <f t="shared" si="20"/>
        <v>8488256</v>
      </c>
      <c r="AH32" s="2919">
        <f t="shared" si="21"/>
        <v>0</v>
      </c>
      <c r="AI32" s="1829">
        <f t="shared" ref="AI32:AI37" si="48">+K32/I32</f>
        <v>0.99999999220829738</v>
      </c>
      <c r="AJ32" s="417">
        <f t="shared" si="22"/>
        <v>8178763.2696800008</v>
      </c>
      <c r="AK32" s="412"/>
    </row>
    <row r="33" spans="1:38" s="424" customFormat="1" ht="15">
      <c r="A33" s="2975" t="s">
        <v>25</v>
      </c>
      <c r="B33" s="1282" t="s">
        <v>25</v>
      </c>
      <c r="C33" s="1292" t="s">
        <v>1305</v>
      </c>
      <c r="D33" s="1213">
        <f t="shared" ref="D33:AC33" si="49">SUM(D34:D36)</f>
        <v>399927485</v>
      </c>
      <c r="E33" s="2715">
        <f>SUM(E34:E36)</f>
        <v>449867049</v>
      </c>
      <c r="F33" s="1213">
        <f t="shared" si="49"/>
        <v>569355080</v>
      </c>
      <c r="G33" s="1213">
        <f t="shared" si="49"/>
        <v>579964012</v>
      </c>
      <c r="H33" s="1213">
        <f t="shared" si="49"/>
        <v>582044360</v>
      </c>
      <c r="I33" s="1213">
        <f t="shared" si="49"/>
        <v>597755431</v>
      </c>
      <c r="J33" s="1213">
        <f t="shared" si="49"/>
        <v>597755431</v>
      </c>
      <c r="K33" s="3208">
        <f>SUM(K34:K36)</f>
        <v>577167459</v>
      </c>
      <c r="L33" s="1213">
        <f t="shared" si="49"/>
        <v>0</v>
      </c>
      <c r="M33" s="1213">
        <f t="shared" si="49"/>
        <v>0</v>
      </c>
      <c r="N33" s="1213">
        <f t="shared" si="49"/>
        <v>0</v>
      </c>
      <c r="O33" s="1213">
        <f t="shared" si="49"/>
        <v>0</v>
      </c>
      <c r="P33" s="1213">
        <f t="shared" si="49"/>
        <v>0</v>
      </c>
      <c r="Q33" s="1213">
        <f t="shared" si="49"/>
        <v>0</v>
      </c>
      <c r="R33" s="1213">
        <f t="shared" si="49"/>
        <v>569355080</v>
      </c>
      <c r="S33" s="1213">
        <f t="shared" si="49"/>
        <v>579964012</v>
      </c>
      <c r="T33" s="1213">
        <f t="shared" si="49"/>
        <v>582044360</v>
      </c>
      <c r="U33" s="1213">
        <f t="shared" si="49"/>
        <v>597755431</v>
      </c>
      <c r="V33" s="1213">
        <f t="shared" si="49"/>
        <v>597755431</v>
      </c>
      <c r="W33" s="1213">
        <f t="shared" si="49"/>
        <v>577167459</v>
      </c>
      <c r="X33" s="1213">
        <f t="shared" si="49"/>
        <v>0</v>
      </c>
      <c r="Y33" s="1213">
        <f t="shared" si="49"/>
        <v>0</v>
      </c>
      <c r="Z33" s="1213">
        <f t="shared" si="49"/>
        <v>0</v>
      </c>
      <c r="AA33" s="1213">
        <f t="shared" si="49"/>
        <v>0</v>
      </c>
      <c r="AB33" s="1213">
        <f t="shared" si="49"/>
        <v>0</v>
      </c>
      <c r="AC33" s="1213">
        <f t="shared" si="49"/>
        <v>0</v>
      </c>
      <c r="AD33" s="1284"/>
      <c r="AE33" s="1213">
        <f t="shared" si="24"/>
        <v>10608932</v>
      </c>
      <c r="AF33" s="1213">
        <f t="shared" si="19"/>
        <v>2080348</v>
      </c>
      <c r="AG33" s="1213">
        <f t="shared" si="20"/>
        <v>15711071</v>
      </c>
      <c r="AH33" s="2919">
        <f t="shared" si="21"/>
        <v>0</v>
      </c>
      <c r="AI33" s="1829">
        <f t="shared" si="48"/>
        <v>0.96555786709364089</v>
      </c>
      <c r="AJ33" s="417">
        <f t="shared" si="22"/>
        <v>169427595</v>
      </c>
      <c r="AK33" s="412"/>
    </row>
    <row r="34" spans="1:38" s="424" customFormat="1" ht="15">
      <c r="A34" s="2975"/>
      <c r="B34" s="1477" t="s">
        <v>1284</v>
      </c>
      <c r="C34" s="1286" t="s">
        <v>1285</v>
      </c>
      <c r="D34" s="1291">
        <v>0</v>
      </c>
      <c r="E34" s="2717">
        <v>28392825</v>
      </c>
      <c r="F34" s="1291">
        <v>0</v>
      </c>
      <c r="G34" s="1227">
        <f>+F34+9415132</f>
        <v>9415132</v>
      </c>
      <c r="H34" s="1227">
        <f t="shared" ref="H34:J35" si="50">+G34</f>
        <v>9415132</v>
      </c>
      <c r="I34" s="1227">
        <f t="shared" si="50"/>
        <v>9415132</v>
      </c>
      <c r="J34" s="1227">
        <f t="shared" si="50"/>
        <v>9415132</v>
      </c>
      <c r="K34" s="3220">
        <v>9415132</v>
      </c>
      <c r="L34" s="1291">
        <v>0</v>
      </c>
      <c r="M34" s="1291">
        <f t="shared" ref="M34:P36" si="51">+L34</f>
        <v>0</v>
      </c>
      <c r="N34" s="1291">
        <f t="shared" si="51"/>
        <v>0</v>
      </c>
      <c r="O34" s="1291">
        <f t="shared" si="51"/>
        <v>0</v>
      </c>
      <c r="P34" s="1291">
        <f t="shared" si="51"/>
        <v>0</v>
      </c>
      <c r="Q34" s="1291">
        <v>0</v>
      </c>
      <c r="R34" s="1291">
        <v>0</v>
      </c>
      <c r="S34" s="1227">
        <f>+R34+9415132</f>
        <v>9415132</v>
      </c>
      <c r="T34" s="1227">
        <f t="shared" ref="T34:V36" si="52">+S34</f>
        <v>9415132</v>
      </c>
      <c r="U34" s="1227">
        <f t="shared" si="52"/>
        <v>9415132</v>
      </c>
      <c r="V34" s="1227">
        <f t="shared" si="52"/>
        <v>9415132</v>
      </c>
      <c r="W34" s="1291">
        <f>+K34</f>
        <v>9415132</v>
      </c>
      <c r="X34" s="1213"/>
      <c r="Y34" s="1213">
        <f t="shared" ref="Y34:AC36" si="53">+X34</f>
        <v>0</v>
      </c>
      <c r="Z34" s="1213">
        <f t="shared" si="53"/>
        <v>0</v>
      </c>
      <c r="AA34" s="1213">
        <f t="shared" si="53"/>
        <v>0</v>
      </c>
      <c r="AB34" s="1213">
        <f t="shared" si="53"/>
        <v>0</v>
      </c>
      <c r="AC34" s="1213">
        <f t="shared" si="53"/>
        <v>0</v>
      </c>
      <c r="AD34" s="2947"/>
      <c r="AE34" s="1213">
        <f t="shared" si="24"/>
        <v>9415132</v>
      </c>
      <c r="AF34" s="1213">
        <f>+H34-G34</f>
        <v>0</v>
      </c>
      <c r="AG34" s="1213">
        <f>+I34-H34</f>
        <v>0</v>
      </c>
      <c r="AH34" s="2919">
        <f>+J34-I34</f>
        <v>0</v>
      </c>
      <c r="AI34" s="1860">
        <f t="shared" si="48"/>
        <v>1</v>
      </c>
      <c r="AJ34" s="417">
        <f t="shared" si="22"/>
        <v>0</v>
      </c>
      <c r="AK34" s="548"/>
    </row>
    <row r="35" spans="1:38" s="424" customFormat="1" ht="15">
      <c r="A35" s="2933"/>
      <c r="B35" s="1477" t="s">
        <v>1286</v>
      </c>
      <c r="C35" s="1286" t="s">
        <v>1287</v>
      </c>
      <c r="D35" s="1227">
        <v>0</v>
      </c>
      <c r="E35" s="2719">
        <v>0</v>
      </c>
      <c r="F35" s="1227">
        <v>0</v>
      </c>
      <c r="G35" s="1227">
        <f>+F35+304800</f>
        <v>304800</v>
      </c>
      <c r="H35" s="1227">
        <f t="shared" si="50"/>
        <v>304800</v>
      </c>
      <c r="I35" s="1227">
        <f t="shared" si="50"/>
        <v>304800</v>
      </c>
      <c r="J35" s="1227">
        <f t="shared" si="50"/>
        <v>304800</v>
      </c>
      <c r="K35" s="3209">
        <v>304800</v>
      </c>
      <c r="L35" s="1227">
        <v>0</v>
      </c>
      <c r="M35" s="1227">
        <f t="shared" si="51"/>
        <v>0</v>
      </c>
      <c r="N35" s="1227">
        <f t="shared" si="51"/>
        <v>0</v>
      </c>
      <c r="O35" s="1227">
        <f t="shared" si="51"/>
        <v>0</v>
      </c>
      <c r="P35" s="1227">
        <f t="shared" si="51"/>
        <v>0</v>
      </c>
      <c r="Q35" s="1227">
        <v>0</v>
      </c>
      <c r="R35" s="1227">
        <v>0</v>
      </c>
      <c r="S35" s="1227">
        <f>+R35+304800</f>
        <v>304800</v>
      </c>
      <c r="T35" s="1227">
        <f t="shared" si="52"/>
        <v>304800</v>
      </c>
      <c r="U35" s="1227">
        <f t="shared" si="52"/>
        <v>304800</v>
      </c>
      <c r="V35" s="1227">
        <f t="shared" si="52"/>
        <v>304800</v>
      </c>
      <c r="W35" s="1227">
        <f>+K35</f>
        <v>304800</v>
      </c>
      <c r="X35" s="1227"/>
      <c r="Y35" s="1227">
        <f t="shared" si="53"/>
        <v>0</v>
      </c>
      <c r="Z35" s="1227">
        <f t="shared" si="53"/>
        <v>0</v>
      </c>
      <c r="AA35" s="1227">
        <f t="shared" si="53"/>
        <v>0</v>
      </c>
      <c r="AB35" s="1227">
        <f t="shared" si="53"/>
        <v>0</v>
      </c>
      <c r="AC35" s="1227">
        <f t="shared" si="53"/>
        <v>0</v>
      </c>
      <c r="AD35" s="1284"/>
      <c r="AE35" s="1213">
        <f t="shared" si="24"/>
        <v>304800</v>
      </c>
      <c r="AF35" s="1213">
        <f>+H35-G35</f>
        <v>0</v>
      </c>
      <c r="AG35" s="1213">
        <f t="shared" ref="AG35:AH37" si="54">+I35-H35</f>
        <v>0</v>
      </c>
      <c r="AH35" s="2919">
        <f t="shared" si="54"/>
        <v>0</v>
      </c>
      <c r="AI35" s="1834">
        <f t="shared" si="48"/>
        <v>1</v>
      </c>
      <c r="AJ35" s="417">
        <f t="shared" si="22"/>
        <v>0</v>
      </c>
      <c r="AK35" s="430"/>
    </row>
    <row r="36" spans="1:38" s="424" customFormat="1" ht="15">
      <c r="A36" s="2976"/>
      <c r="B36" s="1477" t="s">
        <v>1288</v>
      </c>
      <c r="C36" s="1286" t="s">
        <v>1289</v>
      </c>
      <c r="D36" s="1227">
        <f>393690202+337+6236946</f>
        <v>399927485</v>
      </c>
      <c r="E36" s="2719">
        <v>421474224</v>
      </c>
      <c r="F36" s="1227">
        <v>569355080</v>
      </c>
      <c r="G36" s="1227">
        <f>+F36+889000</f>
        <v>570244080</v>
      </c>
      <c r="H36" s="1227">
        <f>+G36+9000*12+210000+1762348</f>
        <v>572324428</v>
      </c>
      <c r="I36" s="1227">
        <f>+H36+237300+2441550+165100+12867121</f>
        <v>588035499</v>
      </c>
      <c r="J36" s="1227">
        <f>+I36</f>
        <v>588035499</v>
      </c>
      <c r="K36" s="3209">
        <v>567447527</v>
      </c>
      <c r="L36" s="1227">
        <v>0</v>
      </c>
      <c r="M36" s="1227">
        <f t="shared" si="51"/>
        <v>0</v>
      </c>
      <c r="N36" s="1227">
        <f t="shared" si="51"/>
        <v>0</v>
      </c>
      <c r="O36" s="1227">
        <f t="shared" si="51"/>
        <v>0</v>
      </c>
      <c r="P36" s="1227">
        <f t="shared" si="51"/>
        <v>0</v>
      </c>
      <c r="Q36" s="1227">
        <v>0</v>
      </c>
      <c r="R36" s="1227">
        <f>+F36</f>
        <v>569355080</v>
      </c>
      <c r="S36" s="1227">
        <f>+R36+889000</f>
        <v>570244080</v>
      </c>
      <c r="T36" s="1227">
        <f>+S36+9000*12+210000+1762348</f>
        <v>572324428</v>
      </c>
      <c r="U36" s="1227">
        <f>+T36+237300+2441550+165100+12867121</f>
        <v>588035499</v>
      </c>
      <c r="V36" s="1227">
        <f t="shared" si="52"/>
        <v>588035499</v>
      </c>
      <c r="W36" s="1227">
        <f>+K36</f>
        <v>567447527</v>
      </c>
      <c r="X36" s="1227"/>
      <c r="Y36" s="1227">
        <f t="shared" si="53"/>
        <v>0</v>
      </c>
      <c r="Z36" s="1227">
        <f t="shared" si="53"/>
        <v>0</v>
      </c>
      <c r="AA36" s="1227">
        <f t="shared" si="53"/>
        <v>0</v>
      </c>
      <c r="AB36" s="1227">
        <f t="shared" si="53"/>
        <v>0</v>
      </c>
      <c r="AC36" s="1227">
        <f t="shared" si="53"/>
        <v>0</v>
      </c>
      <c r="AD36" s="1284"/>
      <c r="AE36" s="1213">
        <f t="shared" si="24"/>
        <v>889000</v>
      </c>
      <c r="AF36" s="1213">
        <f>+H36-G36</f>
        <v>2080348</v>
      </c>
      <c r="AG36" s="1213">
        <f t="shared" si="54"/>
        <v>15711071</v>
      </c>
      <c r="AH36" s="2919">
        <f t="shared" si="54"/>
        <v>0</v>
      </c>
      <c r="AI36" s="1834">
        <f t="shared" si="48"/>
        <v>0.96498855590349319</v>
      </c>
      <c r="AJ36" s="417">
        <f t="shared" si="22"/>
        <v>169427595</v>
      </c>
      <c r="AK36" s="430"/>
    </row>
    <row r="37" spans="1:38" s="405" customFormat="1" ht="15.75">
      <c r="A37" s="2975" t="s">
        <v>27</v>
      </c>
      <c r="B37" s="1475" t="s">
        <v>27</v>
      </c>
      <c r="C37" s="1297" t="s">
        <v>1290</v>
      </c>
      <c r="D37" s="1298">
        <f t="shared" ref="D37:AC37" si="55">+D32+D33</f>
        <v>414127802</v>
      </c>
      <c r="E37" s="2720">
        <f t="shared" si="55"/>
        <v>477003882</v>
      </c>
      <c r="F37" s="1298">
        <f t="shared" si="55"/>
        <v>591734160.26968002</v>
      </c>
      <c r="G37" s="1298">
        <f t="shared" si="55"/>
        <v>603563457.26968002</v>
      </c>
      <c r="H37" s="1298">
        <f t="shared" si="55"/>
        <v>608167281.26968002</v>
      </c>
      <c r="I37" s="1298">
        <f t="shared" si="55"/>
        <v>632366608.26968002</v>
      </c>
      <c r="J37" s="1298">
        <f t="shared" si="55"/>
        <v>632366608.26968002</v>
      </c>
      <c r="K37" s="3210">
        <f t="shared" si="55"/>
        <v>611778636</v>
      </c>
      <c r="L37" s="1298">
        <f t="shared" si="55"/>
        <v>0</v>
      </c>
      <c r="M37" s="1298">
        <f t="shared" si="55"/>
        <v>0</v>
      </c>
      <c r="N37" s="1298">
        <f t="shared" si="55"/>
        <v>0</v>
      </c>
      <c r="O37" s="1298">
        <f t="shared" si="55"/>
        <v>0</v>
      </c>
      <c r="P37" s="1298">
        <f t="shared" si="55"/>
        <v>0</v>
      </c>
      <c r="Q37" s="1298">
        <f t="shared" si="55"/>
        <v>0</v>
      </c>
      <c r="R37" s="1298">
        <f t="shared" si="55"/>
        <v>591734160.26968002</v>
      </c>
      <c r="S37" s="1298">
        <f t="shared" si="55"/>
        <v>603563457.26968002</v>
      </c>
      <c r="T37" s="1298">
        <f t="shared" si="55"/>
        <v>608167281.26968002</v>
      </c>
      <c r="U37" s="1298">
        <f t="shared" si="55"/>
        <v>632366608.26968002</v>
      </c>
      <c r="V37" s="1298">
        <f t="shared" si="55"/>
        <v>632366608.26968002</v>
      </c>
      <c r="W37" s="1298">
        <f t="shared" si="55"/>
        <v>611778636</v>
      </c>
      <c r="X37" s="1298">
        <f t="shared" si="55"/>
        <v>0</v>
      </c>
      <c r="Y37" s="1298">
        <f t="shared" si="55"/>
        <v>0</v>
      </c>
      <c r="Z37" s="1298">
        <f t="shared" si="55"/>
        <v>0</v>
      </c>
      <c r="AA37" s="1298">
        <f t="shared" si="55"/>
        <v>0</v>
      </c>
      <c r="AB37" s="1298">
        <f t="shared" si="55"/>
        <v>0</v>
      </c>
      <c r="AC37" s="1298">
        <f t="shared" si="55"/>
        <v>0</v>
      </c>
      <c r="AD37" s="1284"/>
      <c r="AE37" s="1213">
        <f t="shared" si="24"/>
        <v>11829297</v>
      </c>
      <c r="AF37" s="1213">
        <f>+H37-G37</f>
        <v>4603824</v>
      </c>
      <c r="AG37" s="1213">
        <f t="shared" si="54"/>
        <v>24199327</v>
      </c>
      <c r="AH37" s="2919">
        <f t="shared" si="54"/>
        <v>0</v>
      </c>
      <c r="AI37" s="1829">
        <f t="shared" si="48"/>
        <v>0.96744298006813789</v>
      </c>
      <c r="AJ37" s="417">
        <f t="shared" si="22"/>
        <v>177606358.26968002</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9"/>
      <c r="AF38" s="2929"/>
      <c r="AG38" s="2929"/>
      <c r="AH38" s="2921"/>
      <c r="AI38" s="1858"/>
      <c r="AJ38" s="417"/>
      <c r="AK38" s="436"/>
    </row>
    <row r="39" spans="1:38" ht="15">
      <c r="A39" s="2932"/>
      <c r="B39" s="1285"/>
      <c r="C39" s="1548" t="str">
        <f t="shared" ref="C39:T40" si="56">+C4</f>
        <v>A</v>
      </c>
      <c r="D39" s="1549" t="str">
        <f t="shared" si="56"/>
        <v>B</v>
      </c>
      <c r="E39" s="2960" t="str">
        <f t="shared" si="56"/>
        <v>B</v>
      </c>
      <c r="F39" s="1345" t="str">
        <f t="shared" si="56"/>
        <v>B</v>
      </c>
      <c r="G39" s="1345" t="str">
        <f t="shared" si="56"/>
        <v>D</v>
      </c>
      <c r="H39" s="1345" t="str">
        <f t="shared" si="56"/>
        <v>E</v>
      </c>
      <c r="I39" s="1345" t="str">
        <f t="shared" si="56"/>
        <v>C</v>
      </c>
      <c r="J39" s="1345" t="str">
        <f t="shared" si="56"/>
        <v>F</v>
      </c>
      <c r="K39" s="1345" t="str">
        <f t="shared" si="56"/>
        <v>D</v>
      </c>
      <c r="L39" s="1345" t="str">
        <f t="shared" si="56"/>
        <v>E</v>
      </c>
      <c r="M39" s="1345" t="str">
        <f t="shared" si="56"/>
        <v>F</v>
      </c>
      <c r="N39" s="1345" t="str">
        <f t="shared" si="56"/>
        <v>F</v>
      </c>
      <c r="O39" s="1345" t="str">
        <f t="shared" si="56"/>
        <v>E</v>
      </c>
      <c r="P39" s="1345">
        <f t="shared" si="56"/>
        <v>0</v>
      </c>
      <c r="Q39" s="1345" t="str">
        <f t="shared" si="56"/>
        <v>F</v>
      </c>
      <c r="R39" s="1345" t="str">
        <f t="shared" si="56"/>
        <v>E</v>
      </c>
      <c r="S39" s="1345" t="str">
        <f t="shared" si="56"/>
        <v>E</v>
      </c>
      <c r="T39" s="1345" t="str">
        <f t="shared" si="56"/>
        <v>G</v>
      </c>
      <c r="U39" s="1345" t="str">
        <f>+U4</f>
        <v>G</v>
      </c>
      <c r="V39" s="1345">
        <f>+V4</f>
        <v>0</v>
      </c>
      <c r="W39" s="1345" t="str">
        <f>+W4</f>
        <v>H</v>
      </c>
      <c r="X39" s="2961"/>
      <c r="Y39" s="2961"/>
      <c r="Z39" s="2961"/>
      <c r="AA39" s="2961"/>
      <c r="AB39" s="2961"/>
      <c r="AC39" s="2961"/>
      <c r="AD39" s="2962"/>
      <c r="AE39" s="2961"/>
      <c r="AF39" s="1345" t="str">
        <f>+AF4</f>
        <v>H</v>
      </c>
      <c r="AG39" s="1301" t="str">
        <f>+AG4</f>
        <v>I</v>
      </c>
      <c r="AH39" s="1551"/>
      <c r="AI39" s="1845" t="str">
        <f>+AI4</f>
        <v>I</v>
      </c>
      <c r="AJ39" s="417"/>
      <c r="AK39" s="1549"/>
      <c r="AL39" s="439"/>
    </row>
    <row r="40" spans="1:38" ht="73.5">
      <c r="A40" s="2933"/>
      <c r="B40" s="1278" t="s">
        <v>6</v>
      </c>
      <c r="C40" s="1276" t="str">
        <f t="shared" si="56"/>
        <v>Kiemelt előirányzat, előirányzat megnevezése</v>
      </c>
      <c r="D40" s="1278" t="str">
        <f t="shared" si="56"/>
        <v>2024. évi eredeti előirányzat
forintban</v>
      </c>
      <c r="E40" s="2596" t="str">
        <f>+E5</f>
        <v>2024. évi teljesítés forintban</v>
      </c>
      <c r="F40" s="1276" t="str">
        <f t="shared" si="56"/>
        <v>2025. évi eredeti előirányzat forintban</v>
      </c>
      <c r="G40" s="1276" t="str">
        <f t="shared" ref="G40:AJ40" si="57">+G5</f>
        <v>2025. évi I. számú módosított előirányzat
forintban</v>
      </c>
      <c r="H40" s="1276" t="str">
        <f t="shared" si="57"/>
        <v>2025. évi II. számú módosított előirányzat forintban</v>
      </c>
      <c r="I40" s="1276" t="str">
        <f t="shared" si="57"/>
        <v>2025. évi III. számú módosított előirányzat forintban</v>
      </c>
      <c r="J40" s="1276" t="str">
        <f t="shared" si="57"/>
        <v>2025. évi IV. számú módosított előirányzat forintban</v>
      </c>
      <c r="K40" s="3197" t="str">
        <f t="shared" si="57"/>
        <v>2025. évi
teljesítés forintban</v>
      </c>
      <c r="L40" s="1276" t="str">
        <f t="shared" si="57"/>
        <v>Önként vállalt feladat forintban</v>
      </c>
      <c r="M40" s="1276" t="str">
        <f t="shared" si="57"/>
        <v>Önként vállalt feladat I. módosítás
forintban</v>
      </c>
      <c r="N40" s="1276" t="str">
        <f t="shared" si="57"/>
        <v>Önként vállalt feladat II. módosítás forintban</v>
      </c>
      <c r="O40" s="1276" t="str">
        <f t="shared" si="57"/>
        <v>Önként vállalt feladat III. módosítás forintban</v>
      </c>
      <c r="P40" s="1276" t="str">
        <f t="shared" si="57"/>
        <v>Önként vállalt feladat IV. módosítás  forintban</v>
      </c>
      <c r="Q40" s="1276" t="str">
        <f t="shared" si="57"/>
        <v>Önként vállalt teljesítés  forintban</v>
      </c>
      <c r="R40" s="1276" t="str">
        <f t="shared" si="57"/>
        <v>Kötelező feladat forintban</v>
      </c>
      <c r="S40" s="1276" t="str">
        <f t="shared" si="57"/>
        <v>Kötelező feladat 
I. módosítás
forintban</v>
      </c>
      <c r="T40" s="1276" t="str">
        <f t="shared" si="57"/>
        <v>Kötelező feladat II. módosítás forintban</v>
      </c>
      <c r="U40" s="1276" t="str">
        <f t="shared" si="57"/>
        <v>Kötelező feladat III. módosítás  forintban</v>
      </c>
      <c r="V40" s="1278" t="str">
        <f t="shared" si="57"/>
        <v>Kötelező feladat IV. módosítás  forintban</v>
      </c>
      <c r="W40" s="1278" t="str">
        <f t="shared" si="57"/>
        <v>Kötelező teljesítés  forintban</v>
      </c>
      <c r="X40" s="1278">
        <f t="shared" si="57"/>
        <v>0</v>
      </c>
      <c r="Y40" s="1278">
        <f t="shared" si="57"/>
        <v>0</v>
      </c>
      <c r="Z40" s="1278">
        <f t="shared" si="57"/>
        <v>0</v>
      </c>
      <c r="AA40" s="1278">
        <f t="shared" si="57"/>
        <v>0</v>
      </c>
      <c r="AB40" s="1278">
        <f t="shared" si="57"/>
        <v>0</v>
      </c>
      <c r="AC40" s="1278">
        <f t="shared" si="57"/>
        <v>0</v>
      </c>
      <c r="AD40" s="1278"/>
      <c r="AE40" s="1278" t="str">
        <f t="shared" si="57"/>
        <v>I. változás</v>
      </c>
      <c r="AF40" s="1278" t="str">
        <f t="shared" si="57"/>
        <v>Előirányzat-módosítások, előirányzat-átcsoportosítások összegszerű változásai</v>
      </c>
      <c r="AG40" s="2916" t="str">
        <f t="shared" si="57"/>
        <v>Előirányzat-módosítások, előirányzat-átcsoportosítások összegszerű változásai a III. módosításnál</v>
      </c>
      <c r="AH40" s="1854" t="str">
        <f t="shared" si="57"/>
        <v>IV. változás</v>
      </c>
      <c r="AI40" s="1825" t="str">
        <f t="shared" si="57"/>
        <v xml:space="preserve"> 2025. évi teljesítés / 2025. évi III. számú módosított előirányzat</v>
      </c>
      <c r="AJ40" s="1854" t="str">
        <f t="shared" si="57"/>
        <v>Változás Eredeti előző évhez 
Ft-ban</v>
      </c>
      <c r="AK40" s="2595"/>
      <c r="AL40" s="439"/>
    </row>
    <row r="41" spans="1:38" ht="15">
      <c r="A41" s="2934" t="s">
        <v>6</v>
      </c>
      <c r="B41" s="2946" t="s">
        <v>3353</v>
      </c>
      <c r="C41" s="1292" t="s">
        <v>1291</v>
      </c>
      <c r="D41" s="1213">
        <f t="shared" ref="D41:AC41" si="58">SUM(D42:D46)</f>
        <v>413365802</v>
      </c>
      <c r="E41" s="2715">
        <f t="shared" si="58"/>
        <v>457396641</v>
      </c>
      <c r="F41" s="1213">
        <f t="shared" si="58"/>
        <v>591238860</v>
      </c>
      <c r="G41" s="1213">
        <f t="shared" si="58"/>
        <v>603068157</v>
      </c>
      <c r="H41" s="1213">
        <f t="shared" si="58"/>
        <v>607671981</v>
      </c>
      <c r="I41" s="1213">
        <f t="shared" si="58"/>
        <v>629240178</v>
      </c>
      <c r="J41" s="1213">
        <f t="shared" si="58"/>
        <v>629240178</v>
      </c>
      <c r="K41" s="3208">
        <f t="shared" si="58"/>
        <v>596786664</v>
      </c>
      <c r="L41" s="1213">
        <f t="shared" si="58"/>
        <v>0</v>
      </c>
      <c r="M41" s="1213">
        <f t="shared" si="58"/>
        <v>0</v>
      </c>
      <c r="N41" s="1213">
        <f t="shared" si="58"/>
        <v>0</v>
      </c>
      <c r="O41" s="1213">
        <f t="shared" si="58"/>
        <v>0</v>
      </c>
      <c r="P41" s="1213">
        <f t="shared" si="58"/>
        <v>0</v>
      </c>
      <c r="Q41" s="1213">
        <f t="shared" si="58"/>
        <v>0</v>
      </c>
      <c r="R41" s="1213">
        <f t="shared" si="58"/>
        <v>591238860</v>
      </c>
      <c r="S41" s="1213">
        <f t="shared" si="58"/>
        <v>603068157</v>
      </c>
      <c r="T41" s="1213">
        <f t="shared" si="58"/>
        <v>607671981</v>
      </c>
      <c r="U41" s="1213">
        <f t="shared" si="58"/>
        <v>629240178</v>
      </c>
      <c r="V41" s="1213">
        <f t="shared" si="58"/>
        <v>629240178</v>
      </c>
      <c r="W41" s="1213">
        <f t="shared" si="58"/>
        <v>596786664</v>
      </c>
      <c r="X41" s="1213">
        <f t="shared" si="58"/>
        <v>0</v>
      </c>
      <c r="Y41" s="1213">
        <f t="shared" si="58"/>
        <v>0</v>
      </c>
      <c r="Z41" s="1213">
        <f t="shared" si="58"/>
        <v>0</v>
      </c>
      <c r="AA41" s="1213">
        <f t="shared" si="58"/>
        <v>0</v>
      </c>
      <c r="AB41" s="1213">
        <f t="shared" si="58"/>
        <v>0</v>
      </c>
      <c r="AC41" s="1213">
        <f t="shared" si="58"/>
        <v>0</v>
      </c>
      <c r="AD41" s="1284"/>
      <c r="AE41" s="1213">
        <f t="shared" ref="AE41:AE56" si="59">+G41-F41</f>
        <v>11829297</v>
      </c>
      <c r="AF41" s="1213">
        <f t="shared" ref="AF41:AF52" si="60">+H41-G41</f>
        <v>4603824</v>
      </c>
      <c r="AG41" s="1213">
        <f t="shared" ref="AG41:AG55" si="61">+I41-H41</f>
        <v>21568197</v>
      </c>
      <c r="AH41" s="2919">
        <f t="shared" ref="AH41:AH55" si="62">+J41-I41</f>
        <v>0</v>
      </c>
      <c r="AI41" s="1829">
        <f t="shared" ref="AI41:AI54" si="63">+K41/I41</f>
        <v>0.94842428195994821</v>
      </c>
      <c r="AJ41" s="417">
        <f t="shared" ref="AJ41:AJ54" si="64">+F41-D41</f>
        <v>177873058</v>
      </c>
      <c r="AK41" s="412"/>
      <c r="AL41" s="439"/>
    </row>
    <row r="42" spans="1:38" ht="15">
      <c r="A42" s="2934"/>
      <c r="B42" s="2948" t="s">
        <v>176</v>
      </c>
      <c r="C42" s="1290" t="s">
        <v>147</v>
      </c>
      <c r="D42" s="1227">
        <v>283086353</v>
      </c>
      <c r="E42" s="2719">
        <v>305377749</v>
      </c>
      <c r="F42" s="1227">
        <v>429343352</v>
      </c>
      <c r="G42" s="1227">
        <f>+F42</f>
        <v>429343352</v>
      </c>
      <c r="H42" s="1227">
        <f>+G42+9000*12+210000+239000+1559600</f>
        <v>431459952</v>
      </c>
      <c r="I42" s="1227">
        <f>+H42+210000-8502799-59580+3872896</f>
        <v>426980469</v>
      </c>
      <c r="J42" s="1227">
        <f t="shared" ref="G42:J46" si="65">+I42</f>
        <v>426980469</v>
      </c>
      <c r="K42" s="3209">
        <v>424040916</v>
      </c>
      <c r="L42" s="1227">
        <v>0</v>
      </c>
      <c r="M42" s="1227">
        <f t="shared" ref="M42:P46" si="66">+L42</f>
        <v>0</v>
      </c>
      <c r="N42" s="1227">
        <f t="shared" si="66"/>
        <v>0</v>
      </c>
      <c r="O42" s="1227">
        <f t="shared" si="66"/>
        <v>0</v>
      </c>
      <c r="P42" s="1227">
        <f t="shared" si="66"/>
        <v>0</v>
      </c>
      <c r="Q42" s="1227">
        <v>0</v>
      </c>
      <c r="R42" s="1227">
        <f>+F42</f>
        <v>429343352</v>
      </c>
      <c r="S42" s="1227">
        <f t="shared" ref="S42:V46" si="67">+R42</f>
        <v>429343352</v>
      </c>
      <c r="T42" s="1227">
        <f>+S42+9000*12+210000+239000+1559600</f>
        <v>431459952</v>
      </c>
      <c r="U42" s="1227">
        <f>+T42+210000-8502799-59580+3872896</f>
        <v>426980469</v>
      </c>
      <c r="V42" s="1227">
        <f t="shared" si="67"/>
        <v>426980469</v>
      </c>
      <c r="W42" s="1227">
        <f>+K42</f>
        <v>424040916</v>
      </c>
      <c r="X42" s="1227"/>
      <c r="Y42" s="1227">
        <f t="shared" ref="Y42:AC46" si="68">+X42</f>
        <v>0</v>
      </c>
      <c r="Z42" s="1227">
        <f t="shared" si="68"/>
        <v>0</v>
      </c>
      <c r="AA42" s="1227">
        <f t="shared" si="68"/>
        <v>0</v>
      </c>
      <c r="AB42" s="1227">
        <f t="shared" si="68"/>
        <v>0</v>
      </c>
      <c r="AC42" s="1227">
        <f t="shared" si="68"/>
        <v>0</v>
      </c>
      <c r="AD42" s="1284"/>
      <c r="AE42" s="1213">
        <f t="shared" si="59"/>
        <v>0</v>
      </c>
      <c r="AF42" s="1213">
        <f t="shared" si="60"/>
        <v>2116600</v>
      </c>
      <c r="AG42" s="1213">
        <f t="shared" si="61"/>
        <v>-4479483</v>
      </c>
      <c r="AH42" s="2919">
        <f t="shared" si="62"/>
        <v>0</v>
      </c>
      <c r="AI42" s="1834">
        <f t="shared" si="63"/>
        <v>0.99311548603877708</v>
      </c>
      <c r="AJ42" s="417">
        <f t="shared" si="64"/>
        <v>146256999</v>
      </c>
      <c r="AK42" s="430"/>
      <c r="AL42" s="439"/>
    </row>
    <row r="43" spans="1:38" ht="15">
      <c r="A43" s="2934"/>
      <c r="B43" s="2948" t="s">
        <v>178</v>
      </c>
      <c r="C43" s="1290" t="s">
        <v>8</v>
      </c>
      <c r="D43" s="1227">
        <v>45325502</v>
      </c>
      <c r="E43" s="2719">
        <v>38153577</v>
      </c>
      <c r="F43" s="1227">
        <v>63578031</v>
      </c>
      <c r="G43" s="1227">
        <f>+F43</f>
        <v>63578031</v>
      </c>
      <c r="H43" s="1227">
        <f>+G43+202748</f>
        <v>63780779</v>
      </c>
      <c r="I43" s="1227">
        <f>+H43+27300+824960</f>
        <v>64633039</v>
      </c>
      <c r="J43" s="1227">
        <f t="shared" si="65"/>
        <v>64633039</v>
      </c>
      <c r="K43" s="3209">
        <v>54665493</v>
      </c>
      <c r="L43" s="1227">
        <v>0</v>
      </c>
      <c r="M43" s="1227">
        <f t="shared" si="66"/>
        <v>0</v>
      </c>
      <c r="N43" s="1227">
        <f t="shared" si="66"/>
        <v>0</v>
      </c>
      <c r="O43" s="1227">
        <f t="shared" si="66"/>
        <v>0</v>
      </c>
      <c r="P43" s="1227">
        <f t="shared" si="66"/>
        <v>0</v>
      </c>
      <c r="Q43" s="1227">
        <v>0</v>
      </c>
      <c r="R43" s="1227">
        <f>+F43</f>
        <v>63578031</v>
      </c>
      <c r="S43" s="1227">
        <f t="shared" si="67"/>
        <v>63578031</v>
      </c>
      <c r="T43" s="1227">
        <f>+S43+202748</f>
        <v>63780779</v>
      </c>
      <c r="U43" s="1227">
        <f>+T43+27300+824960</f>
        <v>64633039</v>
      </c>
      <c r="V43" s="1227">
        <f t="shared" si="67"/>
        <v>64633039</v>
      </c>
      <c r="W43" s="1227">
        <f>+K43</f>
        <v>54665493</v>
      </c>
      <c r="X43" s="1227"/>
      <c r="Y43" s="1227">
        <f t="shared" si="68"/>
        <v>0</v>
      </c>
      <c r="Z43" s="1227">
        <f t="shared" si="68"/>
        <v>0</v>
      </c>
      <c r="AA43" s="1227">
        <f t="shared" si="68"/>
        <v>0</v>
      </c>
      <c r="AB43" s="1227">
        <f t="shared" si="68"/>
        <v>0</v>
      </c>
      <c r="AC43" s="1227">
        <f t="shared" si="68"/>
        <v>0</v>
      </c>
      <c r="AD43" s="1665"/>
      <c r="AE43" s="1213">
        <f t="shared" si="59"/>
        <v>0</v>
      </c>
      <c r="AF43" s="1213">
        <f t="shared" si="60"/>
        <v>202748</v>
      </c>
      <c r="AG43" s="1213">
        <f t="shared" si="61"/>
        <v>852260</v>
      </c>
      <c r="AH43" s="2919">
        <f t="shared" si="62"/>
        <v>0</v>
      </c>
      <c r="AI43" s="1834">
        <f t="shared" si="63"/>
        <v>0.84578249523436455</v>
      </c>
      <c r="AJ43" s="417">
        <f t="shared" si="64"/>
        <v>18252529</v>
      </c>
      <c r="AK43" s="430"/>
      <c r="AL43" s="439"/>
    </row>
    <row r="44" spans="1:38" ht="15">
      <c r="A44" s="2934"/>
      <c r="B44" s="2948" t="s">
        <v>179</v>
      </c>
      <c r="C44" s="1290" t="s">
        <v>317</v>
      </c>
      <c r="D44" s="1227">
        <v>84953947</v>
      </c>
      <c r="E44" s="2719">
        <v>94076229</v>
      </c>
      <c r="F44" s="1227">
        <v>98317477</v>
      </c>
      <c r="G44" s="1227">
        <f>+F44+889000+819046+1220365</f>
        <v>101245888</v>
      </c>
      <c r="H44" s="1227">
        <f>+G44-239000+2523476</f>
        <v>103530364</v>
      </c>
      <c r="I44" s="1227">
        <f>+H44+165100-130000+8502799+1258116+12867121+2532284</f>
        <v>128725784</v>
      </c>
      <c r="J44" s="1227">
        <f t="shared" si="65"/>
        <v>128725784</v>
      </c>
      <c r="K44" s="3209">
        <v>109179369</v>
      </c>
      <c r="L44" s="1227">
        <v>0</v>
      </c>
      <c r="M44" s="1227">
        <f t="shared" si="66"/>
        <v>0</v>
      </c>
      <c r="N44" s="1227">
        <f t="shared" si="66"/>
        <v>0</v>
      </c>
      <c r="O44" s="1227">
        <f t="shared" si="66"/>
        <v>0</v>
      </c>
      <c r="P44" s="1227">
        <f t="shared" si="66"/>
        <v>0</v>
      </c>
      <c r="Q44" s="1227">
        <v>0</v>
      </c>
      <c r="R44" s="1227">
        <f>+F44</f>
        <v>98317477</v>
      </c>
      <c r="S44" s="1227">
        <f>+R44+889000+819046+1220365</f>
        <v>101245888</v>
      </c>
      <c r="T44" s="1227">
        <f>+S44-239000+2523476</f>
        <v>103530364</v>
      </c>
      <c r="U44" s="1227">
        <f>+T44+165100-130000+8502799+1258116+12867121+2532284</f>
        <v>128725784</v>
      </c>
      <c r="V44" s="1227">
        <f t="shared" si="67"/>
        <v>128725784</v>
      </c>
      <c r="W44" s="1227">
        <f>+K44</f>
        <v>109179369</v>
      </c>
      <c r="X44" s="1227"/>
      <c r="Y44" s="1227">
        <f t="shared" si="68"/>
        <v>0</v>
      </c>
      <c r="Z44" s="1227">
        <f t="shared" si="68"/>
        <v>0</v>
      </c>
      <c r="AA44" s="1227">
        <f t="shared" si="68"/>
        <v>0</v>
      </c>
      <c r="AB44" s="1227">
        <f t="shared" si="68"/>
        <v>0</v>
      </c>
      <c r="AC44" s="1227">
        <f t="shared" si="68"/>
        <v>0</v>
      </c>
      <c r="AD44" s="1284"/>
      <c r="AE44" s="1213">
        <f t="shared" si="59"/>
        <v>2928411</v>
      </c>
      <c r="AF44" s="1213">
        <f t="shared" si="60"/>
        <v>2284476</v>
      </c>
      <c r="AG44" s="1213">
        <f t="shared" si="61"/>
        <v>25195420</v>
      </c>
      <c r="AH44" s="2919">
        <f t="shared" si="62"/>
        <v>0</v>
      </c>
      <c r="AI44" s="1834">
        <f t="shared" si="63"/>
        <v>0.84815462456224</v>
      </c>
      <c r="AJ44" s="417">
        <f t="shared" si="64"/>
        <v>13363530</v>
      </c>
      <c r="AK44" s="430"/>
    </row>
    <row r="45" spans="1:38" s="439" customFormat="1" ht="15">
      <c r="A45" s="2934"/>
      <c r="B45" s="2948" t="s">
        <v>180</v>
      </c>
      <c r="C45" s="1290" t="s">
        <v>318</v>
      </c>
      <c r="D45" s="1227">
        <v>0</v>
      </c>
      <c r="E45" s="2719">
        <v>0</v>
      </c>
      <c r="F45" s="1227">
        <v>0</v>
      </c>
      <c r="G45" s="1227">
        <f t="shared" si="65"/>
        <v>0</v>
      </c>
      <c r="H45" s="1227">
        <f t="shared" si="65"/>
        <v>0</v>
      </c>
      <c r="I45" s="1227">
        <f t="shared" si="65"/>
        <v>0</v>
      </c>
      <c r="J45" s="1227">
        <f t="shared" si="65"/>
        <v>0</v>
      </c>
      <c r="K45" s="3209">
        <v>0</v>
      </c>
      <c r="L45" s="1227">
        <v>0</v>
      </c>
      <c r="M45" s="1227">
        <f t="shared" si="66"/>
        <v>0</v>
      </c>
      <c r="N45" s="1227">
        <f t="shared" si="66"/>
        <v>0</v>
      </c>
      <c r="O45" s="1227">
        <f t="shared" si="66"/>
        <v>0</v>
      </c>
      <c r="P45" s="1227">
        <f t="shared" si="66"/>
        <v>0</v>
      </c>
      <c r="Q45" s="1227">
        <v>0</v>
      </c>
      <c r="R45" s="1227">
        <v>0</v>
      </c>
      <c r="S45" s="1227">
        <f t="shared" si="67"/>
        <v>0</v>
      </c>
      <c r="T45" s="1227">
        <f t="shared" si="67"/>
        <v>0</v>
      </c>
      <c r="U45" s="1227">
        <f t="shared" si="67"/>
        <v>0</v>
      </c>
      <c r="V45" s="1227">
        <f t="shared" si="67"/>
        <v>0</v>
      </c>
      <c r="W45" s="1227">
        <f>+K45</f>
        <v>0</v>
      </c>
      <c r="X45" s="1227"/>
      <c r="Y45" s="1227">
        <f t="shared" si="68"/>
        <v>0</v>
      </c>
      <c r="Z45" s="1227">
        <f t="shared" si="68"/>
        <v>0</v>
      </c>
      <c r="AA45" s="1227">
        <f t="shared" si="68"/>
        <v>0</v>
      </c>
      <c r="AB45" s="1227">
        <f t="shared" si="68"/>
        <v>0</v>
      </c>
      <c r="AC45" s="1227">
        <f t="shared" si="68"/>
        <v>0</v>
      </c>
      <c r="AD45" s="1284"/>
      <c r="AE45" s="1213">
        <f t="shared" si="59"/>
        <v>0</v>
      </c>
      <c r="AF45" s="1213">
        <f t="shared" si="60"/>
        <v>0</v>
      </c>
      <c r="AG45" s="1213">
        <f t="shared" si="61"/>
        <v>0</v>
      </c>
      <c r="AH45" s="2919">
        <f t="shared" si="62"/>
        <v>0</v>
      </c>
      <c r="AI45" s="1834"/>
      <c r="AJ45" s="417">
        <f t="shared" si="64"/>
        <v>0</v>
      </c>
      <c r="AK45" s="430"/>
    </row>
    <row r="46" spans="1:38" ht="15">
      <c r="A46" s="2934"/>
      <c r="B46" s="1477" t="s">
        <v>181</v>
      </c>
      <c r="C46" s="1286" t="s">
        <v>3319</v>
      </c>
      <c r="D46" s="1227">
        <v>0</v>
      </c>
      <c r="E46" s="2719">
        <v>19789086</v>
      </c>
      <c r="F46" s="1227">
        <v>0</v>
      </c>
      <c r="G46" s="1227">
        <f>+F46+8596086+27432+277368</f>
        <v>8900886</v>
      </c>
      <c r="H46" s="1227">
        <f t="shared" si="65"/>
        <v>8900886</v>
      </c>
      <c r="I46" s="1227">
        <f t="shared" si="65"/>
        <v>8900886</v>
      </c>
      <c r="J46" s="1227">
        <f t="shared" si="65"/>
        <v>8900886</v>
      </c>
      <c r="K46" s="3209">
        <v>8900886</v>
      </c>
      <c r="L46" s="1227">
        <v>0</v>
      </c>
      <c r="M46" s="1227">
        <f t="shared" si="66"/>
        <v>0</v>
      </c>
      <c r="N46" s="1227">
        <f t="shared" si="66"/>
        <v>0</v>
      </c>
      <c r="O46" s="1227">
        <f t="shared" si="66"/>
        <v>0</v>
      </c>
      <c r="P46" s="1227">
        <f t="shared" si="66"/>
        <v>0</v>
      </c>
      <c r="Q46" s="1227">
        <v>0</v>
      </c>
      <c r="R46" s="1227">
        <v>0</v>
      </c>
      <c r="S46" s="1227">
        <f>+R46+8596086+27432+277368</f>
        <v>8900886</v>
      </c>
      <c r="T46" s="1227">
        <f t="shared" si="67"/>
        <v>8900886</v>
      </c>
      <c r="U46" s="1227">
        <f t="shared" si="67"/>
        <v>8900886</v>
      </c>
      <c r="V46" s="1227">
        <f t="shared" si="67"/>
        <v>8900886</v>
      </c>
      <c r="W46" s="1227">
        <f>+K46</f>
        <v>8900886</v>
      </c>
      <c r="X46" s="1227"/>
      <c r="Y46" s="1227">
        <f t="shared" si="68"/>
        <v>0</v>
      </c>
      <c r="Z46" s="1227">
        <f t="shared" si="68"/>
        <v>0</v>
      </c>
      <c r="AA46" s="1227">
        <f t="shared" si="68"/>
        <v>0</v>
      </c>
      <c r="AB46" s="1227">
        <f t="shared" si="68"/>
        <v>0</v>
      </c>
      <c r="AC46" s="1227">
        <f t="shared" si="68"/>
        <v>0</v>
      </c>
      <c r="AD46" s="2947"/>
      <c r="AE46" s="1213">
        <f t="shared" si="59"/>
        <v>8900886</v>
      </c>
      <c r="AF46" s="1213">
        <f t="shared" si="60"/>
        <v>0</v>
      </c>
      <c r="AG46" s="1213">
        <f t="shared" si="61"/>
        <v>0</v>
      </c>
      <c r="AH46" s="2919">
        <f t="shared" si="62"/>
        <v>0</v>
      </c>
      <c r="AI46" s="1834">
        <f t="shared" si="63"/>
        <v>1</v>
      </c>
      <c r="AJ46" s="417">
        <f t="shared" si="64"/>
        <v>0</v>
      </c>
      <c r="AK46" s="430"/>
    </row>
    <row r="47" spans="1:38" ht="15">
      <c r="A47" s="2934" t="s">
        <v>12</v>
      </c>
      <c r="B47" s="2946" t="s">
        <v>12</v>
      </c>
      <c r="C47" s="1292" t="s">
        <v>1292</v>
      </c>
      <c r="D47" s="1213">
        <f t="shared" ref="D47:AC47" si="69">SUM(D48:D50)</f>
        <v>762000</v>
      </c>
      <c r="E47" s="2715">
        <f t="shared" si="69"/>
        <v>9887309</v>
      </c>
      <c r="F47" s="1213">
        <f t="shared" si="69"/>
        <v>495300</v>
      </c>
      <c r="G47" s="1213">
        <f t="shared" si="69"/>
        <v>495300</v>
      </c>
      <c r="H47" s="1213">
        <f t="shared" si="69"/>
        <v>495300</v>
      </c>
      <c r="I47" s="1213">
        <f t="shared" si="69"/>
        <v>3126430</v>
      </c>
      <c r="J47" s="1213">
        <f t="shared" si="69"/>
        <v>3126430</v>
      </c>
      <c r="K47" s="3208">
        <f>SUM(K48:K50)</f>
        <v>1518280</v>
      </c>
      <c r="L47" s="1213">
        <f t="shared" si="69"/>
        <v>0</v>
      </c>
      <c r="M47" s="1213">
        <f t="shared" si="69"/>
        <v>0</v>
      </c>
      <c r="N47" s="1213">
        <f t="shared" si="69"/>
        <v>0</v>
      </c>
      <c r="O47" s="1213">
        <f t="shared" si="69"/>
        <v>0</v>
      </c>
      <c r="P47" s="1213">
        <f t="shared" si="69"/>
        <v>0</v>
      </c>
      <c r="Q47" s="1213">
        <f t="shared" si="69"/>
        <v>0</v>
      </c>
      <c r="R47" s="1213">
        <f t="shared" si="69"/>
        <v>495300</v>
      </c>
      <c r="S47" s="1213">
        <f t="shared" si="69"/>
        <v>495300</v>
      </c>
      <c r="T47" s="1213">
        <f t="shared" si="69"/>
        <v>495300</v>
      </c>
      <c r="U47" s="1213">
        <f t="shared" si="69"/>
        <v>3126430</v>
      </c>
      <c r="V47" s="1213">
        <f t="shared" si="69"/>
        <v>3126430</v>
      </c>
      <c r="W47" s="1213">
        <f t="shared" si="69"/>
        <v>1518280</v>
      </c>
      <c r="X47" s="1213">
        <f t="shared" si="69"/>
        <v>0</v>
      </c>
      <c r="Y47" s="1213">
        <f t="shared" si="69"/>
        <v>0</v>
      </c>
      <c r="Z47" s="1213">
        <f t="shared" si="69"/>
        <v>0</v>
      </c>
      <c r="AA47" s="1213">
        <f t="shared" si="69"/>
        <v>0</v>
      </c>
      <c r="AB47" s="1213">
        <f t="shared" si="69"/>
        <v>0</v>
      </c>
      <c r="AC47" s="1213">
        <f t="shared" si="69"/>
        <v>0</v>
      </c>
      <c r="AD47" s="1284"/>
      <c r="AE47" s="1213">
        <f t="shared" si="59"/>
        <v>0</v>
      </c>
      <c r="AF47" s="1213">
        <f t="shared" si="60"/>
        <v>0</v>
      </c>
      <c r="AG47" s="1213">
        <f t="shared" si="61"/>
        <v>2631130</v>
      </c>
      <c r="AH47" s="2919">
        <f t="shared" si="62"/>
        <v>0</v>
      </c>
      <c r="AI47" s="1829">
        <f t="shared" si="63"/>
        <v>0.48562737691232494</v>
      </c>
      <c r="AJ47" s="417">
        <f t="shared" si="64"/>
        <v>-266700</v>
      </c>
      <c r="AK47" s="412"/>
    </row>
    <row r="48" spans="1:38" ht="15">
      <c r="A48" s="2934"/>
      <c r="B48" s="2948" t="s">
        <v>185</v>
      </c>
      <c r="C48" s="1290" t="s">
        <v>82</v>
      </c>
      <c r="D48" s="1227">
        <v>762000</v>
      </c>
      <c r="E48" s="2719">
        <v>9887309</v>
      </c>
      <c r="F48" s="1227">
        <v>495300</v>
      </c>
      <c r="G48" s="1227">
        <f>+F48</f>
        <v>495300</v>
      </c>
      <c r="H48" s="1227">
        <f>+G48</f>
        <v>495300</v>
      </c>
      <c r="I48" s="1227">
        <f>+H48+2441550+130000+59580</f>
        <v>3126430</v>
      </c>
      <c r="J48" s="1227">
        <f t="shared" ref="G48:J51" si="70">+I48</f>
        <v>3126430</v>
      </c>
      <c r="K48" s="3209">
        <v>1518280</v>
      </c>
      <c r="L48" s="1227">
        <v>0</v>
      </c>
      <c r="M48" s="1227">
        <f t="shared" ref="M48:P51" si="71">+L48</f>
        <v>0</v>
      </c>
      <c r="N48" s="1227">
        <f t="shared" si="71"/>
        <v>0</v>
      </c>
      <c r="O48" s="1227">
        <f t="shared" si="71"/>
        <v>0</v>
      </c>
      <c r="P48" s="1227">
        <f t="shared" si="71"/>
        <v>0</v>
      </c>
      <c r="Q48" s="1227">
        <v>0</v>
      </c>
      <c r="R48" s="1227">
        <f>+F48</f>
        <v>495300</v>
      </c>
      <c r="S48" s="1227">
        <f>+R48</f>
        <v>495300</v>
      </c>
      <c r="T48" s="1227">
        <f>+S48</f>
        <v>495300</v>
      </c>
      <c r="U48" s="1227">
        <f>+T48+2441550+130000+59580</f>
        <v>3126430</v>
      </c>
      <c r="V48" s="1227">
        <f t="shared" ref="S48:V51" si="72">+U48</f>
        <v>3126430</v>
      </c>
      <c r="W48" s="1227">
        <f>+K48</f>
        <v>1518280</v>
      </c>
      <c r="X48" s="1227"/>
      <c r="Y48" s="1227">
        <f t="shared" ref="Y48:AC51" si="73">+X48</f>
        <v>0</v>
      </c>
      <c r="Z48" s="1227">
        <f t="shared" si="73"/>
        <v>0</v>
      </c>
      <c r="AA48" s="1227">
        <f t="shared" si="73"/>
        <v>0</v>
      </c>
      <c r="AB48" s="1227">
        <f t="shared" si="73"/>
        <v>0</v>
      </c>
      <c r="AC48" s="1227">
        <f t="shared" si="73"/>
        <v>0</v>
      </c>
      <c r="AD48" s="2966"/>
      <c r="AE48" s="1213">
        <f t="shared" si="59"/>
        <v>0</v>
      </c>
      <c r="AF48" s="1213">
        <f t="shared" si="60"/>
        <v>0</v>
      </c>
      <c r="AG48" s="1213">
        <f t="shared" si="61"/>
        <v>2631130</v>
      </c>
      <c r="AH48" s="2919">
        <f t="shared" si="62"/>
        <v>0</v>
      </c>
      <c r="AI48" s="1834">
        <f t="shared" si="63"/>
        <v>0.48562737691232494</v>
      </c>
      <c r="AJ48" s="417">
        <f t="shared" si="64"/>
        <v>-266700</v>
      </c>
      <c r="AK48" s="430"/>
    </row>
    <row r="49" spans="1:37" ht="15">
      <c r="A49" s="2934"/>
      <c r="B49" s="2948" t="s">
        <v>187</v>
      </c>
      <c r="C49" s="1290" t="s">
        <v>344</v>
      </c>
      <c r="D49" s="1227">
        <v>0</v>
      </c>
      <c r="E49" s="2719">
        <v>0</v>
      </c>
      <c r="F49" s="1227">
        <v>0</v>
      </c>
      <c r="G49" s="1227">
        <f t="shared" si="70"/>
        <v>0</v>
      </c>
      <c r="H49" s="1227">
        <f t="shared" si="70"/>
        <v>0</v>
      </c>
      <c r="I49" s="1227">
        <f t="shared" si="70"/>
        <v>0</v>
      </c>
      <c r="J49" s="1227">
        <f t="shared" si="70"/>
        <v>0</v>
      </c>
      <c r="K49" s="3209">
        <v>0</v>
      </c>
      <c r="L49" s="1227">
        <v>0</v>
      </c>
      <c r="M49" s="1227">
        <f t="shared" si="71"/>
        <v>0</v>
      </c>
      <c r="N49" s="1227">
        <f t="shared" si="71"/>
        <v>0</v>
      </c>
      <c r="O49" s="1227">
        <f t="shared" si="71"/>
        <v>0</v>
      </c>
      <c r="P49" s="1227">
        <f t="shared" si="71"/>
        <v>0</v>
      </c>
      <c r="Q49" s="1227">
        <v>0</v>
      </c>
      <c r="R49" s="1227">
        <f>+F49</f>
        <v>0</v>
      </c>
      <c r="S49" s="1227">
        <f t="shared" si="72"/>
        <v>0</v>
      </c>
      <c r="T49" s="1227">
        <f t="shared" si="72"/>
        <v>0</v>
      </c>
      <c r="U49" s="1227">
        <f t="shared" si="72"/>
        <v>0</v>
      </c>
      <c r="V49" s="1227">
        <f t="shared" si="72"/>
        <v>0</v>
      </c>
      <c r="W49" s="1227">
        <f>+K49</f>
        <v>0</v>
      </c>
      <c r="X49" s="1227"/>
      <c r="Y49" s="1227">
        <f t="shared" si="73"/>
        <v>0</v>
      </c>
      <c r="Z49" s="1227">
        <f t="shared" si="73"/>
        <v>0</v>
      </c>
      <c r="AA49" s="1227">
        <f t="shared" si="73"/>
        <v>0</v>
      </c>
      <c r="AB49" s="1227">
        <f t="shared" si="73"/>
        <v>0</v>
      </c>
      <c r="AC49" s="1227">
        <f t="shared" si="73"/>
        <v>0</v>
      </c>
      <c r="AD49" s="1284"/>
      <c r="AE49" s="1213">
        <f t="shared" si="59"/>
        <v>0</v>
      </c>
      <c r="AF49" s="1213">
        <f t="shared" si="60"/>
        <v>0</v>
      </c>
      <c r="AG49" s="1213">
        <f t="shared" si="61"/>
        <v>0</v>
      </c>
      <c r="AH49" s="2919">
        <f t="shared" si="62"/>
        <v>0</v>
      </c>
      <c r="AI49" s="1834"/>
      <c r="AJ49" s="417">
        <f t="shared" si="64"/>
        <v>0</v>
      </c>
      <c r="AK49" s="430"/>
    </row>
    <row r="50" spans="1:37" ht="15">
      <c r="A50" s="2934"/>
      <c r="B50" s="1477" t="s">
        <v>189</v>
      </c>
      <c r="C50" s="1286" t="s">
        <v>1293</v>
      </c>
      <c r="D50" s="1227">
        <v>0</v>
      </c>
      <c r="E50" s="2719">
        <v>0</v>
      </c>
      <c r="F50" s="1227">
        <v>0</v>
      </c>
      <c r="G50" s="1227">
        <f t="shared" si="70"/>
        <v>0</v>
      </c>
      <c r="H50" s="1227">
        <f t="shared" si="70"/>
        <v>0</v>
      </c>
      <c r="I50" s="1227">
        <f t="shared" si="70"/>
        <v>0</v>
      </c>
      <c r="J50" s="1227">
        <f t="shared" si="70"/>
        <v>0</v>
      </c>
      <c r="K50" s="3209">
        <v>0</v>
      </c>
      <c r="L50" s="1227">
        <v>0</v>
      </c>
      <c r="M50" s="1227">
        <f t="shared" si="71"/>
        <v>0</v>
      </c>
      <c r="N50" s="1227">
        <f t="shared" si="71"/>
        <v>0</v>
      </c>
      <c r="O50" s="1227">
        <f t="shared" si="71"/>
        <v>0</v>
      </c>
      <c r="P50" s="1227">
        <f t="shared" si="71"/>
        <v>0</v>
      </c>
      <c r="Q50" s="1227">
        <v>0</v>
      </c>
      <c r="R50" s="1227">
        <v>0</v>
      </c>
      <c r="S50" s="1227">
        <f t="shared" si="72"/>
        <v>0</v>
      </c>
      <c r="T50" s="1227">
        <f t="shared" si="72"/>
        <v>0</v>
      </c>
      <c r="U50" s="1227">
        <f t="shared" si="72"/>
        <v>0</v>
      </c>
      <c r="V50" s="1227">
        <f t="shared" si="72"/>
        <v>0</v>
      </c>
      <c r="W50" s="1227">
        <f>+K50</f>
        <v>0</v>
      </c>
      <c r="X50" s="1227"/>
      <c r="Y50" s="1227">
        <f t="shared" si="73"/>
        <v>0</v>
      </c>
      <c r="Z50" s="1227">
        <f t="shared" si="73"/>
        <v>0</v>
      </c>
      <c r="AA50" s="1227">
        <f t="shared" si="73"/>
        <v>0</v>
      </c>
      <c r="AB50" s="1227">
        <f t="shared" si="73"/>
        <v>0</v>
      </c>
      <c r="AC50" s="1227">
        <f t="shared" si="73"/>
        <v>0</v>
      </c>
      <c r="AD50" s="1284"/>
      <c r="AE50" s="1213">
        <f t="shared" si="59"/>
        <v>0</v>
      </c>
      <c r="AF50" s="1213">
        <f t="shared" si="60"/>
        <v>0</v>
      </c>
      <c r="AG50" s="1213">
        <f t="shared" si="61"/>
        <v>0</v>
      </c>
      <c r="AH50" s="2919">
        <f t="shared" si="62"/>
        <v>0</v>
      </c>
      <c r="AI50" s="1834"/>
      <c r="AJ50" s="417">
        <f t="shared" si="64"/>
        <v>0</v>
      </c>
      <c r="AK50" s="430"/>
    </row>
    <row r="51" spans="1:37" ht="15">
      <c r="A51" s="2934"/>
      <c r="B51" s="1477" t="s">
        <v>191</v>
      </c>
      <c r="C51" s="1290" t="s">
        <v>1294</v>
      </c>
      <c r="D51" s="1227">
        <v>0</v>
      </c>
      <c r="E51" s="2719">
        <v>0</v>
      </c>
      <c r="F51" s="1227">
        <v>0</v>
      </c>
      <c r="G51" s="1227">
        <f t="shared" si="70"/>
        <v>0</v>
      </c>
      <c r="H51" s="1227">
        <f t="shared" si="70"/>
        <v>0</v>
      </c>
      <c r="I51" s="1227">
        <f t="shared" si="70"/>
        <v>0</v>
      </c>
      <c r="J51" s="1227">
        <f t="shared" si="70"/>
        <v>0</v>
      </c>
      <c r="K51" s="3209">
        <v>0</v>
      </c>
      <c r="L51" s="1227">
        <v>0</v>
      </c>
      <c r="M51" s="1227">
        <f t="shared" si="71"/>
        <v>0</v>
      </c>
      <c r="N51" s="1227">
        <f t="shared" si="71"/>
        <v>0</v>
      </c>
      <c r="O51" s="1227">
        <f t="shared" si="71"/>
        <v>0</v>
      </c>
      <c r="P51" s="1227">
        <f t="shared" si="71"/>
        <v>0</v>
      </c>
      <c r="Q51" s="1227">
        <v>0</v>
      </c>
      <c r="R51" s="1227">
        <v>0</v>
      </c>
      <c r="S51" s="1227">
        <f t="shared" si="72"/>
        <v>0</v>
      </c>
      <c r="T51" s="1227">
        <f t="shared" si="72"/>
        <v>0</v>
      </c>
      <c r="U51" s="1227">
        <f t="shared" si="72"/>
        <v>0</v>
      </c>
      <c r="V51" s="1227">
        <f t="shared" si="72"/>
        <v>0</v>
      </c>
      <c r="W51" s="1227">
        <f>+K51</f>
        <v>0</v>
      </c>
      <c r="X51" s="1227"/>
      <c r="Y51" s="1227">
        <f t="shared" si="73"/>
        <v>0</v>
      </c>
      <c r="Z51" s="1227">
        <f t="shared" si="73"/>
        <v>0</v>
      </c>
      <c r="AA51" s="1227">
        <f t="shared" si="73"/>
        <v>0</v>
      </c>
      <c r="AB51" s="1227">
        <f t="shared" si="73"/>
        <v>0</v>
      </c>
      <c r="AC51" s="1227">
        <f t="shared" si="73"/>
        <v>0</v>
      </c>
      <c r="AD51" s="1284"/>
      <c r="AE51" s="1213">
        <f t="shared" si="59"/>
        <v>0</v>
      </c>
      <c r="AF51" s="1213">
        <f t="shared" si="60"/>
        <v>0</v>
      </c>
      <c r="AG51" s="1213">
        <f t="shared" si="61"/>
        <v>0</v>
      </c>
      <c r="AH51" s="2919">
        <f t="shared" si="62"/>
        <v>0</v>
      </c>
      <c r="AI51" s="1834"/>
      <c r="AJ51" s="417">
        <f t="shared" si="64"/>
        <v>0</v>
      </c>
      <c r="AK51" s="430"/>
    </row>
    <row r="52" spans="1:37" ht="15">
      <c r="A52" s="2934" t="s">
        <v>14</v>
      </c>
      <c r="B52" s="1282" t="s">
        <v>14</v>
      </c>
      <c r="C52" s="2950" t="s">
        <v>1295</v>
      </c>
      <c r="D52" s="1298">
        <f t="shared" ref="D52:AC52" si="74">+D41+D47</f>
        <v>414127802</v>
      </c>
      <c r="E52" s="2720">
        <f t="shared" si="74"/>
        <v>467283950</v>
      </c>
      <c r="F52" s="1298">
        <f t="shared" si="74"/>
        <v>591734160</v>
      </c>
      <c r="G52" s="1298">
        <f t="shared" si="74"/>
        <v>603563457</v>
      </c>
      <c r="H52" s="1298">
        <f t="shared" si="74"/>
        <v>608167281</v>
      </c>
      <c r="I52" s="1298">
        <f t="shared" si="74"/>
        <v>632366608</v>
      </c>
      <c r="J52" s="1298">
        <f t="shared" si="74"/>
        <v>632366608</v>
      </c>
      <c r="K52" s="3210">
        <f t="shared" si="74"/>
        <v>598304944</v>
      </c>
      <c r="L52" s="1298">
        <f t="shared" si="74"/>
        <v>0</v>
      </c>
      <c r="M52" s="1298">
        <f t="shared" si="74"/>
        <v>0</v>
      </c>
      <c r="N52" s="1298">
        <f t="shared" si="74"/>
        <v>0</v>
      </c>
      <c r="O52" s="1298">
        <f t="shared" si="74"/>
        <v>0</v>
      </c>
      <c r="P52" s="1298">
        <f t="shared" si="74"/>
        <v>0</v>
      </c>
      <c r="Q52" s="1298">
        <f t="shared" si="74"/>
        <v>0</v>
      </c>
      <c r="R52" s="1298">
        <f t="shared" si="74"/>
        <v>591734160</v>
      </c>
      <c r="S52" s="1298">
        <f t="shared" si="74"/>
        <v>603563457</v>
      </c>
      <c r="T52" s="1298">
        <f t="shared" si="74"/>
        <v>608167281</v>
      </c>
      <c r="U52" s="1298">
        <f t="shared" si="74"/>
        <v>632366608</v>
      </c>
      <c r="V52" s="1298">
        <f t="shared" si="74"/>
        <v>632366608</v>
      </c>
      <c r="W52" s="1298">
        <f t="shared" si="74"/>
        <v>598304944</v>
      </c>
      <c r="X52" s="1298">
        <f t="shared" si="74"/>
        <v>0</v>
      </c>
      <c r="Y52" s="1298">
        <f t="shared" si="74"/>
        <v>0</v>
      </c>
      <c r="Z52" s="1298">
        <f t="shared" si="74"/>
        <v>0</v>
      </c>
      <c r="AA52" s="1298">
        <f t="shared" si="74"/>
        <v>0</v>
      </c>
      <c r="AB52" s="1298">
        <f t="shared" si="74"/>
        <v>0</v>
      </c>
      <c r="AC52" s="1298">
        <f t="shared" si="74"/>
        <v>0</v>
      </c>
      <c r="AD52" s="1284"/>
      <c r="AE52" s="1213">
        <f t="shared" si="59"/>
        <v>11829297</v>
      </c>
      <c r="AF52" s="1213">
        <f t="shared" si="60"/>
        <v>4603824</v>
      </c>
      <c r="AG52" s="1213">
        <f t="shared" si="61"/>
        <v>24199327</v>
      </c>
      <c r="AH52" s="2919">
        <f t="shared" si="62"/>
        <v>0</v>
      </c>
      <c r="AI52" s="1829">
        <f t="shared" si="63"/>
        <v>0.94613620711611013</v>
      </c>
      <c r="AJ52" s="417">
        <f t="shared" si="64"/>
        <v>177606358</v>
      </c>
      <c r="AK52" s="436"/>
    </row>
    <row r="53" spans="1:37" ht="15" hidden="1">
      <c r="A53" s="2935"/>
      <c r="B53" s="1277"/>
      <c r="C53" s="1193"/>
      <c r="D53" s="2971"/>
      <c r="E53" s="2972"/>
      <c r="F53" s="2971"/>
      <c r="G53" s="1299"/>
      <c r="H53" s="1299"/>
      <c r="I53" s="1299"/>
      <c r="J53" s="2971"/>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59"/>
        <v>0</v>
      </c>
      <c r="AF53" s="1213"/>
      <c r="AG53" s="1213">
        <f t="shared" si="61"/>
        <v>0</v>
      </c>
      <c r="AH53" s="2919">
        <f t="shared" si="62"/>
        <v>0</v>
      </c>
      <c r="AI53" s="1860" t="e">
        <f t="shared" si="63"/>
        <v>#DIV/0!</v>
      </c>
      <c r="AJ53" s="417">
        <f t="shared" si="64"/>
        <v>0</v>
      </c>
      <c r="AK53" s="558"/>
    </row>
    <row r="54" spans="1:37" ht="32.25" thickBot="1">
      <c r="A54" s="2936"/>
      <c r="B54" s="2953" t="s">
        <v>15</v>
      </c>
      <c r="C54" s="2954" t="str">
        <f>+'8. mell. Intézmények összesen'!C54</f>
        <v>Létszám előirányzat (státusz) - Teljesítés: Munkajogi zárólétszám (az időszak végén munkaviszonyban állók létszáma)</v>
      </c>
      <c r="D54" s="2955">
        <v>41</v>
      </c>
      <c r="E54" s="2956">
        <v>52</v>
      </c>
      <c r="F54" s="2957">
        <v>50</v>
      </c>
      <c r="G54" s="2957">
        <f>+F54</f>
        <v>50</v>
      </c>
      <c r="H54" s="2957">
        <f>+G54</f>
        <v>50</v>
      </c>
      <c r="I54" s="2957">
        <f>+H54</f>
        <v>50</v>
      </c>
      <c r="J54" s="2957">
        <f>+I54</f>
        <v>50</v>
      </c>
      <c r="K54" s="3212">
        <v>53</v>
      </c>
      <c r="L54" s="2957">
        <v>0</v>
      </c>
      <c r="M54" s="2957">
        <f>+L54</f>
        <v>0</v>
      </c>
      <c r="N54" s="2957">
        <f>+M54</f>
        <v>0</v>
      </c>
      <c r="O54" s="2957">
        <f>+N54</f>
        <v>0</v>
      </c>
      <c r="P54" s="2957">
        <f>+O54</f>
        <v>0</v>
      </c>
      <c r="Q54" s="2957">
        <f>+P54</f>
        <v>0</v>
      </c>
      <c r="R54" s="2957">
        <f>+F54</f>
        <v>50</v>
      </c>
      <c r="S54" s="2957">
        <f>+R54</f>
        <v>50</v>
      </c>
      <c r="T54" s="2957">
        <f>+S54</f>
        <v>50</v>
      </c>
      <c r="U54" s="2957">
        <f>+T54</f>
        <v>50</v>
      </c>
      <c r="V54" s="2957">
        <f>+U54</f>
        <v>50</v>
      </c>
      <c r="W54" s="2957">
        <f>+V54</f>
        <v>50</v>
      </c>
      <c r="X54" s="2957"/>
      <c r="Y54" s="2957">
        <f>+X54</f>
        <v>0</v>
      </c>
      <c r="Z54" s="2957">
        <f>+Y54</f>
        <v>0</v>
      </c>
      <c r="AA54" s="2957">
        <f>+Z54</f>
        <v>0</v>
      </c>
      <c r="AB54" s="2957">
        <f>+AA54</f>
        <v>0</v>
      </c>
      <c r="AC54" s="2957">
        <f>+AB54</f>
        <v>0</v>
      </c>
      <c r="AD54" s="2970"/>
      <c r="AE54" s="2959">
        <f t="shared" si="59"/>
        <v>0</v>
      </c>
      <c r="AF54" s="1213">
        <f>+H54-G54</f>
        <v>0</v>
      </c>
      <c r="AG54" s="1213">
        <f t="shared" si="61"/>
        <v>0</v>
      </c>
      <c r="AH54" s="2943">
        <f t="shared" si="62"/>
        <v>0</v>
      </c>
      <c r="AI54" s="1829">
        <f t="shared" si="63"/>
        <v>1.06</v>
      </c>
      <c r="AJ54" s="550">
        <f t="shared" si="64"/>
        <v>9</v>
      </c>
      <c r="AK54" s="1852"/>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5">+X55</f>
        <v>0</v>
      </c>
      <c r="Z55" s="459">
        <f t="shared" si="75"/>
        <v>0</v>
      </c>
      <c r="AA55" s="459">
        <f t="shared" si="75"/>
        <v>0</v>
      </c>
      <c r="AB55" s="459">
        <f t="shared" si="75"/>
        <v>0</v>
      </c>
      <c r="AC55" s="459"/>
      <c r="AD55" s="557"/>
      <c r="AE55" s="555">
        <f t="shared" si="59"/>
        <v>0</v>
      </c>
      <c r="AF55" s="555">
        <f>+H55-G55</f>
        <v>0</v>
      </c>
      <c r="AG55" s="555">
        <f t="shared" si="61"/>
        <v>0</v>
      </c>
      <c r="AH55" s="555">
        <f t="shared" si="62"/>
        <v>0</v>
      </c>
      <c r="AI55" s="553"/>
      <c r="AJ55" s="417">
        <f>+F55-D55</f>
        <v>0</v>
      </c>
    </row>
    <row r="56" spans="1:37" ht="25.5" hidden="1" customHeight="1">
      <c r="A56" s="3662" t="s">
        <v>486</v>
      </c>
      <c r="B56" s="3662"/>
      <c r="C56" s="556" t="s">
        <v>1297</v>
      </c>
      <c r="D56" s="556"/>
      <c r="E56" s="556"/>
      <c r="F56" s="556"/>
      <c r="G56" s="461"/>
      <c r="H56" s="461"/>
      <c r="I56" s="461"/>
      <c r="J56" s="461"/>
      <c r="K56" s="3214"/>
      <c r="L56" s="460"/>
      <c r="M56" s="460"/>
      <c r="N56" s="460"/>
      <c r="O56" s="460"/>
      <c r="P56" s="460"/>
      <c r="Q56" s="460"/>
      <c r="R56" s="460"/>
      <c r="S56" s="553"/>
      <c r="T56" s="553"/>
      <c r="U56" s="553"/>
      <c r="V56" s="553">
        <f>+U56</f>
        <v>0</v>
      </c>
      <c r="W56" s="553"/>
      <c r="X56" s="460"/>
      <c r="Y56" s="459">
        <f t="shared" si="75"/>
        <v>0</v>
      </c>
      <c r="Z56" s="459">
        <f t="shared" si="75"/>
        <v>0</v>
      </c>
      <c r="AA56" s="459">
        <f t="shared" si="75"/>
        <v>0</v>
      </c>
      <c r="AB56" s="459">
        <f t="shared" si="75"/>
        <v>0</v>
      </c>
      <c r="AC56" s="459"/>
      <c r="AD56" s="557"/>
      <c r="AE56" s="555">
        <f t="shared" si="59"/>
        <v>0</v>
      </c>
      <c r="AF56" s="555"/>
      <c r="AG56" s="555"/>
      <c r="AH56" s="555"/>
      <c r="AJ56" s="417">
        <f>+F56-D56</f>
        <v>0</v>
      </c>
    </row>
    <row r="57" spans="1:37" ht="15.75">
      <c r="B57" s="3205" t="s">
        <v>17</v>
      </c>
      <c r="C57" s="3207" t="s">
        <v>4053</v>
      </c>
      <c r="D57" s="3206">
        <f t="shared" ref="D57:K57" si="76">+D37-D52</f>
        <v>0</v>
      </c>
      <c r="E57" s="3199">
        <f>+E37-E52</f>
        <v>9719932</v>
      </c>
      <c r="F57" s="3200">
        <f t="shared" si="76"/>
        <v>0.26968002319335938</v>
      </c>
      <c r="G57" s="3201">
        <f t="shared" si="76"/>
        <v>0.26968002319335938</v>
      </c>
      <c r="H57" s="3201">
        <f t="shared" si="76"/>
        <v>0.26968002319335938</v>
      </c>
      <c r="I57" s="3201"/>
      <c r="J57" s="3201">
        <f t="shared" si="76"/>
        <v>0.26968002319335938</v>
      </c>
      <c r="K57" s="2198">
        <f t="shared" si="76"/>
        <v>13473692</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7">+D37-D52</f>
        <v>0</v>
      </c>
      <c r="E60" s="396">
        <f>+E37-E52</f>
        <v>9719932</v>
      </c>
      <c r="F60" s="396">
        <f t="shared" si="77"/>
        <v>0.26968002319335938</v>
      </c>
      <c r="G60" s="396">
        <f t="shared" si="77"/>
        <v>0.26968002319335938</v>
      </c>
      <c r="H60" s="396">
        <f t="shared" si="77"/>
        <v>0.26968002319335938</v>
      </c>
      <c r="I60" s="396">
        <f t="shared" si="77"/>
        <v>0.26968002319335938</v>
      </c>
      <c r="J60" s="460">
        <f t="shared" si="77"/>
        <v>0.26968002319335938</v>
      </c>
      <c r="K60" s="460">
        <f t="shared" si="77"/>
        <v>13473692</v>
      </c>
      <c r="L60" s="460">
        <f t="shared" si="77"/>
        <v>0</v>
      </c>
      <c r="M60" s="460">
        <f t="shared" si="77"/>
        <v>0</v>
      </c>
      <c r="N60" s="460">
        <f t="shared" si="77"/>
        <v>0</v>
      </c>
      <c r="O60" s="460">
        <f t="shared" si="77"/>
        <v>0</v>
      </c>
      <c r="P60" s="460">
        <f t="shared" si="77"/>
        <v>0</v>
      </c>
      <c r="Q60" s="460">
        <f t="shared" si="77"/>
        <v>0</v>
      </c>
      <c r="R60" s="460">
        <f t="shared" si="77"/>
        <v>0.26968002319335938</v>
      </c>
      <c r="S60" s="460">
        <f t="shared" si="77"/>
        <v>0.26968002319335938</v>
      </c>
      <c r="T60" s="460">
        <f t="shared" si="77"/>
        <v>0.26968002319335938</v>
      </c>
      <c r="U60" s="460">
        <f t="shared" si="77"/>
        <v>0.26968002319335938</v>
      </c>
      <c r="V60" s="460">
        <f t="shared" si="77"/>
        <v>0.26968002319335938</v>
      </c>
      <c r="W60" s="460">
        <f t="shared" si="77"/>
        <v>13473692</v>
      </c>
      <c r="X60" s="396">
        <f t="shared" si="77"/>
        <v>0</v>
      </c>
      <c r="Y60" s="396">
        <f t="shared" si="77"/>
        <v>0</v>
      </c>
      <c r="Z60" s="396">
        <f t="shared" si="77"/>
        <v>0</v>
      </c>
      <c r="AA60" s="396">
        <f t="shared" si="77"/>
        <v>0</v>
      </c>
      <c r="AB60" s="396">
        <f t="shared" si="77"/>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kC3GPfOuQTiFXy2TVmCrdfvfGVdCxuaS3HLia3uJft3NOVXKaN0fFQrq3BThwIF++O40LPsqW8Rkrg5KV6VoCg==" saltValue="V6rOt7ei/E2UsoNANsOStA=="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colBreaks count="1" manualBreakCount="1">
    <brk id="32" max="5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101E-1DDA-446A-AE84-7FD540394C71}">
  <sheetPr>
    <tabColor indexed="60"/>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2.14062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16384" width="8" style="396"/>
  </cols>
  <sheetData>
    <row r="1" spans="1:37" s="397" customFormat="1" ht="21" customHeight="1">
      <c r="A1" s="3666" t="s">
        <v>4270</v>
      </c>
      <c r="B1" s="3666"/>
      <c r="C1" s="3666"/>
      <c r="D1" s="3666"/>
      <c r="E1" s="3666"/>
      <c r="F1" s="3666"/>
      <c r="G1" s="3666"/>
      <c r="H1" s="3666"/>
      <c r="I1" s="3666"/>
      <c r="J1" s="3666"/>
      <c r="K1" s="3666"/>
      <c r="L1" s="3666"/>
      <c r="M1" s="3666"/>
      <c r="N1" s="3666"/>
      <c r="O1" s="3666"/>
      <c r="P1" s="3666"/>
      <c r="Q1" s="3666"/>
      <c r="R1" s="3666"/>
      <c r="S1" s="3666"/>
      <c r="T1" s="3666"/>
      <c r="U1" s="3666"/>
      <c r="V1" s="3666"/>
      <c r="W1" s="3666"/>
      <c r="X1" s="3666"/>
      <c r="Y1" s="3666"/>
      <c r="Z1" s="3666"/>
      <c r="AA1" s="3666"/>
      <c r="AB1" s="3666"/>
      <c r="AC1" s="3666"/>
      <c r="AD1" s="3666"/>
      <c r="AE1" s="3666"/>
      <c r="AF1" s="3666"/>
      <c r="AG1" s="3666"/>
      <c r="AH1" s="3666"/>
      <c r="AI1" s="3666"/>
    </row>
    <row r="2" spans="1:37" s="398" customFormat="1" ht="16.5" customHeight="1">
      <c r="A2" s="3661" t="s">
        <v>3430</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v>9939498</v>
      </c>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2.7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AC8" si="0">SUM(D9:D19)</f>
        <v>33360493</v>
      </c>
      <c r="E8" s="2715">
        <f t="shared" si="0"/>
        <v>46374868</v>
      </c>
      <c r="F8" s="1213">
        <f t="shared" si="0"/>
        <v>38101740</v>
      </c>
      <c r="G8" s="1213">
        <f t="shared" si="0"/>
        <v>39664738</v>
      </c>
      <c r="H8" s="1213">
        <f t="shared" si="0"/>
        <v>43094930</v>
      </c>
      <c r="I8" s="1213">
        <f t="shared" si="0"/>
        <v>39968555</v>
      </c>
      <c r="J8" s="1213">
        <f t="shared" si="0"/>
        <v>39968555</v>
      </c>
      <c r="K8" s="3208">
        <f t="shared" si="0"/>
        <v>39968555</v>
      </c>
      <c r="L8" s="1213">
        <f t="shared" si="0"/>
        <v>0</v>
      </c>
      <c r="M8" s="1213">
        <f t="shared" si="0"/>
        <v>0</v>
      </c>
      <c r="N8" s="1213">
        <f t="shared" si="0"/>
        <v>0</v>
      </c>
      <c r="O8" s="1213">
        <f t="shared" si="0"/>
        <v>0</v>
      </c>
      <c r="P8" s="1213">
        <f t="shared" si="0"/>
        <v>0</v>
      </c>
      <c r="Q8" s="1213">
        <f t="shared" si="0"/>
        <v>0</v>
      </c>
      <c r="R8" s="1213">
        <f t="shared" si="0"/>
        <v>38101740</v>
      </c>
      <c r="S8" s="1213">
        <f t="shared" si="0"/>
        <v>39664738</v>
      </c>
      <c r="T8" s="1213">
        <f t="shared" si="0"/>
        <v>43094930</v>
      </c>
      <c r="U8" s="1213">
        <f t="shared" si="0"/>
        <v>39968555</v>
      </c>
      <c r="V8" s="1213">
        <f t="shared" si="0"/>
        <v>39968555</v>
      </c>
      <c r="W8" s="1213">
        <f t="shared" si="0"/>
        <v>39968555</v>
      </c>
      <c r="X8" s="1213">
        <f t="shared" si="0"/>
        <v>0</v>
      </c>
      <c r="Y8" s="1213">
        <f t="shared" si="0"/>
        <v>0</v>
      </c>
      <c r="Z8" s="1213">
        <f t="shared" si="0"/>
        <v>0</v>
      </c>
      <c r="AA8" s="1213">
        <f t="shared" si="0"/>
        <v>0</v>
      </c>
      <c r="AB8" s="1213">
        <f t="shared" si="0"/>
        <v>0</v>
      </c>
      <c r="AC8" s="1213">
        <f t="shared" si="0"/>
        <v>0</v>
      </c>
      <c r="AD8" s="1284"/>
      <c r="AE8" s="1213">
        <f t="shared" ref="AE8:AE56" si="1">+G8-F8</f>
        <v>1562998</v>
      </c>
      <c r="AF8" s="1213">
        <f t="shared" ref="AF8:AF55" si="2">+H8-G8</f>
        <v>3430192</v>
      </c>
      <c r="AG8" s="1213">
        <f t="shared" ref="AG8:AG55" si="3">+I8-H8</f>
        <v>-3126375</v>
      </c>
      <c r="AH8" s="2919">
        <f t="shared" ref="AH8:AH55" si="4">+J8-I8</f>
        <v>0</v>
      </c>
      <c r="AI8" s="1829">
        <f>+K8/I8</f>
        <v>1</v>
      </c>
      <c r="AJ8" s="417">
        <f>+F8-D8</f>
        <v>4741247</v>
      </c>
      <c r="AK8" s="412"/>
    </row>
    <row r="9" spans="1:37" s="416" customFormat="1" ht="15">
      <c r="A9" s="2933"/>
      <c r="B9" s="1285" t="s">
        <v>176</v>
      </c>
      <c r="C9" s="1286" t="s">
        <v>226</v>
      </c>
      <c r="D9" s="1287">
        <v>0</v>
      </c>
      <c r="E9" s="2716">
        <v>0</v>
      </c>
      <c r="F9" s="1287">
        <v>0</v>
      </c>
      <c r="G9" s="1287">
        <f t="shared" ref="G9:G17" si="5">+F9</f>
        <v>0</v>
      </c>
      <c r="H9" s="1287">
        <f t="shared" ref="H9:H19" si="6">+G9</f>
        <v>0</v>
      </c>
      <c r="I9" s="1287">
        <f>+H9</f>
        <v>0</v>
      </c>
      <c r="J9" s="1287">
        <f t="shared" ref="J9:J19" si="7">+I9</f>
        <v>0</v>
      </c>
      <c r="K9" s="3219">
        <v>0</v>
      </c>
      <c r="L9" s="1287">
        <v>0</v>
      </c>
      <c r="M9" s="1287">
        <f t="shared" ref="M9:M17" si="8">+L9</f>
        <v>0</v>
      </c>
      <c r="N9" s="1287">
        <f t="shared" ref="N9:N19" si="9">+M9</f>
        <v>0</v>
      </c>
      <c r="O9" s="1287">
        <f t="shared" ref="O9:O17" si="10">+N9</f>
        <v>0</v>
      </c>
      <c r="P9" s="1287">
        <f t="shared" ref="P9:P17" si="11">+O9</f>
        <v>0</v>
      </c>
      <c r="Q9" s="1287">
        <v>0</v>
      </c>
      <c r="R9" s="1287">
        <v>0</v>
      </c>
      <c r="S9" s="1287">
        <f t="shared" ref="S9:S17" si="12">+R9</f>
        <v>0</v>
      </c>
      <c r="T9" s="1287">
        <f t="shared" ref="T9:T19" si="13">+S9</f>
        <v>0</v>
      </c>
      <c r="U9" s="1287">
        <f>+T9</f>
        <v>0</v>
      </c>
      <c r="V9" s="1287">
        <f t="shared" ref="V9:V17" si="14">+U9</f>
        <v>0</v>
      </c>
      <c r="W9" s="1287">
        <f>+K9</f>
        <v>0</v>
      </c>
      <c r="X9" s="1287"/>
      <c r="Y9" s="1287">
        <f t="shared" ref="Y9:Y17" si="15">+X9</f>
        <v>0</v>
      </c>
      <c r="Z9" s="1287">
        <f t="shared" ref="Z9:Z17" si="16">+Y9</f>
        <v>0</v>
      </c>
      <c r="AA9" s="1287">
        <f t="shared" ref="AA9:AA17" si="17">+Z9</f>
        <v>0</v>
      </c>
      <c r="AB9" s="1287">
        <f t="shared" ref="AB9:AB17" si="18">+AA9</f>
        <v>0</v>
      </c>
      <c r="AC9" s="1287">
        <f t="shared" ref="AC9:AC17" si="19">+AB9</f>
        <v>0</v>
      </c>
      <c r="AD9" s="1284"/>
      <c r="AE9" s="1213">
        <f t="shared" si="1"/>
        <v>0</v>
      </c>
      <c r="AF9" s="1213">
        <f t="shared" si="2"/>
        <v>0</v>
      </c>
      <c r="AG9" s="1213">
        <f t="shared" si="3"/>
        <v>0</v>
      </c>
      <c r="AH9" s="2919">
        <f t="shared" si="4"/>
        <v>0</v>
      </c>
      <c r="AI9" s="1834"/>
      <c r="AJ9" s="417">
        <f t="shared" ref="AJ9:AJ37" si="20">+F9-D9</f>
        <v>0</v>
      </c>
      <c r="AK9" s="420"/>
    </row>
    <row r="10" spans="1:37" s="416" customFormat="1" ht="15">
      <c r="A10" s="2933"/>
      <c r="B10" s="1285" t="s">
        <v>178</v>
      </c>
      <c r="C10" s="1286" t="s">
        <v>228</v>
      </c>
      <c r="D10" s="1287">
        <v>2665044</v>
      </c>
      <c r="E10" s="2716">
        <v>2451734</v>
      </c>
      <c r="F10" s="1287">
        <v>2919235</v>
      </c>
      <c r="G10" s="1287">
        <f t="shared" si="5"/>
        <v>2919235</v>
      </c>
      <c r="H10" s="1287">
        <f t="shared" si="6"/>
        <v>2919235</v>
      </c>
      <c r="I10" s="1287">
        <f>+H10-796068</f>
        <v>2123167</v>
      </c>
      <c r="J10" s="1287">
        <f t="shared" si="7"/>
        <v>2123167</v>
      </c>
      <c r="K10" s="3219">
        <v>2123167</v>
      </c>
      <c r="L10" s="1287">
        <v>0</v>
      </c>
      <c r="M10" s="1287">
        <f t="shared" si="8"/>
        <v>0</v>
      </c>
      <c r="N10" s="1287">
        <f t="shared" si="9"/>
        <v>0</v>
      </c>
      <c r="O10" s="1287">
        <f t="shared" si="10"/>
        <v>0</v>
      </c>
      <c r="P10" s="1287">
        <f t="shared" si="11"/>
        <v>0</v>
      </c>
      <c r="Q10" s="1287">
        <v>0</v>
      </c>
      <c r="R10" s="1287">
        <f>+F10</f>
        <v>2919235</v>
      </c>
      <c r="S10" s="1287">
        <f t="shared" si="12"/>
        <v>2919235</v>
      </c>
      <c r="T10" s="1287">
        <f t="shared" si="13"/>
        <v>2919235</v>
      </c>
      <c r="U10" s="1287">
        <f>+T10-796068</f>
        <v>2123167</v>
      </c>
      <c r="V10" s="1287">
        <f t="shared" si="14"/>
        <v>2123167</v>
      </c>
      <c r="W10" s="1287">
        <f t="shared" ref="W10:W19" si="21">+K10</f>
        <v>2123167</v>
      </c>
      <c r="X10" s="1287"/>
      <c r="Y10" s="1287">
        <f t="shared" si="15"/>
        <v>0</v>
      </c>
      <c r="Z10" s="1287">
        <f t="shared" si="16"/>
        <v>0</v>
      </c>
      <c r="AA10" s="1287">
        <f t="shared" si="17"/>
        <v>0</v>
      </c>
      <c r="AB10" s="1287">
        <f t="shared" si="18"/>
        <v>0</v>
      </c>
      <c r="AC10" s="1287">
        <f t="shared" si="19"/>
        <v>0</v>
      </c>
      <c r="AD10" s="1284"/>
      <c r="AE10" s="1213">
        <f t="shared" si="1"/>
        <v>0</v>
      </c>
      <c r="AF10" s="1213">
        <f t="shared" si="2"/>
        <v>0</v>
      </c>
      <c r="AG10" s="1213">
        <f t="shared" si="3"/>
        <v>-796068</v>
      </c>
      <c r="AH10" s="2919">
        <f t="shared" si="4"/>
        <v>0</v>
      </c>
      <c r="AI10" s="1834">
        <f>+K10/I10</f>
        <v>1</v>
      </c>
      <c r="AJ10" s="417">
        <f t="shared" si="20"/>
        <v>254191</v>
      </c>
      <c r="AK10" s="420"/>
    </row>
    <row r="11" spans="1:37" s="416" customFormat="1" ht="15">
      <c r="A11" s="2933"/>
      <c r="B11" s="1289" t="s">
        <v>179</v>
      </c>
      <c r="C11" s="1286" t="s">
        <v>460</v>
      </c>
      <c r="D11" s="1287">
        <v>9200000</v>
      </c>
      <c r="E11" s="2716">
        <v>10345610</v>
      </c>
      <c r="F11" s="1287">
        <v>11712328</v>
      </c>
      <c r="G11" s="1287">
        <f t="shared" si="5"/>
        <v>11712328</v>
      </c>
      <c r="H11" s="1287">
        <f t="shared" si="6"/>
        <v>11712328</v>
      </c>
      <c r="I11" s="1287">
        <f>+H11-6588323</f>
        <v>5124005</v>
      </c>
      <c r="J11" s="1287">
        <f t="shared" si="7"/>
        <v>5124005</v>
      </c>
      <c r="K11" s="3219">
        <v>5124005</v>
      </c>
      <c r="L11" s="1287">
        <v>0</v>
      </c>
      <c r="M11" s="1287">
        <f t="shared" si="8"/>
        <v>0</v>
      </c>
      <c r="N11" s="1287">
        <f t="shared" si="9"/>
        <v>0</v>
      </c>
      <c r="O11" s="1287">
        <f t="shared" si="10"/>
        <v>0</v>
      </c>
      <c r="P11" s="1287">
        <f t="shared" si="11"/>
        <v>0</v>
      </c>
      <c r="Q11" s="1287">
        <v>0</v>
      </c>
      <c r="R11" s="1287">
        <f>+F11</f>
        <v>11712328</v>
      </c>
      <c r="S11" s="1287">
        <f t="shared" si="12"/>
        <v>11712328</v>
      </c>
      <c r="T11" s="1287">
        <f t="shared" si="13"/>
        <v>11712328</v>
      </c>
      <c r="U11" s="1287">
        <f>+T11-6588323</f>
        <v>5124005</v>
      </c>
      <c r="V11" s="1287">
        <f t="shared" si="14"/>
        <v>5124005</v>
      </c>
      <c r="W11" s="1287">
        <f t="shared" si="21"/>
        <v>5124005</v>
      </c>
      <c r="X11" s="1287"/>
      <c r="Y11" s="1287">
        <f t="shared" si="15"/>
        <v>0</v>
      </c>
      <c r="Z11" s="1287">
        <f t="shared" si="16"/>
        <v>0</v>
      </c>
      <c r="AA11" s="1287">
        <f t="shared" si="17"/>
        <v>0</v>
      </c>
      <c r="AB11" s="1287">
        <f t="shared" si="18"/>
        <v>0</v>
      </c>
      <c r="AC11" s="1287">
        <f t="shared" si="19"/>
        <v>0</v>
      </c>
      <c r="AD11" s="1284"/>
      <c r="AE11" s="1213">
        <f t="shared" si="1"/>
        <v>0</v>
      </c>
      <c r="AF11" s="1213">
        <f t="shared" si="2"/>
        <v>0</v>
      </c>
      <c r="AG11" s="1213">
        <f t="shared" si="3"/>
        <v>-6588323</v>
      </c>
      <c r="AH11" s="2919">
        <f t="shared" si="4"/>
        <v>0</v>
      </c>
      <c r="AI11" s="1834">
        <f>+K11/I11</f>
        <v>1</v>
      </c>
      <c r="AJ11" s="417">
        <f t="shared" si="20"/>
        <v>2512328</v>
      </c>
      <c r="AK11" s="420"/>
    </row>
    <row r="12" spans="1:37" s="416" customFormat="1" ht="15">
      <c r="A12" s="2933"/>
      <c r="B12" s="1289" t="s">
        <v>180</v>
      </c>
      <c r="C12" s="1286" t="s">
        <v>232</v>
      </c>
      <c r="D12" s="1287">
        <v>0</v>
      </c>
      <c r="E12" s="2716">
        <v>0</v>
      </c>
      <c r="F12" s="1287">
        <v>0</v>
      </c>
      <c r="G12" s="1287">
        <f t="shared" si="5"/>
        <v>0</v>
      </c>
      <c r="H12" s="1287">
        <f t="shared" si="6"/>
        <v>0</v>
      </c>
      <c r="I12" s="1287">
        <f>+H12</f>
        <v>0</v>
      </c>
      <c r="J12" s="1287">
        <f t="shared" si="7"/>
        <v>0</v>
      </c>
      <c r="K12" s="3219">
        <v>0</v>
      </c>
      <c r="L12" s="1287">
        <v>0</v>
      </c>
      <c r="M12" s="1287">
        <f t="shared" si="8"/>
        <v>0</v>
      </c>
      <c r="N12" s="1287">
        <f t="shared" si="9"/>
        <v>0</v>
      </c>
      <c r="O12" s="1287">
        <f t="shared" si="10"/>
        <v>0</v>
      </c>
      <c r="P12" s="1287">
        <f t="shared" si="11"/>
        <v>0</v>
      </c>
      <c r="Q12" s="1287">
        <v>0</v>
      </c>
      <c r="R12" s="1287">
        <v>0</v>
      </c>
      <c r="S12" s="1287">
        <f t="shared" si="12"/>
        <v>0</v>
      </c>
      <c r="T12" s="1287">
        <f t="shared" si="13"/>
        <v>0</v>
      </c>
      <c r="U12" s="1287">
        <f>+T12</f>
        <v>0</v>
      </c>
      <c r="V12" s="1287">
        <f t="shared" si="14"/>
        <v>0</v>
      </c>
      <c r="W12" s="1287">
        <f t="shared" si="21"/>
        <v>0</v>
      </c>
      <c r="X12" s="1287"/>
      <c r="Y12" s="1287">
        <f t="shared" si="15"/>
        <v>0</v>
      </c>
      <c r="Z12" s="1287">
        <f t="shared" si="16"/>
        <v>0</v>
      </c>
      <c r="AA12" s="1287">
        <f t="shared" si="17"/>
        <v>0</v>
      </c>
      <c r="AB12" s="1287">
        <f t="shared" si="18"/>
        <v>0</v>
      </c>
      <c r="AC12" s="1287">
        <f t="shared" si="19"/>
        <v>0</v>
      </c>
      <c r="AD12" s="1284"/>
      <c r="AE12" s="1213">
        <f t="shared" si="1"/>
        <v>0</v>
      </c>
      <c r="AF12" s="1213">
        <f t="shared" si="2"/>
        <v>0</v>
      </c>
      <c r="AG12" s="1213">
        <f t="shared" si="3"/>
        <v>0</v>
      </c>
      <c r="AH12" s="2919">
        <f t="shared" si="4"/>
        <v>0</v>
      </c>
      <c r="AI12" s="1834"/>
      <c r="AJ12" s="417">
        <f t="shared" si="20"/>
        <v>0</v>
      </c>
      <c r="AK12" s="420"/>
    </row>
    <row r="13" spans="1:37" s="416" customFormat="1" ht="15">
      <c r="A13" s="2933"/>
      <c r="B13" s="1289" t="s">
        <v>181</v>
      </c>
      <c r="C13" s="1286" t="s">
        <v>234</v>
      </c>
      <c r="D13" s="1287">
        <v>13171908</v>
      </c>
      <c r="E13" s="2716">
        <v>14722753</v>
      </c>
      <c r="F13" s="1287">
        <v>14620818</v>
      </c>
      <c r="G13" s="1287">
        <f t="shared" si="5"/>
        <v>14620818</v>
      </c>
      <c r="H13" s="1287">
        <f t="shared" si="6"/>
        <v>14620818</v>
      </c>
      <c r="I13" s="1287">
        <f>+H13+156571</f>
        <v>14777389</v>
      </c>
      <c r="J13" s="1287">
        <f t="shared" si="7"/>
        <v>14777389</v>
      </c>
      <c r="K13" s="3219">
        <v>14777389</v>
      </c>
      <c r="L13" s="1287">
        <v>0</v>
      </c>
      <c r="M13" s="1287">
        <f t="shared" si="8"/>
        <v>0</v>
      </c>
      <c r="N13" s="1287">
        <f t="shared" si="9"/>
        <v>0</v>
      </c>
      <c r="O13" s="1287">
        <f t="shared" si="10"/>
        <v>0</v>
      </c>
      <c r="P13" s="1287">
        <f t="shared" si="11"/>
        <v>0</v>
      </c>
      <c r="Q13" s="1287">
        <v>0</v>
      </c>
      <c r="R13" s="1287">
        <f>+F13</f>
        <v>14620818</v>
      </c>
      <c r="S13" s="1287">
        <f t="shared" si="12"/>
        <v>14620818</v>
      </c>
      <c r="T13" s="1287">
        <f t="shared" si="13"/>
        <v>14620818</v>
      </c>
      <c r="U13" s="1287">
        <f>+T13+156571</f>
        <v>14777389</v>
      </c>
      <c r="V13" s="1287">
        <f t="shared" si="14"/>
        <v>14777389</v>
      </c>
      <c r="W13" s="1287">
        <f t="shared" si="21"/>
        <v>14777389</v>
      </c>
      <c r="X13" s="1287"/>
      <c r="Y13" s="1287">
        <f t="shared" si="15"/>
        <v>0</v>
      </c>
      <c r="Z13" s="1287">
        <f t="shared" si="16"/>
        <v>0</v>
      </c>
      <c r="AA13" s="1287">
        <f t="shared" si="17"/>
        <v>0</v>
      </c>
      <c r="AB13" s="1287">
        <f t="shared" si="18"/>
        <v>0</v>
      </c>
      <c r="AC13" s="1287">
        <f t="shared" si="19"/>
        <v>0</v>
      </c>
      <c r="AD13" s="1284"/>
      <c r="AE13" s="1213">
        <f t="shared" si="1"/>
        <v>0</v>
      </c>
      <c r="AF13" s="1213">
        <f t="shared" si="2"/>
        <v>0</v>
      </c>
      <c r="AG13" s="1213">
        <f t="shared" si="3"/>
        <v>156571</v>
      </c>
      <c r="AH13" s="2919">
        <f t="shared" si="4"/>
        <v>0</v>
      </c>
      <c r="AI13" s="1834">
        <f>+K13/I13</f>
        <v>1</v>
      </c>
      <c r="AJ13" s="417">
        <f t="shared" si="20"/>
        <v>1448910</v>
      </c>
      <c r="AK13" s="420"/>
    </row>
    <row r="14" spans="1:37" s="416" customFormat="1" ht="15">
      <c r="A14" s="2933"/>
      <c r="B14" s="1289" t="s">
        <v>183</v>
      </c>
      <c r="C14" s="1286" t="s">
        <v>887</v>
      </c>
      <c r="D14" s="1287">
        <v>6759977</v>
      </c>
      <c r="E14" s="2716">
        <v>7733775</v>
      </c>
      <c r="F14" s="1287">
        <v>7898143</v>
      </c>
      <c r="G14" s="1287">
        <f t="shared" si="5"/>
        <v>7898143</v>
      </c>
      <c r="H14" s="1287">
        <f t="shared" si="6"/>
        <v>7898143</v>
      </c>
      <c r="I14" s="1287">
        <f>+H14-2003476</f>
        <v>5894667</v>
      </c>
      <c r="J14" s="1287">
        <f t="shared" si="7"/>
        <v>5894667</v>
      </c>
      <c r="K14" s="3219">
        <v>5894667</v>
      </c>
      <c r="L14" s="1287">
        <v>0</v>
      </c>
      <c r="M14" s="1287">
        <f t="shared" si="8"/>
        <v>0</v>
      </c>
      <c r="N14" s="1287">
        <f t="shared" si="9"/>
        <v>0</v>
      </c>
      <c r="O14" s="1287">
        <f t="shared" si="10"/>
        <v>0</v>
      </c>
      <c r="P14" s="1287">
        <f t="shared" si="11"/>
        <v>0</v>
      </c>
      <c r="Q14" s="1287">
        <v>0</v>
      </c>
      <c r="R14" s="1287">
        <f>+F14</f>
        <v>7898143</v>
      </c>
      <c r="S14" s="1287">
        <f t="shared" si="12"/>
        <v>7898143</v>
      </c>
      <c r="T14" s="1287">
        <f t="shared" si="13"/>
        <v>7898143</v>
      </c>
      <c r="U14" s="1287">
        <f>+T14-2003476</f>
        <v>5894667</v>
      </c>
      <c r="V14" s="1287">
        <f t="shared" si="14"/>
        <v>5894667</v>
      </c>
      <c r="W14" s="1287">
        <f t="shared" si="21"/>
        <v>5894667</v>
      </c>
      <c r="X14" s="1287"/>
      <c r="Y14" s="1287">
        <f t="shared" si="15"/>
        <v>0</v>
      </c>
      <c r="Z14" s="1287">
        <f t="shared" si="16"/>
        <v>0</v>
      </c>
      <c r="AA14" s="1287">
        <f t="shared" si="17"/>
        <v>0</v>
      </c>
      <c r="AB14" s="1287">
        <f t="shared" si="18"/>
        <v>0</v>
      </c>
      <c r="AC14" s="1287">
        <f t="shared" si="19"/>
        <v>0</v>
      </c>
      <c r="AD14" s="1284"/>
      <c r="AE14" s="1213">
        <f t="shared" si="1"/>
        <v>0</v>
      </c>
      <c r="AF14" s="1213">
        <f t="shared" si="2"/>
        <v>0</v>
      </c>
      <c r="AG14" s="1213">
        <f t="shared" si="3"/>
        <v>-2003476</v>
      </c>
      <c r="AH14" s="2919">
        <f t="shared" si="4"/>
        <v>0</v>
      </c>
      <c r="AI14" s="1834">
        <f>+K14/I14</f>
        <v>1</v>
      </c>
      <c r="AJ14" s="417">
        <f t="shared" si="20"/>
        <v>1138166</v>
      </c>
      <c r="AK14" s="420"/>
    </row>
    <row r="15" spans="1:37" s="416" customFormat="1" ht="15">
      <c r="A15" s="2933"/>
      <c r="B15" s="1289" t="s">
        <v>321</v>
      </c>
      <c r="C15" s="1290" t="s">
        <v>238</v>
      </c>
      <c r="D15" s="1287">
        <v>0</v>
      </c>
      <c r="E15" s="2716">
        <v>8072991</v>
      </c>
      <c r="F15" s="1287">
        <v>0</v>
      </c>
      <c r="G15" s="1287">
        <f>+F15+1562998</f>
        <v>1562998</v>
      </c>
      <c r="H15" s="1287">
        <f>+G15+3430192</f>
        <v>4993190</v>
      </c>
      <c r="I15" s="1287">
        <f>+H15+1087447+2318172</f>
        <v>8398809</v>
      </c>
      <c r="J15" s="1287">
        <f t="shared" si="7"/>
        <v>8398809</v>
      </c>
      <c r="K15" s="3219">
        <v>8398809</v>
      </c>
      <c r="L15" s="1287">
        <v>0</v>
      </c>
      <c r="M15" s="1287">
        <f t="shared" si="8"/>
        <v>0</v>
      </c>
      <c r="N15" s="1287">
        <f t="shared" si="9"/>
        <v>0</v>
      </c>
      <c r="O15" s="1287">
        <f t="shared" si="10"/>
        <v>0</v>
      </c>
      <c r="P15" s="1287">
        <f t="shared" si="11"/>
        <v>0</v>
      </c>
      <c r="Q15" s="1287">
        <v>0</v>
      </c>
      <c r="R15" s="1287">
        <v>0</v>
      </c>
      <c r="S15" s="1287">
        <f>+R15+1562998</f>
        <v>1562998</v>
      </c>
      <c r="T15" s="1287">
        <f>+S15+3430192</f>
        <v>4993190</v>
      </c>
      <c r="U15" s="1287">
        <f>+T15+1087447+2318172</f>
        <v>8398809</v>
      </c>
      <c r="V15" s="1287">
        <f t="shared" si="14"/>
        <v>8398809</v>
      </c>
      <c r="W15" s="1287">
        <f t="shared" si="21"/>
        <v>8398809</v>
      </c>
      <c r="X15" s="1287"/>
      <c r="Y15" s="1287">
        <f t="shared" si="15"/>
        <v>0</v>
      </c>
      <c r="Z15" s="1287">
        <f t="shared" si="16"/>
        <v>0</v>
      </c>
      <c r="AA15" s="1287">
        <f t="shared" si="17"/>
        <v>0</v>
      </c>
      <c r="AB15" s="1287">
        <f t="shared" si="18"/>
        <v>0</v>
      </c>
      <c r="AC15" s="1287">
        <f t="shared" si="19"/>
        <v>0</v>
      </c>
      <c r="AD15" s="1665"/>
      <c r="AE15" s="1213">
        <f t="shared" si="1"/>
        <v>1562998</v>
      </c>
      <c r="AF15" s="1213">
        <f t="shared" si="2"/>
        <v>3430192</v>
      </c>
      <c r="AG15" s="1213">
        <f t="shared" si="3"/>
        <v>3405619</v>
      </c>
      <c r="AH15" s="2919">
        <f t="shared" si="4"/>
        <v>0</v>
      </c>
      <c r="AI15" s="1834">
        <f>+K15/I15</f>
        <v>1</v>
      </c>
      <c r="AJ15" s="417">
        <f t="shared" si="20"/>
        <v>0</v>
      </c>
      <c r="AK15" s="420"/>
    </row>
    <row r="16" spans="1:37" s="416" customFormat="1" ht="15">
      <c r="A16" s="2933"/>
      <c r="B16" s="1289" t="s">
        <v>323</v>
      </c>
      <c r="C16" s="1286" t="s">
        <v>1277</v>
      </c>
      <c r="D16" s="1287">
        <v>1563564</v>
      </c>
      <c r="E16" s="2716">
        <v>1472813</v>
      </c>
      <c r="F16" s="1287">
        <v>951216</v>
      </c>
      <c r="G16" s="1287">
        <f>+F16</f>
        <v>951216</v>
      </c>
      <c r="H16" s="1287">
        <f>+G16</f>
        <v>951216</v>
      </c>
      <c r="I16" s="1287">
        <f>+H16-373807</f>
        <v>577409</v>
      </c>
      <c r="J16" s="1287">
        <f t="shared" si="7"/>
        <v>577409</v>
      </c>
      <c r="K16" s="3219">
        <v>577409</v>
      </c>
      <c r="L16" s="1287">
        <v>0</v>
      </c>
      <c r="M16" s="1287">
        <f t="shared" si="8"/>
        <v>0</v>
      </c>
      <c r="N16" s="1287">
        <f t="shared" si="9"/>
        <v>0</v>
      </c>
      <c r="O16" s="1287">
        <f t="shared" si="10"/>
        <v>0</v>
      </c>
      <c r="P16" s="1287">
        <f t="shared" si="11"/>
        <v>0</v>
      </c>
      <c r="Q16" s="1287">
        <v>0</v>
      </c>
      <c r="R16" s="1287">
        <f>+F16</f>
        <v>951216</v>
      </c>
      <c r="S16" s="1287">
        <f t="shared" si="12"/>
        <v>951216</v>
      </c>
      <c r="T16" s="1287">
        <f>+S16</f>
        <v>951216</v>
      </c>
      <c r="U16" s="1287">
        <f>+T16-373807</f>
        <v>577409</v>
      </c>
      <c r="V16" s="1287">
        <f t="shared" si="14"/>
        <v>577409</v>
      </c>
      <c r="W16" s="1287">
        <f t="shared" si="21"/>
        <v>577409</v>
      </c>
      <c r="X16" s="1287"/>
      <c r="Y16" s="1287">
        <f t="shared" si="15"/>
        <v>0</v>
      </c>
      <c r="Z16" s="1287">
        <f t="shared" si="16"/>
        <v>0</v>
      </c>
      <c r="AA16" s="1287">
        <f t="shared" si="17"/>
        <v>0</v>
      </c>
      <c r="AB16" s="1287">
        <f t="shared" si="18"/>
        <v>0</v>
      </c>
      <c r="AC16" s="1287">
        <f t="shared" si="19"/>
        <v>0</v>
      </c>
      <c r="AD16" s="1665"/>
      <c r="AE16" s="1213">
        <f t="shared" si="1"/>
        <v>0</v>
      </c>
      <c r="AF16" s="1213">
        <f t="shared" si="2"/>
        <v>0</v>
      </c>
      <c r="AG16" s="1213">
        <f t="shared" si="3"/>
        <v>-373807</v>
      </c>
      <c r="AH16" s="2919">
        <f t="shared" si="4"/>
        <v>0</v>
      </c>
      <c r="AI16" s="1834">
        <f>+K16/I16</f>
        <v>1</v>
      </c>
      <c r="AJ16" s="417">
        <f t="shared" si="20"/>
        <v>-612348</v>
      </c>
      <c r="AK16" s="420"/>
    </row>
    <row r="17" spans="1:37" s="416" customFormat="1" ht="15">
      <c r="A17" s="2933"/>
      <c r="B17" s="1289" t="s">
        <v>325</v>
      </c>
      <c r="C17" s="1286" t="s">
        <v>242</v>
      </c>
      <c r="D17" s="1287">
        <v>0</v>
      </c>
      <c r="E17" s="2716">
        <v>0</v>
      </c>
      <c r="F17" s="1287">
        <v>0</v>
      </c>
      <c r="G17" s="1287">
        <f t="shared" si="5"/>
        <v>0</v>
      </c>
      <c r="H17" s="1287">
        <f t="shared" si="6"/>
        <v>0</v>
      </c>
      <c r="I17" s="1287">
        <f>+H17</f>
        <v>0</v>
      </c>
      <c r="J17" s="1287">
        <f t="shared" si="7"/>
        <v>0</v>
      </c>
      <c r="K17" s="3219">
        <v>0</v>
      </c>
      <c r="L17" s="1287">
        <v>0</v>
      </c>
      <c r="M17" s="1287">
        <f t="shared" si="8"/>
        <v>0</v>
      </c>
      <c r="N17" s="1287">
        <f t="shared" si="9"/>
        <v>0</v>
      </c>
      <c r="O17" s="1287">
        <f t="shared" si="10"/>
        <v>0</v>
      </c>
      <c r="P17" s="1287">
        <f t="shared" si="11"/>
        <v>0</v>
      </c>
      <c r="Q17" s="1287">
        <v>0</v>
      </c>
      <c r="R17" s="1287">
        <v>0</v>
      </c>
      <c r="S17" s="1287">
        <f t="shared" si="12"/>
        <v>0</v>
      </c>
      <c r="T17" s="1287">
        <f t="shared" si="13"/>
        <v>0</v>
      </c>
      <c r="U17" s="1287">
        <f>+T17</f>
        <v>0</v>
      </c>
      <c r="V17" s="1287">
        <f t="shared" si="14"/>
        <v>0</v>
      </c>
      <c r="W17" s="1287">
        <f t="shared" si="21"/>
        <v>0</v>
      </c>
      <c r="X17" s="1287"/>
      <c r="Y17" s="1287">
        <f t="shared" si="15"/>
        <v>0</v>
      </c>
      <c r="Z17" s="1287">
        <f t="shared" si="16"/>
        <v>0</v>
      </c>
      <c r="AA17" s="1287">
        <f t="shared" si="17"/>
        <v>0</v>
      </c>
      <c r="AB17" s="1287">
        <f t="shared" si="18"/>
        <v>0</v>
      </c>
      <c r="AC17" s="1287">
        <f t="shared" si="19"/>
        <v>0</v>
      </c>
      <c r="AD17" s="1284"/>
      <c r="AE17" s="1213">
        <f t="shared" si="1"/>
        <v>0</v>
      </c>
      <c r="AF17" s="1213">
        <f t="shared" si="2"/>
        <v>0</v>
      </c>
      <c r="AG17" s="1213">
        <f t="shared" si="3"/>
        <v>0</v>
      </c>
      <c r="AH17" s="2919">
        <f t="shared" si="4"/>
        <v>0</v>
      </c>
      <c r="AI17" s="1834"/>
      <c r="AJ17" s="417">
        <f t="shared" si="20"/>
        <v>0</v>
      </c>
      <c r="AK17" s="420"/>
    </row>
    <row r="18" spans="1:37" s="416" customFormat="1" ht="15">
      <c r="A18" s="2933"/>
      <c r="B18" s="1289" t="s">
        <v>327</v>
      </c>
      <c r="C18" s="1286" t="s">
        <v>163</v>
      </c>
      <c r="D18" s="1287">
        <v>0</v>
      </c>
      <c r="E18" s="2716">
        <v>0</v>
      </c>
      <c r="F18" s="1287">
        <v>0</v>
      </c>
      <c r="G18" s="1287">
        <v>0</v>
      </c>
      <c r="H18" s="1287">
        <f t="shared" si="6"/>
        <v>0</v>
      </c>
      <c r="I18" s="1287">
        <v>0</v>
      </c>
      <c r="J18" s="1287">
        <f t="shared" si="7"/>
        <v>0</v>
      </c>
      <c r="K18" s="3219">
        <v>0</v>
      </c>
      <c r="L18" s="1287">
        <v>0</v>
      </c>
      <c r="M18" s="1287">
        <v>0</v>
      </c>
      <c r="N18" s="1287">
        <f t="shared" si="9"/>
        <v>0</v>
      </c>
      <c r="O18" s="1287">
        <v>0</v>
      </c>
      <c r="P18" s="1287"/>
      <c r="Q18" s="1287">
        <v>0</v>
      </c>
      <c r="R18" s="1287">
        <v>0</v>
      </c>
      <c r="S18" s="1287">
        <v>0</v>
      </c>
      <c r="T18" s="1287">
        <f t="shared" si="13"/>
        <v>0</v>
      </c>
      <c r="U18" s="1287">
        <v>0</v>
      </c>
      <c r="V18" s="1287"/>
      <c r="W18" s="1287">
        <f t="shared" si="21"/>
        <v>0</v>
      </c>
      <c r="X18" s="1287"/>
      <c r="Y18" s="1287"/>
      <c r="Z18" s="1287"/>
      <c r="AA18" s="1287"/>
      <c r="AB18" s="1287"/>
      <c r="AC18" s="1287"/>
      <c r="AD18" s="1284"/>
      <c r="AE18" s="1213">
        <f t="shared" si="1"/>
        <v>0</v>
      </c>
      <c r="AF18" s="1213">
        <f t="shared" si="2"/>
        <v>0</v>
      </c>
      <c r="AG18" s="1213">
        <f t="shared" si="3"/>
        <v>0</v>
      </c>
      <c r="AH18" s="2919">
        <f t="shared" si="4"/>
        <v>0</v>
      </c>
      <c r="AI18" s="1834"/>
      <c r="AJ18" s="417">
        <f t="shared" si="20"/>
        <v>0</v>
      </c>
      <c r="AK18" s="420"/>
    </row>
    <row r="19" spans="1:37" s="424" customFormat="1" ht="15">
      <c r="A19" s="2933"/>
      <c r="B19" s="1289" t="s">
        <v>329</v>
      </c>
      <c r="C19" s="1286" t="s">
        <v>162</v>
      </c>
      <c r="D19" s="1287">
        <v>0</v>
      </c>
      <c r="E19" s="2716">
        <v>1575192</v>
      </c>
      <c r="F19" s="1287">
        <v>0</v>
      </c>
      <c r="G19" s="1287">
        <f>+F19</f>
        <v>0</v>
      </c>
      <c r="H19" s="1287">
        <f t="shared" si="6"/>
        <v>0</v>
      </c>
      <c r="I19" s="1287">
        <f>+H19+3073109</f>
        <v>3073109</v>
      </c>
      <c r="J19" s="1287">
        <f t="shared" si="7"/>
        <v>3073109</v>
      </c>
      <c r="K19" s="3219">
        <v>3073109</v>
      </c>
      <c r="L19" s="1287">
        <v>0</v>
      </c>
      <c r="M19" s="1287">
        <f>+L19</f>
        <v>0</v>
      </c>
      <c r="N19" s="1287">
        <f t="shared" si="9"/>
        <v>0</v>
      </c>
      <c r="O19" s="1287">
        <f>+N19</f>
        <v>0</v>
      </c>
      <c r="P19" s="1287">
        <f>+O19</f>
        <v>0</v>
      </c>
      <c r="Q19" s="1287">
        <v>0</v>
      </c>
      <c r="R19" s="1287">
        <v>0</v>
      </c>
      <c r="S19" s="1287">
        <f>+R19</f>
        <v>0</v>
      </c>
      <c r="T19" s="1287">
        <f t="shared" si="13"/>
        <v>0</v>
      </c>
      <c r="U19" s="1287">
        <f>+T19+3073109</f>
        <v>3073109</v>
      </c>
      <c r="V19" s="1287">
        <f>+U19</f>
        <v>3073109</v>
      </c>
      <c r="W19" s="1287">
        <f t="shared" si="21"/>
        <v>3073109</v>
      </c>
      <c r="X19" s="1287"/>
      <c r="Y19" s="1287">
        <f>+X19</f>
        <v>0</v>
      </c>
      <c r="Z19" s="1287">
        <f>+Y19</f>
        <v>0</v>
      </c>
      <c r="AA19" s="1287">
        <f>+Z19</f>
        <v>0</v>
      </c>
      <c r="AB19" s="1287">
        <f>+AA19</f>
        <v>0</v>
      </c>
      <c r="AC19" s="1287">
        <f>+AB19</f>
        <v>0</v>
      </c>
      <c r="AD19" s="1284"/>
      <c r="AE19" s="1213">
        <f t="shared" si="1"/>
        <v>0</v>
      </c>
      <c r="AF19" s="1213">
        <f t="shared" si="2"/>
        <v>0</v>
      </c>
      <c r="AG19" s="1213">
        <f t="shared" si="3"/>
        <v>3073109</v>
      </c>
      <c r="AH19" s="2919">
        <f t="shared" si="4"/>
        <v>0</v>
      </c>
      <c r="AI19" s="1834">
        <f>+K19/I19</f>
        <v>1</v>
      </c>
      <c r="AJ19" s="417">
        <f t="shared" si="20"/>
        <v>0</v>
      </c>
      <c r="AK19" s="420"/>
    </row>
    <row r="20" spans="1:37" s="424" customFormat="1" ht="15">
      <c r="A20" s="2934" t="s">
        <v>12</v>
      </c>
      <c r="B20" s="1282" t="s">
        <v>12</v>
      </c>
      <c r="C20" s="1283" t="s">
        <v>1278</v>
      </c>
      <c r="D20" s="1213">
        <f t="shared" ref="D20:AC20" si="22">SUM(D21:D22)</f>
        <v>0</v>
      </c>
      <c r="E20" s="2715">
        <f t="shared" si="22"/>
        <v>0</v>
      </c>
      <c r="F20" s="1213">
        <f t="shared" si="22"/>
        <v>0</v>
      </c>
      <c r="G20" s="1213">
        <f t="shared" si="22"/>
        <v>0</v>
      </c>
      <c r="H20" s="1213">
        <f t="shared" si="22"/>
        <v>0</v>
      </c>
      <c r="I20" s="1213">
        <f t="shared" si="22"/>
        <v>0</v>
      </c>
      <c r="J20" s="1213">
        <f t="shared" si="22"/>
        <v>0</v>
      </c>
      <c r="K20" s="3208">
        <f>SUM(K21:K22)</f>
        <v>0</v>
      </c>
      <c r="L20" s="1213">
        <f t="shared" si="22"/>
        <v>0</v>
      </c>
      <c r="M20" s="1213">
        <f t="shared" si="22"/>
        <v>0</v>
      </c>
      <c r="N20" s="1213">
        <f t="shared" si="22"/>
        <v>0</v>
      </c>
      <c r="O20" s="1213">
        <f t="shared" si="22"/>
        <v>0</v>
      </c>
      <c r="P20" s="1213">
        <f t="shared" si="22"/>
        <v>0</v>
      </c>
      <c r="Q20" s="1213">
        <f t="shared" si="22"/>
        <v>0</v>
      </c>
      <c r="R20" s="1213">
        <f t="shared" si="22"/>
        <v>0</v>
      </c>
      <c r="S20" s="1213">
        <f t="shared" si="22"/>
        <v>0</v>
      </c>
      <c r="T20" s="1213">
        <f t="shared" si="22"/>
        <v>0</v>
      </c>
      <c r="U20" s="1213">
        <f t="shared" si="22"/>
        <v>0</v>
      </c>
      <c r="V20" s="1213">
        <f t="shared" si="22"/>
        <v>0</v>
      </c>
      <c r="W20" s="1213">
        <f t="shared" si="22"/>
        <v>0</v>
      </c>
      <c r="X20" s="1213">
        <f t="shared" si="22"/>
        <v>0</v>
      </c>
      <c r="Y20" s="1213">
        <f t="shared" si="22"/>
        <v>0</v>
      </c>
      <c r="Z20" s="1213">
        <f t="shared" si="22"/>
        <v>0</v>
      </c>
      <c r="AA20" s="1213">
        <f t="shared" si="22"/>
        <v>0</v>
      </c>
      <c r="AB20" s="1213">
        <f t="shared" si="22"/>
        <v>0</v>
      </c>
      <c r="AC20" s="1213">
        <f t="shared" si="22"/>
        <v>0</v>
      </c>
      <c r="AD20" s="1284"/>
      <c r="AE20" s="1213">
        <f t="shared" si="1"/>
        <v>0</v>
      </c>
      <c r="AF20" s="1213">
        <f t="shared" si="2"/>
        <v>0</v>
      </c>
      <c r="AG20" s="1213">
        <f t="shared" si="3"/>
        <v>0</v>
      </c>
      <c r="AH20" s="2919">
        <f t="shared" si="4"/>
        <v>0</v>
      </c>
      <c r="AI20" s="1829"/>
      <c r="AJ20" s="417">
        <f t="shared" si="20"/>
        <v>0</v>
      </c>
      <c r="AK20" s="412"/>
    </row>
    <row r="21" spans="1:37" s="424" customFormat="1" ht="15">
      <c r="A21" s="2933"/>
      <c r="B21" s="1289" t="s">
        <v>185</v>
      </c>
      <c r="C21" s="1286" t="s">
        <v>247</v>
      </c>
      <c r="D21" s="1287">
        <v>0</v>
      </c>
      <c r="E21" s="2716">
        <v>0</v>
      </c>
      <c r="F21" s="1287">
        <v>0</v>
      </c>
      <c r="G21" s="1287">
        <f t="shared" ref="G21:J22" si="23">+F21</f>
        <v>0</v>
      </c>
      <c r="H21" s="1287">
        <f t="shared" si="23"/>
        <v>0</v>
      </c>
      <c r="I21" s="1287">
        <f t="shared" si="23"/>
        <v>0</v>
      </c>
      <c r="J21" s="1287">
        <f t="shared" si="23"/>
        <v>0</v>
      </c>
      <c r="K21" s="3219">
        <v>0</v>
      </c>
      <c r="L21" s="1287">
        <v>0</v>
      </c>
      <c r="M21" s="1287">
        <f t="shared" ref="M21:P22" si="24">+L21</f>
        <v>0</v>
      </c>
      <c r="N21" s="1287">
        <f t="shared" si="24"/>
        <v>0</v>
      </c>
      <c r="O21" s="1287">
        <f t="shared" si="24"/>
        <v>0</v>
      </c>
      <c r="P21" s="1287">
        <f t="shared" si="24"/>
        <v>0</v>
      </c>
      <c r="Q21" s="1287">
        <v>0</v>
      </c>
      <c r="R21" s="1287">
        <v>0</v>
      </c>
      <c r="S21" s="1287">
        <f t="shared" ref="S21:V22" si="25">+R21</f>
        <v>0</v>
      </c>
      <c r="T21" s="1287">
        <f t="shared" si="25"/>
        <v>0</v>
      </c>
      <c r="U21" s="1287">
        <f t="shared" si="25"/>
        <v>0</v>
      </c>
      <c r="V21" s="1287">
        <f t="shared" si="25"/>
        <v>0</v>
      </c>
      <c r="W21" s="1287">
        <f>+K21</f>
        <v>0</v>
      </c>
      <c r="X21" s="1287"/>
      <c r="Y21" s="1287">
        <f t="shared" ref="Y21:AC22" si="26">+X21</f>
        <v>0</v>
      </c>
      <c r="Z21" s="1287">
        <f t="shared" si="26"/>
        <v>0</v>
      </c>
      <c r="AA21" s="1287">
        <f t="shared" si="26"/>
        <v>0</v>
      </c>
      <c r="AB21" s="1287">
        <f t="shared" si="26"/>
        <v>0</v>
      </c>
      <c r="AC21" s="1287">
        <f t="shared" si="26"/>
        <v>0</v>
      </c>
      <c r="AD21" s="1284"/>
      <c r="AE21" s="1213">
        <f t="shared" si="1"/>
        <v>0</v>
      </c>
      <c r="AF21" s="1213">
        <f t="shared" si="2"/>
        <v>0</v>
      </c>
      <c r="AG21" s="1213">
        <f t="shared" si="3"/>
        <v>0</v>
      </c>
      <c r="AH21" s="2919">
        <f t="shared" si="4"/>
        <v>0</v>
      </c>
      <c r="AI21" s="1834"/>
      <c r="AJ21" s="417">
        <f t="shared" si="20"/>
        <v>0</v>
      </c>
      <c r="AK21" s="420"/>
    </row>
    <row r="22" spans="1:37" s="424" customFormat="1" ht="15">
      <c r="A22" s="2933"/>
      <c r="B22" s="1289" t="s">
        <v>187</v>
      </c>
      <c r="C22" s="1286" t="s">
        <v>155</v>
      </c>
      <c r="D22" s="1287">
        <v>0</v>
      </c>
      <c r="E22" s="2716">
        <v>0</v>
      </c>
      <c r="F22" s="1287">
        <v>0</v>
      </c>
      <c r="G22" s="1287">
        <f t="shared" si="23"/>
        <v>0</v>
      </c>
      <c r="H22" s="1287">
        <f t="shared" si="23"/>
        <v>0</v>
      </c>
      <c r="I22" s="1287">
        <f t="shared" si="23"/>
        <v>0</v>
      </c>
      <c r="J22" s="1287">
        <f t="shared" si="23"/>
        <v>0</v>
      </c>
      <c r="K22" s="3219">
        <v>0</v>
      </c>
      <c r="L22" s="1287">
        <v>0</v>
      </c>
      <c r="M22" s="1287">
        <f t="shared" si="24"/>
        <v>0</v>
      </c>
      <c r="N22" s="1287">
        <f t="shared" si="24"/>
        <v>0</v>
      </c>
      <c r="O22" s="1287">
        <f t="shared" si="24"/>
        <v>0</v>
      </c>
      <c r="P22" s="1287">
        <f t="shared" si="24"/>
        <v>0</v>
      </c>
      <c r="Q22" s="1287">
        <v>0</v>
      </c>
      <c r="R22" s="1287">
        <v>0</v>
      </c>
      <c r="S22" s="1287">
        <f t="shared" si="25"/>
        <v>0</v>
      </c>
      <c r="T22" s="1287">
        <f t="shared" si="25"/>
        <v>0</v>
      </c>
      <c r="U22" s="1287">
        <f t="shared" si="25"/>
        <v>0</v>
      </c>
      <c r="V22" s="1287">
        <f t="shared" si="25"/>
        <v>0</v>
      </c>
      <c r="W22" s="1287">
        <f>+K22</f>
        <v>0</v>
      </c>
      <c r="X22" s="1287"/>
      <c r="Y22" s="1287">
        <f t="shared" si="26"/>
        <v>0</v>
      </c>
      <c r="Z22" s="1287">
        <f t="shared" si="26"/>
        <v>0</v>
      </c>
      <c r="AA22" s="1287">
        <f t="shared" si="26"/>
        <v>0</v>
      </c>
      <c r="AB22" s="1287">
        <f t="shared" si="26"/>
        <v>0</v>
      </c>
      <c r="AC22" s="1287">
        <f t="shared" si="26"/>
        <v>0</v>
      </c>
      <c r="AD22" s="1284"/>
      <c r="AE22" s="1213">
        <f t="shared" si="1"/>
        <v>0</v>
      </c>
      <c r="AF22" s="1213">
        <f t="shared" si="2"/>
        <v>0</v>
      </c>
      <c r="AG22" s="1213">
        <f t="shared" si="3"/>
        <v>0</v>
      </c>
      <c r="AH22" s="2919">
        <f t="shared" si="4"/>
        <v>0</v>
      </c>
      <c r="AI22" s="1834"/>
      <c r="AJ22" s="417">
        <f t="shared" si="20"/>
        <v>0</v>
      </c>
      <c r="AK22" s="420"/>
    </row>
    <row r="23" spans="1:37" s="416" customFormat="1" ht="21">
      <c r="A23" s="2934" t="s">
        <v>14</v>
      </c>
      <c r="B23" s="1282" t="s">
        <v>14</v>
      </c>
      <c r="C23" s="1283" t="s">
        <v>1279</v>
      </c>
      <c r="D23" s="1213">
        <f t="shared" ref="D23:AC23" si="27">D24+D25</f>
        <v>0</v>
      </c>
      <c r="E23" s="2715">
        <f t="shared" si="27"/>
        <v>34177</v>
      </c>
      <c r="F23" s="1213">
        <f t="shared" si="27"/>
        <v>0</v>
      </c>
      <c r="G23" s="1213">
        <f t="shared" si="27"/>
        <v>0</v>
      </c>
      <c r="H23" s="1213">
        <f t="shared" si="27"/>
        <v>0</v>
      </c>
      <c r="I23" s="1213">
        <f t="shared" si="27"/>
        <v>0</v>
      </c>
      <c r="J23" s="1213">
        <f t="shared" si="27"/>
        <v>0</v>
      </c>
      <c r="K23" s="3208">
        <f t="shared" si="27"/>
        <v>0</v>
      </c>
      <c r="L23" s="1213">
        <f t="shared" si="27"/>
        <v>0</v>
      </c>
      <c r="M23" s="1213">
        <f t="shared" si="27"/>
        <v>0</v>
      </c>
      <c r="N23" s="1213">
        <f t="shared" si="27"/>
        <v>0</v>
      </c>
      <c r="O23" s="1213">
        <f t="shared" si="27"/>
        <v>0</v>
      </c>
      <c r="P23" s="1213">
        <f t="shared" si="27"/>
        <v>0</v>
      </c>
      <c r="Q23" s="1213">
        <f t="shared" si="27"/>
        <v>0</v>
      </c>
      <c r="R23" s="1213">
        <f t="shared" si="27"/>
        <v>0</v>
      </c>
      <c r="S23" s="1213">
        <f t="shared" si="27"/>
        <v>0</v>
      </c>
      <c r="T23" s="1213">
        <f t="shared" si="27"/>
        <v>0</v>
      </c>
      <c r="U23" s="1213">
        <f t="shared" si="27"/>
        <v>0</v>
      </c>
      <c r="V23" s="1213">
        <f t="shared" si="27"/>
        <v>0</v>
      </c>
      <c r="W23" s="1213">
        <f t="shared" si="27"/>
        <v>0</v>
      </c>
      <c r="X23" s="1213">
        <f t="shared" si="27"/>
        <v>0</v>
      </c>
      <c r="Y23" s="1213">
        <f t="shared" si="27"/>
        <v>0</v>
      </c>
      <c r="Z23" s="1213">
        <f t="shared" si="27"/>
        <v>0</v>
      </c>
      <c r="AA23" s="1213">
        <f t="shared" si="27"/>
        <v>0</v>
      </c>
      <c r="AB23" s="1213">
        <f t="shared" si="27"/>
        <v>0</v>
      </c>
      <c r="AC23" s="1213">
        <f t="shared" si="27"/>
        <v>0</v>
      </c>
      <c r="AD23" s="1284"/>
      <c r="AE23" s="1213">
        <f t="shared" si="1"/>
        <v>0</v>
      </c>
      <c r="AF23" s="1213">
        <f t="shared" si="2"/>
        <v>0</v>
      </c>
      <c r="AG23" s="1213">
        <f t="shared" si="3"/>
        <v>0</v>
      </c>
      <c r="AH23" s="2919">
        <f t="shared" si="4"/>
        <v>0</v>
      </c>
      <c r="AI23" s="1829"/>
      <c r="AJ23" s="417">
        <f t="shared" si="20"/>
        <v>0</v>
      </c>
      <c r="AK23" s="412"/>
    </row>
    <row r="24" spans="1:37" s="416" customFormat="1" ht="15">
      <c r="A24" s="2934"/>
      <c r="B24" s="1289" t="s">
        <v>198</v>
      </c>
      <c r="C24" s="1284" t="s">
        <v>186</v>
      </c>
      <c r="D24" s="1213">
        <v>0</v>
      </c>
      <c r="E24" s="2715">
        <v>0</v>
      </c>
      <c r="F24" s="1213">
        <v>0</v>
      </c>
      <c r="G24" s="1213">
        <f t="shared" ref="G24:G31" si="28">+F24</f>
        <v>0</v>
      </c>
      <c r="H24" s="1213">
        <f t="shared" ref="H24:H31" si="29">+G24</f>
        <v>0</v>
      </c>
      <c r="I24" s="1213">
        <f t="shared" ref="I24:I31" si="30">+H24</f>
        <v>0</v>
      </c>
      <c r="J24" s="1291">
        <f t="shared" ref="J24:J31" si="31">+I24</f>
        <v>0</v>
      </c>
      <c r="K24" s="3219">
        <f>0</f>
        <v>0</v>
      </c>
      <c r="L24" s="1213">
        <v>0</v>
      </c>
      <c r="M24" s="1213">
        <f t="shared" ref="M24:M31" si="32">+L24</f>
        <v>0</v>
      </c>
      <c r="N24" s="1213">
        <f t="shared" ref="N24:N31" si="33">+M24</f>
        <v>0</v>
      </c>
      <c r="O24" s="1213">
        <f t="shared" ref="O24:O31" si="34">+N24</f>
        <v>0</v>
      </c>
      <c r="P24" s="1213">
        <f t="shared" ref="P24:P31" si="35">+O24</f>
        <v>0</v>
      </c>
      <c r="Q24" s="1213">
        <v>0</v>
      </c>
      <c r="R24" s="1213">
        <v>0</v>
      </c>
      <c r="S24" s="1213">
        <f t="shared" ref="S24:V27" si="36">+R24</f>
        <v>0</v>
      </c>
      <c r="T24" s="1213">
        <f t="shared" si="36"/>
        <v>0</v>
      </c>
      <c r="U24" s="1213">
        <f t="shared" si="36"/>
        <v>0</v>
      </c>
      <c r="V24" s="1213">
        <f t="shared" si="36"/>
        <v>0</v>
      </c>
      <c r="W24" s="1291">
        <f t="shared" ref="W24:W31" si="37">+K24</f>
        <v>0</v>
      </c>
      <c r="X24" s="1213"/>
      <c r="Y24" s="1213">
        <f t="shared" ref="Y24:Y31" si="38">+X24</f>
        <v>0</v>
      </c>
      <c r="Z24" s="1213">
        <f t="shared" ref="Z24:Z31" si="39">+Y24</f>
        <v>0</v>
      </c>
      <c r="AA24" s="1213">
        <f t="shared" ref="AA24:AA31" si="40">+Z24</f>
        <v>0</v>
      </c>
      <c r="AB24" s="1213">
        <f t="shared" ref="AB24:AB31" si="41">+AA24</f>
        <v>0</v>
      </c>
      <c r="AC24" s="1213">
        <f t="shared" ref="AC24:AC31" si="42">+AB24</f>
        <v>0</v>
      </c>
      <c r="AD24" s="1284"/>
      <c r="AE24" s="1213">
        <f t="shared" si="1"/>
        <v>0</v>
      </c>
      <c r="AF24" s="1213">
        <f t="shared" si="2"/>
        <v>0</v>
      </c>
      <c r="AG24" s="1213">
        <f t="shared" si="3"/>
        <v>0</v>
      </c>
      <c r="AH24" s="2919">
        <f t="shared" si="4"/>
        <v>0</v>
      </c>
      <c r="AI24" s="1829"/>
      <c r="AJ24" s="417">
        <f t="shared" si="20"/>
        <v>0</v>
      </c>
      <c r="AK24" s="412"/>
    </row>
    <row r="25" spans="1:37" s="424" customFormat="1" ht="15">
      <c r="A25" s="2933"/>
      <c r="B25" s="1289" t="s">
        <v>200</v>
      </c>
      <c r="C25" s="1286" t="s">
        <v>148</v>
      </c>
      <c r="D25" s="1287">
        <v>0</v>
      </c>
      <c r="E25" s="2716">
        <v>34177</v>
      </c>
      <c r="F25" s="1287">
        <v>0</v>
      </c>
      <c r="G25" s="1213">
        <f t="shared" si="28"/>
        <v>0</v>
      </c>
      <c r="H25" s="1287">
        <f t="shared" si="29"/>
        <v>0</v>
      </c>
      <c r="I25" s="1287">
        <f t="shared" si="30"/>
        <v>0</v>
      </c>
      <c r="J25" s="1291">
        <f t="shared" si="31"/>
        <v>0</v>
      </c>
      <c r="K25" s="3219">
        <v>0</v>
      </c>
      <c r="L25" s="1287">
        <v>0</v>
      </c>
      <c r="M25" s="1287">
        <f t="shared" si="32"/>
        <v>0</v>
      </c>
      <c r="N25" s="1287">
        <f t="shared" si="33"/>
        <v>0</v>
      </c>
      <c r="O25" s="1287">
        <f t="shared" si="34"/>
        <v>0</v>
      </c>
      <c r="P25" s="1287">
        <f t="shared" si="35"/>
        <v>0</v>
      </c>
      <c r="Q25" s="1287">
        <v>0</v>
      </c>
      <c r="R25" s="1287">
        <v>0</v>
      </c>
      <c r="S25" s="1287">
        <f t="shared" si="36"/>
        <v>0</v>
      </c>
      <c r="T25" s="1287">
        <f t="shared" si="36"/>
        <v>0</v>
      </c>
      <c r="U25" s="1287">
        <f t="shared" si="36"/>
        <v>0</v>
      </c>
      <c r="V25" s="1287">
        <f t="shared" si="36"/>
        <v>0</v>
      </c>
      <c r="W25" s="1291">
        <f t="shared" si="37"/>
        <v>0</v>
      </c>
      <c r="X25" s="1287"/>
      <c r="Y25" s="1287">
        <f t="shared" si="38"/>
        <v>0</v>
      </c>
      <c r="Z25" s="1287">
        <f t="shared" si="39"/>
        <v>0</v>
      </c>
      <c r="AA25" s="1287">
        <f t="shared" si="40"/>
        <v>0</v>
      </c>
      <c r="AB25" s="1287">
        <f t="shared" si="41"/>
        <v>0</v>
      </c>
      <c r="AC25" s="1287">
        <f t="shared" si="42"/>
        <v>0</v>
      </c>
      <c r="AD25" s="1284"/>
      <c r="AE25" s="1213">
        <f t="shared" si="1"/>
        <v>0</v>
      </c>
      <c r="AF25" s="1213">
        <f t="shared" si="2"/>
        <v>0</v>
      </c>
      <c r="AG25" s="1213">
        <f t="shared" si="3"/>
        <v>0</v>
      </c>
      <c r="AH25" s="2919">
        <f t="shared" si="4"/>
        <v>0</v>
      </c>
      <c r="AI25" s="1834"/>
      <c r="AJ25" s="417">
        <f t="shared" si="20"/>
        <v>0</v>
      </c>
      <c r="AK25" s="420"/>
    </row>
    <row r="26" spans="1:37" s="424" customFormat="1" ht="15">
      <c r="A26" s="2933"/>
      <c r="B26" s="1289" t="s">
        <v>202</v>
      </c>
      <c r="C26" s="1290" t="s">
        <v>1280</v>
      </c>
      <c r="D26" s="1287">
        <v>0</v>
      </c>
      <c r="E26" s="2716">
        <v>0</v>
      </c>
      <c r="F26" s="1287">
        <v>0</v>
      </c>
      <c r="G26" s="1213">
        <f t="shared" si="28"/>
        <v>0</v>
      </c>
      <c r="H26" s="1213">
        <f t="shared" si="29"/>
        <v>0</v>
      </c>
      <c r="I26" s="1287">
        <f t="shared" si="30"/>
        <v>0</v>
      </c>
      <c r="J26" s="1291">
        <f t="shared" si="31"/>
        <v>0</v>
      </c>
      <c r="K26" s="3219">
        <v>0</v>
      </c>
      <c r="L26" s="1287">
        <v>0</v>
      </c>
      <c r="M26" s="1287">
        <f t="shared" si="32"/>
        <v>0</v>
      </c>
      <c r="N26" s="1287">
        <f t="shared" si="33"/>
        <v>0</v>
      </c>
      <c r="O26" s="1287">
        <f t="shared" si="34"/>
        <v>0</v>
      </c>
      <c r="P26" s="1287">
        <f t="shared" si="35"/>
        <v>0</v>
      </c>
      <c r="Q26" s="1287">
        <v>0</v>
      </c>
      <c r="R26" s="1287">
        <v>0</v>
      </c>
      <c r="S26" s="1287">
        <f t="shared" si="36"/>
        <v>0</v>
      </c>
      <c r="T26" s="1287">
        <f t="shared" si="36"/>
        <v>0</v>
      </c>
      <c r="U26" s="1287">
        <f t="shared" si="36"/>
        <v>0</v>
      </c>
      <c r="V26" s="1287">
        <f t="shared" si="36"/>
        <v>0</v>
      </c>
      <c r="W26" s="1291">
        <f t="shared" si="37"/>
        <v>0</v>
      </c>
      <c r="X26" s="1287"/>
      <c r="Y26" s="1287">
        <f t="shared" si="38"/>
        <v>0</v>
      </c>
      <c r="Z26" s="1287">
        <f t="shared" si="39"/>
        <v>0</v>
      </c>
      <c r="AA26" s="1287">
        <f t="shared" si="40"/>
        <v>0</v>
      </c>
      <c r="AB26" s="1287">
        <f t="shared" si="41"/>
        <v>0</v>
      </c>
      <c r="AC26" s="1287">
        <f t="shared" si="42"/>
        <v>0</v>
      </c>
      <c r="AD26" s="1284"/>
      <c r="AE26" s="1213">
        <f t="shared" si="1"/>
        <v>0</v>
      </c>
      <c r="AF26" s="1213">
        <f t="shared" si="2"/>
        <v>0</v>
      </c>
      <c r="AG26" s="1213">
        <f t="shared" si="3"/>
        <v>0</v>
      </c>
      <c r="AH26" s="2919">
        <f t="shared" si="4"/>
        <v>0</v>
      </c>
      <c r="AI26" s="1834"/>
      <c r="AJ26" s="417">
        <f t="shared" si="20"/>
        <v>0</v>
      </c>
      <c r="AK26" s="420"/>
    </row>
    <row r="27" spans="1:37" s="424" customFormat="1" ht="15">
      <c r="A27" s="2934" t="s">
        <v>15</v>
      </c>
      <c r="B27" s="1282" t="s">
        <v>15</v>
      </c>
      <c r="C27" s="1292" t="s">
        <v>150</v>
      </c>
      <c r="D27" s="1293">
        <v>0</v>
      </c>
      <c r="E27" s="2718">
        <v>0</v>
      </c>
      <c r="F27" s="1293">
        <v>0</v>
      </c>
      <c r="G27" s="1293">
        <f t="shared" si="28"/>
        <v>0</v>
      </c>
      <c r="H27" s="1293">
        <f t="shared" si="29"/>
        <v>0</v>
      </c>
      <c r="I27" s="1293">
        <f t="shared" si="30"/>
        <v>0</v>
      </c>
      <c r="J27" s="1293">
        <f t="shared" si="31"/>
        <v>0</v>
      </c>
      <c r="K27" s="3219">
        <v>0</v>
      </c>
      <c r="L27" s="1293">
        <v>0</v>
      </c>
      <c r="M27" s="1293">
        <f t="shared" si="32"/>
        <v>0</v>
      </c>
      <c r="N27" s="1293">
        <f t="shared" si="33"/>
        <v>0</v>
      </c>
      <c r="O27" s="1293">
        <f t="shared" si="34"/>
        <v>0</v>
      </c>
      <c r="P27" s="1293">
        <f t="shared" si="35"/>
        <v>0</v>
      </c>
      <c r="Q27" s="1293">
        <v>0</v>
      </c>
      <c r="R27" s="1293">
        <v>0</v>
      </c>
      <c r="S27" s="1293">
        <f t="shared" si="36"/>
        <v>0</v>
      </c>
      <c r="T27" s="1293">
        <f t="shared" si="36"/>
        <v>0</v>
      </c>
      <c r="U27" s="1293">
        <f t="shared" si="36"/>
        <v>0</v>
      </c>
      <c r="V27" s="1293">
        <f t="shared" si="36"/>
        <v>0</v>
      </c>
      <c r="W27" s="1293">
        <f t="shared" si="37"/>
        <v>0</v>
      </c>
      <c r="X27" s="1293">
        <f>+V27</f>
        <v>0</v>
      </c>
      <c r="Y27" s="1293">
        <f t="shared" si="38"/>
        <v>0</v>
      </c>
      <c r="Z27" s="1293">
        <f t="shared" si="39"/>
        <v>0</v>
      </c>
      <c r="AA27" s="1293">
        <f t="shared" si="40"/>
        <v>0</v>
      </c>
      <c r="AB27" s="1293">
        <f t="shared" si="41"/>
        <v>0</v>
      </c>
      <c r="AC27" s="1293">
        <f t="shared" si="42"/>
        <v>0</v>
      </c>
      <c r="AD27" s="1284"/>
      <c r="AE27" s="1213">
        <f t="shared" si="1"/>
        <v>0</v>
      </c>
      <c r="AF27" s="1213">
        <f t="shared" si="2"/>
        <v>0</v>
      </c>
      <c r="AG27" s="1213">
        <f t="shared" si="3"/>
        <v>0</v>
      </c>
      <c r="AH27" s="2919">
        <f t="shared" si="4"/>
        <v>0</v>
      </c>
      <c r="AI27" s="1834"/>
      <c r="AJ27" s="417">
        <f t="shared" si="20"/>
        <v>0</v>
      </c>
      <c r="AK27" s="427"/>
    </row>
    <row r="28" spans="1:37" s="424" customFormat="1" ht="15">
      <c r="A28" s="2933"/>
      <c r="B28" s="1289" t="s">
        <v>212</v>
      </c>
      <c r="C28" s="1290" t="s">
        <v>1280</v>
      </c>
      <c r="D28" s="1287">
        <v>0</v>
      </c>
      <c r="E28" s="2716">
        <v>0</v>
      </c>
      <c r="F28" s="1287">
        <v>0</v>
      </c>
      <c r="G28" s="1287">
        <f t="shared" si="28"/>
        <v>0</v>
      </c>
      <c r="H28" s="1287">
        <f t="shared" si="29"/>
        <v>0</v>
      </c>
      <c r="I28" s="1287">
        <f t="shared" si="30"/>
        <v>0</v>
      </c>
      <c r="J28" s="1287">
        <f t="shared" si="31"/>
        <v>0</v>
      </c>
      <c r="K28" s="3219">
        <v>0</v>
      </c>
      <c r="L28" s="1287">
        <v>0</v>
      </c>
      <c r="M28" s="1287">
        <f t="shared" si="32"/>
        <v>0</v>
      </c>
      <c r="N28" s="1287">
        <f t="shared" si="33"/>
        <v>0</v>
      </c>
      <c r="O28" s="1287">
        <f t="shared" si="34"/>
        <v>0</v>
      </c>
      <c r="P28" s="1287">
        <f t="shared" si="35"/>
        <v>0</v>
      </c>
      <c r="Q28" s="1287">
        <v>0</v>
      </c>
      <c r="R28" s="1287">
        <v>0</v>
      </c>
      <c r="S28" s="1287"/>
      <c r="T28" s="1287">
        <v>0</v>
      </c>
      <c r="U28" s="1287">
        <v>0</v>
      </c>
      <c r="V28" s="1287"/>
      <c r="W28" s="1287">
        <f t="shared" si="37"/>
        <v>0</v>
      </c>
      <c r="X28" s="1287"/>
      <c r="Y28" s="1287">
        <f t="shared" si="38"/>
        <v>0</v>
      </c>
      <c r="Z28" s="1287">
        <f t="shared" si="39"/>
        <v>0</v>
      </c>
      <c r="AA28" s="1287">
        <f t="shared" si="40"/>
        <v>0</v>
      </c>
      <c r="AB28" s="1287">
        <f t="shared" si="41"/>
        <v>0</v>
      </c>
      <c r="AC28" s="1287">
        <f t="shared" si="42"/>
        <v>0</v>
      </c>
      <c r="AD28" s="1284"/>
      <c r="AE28" s="1213">
        <f t="shared" si="1"/>
        <v>0</v>
      </c>
      <c r="AF28" s="1213">
        <f t="shared" si="2"/>
        <v>0</v>
      </c>
      <c r="AG28" s="1213">
        <f t="shared" si="3"/>
        <v>0</v>
      </c>
      <c r="AH28" s="2919">
        <f t="shared" si="4"/>
        <v>0</v>
      </c>
      <c r="AI28" s="1834"/>
      <c r="AJ28" s="417">
        <f t="shared" si="20"/>
        <v>0</v>
      </c>
      <c r="AK28" s="420"/>
    </row>
    <row r="29" spans="1:37" s="424" customFormat="1" ht="15">
      <c r="A29" s="2934" t="s">
        <v>17</v>
      </c>
      <c r="B29" s="1474" t="s">
        <v>17</v>
      </c>
      <c r="C29" s="1292" t="s">
        <v>153</v>
      </c>
      <c r="D29" s="1213">
        <v>0</v>
      </c>
      <c r="E29" s="2715">
        <v>0</v>
      </c>
      <c r="F29" s="1213">
        <v>0</v>
      </c>
      <c r="G29" s="1213">
        <f t="shared" si="28"/>
        <v>0</v>
      </c>
      <c r="H29" s="1213">
        <f t="shared" si="29"/>
        <v>0</v>
      </c>
      <c r="I29" s="1213">
        <f t="shared" si="30"/>
        <v>0</v>
      </c>
      <c r="J29" s="1213">
        <f t="shared" si="31"/>
        <v>0</v>
      </c>
      <c r="K29" s="3219">
        <v>0</v>
      </c>
      <c r="L29" s="1213">
        <v>0</v>
      </c>
      <c r="M29" s="1213">
        <f t="shared" si="32"/>
        <v>0</v>
      </c>
      <c r="N29" s="1213">
        <f t="shared" si="33"/>
        <v>0</v>
      </c>
      <c r="O29" s="1213">
        <f t="shared" si="34"/>
        <v>0</v>
      </c>
      <c r="P29" s="1213">
        <f t="shared" si="35"/>
        <v>0</v>
      </c>
      <c r="Q29" s="1213">
        <v>0</v>
      </c>
      <c r="R29" s="1213">
        <v>0</v>
      </c>
      <c r="S29" s="1213">
        <f t="shared" ref="S29:V31" si="43">+R29</f>
        <v>0</v>
      </c>
      <c r="T29" s="1213">
        <f t="shared" si="43"/>
        <v>0</v>
      </c>
      <c r="U29" s="1213">
        <f t="shared" si="43"/>
        <v>0</v>
      </c>
      <c r="V29" s="1213">
        <f t="shared" si="43"/>
        <v>0</v>
      </c>
      <c r="W29" s="1213">
        <f t="shared" si="37"/>
        <v>0</v>
      </c>
      <c r="X29" s="1213"/>
      <c r="Y29" s="1213">
        <f t="shared" si="38"/>
        <v>0</v>
      </c>
      <c r="Z29" s="1213">
        <f t="shared" si="39"/>
        <v>0</v>
      </c>
      <c r="AA29" s="1213">
        <f t="shared" si="40"/>
        <v>0</v>
      </c>
      <c r="AB29" s="1213">
        <f t="shared" si="41"/>
        <v>0</v>
      </c>
      <c r="AC29" s="1213">
        <f t="shared" si="42"/>
        <v>0</v>
      </c>
      <c r="AD29" s="1284"/>
      <c r="AE29" s="1213">
        <f t="shared" si="1"/>
        <v>0</v>
      </c>
      <c r="AF29" s="1213">
        <f t="shared" si="2"/>
        <v>0</v>
      </c>
      <c r="AG29" s="1213">
        <f t="shared" si="3"/>
        <v>0</v>
      </c>
      <c r="AH29" s="2919">
        <f t="shared" si="4"/>
        <v>0</v>
      </c>
      <c r="AI29" s="1829"/>
      <c r="AJ29" s="417">
        <f t="shared" si="20"/>
        <v>0</v>
      </c>
      <c r="AK29" s="412"/>
    </row>
    <row r="30" spans="1:37" s="416" customFormat="1" ht="15">
      <c r="A30" s="2934" t="s">
        <v>19</v>
      </c>
      <c r="B30" s="1282" t="s">
        <v>19</v>
      </c>
      <c r="C30" s="1292" t="s">
        <v>1281</v>
      </c>
      <c r="D30" s="1293">
        <v>0</v>
      </c>
      <c r="E30" s="2718">
        <v>0</v>
      </c>
      <c r="F30" s="1293">
        <v>0</v>
      </c>
      <c r="G30" s="1293">
        <f t="shared" si="28"/>
        <v>0</v>
      </c>
      <c r="H30" s="1293">
        <f t="shared" si="29"/>
        <v>0</v>
      </c>
      <c r="I30" s="1293">
        <f t="shared" si="30"/>
        <v>0</v>
      </c>
      <c r="J30" s="1293">
        <f t="shared" si="31"/>
        <v>0</v>
      </c>
      <c r="K30" s="3219">
        <v>0</v>
      </c>
      <c r="L30" s="1293">
        <v>0</v>
      </c>
      <c r="M30" s="1293">
        <f t="shared" si="32"/>
        <v>0</v>
      </c>
      <c r="N30" s="1293">
        <f t="shared" si="33"/>
        <v>0</v>
      </c>
      <c r="O30" s="1293">
        <f t="shared" si="34"/>
        <v>0</v>
      </c>
      <c r="P30" s="1293">
        <f t="shared" si="35"/>
        <v>0</v>
      </c>
      <c r="Q30" s="1293">
        <v>0</v>
      </c>
      <c r="R30" s="1293">
        <v>0</v>
      </c>
      <c r="S30" s="1293">
        <f t="shared" si="43"/>
        <v>0</v>
      </c>
      <c r="T30" s="1293">
        <f t="shared" si="43"/>
        <v>0</v>
      </c>
      <c r="U30" s="1293">
        <f t="shared" si="43"/>
        <v>0</v>
      </c>
      <c r="V30" s="1293">
        <f t="shared" si="43"/>
        <v>0</v>
      </c>
      <c r="W30" s="1293">
        <f t="shared" si="37"/>
        <v>0</v>
      </c>
      <c r="X30" s="1293"/>
      <c r="Y30" s="1293">
        <f t="shared" si="38"/>
        <v>0</v>
      </c>
      <c r="Z30" s="1293">
        <f t="shared" si="39"/>
        <v>0</v>
      </c>
      <c r="AA30" s="1293">
        <f t="shared" si="40"/>
        <v>0</v>
      </c>
      <c r="AB30" s="1293">
        <f t="shared" si="41"/>
        <v>0</v>
      </c>
      <c r="AC30" s="1293">
        <f t="shared" si="42"/>
        <v>0</v>
      </c>
      <c r="AD30" s="1284"/>
      <c r="AE30" s="1213">
        <f t="shared" si="1"/>
        <v>0</v>
      </c>
      <c r="AF30" s="1213">
        <f t="shared" si="2"/>
        <v>0</v>
      </c>
      <c r="AG30" s="1213">
        <f t="shared" si="3"/>
        <v>0</v>
      </c>
      <c r="AH30" s="2919">
        <f t="shared" si="4"/>
        <v>0</v>
      </c>
      <c r="AI30" s="1834"/>
      <c r="AJ30" s="417">
        <f t="shared" si="20"/>
        <v>0</v>
      </c>
      <c r="AK30" s="427"/>
    </row>
    <row r="31" spans="1:37" s="416" customFormat="1" ht="15">
      <c r="A31" s="2934" t="s">
        <v>21</v>
      </c>
      <c r="B31" s="1282" t="s">
        <v>21</v>
      </c>
      <c r="C31" s="1292" t="s">
        <v>393</v>
      </c>
      <c r="D31" s="1227">
        <v>0</v>
      </c>
      <c r="E31" s="2719">
        <v>0</v>
      </c>
      <c r="F31" s="1227">
        <v>0</v>
      </c>
      <c r="G31" s="1227">
        <f t="shared" si="28"/>
        <v>0</v>
      </c>
      <c r="H31" s="1227">
        <f t="shared" si="29"/>
        <v>0</v>
      </c>
      <c r="I31" s="1227">
        <f t="shared" si="30"/>
        <v>0</v>
      </c>
      <c r="J31" s="1227">
        <f t="shared" si="31"/>
        <v>0</v>
      </c>
      <c r="K31" s="3219">
        <v>0</v>
      </c>
      <c r="L31" s="1227">
        <v>0</v>
      </c>
      <c r="M31" s="1227">
        <f t="shared" si="32"/>
        <v>0</v>
      </c>
      <c r="N31" s="1227">
        <f t="shared" si="33"/>
        <v>0</v>
      </c>
      <c r="O31" s="1227">
        <f t="shared" si="34"/>
        <v>0</v>
      </c>
      <c r="P31" s="1227">
        <f t="shared" si="35"/>
        <v>0</v>
      </c>
      <c r="Q31" s="1227">
        <v>0</v>
      </c>
      <c r="R31" s="1227">
        <v>0</v>
      </c>
      <c r="S31" s="1227">
        <f t="shared" si="43"/>
        <v>0</v>
      </c>
      <c r="T31" s="1227">
        <f t="shared" si="43"/>
        <v>0</v>
      </c>
      <c r="U31" s="1227">
        <f t="shared" si="43"/>
        <v>0</v>
      </c>
      <c r="V31" s="1227">
        <f t="shared" si="43"/>
        <v>0</v>
      </c>
      <c r="W31" s="1227">
        <f t="shared" si="37"/>
        <v>0</v>
      </c>
      <c r="X31" s="1227"/>
      <c r="Y31" s="1227">
        <f t="shared" si="38"/>
        <v>0</v>
      </c>
      <c r="Z31" s="1227">
        <f t="shared" si="39"/>
        <v>0</v>
      </c>
      <c r="AA31" s="1227">
        <f t="shared" si="40"/>
        <v>0</v>
      </c>
      <c r="AB31" s="1227">
        <f t="shared" si="41"/>
        <v>0</v>
      </c>
      <c r="AC31" s="1227">
        <f t="shared" si="42"/>
        <v>0</v>
      </c>
      <c r="AD31" s="1284"/>
      <c r="AE31" s="1213">
        <f t="shared" si="1"/>
        <v>0</v>
      </c>
      <c r="AF31" s="1213">
        <f t="shared" si="2"/>
        <v>0</v>
      </c>
      <c r="AG31" s="1213">
        <f t="shared" si="3"/>
        <v>0</v>
      </c>
      <c r="AH31" s="2919">
        <f t="shared" si="4"/>
        <v>0</v>
      </c>
      <c r="AI31" s="1834"/>
      <c r="AJ31" s="417">
        <f t="shared" si="20"/>
        <v>0</v>
      </c>
      <c r="AK31" s="430"/>
    </row>
    <row r="32" spans="1:37" s="416" customFormat="1" ht="15">
      <c r="A32" s="2934" t="s">
        <v>23</v>
      </c>
      <c r="B32" s="1474" t="s">
        <v>23</v>
      </c>
      <c r="C32" s="1292" t="s">
        <v>1282</v>
      </c>
      <c r="D32" s="1213">
        <f t="shared" ref="D32:AC32" si="44">+D8+D20+D23+D27+D29+D30+D31</f>
        <v>33360493</v>
      </c>
      <c r="E32" s="2715">
        <f>+E8+E20+E23+E27+E29+E30+E31</f>
        <v>46409045</v>
      </c>
      <c r="F32" s="1213">
        <f t="shared" si="44"/>
        <v>38101740</v>
      </c>
      <c r="G32" s="1213">
        <f t="shared" si="44"/>
        <v>39664738</v>
      </c>
      <c r="H32" s="1213">
        <f t="shared" si="44"/>
        <v>43094930</v>
      </c>
      <c r="I32" s="1213">
        <f t="shared" si="44"/>
        <v>39968555</v>
      </c>
      <c r="J32" s="1213">
        <f t="shared" si="44"/>
        <v>39968555</v>
      </c>
      <c r="K32" s="3210">
        <f t="shared" si="44"/>
        <v>39968555</v>
      </c>
      <c r="L32" s="1213">
        <f t="shared" si="44"/>
        <v>0</v>
      </c>
      <c r="M32" s="1213">
        <f t="shared" si="44"/>
        <v>0</v>
      </c>
      <c r="N32" s="1213">
        <f t="shared" si="44"/>
        <v>0</v>
      </c>
      <c r="O32" s="1213">
        <f t="shared" si="44"/>
        <v>0</v>
      </c>
      <c r="P32" s="1213">
        <f t="shared" si="44"/>
        <v>0</v>
      </c>
      <c r="Q32" s="1213">
        <f t="shared" si="44"/>
        <v>0</v>
      </c>
      <c r="R32" s="1213">
        <f t="shared" si="44"/>
        <v>38101740</v>
      </c>
      <c r="S32" s="1213">
        <f t="shared" si="44"/>
        <v>39664738</v>
      </c>
      <c r="T32" s="1213">
        <f t="shared" si="44"/>
        <v>43094930</v>
      </c>
      <c r="U32" s="1213">
        <f t="shared" si="44"/>
        <v>39968555</v>
      </c>
      <c r="V32" s="1213">
        <f t="shared" si="44"/>
        <v>39968555</v>
      </c>
      <c r="W32" s="1213">
        <f t="shared" si="44"/>
        <v>39968555</v>
      </c>
      <c r="X32" s="1213">
        <f t="shared" si="44"/>
        <v>0</v>
      </c>
      <c r="Y32" s="1213">
        <f t="shared" si="44"/>
        <v>0</v>
      </c>
      <c r="Z32" s="1213">
        <f t="shared" si="44"/>
        <v>0</v>
      </c>
      <c r="AA32" s="1213">
        <f t="shared" si="44"/>
        <v>0</v>
      </c>
      <c r="AB32" s="1213">
        <f t="shared" si="44"/>
        <v>0</v>
      </c>
      <c r="AC32" s="1213">
        <f t="shared" si="44"/>
        <v>0</v>
      </c>
      <c r="AD32" s="1283"/>
      <c r="AE32" s="1213">
        <f t="shared" si="1"/>
        <v>1562998</v>
      </c>
      <c r="AF32" s="1213">
        <f t="shared" si="2"/>
        <v>3430192</v>
      </c>
      <c r="AG32" s="1213">
        <f t="shared" si="3"/>
        <v>-3126375</v>
      </c>
      <c r="AH32" s="2919">
        <f t="shared" si="4"/>
        <v>0</v>
      </c>
      <c r="AI32" s="1829">
        <f>+K32/I32</f>
        <v>1</v>
      </c>
      <c r="AJ32" s="417">
        <f t="shared" si="20"/>
        <v>4741247</v>
      </c>
      <c r="AK32" s="412"/>
    </row>
    <row r="33" spans="1:38" s="424" customFormat="1" ht="15">
      <c r="A33" s="2975" t="s">
        <v>25</v>
      </c>
      <c r="B33" s="1282" t="s">
        <v>25</v>
      </c>
      <c r="C33" s="1292" t="s">
        <v>1305</v>
      </c>
      <c r="D33" s="1213">
        <f t="shared" ref="D33:AC33" si="45">SUM(D34:D36)</f>
        <v>632298381</v>
      </c>
      <c r="E33" s="2715">
        <f>SUM(E34:E36)</f>
        <v>649013864</v>
      </c>
      <c r="F33" s="1213">
        <f t="shared" si="45"/>
        <v>719126279</v>
      </c>
      <c r="G33" s="1213">
        <f t="shared" si="45"/>
        <v>730871733</v>
      </c>
      <c r="H33" s="1213">
        <f t="shared" si="45"/>
        <v>731194433</v>
      </c>
      <c r="I33" s="1213">
        <f t="shared" si="45"/>
        <v>731706963</v>
      </c>
      <c r="J33" s="1213">
        <f t="shared" si="45"/>
        <v>731706963</v>
      </c>
      <c r="K33" s="3208">
        <f>SUM(K34:K36)</f>
        <v>680469806</v>
      </c>
      <c r="L33" s="1213">
        <f t="shared" si="45"/>
        <v>0</v>
      </c>
      <c r="M33" s="1213">
        <f t="shared" si="45"/>
        <v>0</v>
      </c>
      <c r="N33" s="1213">
        <f t="shared" si="45"/>
        <v>0</v>
      </c>
      <c r="O33" s="1213">
        <f t="shared" si="45"/>
        <v>0</v>
      </c>
      <c r="P33" s="1213">
        <f t="shared" si="45"/>
        <v>0</v>
      </c>
      <c r="Q33" s="1213">
        <f t="shared" si="45"/>
        <v>0</v>
      </c>
      <c r="R33" s="1213">
        <f t="shared" si="45"/>
        <v>719126279</v>
      </c>
      <c r="S33" s="1213">
        <f t="shared" si="45"/>
        <v>730871733</v>
      </c>
      <c r="T33" s="1213">
        <f t="shared" si="45"/>
        <v>731194433</v>
      </c>
      <c r="U33" s="1213">
        <f t="shared" si="45"/>
        <v>731706963</v>
      </c>
      <c r="V33" s="1213">
        <f t="shared" si="45"/>
        <v>731706963</v>
      </c>
      <c r="W33" s="1213">
        <f t="shared" si="45"/>
        <v>680469806</v>
      </c>
      <c r="X33" s="1213">
        <f t="shared" si="45"/>
        <v>0</v>
      </c>
      <c r="Y33" s="1213">
        <f t="shared" si="45"/>
        <v>0</v>
      </c>
      <c r="Z33" s="1213">
        <f t="shared" si="45"/>
        <v>0</v>
      </c>
      <c r="AA33" s="1213">
        <f t="shared" si="45"/>
        <v>0</v>
      </c>
      <c r="AB33" s="1213">
        <f t="shared" si="45"/>
        <v>0</v>
      </c>
      <c r="AC33" s="1213">
        <f t="shared" si="45"/>
        <v>0</v>
      </c>
      <c r="AD33" s="1284"/>
      <c r="AE33" s="1213">
        <f t="shared" si="1"/>
        <v>11745454</v>
      </c>
      <c r="AF33" s="1213">
        <f t="shared" si="2"/>
        <v>322700</v>
      </c>
      <c r="AG33" s="1213">
        <f t="shared" si="3"/>
        <v>512530</v>
      </c>
      <c r="AH33" s="2919">
        <f t="shared" si="4"/>
        <v>0</v>
      </c>
      <c r="AI33" s="1829">
        <f>+K33/I33</f>
        <v>0.92997585154864792</v>
      </c>
      <c r="AJ33" s="417">
        <f t="shared" si="20"/>
        <v>86827898</v>
      </c>
      <c r="AK33" s="412"/>
    </row>
    <row r="34" spans="1:38" s="424" customFormat="1" ht="15">
      <c r="A34" s="2975"/>
      <c r="B34" s="1477" t="s">
        <v>1284</v>
      </c>
      <c r="C34" s="1286" t="s">
        <v>1285</v>
      </c>
      <c r="D34" s="1291">
        <v>0</v>
      </c>
      <c r="E34" s="2717">
        <v>30243601</v>
      </c>
      <c r="F34" s="1291">
        <v>0</v>
      </c>
      <c r="G34" s="1227">
        <f>+F34+9811244</f>
        <v>9811244</v>
      </c>
      <c r="H34" s="1227">
        <f>+G34</f>
        <v>9811244</v>
      </c>
      <c r="I34" s="1227">
        <f t="shared" ref="G34:J36" si="46">+H34</f>
        <v>9811244</v>
      </c>
      <c r="J34" s="1227">
        <f t="shared" si="46"/>
        <v>9811244</v>
      </c>
      <c r="K34" s="3220">
        <v>9811244</v>
      </c>
      <c r="L34" s="1291">
        <v>0</v>
      </c>
      <c r="M34" s="1291">
        <f t="shared" ref="M34:P36" si="47">+L34</f>
        <v>0</v>
      </c>
      <c r="N34" s="1291">
        <f t="shared" si="47"/>
        <v>0</v>
      </c>
      <c r="O34" s="1291">
        <f t="shared" si="47"/>
        <v>0</v>
      </c>
      <c r="P34" s="1291">
        <f t="shared" si="47"/>
        <v>0</v>
      </c>
      <c r="Q34" s="1291">
        <v>0</v>
      </c>
      <c r="R34" s="1291">
        <v>0</v>
      </c>
      <c r="S34" s="1227">
        <f>+R34+9811244</f>
        <v>9811244</v>
      </c>
      <c r="T34" s="1227">
        <f t="shared" ref="S34:V36" si="48">+S34</f>
        <v>9811244</v>
      </c>
      <c r="U34" s="1227">
        <f t="shared" si="48"/>
        <v>9811244</v>
      </c>
      <c r="V34" s="1227">
        <f t="shared" si="48"/>
        <v>9811244</v>
      </c>
      <c r="W34" s="1291">
        <f>+K34</f>
        <v>9811244</v>
      </c>
      <c r="X34" s="1213"/>
      <c r="Y34" s="1213">
        <f t="shared" ref="Y34:AC36" si="49">+X34</f>
        <v>0</v>
      </c>
      <c r="Z34" s="1213">
        <f t="shared" si="49"/>
        <v>0</v>
      </c>
      <c r="AA34" s="1213">
        <f t="shared" si="49"/>
        <v>0</v>
      </c>
      <c r="AB34" s="1213">
        <f t="shared" si="49"/>
        <v>0</v>
      </c>
      <c r="AC34" s="1213">
        <f t="shared" si="49"/>
        <v>0</v>
      </c>
      <c r="AD34" s="2947"/>
      <c r="AE34" s="1213">
        <f t="shared" si="1"/>
        <v>9811244</v>
      </c>
      <c r="AF34" s="1213">
        <f t="shared" si="2"/>
        <v>0</v>
      </c>
      <c r="AG34" s="1213">
        <f t="shared" si="3"/>
        <v>0</v>
      </c>
      <c r="AH34" s="2919">
        <f t="shared" si="4"/>
        <v>0</v>
      </c>
      <c r="AI34" s="1834">
        <f>+K34/I34</f>
        <v>1</v>
      </c>
      <c r="AJ34" s="417">
        <f t="shared" si="20"/>
        <v>0</v>
      </c>
      <c r="AK34" s="548"/>
    </row>
    <row r="35" spans="1:38" s="424" customFormat="1" ht="15">
      <c r="A35" s="2933"/>
      <c r="B35" s="1477" t="s">
        <v>1286</v>
      </c>
      <c r="C35" s="1286" t="s">
        <v>1287</v>
      </c>
      <c r="D35" s="1227">
        <v>0</v>
      </c>
      <c r="E35" s="2719">
        <v>0</v>
      </c>
      <c r="F35" s="1227">
        <v>0</v>
      </c>
      <c r="G35" s="1227">
        <f t="shared" si="46"/>
        <v>0</v>
      </c>
      <c r="H35" s="1227">
        <f t="shared" si="46"/>
        <v>0</v>
      </c>
      <c r="I35" s="1227">
        <f t="shared" si="46"/>
        <v>0</v>
      </c>
      <c r="J35" s="1227">
        <f t="shared" si="46"/>
        <v>0</v>
      </c>
      <c r="K35" s="3209">
        <v>0</v>
      </c>
      <c r="L35" s="1227">
        <v>0</v>
      </c>
      <c r="M35" s="1227">
        <f t="shared" si="47"/>
        <v>0</v>
      </c>
      <c r="N35" s="1227">
        <f t="shared" si="47"/>
        <v>0</v>
      </c>
      <c r="O35" s="1227">
        <f t="shared" si="47"/>
        <v>0</v>
      </c>
      <c r="P35" s="1227">
        <f t="shared" si="47"/>
        <v>0</v>
      </c>
      <c r="Q35" s="1227">
        <v>0</v>
      </c>
      <c r="R35" s="1227">
        <v>0</v>
      </c>
      <c r="S35" s="1227">
        <f t="shared" si="48"/>
        <v>0</v>
      </c>
      <c r="T35" s="1227">
        <f t="shared" si="48"/>
        <v>0</v>
      </c>
      <c r="U35" s="1227">
        <f t="shared" si="48"/>
        <v>0</v>
      </c>
      <c r="V35" s="1227">
        <f t="shared" si="48"/>
        <v>0</v>
      </c>
      <c r="W35" s="1227">
        <f>+K35</f>
        <v>0</v>
      </c>
      <c r="X35" s="1227"/>
      <c r="Y35" s="1227">
        <f t="shared" si="49"/>
        <v>0</v>
      </c>
      <c r="Z35" s="1227">
        <f t="shared" si="49"/>
        <v>0</v>
      </c>
      <c r="AA35" s="1227">
        <f t="shared" si="49"/>
        <v>0</v>
      </c>
      <c r="AB35" s="1227">
        <f t="shared" si="49"/>
        <v>0</v>
      </c>
      <c r="AC35" s="1227">
        <f t="shared" si="49"/>
        <v>0</v>
      </c>
      <c r="AD35" s="1284"/>
      <c r="AE35" s="1213">
        <f t="shared" si="1"/>
        <v>0</v>
      </c>
      <c r="AF35" s="1213">
        <f t="shared" si="2"/>
        <v>0</v>
      </c>
      <c r="AG35" s="1213">
        <f t="shared" si="3"/>
        <v>0</v>
      </c>
      <c r="AH35" s="2919">
        <f t="shared" si="4"/>
        <v>0</v>
      </c>
      <c r="AI35" s="1834"/>
      <c r="AJ35" s="417">
        <f t="shared" si="20"/>
        <v>0</v>
      </c>
      <c r="AK35" s="430"/>
    </row>
    <row r="36" spans="1:38" s="424" customFormat="1" ht="15">
      <c r="A36" s="2976"/>
      <c r="B36" s="1477" t="s">
        <v>1288</v>
      </c>
      <c r="C36" s="1286" t="s">
        <v>1289</v>
      </c>
      <c r="D36" s="1227">
        <f>617080553+65985+15151843</f>
        <v>632298381</v>
      </c>
      <c r="E36" s="2719">
        <v>618770263</v>
      </c>
      <c r="F36" s="1227">
        <v>719126279</v>
      </c>
      <c r="G36" s="1227">
        <f>+F36+952500+99060+882650</f>
        <v>721060489</v>
      </c>
      <c r="H36" s="1227">
        <f>+G36+9000*12+214700</f>
        <v>721383189</v>
      </c>
      <c r="I36" s="1227">
        <f>+H36+275230+237300</f>
        <v>721895719</v>
      </c>
      <c r="J36" s="1227">
        <f t="shared" si="46"/>
        <v>721895719</v>
      </c>
      <c r="K36" s="3209">
        <v>670658562</v>
      </c>
      <c r="L36" s="1227">
        <v>0</v>
      </c>
      <c r="M36" s="1227">
        <f t="shared" si="47"/>
        <v>0</v>
      </c>
      <c r="N36" s="1227">
        <f t="shared" si="47"/>
        <v>0</v>
      </c>
      <c r="O36" s="1227">
        <f t="shared" si="47"/>
        <v>0</v>
      </c>
      <c r="P36" s="1227">
        <f t="shared" si="47"/>
        <v>0</v>
      </c>
      <c r="Q36" s="1227">
        <v>0</v>
      </c>
      <c r="R36" s="1227">
        <f>+F36</f>
        <v>719126279</v>
      </c>
      <c r="S36" s="1227">
        <f>+R36+952500+99060+882650</f>
        <v>721060489</v>
      </c>
      <c r="T36" s="1227">
        <f>+S36+9000*12+214700</f>
        <v>721383189</v>
      </c>
      <c r="U36" s="1227">
        <f>+T36+275230+237300</f>
        <v>721895719</v>
      </c>
      <c r="V36" s="1227">
        <f t="shared" si="48"/>
        <v>721895719</v>
      </c>
      <c r="W36" s="1227">
        <f>+K36</f>
        <v>670658562</v>
      </c>
      <c r="X36" s="1227"/>
      <c r="Y36" s="1227">
        <f t="shared" si="49"/>
        <v>0</v>
      </c>
      <c r="Z36" s="1227">
        <f t="shared" si="49"/>
        <v>0</v>
      </c>
      <c r="AA36" s="1227">
        <f t="shared" si="49"/>
        <v>0</v>
      </c>
      <c r="AB36" s="1227">
        <f t="shared" si="49"/>
        <v>0</v>
      </c>
      <c r="AC36" s="1227">
        <f t="shared" si="49"/>
        <v>0</v>
      </c>
      <c r="AD36" s="1284"/>
      <c r="AE36" s="1213">
        <f t="shared" si="1"/>
        <v>1934210</v>
      </c>
      <c r="AF36" s="1213">
        <f t="shared" si="2"/>
        <v>322700</v>
      </c>
      <c r="AG36" s="1213">
        <f t="shared" si="3"/>
        <v>512530</v>
      </c>
      <c r="AH36" s="2919">
        <f t="shared" si="4"/>
        <v>0</v>
      </c>
      <c r="AI36" s="1834">
        <f>+K36/I36</f>
        <v>0.92902415729660259</v>
      </c>
      <c r="AJ36" s="417">
        <f t="shared" si="20"/>
        <v>86827898</v>
      </c>
      <c r="AK36" s="430"/>
    </row>
    <row r="37" spans="1:38" s="405" customFormat="1" ht="15.75">
      <c r="A37" s="2975" t="s">
        <v>27</v>
      </c>
      <c r="B37" s="1475" t="s">
        <v>27</v>
      </c>
      <c r="C37" s="1297" t="s">
        <v>1290</v>
      </c>
      <c r="D37" s="1298">
        <f t="shared" ref="D37:AC37" si="50">+D32+D33</f>
        <v>665658874</v>
      </c>
      <c r="E37" s="2720">
        <f t="shared" si="50"/>
        <v>695422909</v>
      </c>
      <c r="F37" s="1298">
        <f t="shared" si="50"/>
        <v>757228019</v>
      </c>
      <c r="G37" s="1298">
        <f t="shared" si="50"/>
        <v>770536471</v>
      </c>
      <c r="H37" s="1298">
        <f t="shared" si="50"/>
        <v>774289363</v>
      </c>
      <c r="I37" s="1298">
        <f t="shared" si="50"/>
        <v>771675518</v>
      </c>
      <c r="J37" s="1298">
        <f t="shared" si="50"/>
        <v>771675518</v>
      </c>
      <c r="K37" s="3210">
        <f t="shared" si="50"/>
        <v>720438361</v>
      </c>
      <c r="L37" s="1298">
        <f t="shared" si="50"/>
        <v>0</v>
      </c>
      <c r="M37" s="1298">
        <f t="shared" si="50"/>
        <v>0</v>
      </c>
      <c r="N37" s="1298">
        <f t="shared" si="50"/>
        <v>0</v>
      </c>
      <c r="O37" s="1298">
        <f t="shared" si="50"/>
        <v>0</v>
      </c>
      <c r="P37" s="1298">
        <f t="shared" si="50"/>
        <v>0</v>
      </c>
      <c r="Q37" s="1298">
        <f t="shared" si="50"/>
        <v>0</v>
      </c>
      <c r="R37" s="1298">
        <f t="shared" si="50"/>
        <v>757228019</v>
      </c>
      <c r="S37" s="1298">
        <f t="shared" si="50"/>
        <v>770536471</v>
      </c>
      <c r="T37" s="1298">
        <f t="shared" si="50"/>
        <v>774289363</v>
      </c>
      <c r="U37" s="1298">
        <f t="shared" si="50"/>
        <v>771675518</v>
      </c>
      <c r="V37" s="1298">
        <f t="shared" si="50"/>
        <v>771675518</v>
      </c>
      <c r="W37" s="1298">
        <f t="shared" si="50"/>
        <v>720438361</v>
      </c>
      <c r="X37" s="1298">
        <f t="shared" si="50"/>
        <v>0</v>
      </c>
      <c r="Y37" s="1298">
        <f t="shared" si="50"/>
        <v>0</v>
      </c>
      <c r="Z37" s="1298">
        <f t="shared" si="50"/>
        <v>0</v>
      </c>
      <c r="AA37" s="1298">
        <f t="shared" si="50"/>
        <v>0</v>
      </c>
      <c r="AB37" s="1298">
        <f t="shared" si="50"/>
        <v>0</v>
      </c>
      <c r="AC37" s="1298">
        <f t="shared" si="50"/>
        <v>0</v>
      </c>
      <c r="AD37" s="1284"/>
      <c r="AE37" s="1213">
        <f t="shared" si="1"/>
        <v>13308452</v>
      </c>
      <c r="AF37" s="1213">
        <f t="shared" si="2"/>
        <v>3752892</v>
      </c>
      <c r="AG37" s="1213">
        <f t="shared" si="3"/>
        <v>-2613845</v>
      </c>
      <c r="AH37" s="2919">
        <f t="shared" si="4"/>
        <v>0</v>
      </c>
      <c r="AI37" s="1829">
        <f>+K37/I37</f>
        <v>0.93360271797556238</v>
      </c>
      <c r="AJ37" s="417">
        <f t="shared" si="20"/>
        <v>91569145</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58"/>
      <c r="AJ38" s="417"/>
      <c r="AK38" s="436"/>
    </row>
    <row r="39" spans="1:38" ht="15">
      <c r="A39" s="2932"/>
      <c r="B39" s="1285"/>
      <c r="C39" s="1548" t="str">
        <f t="shared" ref="C39:T40" si="51">+C4</f>
        <v>A</v>
      </c>
      <c r="D39" s="1549" t="str">
        <f t="shared" si="51"/>
        <v>B</v>
      </c>
      <c r="E39" s="2960" t="str">
        <f t="shared" si="51"/>
        <v>B</v>
      </c>
      <c r="F39" s="1345" t="str">
        <f t="shared" si="51"/>
        <v>B</v>
      </c>
      <c r="G39" s="1345" t="str">
        <f t="shared" si="51"/>
        <v>D</v>
      </c>
      <c r="H39" s="1345" t="str">
        <f t="shared" si="51"/>
        <v>E</v>
      </c>
      <c r="I39" s="1345" t="str">
        <f t="shared" si="51"/>
        <v>C</v>
      </c>
      <c r="J39" s="1345" t="str">
        <f t="shared" si="51"/>
        <v>F</v>
      </c>
      <c r="K39" s="1345" t="str">
        <f t="shared" si="51"/>
        <v>D</v>
      </c>
      <c r="L39" s="1345" t="str">
        <f t="shared" si="51"/>
        <v>E</v>
      </c>
      <c r="M39" s="1345" t="str">
        <f t="shared" si="51"/>
        <v>F</v>
      </c>
      <c r="N39" s="1345" t="str">
        <f t="shared" si="51"/>
        <v>F</v>
      </c>
      <c r="O39" s="1345" t="str">
        <f t="shared" si="51"/>
        <v>E</v>
      </c>
      <c r="P39" s="1345">
        <f t="shared" si="51"/>
        <v>0</v>
      </c>
      <c r="Q39" s="1345" t="str">
        <f t="shared" si="51"/>
        <v>F</v>
      </c>
      <c r="R39" s="1345" t="str">
        <f t="shared" si="51"/>
        <v>E</v>
      </c>
      <c r="S39" s="1345" t="str">
        <f t="shared" si="51"/>
        <v>E</v>
      </c>
      <c r="T39" s="1345" t="str">
        <f t="shared" si="51"/>
        <v>G</v>
      </c>
      <c r="U39" s="1345" t="str">
        <f>+U4</f>
        <v>G</v>
      </c>
      <c r="V39" s="1345">
        <f>+V4</f>
        <v>0</v>
      </c>
      <c r="W39" s="1345" t="str">
        <f>+W4</f>
        <v>H</v>
      </c>
      <c r="X39" s="2961"/>
      <c r="Y39" s="2961"/>
      <c r="Z39" s="2961"/>
      <c r="AA39" s="2961"/>
      <c r="AB39" s="2961"/>
      <c r="AC39" s="2961"/>
      <c r="AD39" s="2962"/>
      <c r="AE39" s="1213"/>
      <c r="AF39" s="1345" t="str">
        <f>+AF4</f>
        <v>H</v>
      </c>
      <c r="AG39" s="1301" t="str">
        <f>+AG4</f>
        <v>I</v>
      </c>
      <c r="AH39" s="1551"/>
      <c r="AI39" s="1845" t="str">
        <f>+AI4</f>
        <v>I</v>
      </c>
      <c r="AJ39" s="417"/>
      <c r="AK39" s="1549"/>
      <c r="AL39" s="439"/>
    </row>
    <row r="40" spans="1:38" ht="73.5">
      <c r="A40" s="2933"/>
      <c r="B40" s="1278" t="s">
        <v>6</v>
      </c>
      <c r="C40" s="1276" t="str">
        <f t="shared" si="51"/>
        <v>Kiemelt előirányzat, előirányzat megnevezése</v>
      </c>
      <c r="D40" s="1278" t="str">
        <f t="shared" si="51"/>
        <v>2024. évi eredeti előirányzat
forintban</v>
      </c>
      <c r="E40" s="2596" t="str">
        <f>+E5</f>
        <v>2024. évi teljesítés forintban</v>
      </c>
      <c r="F40" s="1276" t="str">
        <f t="shared" si="51"/>
        <v>2025. évi eredeti előirányzat forintban</v>
      </c>
      <c r="G40" s="1276" t="str">
        <f t="shared" ref="G40:AJ40" si="52">+G5</f>
        <v>2025. évi I. számú módosított előirányzat
forintban</v>
      </c>
      <c r="H40" s="1276" t="str">
        <f t="shared" si="52"/>
        <v>2025. évi II. számú módosított előirányzat forintban</v>
      </c>
      <c r="I40" s="1276" t="str">
        <f t="shared" si="52"/>
        <v>2025. évi III. számú módosított előirányzat forintban</v>
      </c>
      <c r="J40" s="1276" t="str">
        <f t="shared" si="52"/>
        <v>2025. évi IV. számú módosított előirányzat forintban</v>
      </c>
      <c r="K40" s="3197" t="str">
        <f t="shared" si="52"/>
        <v>2025. évi
teljesítés forintban</v>
      </c>
      <c r="L40" s="1276" t="str">
        <f t="shared" si="52"/>
        <v>Önként vállalt feladat forintban</v>
      </c>
      <c r="M40" s="1276" t="str">
        <f t="shared" si="52"/>
        <v>Önként vállalt feladat I. módosítás
forintban</v>
      </c>
      <c r="N40" s="1276" t="str">
        <f t="shared" si="52"/>
        <v>Önként vállalt feladat II. módosítás forintban</v>
      </c>
      <c r="O40" s="1276" t="str">
        <f t="shared" si="52"/>
        <v>Önként vállalt feladat III. módosítás forintban</v>
      </c>
      <c r="P40" s="1276" t="str">
        <f t="shared" si="52"/>
        <v>Önként vállalt feladat IV. módosítás  forintban</v>
      </c>
      <c r="Q40" s="1276" t="str">
        <f t="shared" si="52"/>
        <v>Önként vállalt teljesítés  forintban</v>
      </c>
      <c r="R40" s="1276" t="str">
        <f t="shared" si="52"/>
        <v>Kötelező feladat forintban</v>
      </c>
      <c r="S40" s="1276" t="str">
        <f t="shared" si="52"/>
        <v>Kötelező feladat 
I. módosítás
forintban</v>
      </c>
      <c r="T40" s="1276" t="str">
        <f t="shared" si="52"/>
        <v>Kötelező feladat II. módosítás forintban</v>
      </c>
      <c r="U40" s="1276" t="str">
        <f t="shared" si="52"/>
        <v>Kötelező feladat III. módosítás  forintban</v>
      </c>
      <c r="V40" s="1278" t="str">
        <f t="shared" si="52"/>
        <v>Kötelező feladat IV. módosítás  forintban</v>
      </c>
      <c r="W40" s="1278" t="str">
        <f t="shared" si="52"/>
        <v>Kötelező teljesítés  forintban</v>
      </c>
      <c r="X40" s="1278">
        <f t="shared" si="52"/>
        <v>0</v>
      </c>
      <c r="Y40" s="1278">
        <f t="shared" si="52"/>
        <v>0</v>
      </c>
      <c r="Z40" s="1278">
        <f t="shared" si="52"/>
        <v>0</v>
      </c>
      <c r="AA40" s="1278">
        <f t="shared" si="52"/>
        <v>0</v>
      </c>
      <c r="AB40" s="1278">
        <f t="shared" si="52"/>
        <v>0</v>
      </c>
      <c r="AC40" s="1278">
        <f t="shared" si="52"/>
        <v>0</v>
      </c>
      <c r="AD40" s="1278"/>
      <c r="AE40" s="1278" t="str">
        <f t="shared" si="52"/>
        <v>I. változás</v>
      </c>
      <c r="AF40" s="1278" t="str">
        <f t="shared" si="52"/>
        <v>Előirányzat-módosítások, előirányzat-átcsoportosítások összegszerű változásai</v>
      </c>
      <c r="AG40" s="2916" t="str">
        <f t="shared" si="52"/>
        <v>Előirányzat-módosítások, előirányzat-átcsoportosítások összegszerű változásai a III. módosításnál</v>
      </c>
      <c r="AH40" s="1854" t="str">
        <f t="shared" si="52"/>
        <v>IV. változás</v>
      </c>
      <c r="AI40" s="1825" t="str">
        <f t="shared" si="52"/>
        <v xml:space="preserve"> 2025. évi teljesítés / 2025. évi III. számú módosított előirányzat</v>
      </c>
      <c r="AJ40" s="1854" t="str">
        <f t="shared" si="52"/>
        <v>Változás Eredeti előző évhez 
Ft-ban</v>
      </c>
      <c r="AK40" s="2595"/>
      <c r="AL40" s="439"/>
    </row>
    <row r="41" spans="1:38" ht="15">
      <c r="A41" s="2934" t="s">
        <v>6</v>
      </c>
      <c r="B41" s="2946" t="s">
        <v>3353</v>
      </c>
      <c r="C41" s="1292" t="s">
        <v>1291</v>
      </c>
      <c r="D41" s="1213">
        <f t="shared" ref="D41:AC41" si="53">SUM(D42:D46)</f>
        <v>664706374</v>
      </c>
      <c r="E41" s="2715">
        <f t="shared" si="53"/>
        <v>684035036</v>
      </c>
      <c r="F41" s="1213">
        <f t="shared" si="53"/>
        <v>756439349</v>
      </c>
      <c r="G41" s="1213">
        <f t="shared" si="53"/>
        <v>769248691</v>
      </c>
      <c r="H41" s="1213">
        <f t="shared" si="53"/>
        <v>773001583</v>
      </c>
      <c r="I41" s="1213">
        <f t="shared" si="53"/>
        <v>770287328</v>
      </c>
      <c r="J41" s="1213">
        <f t="shared" si="53"/>
        <v>770287328</v>
      </c>
      <c r="K41" s="3208">
        <f t="shared" si="53"/>
        <v>679002421</v>
      </c>
      <c r="L41" s="1213">
        <f t="shared" si="53"/>
        <v>0</v>
      </c>
      <c r="M41" s="1213">
        <f t="shared" si="53"/>
        <v>0</v>
      </c>
      <c r="N41" s="1213">
        <f t="shared" si="53"/>
        <v>0</v>
      </c>
      <c r="O41" s="1213">
        <f t="shared" si="53"/>
        <v>0</v>
      </c>
      <c r="P41" s="1213">
        <f t="shared" si="53"/>
        <v>0</v>
      </c>
      <c r="Q41" s="1213">
        <f t="shared" si="53"/>
        <v>0</v>
      </c>
      <c r="R41" s="1213">
        <f t="shared" si="53"/>
        <v>756439349</v>
      </c>
      <c r="S41" s="1213">
        <f t="shared" si="53"/>
        <v>769248691</v>
      </c>
      <c r="T41" s="1213">
        <f t="shared" si="53"/>
        <v>773001583</v>
      </c>
      <c r="U41" s="1213">
        <f t="shared" si="53"/>
        <v>770287328</v>
      </c>
      <c r="V41" s="1213">
        <f t="shared" si="53"/>
        <v>770287328</v>
      </c>
      <c r="W41" s="1213">
        <f t="shared" si="53"/>
        <v>679002421</v>
      </c>
      <c r="X41" s="1213">
        <f t="shared" si="53"/>
        <v>0</v>
      </c>
      <c r="Y41" s="1213">
        <f t="shared" si="53"/>
        <v>0</v>
      </c>
      <c r="Z41" s="1213">
        <f t="shared" si="53"/>
        <v>0</v>
      </c>
      <c r="AA41" s="1213">
        <f t="shared" si="53"/>
        <v>0</v>
      </c>
      <c r="AB41" s="1213">
        <f t="shared" si="53"/>
        <v>0</v>
      </c>
      <c r="AC41" s="1213">
        <f t="shared" si="53"/>
        <v>0</v>
      </c>
      <c r="AD41" s="1284"/>
      <c r="AE41" s="1213">
        <f t="shared" si="1"/>
        <v>12809342</v>
      </c>
      <c r="AF41" s="1213">
        <f t="shared" si="2"/>
        <v>3752892</v>
      </c>
      <c r="AG41" s="1213">
        <f t="shared" si="3"/>
        <v>-2714255</v>
      </c>
      <c r="AH41" s="2919">
        <f t="shared" si="4"/>
        <v>0</v>
      </c>
      <c r="AI41" s="1829">
        <f t="shared" ref="AI41:AI54" si="54">+K41/I41</f>
        <v>0.88149239422513259</v>
      </c>
      <c r="AJ41" s="417">
        <f t="shared" ref="AJ41:AJ54" si="55">+F41-D41</f>
        <v>91732975</v>
      </c>
      <c r="AK41" s="412"/>
      <c r="AL41" s="439"/>
    </row>
    <row r="42" spans="1:38" ht="15">
      <c r="A42" s="2934"/>
      <c r="B42" s="2948" t="s">
        <v>176</v>
      </c>
      <c r="C42" s="1290" t="s">
        <v>147</v>
      </c>
      <c r="D42" s="1227">
        <v>446363224</v>
      </c>
      <c r="E42" s="2719">
        <v>440364319</v>
      </c>
      <c r="F42" s="1227">
        <v>512081893</v>
      </c>
      <c r="G42" s="1227">
        <f>+F42</f>
        <v>512081893</v>
      </c>
      <c r="H42" s="1227">
        <f>+G42+9000*12+190000</f>
        <v>512379893</v>
      </c>
      <c r="I42" s="1227">
        <f>+H42+210000</f>
        <v>512589893</v>
      </c>
      <c r="J42" s="1227">
        <f t="shared" ref="G42:J46" si="56">+I42</f>
        <v>512589893</v>
      </c>
      <c r="K42" s="3209">
        <v>480429615</v>
      </c>
      <c r="L42" s="1227">
        <v>0</v>
      </c>
      <c r="M42" s="1227">
        <f t="shared" ref="M42:P46" si="57">+L42</f>
        <v>0</v>
      </c>
      <c r="N42" s="1227">
        <f t="shared" si="57"/>
        <v>0</v>
      </c>
      <c r="O42" s="1227">
        <f t="shared" si="57"/>
        <v>0</v>
      </c>
      <c r="P42" s="1227">
        <f t="shared" si="57"/>
        <v>0</v>
      </c>
      <c r="Q42" s="1227">
        <v>0</v>
      </c>
      <c r="R42" s="1227">
        <f>+F42</f>
        <v>512081893</v>
      </c>
      <c r="S42" s="1227">
        <f>+R42</f>
        <v>512081893</v>
      </c>
      <c r="T42" s="1227">
        <f>+S42+9000*12+190000</f>
        <v>512379893</v>
      </c>
      <c r="U42" s="1227">
        <f>+T42+210000</f>
        <v>512589893</v>
      </c>
      <c r="V42" s="1227">
        <f t="shared" ref="S42:V46" si="58">+U42</f>
        <v>512589893</v>
      </c>
      <c r="W42" s="1227">
        <f>+K42</f>
        <v>480429615</v>
      </c>
      <c r="X42" s="1227"/>
      <c r="Y42" s="1227">
        <f t="shared" ref="Y42:AC46" si="59">+X42</f>
        <v>0</v>
      </c>
      <c r="Z42" s="1227">
        <f t="shared" si="59"/>
        <v>0</v>
      </c>
      <c r="AA42" s="1227">
        <f t="shared" si="59"/>
        <v>0</v>
      </c>
      <c r="AB42" s="1227">
        <f t="shared" si="59"/>
        <v>0</v>
      </c>
      <c r="AC42" s="1227">
        <f t="shared" si="59"/>
        <v>0</v>
      </c>
      <c r="AD42" s="1284"/>
      <c r="AE42" s="1213">
        <f t="shared" si="1"/>
        <v>0</v>
      </c>
      <c r="AF42" s="1213">
        <f t="shared" si="2"/>
        <v>298000</v>
      </c>
      <c r="AG42" s="1213">
        <f t="shared" si="3"/>
        <v>210000</v>
      </c>
      <c r="AH42" s="2919">
        <f t="shared" si="4"/>
        <v>0</v>
      </c>
      <c r="AI42" s="1834">
        <f t="shared" si="54"/>
        <v>0.93725924283879702</v>
      </c>
      <c r="AJ42" s="417">
        <f t="shared" si="55"/>
        <v>65718669</v>
      </c>
      <c r="AK42" s="430"/>
      <c r="AL42" s="439"/>
    </row>
    <row r="43" spans="1:38" ht="15">
      <c r="A43" s="2934"/>
      <c r="B43" s="2948" t="s">
        <v>178</v>
      </c>
      <c r="C43" s="1290" t="s">
        <v>8</v>
      </c>
      <c r="D43" s="1227">
        <v>68451169</v>
      </c>
      <c r="E43" s="2719">
        <v>60134599</v>
      </c>
      <c r="F43" s="1227">
        <v>77902562</v>
      </c>
      <c r="G43" s="1227">
        <f>+F43</f>
        <v>77902562</v>
      </c>
      <c r="H43" s="1227">
        <f>+G43+24700</f>
        <v>77927262</v>
      </c>
      <c r="I43" s="1227">
        <f>+H43+27300</f>
        <v>77954562</v>
      </c>
      <c r="J43" s="1227">
        <f t="shared" si="56"/>
        <v>77954562</v>
      </c>
      <c r="K43" s="3209">
        <v>61282483</v>
      </c>
      <c r="L43" s="1227">
        <v>0</v>
      </c>
      <c r="M43" s="1227">
        <f t="shared" si="57"/>
        <v>0</v>
      </c>
      <c r="N43" s="1227">
        <f t="shared" si="57"/>
        <v>0</v>
      </c>
      <c r="O43" s="1227">
        <f t="shared" si="57"/>
        <v>0</v>
      </c>
      <c r="P43" s="1227">
        <f t="shared" si="57"/>
        <v>0</v>
      </c>
      <c r="Q43" s="1227">
        <v>0</v>
      </c>
      <c r="R43" s="1227">
        <f>+F43</f>
        <v>77902562</v>
      </c>
      <c r="S43" s="1227">
        <f>+R43</f>
        <v>77902562</v>
      </c>
      <c r="T43" s="1227">
        <f>+S43+24700</f>
        <v>77927262</v>
      </c>
      <c r="U43" s="1227">
        <f>+T43+27300</f>
        <v>77954562</v>
      </c>
      <c r="V43" s="1227">
        <f t="shared" si="58"/>
        <v>77954562</v>
      </c>
      <c r="W43" s="1227">
        <f>+K43</f>
        <v>61282483</v>
      </c>
      <c r="X43" s="1227"/>
      <c r="Y43" s="1227">
        <f t="shared" si="59"/>
        <v>0</v>
      </c>
      <c r="Z43" s="1227">
        <f t="shared" si="59"/>
        <v>0</v>
      </c>
      <c r="AA43" s="1227">
        <f t="shared" si="59"/>
        <v>0</v>
      </c>
      <c r="AB43" s="1227">
        <f t="shared" si="59"/>
        <v>0</v>
      </c>
      <c r="AC43" s="1227">
        <f t="shared" si="59"/>
        <v>0</v>
      </c>
      <c r="AD43" s="1665"/>
      <c r="AE43" s="1213">
        <f t="shared" si="1"/>
        <v>0</v>
      </c>
      <c r="AF43" s="1213">
        <f t="shared" si="2"/>
        <v>24700</v>
      </c>
      <c r="AG43" s="1213">
        <f t="shared" si="3"/>
        <v>27300</v>
      </c>
      <c r="AH43" s="2919">
        <f t="shared" si="4"/>
        <v>0</v>
      </c>
      <c r="AI43" s="1834">
        <f t="shared" si="54"/>
        <v>0.78613081040722155</v>
      </c>
      <c r="AJ43" s="417">
        <f t="shared" si="55"/>
        <v>9451393</v>
      </c>
      <c r="AK43" s="430"/>
      <c r="AL43" s="439"/>
    </row>
    <row r="44" spans="1:38" ht="15">
      <c r="A44" s="2934"/>
      <c r="B44" s="2948" t="s">
        <v>179</v>
      </c>
      <c r="C44" s="1290" t="s">
        <v>317</v>
      </c>
      <c r="D44" s="1227">
        <v>149891981</v>
      </c>
      <c r="E44" s="2719">
        <v>168973619</v>
      </c>
      <c r="F44" s="1227">
        <f>166454893+1</f>
        <v>166454894</v>
      </c>
      <c r="G44" s="1227">
        <f>+F44+952500+729620+99060+383540+1562998</f>
        <v>170182612</v>
      </c>
      <c r="H44" s="1227">
        <f>+G44+3430192</f>
        <v>173612804</v>
      </c>
      <c r="I44" s="1227">
        <f>+H44+275230-4213822-100410+1087447</f>
        <v>170661249</v>
      </c>
      <c r="J44" s="1227">
        <f t="shared" si="56"/>
        <v>170661249</v>
      </c>
      <c r="K44" s="3209">
        <v>128208699</v>
      </c>
      <c r="L44" s="1227">
        <v>0</v>
      </c>
      <c r="M44" s="1227">
        <f t="shared" si="57"/>
        <v>0</v>
      </c>
      <c r="N44" s="1227">
        <f t="shared" si="57"/>
        <v>0</v>
      </c>
      <c r="O44" s="1227">
        <f t="shared" si="57"/>
        <v>0</v>
      </c>
      <c r="P44" s="1227">
        <f t="shared" si="57"/>
        <v>0</v>
      </c>
      <c r="Q44" s="1227">
        <v>0</v>
      </c>
      <c r="R44" s="1227">
        <f>+F44</f>
        <v>166454894</v>
      </c>
      <c r="S44" s="1227">
        <f>+R44+952500+729620+99060+383540+1562998</f>
        <v>170182612</v>
      </c>
      <c r="T44" s="1227">
        <f>+S44+3430192</f>
        <v>173612804</v>
      </c>
      <c r="U44" s="1227">
        <f>+T44+275230-4213822-100410+1087447</f>
        <v>170661249</v>
      </c>
      <c r="V44" s="1227">
        <f t="shared" si="58"/>
        <v>170661249</v>
      </c>
      <c r="W44" s="1227">
        <f>+K44</f>
        <v>128208699</v>
      </c>
      <c r="X44" s="1227"/>
      <c r="Y44" s="1227">
        <f t="shared" si="59"/>
        <v>0</v>
      </c>
      <c r="Z44" s="1227">
        <f t="shared" si="59"/>
        <v>0</v>
      </c>
      <c r="AA44" s="1227">
        <f t="shared" si="59"/>
        <v>0</v>
      </c>
      <c r="AB44" s="1227">
        <f t="shared" si="59"/>
        <v>0</v>
      </c>
      <c r="AC44" s="1227">
        <f t="shared" si="59"/>
        <v>0</v>
      </c>
      <c r="AD44" s="1284"/>
      <c r="AE44" s="1213">
        <f t="shared" si="1"/>
        <v>3727718</v>
      </c>
      <c r="AF44" s="1213">
        <f t="shared" si="2"/>
        <v>3430192</v>
      </c>
      <c r="AG44" s="1213">
        <f t="shared" si="3"/>
        <v>-2951555</v>
      </c>
      <c r="AH44" s="2919">
        <f t="shared" si="4"/>
        <v>0</v>
      </c>
      <c r="AI44" s="1834">
        <f t="shared" si="54"/>
        <v>0.75124669338380379</v>
      </c>
      <c r="AJ44" s="417">
        <f t="shared" si="55"/>
        <v>16562913</v>
      </c>
      <c r="AK44" s="430"/>
    </row>
    <row r="45" spans="1:38" s="439" customFormat="1" ht="15">
      <c r="A45" s="2934"/>
      <c r="B45" s="2948" t="s">
        <v>180</v>
      </c>
      <c r="C45" s="1290" t="s">
        <v>318</v>
      </c>
      <c r="D45" s="1227">
        <v>0</v>
      </c>
      <c r="E45" s="2719">
        <v>0</v>
      </c>
      <c r="F45" s="1227">
        <v>0</v>
      </c>
      <c r="G45" s="1227">
        <f t="shared" si="56"/>
        <v>0</v>
      </c>
      <c r="H45" s="1227">
        <f t="shared" si="56"/>
        <v>0</v>
      </c>
      <c r="I45" s="1227">
        <f t="shared" si="56"/>
        <v>0</v>
      </c>
      <c r="J45" s="1227">
        <f t="shared" si="56"/>
        <v>0</v>
      </c>
      <c r="K45" s="3209">
        <v>0</v>
      </c>
      <c r="L45" s="1227">
        <v>0</v>
      </c>
      <c r="M45" s="1227">
        <f t="shared" si="57"/>
        <v>0</v>
      </c>
      <c r="N45" s="1227">
        <f t="shared" si="57"/>
        <v>0</v>
      </c>
      <c r="O45" s="1227">
        <f t="shared" si="57"/>
        <v>0</v>
      </c>
      <c r="P45" s="1227">
        <f t="shared" si="57"/>
        <v>0</v>
      </c>
      <c r="Q45" s="1227">
        <v>0</v>
      </c>
      <c r="R45" s="1227">
        <v>0</v>
      </c>
      <c r="S45" s="1227">
        <f t="shared" si="58"/>
        <v>0</v>
      </c>
      <c r="T45" s="1227">
        <f t="shared" si="58"/>
        <v>0</v>
      </c>
      <c r="U45" s="1227">
        <f t="shared" si="58"/>
        <v>0</v>
      </c>
      <c r="V45" s="1227">
        <f t="shared" si="58"/>
        <v>0</v>
      </c>
      <c r="W45" s="1227">
        <f>+K45</f>
        <v>0</v>
      </c>
      <c r="X45" s="1227"/>
      <c r="Y45" s="1227">
        <f t="shared" si="59"/>
        <v>0</v>
      </c>
      <c r="Z45" s="1227">
        <f t="shared" si="59"/>
        <v>0</v>
      </c>
      <c r="AA45" s="1227">
        <f t="shared" si="59"/>
        <v>0</v>
      </c>
      <c r="AB45" s="1227">
        <f t="shared" si="59"/>
        <v>0</v>
      </c>
      <c r="AC45" s="1227">
        <f t="shared" si="59"/>
        <v>0</v>
      </c>
      <c r="AD45" s="1284"/>
      <c r="AE45" s="1213">
        <f t="shared" si="1"/>
        <v>0</v>
      </c>
      <c r="AF45" s="1213">
        <f t="shared" si="2"/>
        <v>0</v>
      </c>
      <c r="AG45" s="1213">
        <f t="shared" si="3"/>
        <v>0</v>
      </c>
      <c r="AH45" s="2919">
        <f t="shared" si="4"/>
        <v>0</v>
      </c>
      <c r="AI45" s="1834"/>
      <c r="AJ45" s="417">
        <f t="shared" si="55"/>
        <v>0</v>
      </c>
      <c r="AK45" s="430"/>
    </row>
    <row r="46" spans="1:38" ht="15">
      <c r="A46" s="2934"/>
      <c r="B46" s="1477" t="s">
        <v>181</v>
      </c>
      <c r="C46" s="1286" t="s">
        <v>151</v>
      </c>
      <c r="D46" s="1227">
        <f>0</f>
        <v>0</v>
      </c>
      <c r="E46" s="2719">
        <v>14562499</v>
      </c>
      <c r="F46" s="1227">
        <v>0</v>
      </c>
      <c r="G46" s="1227">
        <f>+F46+9081624</f>
        <v>9081624</v>
      </c>
      <c r="H46" s="1227">
        <f t="shared" si="56"/>
        <v>9081624</v>
      </c>
      <c r="I46" s="1227">
        <f t="shared" si="56"/>
        <v>9081624</v>
      </c>
      <c r="J46" s="1227">
        <f t="shared" si="56"/>
        <v>9081624</v>
      </c>
      <c r="K46" s="3209">
        <v>9081624</v>
      </c>
      <c r="L46" s="1227">
        <v>0</v>
      </c>
      <c r="M46" s="1227">
        <f t="shared" si="57"/>
        <v>0</v>
      </c>
      <c r="N46" s="1227">
        <f t="shared" si="57"/>
        <v>0</v>
      </c>
      <c r="O46" s="1227">
        <f t="shared" si="57"/>
        <v>0</v>
      </c>
      <c r="P46" s="1227">
        <f t="shared" si="57"/>
        <v>0</v>
      </c>
      <c r="Q46" s="1227">
        <v>0</v>
      </c>
      <c r="R46" s="1227">
        <v>0</v>
      </c>
      <c r="S46" s="1227">
        <f>+R46+9081624</f>
        <v>9081624</v>
      </c>
      <c r="T46" s="1227">
        <f t="shared" si="58"/>
        <v>9081624</v>
      </c>
      <c r="U46" s="1227">
        <f t="shared" si="58"/>
        <v>9081624</v>
      </c>
      <c r="V46" s="1227">
        <f t="shared" si="58"/>
        <v>9081624</v>
      </c>
      <c r="W46" s="1227">
        <f>+K46</f>
        <v>9081624</v>
      </c>
      <c r="X46" s="1227"/>
      <c r="Y46" s="1227">
        <f t="shared" si="59"/>
        <v>0</v>
      </c>
      <c r="Z46" s="1227">
        <f t="shared" si="59"/>
        <v>0</v>
      </c>
      <c r="AA46" s="1227">
        <f t="shared" si="59"/>
        <v>0</v>
      </c>
      <c r="AB46" s="1227">
        <f t="shared" si="59"/>
        <v>0</v>
      </c>
      <c r="AC46" s="1227">
        <f t="shared" si="59"/>
        <v>0</v>
      </c>
      <c r="AD46" s="2966"/>
      <c r="AE46" s="1213">
        <f t="shared" si="1"/>
        <v>9081624</v>
      </c>
      <c r="AF46" s="1213">
        <f t="shared" si="2"/>
        <v>0</v>
      </c>
      <c r="AG46" s="1213">
        <f t="shared" si="3"/>
        <v>0</v>
      </c>
      <c r="AH46" s="2919">
        <f t="shared" si="4"/>
        <v>0</v>
      </c>
      <c r="AI46" s="1834">
        <f t="shared" si="54"/>
        <v>1</v>
      </c>
      <c r="AJ46" s="417">
        <f t="shared" si="55"/>
        <v>0</v>
      </c>
      <c r="AK46" s="430"/>
    </row>
    <row r="47" spans="1:38" ht="15">
      <c r="A47" s="2934" t="s">
        <v>12</v>
      </c>
      <c r="B47" s="2946" t="s">
        <v>12</v>
      </c>
      <c r="C47" s="1292" t="s">
        <v>1292</v>
      </c>
      <c r="D47" s="1213">
        <f t="shared" ref="D47:AC47" si="60">SUM(D48:D50)</f>
        <v>952500</v>
      </c>
      <c r="E47" s="2715">
        <f t="shared" si="60"/>
        <v>1576629</v>
      </c>
      <c r="F47" s="1213">
        <f t="shared" si="60"/>
        <v>788670</v>
      </c>
      <c r="G47" s="1213">
        <f t="shared" si="60"/>
        <v>1287780</v>
      </c>
      <c r="H47" s="1213">
        <f t="shared" si="60"/>
        <v>1287780</v>
      </c>
      <c r="I47" s="1213">
        <f t="shared" si="60"/>
        <v>1388190</v>
      </c>
      <c r="J47" s="1213">
        <f t="shared" si="60"/>
        <v>1388190</v>
      </c>
      <c r="K47" s="3208">
        <f>SUM(K48:K50)</f>
        <v>1385190</v>
      </c>
      <c r="L47" s="1213">
        <f t="shared" si="60"/>
        <v>0</v>
      </c>
      <c r="M47" s="1213">
        <f t="shared" si="60"/>
        <v>0</v>
      </c>
      <c r="N47" s="1213">
        <f t="shared" si="60"/>
        <v>0</v>
      </c>
      <c r="O47" s="1213">
        <f t="shared" si="60"/>
        <v>0</v>
      </c>
      <c r="P47" s="1213">
        <f t="shared" si="60"/>
        <v>0</v>
      </c>
      <c r="Q47" s="1213">
        <f t="shared" si="60"/>
        <v>0</v>
      </c>
      <c r="R47" s="1213">
        <f t="shared" si="60"/>
        <v>788670</v>
      </c>
      <c r="S47" s="1213">
        <f t="shared" si="60"/>
        <v>1287780</v>
      </c>
      <c r="T47" s="1213">
        <f t="shared" si="60"/>
        <v>1287780</v>
      </c>
      <c r="U47" s="1213">
        <f t="shared" si="60"/>
        <v>1388190</v>
      </c>
      <c r="V47" s="1213">
        <f t="shared" si="60"/>
        <v>1388190</v>
      </c>
      <c r="W47" s="1213">
        <f t="shared" si="60"/>
        <v>1385190</v>
      </c>
      <c r="X47" s="1213">
        <f t="shared" si="60"/>
        <v>0</v>
      </c>
      <c r="Y47" s="1213">
        <f t="shared" si="60"/>
        <v>0</v>
      </c>
      <c r="Z47" s="1213">
        <f t="shared" si="60"/>
        <v>0</v>
      </c>
      <c r="AA47" s="1213">
        <f t="shared" si="60"/>
        <v>0</v>
      </c>
      <c r="AB47" s="1213">
        <f t="shared" si="60"/>
        <v>0</v>
      </c>
      <c r="AC47" s="1213">
        <f t="shared" si="60"/>
        <v>0</v>
      </c>
      <c r="AD47" s="1284"/>
      <c r="AE47" s="1213">
        <f t="shared" si="1"/>
        <v>499110</v>
      </c>
      <c r="AF47" s="1213">
        <f t="shared" si="2"/>
        <v>0</v>
      </c>
      <c r="AG47" s="1213">
        <f t="shared" si="3"/>
        <v>100410</v>
      </c>
      <c r="AH47" s="2919">
        <f t="shared" si="4"/>
        <v>0</v>
      </c>
      <c r="AI47" s="1829">
        <f t="shared" si="54"/>
        <v>0.99783891254079049</v>
      </c>
      <c r="AJ47" s="417">
        <f t="shared" si="55"/>
        <v>-163830</v>
      </c>
      <c r="AK47" s="412"/>
    </row>
    <row r="48" spans="1:38" ht="15">
      <c r="A48" s="2934"/>
      <c r="B48" s="2948" t="s">
        <v>185</v>
      </c>
      <c r="C48" s="1290" t="s">
        <v>82</v>
      </c>
      <c r="D48" s="1227">
        <v>952500</v>
      </c>
      <c r="E48" s="2719">
        <v>1576629</v>
      </c>
      <c r="F48" s="1227">
        <v>788670</v>
      </c>
      <c r="G48" s="1227">
        <f>+F48</f>
        <v>788670</v>
      </c>
      <c r="H48" s="1227">
        <f>+G48+499110</f>
        <v>1287780</v>
      </c>
      <c r="I48" s="1227">
        <f>+H48+100410</f>
        <v>1388190</v>
      </c>
      <c r="J48" s="1227">
        <f t="shared" ref="G48:J51" si="61">+I48</f>
        <v>1388190</v>
      </c>
      <c r="K48" s="3209">
        <v>1385190</v>
      </c>
      <c r="L48" s="1227">
        <v>0</v>
      </c>
      <c r="M48" s="1227">
        <f t="shared" ref="M48:P51" si="62">+L48</f>
        <v>0</v>
      </c>
      <c r="N48" s="1227">
        <f t="shared" si="62"/>
        <v>0</v>
      </c>
      <c r="O48" s="1227">
        <f t="shared" si="62"/>
        <v>0</v>
      </c>
      <c r="P48" s="1227">
        <f t="shared" si="62"/>
        <v>0</v>
      </c>
      <c r="Q48" s="1227">
        <v>0</v>
      </c>
      <c r="R48" s="1227">
        <f>+F48</f>
        <v>788670</v>
      </c>
      <c r="S48" s="1227">
        <f>+R48</f>
        <v>788670</v>
      </c>
      <c r="T48" s="1227">
        <f>+S48+499110</f>
        <v>1287780</v>
      </c>
      <c r="U48" s="1227">
        <f>+T48+100410</f>
        <v>1388190</v>
      </c>
      <c r="V48" s="1227">
        <f t="shared" ref="S48:V51" si="63">+U48</f>
        <v>1388190</v>
      </c>
      <c r="W48" s="1227">
        <f>+K48</f>
        <v>1385190</v>
      </c>
      <c r="X48" s="1227"/>
      <c r="Y48" s="1227">
        <f t="shared" ref="Y48:AC51" si="64">+X48</f>
        <v>0</v>
      </c>
      <c r="Z48" s="1227">
        <f t="shared" si="64"/>
        <v>0</v>
      </c>
      <c r="AA48" s="1227">
        <f t="shared" si="64"/>
        <v>0</v>
      </c>
      <c r="AB48" s="1227">
        <f t="shared" si="64"/>
        <v>0</v>
      </c>
      <c r="AC48" s="1227">
        <f t="shared" si="64"/>
        <v>0</v>
      </c>
      <c r="AD48" s="2966"/>
      <c r="AE48" s="1213">
        <f t="shared" si="1"/>
        <v>0</v>
      </c>
      <c r="AF48" s="1213">
        <f t="shared" si="2"/>
        <v>499110</v>
      </c>
      <c r="AG48" s="1213">
        <f t="shared" si="3"/>
        <v>100410</v>
      </c>
      <c r="AH48" s="2919">
        <f t="shared" si="4"/>
        <v>0</v>
      </c>
      <c r="AI48" s="1834">
        <f t="shared" si="54"/>
        <v>0.99783891254079049</v>
      </c>
      <c r="AJ48" s="417">
        <f t="shared" si="55"/>
        <v>-163830</v>
      </c>
      <c r="AK48" s="430"/>
    </row>
    <row r="49" spans="1:37" ht="15">
      <c r="A49" s="2934"/>
      <c r="B49" s="2948" t="s">
        <v>187</v>
      </c>
      <c r="C49" s="1290" t="s">
        <v>344</v>
      </c>
      <c r="D49" s="1227">
        <v>0</v>
      </c>
      <c r="E49" s="2719">
        <v>0</v>
      </c>
      <c r="F49" s="1227">
        <v>0</v>
      </c>
      <c r="G49" s="1227">
        <f>+F49+499110</f>
        <v>499110</v>
      </c>
      <c r="H49" s="1227">
        <f>+G49-499110</f>
        <v>0</v>
      </c>
      <c r="I49" s="1227">
        <f t="shared" si="61"/>
        <v>0</v>
      </c>
      <c r="J49" s="1227">
        <f t="shared" si="61"/>
        <v>0</v>
      </c>
      <c r="K49" s="3209">
        <v>0</v>
      </c>
      <c r="L49" s="1227">
        <v>0</v>
      </c>
      <c r="M49" s="1227">
        <f t="shared" si="62"/>
        <v>0</v>
      </c>
      <c r="N49" s="1227">
        <f t="shared" si="62"/>
        <v>0</v>
      </c>
      <c r="O49" s="1227">
        <f t="shared" si="62"/>
        <v>0</v>
      </c>
      <c r="P49" s="1227">
        <f t="shared" si="62"/>
        <v>0</v>
      </c>
      <c r="Q49" s="1227">
        <v>0</v>
      </c>
      <c r="R49" s="1227">
        <f>+F49</f>
        <v>0</v>
      </c>
      <c r="S49" s="1227">
        <f>+R49+499110</f>
        <v>499110</v>
      </c>
      <c r="T49" s="1227">
        <f>+S49-499110</f>
        <v>0</v>
      </c>
      <c r="U49" s="1227">
        <f t="shared" si="63"/>
        <v>0</v>
      </c>
      <c r="V49" s="1227">
        <f t="shared" si="63"/>
        <v>0</v>
      </c>
      <c r="W49" s="1227">
        <f>+K49</f>
        <v>0</v>
      </c>
      <c r="X49" s="1227"/>
      <c r="Y49" s="1227">
        <f t="shared" si="64"/>
        <v>0</v>
      </c>
      <c r="Z49" s="1227">
        <f t="shared" si="64"/>
        <v>0</v>
      </c>
      <c r="AA49" s="1227">
        <f t="shared" si="64"/>
        <v>0</v>
      </c>
      <c r="AB49" s="1227">
        <f t="shared" si="64"/>
        <v>0</v>
      </c>
      <c r="AC49" s="1227">
        <f t="shared" si="64"/>
        <v>0</v>
      </c>
      <c r="AD49" s="1284"/>
      <c r="AE49" s="1213">
        <f t="shared" si="1"/>
        <v>499110</v>
      </c>
      <c r="AF49" s="1213">
        <f t="shared" si="2"/>
        <v>-499110</v>
      </c>
      <c r="AG49" s="1213">
        <f t="shared" si="3"/>
        <v>0</v>
      </c>
      <c r="AH49" s="2919">
        <f t="shared" si="4"/>
        <v>0</v>
      </c>
      <c r="AI49" s="1834"/>
      <c r="AJ49" s="417">
        <f t="shared" si="55"/>
        <v>0</v>
      </c>
      <c r="AK49" s="430"/>
    </row>
    <row r="50" spans="1:37" ht="15">
      <c r="A50" s="2934"/>
      <c r="B50" s="1477" t="s">
        <v>189</v>
      </c>
      <c r="C50" s="1286" t="s">
        <v>1293</v>
      </c>
      <c r="D50" s="1227">
        <v>0</v>
      </c>
      <c r="E50" s="2719">
        <v>0</v>
      </c>
      <c r="F50" s="1227">
        <v>0</v>
      </c>
      <c r="G50" s="1227">
        <f t="shared" si="61"/>
        <v>0</v>
      </c>
      <c r="H50" s="1227">
        <f t="shared" si="61"/>
        <v>0</v>
      </c>
      <c r="I50" s="1227">
        <f t="shared" si="61"/>
        <v>0</v>
      </c>
      <c r="J50" s="1227">
        <f t="shared" si="61"/>
        <v>0</v>
      </c>
      <c r="K50" s="3209">
        <v>0</v>
      </c>
      <c r="L50" s="1227">
        <v>0</v>
      </c>
      <c r="M50" s="1227">
        <f t="shared" si="62"/>
        <v>0</v>
      </c>
      <c r="N50" s="1227">
        <f t="shared" si="62"/>
        <v>0</v>
      </c>
      <c r="O50" s="1227">
        <f t="shared" si="62"/>
        <v>0</v>
      </c>
      <c r="P50" s="1227">
        <f t="shared" si="62"/>
        <v>0</v>
      </c>
      <c r="Q50" s="1227">
        <v>0</v>
      </c>
      <c r="R50" s="1227">
        <v>0</v>
      </c>
      <c r="S50" s="1227">
        <f t="shared" si="63"/>
        <v>0</v>
      </c>
      <c r="T50" s="1227">
        <f t="shared" si="63"/>
        <v>0</v>
      </c>
      <c r="U50" s="1227">
        <f t="shared" si="63"/>
        <v>0</v>
      </c>
      <c r="V50" s="1227">
        <f t="shared" si="63"/>
        <v>0</v>
      </c>
      <c r="W50" s="1227">
        <f>+K50</f>
        <v>0</v>
      </c>
      <c r="X50" s="1227"/>
      <c r="Y50" s="1227">
        <f t="shared" si="64"/>
        <v>0</v>
      </c>
      <c r="Z50" s="1227">
        <f t="shared" si="64"/>
        <v>0</v>
      </c>
      <c r="AA50" s="1227">
        <f t="shared" si="64"/>
        <v>0</v>
      </c>
      <c r="AB50" s="1227">
        <f t="shared" si="64"/>
        <v>0</v>
      </c>
      <c r="AC50" s="1227">
        <f t="shared" si="64"/>
        <v>0</v>
      </c>
      <c r="AD50" s="1284"/>
      <c r="AE50" s="1213">
        <f t="shared" si="1"/>
        <v>0</v>
      </c>
      <c r="AF50" s="1213">
        <f t="shared" si="2"/>
        <v>0</v>
      </c>
      <c r="AG50" s="1213">
        <f t="shared" si="3"/>
        <v>0</v>
      </c>
      <c r="AH50" s="2919">
        <f t="shared" si="4"/>
        <v>0</v>
      </c>
      <c r="AI50" s="1834"/>
      <c r="AJ50" s="417">
        <f t="shared" si="55"/>
        <v>0</v>
      </c>
      <c r="AK50" s="430"/>
    </row>
    <row r="51" spans="1:37" ht="15">
      <c r="A51" s="2934"/>
      <c r="B51" s="1477" t="s">
        <v>191</v>
      </c>
      <c r="C51" s="1290" t="s">
        <v>1294</v>
      </c>
      <c r="D51" s="1227">
        <v>0</v>
      </c>
      <c r="E51" s="2719">
        <v>0</v>
      </c>
      <c r="F51" s="1227">
        <v>0</v>
      </c>
      <c r="G51" s="1227">
        <f t="shared" si="61"/>
        <v>0</v>
      </c>
      <c r="H51" s="1227">
        <f t="shared" si="61"/>
        <v>0</v>
      </c>
      <c r="I51" s="1227">
        <f t="shared" si="61"/>
        <v>0</v>
      </c>
      <c r="J51" s="1227">
        <f t="shared" si="61"/>
        <v>0</v>
      </c>
      <c r="K51" s="3209">
        <v>0</v>
      </c>
      <c r="L51" s="1227">
        <v>0</v>
      </c>
      <c r="M51" s="1227">
        <f t="shared" si="62"/>
        <v>0</v>
      </c>
      <c r="N51" s="1227">
        <f t="shared" si="62"/>
        <v>0</v>
      </c>
      <c r="O51" s="1227">
        <f t="shared" si="62"/>
        <v>0</v>
      </c>
      <c r="P51" s="1227">
        <f t="shared" si="62"/>
        <v>0</v>
      </c>
      <c r="Q51" s="1227">
        <v>0</v>
      </c>
      <c r="R51" s="1227">
        <v>0</v>
      </c>
      <c r="S51" s="1227">
        <f t="shared" si="63"/>
        <v>0</v>
      </c>
      <c r="T51" s="1227">
        <f t="shared" si="63"/>
        <v>0</v>
      </c>
      <c r="U51" s="1227">
        <f t="shared" si="63"/>
        <v>0</v>
      </c>
      <c r="V51" s="1227">
        <f t="shared" si="63"/>
        <v>0</v>
      </c>
      <c r="W51" s="1227">
        <f>+K51</f>
        <v>0</v>
      </c>
      <c r="X51" s="1227"/>
      <c r="Y51" s="1227">
        <f t="shared" si="64"/>
        <v>0</v>
      </c>
      <c r="Z51" s="1227">
        <f t="shared" si="64"/>
        <v>0</v>
      </c>
      <c r="AA51" s="1227">
        <f t="shared" si="64"/>
        <v>0</v>
      </c>
      <c r="AB51" s="1227">
        <f t="shared" si="64"/>
        <v>0</v>
      </c>
      <c r="AC51" s="1227">
        <f t="shared" si="64"/>
        <v>0</v>
      </c>
      <c r="AD51" s="1284"/>
      <c r="AE51" s="1213">
        <f t="shared" si="1"/>
        <v>0</v>
      </c>
      <c r="AF51" s="1213">
        <f t="shared" si="2"/>
        <v>0</v>
      </c>
      <c r="AG51" s="1213">
        <f t="shared" si="3"/>
        <v>0</v>
      </c>
      <c r="AH51" s="2919">
        <f t="shared" si="4"/>
        <v>0</v>
      </c>
      <c r="AI51" s="1834"/>
      <c r="AJ51" s="417">
        <f t="shared" si="55"/>
        <v>0</v>
      </c>
      <c r="AK51" s="430"/>
    </row>
    <row r="52" spans="1:37" ht="15">
      <c r="A52" s="2934" t="s">
        <v>14</v>
      </c>
      <c r="B52" s="1282" t="s">
        <v>14</v>
      </c>
      <c r="C52" s="2950" t="s">
        <v>1295</v>
      </c>
      <c r="D52" s="1298">
        <f t="shared" ref="D52:AC52" si="65">+D41+D47</f>
        <v>665658874</v>
      </c>
      <c r="E52" s="2720">
        <f t="shared" si="65"/>
        <v>685611665</v>
      </c>
      <c r="F52" s="1298">
        <f t="shared" si="65"/>
        <v>757228019</v>
      </c>
      <c r="G52" s="1298">
        <f t="shared" si="65"/>
        <v>770536471</v>
      </c>
      <c r="H52" s="1298">
        <f t="shared" si="65"/>
        <v>774289363</v>
      </c>
      <c r="I52" s="1298">
        <f t="shared" si="65"/>
        <v>771675518</v>
      </c>
      <c r="J52" s="1298">
        <f t="shared" si="65"/>
        <v>771675518</v>
      </c>
      <c r="K52" s="3210">
        <f t="shared" si="65"/>
        <v>680387611</v>
      </c>
      <c r="L52" s="1298">
        <f t="shared" si="65"/>
        <v>0</v>
      </c>
      <c r="M52" s="1298">
        <f t="shared" si="65"/>
        <v>0</v>
      </c>
      <c r="N52" s="1298">
        <f t="shared" si="65"/>
        <v>0</v>
      </c>
      <c r="O52" s="1298">
        <f t="shared" si="65"/>
        <v>0</v>
      </c>
      <c r="P52" s="1298">
        <f t="shared" si="65"/>
        <v>0</v>
      </c>
      <c r="Q52" s="1298">
        <f t="shared" si="65"/>
        <v>0</v>
      </c>
      <c r="R52" s="1298">
        <f t="shared" si="65"/>
        <v>757228019</v>
      </c>
      <c r="S52" s="1298">
        <f t="shared" si="65"/>
        <v>770536471</v>
      </c>
      <c r="T52" s="1298">
        <f t="shared" si="65"/>
        <v>774289363</v>
      </c>
      <c r="U52" s="1298">
        <f t="shared" si="65"/>
        <v>771675518</v>
      </c>
      <c r="V52" s="1298">
        <f t="shared" si="65"/>
        <v>771675518</v>
      </c>
      <c r="W52" s="1298">
        <f t="shared" si="65"/>
        <v>680387611</v>
      </c>
      <c r="X52" s="1298">
        <f t="shared" si="65"/>
        <v>0</v>
      </c>
      <c r="Y52" s="1298">
        <f t="shared" si="65"/>
        <v>0</v>
      </c>
      <c r="Z52" s="1298">
        <f t="shared" si="65"/>
        <v>0</v>
      </c>
      <c r="AA52" s="1298">
        <f t="shared" si="65"/>
        <v>0</v>
      </c>
      <c r="AB52" s="1298">
        <f t="shared" si="65"/>
        <v>0</v>
      </c>
      <c r="AC52" s="1298">
        <f t="shared" si="65"/>
        <v>0</v>
      </c>
      <c r="AD52" s="1284"/>
      <c r="AE52" s="1213">
        <f t="shared" si="1"/>
        <v>13308452</v>
      </c>
      <c r="AF52" s="1213">
        <f t="shared" si="2"/>
        <v>3752892</v>
      </c>
      <c r="AG52" s="1213">
        <f t="shared" si="3"/>
        <v>-2613845</v>
      </c>
      <c r="AH52" s="2919">
        <f t="shared" si="4"/>
        <v>0</v>
      </c>
      <c r="AI52" s="1829">
        <f t="shared" si="54"/>
        <v>0.88170169343120197</v>
      </c>
      <c r="AJ52" s="417">
        <f t="shared" si="55"/>
        <v>91569145</v>
      </c>
      <c r="AK52" s="436"/>
    </row>
    <row r="53" spans="1:37" ht="15" hidden="1">
      <c r="A53" s="2935"/>
      <c r="B53" s="1277"/>
      <c r="C53" s="1193"/>
      <c r="D53" s="2971"/>
      <c r="E53" s="2972"/>
      <c r="F53" s="2971"/>
      <c r="G53" s="1299"/>
      <c r="H53" s="1299"/>
      <c r="I53" s="1299"/>
      <c r="J53" s="2971"/>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4"/>
        <v>#DIV/0!</v>
      </c>
      <c r="AJ53" s="417">
        <f t="shared" si="55"/>
        <v>0</v>
      </c>
      <c r="AK53" s="558"/>
    </row>
    <row r="54" spans="1:37" ht="32.25" thickBot="1">
      <c r="A54" s="2936"/>
      <c r="B54" s="2953" t="s">
        <v>15</v>
      </c>
      <c r="C54" s="2954" t="str">
        <f>+'8. mell. Intézmények összesen'!C54</f>
        <v>Létszám előirányzat (státusz) - Teljesítés: Munkajogi zárólétszám (az időszak végén munkaviszonyban állók létszáma)</v>
      </c>
      <c r="D54" s="2957">
        <v>62</v>
      </c>
      <c r="E54" s="2967">
        <v>70</v>
      </c>
      <c r="F54" s="2957">
        <v>62</v>
      </c>
      <c r="G54" s="2957">
        <f>+F54</f>
        <v>62</v>
      </c>
      <c r="H54" s="2957">
        <f>+G54-9</f>
        <v>53</v>
      </c>
      <c r="I54" s="2957">
        <f>+H54</f>
        <v>53</v>
      </c>
      <c r="J54" s="2957">
        <f>+I54</f>
        <v>53</v>
      </c>
      <c r="K54" s="3212">
        <v>60</v>
      </c>
      <c r="L54" s="2957">
        <v>0</v>
      </c>
      <c r="M54" s="2957">
        <f>+L54</f>
        <v>0</v>
      </c>
      <c r="N54" s="2957">
        <f>+M54</f>
        <v>0</v>
      </c>
      <c r="O54" s="2957">
        <f>+N54</f>
        <v>0</v>
      </c>
      <c r="P54" s="2957">
        <f>+O54</f>
        <v>0</v>
      </c>
      <c r="Q54" s="2957">
        <f>+P54</f>
        <v>0</v>
      </c>
      <c r="R54" s="2957">
        <f>+F54</f>
        <v>62</v>
      </c>
      <c r="S54" s="2957">
        <f>+R54</f>
        <v>62</v>
      </c>
      <c r="T54" s="2957">
        <f>+S54-9</f>
        <v>53</v>
      </c>
      <c r="U54" s="2957">
        <f>+T54</f>
        <v>53</v>
      </c>
      <c r="V54" s="2957">
        <f>+U54</f>
        <v>53</v>
      </c>
      <c r="W54" s="2957">
        <f>+V54</f>
        <v>53</v>
      </c>
      <c r="X54" s="2957"/>
      <c r="Y54" s="2957">
        <f>+X54</f>
        <v>0</v>
      </c>
      <c r="Z54" s="2957">
        <f>+Y54</f>
        <v>0</v>
      </c>
      <c r="AA54" s="2957">
        <f>+Z54</f>
        <v>0</v>
      </c>
      <c r="AB54" s="2957">
        <f>+AA54</f>
        <v>0</v>
      </c>
      <c r="AC54" s="2957">
        <f>+AB54</f>
        <v>0</v>
      </c>
      <c r="AD54" s="2965"/>
      <c r="AE54" s="2959">
        <f t="shared" si="1"/>
        <v>0</v>
      </c>
      <c r="AF54" s="1213">
        <f t="shared" si="2"/>
        <v>-9</v>
      </c>
      <c r="AG54" s="1213">
        <f t="shared" si="3"/>
        <v>0</v>
      </c>
      <c r="AH54" s="2943">
        <f t="shared" si="4"/>
        <v>0</v>
      </c>
      <c r="AI54" s="1829">
        <f t="shared" si="54"/>
        <v>1.1320754716981132</v>
      </c>
      <c r="AJ54" s="550">
        <f t="shared" si="55"/>
        <v>0</v>
      </c>
      <c r="AK54" s="1853"/>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66">+X55</f>
        <v>0</v>
      </c>
      <c r="Z55" s="459">
        <f t="shared" si="66"/>
        <v>0</v>
      </c>
      <c r="AA55" s="459">
        <f t="shared" si="66"/>
        <v>0</v>
      </c>
      <c r="AB55" s="459">
        <f t="shared" si="66"/>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556"/>
      <c r="E56" s="556"/>
      <c r="F56" s="556"/>
      <c r="G56" s="461"/>
      <c r="H56" s="461"/>
      <c r="I56" s="461"/>
      <c r="J56" s="461"/>
      <c r="K56" s="3214"/>
      <c r="L56" s="460"/>
      <c r="M56" s="460"/>
      <c r="N56" s="460"/>
      <c r="O56" s="460"/>
      <c r="P56" s="460"/>
      <c r="Q56" s="460"/>
      <c r="R56" s="460"/>
      <c r="S56" s="553"/>
      <c r="T56" s="553"/>
      <c r="U56" s="553"/>
      <c r="V56" s="553">
        <f>+U56</f>
        <v>0</v>
      </c>
      <c r="W56" s="553"/>
      <c r="X56" s="460"/>
      <c r="Y56" s="459">
        <f t="shared" si="66"/>
        <v>0</v>
      </c>
      <c r="Z56" s="459">
        <f t="shared" si="66"/>
        <v>0</v>
      </c>
      <c r="AA56" s="459">
        <f t="shared" si="66"/>
        <v>0</v>
      </c>
      <c r="AB56" s="459">
        <f t="shared" si="66"/>
        <v>0</v>
      </c>
      <c r="AC56" s="459"/>
      <c r="AD56" s="557"/>
      <c r="AE56" s="555">
        <f t="shared" si="1"/>
        <v>0</v>
      </c>
      <c r="AF56" s="555"/>
      <c r="AG56" s="555"/>
      <c r="AH56" s="555"/>
      <c r="AJ56" s="417">
        <f>+F56-D56</f>
        <v>0</v>
      </c>
    </row>
    <row r="57" spans="1:37" ht="15.75">
      <c r="B57" s="3205" t="s">
        <v>17</v>
      </c>
      <c r="C57" s="3207" t="s">
        <v>4053</v>
      </c>
      <c r="D57" s="3474">
        <f t="shared" ref="D57:K57" si="67">+D37-D52</f>
        <v>0</v>
      </c>
      <c r="E57" s="3475">
        <f>+E37-E52</f>
        <v>9811244</v>
      </c>
      <c r="F57" s="3476">
        <f t="shared" si="67"/>
        <v>0</v>
      </c>
      <c r="G57" s="3477">
        <f t="shared" si="67"/>
        <v>0</v>
      </c>
      <c r="H57" s="3477">
        <f t="shared" si="67"/>
        <v>0</v>
      </c>
      <c r="I57" s="3477"/>
      <c r="J57" s="3477">
        <f t="shared" si="67"/>
        <v>0</v>
      </c>
      <c r="K57" s="3478">
        <f t="shared" si="67"/>
        <v>40050750</v>
      </c>
      <c r="L57" s="3479"/>
      <c r="M57" s="3479"/>
      <c r="N57" s="3479"/>
      <c r="O57" s="3477"/>
      <c r="P57" s="3477"/>
      <c r="Q57" s="3477"/>
      <c r="R57" s="3480"/>
      <c r="S57" s="3477"/>
      <c r="T57" s="3477"/>
      <c r="U57" s="3477"/>
      <c r="V57" s="3477"/>
      <c r="W57" s="3477"/>
      <c r="X57" s="3477"/>
      <c r="Y57" s="3477"/>
      <c r="Z57" s="3477"/>
      <c r="AA57" s="3477"/>
      <c r="AB57" s="3477"/>
      <c r="AC57" s="3477"/>
      <c r="AD57" s="3477"/>
      <c r="AE57" s="3477"/>
      <c r="AF57" s="3477"/>
      <c r="AG57" s="3477"/>
      <c r="AH57" s="3477"/>
      <c r="AI57" s="3481"/>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68">+D37-D52</f>
        <v>0</v>
      </c>
      <c r="E60" s="396">
        <f>+E37-E52</f>
        <v>9811244</v>
      </c>
      <c r="F60" s="396">
        <f t="shared" si="68"/>
        <v>0</v>
      </c>
      <c r="G60" s="396">
        <f t="shared" si="68"/>
        <v>0</v>
      </c>
      <c r="H60" s="396">
        <f t="shared" si="68"/>
        <v>0</v>
      </c>
      <c r="I60" s="396">
        <f t="shared" si="68"/>
        <v>0</v>
      </c>
      <c r="J60" s="460">
        <f t="shared" si="68"/>
        <v>0</v>
      </c>
      <c r="K60" s="460">
        <f t="shared" si="68"/>
        <v>40050750</v>
      </c>
      <c r="L60" s="460">
        <f t="shared" si="68"/>
        <v>0</v>
      </c>
      <c r="M60" s="460">
        <f t="shared" si="68"/>
        <v>0</v>
      </c>
      <c r="N60" s="460">
        <f t="shared" si="68"/>
        <v>0</v>
      </c>
      <c r="O60" s="460">
        <f t="shared" si="68"/>
        <v>0</v>
      </c>
      <c r="P60" s="460">
        <f t="shared" si="68"/>
        <v>0</v>
      </c>
      <c r="Q60" s="460">
        <f t="shared" si="68"/>
        <v>0</v>
      </c>
      <c r="R60" s="460">
        <f t="shared" si="68"/>
        <v>0</v>
      </c>
      <c r="S60" s="460">
        <f t="shared" si="68"/>
        <v>0</v>
      </c>
      <c r="T60" s="460">
        <f t="shared" si="68"/>
        <v>0</v>
      </c>
      <c r="U60" s="460">
        <f t="shared" si="68"/>
        <v>0</v>
      </c>
      <c r="V60" s="460">
        <f t="shared" si="68"/>
        <v>0</v>
      </c>
      <c r="W60" s="460">
        <f t="shared" si="68"/>
        <v>40050750</v>
      </c>
      <c r="X60" s="396">
        <f t="shared" si="68"/>
        <v>0</v>
      </c>
      <c r="Y60" s="396">
        <f t="shared" si="68"/>
        <v>0</v>
      </c>
      <c r="Z60" s="396">
        <f t="shared" si="68"/>
        <v>0</v>
      </c>
      <c r="AA60" s="396">
        <f t="shared" si="68"/>
        <v>0</v>
      </c>
      <c r="AB60" s="396">
        <f t="shared" si="68"/>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VV0heaP59fzQbRzk4y7hEa/iS6muwG9HcwA/4y/e12VjiIi4IJJljnsxQPkbLrJqWwwX2bSjrqcLRizOgqBpUA==" saltValue="COhJsirHitP5mBJ9KmcQhQ=="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rowBreaks count="1" manualBreakCount="1">
    <brk id="54" max="16383" man="1"/>
  </rowBreaks>
  <colBreaks count="1" manualBreakCount="1">
    <brk id="31" max="56"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909C-6581-4D19-9DCF-2426074F128F}">
  <sheetPr>
    <tabColor indexed="60"/>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1.2851562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38" width="11" style="396" customWidth="1"/>
    <col min="39" max="16384" width="8" style="396"/>
  </cols>
  <sheetData>
    <row r="1" spans="1:37" s="397" customFormat="1" ht="21" customHeight="1">
      <c r="A1" s="3666" t="s">
        <v>4271</v>
      </c>
      <c r="B1" s="3666"/>
      <c r="C1" s="3666"/>
      <c r="D1" s="3666"/>
      <c r="E1" s="3666"/>
      <c r="F1" s="3666"/>
      <c r="G1" s="3666"/>
      <c r="H1" s="3666"/>
      <c r="I1" s="3666"/>
      <c r="J1" s="3666"/>
      <c r="K1" s="3666"/>
      <c r="L1" s="3666"/>
      <c r="M1" s="3666"/>
      <c r="N1" s="3666"/>
      <c r="O1" s="3666"/>
      <c r="P1" s="3666"/>
      <c r="Q1" s="3666"/>
      <c r="R1" s="3666"/>
      <c r="S1" s="3666"/>
      <c r="T1" s="3666"/>
      <c r="U1" s="3666"/>
      <c r="V1" s="3666"/>
      <c r="W1" s="3666"/>
      <c r="X1" s="3666"/>
      <c r="Y1" s="3666"/>
      <c r="Z1" s="3666"/>
      <c r="AA1" s="3666"/>
      <c r="AB1" s="3666"/>
      <c r="AC1" s="3666"/>
      <c r="AD1" s="3666"/>
      <c r="AE1" s="3666"/>
      <c r="AF1" s="3666"/>
      <c r="AG1" s="3666"/>
      <c r="AH1" s="3666"/>
      <c r="AI1" s="3666"/>
    </row>
    <row r="2" spans="1:37" s="398" customFormat="1" ht="24" customHeight="1">
      <c r="A2" s="3661" t="s">
        <v>3419</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2"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AC8" si="0">SUM(D9:D19)</f>
        <v>15170628</v>
      </c>
      <c r="E8" s="2715">
        <f t="shared" si="0"/>
        <v>23771143</v>
      </c>
      <c r="F8" s="1213">
        <f t="shared" si="0"/>
        <v>17560157</v>
      </c>
      <c r="G8" s="1213">
        <f t="shared" si="0"/>
        <v>18378095</v>
      </c>
      <c r="H8" s="1213">
        <f t="shared" si="0"/>
        <v>20101946</v>
      </c>
      <c r="I8" s="1213">
        <f t="shared" si="0"/>
        <v>22981514</v>
      </c>
      <c r="J8" s="1213">
        <f t="shared" si="0"/>
        <v>22981514</v>
      </c>
      <c r="K8" s="3208">
        <f t="shared" si="0"/>
        <v>22981514</v>
      </c>
      <c r="L8" s="1213">
        <f t="shared" si="0"/>
        <v>0</v>
      </c>
      <c r="M8" s="1213">
        <f t="shared" si="0"/>
        <v>0</v>
      </c>
      <c r="N8" s="1213">
        <f t="shared" si="0"/>
        <v>0</v>
      </c>
      <c r="O8" s="1213">
        <f t="shared" si="0"/>
        <v>0</v>
      </c>
      <c r="P8" s="1213">
        <f t="shared" si="0"/>
        <v>0</v>
      </c>
      <c r="Q8" s="1213">
        <f t="shared" si="0"/>
        <v>0</v>
      </c>
      <c r="R8" s="1213">
        <f t="shared" si="0"/>
        <v>17560157</v>
      </c>
      <c r="S8" s="1213">
        <f t="shared" si="0"/>
        <v>18378095</v>
      </c>
      <c r="T8" s="1213">
        <f t="shared" si="0"/>
        <v>20101946</v>
      </c>
      <c r="U8" s="1213">
        <f t="shared" si="0"/>
        <v>22981514</v>
      </c>
      <c r="V8" s="1213">
        <f t="shared" si="0"/>
        <v>22981514</v>
      </c>
      <c r="W8" s="1213">
        <f t="shared" si="0"/>
        <v>22981514</v>
      </c>
      <c r="X8" s="1213">
        <f t="shared" si="0"/>
        <v>0</v>
      </c>
      <c r="Y8" s="1213">
        <f t="shared" si="0"/>
        <v>0</v>
      </c>
      <c r="Z8" s="1213">
        <f t="shared" si="0"/>
        <v>0</v>
      </c>
      <c r="AA8" s="1213">
        <f t="shared" si="0"/>
        <v>0</v>
      </c>
      <c r="AB8" s="1213">
        <f t="shared" si="0"/>
        <v>0</v>
      </c>
      <c r="AC8" s="1213">
        <f t="shared" si="0"/>
        <v>0</v>
      </c>
      <c r="AD8" s="1284"/>
      <c r="AE8" s="1213">
        <f t="shared" ref="AE8:AE56" si="1">+G8-F8</f>
        <v>817938</v>
      </c>
      <c r="AF8" s="1213">
        <f t="shared" ref="AF8:AF55" si="2">+H8-G8</f>
        <v>1723851</v>
      </c>
      <c r="AG8" s="1213">
        <f t="shared" ref="AG8:AG55" si="3">+I8-H8</f>
        <v>2879568</v>
      </c>
      <c r="AH8" s="2919">
        <f t="shared" ref="AH8:AH55" si="4">+J8-I8</f>
        <v>0</v>
      </c>
      <c r="AI8" s="1829">
        <f>+K8/I8</f>
        <v>1</v>
      </c>
      <c r="AJ8" s="417">
        <f>+F8-D8</f>
        <v>2389529</v>
      </c>
      <c r="AK8" s="412"/>
    </row>
    <row r="9" spans="1:37" s="416" customFormat="1" ht="15">
      <c r="A9" s="2933"/>
      <c r="B9" s="1285" t="s">
        <v>176</v>
      </c>
      <c r="C9" s="1286" t="s">
        <v>226</v>
      </c>
      <c r="D9" s="1287">
        <v>0</v>
      </c>
      <c r="E9" s="2716">
        <v>0</v>
      </c>
      <c r="F9" s="1287">
        <v>0</v>
      </c>
      <c r="G9" s="1287">
        <f t="shared" ref="G9:G17" si="5">+F9</f>
        <v>0</v>
      </c>
      <c r="H9" s="1287">
        <f t="shared" ref="H9:H19" si="6">+G9</f>
        <v>0</v>
      </c>
      <c r="I9" s="1287">
        <f t="shared" ref="I9:I17" si="7">+H9</f>
        <v>0</v>
      </c>
      <c r="J9" s="1287">
        <f t="shared" ref="J9:J19" si="8">+I9</f>
        <v>0</v>
      </c>
      <c r="K9" s="3219">
        <v>0</v>
      </c>
      <c r="L9" s="1287">
        <v>0</v>
      </c>
      <c r="M9" s="1287">
        <f t="shared" ref="M9:M17" si="9">+L9</f>
        <v>0</v>
      </c>
      <c r="N9" s="1287">
        <f t="shared" ref="N9:N19" si="10">+M9</f>
        <v>0</v>
      </c>
      <c r="O9" s="1287">
        <f t="shared" ref="O9:O17" si="11">+N9</f>
        <v>0</v>
      </c>
      <c r="P9" s="1287">
        <f t="shared" ref="P9:P17" si="12">+O9</f>
        <v>0</v>
      </c>
      <c r="Q9" s="1287">
        <v>0</v>
      </c>
      <c r="R9" s="1287">
        <v>0</v>
      </c>
      <c r="S9" s="1287">
        <f t="shared" ref="S9:S16" si="13">+R9</f>
        <v>0</v>
      </c>
      <c r="T9" s="1287">
        <f t="shared" ref="T9:T19" si="14">+S9</f>
        <v>0</v>
      </c>
      <c r="U9" s="1287">
        <f t="shared" ref="U9:U17" si="15">+T9</f>
        <v>0</v>
      </c>
      <c r="V9" s="1287">
        <f t="shared" ref="V9:V17" si="16">+U9</f>
        <v>0</v>
      </c>
      <c r="W9" s="1287">
        <f>+K9</f>
        <v>0</v>
      </c>
      <c r="X9" s="1287"/>
      <c r="Y9" s="1287">
        <f t="shared" ref="Y9:Y17" si="17">+X9</f>
        <v>0</v>
      </c>
      <c r="Z9" s="1287">
        <f t="shared" ref="Z9:Z17" si="18">+Y9</f>
        <v>0</v>
      </c>
      <c r="AA9" s="1287">
        <f t="shared" ref="AA9:AA17" si="19">+Z9</f>
        <v>0</v>
      </c>
      <c r="AB9" s="1287">
        <f t="shared" ref="AB9:AB17" si="20">+AA9</f>
        <v>0</v>
      </c>
      <c r="AC9" s="1287">
        <f t="shared" ref="AC9:AC17" si="21">+AB9</f>
        <v>0</v>
      </c>
      <c r="AD9" s="1284"/>
      <c r="AE9" s="1213">
        <f t="shared" si="1"/>
        <v>0</v>
      </c>
      <c r="AF9" s="1213">
        <f t="shared" si="2"/>
        <v>0</v>
      </c>
      <c r="AG9" s="1213">
        <f t="shared" si="3"/>
        <v>0</v>
      </c>
      <c r="AH9" s="2919">
        <f t="shared" si="4"/>
        <v>0</v>
      </c>
      <c r="AI9" s="1834"/>
      <c r="AJ9" s="417">
        <f t="shared" ref="AJ9:AJ37" si="22">+F9-D9</f>
        <v>0</v>
      </c>
      <c r="AK9" s="420"/>
    </row>
    <row r="10" spans="1:37" s="416" customFormat="1" ht="15">
      <c r="A10" s="2933"/>
      <c r="B10" s="1285" t="s">
        <v>178</v>
      </c>
      <c r="C10" s="1286" t="s">
        <v>228</v>
      </c>
      <c r="D10" s="1287">
        <v>1675720</v>
      </c>
      <c r="E10" s="2716">
        <v>1452906</v>
      </c>
      <c r="F10" s="1287">
        <v>1622482</v>
      </c>
      <c r="G10" s="1287">
        <f t="shared" si="5"/>
        <v>1622482</v>
      </c>
      <c r="H10" s="1287">
        <f t="shared" si="6"/>
        <v>1622482</v>
      </c>
      <c r="I10" s="1287">
        <f>+H10+132053</f>
        <v>1754535</v>
      </c>
      <c r="J10" s="1287">
        <f t="shared" si="8"/>
        <v>1754535</v>
      </c>
      <c r="K10" s="3219">
        <v>1754535</v>
      </c>
      <c r="L10" s="1287">
        <v>0</v>
      </c>
      <c r="M10" s="1287">
        <f t="shared" si="9"/>
        <v>0</v>
      </c>
      <c r="N10" s="1287">
        <f t="shared" si="10"/>
        <v>0</v>
      </c>
      <c r="O10" s="1287">
        <f t="shared" si="11"/>
        <v>0</v>
      </c>
      <c r="P10" s="1287">
        <f t="shared" si="12"/>
        <v>0</v>
      </c>
      <c r="Q10" s="1287">
        <v>0</v>
      </c>
      <c r="R10" s="1287">
        <f>+F10</f>
        <v>1622482</v>
      </c>
      <c r="S10" s="1287">
        <f t="shared" si="13"/>
        <v>1622482</v>
      </c>
      <c r="T10" s="1287">
        <f t="shared" si="14"/>
        <v>1622482</v>
      </c>
      <c r="U10" s="1287">
        <f>+T10+132053</f>
        <v>1754535</v>
      </c>
      <c r="V10" s="1287">
        <f t="shared" si="16"/>
        <v>1754535</v>
      </c>
      <c r="W10" s="1287">
        <f t="shared" ref="W10:W19" si="23">+K10</f>
        <v>1754535</v>
      </c>
      <c r="X10" s="1287"/>
      <c r="Y10" s="1287">
        <f t="shared" si="17"/>
        <v>0</v>
      </c>
      <c r="Z10" s="1287">
        <f t="shared" si="18"/>
        <v>0</v>
      </c>
      <c r="AA10" s="1287">
        <f t="shared" si="19"/>
        <v>0</v>
      </c>
      <c r="AB10" s="1287">
        <f t="shared" si="20"/>
        <v>0</v>
      </c>
      <c r="AC10" s="1287">
        <f t="shared" si="21"/>
        <v>0</v>
      </c>
      <c r="AD10" s="1284"/>
      <c r="AE10" s="1213">
        <f t="shared" si="1"/>
        <v>0</v>
      </c>
      <c r="AF10" s="1213">
        <f t="shared" si="2"/>
        <v>0</v>
      </c>
      <c r="AG10" s="1213">
        <f t="shared" si="3"/>
        <v>132053</v>
      </c>
      <c r="AH10" s="2919">
        <f t="shared" si="4"/>
        <v>0</v>
      </c>
      <c r="AI10" s="1834">
        <f>+K10/I10</f>
        <v>1</v>
      </c>
      <c r="AJ10" s="417">
        <f t="shared" si="22"/>
        <v>-53238</v>
      </c>
      <c r="AK10" s="420"/>
    </row>
    <row r="11" spans="1:37" s="416" customFormat="1" ht="15">
      <c r="A11" s="2933"/>
      <c r="B11" s="1289" t="s">
        <v>179</v>
      </c>
      <c r="C11" s="1286" t="s">
        <v>460</v>
      </c>
      <c r="D11" s="1287">
        <v>0</v>
      </c>
      <c r="E11" s="2716">
        <v>0</v>
      </c>
      <c r="F11" s="1287">
        <v>0</v>
      </c>
      <c r="G11" s="1287">
        <f t="shared" si="5"/>
        <v>0</v>
      </c>
      <c r="H11" s="1287">
        <f t="shared" si="6"/>
        <v>0</v>
      </c>
      <c r="I11" s="1287">
        <f t="shared" si="7"/>
        <v>0</v>
      </c>
      <c r="J11" s="1287">
        <f t="shared" si="8"/>
        <v>0</v>
      </c>
      <c r="K11" s="3219">
        <v>0</v>
      </c>
      <c r="L11" s="1287">
        <v>0</v>
      </c>
      <c r="M11" s="1287">
        <f t="shared" si="9"/>
        <v>0</v>
      </c>
      <c r="N11" s="1287">
        <f t="shared" si="10"/>
        <v>0</v>
      </c>
      <c r="O11" s="1287">
        <f t="shared" si="11"/>
        <v>0</v>
      </c>
      <c r="P11" s="1287">
        <f t="shared" si="12"/>
        <v>0</v>
      </c>
      <c r="Q11" s="1287">
        <v>0</v>
      </c>
      <c r="R11" s="1287">
        <v>0</v>
      </c>
      <c r="S11" s="1287">
        <f t="shared" si="13"/>
        <v>0</v>
      </c>
      <c r="T11" s="1287">
        <f t="shared" si="14"/>
        <v>0</v>
      </c>
      <c r="U11" s="1287">
        <f t="shared" si="15"/>
        <v>0</v>
      </c>
      <c r="V11" s="1287">
        <f t="shared" si="16"/>
        <v>0</v>
      </c>
      <c r="W11" s="1287">
        <f t="shared" si="23"/>
        <v>0</v>
      </c>
      <c r="X11" s="1287"/>
      <c r="Y11" s="1287">
        <f t="shared" si="17"/>
        <v>0</v>
      </c>
      <c r="Z11" s="1287">
        <f t="shared" si="18"/>
        <v>0</v>
      </c>
      <c r="AA11" s="1287">
        <f t="shared" si="19"/>
        <v>0</v>
      </c>
      <c r="AB11" s="1287">
        <f t="shared" si="20"/>
        <v>0</v>
      </c>
      <c r="AC11" s="1287">
        <f t="shared" si="21"/>
        <v>0</v>
      </c>
      <c r="AD11" s="1284"/>
      <c r="AE11" s="1213">
        <f t="shared" si="1"/>
        <v>0</v>
      </c>
      <c r="AF11" s="1213">
        <f t="shared" si="2"/>
        <v>0</v>
      </c>
      <c r="AG11" s="1213">
        <f t="shared" si="3"/>
        <v>0</v>
      </c>
      <c r="AH11" s="2919">
        <f t="shared" si="4"/>
        <v>0</v>
      </c>
      <c r="AI11" s="1834"/>
      <c r="AJ11" s="417">
        <f t="shared" si="22"/>
        <v>0</v>
      </c>
      <c r="AK11" s="420"/>
    </row>
    <row r="12" spans="1:37" s="416" customFormat="1" ht="15">
      <c r="A12" s="2933"/>
      <c r="B12" s="1289" t="s">
        <v>180</v>
      </c>
      <c r="C12" s="1286" t="s">
        <v>232</v>
      </c>
      <c r="D12" s="1287">
        <v>0</v>
      </c>
      <c r="E12" s="2716">
        <v>0</v>
      </c>
      <c r="F12" s="1287">
        <v>0</v>
      </c>
      <c r="G12" s="1287">
        <f t="shared" si="5"/>
        <v>0</v>
      </c>
      <c r="H12" s="1287">
        <f t="shared" si="6"/>
        <v>0</v>
      </c>
      <c r="I12" s="1287">
        <f t="shared" si="7"/>
        <v>0</v>
      </c>
      <c r="J12" s="1287">
        <f t="shared" si="8"/>
        <v>0</v>
      </c>
      <c r="K12" s="3219">
        <v>0</v>
      </c>
      <c r="L12" s="1287">
        <v>0</v>
      </c>
      <c r="M12" s="1287">
        <f t="shared" si="9"/>
        <v>0</v>
      </c>
      <c r="N12" s="1287">
        <f t="shared" si="10"/>
        <v>0</v>
      </c>
      <c r="O12" s="1287">
        <f t="shared" si="11"/>
        <v>0</v>
      </c>
      <c r="P12" s="1287">
        <f t="shared" si="12"/>
        <v>0</v>
      </c>
      <c r="Q12" s="1287">
        <v>0</v>
      </c>
      <c r="R12" s="1287">
        <v>0</v>
      </c>
      <c r="S12" s="1287">
        <f t="shared" si="13"/>
        <v>0</v>
      </c>
      <c r="T12" s="1287">
        <f t="shared" si="14"/>
        <v>0</v>
      </c>
      <c r="U12" s="1287">
        <f t="shared" si="15"/>
        <v>0</v>
      </c>
      <c r="V12" s="1287">
        <f t="shared" si="16"/>
        <v>0</v>
      </c>
      <c r="W12" s="1287">
        <f t="shared" si="23"/>
        <v>0</v>
      </c>
      <c r="X12" s="1287"/>
      <c r="Y12" s="1287">
        <f t="shared" si="17"/>
        <v>0</v>
      </c>
      <c r="Z12" s="1287">
        <f t="shared" si="18"/>
        <v>0</v>
      </c>
      <c r="AA12" s="1287">
        <f t="shared" si="19"/>
        <v>0</v>
      </c>
      <c r="AB12" s="1287">
        <f t="shared" si="20"/>
        <v>0</v>
      </c>
      <c r="AC12" s="1287">
        <f t="shared" si="21"/>
        <v>0</v>
      </c>
      <c r="AD12" s="1284"/>
      <c r="AE12" s="1213">
        <f t="shared" si="1"/>
        <v>0</v>
      </c>
      <c r="AF12" s="1213">
        <f t="shared" si="2"/>
        <v>0</v>
      </c>
      <c r="AG12" s="1213">
        <f t="shared" si="3"/>
        <v>0</v>
      </c>
      <c r="AH12" s="2919">
        <f t="shared" si="4"/>
        <v>0</v>
      </c>
      <c r="AI12" s="1834"/>
      <c r="AJ12" s="417">
        <f t="shared" si="22"/>
        <v>0</v>
      </c>
      <c r="AK12" s="420"/>
    </row>
    <row r="13" spans="1:37" s="416" customFormat="1" ht="15">
      <c r="A13" s="2933"/>
      <c r="B13" s="1289" t="s">
        <v>181</v>
      </c>
      <c r="C13" s="1286" t="s">
        <v>234</v>
      </c>
      <c r="D13" s="1287">
        <v>9606170</v>
      </c>
      <c r="E13" s="2716">
        <v>10514194</v>
      </c>
      <c r="F13" s="1287">
        <v>11908009</v>
      </c>
      <c r="G13" s="1287">
        <f t="shared" si="5"/>
        <v>11908009</v>
      </c>
      <c r="H13" s="1287">
        <f t="shared" si="6"/>
        <v>11908009</v>
      </c>
      <c r="I13" s="1287">
        <f>+H13+165198</f>
        <v>12073207</v>
      </c>
      <c r="J13" s="1287">
        <f t="shared" si="8"/>
        <v>12073207</v>
      </c>
      <c r="K13" s="3219">
        <v>12073208</v>
      </c>
      <c r="L13" s="1287">
        <v>0</v>
      </c>
      <c r="M13" s="1287">
        <f t="shared" si="9"/>
        <v>0</v>
      </c>
      <c r="N13" s="1287">
        <f t="shared" si="10"/>
        <v>0</v>
      </c>
      <c r="O13" s="1287">
        <f t="shared" si="11"/>
        <v>0</v>
      </c>
      <c r="P13" s="1287">
        <f t="shared" si="12"/>
        <v>0</v>
      </c>
      <c r="Q13" s="1287">
        <v>0</v>
      </c>
      <c r="R13" s="1287">
        <f>+F13</f>
        <v>11908009</v>
      </c>
      <c r="S13" s="1287">
        <f t="shared" si="13"/>
        <v>11908009</v>
      </c>
      <c r="T13" s="1287">
        <f t="shared" si="14"/>
        <v>11908009</v>
      </c>
      <c r="U13" s="1287">
        <f>+T13+165198</f>
        <v>12073207</v>
      </c>
      <c r="V13" s="1287">
        <f t="shared" si="16"/>
        <v>12073207</v>
      </c>
      <c r="W13" s="1287">
        <f t="shared" si="23"/>
        <v>12073208</v>
      </c>
      <c r="X13" s="1287"/>
      <c r="Y13" s="1287">
        <f t="shared" si="17"/>
        <v>0</v>
      </c>
      <c r="Z13" s="1287">
        <f t="shared" si="18"/>
        <v>0</v>
      </c>
      <c r="AA13" s="1287">
        <f t="shared" si="19"/>
        <v>0</v>
      </c>
      <c r="AB13" s="1287">
        <f t="shared" si="20"/>
        <v>0</v>
      </c>
      <c r="AC13" s="1287">
        <f t="shared" si="21"/>
        <v>0</v>
      </c>
      <c r="AD13" s="1284"/>
      <c r="AE13" s="1213">
        <f t="shared" si="1"/>
        <v>0</v>
      </c>
      <c r="AF13" s="1213">
        <f t="shared" si="2"/>
        <v>0</v>
      </c>
      <c r="AG13" s="1213">
        <f t="shared" si="3"/>
        <v>165198</v>
      </c>
      <c r="AH13" s="2919">
        <f t="shared" si="4"/>
        <v>0</v>
      </c>
      <c r="AI13" s="1834">
        <f>+K13/I13</f>
        <v>1.000000082828034</v>
      </c>
      <c r="AJ13" s="417">
        <f t="shared" si="22"/>
        <v>2301839</v>
      </c>
      <c r="AK13" s="420"/>
    </row>
    <row r="14" spans="1:37" s="416" customFormat="1" ht="15">
      <c r="A14" s="2933"/>
      <c r="B14" s="1289" t="s">
        <v>183</v>
      </c>
      <c r="C14" s="1286" t="s">
        <v>887</v>
      </c>
      <c r="D14" s="1287">
        <v>3046110</v>
      </c>
      <c r="E14" s="2716">
        <v>3147179</v>
      </c>
      <c r="F14" s="1287">
        <v>3653233</v>
      </c>
      <c r="G14" s="1287">
        <f t="shared" si="5"/>
        <v>3653233</v>
      </c>
      <c r="H14" s="1287">
        <f t="shared" si="6"/>
        <v>3653233</v>
      </c>
      <c r="I14" s="1287">
        <f>+H14-91890</f>
        <v>3561343</v>
      </c>
      <c r="J14" s="1287">
        <f t="shared" si="8"/>
        <v>3561343</v>
      </c>
      <c r="K14" s="3219">
        <v>3561343</v>
      </c>
      <c r="L14" s="1287">
        <v>0</v>
      </c>
      <c r="M14" s="1287">
        <f t="shared" si="9"/>
        <v>0</v>
      </c>
      <c r="N14" s="1287">
        <f t="shared" si="10"/>
        <v>0</v>
      </c>
      <c r="O14" s="1287">
        <f t="shared" si="11"/>
        <v>0</v>
      </c>
      <c r="P14" s="1287">
        <f t="shared" si="12"/>
        <v>0</v>
      </c>
      <c r="Q14" s="1287">
        <v>0</v>
      </c>
      <c r="R14" s="1287">
        <f>+F14</f>
        <v>3653233</v>
      </c>
      <c r="S14" s="1287">
        <f t="shared" si="13"/>
        <v>3653233</v>
      </c>
      <c r="T14" s="1287">
        <f t="shared" si="14"/>
        <v>3653233</v>
      </c>
      <c r="U14" s="1287">
        <f>+T14-91890</f>
        <v>3561343</v>
      </c>
      <c r="V14" s="1287">
        <f t="shared" si="16"/>
        <v>3561343</v>
      </c>
      <c r="W14" s="1287">
        <f t="shared" si="23"/>
        <v>3561343</v>
      </c>
      <c r="X14" s="1287"/>
      <c r="Y14" s="1287">
        <f t="shared" si="17"/>
        <v>0</v>
      </c>
      <c r="Z14" s="1287">
        <f t="shared" si="18"/>
        <v>0</v>
      </c>
      <c r="AA14" s="1287">
        <f t="shared" si="19"/>
        <v>0</v>
      </c>
      <c r="AB14" s="1287">
        <f t="shared" si="20"/>
        <v>0</v>
      </c>
      <c r="AC14" s="1287">
        <f t="shared" si="21"/>
        <v>0</v>
      </c>
      <c r="AD14" s="1284"/>
      <c r="AE14" s="1213">
        <f t="shared" si="1"/>
        <v>0</v>
      </c>
      <c r="AF14" s="1213">
        <f t="shared" si="2"/>
        <v>0</v>
      </c>
      <c r="AG14" s="1213">
        <f t="shared" si="3"/>
        <v>-91890</v>
      </c>
      <c r="AH14" s="2919">
        <f t="shared" si="4"/>
        <v>0</v>
      </c>
      <c r="AI14" s="1834">
        <f>+K14/I14</f>
        <v>1</v>
      </c>
      <c r="AJ14" s="417">
        <f t="shared" si="22"/>
        <v>607123</v>
      </c>
      <c r="AK14" s="420"/>
    </row>
    <row r="15" spans="1:37" s="416" customFormat="1" ht="15">
      <c r="A15" s="2933"/>
      <c r="B15" s="1289" t="s">
        <v>321</v>
      </c>
      <c r="C15" s="1290" t="s">
        <v>238</v>
      </c>
      <c r="D15" s="1287">
        <v>0</v>
      </c>
      <c r="E15" s="2716">
        <v>6661079</v>
      </c>
      <c r="F15" s="1287">
        <v>0</v>
      </c>
      <c r="G15" s="1287">
        <f>+F15+817938</f>
        <v>817938</v>
      </c>
      <c r="H15" s="1287">
        <f>+G15+1723851</f>
        <v>2541789</v>
      </c>
      <c r="I15" s="1287">
        <f>+H15+865593+1888000</f>
        <v>5295382</v>
      </c>
      <c r="J15" s="1287">
        <f t="shared" si="8"/>
        <v>5295382</v>
      </c>
      <c r="K15" s="3219">
        <v>5295382</v>
      </c>
      <c r="L15" s="1287">
        <v>0</v>
      </c>
      <c r="M15" s="1287">
        <f t="shared" si="9"/>
        <v>0</v>
      </c>
      <c r="N15" s="1287">
        <f t="shared" si="10"/>
        <v>0</v>
      </c>
      <c r="O15" s="1287">
        <f t="shared" si="11"/>
        <v>0</v>
      </c>
      <c r="P15" s="1287">
        <f t="shared" si="12"/>
        <v>0</v>
      </c>
      <c r="Q15" s="1287">
        <v>0</v>
      </c>
      <c r="R15" s="1287">
        <f>0</f>
        <v>0</v>
      </c>
      <c r="S15" s="1287">
        <f>+R15+817938</f>
        <v>817938</v>
      </c>
      <c r="T15" s="1287">
        <f>+S15+1723851</f>
        <v>2541789</v>
      </c>
      <c r="U15" s="1287">
        <f>+T15+865593+1888000</f>
        <v>5295382</v>
      </c>
      <c r="V15" s="1287">
        <f t="shared" si="16"/>
        <v>5295382</v>
      </c>
      <c r="W15" s="1287">
        <f t="shared" si="23"/>
        <v>5295382</v>
      </c>
      <c r="X15" s="1287"/>
      <c r="Y15" s="1287">
        <f t="shared" si="17"/>
        <v>0</v>
      </c>
      <c r="Z15" s="1287">
        <f t="shared" si="18"/>
        <v>0</v>
      </c>
      <c r="AA15" s="1287">
        <f t="shared" si="19"/>
        <v>0</v>
      </c>
      <c r="AB15" s="1287">
        <f t="shared" si="20"/>
        <v>0</v>
      </c>
      <c r="AC15" s="1287">
        <f t="shared" si="21"/>
        <v>0</v>
      </c>
      <c r="AD15" s="1665"/>
      <c r="AE15" s="1213">
        <f t="shared" si="1"/>
        <v>817938</v>
      </c>
      <c r="AF15" s="1213">
        <f t="shared" si="2"/>
        <v>1723851</v>
      </c>
      <c r="AG15" s="1213">
        <f t="shared" si="3"/>
        <v>2753593</v>
      </c>
      <c r="AH15" s="2919">
        <f t="shared" si="4"/>
        <v>0</v>
      </c>
      <c r="AI15" s="1834">
        <f>+K15/I15</f>
        <v>1</v>
      </c>
      <c r="AJ15" s="417">
        <f t="shared" si="22"/>
        <v>0</v>
      </c>
      <c r="AK15" s="420"/>
    </row>
    <row r="16" spans="1:37" s="416" customFormat="1" ht="15">
      <c r="A16" s="2933"/>
      <c r="B16" s="1289" t="s">
        <v>323</v>
      </c>
      <c r="C16" s="1286" t="s">
        <v>1277</v>
      </c>
      <c r="D16" s="1287">
        <v>842628</v>
      </c>
      <c r="E16" s="2716">
        <v>652755</v>
      </c>
      <c r="F16" s="1287">
        <v>376433</v>
      </c>
      <c r="G16" s="1287">
        <f t="shared" si="5"/>
        <v>376433</v>
      </c>
      <c r="H16" s="1287">
        <f>+G16</f>
        <v>376433</v>
      </c>
      <c r="I16" s="1287">
        <f>+H16-79386</f>
        <v>297047</v>
      </c>
      <c r="J16" s="1287">
        <f t="shared" si="8"/>
        <v>297047</v>
      </c>
      <c r="K16" s="3219">
        <v>297046</v>
      </c>
      <c r="L16" s="1287">
        <v>0</v>
      </c>
      <c r="M16" s="1287">
        <f t="shared" si="9"/>
        <v>0</v>
      </c>
      <c r="N16" s="1287">
        <f t="shared" si="10"/>
        <v>0</v>
      </c>
      <c r="O16" s="1287">
        <f t="shared" si="11"/>
        <v>0</v>
      </c>
      <c r="P16" s="1287">
        <f t="shared" si="12"/>
        <v>0</v>
      </c>
      <c r="Q16" s="1287">
        <v>0</v>
      </c>
      <c r="R16" s="1287">
        <f>+F16</f>
        <v>376433</v>
      </c>
      <c r="S16" s="1287">
        <f t="shared" si="13"/>
        <v>376433</v>
      </c>
      <c r="T16" s="1287">
        <f>+S16</f>
        <v>376433</v>
      </c>
      <c r="U16" s="1287">
        <f>+T16-79386</f>
        <v>297047</v>
      </c>
      <c r="V16" s="1287">
        <f t="shared" si="16"/>
        <v>297047</v>
      </c>
      <c r="W16" s="1287">
        <f t="shared" si="23"/>
        <v>297046</v>
      </c>
      <c r="X16" s="1287"/>
      <c r="Y16" s="1287">
        <f t="shared" si="17"/>
        <v>0</v>
      </c>
      <c r="Z16" s="1287">
        <f t="shared" si="18"/>
        <v>0</v>
      </c>
      <c r="AA16" s="1287">
        <f t="shared" si="19"/>
        <v>0</v>
      </c>
      <c r="AB16" s="1287">
        <f t="shared" si="20"/>
        <v>0</v>
      </c>
      <c r="AC16" s="1287">
        <f t="shared" si="21"/>
        <v>0</v>
      </c>
      <c r="AD16" s="1665"/>
      <c r="AE16" s="1213">
        <f t="shared" si="1"/>
        <v>0</v>
      </c>
      <c r="AF16" s="1213">
        <f t="shared" si="2"/>
        <v>0</v>
      </c>
      <c r="AG16" s="1213">
        <f t="shared" si="3"/>
        <v>-79386</v>
      </c>
      <c r="AH16" s="2919">
        <f t="shared" si="4"/>
        <v>0</v>
      </c>
      <c r="AI16" s="1834">
        <f>+K16/I16</f>
        <v>0.99999663352937418</v>
      </c>
      <c r="AJ16" s="417">
        <f t="shared" si="22"/>
        <v>-466195</v>
      </c>
      <c r="AK16" s="420"/>
    </row>
    <row r="17" spans="1:37" s="416" customFormat="1" ht="15">
      <c r="A17" s="2933"/>
      <c r="B17" s="1289" t="s">
        <v>325</v>
      </c>
      <c r="C17" s="1286" t="s">
        <v>242</v>
      </c>
      <c r="D17" s="1287">
        <v>0</v>
      </c>
      <c r="E17" s="2716">
        <v>0</v>
      </c>
      <c r="F17" s="1287">
        <v>0</v>
      </c>
      <c r="G17" s="1287">
        <f t="shared" si="5"/>
        <v>0</v>
      </c>
      <c r="H17" s="1287">
        <f t="shared" si="6"/>
        <v>0</v>
      </c>
      <c r="I17" s="1287">
        <f t="shared" si="7"/>
        <v>0</v>
      </c>
      <c r="J17" s="1287">
        <f t="shared" si="8"/>
        <v>0</v>
      </c>
      <c r="K17" s="3219">
        <v>0</v>
      </c>
      <c r="L17" s="1287">
        <v>0</v>
      </c>
      <c r="M17" s="1287">
        <f t="shared" si="9"/>
        <v>0</v>
      </c>
      <c r="N17" s="1287">
        <f t="shared" si="10"/>
        <v>0</v>
      </c>
      <c r="O17" s="1287">
        <f t="shared" si="11"/>
        <v>0</v>
      </c>
      <c r="P17" s="1287">
        <f t="shared" si="12"/>
        <v>0</v>
      </c>
      <c r="Q17" s="1287">
        <v>0</v>
      </c>
      <c r="R17" s="1287">
        <v>0</v>
      </c>
      <c r="S17" s="1287">
        <f>+R17</f>
        <v>0</v>
      </c>
      <c r="T17" s="1287">
        <f t="shared" si="14"/>
        <v>0</v>
      </c>
      <c r="U17" s="1287">
        <f t="shared" si="15"/>
        <v>0</v>
      </c>
      <c r="V17" s="1287">
        <f t="shared" si="16"/>
        <v>0</v>
      </c>
      <c r="W17" s="1287">
        <f t="shared" si="23"/>
        <v>0</v>
      </c>
      <c r="X17" s="1287"/>
      <c r="Y17" s="1287">
        <f t="shared" si="17"/>
        <v>0</v>
      </c>
      <c r="Z17" s="1287">
        <f t="shared" si="18"/>
        <v>0</v>
      </c>
      <c r="AA17" s="1287">
        <f t="shared" si="19"/>
        <v>0</v>
      </c>
      <c r="AB17" s="1287">
        <f t="shared" si="20"/>
        <v>0</v>
      </c>
      <c r="AC17" s="1287">
        <f t="shared" si="21"/>
        <v>0</v>
      </c>
      <c r="AD17" s="1284"/>
      <c r="AE17" s="1213">
        <f t="shared" si="1"/>
        <v>0</v>
      </c>
      <c r="AF17" s="1213">
        <f t="shared" si="2"/>
        <v>0</v>
      </c>
      <c r="AG17" s="1213">
        <f t="shared" si="3"/>
        <v>0</v>
      </c>
      <c r="AH17" s="2919">
        <f t="shared" si="4"/>
        <v>0</v>
      </c>
      <c r="AI17" s="1834"/>
      <c r="AJ17" s="417">
        <f t="shared" si="22"/>
        <v>0</v>
      </c>
      <c r="AK17" s="420"/>
    </row>
    <row r="18" spans="1:37" s="416" customFormat="1" ht="15">
      <c r="A18" s="2933"/>
      <c r="B18" s="1289" t="s">
        <v>327</v>
      </c>
      <c r="C18" s="1286" t="s">
        <v>163</v>
      </c>
      <c r="D18" s="1287">
        <v>0</v>
      </c>
      <c r="E18" s="2716">
        <v>0</v>
      </c>
      <c r="F18" s="1287">
        <v>0</v>
      </c>
      <c r="G18" s="1287">
        <v>0</v>
      </c>
      <c r="H18" s="1287">
        <f t="shared" si="6"/>
        <v>0</v>
      </c>
      <c r="I18" s="1287">
        <v>0</v>
      </c>
      <c r="J18" s="1287">
        <f t="shared" si="8"/>
        <v>0</v>
      </c>
      <c r="K18" s="3219">
        <v>0</v>
      </c>
      <c r="L18" s="1287">
        <v>0</v>
      </c>
      <c r="M18" s="1287">
        <v>0</v>
      </c>
      <c r="N18" s="1287">
        <f t="shared" si="10"/>
        <v>0</v>
      </c>
      <c r="O18" s="1287">
        <v>0</v>
      </c>
      <c r="P18" s="1287"/>
      <c r="Q18" s="1287">
        <v>0</v>
      </c>
      <c r="R18" s="1287">
        <v>0</v>
      </c>
      <c r="S18" s="1287">
        <v>0</v>
      </c>
      <c r="T18" s="1287">
        <f t="shared" si="14"/>
        <v>0</v>
      </c>
      <c r="U18" s="1287">
        <v>0</v>
      </c>
      <c r="V18" s="1287"/>
      <c r="W18" s="1287">
        <f t="shared" si="23"/>
        <v>0</v>
      </c>
      <c r="X18" s="1287"/>
      <c r="Y18" s="1287"/>
      <c r="Z18" s="1287"/>
      <c r="AA18" s="1287"/>
      <c r="AB18" s="1287"/>
      <c r="AC18" s="1287"/>
      <c r="AD18" s="1284"/>
      <c r="AE18" s="1213">
        <f t="shared" si="1"/>
        <v>0</v>
      </c>
      <c r="AF18" s="1213">
        <f t="shared" si="2"/>
        <v>0</v>
      </c>
      <c r="AG18" s="1213">
        <f t="shared" si="3"/>
        <v>0</v>
      </c>
      <c r="AH18" s="2919">
        <f t="shared" si="4"/>
        <v>0</v>
      </c>
      <c r="AI18" s="1834"/>
      <c r="AJ18" s="417">
        <f t="shared" si="22"/>
        <v>0</v>
      </c>
      <c r="AK18" s="420"/>
    </row>
    <row r="19" spans="1:37" s="424" customFormat="1" ht="15">
      <c r="A19" s="2933"/>
      <c r="B19" s="1289" t="s">
        <v>329</v>
      </c>
      <c r="C19" s="1286" t="s">
        <v>162</v>
      </c>
      <c r="D19" s="1287">
        <v>0</v>
      </c>
      <c r="E19" s="2716">
        <v>1343030</v>
      </c>
      <c r="F19" s="1287">
        <v>0</v>
      </c>
      <c r="G19" s="1287">
        <f>+F19</f>
        <v>0</v>
      </c>
      <c r="H19" s="1287">
        <f t="shared" si="6"/>
        <v>0</v>
      </c>
      <c r="I19" s="1287">
        <f>+H19</f>
        <v>0</v>
      </c>
      <c r="J19" s="1287">
        <f t="shared" si="8"/>
        <v>0</v>
      </c>
      <c r="K19" s="3219">
        <v>0</v>
      </c>
      <c r="L19" s="1287">
        <v>0</v>
      </c>
      <c r="M19" s="1287">
        <f>+L19</f>
        <v>0</v>
      </c>
      <c r="N19" s="1287">
        <f t="shared" si="10"/>
        <v>0</v>
      </c>
      <c r="O19" s="1287">
        <f>+N19</f>
        <v>0</v>
      </c>
      <c r="P19" s="1287">
        <f>+O19</f>
        <v>0</v>
      </c>
      <c r="Q19" s="1287">
        <v>0</v>
      </c>
      <c r="R19" s="1287">
        <v>0</v>
      </c>
      <c r="S19" s="1287">
        <f>+R19</f>
        <v>0</v>
      </c>
      <c r="T19" s="1287">
        <f t="shared" si="14"/>
        <v>0</v>
      </c>
      <c r="U19" s="1287">
        <f>+T19</f>
        <v>0</v>
      </c>
      <c r="V19" s="1287">
        <f>+U19</f>
        <v>0</v>
      </c>
      <c r="W19" s="1287">
        <f t="shared" si="23"/>
        <v>0</v>
      </c>
      <c r="X19" s="1287"/>
      <c r="Y19" s="1287">
        <f>+X19</f>
        <v>0</v>
      </c>
      <c r="Z19" s="1287">
        <f>+Y19</f>
        <v>0</v>
      </c>
      <c r="AA19" s="1287">
        <f>+Z19</f>
        <v>0</v>
      </c>
      <c r="AB19" s="1287">
        <f>+AA19</f>
        <v>0</v>
      </c>
      <c r="AC19" s="1287">
        <f>+AB19</f>
        <v>0</v>
      </c>
      <c r="AD19" s="1284"/>
      <c r="AE19" s="1213">
        <f t="shared" si="1"/>
        <v>0</v>
      </c>
      <c r="AF19" s="1213">
        <f t="shared" si="2"/>
        <v>0</v>
      </c>
      <c r="AG19" s="1213">
        <f t="shared" si="3"/>
        <v>0</v>
      </c>
      <c r="AH19" s="2919">
        <f t="shared" si="4"/>
        <v>0</v>
      </c>
      <c r="AI19" s="1834"/>
      <c r="AJ19" s="417">
        <f t="shared" si="22"/>
        <v>0</v>
      </c>
      <c r="AK19" s="420"/>
    </row>
    <row r="20" spans="1:37" s="424" customFormat="1" ht="15">
      <c r="A20" s="2934" t="s">
        <v>12</v>
      </c>
      <c r="B20" s="1282" t="s">
        <v>12</v>
      </c>
      <c r="C20" s="1283" t="s">
        <v>1278</v>
      </c>
      <c r="D20" s="1213">
        <f t="shared" ref="D20:AC20" si="24">SUM(D21:D22)</f>
        <v>0</v>
      </c>
      <c r="E20" s="2715">
        <f t="shared" si="24"/>
        <v>0</v>
      </c>
      <c r="F20" s="1213">
        <f t="shared" si="24"/>
        <v>0</v>
      </c>
      <c r="G20" s="1213">
        <f t="shared" si="24"/>
        <v>0</v>
      </c>
      <c r="H20" s="1213">
        <f t="shared" si="24"/>
        <v>0</v>
      </c>
      <c r="I20" s="1213">
        <f t="shared" si="24"/>
        <v>0</v>
      </c>
      <c r="J20" s="1213">
        <f t="shared" si="24"/>
        <v>0</v>
      </c>
      <c r="K20" s="3208">
        <f>SUM(K21:K22)</f>
        <v>0</v>
      </c>
      <c r="L20" s="1213">
        <f t="shared" si="24"/>
        <v>0</v>
      </c>
      <c r="M20" s="1213">
        <f t="shared" si="24"/>
        <v>0</v>
      </c>
      <c r="N20" s="1213">
        <f t="shared" si="24"/>
        <v>0</v>
      </c>
      <c r="O20" s="1213">
        <f t="shared" si="24"/>
        <v>0</v>
      </c>
      <c r="P20" s="1213">
        <f t="shared" si="24"/>
        <v>0</v>
      </c>
      <c r="Q20" s="1213">
        <f t="shared" si="24"/>
        <v>0</v>
      </c>
      <c r="R20" s="1213">
        <f t="shared" si="24"/>
        <v>0</v>
      </c>
      <c r="S20" s="1213">
        <f t="shared" si="24"/>
        <v>0</v>
      </c>
      <c r="T20" s="1213">
        <f t="shared" si="24"/>
        <v>0</v>
      </c>
      <c r="U20" s="1213">
        <f t="shared" si="24"/>
        <v>0</v>
      </c>
      <c r="V20" s="1213">
        <f t="shared" si="24"/>
        <v>0</v>
      </c>
      <c r="W20" s="1213">
        <f t="shared" si="24"/>
        <v>0</v>
      </c>
      <c r="X20" s="1213">
        <f t="shared" si="24"/>
        <v>0</v>
      </c>
      <c r="Y20" s="1213">
        <f t="shared" si="24"/>
        <v>0</v>
      </c>
      <c r="Z20" s="1213">
        <f t="shared" si="24"/>
        <v>0</v>
      </c>
      <c r="AA20" s="1213">
        <f t="shared" si="24"/>
        <v>0</v>
      </c>
      <c r="AB20" s="1213">
        <f t="shared" si="24"/>
        <v>0</v>
      </c>
      <c r="AC20" s="1213">
        <f t="shared" si="24"/>
        <v>0</v>
      </c>
      <c r="AD20" s="1284"/>
      <c r="AE20" s="1213">
        <f t="shared" si="1"/>
        <v>0</v>
      </c>
      <c r="AF20" s="1213">
        <f t="shared" si="2"/>
        <v>0</v>
      </c>
      <c r="AG20" s="1213">
        <f t="shared" si="3"/>
        <v>0</v>
      </c>
      <c r="AH20" s="2919">
        <f t="shared" si="4"/>
        <v>0</v>
      </c>
      <c r="AI20" s="1829"/>
      <c r="AJ20" s="417">
        <f t="shared" si="22"/>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3219">
        <v>0</v>
      </c>
      <c r="L21" s="1287">
        <v>0</v>
      </c>
      <c r="M21" s="1287">
        <f t="shared" ref="M21:P22" si="26">+L21</f>
        <v>0</v>
      </c>
      <c r="N21" s="1287">
        <f t="shared" si="26"/>
        <v>0</v>
      </c>
      <c r="O21" s="1287">
        <f t="shared" si="26"/>
        <v>0</v>
      </c>
      <c r="P21" s="1287">
        <f t="shared" si="26"/>
        <v>0</v>
      </c>
      <c r="Q21" s="1287">
        <v>0</v>
      </c>
      <c r="R21" s="1287">
        <v>0</v>
      </c>
      <c r="S21" s="1287">
        <f t="shared" ref="S21:V22" si="27">+R21</f>
        <v>0</v>
      </c>
      <c r="T21" s="1287">
        <f t="shared" si="27"/>
        <v>0</v>
      </c>
      <c r="U21" s="1287">
        <f t="shared" si="27"/>
        <v>0</v>
      </c>
      <c r="V21" s="1287">
        <f t="shared" si="27"/>
        <v>0</v>
      </c>
      <c r="W21" s="1287">
        <f>+K21</f>
        <v>0</v>
      </c>
      <c r="X21" s="1287"/>
      <c r="Y21" s="1287">
        <f t="shared" ref="Y21:AC22" si="28">+X21</f>
        <v>0</v>
      </c>
      <c r="Z21" s="1287">
        <f t="shared" si="28"/>
        <v>0</v>
      </c>
      <c r="AA21" s="1287">
        <f t="shared" si="28"/>
        <v>0</v>
      </c>
      <c r="AB21" s="1287">
        <f t="shared" si="28"/>
        <v>0</v>
      </c>
      <c r="AC21" s="1287">
        <f t="shared" si="28"/>
        <v>0</v>
      </c>
      <c r="AD21" s="1284"/>
      <c r="AE21" s="1213">
        <f t="shared" si="1"/>
        <v>0</v>
      </c>
      <c r="AF21" s="1213">
        <f t="shared" si="2"/>
        <v>0</v>
      </c>
      <c r="AG21" s="1213">
        <f t="shared" si="3"/>
        <v>0</v>
      </c>
      <c r="AH21" s="2919">
        <f t="shared" si="4"/>
        <v>0</v>
      </c>
      <c r="AI21" s="1834"/>
      <c r="AJ21" s="417">
        <f t="shared" si="22"/>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3219">
        <v>0</v>
      </c>
      <c r="L22" s="1287">
        <v>0</v>
      </c>
      <c r="M22" s="1287">
        <f t="shared" si="26"/>
        <v>0</v>
      </c>
      <c r="N22" s="1287">
        <f t="shared" si="26"/>
        <v>0</v>
      </c>
      <c r="O22" s="1287">
        <f t="shared" si="26"/>
        <v>0</v>
      </c>
      <c r="P22" s="1287">
        <f t="shared" si="26"/>
        <v>0</v>
      </c>
      <c r="Q22" s="1287">
        <v>0</v>
      </c>
      <c r="R22" s="1287">
        <v>0</v>
      </c>
      <c r="S22" s="1287">
        <f t="shared" si="27"/>
        <v>0</v>
      </c>
      <c r="T22" s="1287">
        <f t="shared" si="27"/>
        <v>0</v>
      </c>
      <c r="U22" s="1287">
        <f t="shared" si="27"/>
        <v>0</v>
      </c>
      <c r="V22" s="1287">
        <f t="shared" si="27"/>
        <v>0</v>
      </c>
      <c r="W22" s="1287">
        <f>+K22</f>
        <v>0</v>
      </c>
      <c r="X22" s="1287"/>
      <c r="Y22" s="1287">
        <f t="shared" si="28"/>
        <v>0</v>
      </c>
      <c r="Z22" s="1287">
        <f t="shared" si="28"/>
        <v>0</v>
      </c>
      <c r="AA22" s="1287">
        <f t="shared" si="28"/>
        <v>0</v>
      </c>
      <c r="AB22" s="1287">
        <f t="shared" si="28"/>
        <v>0</v>
      </c>
      <c r="AC22" s="1287">
        <f t="shared" si="28"/>
        <v>0</v>
      </c>
      <c r="AD22" s="1284"/>
      <c r="AE22" s="1213">
        <f t="shared" si="1"/>
        <v>0</v>
      </c>
      <c r="AF22" s="1213">
        <f t="shared" si="2"/>
        <v>0</v>
      </c>
      <c r="AG22" s="1213">
        <f t="shared" si="3"/>
        <v>0</v>
      </c>
      <c r="AH22" s="2919">
        <f t="shared" si="4"/>
        <v>0</v>
      </c>
      <c r="AI22" s="1834"/>
      <c r="AJ22" s="417">
        <f t="shared" si="22"/>
        <v>0</v>
      </c>
      <c r="AK22" s="420"/>
    </row>
    <row r="23" spans="1:37" s="416" customFormat="1" ht="21">
      <c r="A23" s="2934" t="s">
        <v>14</v>
      </c>
      <c r="B23" s="1282" t="s">
        <v>14</v>
      </c>
      <c r="C23" s="1283" t="s">
        <v>1279</v>
      </c>
      <c r="D23" s="1213">
        <f t="shared" ref="D23:AC23" si="29">D24+D25</f>
        <v>0</v>
      </c>
      <c r="E23" s="2715">
        <f t="shared" si="29"/>
        <v>0</v>
      </c>
      <c r="F23" s="1213">
        <f t="shared" si="29"/>
        <v>0</v>
      </c>
      <c r="G23" s="1213">
        <f t="shared" si="29"/>
        <v>0</v>
      </c>
      <c r="H23" s="1213">
        <f t="shared" si="29"/>
        <v>0</v>
      </c>
      <c r="I23" s="1213">
        <f t="shared" si="29"/>
        <v>0</v>
      </c>
      <c r="J23" s="1213">
        <f t="shared" si="29"/>
        <v>0</v>
      </c>
      <c r="K23" s="3208">
        <f t="shared" si="29"/>
        <v>0</v>
      </c>
      <c r="L23" s="1213">
        <f t="shared" si="29"/>
        <v>0</v>
      </c>
      <c r="M23" s="1213">
        <f t="shared" si="29"/>
        <v>0</v>
      </c>
      <c r="N23" s="1213">
        <f t="shared" si="29"/>
        <v>0</v>
      </c>
      <c r="O23" s="1213">
        <f t="shared" si="29"/>
        <v>0</v>
      </c>
      <c r="P23" s="1213">
        <f t="shared" si="29"/>
        <v>0</v>
      </c>
      <c r="Q23" s="1213">
        <f t="shared" si="29"/>
        <v>0</v>
      </c>
      <c r="R23" s="1213">
        <f t="shared" si="29"/>
        <v>0</v>
      </c>
      <c r="S23" s="1213">
        <f t="shared" si="29"/>
        <v>0</v>
      </c>
      <c r="T23" s="1213">
        <f t="shared" si="29"/>
        <v>0</v>
      </c>
      <c r="U23" s="1213">
        <f t="shared" si="29"/>
        <v>0</v>
      </c>
      <c r="V23" s="1213">
        <f t="shared" si="29"/>
        <v>0</v>
      </c>
      <c r="W23" s="1213">
        <f t="shared" si="29"/>
        <v>0</v>
      </c>
      <c r="X23" s="1213">
        <f t="shared" si="29"/>
        <v>0</v>
      </c>
      <c r="Y23" s="1213">
        <f t="shared" si="29"/>
        <v>0</v>
      </c>
      <c r="Z23" s="1213">
        <f t="shared" si="29"/>
        <v>0</v>
      </c>
      <c r="AA23" s="1213">
        <f t="shared" si="29"/>
        <v>0</v>
      </c>
      <c r="AB23" s="1213">
        <f t="shared" si="29"/>
        <v>0</v>
      </c>
      <c r="AC23" s="1213">
        <f t="shared" si="29"/>
        <v>0</v>
      </c>
      <c r="AD23" s="1284"/>
      <c r="AE23" s="1213">
        <f t="shared" si="1"/>
        <v>0</v>
      </c>
      <c r="AF23" s="1213">
        <f t="shared" si="2"/>
        <v>0</v>
      </c>
      <c r="AG23" s="1213">
        <f t="shared" si="3"/>
        <v>0</v>
      </c>
      <c r="AH23" s="2919">
        <f t="shared" si="4"/>
        <v>0</v>
      </c>
      <c r="AI23" s="1829"/>
      <c r="AJ23" s="417">
        <f t="shared" si="22"/>
        <v>0</v>
      </c>
      <c r="AK23" s="412"/>
    </row>
    <row r="24" spans="1:37" s="416" customFormat="1" ht="15">
      <c r="A24" s="2934"/>
      <c r="B24" s="1289" t="s">
        <v>198</v>
      </c>
      <c r="C24" s="1284" t="s">
        <v>186</v>
      </c>
      <c r="D24" s="1213">
        <v>0</v>
      </c>
      <c r="E24" s="2715">
        <v>0</v>
      </c>
      <c r="F24" s="1213">
        <v>0</v>
      </c>
      <c r="G24" s="1213">
        <f t="shared" ref="G24:G31" si="30">+F24</f>
        <v>0</v>
      </c>
      <c r="H24" s="1213">
        <f t="shared" ref="H24:H31" si="31">+G24</f>
        <v>0</v>
      </c>
      <c r="I24" s="1287">
        <f t="shared" ref="I24:I31" si="32">+H24</f>
        <v>0</v>
      </c>
      <c r="J24" s="1291">
        <f t="shared" ref="J24:J31" si="33">+I24</f>
        <v>0</v>
      </c>
      <c r="K24" s="3219">
        <f>0</f>
        <v>0</v>
      </c>
      <c r="L24" s="1213">
        <v>0</v>
      </c>
      <c r="M24" s="1213">
        <f t="shared" ref="M24:M31" si="34">+L24</f>
        <v>0</v>
      </c>
      <c r="N24" s="1213">
        <f t="shared" ref="N24:N31" si="35">+M24</f>
        <v>0</v>
      </c>
      <c r="O24" s="1213">
        <f t="shared" ref="O24:O31" si="36">+N24</f>
        <v>0</v>
      </c>
      <c r="P24" s="1213">
        <f t="shared" ref="P24:P31" si="37">+O24</f>
        <v>0</v>
      </c>
      <c r="Q24" s="1213">
        <v>0</v>
      </c>
      <c r="R24" s="1213">
        <v>0</v>
      </c>
      <c r="S24" s="1213">
        <f t="shared" ref="S24:S31" si="38">+R24</f>
        <v>0</v>
      </c>
      <c r="T24" s="1213">
        <f t="shared" ref="T24:T31" si="39">+S24</f>
        <v>0</v>
      </c>
      <c r="U24" s="1213">
        <f t="shared" ref="U24:V27" si="40">+T24</f>
        <v>0</v>
      </c>
      <c r="V24" s="1213">
        <f t="shared" si="40"/>
        <v>0</v>
      </c>
      <c r="W24" s="1291">
        <f t="shared" ref="W24:W31" si="41">+K24</f>
        <v>0</v>
      </c>
      <c r="X24" s="1213"/>
      <c r="Y24" s="1213">
        <f t="shared" ref="Y24:Y31" si="42">+X24</f>
        <v>0</v>
      </c>
      <c r="Z24" s="1213">
        <f t="shared" ref="Z24:Z31" si="43">+Y24</f>
        <v>0</v>
      </c>
      <c r="AA24" s="1213">
        <f t="shared" ref="AA24:AA31" si="44">+Z24</f>
        <v>0</v>
      </c>
      <c r="AB24" s="1213">
        <f t="shared" ref="AB24:AB31" si="45">+AA24</f>
        <v>0</v>
      </c>
      <c r="AC24" s="1213">
        <f t="shared" ref="AC24:AC31" si="46">+AB24</f>
        <v>0</v>
      </c>
      <c r="AD24" s="1284"/>
      <c r="AE24" s="1213">
        <f t="shared" si="1"/>
        <v>0</v>
      </c>
      <c r="AF24" s="1213">
        <f t="shared" si="2"/>
        <v>0</v>
      </c>
      <c r="AG24" s="1213">
        <f t="shared" si="3"/>
        <v>0</v>
      </c>
      <c r="AH24" s="2919">
        <f t="shared" si="4"/>
        <v>0</v>
      </c>
      <c r="AI24" s="1829"/>
      <c r="AJ24" s="417">
        <f t="shared" si="22"/>
        <v>0</v>
      </c>
      <c r="AK24" s="412"/>
    </row>
    <row r="25" spans="1:37" s="424" customFormat="1" ht="15">
      <c r="A25" s="2933"/>
      <c r="B25" s="1289" t="s">
        <v>200</v>
      </c>
      <c r="C25" s="1286" t="s">
        <v>148</v>
      </c>
      <c r="D25" s="1287">
        <v>0</v>
      </c>
      <c r="E25" s="2716">
        <v>0</v>
      </c>
      <c r="F25" s="1287">
        <v>0</v>
      </c>
      <c r="G25" s="1287">
        <f t="shared" si="30"/>
        <v>0</v>
      </c>
      <c r="H25" s="1287">
        <f t="shared" si="31"/>
        <v>0</v>
      </c>
      <c r="I25" s="1287">
        <f t="shared" si="32"/>
        <v>0</v>
      </c>
      <c r="J25" s="1291">
        <f t="shared" si="33"/>
        <v>0</v>
      </c>
      <c r="K25" s="3219">
        <v>0</v>
      </c>
      <c r="L25" s="1287">
        <v>0</v>
      </c>
      <c r="M25" s="1287">
        <f t="shared" si="34"/>
        <v>0</v>
      </c>
      <c r="N25" s="1287">
        <f t="shared" si="35"/>
        <v>0</v>
      </c>
      <c r="O25" s="1287">
        <f t="shared" si="36"/>
        <v>0</v>
      </c>
      <c r="P25" s="1287">
        <f t="shared" si="37"/>
        <v>0</v>
      </c>
      <c r="Q25" s="1287">
        <v>0</v>
      </c>
      <c r="R25" s="1287">
        <v>0</v>
      </c>
      <c r="S25" s="1287">
        <f t="shared" si="38"/>
        <v>0</v>
      </c>
      <c r="T25" s="1287">
        <f t="shared" si="39"/>
        <v>0</v>
      </c>
      <c r="U25" s="1287">
        <f t="shared" si="40"/>
        <v>0</v>
      </c>
      <c r="V25" s="1287">
        <f t="shared" si="40"/>
        <v>0</v>
      </c>
      <c r="W25" s="1291">
        <f t="shared" si="41"/>
        <v>0</v>
      </c>
      <c r="X25" s="1287"/>
      <c r="Y25" s="1287">
        <f t="shared" si="42"/>
        <v>0</v>
      </c>
      <c r="Z25" s="1287">
        <f t="shared" si="43"/>
        <v>0</v>
      </c>
      <c r="AA25" s="1287">
        <f t="shared" si="44"/>
        <v>0</v>
      </c>
      <c r="AB25" s="1287">
        <f t="shared" si="45"/>
        <v>0</v>
      </c>
      <c r="AC25" s="1287">
        <f t="shared" si="46"/>
        <v>0</v>
      </c>
      <c r="AD25" s="1284"/>
      <c r="AE25" s="1213">
        <f t="shared" si="1"/>
        <v>0</v>
      </c>
      <c r="AF25" s="1213">
        <f t="shared" si="2"/>
        <v>0</v>
      </c>
      <c r="AG25" s="1213">
        <f t="shared" si="3"/>
        <v>0</v>
      </c>
      <c r="AH25" s="2919">
        <f t="shared" si="4"/>
        <v>0</v>
      </c>
      <c r="AI25" s="1834"/>
      <c r="AJ25" s="417">
        <f t="shared" si="22"/>
        <v>0</v>
      </c>
      <c r="AK25" s="420"/>
    </row>
    <row r="26" spans="1:37" s="424" customFormat="1" ht="15">
      <c r="A26" s="2933"/>
      <c r="B26" s="1289" t="s">
        <v>202</v>
      </c>
      <c r="C26" s="1290" t="s">
        <v>1280</v>
      </c>
      <c r="D26" s="1287">
        <v>0</v>
      </c>
      <c r="E26" s="2716">
        <v>0</v>
      </c>
      <c r="F26" s="1287">
        <v>0</v>
      </c>
      <c r="G26" s="1213">
        <f t="shared" si="30"/>
        <v>0</v>
      </c>
      <c r="H26" s="1213">
        <f t="shared" si="31"/>
        <v>0</v>
      </c>
      <c r="I26" s="1287">
        <f t="shared" si="32"/>
        <v>0</v>
      </c>
      <c r="J26" s="1291">
        <f t="shared" si="33"/>
        <v>0</v>
      </c>
      <c r="K26" s="3219">
        <v>0</v>
      </c>
      <c r="L26" s="1287">
        <v>0</v>
      </c>
      <c r="M26" s="1287">
        <f t="shared" si="34"/>
        <v>0</v>
      </c>
      <c r="N26" s="1287">
        <f t="shared" si="35"/>
        <v>0</v>
      </c>
      <c r="O26" s="1287">
        <f t="shared" si="36"/>
        <v>0</v>
      </c>
      <c r="P26" s="1287">
        <f t="shared" si="37"/>
        <v>0</v>
      </c>
      <c r="Q26" s="1287">
        <v>0</v>
      </c>
      <c r="R26" s="1287">
        <v>0</v>
      </c>
      <c r="S26" s="1287">
        <f t="shared" si="38"/>
        <v>0</v>
      </c>
      <c r="T26" s="1287">
        <f t="shared" si="39"/>
        <v>0</v>
      </c>
      <c r="U26" s="1287">
        <f t="shared" si="40"/>
        <v>0</v>
      </c>
      <c r="V26" s="1287">
        <f t="shared" si="40"/>
        <v>0</v>
      </c>
      <c r="W26" s="1291">
        <f t="shared" si="41"/>
        <v>0</v>
      </c>
      <c r="X26" s="1287"/>
      <c r="Y26" s="1287">
        <f t="shared" si="42"/>
        <v>0</v>
      </c>
      <c r="Z26" s="1287">
        <f t="shared" si="43"/>
        <v>0</v>
      </c>
      <c r="AA26" s="1287">
        <f t="shared" si="44"/>
        <v>0</v>
      </c>
      <c r="AB26" s="1287">
        <f t="shared" si="45"/>
        <v>0</v>
      </c>
      <c r="AC26" s="1287">
        <f t="shared" si="46"/>
        <v>0</v>
      </c>
      <c r="AD26" s="1284"/>
      <c r="AE26" s="1213">
        <f t="shared" si="1"/>
        <v>0</v>
      </c>
      <c r="AF26" s="1213">
        <f t="shared" si="2"/>
        <v>0</v>
      </c>
      <c r="AG26" s="1213">
        <f t="shared" si="3"/>
        <v>0</v>
      </c>
      <c r="AH26" s="2919">
        <f t="shared" si="4"/>
        <v>0</v>
      </c>
      <c r="AI26" s="1834"/>
      <c r="AJ26" s="417">
        <f t="shared" si="22"/>
        <v>0</v>
      </c>
      <c r="AK26" s="420"/>
    </row>
    <row r="27" spans="1:37" s="424" customFormat="1" ht="15">
      <c r="A27" s="2934" t="s">
        <v>15</v>
      </c>
      <c r="B27" s="1282" t="s">
        <v>15</v>
      </c>
      <c r="C27" s="1292" t="s">
        <v>150</v>
      </c>
      <c r="D27" s="1293">
        <v>0</v>
      </c>
      <c r="E27" s="2718">
        <v>0</v>
      </c>
      <c r="F27" s="1293">
        <v>0</v>
      </c>
      <c r="G27" s="1293">
        <f t="shared" si="30"/>
        <v>0</v>
      </c>
      <c r="H27" s="1293">
        <f t="shared" si="31"/>
        <v>0</v>
      </c>
      <c r="I27" s="1293">
        <f t="shared" si="32"/>
        <v>0</v>
      </c>
      <c r="J27" s="1293">
        <f t="shared" si="33"/>
        <v>0</v>
      </c>
      <c r="K27" s="3219">
        <v>0</v>
      </c>
      <c r="L27" s="1293">
        <v>0</v>
      </c>
      <c r="M27" s="1293">
        <f t="shared" si="34"/>
        <v>0</v>
      </c>
      <c r="N27" s="1293">
        <f t="shared" si="35"/>
        <v>0</v>
      </c>
      <c r="O27" s="1293">
        <f t="shared" si="36"/>
        <v>0</v>
      </c>
      <c r="P27" s="1293">
        <f t="shared" si="37"/>
        <v>0</v>
      </c>
      <c r="Q27" s="1293">
        <v>0</v>
      </c>
      <c r="R27" s="1293">
        <v>0</v>
      </c>
      <c r="S27" s="1293">
        <f t="shared" si="38"/>
        <v>0</v>
      </c>
      <c r="T27" s="1293">
        <f t="shared" si="39"/>
        <v>0</v>
      </c>
      <c r="U27" s="1293">
        <f t="shared" si="40"/>
        <v>0</v>
      </c>
      <c r="V27" s="1293">
        <f t="shared" si="40"/>
        <v>0</v>
      </c>
      <c r="W27" s="1293">
        <f t="shared" si="41"/>
        <v>0</v>
      </c>
      <c r="X27" s="1293">
        <f>+V27</f>
        <v>0</v>
      </c>
      <c r="Y27" s="1293">
        <f t="shared" si="42"/>
        <v>0</v>
      </c>
      <c r="Z27" s="1293">
        <f t="shared" si="43"/>
        <v>0</v>
      </c>
      <c r="AA27" s="1293">
        <f t="shared" si="44"/>
        <v>0</v>
      </c>
      <c r="AB27" s="1293">
        <f t="shared" si="45"/>
        <v>0</v>
      </c>
      <c r="AC27" s="1293">
        <f t="shared" si="46"/>
        <v>0</v>
      </c>
      <c r="AD27" s="1284"/>
      <c r="AE27" s="1213">
        <f t="shared" si="1"/>
        <v>0</v>
      </c>
      <c r="AF27" s="1213">
        <f t="shared" si="2"/>
        <v>0</v>
      </c>
      <c r="AG27" s="1213">
        <f t="shared" si="3"/>
        <v>0</v>
      </c>
      <c r="AH27" s="2919">
        <f t="shared" si="4"/>
        <v>0</v>
      </c>
      <c r="AI27" s="1834"/>
      <c r="AJ27" s="417">
        <f t="shared" si="22"/>
        <v>0</v>
      </c>
      <c r="AK27" s="427"/>
    </row>
    <row r="28" spans="1:37" s="424" customFormat="1" ht="15">
      <c r="A28" s="2933"/>
      <c r="B28" s="1289" t="s">
        <v>212</v>
      </c>
      <c r="C28" s="1290" t="s">
        <v>1280</v>
      </c>
      <c r="D28" s="1287">
        <v>0</v>
      </c>
      <c r="E28" s="2716">
        <v>0</v>
      </c>
      <c r="F28" s="1287">
        <v>0</v>
      </c>
      <c r="G28" s="1287">
        <f t="shared" si="30"/>
        <v>0</v>
      </c>
      <c r="H28" s="1287">
        <f t="shared" si="31"/>
        <v>0</v>
      </c>
      <c r="I28" s="1287">
        <f t="shared" si="32"/>
        <v>0</v>
      </c>
      <c r="J28" s="1287">
        <f t="shared" si="33"/>
        <v>0</v>
      </c>
      <c r="K28" s="3219">
        <v>0</v>
      </c>
      <c r="L28" s="1287">
        <v>0</v>
      </c>
      <c r="M28" s="1287">
        <f t="shared" si="34"/>
        <v>0</v>
      </c>
      <c r="N28" s="1287">
        <f t="shared" si="35"/>
        <v>0</v>
      </c>
      <c r="O28" s="1287">
        <f t="shared" si="36"/>
        <v>0</v>
      </c>
      <c r="P28" s="1287">
        <f t="shared" si="37"/>
        <v>0</v>
      </c>
      <c r="Q28" s="1287">
        <v>0</v>
      </c>
      <c r="R28" s="1287">
        <v>0</v>
      </c>
      <c r="S28" s="1227">
        <f t="shared" si="38"/>
        <v>0</v>
      </c>
      <c r="T28" s="1227">
        <f t="shared" si="39"/>
        <v>0</v>
      </c>
      <c r="U28" s="1287"/>
      <c r="V28" s="1287"/>
      <c r="W28" s="1287">
        <f t="shared" si="41"/>
        <v>0</v>
      </c>
      <c r="X28" s="1287"/>
      <c r="Y28" s="1287">
        <f t="shared" si="42"/>
        <v>0</v>
      </c>
      <c r="Z28" s="1287">
        <f t="shared" si="43"/>
        <v>0</v>
      </c>
      <c r="AA28" s="1287">
        <f t="shared" si="44"/>
        <v>0</v>
      </c>
      <c r="AB28" s="1287">
        <f t="shared" si="45"/>
        <v>0</v>
      </c>
      <c r="AC28" s="1287">
        <f t="shared" si="46"/>
        <v>0</v>
      </c>
      <c r="AD28" s="1284"/>
      <c r="AE28" s="1213">
        <f t="shared" si="1"/>
        <v>0</v>
      </c>
      <c r="AF28" s="1213">
        <f t="shared" si="2"/>
        <v>0</v>
      </c>
      <c r="AG28" s="1213">
        <f t="shared" si="3"/>
        <v>0</v>
      </c>
      <c r="AH28" s="2919">
        <f t="shared" si="4"/>
        <v>0</v>
      </c>
      <c r="AI28" s="1834"/>
      <c r="AJ28" s="417">
        <f t="shared" si="22"/>
        <v>0</v>
      </c>
      <c r="AK28" s="420"/>
    </row>
    <row r="29" spans="1:37" s="424" customFormat="1" ht="15">
      <c r="A29" s="2934" t="s">
        <v>17</v>
      </c>
      <c r="B29" s="1474" t="s">
        <v>17</v>
      </c>
      <c r="C29" s="1292" t="s">
        <v>153</v>
      </c>
      <c r="D29" s="1213">
        <v>0</v>
      </c>
      <c r="E29" s="2715">
        <v>0</v>
      </c>
      <c r="F29" s="1213">
        <v>0</v>
      </c>
      <c r="G29" s="1213">
        <f t="shared" si="30"/>
        <v>0</v>
      </c>
      <c r="H29" s="1213">
        <f t="shared" si="31"/>
        <v>0</v>
      </c>
      <c r="I29" s="1213">
        <f t="shared" si="32"/>
        <v>0</v>
      </c>
      <c r="J29" s="1213">
        <f t="shared" si="33"/>
        <v>0</v>
      </c>
      <c r="K29" s="3219">
        <v>0</v>
      </c>
      <c r="L29" s="1213">
        <v>0</v>
      </c>
      <c r="M29" s="1213">
        <f t="shared" si="34"/>
        <v>0</v>
      </c>
      <c r="N29" s="1213">
        <f t="shared" si="35"/>
        <v>0</v>
      </c>
      <c r="O29" s="1213">
        <f t="shared" si="36"/>
        <v>0</v>
      </c>
      <c r="P29" s="1213">
        <f t="shared" si="37"/>
        <v>0</v>
      </c>
      <c r="Q29" s="1213">
        <v>0</v>
      </c>
      <c r="R29" s="1213">
        <v>0</v>
      </c>
      <c r="S29" s="1213">
        <f t="shared" si="38"/>
        <v>0</v>
      </c>
      <c r="T29" s="1213">
        <f t="shared" si="39"/>
        <v>0</v>
      </c>
      <c r="U29" s="1213">
        <f t="shared" ref="U29:V31" si="47">+T29</f>
        <v>0</v>
      </c>
      <c r="V29" s="1213">
        <f t="shared" si="47"/>
        <v>0</v>
      </c>
      <c r="W29" s="1213">
        <f t="shared" si="41"/>
        <v>0</v>
      </c>
      <c r="X29" s="1213"/>
      <c r="Y29" s="1213">
        <f t="shared" si="42"/>
        <v>0</v>
      </c>
      <c r="Z29" s="1213">
        <f t="shared" si="43"/>
        <v>0</v>
      </c>
      <c r="AA29" s="1213">
        <f t="shared" si="44"/>
        <v>0</v>
      </c>
      <c r="AB29" s="1213">
        <f t="shared" si="45"/>
        <v>0</v>
      </c>
      <c r="AC29" s="1213">
        <f t="shared" si="46"/>
        <v>0</v>
      </c>
      <c r="AD29" s="1284"/>
      <c r="AE29" s="1213">
        <f t="shared" si="1"/>
        <v>0</v>
      </c>
      <c r="AF29" s="1213">
        <f t="shared" si="2"/>
        <v>0</v>
      </c>
      <c r="AG29" s="1213">
        <f t="shared" si="3"/>
        <v>0</v>
      </c>
      <c r="AH29" s="2919">
        <f t="shared" si="4"/>
        <v>0</v>
      </c>
      <c r="AI29" s="1829"/>
      <c r="AJ29" s="417">
        <f t="shared" si="22"/>
        <v>0</v>
      </c>
      <c r="AK29" s="412"/>
    </row>
    <row r="30" spans="1:37" s="416" customFormat="1" ht="15">
      <c r="A30" s="2934" t="s">
        <v>19</v>
      </c>
      <c r="B30" s="1282" t="s">
        <v>19</v>
      </c>
      <c r="C30" s="1292" t="s">
        <v>1281</v>
      </c>
      <c r="D30" s="1293">
        <v>0</v>
      </c>
      <c r="E30" s="2718">
        <v>0</v>
      </c>
      <c r="F30" s="1293">
        <v>0</v>
      </c>
      <c r="G30" s="1293">
        <f t="shared" si="30"/>
        <v>0</v>
      </c>
      <c r="H30" s="1293">
        <f t="shared" si="31"/>
        <v>0</v>
      </c>
      <c r="I30" s="1293">
        <f t="shared" si="32"/>
        <v>0</v>
      </c>
      <c r="J30" s="1293">
        <f t="shared" si="33"/>
        <v>0</v>
      </c>
      <c r="K30" s="3219">
        <v>0</v>
      </c>
      <c r="L30" s="1293">
        <v>0</v>
      </c>
      <c r="M30" s="1293">
        <f t="shared" si="34"/>
        <v>0</v>
      </c>
      <c r="N30" s="1293">
        <f t="shared" si="35"/>
        <v>0</v>
      </c>
      <c r="O30" s="1293">
        <f t="shared" si="36"/>
        <v>0</v>
      </c>
      <c r="P30" s="1293">
        <f t="shared" si="37"/>
        <v>0</v>
      </c>
      <c r="Q30" s="1293">
        <v>0</v>
      </c>
      <c r="R30" s="1293">
        <v>0</v>
      </c>
      <c r="S30" s="1293">
        <f t="shared" si="38"/>
        <v>0</v>
      </c>
      <c r="T30" s="1293">
        <f t="shared" si="39"/>
        <v>0</v>
      </c>
      <c r="U30" s="1293">
        <f t="shared" si="47"/>
        <v>0</v>
      </c>
      <c r="V30" s="1293">
        <f t="shared" si="47"/>
        <v>0</v>
      </c>
      <c r="W30" s="1293">
        <f t="shared" si="41"/>
        <v>0</v>
      </c>
      <c r="X30" s="1293"/>
      <c r="Y30" s="1293">
        <f t="shared" si="42"/>
        <v>0</v>
      </c>
      <c r="Z30" s="1293">
        <f t="shared" si="43"/>
        <v>0</v>
      </c>
      <c r="AA30" s="1293">
        <f t="shared" si="44"/>
        <v>0</v>
      </c>
      <c r="AB30" s="1293">
        <f t="shared" si="45"/>
        <v>0</v>
      </c>
      <c r="AC30" s="1293">
        <f t="shared" si="46"/>
        <v>0</v>
      </c>
      <c r="AD30" s="1284"/>
      <c r="AE30" s="1213">
        <f t="shared" si="1"/>
        <v>0</v>
      </c>
      <c r="AF30" s="1213">
        <f t="shared" si="2"/>
        <v>0</v>
      </c>
      <c r="AG30" s="1213">
        <f t="shared" si="3"/>
        <v>0</v>
      </c>
      <c r="AH30" s="2919">
        <f t="shared" si="4"/>
        <v>0</v>
      </c>
      <c r="AI30" s="1834"/>
      <c r="AJ30" s="417">
        <f t="shared" si="22"/>
        <v>0</v>
      </c>
      <c r="AK30" s="427"/>
    </row>
    <row r="31" spans="1:37" s="416" customFormat="1" ht="15">
      <c r="A31" s="2934" t="s">
        <v>21</v>
      </c>
      <c r="B31" s="1282" t="s">
        <v>21</v>
      </c>
      <c r="C31" s="1292" t="s">
        <v>393</v>
      </c>
      <c r="D31" s="1227">
        <v>0</v>
      </c>
      <c r="E31" s="2719">
        <v>0</v>
      </c>
      <c r="F31" s="1227">
        <v>0</v>
      </c>
      <c r="G31" s="1227">
        <f t="shared" si="30"/>
        <v>0</v>
      </c>
      <c r="H31" s="1227">
        <f t="shared" si="31"/>
        <v>0</v>
      </c>
      <c r="I31" s="1227">
        <f t="shared" si="32"/>
        <v>0</v>
      </c>
      <c r="J31" s="1227">
        <f t="shared" si="33"/>
        <v>0</v>
      </c>
      <c r="K31" s="3219">
        <v>0</v>
      </c>
      <c r="L31" s="1227">
        <v>0</v>
      </c>
      <c r="M31" s="1227">
        <f t="shared" si="34"/>
        <v>0</v>
      </c>
      <c r="N31" s="1227">
        <f t="shared" si="35"/>
        <v>0</v>
      </c>
      <c r="O31" s="1227">
        <f t="shared" si="36"/>
        <v>0</v>
      </c>
      <c r="P31" s="1227">
        <f t="shared" si="37"/>
        <v>0</v>
      </c>
      <c r="Q31" s="1227">
        <v>0</v>
      </c>
      <c r="R31" s="1227">
        <v>0</v>
      </c>
      <c r="S31" s="1227">
        <f t="shared" si="38"/>
        <v>0</v>
      </c>
      <c r="T31" s="1227">
        <f t="shared" si="39"/>
        <v>0</v>
      </c>
      <c r="U31" s="1227">
        <f t="shared" si="47"/>
        <v>0</v>
      </c>
      <c r="V31" s="1227">
        <f t="shared" si="47"/>
        <v>0</v>
      </c>
      <c r="W31" s="1227">
        <f t="shared" si="41"/>
        <v>0</v>
      </c>
      <c r="X31" s="1227"/>
      <c r="Y31" s="1227">
        <f t="shared" si="42"/>
        <v>0</v>
      </c>
      <c r="Z31" s="1227">
        <f t="shared" si="43"/>
        <v>0</v>
      </c>
      <c r="AA31" s="1227">
        <f t="shared" si="44"/>
        <v>0</v>
      </c>
      <c r="AB31" s="1227">
        <f t="shared" si="45"/>
        <v>0</v>
      </c>
      <c r="AC31" s="1227">
        <f t="shared" si="46"/>
        <v>0</v>
      </c>
      <c r="AD31" s="1284"/>
      <c r="AE31" s="1213">
        <f t="shared" si="1"/>
        <v>0</v>
      </c>
      <c r="AF31" s="1213">
        <f t="shared" si="2"/>
        <v>0</v>
      </c>
      <c r="AG31" s="1213">
        <f t="shared" si="3"/>
        <v>0</v>
      </c>
      <c r="AH31" s="2919">
        <f t="shared" si="4"/>
        <v>0</v>
      </c>
      <c r="AI31" s="1834"/>
      <c r="AJ31" s="417">
        <f t="shared" si="22"/>
        <v>0</v>
      </c>
      <c r="AK31" s="430"/>
    </row>
    <row r="32" spans="1:37" s="416" customFormat="1" ht="15">
      <c r="A32" s="2934" t="s">
        <v>23</v>
      </c>
      <c r="B32" s="1474" t="s">
        <v>23</v>
      </c>
      <c r="C32" s="1292" t="s">
        <v>1282</v>
      </c>
      <c r="D32" s="1213">
        <f t="shared" ref="D32:AC32" si="48">+D8+D20+D23+D27+D29+D30+D31</f>
        <v>15170628</v>
      </c>
      <c r="E32" s="2715">
        <f>+E8+E20+E23+E27+E29+E30+E31</f>
        <v>23771143</v>
      </c>
      <c r="F32" s="1213">
        <f t="shared" si="48"/>
        <v>17560157</v>
      </c>
      <c r="G32" s="1213">
        <f t="shared" si="48"/>
        <v>18378095</v>
      </c>
      <c r="H32" s="1213">
        <f t="shared" si="48"/>
        <v>20101946</v>
      </c>
      <c r="I32" s="1213">
        <f t="shared" si="48"/>
        <v>22981514</v>
      </c>
      <c r="J32" s="1213">
        <f t="shared" si="48"/>
        <v>22981514</v>
      </c>
      <c r="K32" s="3208">
        <f t="shared" si="48"/>
        <v>22981514</v>
      </c>
      <c r="L32" s="1213">
        <f t="shared" si="48"/>
        <v>0</v>
      </c>
      <c r="M32" s="1213">
        <f t="shared" si="48"/>
        <v>0</v>
      </c>
      <c r="N32" s="1213">
        <f t="shared" si="48"/>
        <v>0</v>
      </c>
      <c r="O32" s="1213">
        <f t="shared" si="48"/>
        <v>0</v>
      </c>
      <c r="P32" s="1213">
        <f t="shared" si="48"/>
        <v>0</v>
      </c>
      <c r="Q32" s="1213">
        <f t="shared" si="48"/>
        <v>0</v>
      </c>
      <c r="R32" s="1213">
        <f t="shared" si="48"/>
        <v>17560157</v>
      </c>
      <c r="S32" s="1213">
        <f t="shared" si="48"/>
        <v>18378095</v>
      </c>
      <c r="T32" s="1213">
        <f t="shared" si="48"/>
        <v>20101946</v>
      </c>
      <c r="U32" s="1213">
        <f t="shared" si="48"/>
        <v>22981514</v>
      </c>
      <c r="V32" s="1213">
        <f t="shared" si="48"/>
        <v>22981514</v>
      </c>
      <c r="W32" s="1213">
        <f t="shared" si="48"/>
        <v>22981514</v>
      </c>
      <c r="X32" s="1213">
        <f t="shared" si="48"/>
        <v>0</v>
      </c>
      <c r="Y32" s="1213">
        <f t="shared" si="48"/>
        <v>0</v>
      </c>
      <c r="Z32" s="1213">
        <f t="shared" si="48"/>
        <v>0</v>
      </c>
      <c r="AA32" s="1213">
        <f t="shared" si="48"/>
        <v>0</v>
      </c>
      <c r="AB32" s="1213">
        <f t="shared" si="48"/>
        <v>0</v>
      </c>
      <c r="AC32" s="1213">
        <f t="shared" si="48"/>
        <v>0</v>
      </c>
      <c r="AD32" s="1283"/>
      <c r="AE32" s="1213">
        <f t="shared" si="1"/>
        <v>817938</v>
      </c>
      <c r="AF32" s="1213">
        <f t="shared" si="2"/>
        <v>1723851</v>
      </c>
      <c r="AG32" s="1213">
        <f t="shared" si="3"/>
        <v>2879568</v>
      </c>
      <c r="AH32" s="2919">
        <f t="shared" si="4"/>
        <v>0</v>
      </c>
      <c r="AI32" s="1829">
        <f>+K32/I32</f>
        <v>1</v>
      </c>
      <c r="AJ32" s="417">
        <f t="shared" si="22"/>
        <v>2389529</v>
      </c>
      <c r="AK32" s="412"/>
    </row>
    <row r="33" spans="1:38" s="424" customFormat="1" ht="15">
      <c r="A33" s="2975" t="s">
        <v>25</v>
      </c>
      <c r="B33" s="1282" t="s">
        <v>25</v>
      </c>
      <c r="C33" s="1292" t="s">
        <v>1305</v>
      </c>
      <c r="D33" s="1213">
        <f t="shared" ref="D33:AC33" si="49">SUM(D34:D36)</f>
        <v>341191005</v>
      </c>
      <c r="E33" s="2715">
        <f>SUM(E34:E36)</f>
        <v>363183585</v>
      </c>
      <c r="F33" s="1213">
        <f t="shared" si="49"/>
        <v>396155174</v>
      </c>
      <c r="G33" s="1213">
        <f t="shared" si="49"/>
        <v>399300975</v>
      </c>
      <c r="H33" s="1213">
        <f t="shared" si="49"/>
        <v>399646275</v>
      </c>
      <c r="I33" s="1213">
        <f t="shared" si="49"/>
        <v>408450601</v>
      </c>
      <c r="J33" s="1213">
        <f t="shared" si="49"/>
        <v>408450601</v>
      </c>
      <c r="K33" s="3208">
        <f>SUM(K34:K36)</f>
        <v>400834408</v>
      </c>
      <c r="L33" s="1213">
        <f t="shared" si="49"/>
        <v>0</v>
      </c>
      <c r="M33" s="1213">
        <f t="shared" si="49"/>
        <v>0</v>
      </c>
      <c r="N33" s="1213">
        <f t="shared" si="49"/>
        <v>0</v>
      </c>
      <c r="O33" s="1213">
        <f t="shared" si="49"/>
        <v>0</v>
      </c>
      <c r="P33" s="1213">
        <f t="shared" si="49"/>
        <v>0</v>
      </c>
      <c r="Q33" s="1213">
        <f t="shared" si="49"/>
        <v>0</v>
      </c>
      <c r="R33" s="1213">
        <f t="shared" si="49"/>
        <v>396155174</v>
      </c>
      <c r="S33" s="1213">
        <f t="shared" si="49"/>
        <v>399300975</v>
      </c>
      <c r="T33" s="1213">
        <f t="shared" si="49"/>
        <v>399646275</v>
      </c>
      <c r="U33" s="1213">
        <f t="shared" si="49"/>
        <v>408450601</v>
      </c>
      <c r="V33" s="1213">
        <f t="shared" si="49"/>
        <v>408450601</v>
      </c>
      <c r="W33" s="1213">
        <f t="shared" si="49"/>
        <v>400834408</v>
      </c>
      <c r="X33" s="1213">
        <f t="shared" si="49"/>
        <v>0</v>
      </c>
      <c r="Y33" s="1213">
        <f t="shared" si="49"/>
        <v>0</v>
      </c>
      <c r="Z33" s="1213">
        <f t="shared" si="49"/>
        <v>0</v>
      </c>
      <c r="AA33" s="1213">
        <f t="shared" si="49"/>
        <v>0</v>
      </c>
      <c r="AB33" s="1213">
        <f t="shared" si="49"/>
        <v>0</v>
      </c>
      <c r="AC33" s="1213">
        <f t="shared" si="49"/>
        <v>0</v>
      </c>
      <c r="AD33" s="1284"/>
      <c r="AE33" s="1213">
        <f t="shared" si="1"/>
        <v>3145801</v>
      </c>
      <c r="AF33" s="1213">
        <f t="shared" si="2"/>
        <v>345300</v>
      </c>
      <c r="AG33" s="1213">
        <f t="shared" si="3"/>
        <v>8804326</v>
      </c>
      <c r="AH33" s="2919">
        <f t="shared" si="4"/>
        <v>0</v>
      </c>
      <c r="AI33" s="1829">
        <f>+K33/I33</f>
        <v>0.98135345380480909</v>
      </c>
      <c r="AJ33" s="417">
        <f t="shared" si="22"/>
        <v>54964169</v>
      </c>
      <c r="AK33" s="412"/>
    </row>
    <row r="34" spans="1:38" s="424" customFormat="1" ht="15">
      <c r="A34" s="2975"/>
      <c r="B34" s="1477" t="s">
        <v>1284</v>
      </c>
      <c r="C34" s="1286" t="s">
        <v>1285</v>
      </c>
      <c r="D34" s="1291">
        <v>0</v>
      </c>
      <c r="E34" s="2717">
        <v>14439762</v>
      </c>
      <c r="F34" s="1291">
        <v>0</v>
      </c>
      <c r="G34" s="1227">
        <f>+F34+2345701</f>
        <v>2345701</v>
      </c>
      <c r="H34" s="1227">
        <f>+G34</f>
        <v>2345701</v>
      </c>
      <c r="I34" s="1227">
        <f>+H34</f>
        <v>2345701</v>
      </c>
      <c r="J34" s="1227">
        <f t="shared" ref="G34:J36" si="50">+I34</f>
        <v>2345701</v>
      </c>
      <c r="K34" s="3220">
        <v>2345701</v>
      </c>
      <c r="L34" s="1291">
        <v>0</v>
      </c>
      <c r="M34" s="1291">
        <f t="shared" ref="M34:P36" si="51">+L34</f>
        <v>0</v>
      </c>
      <c r="N34" s="1291">
        <f t="shared" si="51"/>
        <v>0</v>
      </c>
      <c r="O34" s="1291">
        <f t="shared" si="51"/>
        <v>0</v>
      </c>
      <c r="P34" s="1291">
        <f t="shared" si="51"/>
        <v>0</v>
      </c>
      <c r="Q34" s="1291">
        <v>0</v>
      </c>
      <c r="R34" s="1291">
        <f>+F34</f>
        <v>0</v>
      </c>
      <c r="S34" s="1227">
        <f>+R34+2345701</f>
        <v>2345701</v>
      </c>
      <c r="T34" s="1227">
        <f>+S34</f>
        <v>2345701</v>
      </c>
      <c r="U34" s="1227">
        <f>+T34</f>
        <v>2345701</v>
      </c>
      <c r="V34" s="1227">
        <f t="shared" ref="S34:V36" si="52">+U34</f>
        <v>2345701</v>
      </c>
      <c r="W34" s="1291">
        <f>+K34</f>
        <v>2345701</v>
      </c>
      <c r="X34" s="1213"/>
      <c r="Y34" s="1213">
        <f t="shared" ref="Y34:AC36" si="53">+X34</f>
        <v>0</v>
      </c>
      <c r="Z34" s="1213">
        <f t="shared" si="53"/>
        <v>0</v>
      </c>
      <c r="AA34" s="1213">
        <f t="shared" si="53"/>
        <v>0</v>
      </c>
      <c r="AB34" s="1213">
        <f t="shared" si="53"/>
        <v>0</v>
      </c>
      <c r="AC34" s="1213">
        <f t="shared" si="53"/>
        <v>0</v>
      </c>
      <c r="AD34" s="2947"/>
      <c r="AE34" s="1213">
        <f t="shared" si="1"/>
        <v>2345701</v>
      </c>
      <c r="AF34" s="1213">
        <f t="shared" si="2"/>
        <v>0</v>
      </c>
      <c r="AG34" s="1213">
        <f t="shared" si="3"/>
        <v>0</v>
      </c>
      <c r="AH34" s="2919">
        <f t="shared" si="4"/>
        <v>0</v>
      </c>
      <c r="AI34" s="1834">
        <f>+K34/I34</f>
        <v>1</v>
      </c>
      <c r="AJ34" s="417">
        <f t="shared" si="22"/>
        <v>0</v>
      </c>
      <c r="AK34" s="548"/>
    </row>
    <row r="35" spans="1:38" s="424" customFormat="1" ht="15">
      <c r="A35" s="2933"/>
      <c r="B35" s="1477" t="s">
        <v>1286</v>
      </c>
      <c r="C35" s="1286" t="s">
        <v>1287</v>
      </c>
      <c r="D35" s="1227">
        <v>0</v>
      </c>
      <c r="E35" s="2719">
        <v>0</v>
      </c>
      <c r="F35" s="1227">
        <v>0</v>
      </c>
      <c r="G35" s="1227">
        <f t="shared" si="50"/>
        <v>0</v>
      </c>
      <c r="H35" s="1227">
        <f t="shared" si="50"/>
        <v>0</v>
      </c>
      <c r="I35" s="1227">
        <f t="shared" si="50"/>
        <v>0</v>
      </c>
      <c r="J35" s="1227">
        <f t="shared" si="50"/>
        <v>0</v>
      </c>
      <c r="K35" s="3209">
        <v>0</v>
      </c>
      <c r="L35" s="1227">
        <v>0</v>
      </c>
      <c r="M35" s="1227">
        <f t="shared" si="51"/>
        <v>0</v>
      </c>
      <c r="N35" s="1227">
        <f t="shared" si="51"/>
        <v>0</v>
      </c>
      <c r="O35" s="1227">
        <f t="shared" si="51"/>
        <v>0</v>
      </c>
      <c r="P35" s="1227">
        <f t="shared" si="51"/>
        <v>0</v>
      </c>
      <c r="Q35" s="1227">
        <v>0</v>
      </c>
      <c r="R35" s="1227">
        <v>0</v>
      </c>
      <c r="S35" s="1227">
        <f t="shared" si="52"/>
        <v>0</v>
      </c>
      <c r="T35" s="1227">
        <f t="shared" si="52"/>
        <v>0</v>
      </c>
      <c r="U35" s="1227">
        <f t="shared" si="52"/>
        <v>0</v>
      </c>
      <c r="V35" s="1227">
        <f t="shared" si="52"/>
        <v>0</v>
      </c>
      <c r="W35" s="1227">
        <f>+K35</f>
        <v>0</v>
      </c>
      <c r="X35" s="1227"/>
      <c r="Y35" s="1227">
        <f t="shared" si="53"/>
        <v>0</v>
      </c>
      <c r="Z35" s="1227">
        <f t="shared" si="53"/>
        <v>0</v>
      </c>
      <c r="AA35" s="1227">
        <f t="shared" si="53"/>
        <v>0</v>
      </c>
      <c r="AB35" s="1227">
        <f t="shared" si="53"/>
        <v>0</v>
      </c>
      <c r="AC35" s="1227">
        <f t="shared" si="53"/>
        <v>0</v>
      </c>
      <c r="AD35" s="1284"/>
      <c r="AE35" s="1213">
        <f t="shared" si="1"/>
        <v>0</v>
      </c>
      <c r="AF35" s="1213">
        <f t="shared" si="2"/>
        <v>0</v>
      </c>
      <c r="AG35" s="1213">
        <f t="shared" si="3"/>
        <v>0</v>
      </c>
      <c r="AH35" s="2919">
        <f t="shared" si="4"/>
        <v>0</v>
      </c>
      <c r="AI35" s="1834"/>
      <c r="AJ35" s="417">
        <f t="shared" si="22"/>
        <v>0</v>
      </c>
      <c r="AK35" s="430"/>
    </row>
    <row r="36" spans="1:38" s="424" customFormat="1" ht="15">
      <c r="A36" s="2976"/>
      <c r="B36" s="1477" t="s">
        <v>1288</v>
      </c>
      <c r="C36" s="1286" t="s">
        <v>1289</v>
      </c>
      <c r="D36" s="1227">
        <f>338361457+337+2829211</f>
        <v>341191005</v>
      </c>
      <c r="E36" s="2719">
        <v>348743823</v>
      </c>
      <c r="F36" s="1227">
        <v>396155174</v>
      </c>
      <c r="G36" s="1227">
        <f>+F36+800100</f>
        <v>396955274</v>
      </c>
      <c r="H36" s="1227">
        <f>+G36+9000*12+237300</f>
        <v>397300574</v>
      </c>
      <c r="I36" s="1227">
        <f>+H36+75057+98108+154254+237300+2643522+5596085</f>
        <v>406104900</v>
      </c>
      <c r="J36" s="1227">
        <f t="shared" si="50"/>
        <v>406104900</v>
      </c>
      <c r="K36" s="3209">
        <v>398488707</v>
      </c>
      <c r="L36" s="1227">
        <v>0</v>
      </c>
      <c r="M36" s="1227">
        <f t="shared" si="51"/>
        <v>0</v>
      </c>
      <c r="N36" s="1227">
        <f t="shared" si="51"/>
        <v>0</v>
      </c>
      <c r="O36" s="1227">
        <f t="shared" si="51"/>
        <v>0</v>
      </c>
      <c r="P36" s="1227">
        <f t="shared" si="51"/>
        <v>0</v>
      </c>
      <c r="Q36" s="1227">
        <v>0</v>
      </c>
      <c r="R36" s="1227">
        <f>+F36</f>
        <v>396155174</v>
      </c>
      <c r="S36" s="1227">
        <f>+R36+800100</f>
        <v>396955274</v>
      </c>
      <c r="T36" s="1227">
        <f>+S36+9000*12+237300</f>
        <v>397300574</v>
      </c>
      <c r="U36" s="1227">
        <f>+T36+75057+98108+154254+237300+2643522+5596085</f>
        <v>406104900</v>
      </c>
      <c r="V36" s="1227">
        <f t="shared" si="52"/>
        <v>406104900</v>
      </c>
      <c r="W36" s="1227">
        <f>+K36</f>
        <v>398488707</v>
      </c>
      <c r="X36" s="1227"/>
      <c r="Y36" s="1227">
        <f t="shared" si="53"/>
        <v>0</v>
      </c>
      <c r="Z36" s="1227">
        <f t="shared" si="53"/>
        <v>0</v>
      </c>
      <c r="AA36" s="1227">
        <f t="shared" si="53"/>
        <v>0</v>
      </c>
      <c r="AB36" s="1227">
        <f t="shared" si="53"/>
        <v>0</v>
      </c>
      <c r="AC36" s="1227">
        <f t="shared" si="53"/>
        <v>0</v>
      </c>
      <c r="AD36" s="1284"/>
      <c r="AE36" s="1213">
        <f t="shared" si="1"/>
        <v>800100</v>
      </c>
      <c r="AF36" s="1213">
        <f t="shared" si="2"/>
        <v>345300</v>
      </c>
      <c r="AG36" s="1213">
        <f t="shared" si="3"/>
        <v>8804326</v>
      </c>
      <c r="AH36" s="2919">
        <f t="shared" si="4"/>
        <v>0</v>
      </c>
      <c r="AI36" s="1834">
        <f>+K36/I36</f>
        <v>0.98124574955879629</v>
      </c>
      <c r="AJ36" s="417">
        <f t="shared" si="22"/>
        <v>54964169</v>
      </c>
      <c r="AK36" s="430"/>
    </row>
    <row r="37" spans="1:38" s="405" customFormat="1" ht="15.75">
      <c r="A37" s="2975" t="s">
        <v>27</v>
      </c>
      <c r="B37" s="1475" t="s">
        <v>27</v>
      </c>
      <c r="C37" s="1297" t="s">
        <v>1290</v>
      </c>
      <c r="D37" s="1298">
        <f t="shared" ref="D37:AC37" si="54">+D32+D33</f>
        <v>356361633</v>
      </c>
      <c r="E37" s="2720">
        <f t="shared" si="54"/>
        <v>386954728</v>
      </c>
      <c r="F37" s="1298">
        <f t="shared" si="54"/>
        <v>413715331</v>
      </c>
      <c r="G37" s="1298">
        <f t="shared" si="54"/>
        <v>417679070</v>
      </c>
      <c r="H37" s="1298">
        <f t="shared" si="54"/>
        <v>419748221</v>
      </c>
      <c r="I37" s="1298">
        <f t="shared" si="54"/>
        <v>431432115</v>
      </c>
      <c r="J37" s="1298">
        <f t="shared" si="54"/>
        <v>431432115</v>
      </c>
      <c r="K37" s="3210">
        <f t="shared" si="54"/>
        <v>423815922</v>
      </c>
      <c r="L37" s="1298">
        <f t="shared" si="54"/>
        <v>0</v>
      </c>
      <c r="M37" s="1298">
        <f t="shared" si="54"/>
        <v>0</v>
      </c>
      <c r="N37" s="1298">
        <f t="shared" si="54"/>
        <v>0</v>
      </c>
      <c r="O37" s="1298">
        <f t="shared" si="54"/>
        <v>0</v>
      </c>
      <c r="P37" s="1298">
        <f t="shared" si="54"/>
        <v>0</v>
      </c>
      <c r="Q37" s="1298">
        <f t="shared" si="54"/>
        <v>0</v>
      </c>
      <c r="R37" s="1298">
        <f t="shared" si="54"/>
        <v>413715331</v>
      </c>
      <c r="S37" s="1298">
        <f t="shared" si="54"/>
        <v>417679070</v>
      </c>
      <c r="T37" s="1298">
        <f t="shared" si="54"/>
        <v>419748221</v>
      </c>
      <c r="U37" s="1298">
        <f t="shared" si="54"/>
        <v>431432115</v>
      </c>
      <c r="V37" s="1298">
        <f t="shared" si="54"/>
        <v>431432115</v>
      </c>
      <c r="W37" s="1298">
        <f t="shared" si="54"/>
        <v>423815922</v>
      </c>
      <c r="X37" s="1298">
        <f t="shared" si="54"/>
        <v>0</v>
      </c>
      <c r="Y37" s="1298">
        <f t="shared" si="54"/>
        <v>0</v>
      </c>
      <c r="Z37" s="1298">
        <f t="shared" si="54"/>
        <v>0</v>
      </c>
      <c r="AA37" s="1298">
        <f t="shared" si="54"/>
        <v>0</v>
      </c>
      <c r="AB37" s="1298">
        <f t="shared" si="54"/>
        <v>0</v>
      </c>
      <c r="AC37" s="1298">
        <f t="shared" si="54"/>
        <v>0</v>
      </c>
      <c r="AD37" s="1284"/>
      <c r="AE37" s="1213">
        <f t="shared" si="1"/>
        <v>3963739</v>
      </c>
      <c r="AF37" s="1213">
        <f t="shared" si="2"/>
        <v>2069151</v>
      </c>
      <c r="AG37" s="1213">
        <f t="shared" si="3"/>
        <v>11683894</v>
      </c>
      <c r="AH37" s="2919">
        <f t="shared" si="4"/>
        <v>0</v>
      </c>
      <c r="AI37" s="1829">
        <f>+K37/I37</f>
        <v>0.9823467175131364</v>
      </c>
      <c r="AJ37" s="417">
        <f t="shared" si="22"/>
        <v>57353698</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58"/>
      <c r="AJ38" s="417"/>
      <c r="AK38" s="436"/>
    </row>
    <row r="39" spans="1:38" ht="15">
      <c r="A39" s="2932"/>
      <c r="B39" s="1285"/>
      <c r="C39" s="1548" t="str">
        <f t="shared" ref="C39:T40" si="55">+C4</f>
        <v>A</v>
      </c>
      <c r="D39" s="1549" t="str">
        <f t="shared" si="55"/>
        <v>B</v>
      </c>
      <c r="E39" s="2960" t="str">
        <f t="shared" si="55"/>
        <v>B</v>
      </c>
      <c r="F39" s="1345" t="str">
        <f t="shared" si="55"/>
        <v>B</v>
      </c>
      <c r="G39" s="1345" t="str">
        <f t="shared" si="55"/>
        <v>D</v>
      </c>
      <c r="H39" s="1345" t="str">
        <f t="shared" si="55"/>
        <v>E</v>
      </c>
      <c r="I39" s="1345" t="str">
        <f t="shared" si="55"/>
        <v>C</v>
      </c>
      <c r="J39" s="1345" t="str">
        <f t="shared" si="55"/>
        <v>F</v>
      </c>
      <c r="K39" s="1345" t="str">
        <f t="shared" si="55"/>
        <v>D</v>
      </c>
      <c r="L39" s="1345" t="str">
        <f t="shared" si="55"/>
        <v>E</v>
      </c>
      <c r="M39" s="1345" t="str">
        <f t="shared" si="55"/>
        <v>F</v>
      </c>
      <c r="N39" s="1345" t="str">
        <f t="shared" si="55"/>
        <v>F</v>
      </c>
      <c r="O39" s="1345" t="str">
        <f t="shared" si="55"/>
        <v>E</v>
      </c>
      <c r="P39" s="1345">
        <f t="shared" si="55"/>
        <v>0</v>
      </c>
      <c r="Q39" s="1345" t="str">
        <f t="shared" si="55"/>
        <v>F</v>
      </c>
      <c r="R39" s="1345" t="str">
        <f t="shared" si="55"/>
        <v>E</v>
      </c>
      <c r="S39" s="1345" t="str">
        <f t="shared" si="55"/>
        <v>E</v>
      </c>
      <c r="T39" s="1345" t="str">
        <f t="shared" si="55"/>
        <v>G</v>
      </c>
      <c r="U39" s="1345" t="str">
        <f>+U4</f>
        <v>G</v>
      </c>
      <c r="V39" s="1345">
        <f>+V4</f>
        <v>0</v>
      </c>
      <c r="W39" s="1345" t="str">
        <f>+W4</f>
        <v>H</v>
      </c>
      <c r="X39" s="2961"/>
      <c r="Y39" s="2961"/>
      <c r="Z39" s="2961"/>
      <c r="AA39" s="2961"/>
      <c r="AB39" s="2961"/>
      <c r="AC39" s="2961"/>
      <c r="AD39" s="2962"/>
      <c r="AE39" s="1213"/>
      <c r="AF39" s="1345" t="str">
        <f>+AF4</f>
        <v>H</v>
      </c>
      <c r="AG39" s="1301" t="str">
        <f>+AG4</f>
        <v>I</v>
      </c>
      <c r="AH39" s="1551"/>
      <c r="AI39" s="1845" t="str">
        <f>+AI4</f>
        <v>I</v>
      </c>
      <c r="AJ39" s="417"/>
      <c r="AK39" s="1549"/>
      <c r="AL39" s="439"/>
    </row>
    <row r="40" spans="1:38" ht="73.5">
      <c r="A40" s="2933"/>
      <c r="B40" s="1278" t="s">
        <v>6</v>
      </c>
      <c r="C40" s="1276" t="str">
        <f t="shared" si="55"/>
        <v>Kiemelt előirányzat, előirányzat megnevezése</v>
      </c>
      <c r="D40" s="1278" t="str">
        <f t="shared" si="55"/>
        <v>2024. évi eredeti előirányzat
forintban</v>
      </c>
      <c r="E40" s="2596" t="str">
        <f>+E5</f>
        <v>2024. évi teljesítés forintban</v>
      </c>
      <c r="F40" s="1276" t="str">
        <f t="shared" si="55"/>
        <v>2025. évi eredeti előirányzat forintban</v>
      </c>
      <c r="G40" s="1276" t="str">
        <f t="shared" ref="G40:AJ40" si="56">+G5</f>
        <v>2025. évi I. számú módosított előirányzat
forintban</v>
      </c>
      <c r="H40" s="1276" t="str">
        <f t="shared" si="56"/>
        <v>2025. évi II. számú módosított előirányzat forintban</v>
      </c>
      <c r="I40" s="1276" t="str">
        <f t="shared" si="56"/>
        <v>2025. évi III. számú módosított előirányzat forintban</v>
      </c>
      <c r="J40" s="1276" t="str">
        <f t="shared" si="56"/>
        <v>2025. évi IV. számú módosított előirányzat forintban</v>
      </c>
      <c r="K40" s="3197" t="str">
        <f t="shared" si="56"/>
        <v>2025. évi
teljesítés forintban</v>
      </c>
      <c r="L40" s="1276" t="str">
        <f t="shared" si="56"/>
        <v>Önként vállalt feladat forintban</v>
      </c>
      <c r="M40" s="1276" t="str">
        <f t="shared" si="56"/>
        <v>Önként vállalt feladat I. módosítás
forintban</v>
      </c>
      <c r="N40" s="1276" t="str">
        <f t="shared" si="56"/>
        <v>Önként vállalt feladat II. módosítás forintban</v>
      </c>
      <c r="O40" s="1276" t="str">
        <f t="shared" si="56"/>
        <v>Önként vállalt feladat III. módosítás forintban</v>
      </c>
      <c r="P40" s="1276" t="str">
        <f t="shared" si="56"/>
        <v>Önként vállalt feladat IV. módosítás  forintban</v>
      </c>
      <c r="Q40" s="1276" t="str">
        <f t="shared" si="56"/>
        <v>Önként vállalt teljesítés  forintban</v>
      </c>
      <c r="R40" s="1276" t="str">
        <f t="shared" si="56"/>
        <v>Kötelező feladat forintban</v>
      </c>
      <c r="S40" s="1276" t="str">
        <f t="shared" si="56"/>
        <v>Kötelező feladat 
I. módosítás
forintban</v>
      </c>
      <c r="T40" s="1276" t="str">
        <f t="shared" si="56"/>
        <v>Kötelező feladat II. módosítás forintban</v>
      </c>
      <c r="U40" s="1276" t="str">
        <f t="shared" si="56"/>
        <v>Kötelező feladat III. módosítás  forintban</v>
      </c>
      <c r="V40" s="1278" t="str">
        <f t="shared" si="56"/>
        <v>Kötelező feladat IV. módosítás  forintban</v>
      </c>
      <c r="W40" s="1278" t="str">
        <f t="shared" si="56"/>
        <v>Kötelező teljesítés  forintban</v>
      </c>
      <c r="X40" s="1278">
        <f t="shared" si="56"/>
        <v>0</v>
      </c>
      <c r="Y40" s="1278">
        <f t="shared" si="56"/>
        <v>0</v>
      </c>
      <c r="Z40" s="1278">
        <f t="shared" si="56"/>
        <v>0</v>
      </c>
      <c r="AA40" s="1278">
        <f t="shared" si="56"/>
        <v>0</v>
      </c>
      <c r="AB40" s="1278">
        <f t="shared" si="56"/>
        <v>0</v>
      </c>
      <c r="AC40" s="1278">
        <f t="shared" si="56"/>
        <v>0</v>
      </c>
      <c r="AD40" s="1278"/>
      <c r="AE40" s="1278" t="str">
        <f t="shared" si="56"/>
        <v>I. változás</v>
      </c>
      <c r="AF40" s="1278" t="str">
        <f t="shared" si="56"/>
        <v>Előirányzat-módosítások, előirányzat-átcsoportosítások összegszerű változásai</v>
      </c>
      <c r="AG40" s="2916" t="str">
        <f t="shared" si="56"/>
        <v>Előirányzat-módosítások, előirányzat-átcsoportosítások összegszerű változásai a III. módosításnál</v>
      </c>
      <c r="AH40" s="1854" t="str">
        <f t="shared" si="56"/>
        <v>IV. változás</v>
      </c>
      <c r="AI40" s="1825" t="str">
        <f t="shared" si="56"/>
        <v xml:space="preserve"> 2025. évi teljesítés / 2025. évi III. számú módosított előirányzat</v>
      </c>
      <c r="AJ40" s="1854" t="str">
        <f t="shared" si="56"/>
        <v>Változás Eredeti előző évhez 
Ft-ban</v>
      </c>
      <c r="AK40" s="2595"/>
      <c r="AL40" s="439"/>
    </row>
    <row r="41" spans="1:38" ht="15">
      <c r="A41" s="2934" t="s">
        <v>6</v>
      </c>
      <c r="B41" s="2946" t="s">
        <v>3353</v>
      </c>
      <c r="C41" s="1292" t="s">
        <v>1291</v>
      </c>
      <c r="D41" s="1213">
        <f t="shared" ref="D41:AC41" si="57">SUM(D42:D46)</f>
        <v>354122064</v>
      </c>
      <c r="E41" s="2715">
        <f t="shared" si="57"/>
        <v>381357184</v>
      </c>
      <c r="F41" s="1213">
        <f t="shared" si="57"/>
        <v>412789501</v>
      </c>
      <c r="G41" s="1213">
        <f t="shared" si="57"/>
        <v>416753240</v>
      </c>
      <c r="H41" s="1213">
        <f t="shared" si="57"/>
        <v>418822391</v>
      </c>
      <c r="I41" s="1213">
        <f t="shared" si="57"/>
        <v>430506285</v>
      </c>
      <c r="J41" s="1213">
        <f t="shared" si="57"/>
        <v>430506285</v>
      </c>
      <c r="K41" s="3208">
        <f t="shared" si="57"/>
        <v>411952635</v>
      </c>
      <c r="L41" s="1213">
        <f t="shared" si="57"/>
        <v>0</v>
      </c>
      <c r="M41" s="1213">
        <f t="shared" si="57"/>
        <v>0</v>
      </c>
      <c r="N41" s="1213">
        <f t="shared" si="57"/>
        <v>0</v>
      </c>
      <c r="O41" s="1213">
        <f t="shared" si="57"/>
        <v>0</v>
      </c>
      <c r="P41" s="1213">
        <f t="shared" si="57"/>
        <v>0</v>
      </c>
      <c r="Q41" s="1213">
        <f t="shared" si="57"/>
        <v>0</v>
      </c>
      <c r="R41" s="1213">
        <f t="shared" si="57"/>
        <v>412789501</v>
      </c>
      <c r="S41" s="1213">
        <f t="shared" si="57"/>
        <v>416753240</v>
      </c>
      <c r="T41" s="1213">
        <f t="shared" si="57"/>
        <v>418822391</v>
      </c>
      <c r="U41" s="1213">
        <f t="shared" si="57"/>
        <v>430506285</v>
      </c>
      <c r="V41" s="1213">
        <f t="shared" si="57"/>
        <v>430506285</v>
      </c>
      <c r="W41" s="1213">
        <f t="shared" si="57"/>
        <v>411952635</v>
      </c>
      <c r="X41" s="1213">
        <f t="shared" si="57"/>
        <v>0</v>
      </c>
      <c r="Y41" s="1213">
        <f t="shared" si="57"/>
        <v>0</v>
      </c>
      <c r="Z41" s="1213">
        <f t="shared" si="57"/>
        <v>0</v>
      </c>
      <c r="AA41" s="1213">
        <f t="shared" si="57"/>
        <v>0</v>
      </c>
      <c r="AB41" s="1213">
        <f t="shared" si="57"/>
        <v>0</v>
      </c>
      <c r="AC41" s="1213">
        <f t="shared" si="57"/>
        <v>0</v>
      </c>
      <c r="AD41" s="1284"/>
      <c r="AE41" s="1213">
        <f t="shared" si="1"/>
        <v>3963739</v>
      </c>
      <c r="AF41" s="1213">
        <f t="shared" si="2"/>
        <v>2069151</v>
      </c>
      <c r="AG41" s="1213">
        <f t="shared" si="3"/>
        <v>11683894</v>
      </c>
      <c r="AH41" s="2919">
        <f t="shared" si="4"/>
        <v>0</v>
      </c>
      <c r="AI41" s="1829">
        <f t="shared" ref="AI41:AI54" si="58">+K41/I41</f>
        <v>0.95690271978259267</v>
      </c>
      <c r="AJ41" s="417">
        <f t="shared" ref="AJ41:AJ54" si="59">+F41-D41</f>
        <v>58667437</v>
      </c>
      <c r="AK41" s="412"/>
      <c r="AL41" s="439"/>
    </row>
    <row r="42" spans="1:38" ht="15">
      <c r="A42" s="2934"/>
      <c r="B42" s="2948" t="s">
        <v>176</v>
      </c>
      <c r="C42" s="1290" t="s">
        <v>147</v>
      </c>
      <c r="D42" s="1227">
        <v>251229793</v>
      </c>
      <c r="E42" s="2719">
        <v>252230138</v>
      </c>
      <c r="F42" s="1227">
        <f>297601109+1</f>
        <v>297601110</v>
      </c>
      <c r="G42" s="1227">
        <f>+F42</f>
        <v>297601110</v>
      </c>
      <c r="H42" s="1227">
        <f>+G42+9000*12+210000</f>
        <v>297919110</v>
      </c>
      <c r="I42" s="1227">
        <f>+H42+210000+2339400-3492538+1525381</f>
        <v>298501353</v>
      </c>
      <c r="J42" s="1227">
        <f t="shared" ref="G42:J46" si="60">+I42</f>
        <v>298501353</v>
      </c>
      <c r="K42" s="3209">
        <v>293806257</v>
      </c>
      <c r="L42" s="1227">
        <v>0</v>
      </c>
      <c r="M42" s="1227">
        <f t="shared" ref="M42:P46" si="61">+L42</f>
        <v>0</v>
      </c>
      <c r="N42" s="1227">
        <f t="shared" si="61"/>
        <v>0</v>
      </c>
      <c r="O42" s="1227">
        <f t="shared" si="61"/>
        <v>0</v>
      </c>
      <c r="P42" s="1227">
        <f t="shared" si="61"/>
        <v>0</v>
      </c>
      <c r="Q42" s="1227">
        <v>0</v>
      </c>
      <c r="R42" s="1227">
        <f>+F42</f>
        <v>297601110</v>
      </c>
      <c r="S42" s="1227">
        <f>+R42</f>
        <v>297601110</v>
      </c>
      <c r="T42" s="1227">
        <f>+S42+9000*12+210000</f>
        <v>297919110</v>
      </c>
      <c r="U42" s="1227">
        <f>+T42+210000+2339400-3492538+1525381</f>
        <v>298501353</v>
      </c>
      <c r="V42" s="1227">
        <f t="shared" ref="S42:V46" si="62">+U42</f>
        <v>298501353</v>
      </c>
      <c r="W42" s="1227">
        <f>+K42</f>
        <v>293806257</v>
      </c>
      <c r="X42" s="1227"/>
      <c r="Y42" s="1227">
        <f t="shared" ref="Y42:AC46" si="63">+X42</f>
        <v>0</v>
      </c>
      <c r="Z42" s="1227">
        <f t="shared" si="63"/>
        <v>0</v>
      </c>
      <c r="AA42" s="1227">
        <f t="shared" si="63"/>
        <v>0</v>
      </c>
      <c r="AB42" s="1227">
        <f t="shared" si="63"/>
        <v>0</v>
      </c>
      <c r="AC42" s="1227">
        <f t="shared" si="63"/>
        <v>0</v>
      </c>
      <c r="AD42" s="1284"/>
      <c r="AE42" s="1213">
        <f t="shared" si="1"/>
        <v>0</v>
      </c>
      <c r="AF42" s="1213">
        <f t="shared" si="2"/>
        <v>318000</v>
      </c>
      <c r="AG42" s="1213">
        <f t="shared" si="3"/>
        <v>582243</v>
      </c>
      <c r="AH42" s="2919">
        <f t="shared" si="4"/>
        <v>0</v>
      </c>
      <c r="AI42" s="1834">
        <f t="shared" si="58"/>
        <v>0.9842711064696581</v>
      </c>
      <c r="AJ42" s="417">
        <f t="shared" si="59"/>
        <v>46371317</v>
      </c>
      <c r="AK42" s="430"/>
      <c r="AL42" s="439"/>
    </row>
    <row r="43" spans="1:38" ht="15">
      <c r="A43" s="2934"/>
      <c r="B43" s="2948" t="s">
        <v>178</v>
      </c>
      <c r="C43" s="1290" t="s">
        <v>8</v>
      </c>
      <c r="D43" s="1227">
        <v>37876399</v>
      </c>
      <c r="E43" s="2719">
        <v>36523023</v>
      </c>
      <c r="F43" s="1227">
        <v>43371972</v>
      </c>
      <c r="G43" s="1227">
        <f>+F43</f>
        <v>43371972</v>
      </c>
      <c r="H43" s="1227">
        <f>+G43+27300</f>
        <v>43399272</v>
      </c>
      <c r="I43" s="1227">
        <f>+H43+27300+304122+327650</f>
        <v>44058344</v>
      </c>
      <c r="J43" s="1227">
        <f t="shared" si="60"/>
        <v>44058344</v>
      </c>
      <c r="K43" s="3209">
        <v>42966326</v>
      </c>
      <c r="L43" s="1227">
        <v>0</v>
      </c>
      <c r="M43" s="1227">
        <f t="shared" si="61"/>
        <v>0</v>
      </c>
      <c r="N43" s="1227">
        <f t="shared" si="61"/>
        <v>0</v>
      </c>
      <c r="O43" s="1227">
        <f t="shared" si="61"/>
        <v>0</v>
      </c>
      <c r="P43" s="1227">
        <f t="shared" si="61"/>
        <v>0</v>
      </c>
      <c r="Q43" s="1227">
        <v>0</v>
      </c>
      <c r="R43" s="1227">
        <f>+F43</f>
        <v>43371972</v>
      </c>
      <c r="S43" s="1227">
        <f>+R43</f>
        <v>43371972</v>
      </c>
      <c r="T43" s="1227">
        <f>+S43+27300</f>
        <v>43399272</v>
      </c>
      <c r="U43" s="1227">
        <f>+T43+27300+304122+327650</f>
        <v>44058344</v>
      </c>
      <c r="V43" s="1227">
        <f t="shared" si="62"/>
        <v>44058344</v>
      </c>
      <c r="W43" s="1227">
        <f>+K43</f>
        <v>42966326</v>
      </c>
      <c r="X43" s="1227"/>
      <c r="Y43" s="1227">
        <f t="shared" si="63"/>
        <v>0</v>
      </c>
      <c r="Z43" s="1227">
        <f t="shared" si="63"/>
        <v>0</v>
      </c>
      <c r="AA43" s="1227">
        <f t="shared" si="63"/>
        <v>0</v>
      </c>
      <c r="AB43" s="1227">
        <f t="shared" si="63"/>
        <v>0</v>
      </c>
      <c r="AC43" s="1227">
        <f t="shared" si="63"/>
        <v>0</v>
      </c>
      <c r="AD43" s="1665"/>
      <c r="AE43" s="1213">
        <f t="shared" si="1"/>
        <v>0</v>
      </c>
      <c r="AF43" s="1213">
        <f t="shared" si="2"/>
        <v>27300</v>
      </c>
      <c r="AG43" s="1213">
        <f t="shared" si="3"/>
        <v>659072</v>
      </c>
      <c r="AH43" s="2919">
        <f t="shared" si="4"/>
        <v>0</v>
      </c>
      <c r="AI43" s="1834">
        <f t="shared" si="58"/>
        <v>0.97521427496230906</v>
      </c>
      <c r="AJ43" s="417">
        <f t="shared" si="59"/>
        <v>5495573</v>
      </c>
      <c r="AK43" s="430"/>
      <c r="AL43" s="439"/>
    </row>
    <row r="44" spans="1:38" ht="15">
      <c r="A44" s="2934"/>
      <c r="B44" s="2948" t="s">
        <v>179</v>
      </c>
      <c r="C44" s="1290" t="s">
        <v>317</v>
      </c>
      <c r="D44" s="1227">
        <v>65015872</v>
      </c>
      <c r="E44" s="2719">
        <v>83376631</v>
      </c>
      <c r="F44" s="1227">
        <v>71816419</v>
      </c>
      <c r="G44" s="1227">
        <f>+F44+800100+383464+817938</f>
        <v>73817921</v>
      </c>
      <c r="H44" s="1227">
        <f>+G44+1723851</f>
        <v>75541772</v>
      </c>
      <c r="I44" s="1227">
        <f>+H44+75057+98108+154254+865593+3492538+5596085+160944</f>
        <v>85984351</v>
      </c>
      <c r="J44" s="1227">
        <f t="shared" si="60"/>
        <v>85984351</v>
      </c>
      <c r="K44" s="3209">
        <v>73217815</v>
      </c>
      <c r="L44" s="1227">
        <v>0</v>
      </c>
      <c r="M44" s="1227">
        <f t="shared" si="61"/>
        <v>0</v>
      </c>
      <c r="N44" s="1227">
        <f t="shared" si="61"/>
        <v>0</v>
      </c>
      <c r="O44" s="1227">
        <f t="shared" si="61"/>
        <v>0</v>
      </c>
      <c r="P44" s="1227">
        <f t="shared" si="61"/>
        <v>0</v>
      </c>
      <c r="Q44" s="1227">
        <v>0</v>
      </c>
      <c r="R44" s="1227">
        <f>+F44</f>
        <v>71816419</v>
      </c>
      <c r="S44" s="1227">
        <f>+R44+800100+383464+817938</f>
        <v>73817921</v>
      </c>
      <c r="T44" s="1227">
        <f>+S44+1723851</f>
        <v>75541772</v>
      </c>
      <c r="U44" s="1227">
        <f>+T44+75057+98108+154254+865593+3492538+5596085+160944</f>
        <v>85984351</v>
      </c>
      <c r="V44" s="1227">
        <f t="shared" si="62"/>
        <v>85984351</v>
      </c>
      <c r="W44" s="1227">
        <f>+K44</f>
        <v>73217815</v>
      </c>
      <c r="X44" s="1227"/>
      <c r="Y44" s="1227">
        <f t="shared" si="63"/>
        <v>0</v>
      </c>
      <c r="Z44" s="1227">
        <f t="shared" si="63"/>
        <v>0</v>
      </c>
      <c r="AA44" s="1227">
        <f t="shared" si="63"/>
        <v>0</v>
      </c>
      <c r="AB44" s="1227">
        <f t="shared" si="63"/>
        <v>0</v>
      </c>
      <c r="AC44" s="1227">
        <f t="shared" si="63"/>
        <v>0</v>
      </c>
      <c r="AD44" s="1284"/>
      <c r="AE44" s="1213">
        <f t="shared" si="1"/>
        <v>2001502</v>
      </c>
      <c r="AF44" s="1213">
        <f t="shared" si="2"/>
        <v>1723851</v>
      </c>
      <c r="AG44" s="1213">
        <f t="shared" si="3"/>
        <v>10442579</v>
      </c>
      <c r="AH44" s="2919">
        <f t="shared" si="4"/>
        <v>0</v>
      </c>
      <c r="AI44" s="1834">
        <f t="shared" si="58"/>
        <v>0.85152488968603135</v>
      </c>
      <c r="AJ44" s="417">
        <f t="shared" si="59"/>
        <v>6800547</v>
      </c>
      <c r="AK44" s="430"/>
    </row>
    <row r="45" spans="1:38" s="439" customFormat="1" ht="15">
      <c r="A45" s="2934"/>
      <c r="B45" s="2948" t="s">
        <v>180</v>
      </c>
      <c r="C45" s="1290" t="s">
        <v>318</v>
      </c>
      <c r="D45" s="1227">
        <v>0</v>
      </c>
      <c r="E45" s="2719">
        <v>0</v>
      </c>
      <c r="F45" s="1227">
        <v>0</v>
      </c>
      <c r="G45" s="1227">
        <f t="shared" si="60"/>
        <v>0</v>
      </c>
      <c r="H45" s="1227">
        <f t="shared" si="60"/>
        <v>0</v>
      </c>
      <c r="I45" s="1227">
        <f t="shared" si="60"/>
        <v>0</v>
      </c>
      <c r="J45" s="1227">
        <f t="shared" si="60"/>
        <v>0</v>
      </c>
      <c r="K45" s="3209">
        <v>0</v>
      </c>
      <c r="L45" s="1227">
        <v>0</v>
      </c>
      <c r="M45" s="1227">
        <f t="shared" si="61"/>
        <v>0</v>
      </c>
      <c r="N45" s="1227">
        <f t="shared" si="61"/>
        <v>0</v>
      </c>
      <c r="O45" s="1227">
        <f t="shared" si="61"/>
        <v>0</v>
      </c>
      <c r="P45" s="1227">
        <f t="shared" si="61"/>
        <v>0</v>
      </c>
      <c r="Q45" s="1227">
        <v>0</v>
      </c>
      <c r="R45" s="1227">
        <v>0</v>
      </c>
      <c r="S45" s="1227">
        <f t="shared" si="62"/>
        <v>0</v>
      </c>
      <c r="T45" s="1227">
        <f t="shared" si="62"/>
        <v>0</v>
      </c>
      <c r="U45" s="1227">
        <f t="shared" si="62"/>
        <v>0</v>
      </c>
      <c r="V45" s="1227">
        <f t="shared" si="62"/>
        <v>0</v>
      </c>
      <c r="W45" s="1227">
        <f>+K45</f>
        <v>0</v>
      </c>
      <c r="X45" s="1227"/>
      <c r="Y45" s="1227">
        <f t="shared" si="63"/>
        <v>0</v>
      </c>
      <c r="Z45" s="1227">
        <f t="shared" si="63"/>
        <v>0</v>
      </c>
      <c r="AA45" s="1227">
        <f t="shared" si="63"/>
        <v>0</v>
      </c>
      <c r="AB45" s="1227">
        <f t="shared" si="63"/>
        <v>0</v>
      </c>
      <c r="AC45" s="1227">
        <f t="shared" si="63"/>
        <v>0</v>
      </c>
      <c r="AD45" s="1284"/>
      <c r="AE45" s="1213">
        <f t="shared" si="1"/>
        <v>0</v>
      </c>
      <c r="AF45" s="1213">
        <f t="shared" si="2"/>
        <v>0</v>
      </c>
      <c r="AG45" s="1213">
        <f t="shared" si="3"/>
        <v>0</v>
      </c>
      <c r="AH45" s="2919">
        <f t="shared" si="4"/>
        <v>0</v>
      </c>
      <c r="AI45" s="1834"/>
      <c r="AJ45" s="417">
        <f t="shared" si="59"/>
        <v>0</v>
      </c>
      <c r="AK45" s="430"/>
    </row>
    <row r="46" spans="1:38" ht="15">
      <c r="A46" s="2934"/>
      <c r="B46" s="1477" t="s">
        <v>181</v>
      </c>
      <c r="C46" s="1286" t="s">
        <v>151</v>
      </c>
      <c r="D46" s="1227">
        <v>0</v>
      </c>
      <c r="E46" s="2719">
        <v>9227392</v>
      </c>
      <c r="F46" s="1227">
        <v>0</v>
      </c>
      <c r="G46" s="1227">
        <f>+F46+1962237</f>
        <v>1962237</v>
      </c>
      <c r="H46" s="1227">
        <f t="shared" si="60"/>
        <v>1962237</v>
      </c>
      <c r="I46" s="1227">
        <f t="shared" si="60"/>
        <v>1962237</v>
      </c>
      <c r="J46" s="1227">
        <f t="shared" si="60"/>
        <v>1962237</v>
      </c>
      <c r="K46" s="3209">
        <v>1962237</v>
      </c>
      <c r="L46" s="1227">
        <v>0</v>
      </c>
      <c r="M46" s="1227">
        <f t="shared" si="61"/>
        <v>0</v>
      </c>
      <c r="N46" s="1227">
        <f t="shared" si="61"/>
        <v>0</v>
      </c>
      <c r="O46" s="1227">
        <f t="shared" si="61"/>
        <v>0</v>
      </c>
      <c r="P46" s="1227">
        <f t="shared" si="61"/>
        <v>0</v>
      </c>
      <c r="Q46" s="1227">
        <v>0</v>
      </c>
      <c r="R46" s="1227">
        <v>0</v>
      </c>
      <c r="S46" s="1227">
        <f>+R46+1962237</f>
        <v>1962237</v>
      </c>
      <c r="T46" s="1227">
        <f t="shared" si="62"/>
        <v>1962237</v>
      </c>
      <c r="U46" s="1227">
        <f t="shared" si="62"/>
        <v>1962237</v>
      </c>
      <c r="V46" s="1227">
        <f t="shared" si="62"/>
        <v>1962237</v>
      </c>
      <c r="W46" s="1227">
        <f>+K46</f>
        <v>1962237</v>
      </c>
      <c r="X46" s="1227"/>
      <c r="Y46" s="1227">
        <f t="shared" si="63"/>
        <v>0</v>
      </c>
      <c r="Z46" s="1227">
        <f t="shared" si="63"/>
        <v>0</v>
      </c>
      <c r="AA46" s="1227">
        <f t="shared" si="63"/>
        <v>0</v>
      </c>
      <c r="AB46" s="1227">
        <f t="shared" si="63"/>
        <v>0</v>
      </c>
      <c r="AC46" s="1227">
        <f t="shared" si="63"/>
        <v>0</v>
      </c>
      <c r="AD46" s="2947"/>
      <c r="AE46" s="1213">
        <f t="shared" si="1"/>
        <v>1962237</v>
      </c>
      <c r="AF46" s="1213">
        <f t="shared" si="2"/>
        <v>0</v>
      </c>
      <c r="AG46" s="1213">
        <f t="shared" si="3"/>
        <v>0</v>
      </c>
      <c r="AH46" s="2919">
        <f t="shared" si="4"/>
        <v>0</v>
      </c>
      <c r="AI46" s="1834">
        <f t="shared" si="58"/>
        <v>1</v>
      </c>
      <c r="AJ46" s="417">
        <f t="shared" si="59"/>
        <v>0</v>
      </c>
      <c r="AK46" s="430"/>
    </row>
    <row r="47" spans="1:38" ht="15">
      <c r="A47" s="2934" t="s">
        <v>12</v>
      </c>
      <c r="B47" s="2946" t="s">
        <v>12</v>
      </c>
      <c r="C47" s="1292" t="s">
        <v>1292</v>
      </c>
      <c r="D47" s="1213">
        <f t="shared" ref="D47:AC47" si="64">SUM(D48:D50)</f>
        <v>2239569</v>
      </c>
      <c r="E47" s="2715">
        <f t="shared" si="64"/>
        <v>3251843</v>
      </c>
      <c r="F47" s="1213">
        <f t="shared" si="64"/>
        <v>925830</v>
      </c>
      <c r="G47" s="1213">
        <f t="shared" si="64"/>
        <v>925830</v>
      </c>
      <c r="H47" s="1213">
        <f t="shared" si="64"/>
        <v>925830</v>
      </c>
      <c r="I47" s="1213">
        <f t="shared" si="64"/>
        <v>925830</v>
      </c>
      <c r="J47" s="1213">
        <f t="shared" si="64"/>
        <v>925830</v>
      </c>
      <c r="K47" s="3208">
        <f>SUM(K48:K50)</f>
        <v>735410</v>
      </c>
      <c r="L47" s="1213">
        <f t="shared" si="64"/>
        <v>0</v>
      </c>
      <c r="M47" s="1213">
        <f t="shared" si="64"/>
        <v>0</v>
      </c>
      <c r="N47" s="1213">
        <f t="shared" si="64"/>
        <v>0</v>
      </c>
      <c r="O47" s="1213">
        <f t="shared" si="64"/>
        <v>0</v>
      </c>
      <c r="P47" s="1213">
        <f t="shared" si="64"/>
        <v>0</v>
      </c>
      <c r="Q47" s="1213">
        <f t="shared" si="64"/>
        <v>0</v>
      </c>
      <c r="R47" s="1213">
        <f t="shared" si="64"/>
        <v>925830</v>
      </c>
      <c r="S47" s="1213">
        <f t="shared" si="64"/>
        <v>925830</v>
      </c>
      <c r="T47" s="1213">
        <f t="shared" si="64"/>
        <v>925830</v>
      </c>
      <c r="U47" s="1213">
        <f t="shared" si="64"/>
        <v>925830</v>
      </c>
      <c r="V47" s="1213">
        <f t="shared" si="64"/>
        <v>925830</v>
      </c>
      <c r="W47" s="1213">
        <f t="shared" si="64"/>
        <v>735410</v>
      </c>
      <c r="X47" s="1213">
        <f t="shared" si="64"/>
        <v>0</v>
      </c>
      <c r="Y47" s="1213">
        <f t="shared" si="64"/>
        <v>0</v>
      </c>
      <c r="Z47" s="1213">
        <f t="shared" si="64"/>
        <v>0</v>
      </c>
      <c r="AA47" s="1213">
        <f t="shared" si="64"/>
        <v>0</v>
      </c>
      <c r="AB47" s="1213">
        <f t="shared" si="64"/>
        <v>0</v>
      </c>
      <c r="AC47" s="1213">
        <f t="shared" si="64"/>
        <v>0</v>
      </c>
      <c r="AD47" s="1284"/>
      <c r="AE47" s="1213">
        <f t="shared" si="1"/>
        <v>0</v>
      </c>
      <c r="AF47" s="1213">
        <f t="shared" si="2"/>
        <v>0</v>
      </c>
      <c r="AG47" s="1213">
        <f t="shared" si="3"/>
        <v>0</v>
      </c>
      <c r="AH47" s="2919">
        <f t="shared" si="4"/>
        <v>0</v>
      </c>
      <c r="AI47" s="1829">
        <f t="shared" si="58"/>
        <v>0.79432509207953939</v>
      </c>
      <c r="AJ47" s="417">
        <f t="shared" si="59"/>
        <v>-1313739</v>
      </c>
      <c r="AK47" s="412"/>
    </row>
    <row r="48" spans="1:38" ht="15">
      <c r="A48" s="2934"/>
      <c r="B48" s="2948" t="s">
        <v>185</v>
      </c>
      <c r="C48" s="1290" t="s">
        <v>82</v>
      </c>
      <c r="D48" s="1227">
        <v>2239569</v>
      </c>
      <c r="E48" s="2719">
        <v>3251843</v>
      </c>
      <c r="F48" s="1227">
        <v>925830</v>
      </c>
      <c r="G48" s="1227">
        <f t="shared" ref="G48:J51" si="65">+F48</f>
        <v>925830</v>
      </c>
      <c r="H48" s="1227">
        <f t="shared" si="65"/>
        <v>925830</v>
      </c>
      <c r="I48" s="1227">
        <f t="shared" si="65"/>
        <v>925830</v>
      </c>
      <c r="J48" s="1227">
        <f t="shared" si="65"/>
        <v>925830</v>
      </c>
      <c r="K48" s="3209">
        <v>735410</v>
      </c>
      <c r="L48" s="1227">
        <v>0</v>
      </c>
      <c r="M48" s="1227">
        <f t="shared" ref="M48:P51" si="66">+L48</f>
        <v>0</v>
      </c>
      <c r="N48" s="1227">
        <f t="shared" si="66"/>
        <v>0</v>
      </c>
      <c r="O48" s="1227">
        <f t="shared" si="66"/>
        <v>0</v>
      </c>
      <c r="P48" s="1227">
        <f t="shared" si="66"/>
        <v>0</v>
      </c>
      <c r="Q48" s="1227">
        <v>0</v>
      </c>
      <c r="R48" s="1227">
        <f>+F48</f>
        <v>925830</v>
      </c>
      <c r="S48" s="1227">
        <f>+R48</f>
        <v>925830</v>
      </c>
      <c r="T48" s="1227">
        <f>+S48</f>
        <v>925830</v>
      </c>
      <c r="U48" s="1227">
        <f t="shared" ref="S48:V51" si="67">+T48</f>
        <v>925830</v>
      </c>
      <c r="V48" s="1227">
        <f t="shared" si="67"/>
        <v>925830</v>
      </c>
      <c r="W48" s="1227">
        <f>+K48</f>
        <v>735410</v>
      </c>
      <c r="X48" s="1227"/>
      <c r="Y48" s="1227">
        <f t="shared" ref="Y48:AC51" si="68">+X48</f>
        <v>0</v>
      </c>
      <c r="Z48" s="1227">
        <f t="shared" si="68"/>
        <v>0</v>
      </c>
      <c r="AA48" s="1227">
        <f t="shared" si="68"/>
        <v>0</v>
      </c>
      <c r="AB48" s="1227">
        <f t="shared" si="68"/>
        <v>0</v>
      </c>
      <c r="AC48" s="1227">
        <f t="shared" si="68"/>
        <v>0</v>
      </c>
      <c r="AD48" s="1284"/>
      <c r="AE48" s="1213">
        <f t="shared" si="1"/>
        <v>0</v>
      </c>
      <c r="AF48" s="1213">
        <f t="shared" si="2"/>
        <v>0</v>
      </c>
      <c r="AG48" s="1213">
        <f t="shared" si="3"/>
        <v>0</v>
      </c>
      <c r="AH48" s="2919">
        <f t="shared" si="4"/>
        <v>0</v>
      </c>
      <c r="AI48" s="1834">
        <f t="shared" si="58"/>
        <v>0.79432509207953939</v>
      </c>
      <c r="AJ48" s="417">
        <f t="shared" si="59"/>
        <v>-1313739</v>
      </c>
      <c r="AK48" s="430"/>
    </row>
    <row r="49" spans="1:37" ht="15">
      <c r="A49" s="2934"/>
      <c r="B49" s="2948" t="s">
        <v>187</v>
      </c>
      <c r="C49" s="1290" t="s">
        <v>344</v>
      </c>
      <c r="D49" s="1227">
        <v>0</v>
      </c>
      <c r="E49" s="2719">
        <v>0</v>
      </c>
      <c r="F49" s="1227">
        <v>0</v>
      </c>
      <c r="G49" s="1227">
        <f t="shared" si="65"/>
        <v>0</v>
      </c>
      <c r="H49" s="1227">
        <f t="shared" si="65"/>
        <v>0</v>
      </c>
      <c r="I49" s="1227">
        <f t="shared" si="65"/>
        <v>0</v>
      </c>
      <c r="J49" s="1227">
        <f t="shared" si="65"/>
        <v>0</v>
      </c>
      <c r="K49" s="3209">
        <v>0</v>
      </c>
      <c r="L49" s="1227">
        <v>0</v>
      </c>
      <c r="M49" s="1227">
        <f t="shared" si="66"/>
        <v>0</v>
      </c>
      <c r="N49" s="1227">
        <f t="shared" si="66"/>
        <v>0</v>
      </c>
      <c r="O49" s="1227">
        <f t="shared" si="66"/>
        <v>0</v>
      </c>
      <c r="P49" s="1227">
        <f t="shared" si="66"/>
        <v>0</v>
      </c>
      <c r="Q49" s="1227">
        <v>0</v>
      </c>
      <c r="R49" s="1227">
        <f>+F49</f>
        <v>0</v>
      </c>
      <c r="S49" s="1227">
        <f t="shared" si="67"/>
        <v>0</v>
      </c>
      <c r="T49" s="1227">
        <f t="shared" si="67"/>
        <v>0</v>
      </c>
      <c r="U49" s="1227">
        <f t="shared" si="67"/>
        <v>0</v>
      </c>
      <c r="V49" s="1227">
        <f t="shared" si="67"/>
        <v>0</v>
      </c>
      <c r="W49" s="1227">
        <f>+K49</f>
        <v>0</v>
      </c>
      <c r="X49" s="1227"/>
      <c r="Y49" s="1227">
        <f t="shared" si="68"/>
        <v>0</v>
      </c>
      <c r="Z49" s="1227">
        <f t="shared" si="68"/>
        <v>0</v>
      </c>
      <c r="AA49" s="1227">
        <f t="shared" si="68"/>
        <v>0</v>
      </c>
      <c r="AB49" s="1227">
        <f t="shared" si="68"/>
        <v>0</v>
      </c>
      <c r="AC49" s="1227">
        <f t="shared" si="68"/>
        <v>0</v>
      </c>
      <c r="AD49" s="1284"/>
      <c r="AE49" s="1213">
        <f t="shared" si="1"/>
        <v>0</v>
      </c>
      <c r="AF49" s="1213">
        <f t="shared" si="2"/>
        <v>0</v>
      </c>
      <c r="AG49" s="1213">
        <f t="shared" si="3"/>
        <v>0</v>
      </c>
      <c r="AH49" s="2919">
        <f t="shared" si="4"/>
        <v>0</v>
      </c>
      <c r="AI49" s="1834"/>
      <c r="AJ49" s="417">
        <f t="shared" si="59"/>
        <v>0</v>
      </c>
      <c r="AK49" s="430"/>
    </row>
    <row r="50" spans="1:37" ht="15">
      <c r="A50" s="2934"/>
      <c r="B50" s="1477" t="s">
        <v>189</v>
      </c>
      <c r="C50" s="1286" t="s">
        <v>1293</v>
      </c>
      <c r="D50" s="1227">
        <v>0</v>
      </c>
      <c r="E50" s="2719">
        <v>0</v>
      </c>
      <c r="F50" s="1227">
        <v>0</v>
      </c>
      <c r="G50" s="1227">
        <f>+F50</f>
        <v>0</v>
      </c>
      <c r="H50" s="1227">
        <f t="shared" si="65"/>
        <v>0</v>
      </c>
      <c r="I50" s="1227">
        <f t="shared" si="65"/>
        <v>0</v>
      </c>
      <c r="J50" s="1227">
        <f t="shared" si="65"/>
        <v>0</v>
      </c>
      <c r="K50" s="3209">
        <v>0</v>
      </c>
      <c r="L50" s="1227">
        <v>0</v>
      </c>
      <c r="M50" s="1227">
        <f t="shared" si="66"/>
        <v>0</v>
      </c>
      <c r="N50" s="1227">
        <f t="shared" si="66"/>
        <v>0</v>
      </c>
      <c r="O50" s="1227">
        <f t="shared" si="66"/>
        <v>0</v>
      </c>
      <c r="P50" s="1227">
        <f t="shared" si="66"/>
        <v>0</v>
      </c>
      <c r="Q50" s="1227">
        <v>0</v>
      </c>
      <c r="R50" s="1227">
        <v>0</v>
      </c>
      <c r="S50" s="1227">
        <f>+R50</f>
        <v>0</v>
      </c>
      <c r="T50" s="1227">
        <f t="shared" si="67"/>
        <v>0</v>
      </c>
      <c r="U50" s="1227">
        <f t="shared" si="67"/>
        <v>0</v>
      </c>
      <c r="V50" s="1227">
        <f t="shared" si="67"/>
        <v>0</v>
      </c>
      <c r="W50" s="1227">
        <f>+K50</f>
        <v>0</v>
      </c>
      <c r="X50" s="1227"/>
      <c r="Y50" s="1227">
        <f t="shared" si="68"/>
        <v>0</v>
      </c>
      <c r="Z50" s="1227">
        <f t="shared" si="68"/>
        <v>0</v>
      </c>
      <c r="AA50" s="1227">
        <f t="shared" si="68"/>
        <v>0</v>
      </c>
      <c r="AB50" s="1227">
        <f t="shared" si="68"/>
        <v>0</v>
      </c>
      <c r="AC50" s="1227">
        <f t="shared" si="68"/>
        <v>0</v>
      </c>
      <c r="AD50" s="1284"/>
      <c r="AE50" s="1213">
        <f t="shared" si="1"/>
        <v>0</v>
      </c>
      <c r="AF50" s="1213">
        <f t="shared" si="2"/>
        <v>0</v>
      </c>
      <c r="AG50" s="1213">
        <f t="shared" si="3"/>
        <v>0</v>
      </c>
      <c r="AH50" s="2919">
        <f t="shared" si="4"/>
        <v>0</v>
      </c>
      <c r="AI50" s="1834"/>
      <c r="AJ50" s="417">
        <f t="shared" si="59"/>
        <v>0</v>
      </c>
      <c r="AK50" s="430"/>
    </row>
    <row r="51" spans="1:37" ht="15">
      <c r="A51" s="2934"/>
      <c r="B51" s="1477" t="s">
        <v>191</v>
      </c>
      <c r="C51" s="1290" t="s">
        <v>1294</v>
      </c>
      <c r="D51" s="1227">
        <v>0</v>
      </c>
      <c r="E51" s="2719">
        <v>0</v>
      </c>
      <c r="F51" s="1227">
        <v>0</v>
      </c>
      <c r="G51" s="1227">
        <f t="shared" si="65"/>
        <v>0</v>
      </c>
      <c r="H51" s="1227">
        <f t="shared" si="65"/>
        <v>0</v>
      </c>
      <c r="I51" s="1227">
        <f t="shared" si="65"/>
        <v>0</v>
      </c>
      <c r="J51" s="1227">
        <f t="shared" si="65"/>
        <v>0</v>
      </c>
      <c r="K51" s="3209">
        <v>0</v>
      </c>
      <c r="L51" s="1227">
        <v>0</v>
      </c>
      <c r="M51" s="1227">
        <f t="shared" si="66"/>
        <v>0</v>
      </c>
      <c r="N51" s="1227">
        <f t="shared" si="66"/>
        <v>0</v>
      </c>
      <c r="O51" s="1227">
        <f t="shared" si="66"/>
        <v>0</v>
      </c>
      <c r="P51" s="1227">
        <f t="shared" si="66"/>
        <v>0</v>
      </c>
      <c r="Q51" s="1227">
        <v>0</v>
      </c>
      <c r="R51" s="1227">
        <v>0</v>
      </c>
      <c r="S51" s="1227">
        <f t="shared" si="67"/>
        <v>0</v>
      </c>
      <c r="T51" s="1227">
        <f t="shared" si="67"/>
        <v>0</v>
      </c>
      <c r="U51" s="1227">
        <f t="shared" si="67"/>
        <v>0</v>
      </c>
      <c r="V51" s="1227">
        <f t="shared" si="67"/>
        <v>0</v>
      </c>
      <c r="W51" s="1227">
        <f>+K51</f>
        <v>0</v>
      </c>
      <c r="X51" s="1227"/>
      <c r="Y51" s="1227">
        <f t="shared" si="68"/>
        <v>0</v>
      </c>
      <c r="Z51" s="1227">
        <f t="shared" si="68"/>
        <v>0</v>
      </c>
      <c r="AA51" s="1227">
        <f t="shared" si="68"/>
        <v>0</v>
      </c>
      <c r="AB51" s="1227">
        <f t="shared" si="68"/>
        <v>0</v>
      </c>
      <c r="AC51" s="1227">
        <f t="shared" si="68"/>
        <v>0</v>
      </c>
      <c r="AD51" s="1284"/>
      <c r="AE51" s="1213">
        <f t="shared" si="1"/>
        <v>0</v>
      </c>
      <c r="AF51" s="1213">
        <f t="shared" si="2"/>
        <v>0</v>
      </c>
      <c r="AG51" s="1213">
        <f t="shared" si="3"/>
        <v>0</v>
      </c>
      <c r="AH51" s="2919">
        <f t="shared" si="4"/>
        <v>0</v>
      </c>
      <c r="AI51" s="1834"/>
      <c r="AJ51" s="417">
        <f t="shared" si="59"/>
        <v>0</v>
      </c>
      <c r="AK51" s="430"/>
    </row>
    <row r="52" spans="1:37" ht="15">
      <c r="A52" s="2934" t="s">
        <v>14</v>
      </c>
      <c r="B52" s="1282" t="s">
        <v>14</v>
      </c>
      <c r="C52" s="2950" t="s">
        <v>1295</v>
      </c>
      <c r="D52" s="1298">
        <f t="shared" ref="D52:AC52" si="69">+D41+D47</f>
        <v>356361633</v>
      </c>
      <c r="E52" s="2720">
        <f t="shared" si="69"/>
        <v>384609027</v>
      </c>
      <c r="F52" s="1298">
        <f t="shared" si="69"/>
        <v>413715331</v>
      </c>
      <c r="G52" s="1298">
        <f t="shared" si="69"/>
        <v>417679070</v>
      </c>
      <c r="H52" s="1298">
        <f t="shared" si="69"/>
        <v>419748221</v>
      </c>
      <c r="I52" s="1298">
        <f t="shared" si="69"/>
        <v>431432115</v>
      </c>
      <c r="J52" s="1298">
        <f t="shared" si="69"/>
        <v>431432115</v>
      </c>
      <c r="K52" s="3210">
        <f t="shared" si="69"/>
        <v>412688045</v>
      </c>
      <c r="L52" s="1298">
        <f t="shared" si="69"/>
        <v>0</v>
      </c>
      <c r="M52" s="1298">
        <f t="shared" si="69"/>
        <v>0</v>
      </c>
      <c r="N52" s="1298">
        <f t="shared" si="69"/>
        <v>0</v>
      </c>
      <c r="O52" s="1298">
        <f t="shared" si="69"/>
        <v>0</v>
      </c>
      <c r="P52" s="1298">
        <f t="shared" si="69"/>
        <v>0</v>
      </c>
      <c r="Q52" s="1298">
        <f t="shared" si="69"/>
        <v>0</v>
      </c>
      <c r="R52" s="1298">
        <f t="shared" si="69"/>
        <v>413715331</v>
      </c>
      <c r="S52" s="1298">
        <f t="shared" si="69"/>
        <v>417679070</v>
      </c>
      <c r="T52" s="1298">
        <f t="shared" si="69"/>
        <v>419748221</v>
      </c>
      <c r="U52" s="1298">
        <f t="shared" si="69"/>
        <v>431432115</v>
      </c>
      <c r="V52" s="1298">
        <f t="shared" si="69"/>
        <v>431432115</v>
      </c>
      <c r="W52" s="1298">
        <f t="shared" si="69"/>
        <v>412688045</v>
      </c>
      <c r="X52" s="1298">
        <f t="shared" si="69"/>
        <v>0</v>
      </c>
      <c r="Y52" s="1298">
        <f t="shared" si="69"/>
        <v>0</v>
      </c>
      <c r="Z52" s="1298">
        <f t="shared" si="69"/>
        <v>0</v>
      </c>
      <c r="AA52" s="1298">
        <f t="shared" si="69"/>
        <v>0</v>
      </c>
      <c r="AB52" s="1298">
        <f t="shared" si="69"/>
        <v>0</v>
      </c>
      <c r="AC52" s="1298">
        <f t="shared" si="69"/>
        <v>0</v>
      </c>
      <c r="AD52" s="1284"/>
      <c r="AE52" s="1213">
        <f t="shared" si="1"/>
        <v>3963739</v>
      </c>
      <c r="AF52" s="1213">
        <f t="shared" si="2"/>
        <v>2069151</v>
      </c>
      <c r="AG52" s="1213">
        <f t="shared" si="3"/>
        <v>11683894</v>
      </c>
      <c r="AH52" s="2919">
        <f t="shared" si="4"/>
        <v>0</v>
      </c>
      <c r="AI52" s="1829">
        <f t="shared" si="58"/>
        <v>0.95655383698081908</v>
      </c>
      <c r="AJ52" s="417">
        <f t="shared" si="59"/>
        <v>57353698</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8"/>
        <v>#DIV/0!</v>
      </c>
      <c r="AJ53" s="417">
        <f t="shared" si="59"/>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5">
        <f>35</f>
        <v>35</v>
      </c>
      <c r="E54" s="2956">
        <v>36</v>
      </c>
      <c r="F54" s="2957">
        <v>35</v>
      </c>
      <c r="G54" s="2957">
        <f>+F54</f>
        <v>35</v>
      </c>
      <c r="H54" s="2957">
        <f>+G54-3</f>
        <v>32</v>
      </c>
      <c r="I54" s="2957">
        <f>+H54</f>
        <v>32</v>
      </c>
      <c r="J54" s="2957">
        <f>+I54</f>
        <v>32</v>
      </c>
      <c r="K54" s="3212">
        <v>34</v>
      </c>
      <c r="L54" s="2957">
        <v>0</v>
      </c>
      <c r="M54" s="2957">
        <f>+L54</f>
        <v>0</v>
      </c>
      <c r="N54" s="2957">
        <f>+M54</f>
        <v>0</v>
      </c>
      <c r="O54" s="2957">
        <f>+N54</f>
        <v>0</v>
      </c>
      <c r="P54" s="2957">
        <f>+O54</f>
        <v>0</v>
      </c>
      <c r="Q54" s="2957">
        <f>+P54</f>
        <v>0</v>
      </c>
      <c r="R54" s="2957">
        <f>+F54</f>
        <v>35</v>
      </c>
      <c r="S54" s="2957">
        <f>+R54</f>
        <v>35</v>
      </c>
      <c r="T54" s="2957">
        <f>+S54-3</f>
        <v>32</v>
      </c>
      <c r="U54" s="2957">
        <f>+T54</f>
        <v>32</v>
      </c>
      <c r="V54" s="2957">
        <f>+U54</f>
        <v>32</v>
      </c>
      <c r="W54" s="2957">
        <f>+V54</f>
        <v>32</v>
      </c>
      <c r="X54" s="2957"/>
      <c r="Y54" s="2957">
        <f>+X54</f>
        <v>0</v>
      </c>
      <c r="Z54" s="2957">
        <f>+Y54</f>
        <v>0</v>
      </c>
      <c r="AA54" s="2957">
        <f>+Z54</f>
        <v>0</v>
      </c>
      <c r="AB54" s="2957">
        <f>+AA54</f>
        <v>0</v>
      </c>
      <c r="AC54" s="2957">
        <f>+AB54</f>
        <v>0</v>
      </c>
      <c r="AD54" s="2970"/>
      <c r="AE54" s="2959">
        <f t="shared" si="1"/>
        <v>0</v>
      </c>
      <c r="AF54" s="1213">
        <f t="shared" si="2"/>
        <v>-3</v>
      </c>
      <c r="AG54" s="1213">
        <f t="shared" si="3"/>
        <v>0</v>
      </c>
      <c r="AH54" s="2943">
        <f t="shared" si="4"/>
        <v>0</v>
      </c>
      <c r="AI54" s="1829">
        <f t="shared" si="58"/>
        <v>1.0625</v>
      </c>
      <c r="AJ54" s="550">
        <f t="shared" si="59"/>
        <v>0</v>
      </c>
      <c r="AK54" s="1852"/>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0">+X55</f>
        <v>0</v>
      </c>
      <c r="Z55" s="459">
        <f t="shared" si="70"/>
        <v>0</v>
      </c>
      <c r="AA55" s="459">
        <f t="shared" si="70"/>
        <v>0</v>
      </c>
      <c r="AB55" s="459">
        <f t="shared" si="70"/>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461"/>
      <c r="E56" s="461"/>
      <c r="F56" s="556"/>
      <c r="G56" s="461"/>
      <c r="H56" s="461"/>
      <c r="I56" s="461"/>
      <c r="J56" s="461"/>
      <c r="K56" s="3214"/>
      <c r="L56" s="460"/>
      <c r="M56" s="460"/>
      <c r="N56" s="460"/>
      <c r="O56" s="460"/>
      <c r="P56" s="460"/>
      <c r="Q56" s="460"/>
      <c r="R56" s="460"/>
      <c r="S56" s="553"/>
      <c r="T56" s="553"/>
      <c r="U56" s="553"/>
      <c r="V56" s="553">
        <f>+U56</f>
        <v>0</v>
      </c>
      <c r="W56" s="553"/>
      <c r="X56" s="460"/>
      <c r="Y56" s="459">
        <f t="shared" si="70"/>
        <v>0</v>
      </c>
      <c r="Z56" s="459">
        <f t="shared" si="70"/>
        <v>0</v>
      </c>
      <c r="AA56" s="459">
        <f t="shared" si="70"/>
        <v>0</v>
      </c>
      <c r="AB56" s="459">
        <f t="shared" si="70"/>
        <v>0</v>
      </c>
      <c r="AC56" s="459"/>
      <c r="AD56" s="557"/>
      <c r="AE56" s="555">
        <f t="shared" si="1"/>
        <v>0</v>
      </c>
      <c r="AF56" s="555"/>
      <c r="AG56" s="555"/>
      <c r="AH56" s="555"/>
      <c r="AJ56" s="417">
        <f>+F56-D56</f>
        <v>0</v>
      </c>
    </row>
    <row r="57" spans="1:37" ht="15.75">
      <c r="B57" s="3205" t="s">
        <v>17</v>
      </c>
      <c r="C57" s="3207" t="s">
        <v>4053</v>
      </c>
      <c r="D57" s="3206">
        <f t="shared" ref="D57:K57" si="71">+D37-D52</f>
        <v>0</v>
      </c>
      <c r="E57" s="3199">
        <f>+E37-E52</f>
        <v>2345701</v>
      </c>
      <c r="F57" s="3200">
        <f t="shared" si="71"/>
        <v>0</v>
      </c>
      <c r="G57" s="3201">
        <f t="shared" si="71"/>
        <v>0</v>
      </c>
      <c r="H57" s="3201">
        <f t="shared" si="71"/>
        <v>0</v>
      </c>
      <c r="I57" s="3201"/>
      <c r="J57" s="3201">
        <f t="shared" si="71"/>
        <v>0</v>
      </c>
      <c r="K57" s="2198">
        <f t="shared" si="71"/>
        <v>11127877</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2">+D37-D52</f>
        <v>0</v>
      </c>
      <c r="E60" s="396">
        <f>+E37-E52</f>
        <v>2345701</v>
      </c>
      <c r="F60" s="396">
        <f t="shared" si="72"/>
        <v>0</v>
      </c>
      <c r="G60" s="396">
        <f t="shared" si="72"/>
        <v>0</v>
      </c>
      <c r="H60" s="396">
        <f t="shared" si="72"/>
        <v>0</v>
      </c>
      <c r="I60" s="396">
        <f t="shared" si="72"/>
        <v>0</v>
      </c>
      <c r="J60" s="460">
        <f t="shared" si="72"/>
        <v>0</v>
      </c>
      <c r="K60" s="460">
        <f t="shared" si="72"/>
        <v>11127877</v>
      </c>
      <c r="L60" s="460">
        <f t="shared" si="72"/>
        <v>0</v>
      </c>
      <c r="M60" s="460">
        <f t="shared" si="72"/>
        <v>0</v>
      </c>
      <c r="N60" s="460">
        <f t="shared" si="72"/>
        <v>0</v>
      </c>
      <c r="O60" s="460">
        <f t="shared" si="72"/>
        <v>0</v>
      </c>
      <c r="P60" s="460">
        <f t="shared" si="72"/>
        <v>0</v>
      </c>
      <c r="Q60" s="460">
        <f t="shared" si="72"/>
        <v>0</v>
      </c>
      <c r="R60" s="460">
        <f t="shared" si="72"/>
        <v>0</v>
      </c>
      <c r="S60" s="460">
        <f t="shared" si="72"/>
        <v>0</v>
      </c>
      <c r="T60" s="460">
        <f t="shared" si="72"/>
        <v>0</v>
      </c>
      <c r="U60" s="460">
        <f t="shared" si="72"/>
        <v>0</v>
      </c>
      <c r="V60" s="460">
        <f t="shared" si="72"/>
        <v>0</v>
      </c>
      <c r="W60" s="460">
        <f t="shared" si="72"/>
        <v>11127877</v>
      </c>
      <c r="X60" s="396">
        <f t="shared" si="72"/>
        <v>0</v>
      </c>
      <c r="Y60" s="396">
        <f t="shared" si="72"/>
        <v>0</v>
      </c>
      <c r="Z60" s="396">
        <f t="shared" si="72"/>
        <v>0</v>
      </c>
      <c r="AA60" s="396">
        <f t="shared" si="72"/>
        <v>0</v>
      </c>
      <c r="AB60" s="396">
        <f t="shared" si="72"/>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Rh46ms2Evphw4CN/fhdKtD8drHbrZEeC+NvCRhe75NLnkey7ghCU4oQHAZMhMwqR2zPpPA8ef6Iv0VstSJ+4GQ==" saltValue="arjFy4BCKJWkDEtI7SYMaw=="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colBreaks count="1" manualBreakCount="1">
    <brk id="2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D8185-2252-4A69-8291-81826768B718}">
  <sheetPr>
    <tabColor indexed="60"/>
    <pageSetUpPr fitToPage="1"/>
  </sheetPr>
  <dimension ref="A1:AL62"/>
  <sheetViews>
    <sheetView view="pageBreakPreview" zoomScaleSheetLayoutView="100" workbookViewId="0">
      <pane xSplit="3" ySplit="6" topLeftCell="E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2"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16384" width="8" style="396"/>
  </cols>
  <sheetData>
    <row r="1" spans="1:37" s="397" customFormat="1" ht="21" customHeight="1">
      <c r="A1" s="3666" t="s">
        <v>4272</v>
      </c>
      <c r="B1" s="3666"/>
      <c r="C1" s="3666"/>
      <c r="D1" s="3666"/>
      <c r="E1" s="3666"/>
      <c r="F1" s="3666"/>
      <c r="G1" s="3666"/>
      <c r="H1" s="3666"/>
      <c r="I1" s="3666"/>
      <c r="J1" s="3666"/>
      <c r="K1" s="3666"/>
      <c r="L1" s="3666"/>
      <c r="M1" s="3666"/>
      <c r="N1" s="3666"/>
      <c r="O1" s="3666"/>
      <c r="P1" s="3666"/>
      <c r="Q1" s="3666"/>
      <c r="R1" s="3666"/>
      <c r="S1" s="3666"/>
      <c r="T1" s="3666"/>
      <c r="U1" s="3666"/>
      <c r="V1" s="3666"/>
      <c r="W1" s="3666"/>
      <c r="X1" s="3666"/>
      <c r="Y1" s="3666"/>
      <c r="Z1" s="3666"/>
      <c r="AA1" s="3666"/>
      <c r="AB1" s="3666"/>
      <c r="AC1" s="3666"/>
      <c r="AD1" s="3666"/>
      <c r="AE1" s="3666"/>
      <c r="AF1" s="3666"/>
      <c r="AG1" s="3666"/>
      <c r="AH1" s="3666"/>
      <c r="AI1" s="3666"/>
    </row>
    <row r="2" spans="1:37" s="398" customFormat="1" ht="20.25" customHeight="1">
      <c r="A2" s="3661" t="s">
        <v>3420</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5.7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AC8" si="0">SUM(D9:D19)</f>
        <v>13995573</v>
      </c>
      <c r="E8" s="2715">
        <f t="shared" si="0"/>
        <v>23395502</v>
      </c>
      <c r="F8" s="1213">
        <f t="shared" si="0"/>
        <v>19876952</v>
      </c>
      <c r="G8" s="1213">
        <f t="shared" si="0"/>
        <v>20477741</v>
      </c>
      <c r="H8" s="1213">
        <f t="shared" si="0"/>
        <v>22274482</v>
      </c>
      <c r="I8" s="1213">
        <f t="shared" si="0"/>
        <v>22691595</v>
      </c>
      <c r="J8" s="1213">
        <f t="shared" si="0"/>
        <v>22691595</v>
      </c>
      <c r="K8" s="3208">
        <f t="shared" si="0"/>
        <v>22691595</v>
      </c>
      <c r="L8" s="1213">
        <f t="shared" si="0"/>
        <v>0</v>
      </c>
      <c r="M8" s="1213">
        <f t="shared" si="0"/>
        <v>0</v>
      </c>
      <c r="N8" s="1213">
        <f t="shared" si="0"/>
        <v>0</v>
      </c>
      <c r="O8" s="1213">
        <f t="shared" si="0"/>
        <v>0</v>
      </c>
      <c r="P8" s="1213">
        <f t="shared" si="0"/>
        <v>0</v>
      </c>
      <c r="Q8" s="1213">
        <f t="shared" si="0"/>
        <v>0</v>
      </c>
      <c r="R8" s="1213">
        <f t="shared" si="0"/>
        <v>19876952</v>
      </c>
      <c r="S8" s="1213">
        <f t="shared" si="0"/>
        <v>20477741</v>
      </c>
      <c r="T8" s="1213">
        <f t="shared" si="0"/>
        <v>22274482</v>
      </c>
      <c r="U8" s="1213">
        <f t="shared" si="0"/>
        <v>22691595</v>
      </c>
      <c r="V8" s="1213">
        <f t="shared" si="0"/>
        <v>22691595</v>
      </c>
      <c r="W8" s="1213">
        <f t="shared" si="0"/>
        <v>22691595</v>
      </c>
      <c r="X8" s="1213">
        <f t="shared" si="0"/>
        <v>0</v>
      </c>
      <c r="Y8" s="1213">
        <f t="shared" si="0"/>
        <v>0</v>
      </c>
      <c r="Z8" s="1213">
        <f t="shared" si="0"/>
        <v>0</v>
      </c>
      <c r="AA8" s="1213">
        <f t="shared" si="0"/>
        <v>0</v>
      </c>
      <c r="AB8" s="1213">
        <f t="shared" si="0"/>
        <v>0</v>
      </c>
      <c r="AC8" s="1213">
        <f t="shared" si="0"/>
        <v>0</v>
      </c>
      <c r="AD8" s="1284"/>
      <c r="AE8" s="1213">
        <f t="shared" ref="AE8:AE56" si="1">+G8-F8</f>
        <v>600789</v>
      </c>
      <c r="AF8" s="1213">
        <f t="shared" ref="AF8:AF55" si="2">+H8-G8</f>
        <v>1796741</v>
      </c>
      <c r="AG8" s="1213">
        <f t="shared" ref="AG8:AG55" si="3">+I8-H8</f>
        <v>417113</v>
      </c>
      <c r="AH8" s="2919">
        <f t="shared" ref="AH8:AH55" si="4">+J8-I8</f>
        <v>0</v>
      </c>
      <c r="AI8" s="1829">
        <f>+K8/I8</f>
        <v>1</v>
      </c>
      <c r="AJ8" s="417">
        <f>+F8-D8</f>
        <v>5881379</v>
      </c>
      <c r="AK8" s="412"/>
    </row>
    <row r="9" spans="1:37" s="416" customFormat="1" ht="15">
      <c r="A9" s="2933"/>
      <c r="B9" s="1285" t="s">
        <v>176</v>
      </c>
      <c r="C9" s="1286" t="s">
        <v>226</v>
      </c>
      <c r="D9" s="1287">
        <v>0</v>
      </c>
      <c r="E9" s="2716">
        <v>0</v>
      </c>
      <c r="F9" s="1287">
        <v>0</v>
      </c>
      <c r="G9" s="1287">
        <f t="shared" ref="G9:G16" si="5">+F9</f>
        <v>0</v>
      </c>
      <c r="H9" s="1287">
        <f t="shared" ref="H9:H19" si="6">+G9</f>
        <v>0</v>
      </c>
      <c r="I9" s="1287">
        <f t="shared" ref="I9:I18" si="7">+H9</f>
        <v>0</v>
      </c>
      <c r="J9" s="1287">
        <f t="shared" ref="J9:J19" si="8">+I9</f>
        <v>0</v>
      </c>
      <c r="K9" s="3219">
        <v>0</v>
      </c>
      <c r="L9" s="1287">
        <v>0</v>
      </c>
      <c r="M9" s="1287">
        <f t="shared" ref="M9:M17" si="9">+L9</f>
        <v>0</v>
      </c>
      <c r="N9" s="1287">
        <f t="shared" ref="N9:N19" si="10">+M9</f>
        <v>0</v>
      </c>
      <c r="O9" s="1287">
        <f t="shared" ref="O9:O17" si="11">+N9</f>
        <v>0</v>
      </c>
      <c r="P9" s="1287">
        <f t="shared" ref="P9:P17" si="12">+O9</f>
        <v>0</v>
      </c>
      <c r="Q9" s="1287">
        <v>0</v>
      </c>
      <c r="R9" s="1287">
        <v>0</v>
      </c>
      <c r="S9" s="1287">
        <f t="shared" ref="S9:S16" si="13">+R9</f>
        <v>0</v>
      </c>
      <c r="T9" s="1287">
        <f t="shared" ref="T9:T19" si="14">+S9</f>
        <v>0</v>
      </c>
      <c r="U9" s="1287">
        <f t="shared" ref="U9:U18" si="15">+T9</f>
        <v>0</v>
      </c>
      <c r="V9" s="1287">
        <f t="shared" ref="V9:V19" si="16">+U9</f>
        <v>0</v>
      </c>
      <c r="W9" s="1287">
        <f>+K9</f>
        <v>0</v>
      </c>
      <c r="X9" s="1287"/>
      <c r="Y9" s="1287">
        <f t="shared" ref="Y9:Y17" si="17">+X9</f>
        <v>0</v>
      </c>
      <c r="Z9" s="1287">
        <f t="shared" ref="Z9:Z17" si="18">+Y9</f>
        <v>0</v>
      </c>
      <c r="AA9" s="1287">
        <f t="shared" ref="AA9:AA17" si="19">+Z9</f>
        <v>0</v>
      </c>
      <c r="AB9" s="1287">
        <f t="shared" ref="AB9:AB17" si="20">+AA9</f>
        <v>0</v>
      </c>
      <c r="AC9" s="1287">
        <f t="shared" ref="AC9:AC17" si="21">+AB9</f>
        <v>0</v>
      </c>
      <c r="AD9" s="1284"/>
      <c r="AE9" s="1213">
        <f t="shared" si="1"/>
        <v>0</v>
      </c>
      <c r="AF9" s="1213">
        <f t="shared" si="2"/>
        <v>0</v>
      </c>
      <c r="AG9" s="1213">
        <f t="shared" si="3"/>
        <v>0</v>
      </c>
      <c r="AH9" s="2919">
        <f t="shared" si="4"/>
        <v>0</v>
      </c>
      <c r="AI9" s="1834"/>
      <c r="AJ9" s="417">
        <f t="shared" ref="AJ9:AJ37" si="22">+F9-D9</f>
        <v>0</v>
      </c>
      <c r="AK9" s="420"/>
    </row>
    <row r="10" spans="1:37" s="416" customFormat="1" ht="15">
      <c r="A10" s="2933"/>
      <c r="B10" s="1285" t="s">
        <v>178</v>
      </c>
      <c r="C10" s="1286" t="s">
        <v>228</v>
      </c>
      <c r="D10" s="1287">
        <v>380824</v>
      </c>
      <c r="E10" s="2716">
        <v>625385</v>
      </c>
      <c r="F10" s="1287">
        <v>580120</v>
      </c>
      <c r="G10" s="1287">
        <f t="shared" si="5"/>
        <v>580120</v>
      </c>
      <c r="H10" s="1287">
        <f t="shared" si="6"/>
        <v>580120</v>
      </c>
      <c r="I10" s="1287">
        <f>+H10+146041</f>
        <v>726161</v>
      </c>
      <c r="J10" s="1287">
        <f t="shared" si="8"/>
        <v>726161</v>
      </c>
      <c r="K10" s="3219">
        <v>726161</v>
      </c>
      <c r="L10" s="1287">
        <v>0</v>
      </c>
      <c r="M10" s="1287">
        <f t="shared" si="9"/>
        <v>0</v>
      </c>
      <c r="N10" s="1287">
        <f t="shared" si="10"/>
        <v>0</v>
      </c>
      <c r="O10" s="1287">
        <f t="shared" si="11"/>
        <v>0</v>
      </c>
      <c r="P10" s="1287">
        <f t="shared" si="12"/>
        <v>0</v>
      </c>
      <c r="Q10" s="1287">
        <v>0</v>
      </c>
      <c r="R10" s="1287">
        <f>+F10</f>
        <v>580120</v>
      </c>
      <c r="S10" s="1287">
        <f t="shared" si="13"/>
        <v>580120</v>
      </c>
      <c r="T10" s="1287">
        <f t="shared" si="14"/>
        <v>580120</v>
      </c>
      <c r="U10" s="1287">
        <f>+T10+146041</f>
        <v>726161</v>
      </c>
      <c r="V10" s="1287">
        <f t="shared" si="16"/>
        <v>726161</v>
      </c>
      <c r="W10" s="1287">
        <f t="shared" ref="W10:W19" si="23">+K10</f>
        <v>726161</v>
      </c>
      <c r="X10" s="1287"/>
      <c r="Y10" s="1287">
        <f t="shared" si="17"/>
        <v>0</v>
      </c>
      <c r="Z10" s="1287">
        <f t="shared" si="18"/>
        <v>0</v>
      </c>
      <c r="AA10" s="1287">
        <f t="shared" si="19"/>
        <v>0</v>
      </c>
      <c r="AB10" s="1287">
        <f t="shared" si="20"/>
        <v>0</v>
      </c>
      <c r="AC10" s="1287">
        <f t="shared" si="21"/>
        <v>0</v>
      </c>
      <c r="AD10" s="1284"/>
      <c r="AE10" s="1213">
        <f t="shared" si="1"/>
        <v>0</v>
      </c>
      <c r="AF10" s="1213">
        <f t="shared" si="2"/>
        <v>0</v>
      </c>
      <c r="AG10" s="1213">
        <f t="shared" si="3"/>
        <v>146041</v>
      </c>
      <c r="AH10" s="2919">
        <f t="shared" si="4"/>
        <v>0</v>
      </c>
      <c r="AI10" s="1834">
        <f>+K10/I10</f>
        <v>1</v>
      </c>
      <c r="AJ10" s="417">
        <f t="shared" si="22"/>
        <v>199296</v>
      </c>
      <c r="AK10" s="420"/>
    </row>
    <row r="11" spans="1:37" s="416" customFormat="1" ht="15">
      <c r="A11" s="2933"/>
      <c r="B11" s="1289" t="s">
        <v>179</v>
      </c>
      <c r="C11" s="1286" t="s">
        <v>460</v>
      </c>
      <c r="D11" s="1287">
        <v>0</v>
      </c>
      <c r="E11" s="2716">
        <v>0</v>
      </c>
      <c r="F11" s="1287">
        <v>0</v>
      </c>
      <c r="G11" s="1287">
        <f t="shared" si="5"/>
        <v>0</v>
      </c>
      <c r="H11" s="1287">
        <f t="shared" si="6"/>
        <v>0</v>
      </c>
      <c r="I11" s="1287">
        <f t="shared" si="7"/>
        <v>0</v>
      </c>
      <c r="J11" s="1287">
        <f t="shared" si="8"/>
        <v>0</v>
      </c>
      <c r="K11" s="3219">
        <v>0</v>
      </c>
      <c r="L11" s="1287">
        <v>0</v>
      </c>
      <c r="M11" s="1287">
        <f t="shared" si="9"/>
        <v>0</v>
      </c>
      <c r="N11" s="1287">
        <f t="shared" si="10"/>
        <v>0</v>
      </c>
      <c r="O11" s="1287">
        <f t="shared" si="11"/>
        <v>0</v>
      </c>
      <c r="P11" s="1287">
        <f t="shared" si="12"/>
        <v>0</v>
      </c>
      <c r="Q11" s="1287">
        <v>0</v>
      </c>
      <c r="R11" s="1287">
        <v>0</v>
      </c>
      <c r="S11" s="1287">
        <f t="shared" si="13"/>
        <v>0</v>
      </c>
      <c r="T11" s="1287">
        <f t="shared" si="14"/>
        <v>0</v>
      </c>
      <c r="U11" s="1287">
        <f t="shared" si="15"/>
        <v>0</v>
      </c>
      <c r="V11" s="1287">
        <f t="shared" si="16"/>
        <v>0</v>
      </c>
      <c r="W11" s="1287">
        <f t="shared" si="23"/>
        <v>0</v>
      </c>
      <c r="X11" s="1287"/>
      <c r="Y11" s="1287">
        <f t="shared" si="17"/>
        <v>0</v>
      </c>
      <c r="Z11" s="1287">
        <f t="shared" si="18"/>
        <v>0</v>
      </c>
      <c r="AA11" s="1287">
        <f t="shared" si="19"/>
        <v>0</v>
      </c>
      <c r="AB11" s="1287">
        <f t="shared" si="20"/>
        <v>0</v>
      </c>
      <c r="AC11" s="1287">
        <f t="shared" si="21"/>
        <v>0</v>
      </c>
      <c r="AD11" s="1284"/>
      <c r="AE11" s="1213">
        <f t="shared" si="1"/>
        <v>0</v>
      </c>
      <c r="AF11" s="1213">
        <f t="shared" si="2"/>
        <v>0</v>
      </c>
      <c r="AG11" s="1213">
        <f t="shared" si="3"/>
        <v>0</v>
      </c>
      <c r="AH11" s="2919">
        <f t="shared" si="4"/>
        <v>0</v>
      </c>
      <c r="AI11" s="1834"/>
      <c r="AJ11" s="417">
        <f t="shared" si="22"/>
        <v>0</v>
      </c>
      <c r="AK11" s="420"/>
    </row>
    <row r="12" spans="1:37" s="416" customFormat="1" ht="15">
      <c r="A12" s="2933"/>
      <c r="B12" s="1289" t="s">
        <v>180</v>
      </c>
      <c r="C12" s="1286" t="s">
        <v>232</v>
      </c>
      <c r="D12" s="1287">
        <v>0</v>
      </c>
      <c r="E12" s="2716">
        <v>0</v>
      </c>
      <c r="F12" s="1287">
        <v>0</v>
      </c>
      <c r="G12" s="1287">
        <f t="shared" si="5"/>
        <v>0</v>
      </c>
      <c r="H12" s="1287">
        <f t="shared" si="6"/>
        <v>0</v>
      </c>
      <c r="I12" s="1287">
        <f t="shared" si="7"/>
        <v>0</v>
      </c>
      <c r="J12" s="1287">
        <f t="shared" si="8"/>
        <v>0</v>
      </c>
      <c r="K12" s="3219">
        <v>0</v>
      </c>
      <c r="L12" s="1287">
        <v>0</v>
      </c>
      <c r="M12" s="1287">
        <f t="shared" si="9"/>
        <v>0</v>
      </c>
      <c r="N12" s="1287">
        <f t="shared" si="10"/>
        <v>0</v>
      </c>
      <c r="O12" s="1287">
        <f t="shared" si="11"/>
        <v>0</v>
      </c>
      <c r="P12" s="1287">
        <f t="shared" si="12"/>
        <v>0</v>
      </c>
      <c r="Q12" s="1287">
        <v>0</v>
      </c>
      <c r="R12" s="1287">
        <v>0</v>
      </c>
      <c r="S12" s="1287">
        <f t="shared" si="13"/>
        <v>0</v>
      </c>
      <c r="T12" s="1287">
        <f t="shared" si="14"/>
        <v>0</v>
      </c>
      <c r="U12" s="1287">
        <f t="shared" si="15"/>
        <v>0</v>
      </c>
      <c r="V12" s="1287">
        <f t="shared" si="16"/>
        <v>0</v>
      </c>
      <c r="W12" s="1287">
        <f t="shared" si="23"/>
        <v>0</v>
      </c>
      <c r="X12" s="1287"/>
      <c r="Y12" s="1287">
        <f t="shared" si="17"/>
        <v>0</v>
      </c>
      <c r="Z12" s="1287">
        <f t="shared" si="18"/>
        <v>0</v>
      </c>
      <c r="AA12" s="1287">
        <f t="shared" si="19"/>
        <v>0</v>
      </c>
      <c r="AB12" s="1287">
        <f t="shared" si="20"/>
        <v>0</v>
      </c>
      <c r="AC12" s="1287">
        <f t="shared" si="21"/>
        <v>0</v>
      </c>
      <c r="AD12" s="1284"/>
      <c r="AE12" s="1213">
        <f t="shared" si="1"/>
        <v>0</v>
      </c>
      <c r="AF12" s="1213">
        <f t="shared" si="2"/>
        <v>0</v>
      </c>
      <c r="AG12" s="1213">
        <f t="shared" si="3"/>
        <v>0</v>
      </c>
      <c r="AH12" s="2919">
        <f t="shared" si="4"/>
        <v>0</v>
      </c>
      <c r="AI12" s="1834"/>
      <c r="AJ12" s="417">
        <f t="shared" si="22"/>
        <v>0</v>
      </c>
      <c r="AK12" s="420"/>
    </row>
    <row r="13" spans="1:37" s="416" customFormat="1" ht="15">
      <c r="A13" s="2933"/>
      <c r="B13" s="1289" t="s">
        <v>181</v>
      </c>
      <c r="C13" s="1286" t="s">
        <v>234</v>
      </c>
      <c r="D13" s="1287">
        <v>9993094</v>
      </c>
      <c r="E13" s="2716">
        <v>12962948</v>
      </c>
      <c r="F13" s="1287">
        <f>14424805-1</f>
        <v>14424804</v>
      </c>
      <c r="G13" s="1287">
        <f t="shared" si="5"/>
        <v>14424804</v>
      </c>
      <c r="H13" s="1287">
        <f t="shared" si="6"/>
        <v>14424804</v>
      </c>
      <c r="I13" s="1287">
        <f>+H13-1337039</f>
        <v>13087765</v>
      </c>
      <c r="J13" s="1287">
        <f t="shared" si="8"/>
        <v>13087765</v>
      </c>
      <c r="K13" s="3219">
        <v>13087765</v>
      </c>
      <c r="L13" s="1287">
        <v>0</v>
      </c>
      <c r="M13" s="1287">
        <f t="shared" si="9"/>
        <v>0</v>
      </c>
      <c r="N13" s="1287">
        <f t="shared" si="10"/>
        <v>0</v>
      </c>
      <c r="O13" s="1287">
        <f t="shared" si="11"/>
        <v>0</v>
      </c>
      <c r="P13" s="1287">
        <f t="shared" si="12"/>
        <v>0</v>
      </c>
      <c r="Q13" s="1287">
        <v>0</v>
      </c>
      <c r="R13" s="1287">
        <f>+F13</f>
        <v>14424804</v>
      </c>
      <c r="S13" s="1287">
        <f t="shared" si="13"/>
        <v>14424804</v>
      </c>
      <c r="T13" s="1287">
        <f t="shared" si="14"/>
        <v>14424804</v>
      </c>
      <c r="U13" s="1287">
        <f>+T13-1337039</f>
        <v>13087765</v>
      </c>
      <c r="V13" s="1287">
        <f t="shared" si="16"/>
        <v>13087765</v>
      </c>
      <c r="W13" s="1287">
        <f t="shared" si="23"/>
        <v>13087765</v>
      </c>
      <c r="X13" s="1287"/>
      <c r="Y13" s="1287">
        <f t="shared" si="17"/>
        <v>0</v>
      </c>
      <c r="Z13" s="1287">
        <f t="shared" si="18"/>
        <v>0</v>
      </c>
      <c r="AA13" s="1287">
        <f t="shared" si="19"/>
        <v>0</v>
      </c>
      <c r="AB13" s="1287">
        <f t="shared" si="20"/>
        <v>0</v>
      </c>
      <c r="AC13" s="1287">
        <f t="shared" si="21"/>
        <v>0</v>
      </c>
      <c r="AD13" s="1284"/>
      <c r="AE13" s="1213">
        <f t="shared" si="1"/>
        <v>0</v>
      </c>
      <c r="AF13" s="1213">
        <f t="shared" si="2"/>
        <v>0</v>
      </c>
      <c r="AG13" s="1213">
        <f t="shared" si="3"/>
        <v>-1337039</v>
      </c>
      <c r="AH13" s="2919">
        <f t="shared" si="4"/>
        <v>0</v>
      </c>
      <c r="AI13" s="1834">
        <f>+K13/I13</f>
        <v>1</v>
      </c>
      <c r="AJ13" s="417">
        <f t="shared" si="22"/>
        <v>4431710</v>
      </c>
      <c r="AK13" s="420"/>
    </row>
    <row r="14" spans="1:37" s="416" customFormat="1" ht="15">
      <c r="A14" s="2933"/>
      <c r="B14" s="1289" t="s">
        <v>183</v>
      </c>
      <c r="C14" s="1286" t="s">
        <v>887</v>
      </c>
      <c r="D14" s="1287">
        <v>2800958</v>
      </c>
      <c r="E14" s="2716">
        <v>3519689</v>
      </c>
      <c r="F14" s="1287">
        <v>4051330</v>
      </c>
      <c r="G14" s="1287">
        <f t="shared" si="5"/>
        <v>4051330</v>
      </c>
      <c r="H14" s="1287">
        <f t="shared" si="6"/>
        <v>4051330</v>
      </c>
      <c r="I14" s="1287">
        <f>+H14-447326</f>
        <v>3604004</v>
      </c>
      <c r="J14" s="1287">
        <f t="shared" si="8"/>
        <v>3604004</v>
      </c>
      <c r="K14" s="3219">
        <v>3604004</v>
      </c>
      <c r="L14" s="1287">
        <v>0</v>
      </c>
      <c r="M14" s="1287">
        <f t="shared" si="9"/>
        <v>0</v>
      </c>
      <c r="N14" s="1287">
        <f t="shared" si="10"/>
        <v>0</v>
      </c>
      <c r="O14" s="1287">
        <f t="shared" si="11"/>
        <v>0</v>
      </c>
      <c r="P14" s="1287">
        <f t="shared" si="12"/>
        <v>0</v>
      </c>
      <c r="Q14" s="1287">
        <v>0</v>
      </c>
      <c r="R14" s="1287">
        <f>+F14</f>
        <v>4051330</v>
      </c>
      <c r="S14" s="1287">
        <f t="shared" si="13"/>
        <v>4051330</v>
      </c>
      <c r="T14" s="1287">
        <f t="shared" si="14"/>
        <v>4051330</v>
      </c>
      <c r="U14" s="1287">
        <f>+T14-447326</f>
        <v>3604004</v>
      </c>
      <c r="V14" s="1287">
        <f t="shared" si="16"/>
        <v>3604004</v>
      </c>
      <c r="W14" s="1287">
        <f t="shared" si="23"/>
        <v>3604004</v>
      </c>
      <c r="X14" s="1287"/>
      <c r="Y14" s="1287">
        <f t="shared" si="17"/>
        <v>0</v>
      </c>
      <c r="Z14" s="1287">
        <f t="shared" si="18"/>
        <v>0</v>
      </c>
      <c r="AA14" s="1287">
        <f t="shared" si="19"/>
        <v>0</v>
      </c>
      <c r="AB14" s="1287">
        <f t="shared" si="20"/>
        <v>0</v>
      </c>
      <c r="AC14" s="1287">
        <f t="shared" si="21"/>
        <v>0</v>
      </c>
      <c r="AD14" s="1284"/>
      <c r="AE14" s="1213">
        <f t="shared" si="1"/>
        <v>0</v>
      </c>
      <c r="AF14" s="1213">
        <f t="shared" si="2"/>
        <v>0</v>
      </c>
      <c r="AG14" s="1213">
        <f t="shared" si="3"/>
        <v>-447326</v>
      </c>
      <c r="AH14" s="2919">
        <f t="shared" si="4"/>
        <v>0</v>
      </c>
      <c r="AI14" s="1834">
        <f>+K14/I14</f>
        <v>1</v>
      </c>
      <c r="AJ14" s="417">
        <f t="shared" si="22"/>
        <v>1250372</v>
      </c>
      <c r="AK14" s="420"/>
    </row>
    <row r="15" spans="1:37" s="416" customFormat="1" ht="15">
      <c r="A15" s="2933"/>
      <c r="B15" s="1289" t="s">
        <v>321</v>
      </c>
      <c r="C15" s="1290" t="s">
        <v>238</v>
      </c>
      <c r="D15" s="1287">
        <v>0</v>
      </c>
      <c r="E15" s="2716">
        <v>4750029</v>
      </c>
      <c r="F15" s="1287">
        <v>0</v>
      </c>
      <c r="G15" s="1287">
        <f>+F15+600789</f>
        <v>600789</v>
      </c>
      <c r="H15" s="1287">
        <f>+G15+1796741</f>
        <v>2397530</v>
      </c>
      <c r="I15" s="1287">
        <f>+H15+810757+1525000</f>
        <v>4733287</v>
      </c>
      <c r="J15" s="1287">
        <f t="shared" si="8"/>
        <v>4733287</v>
      </c>
      <c r="K15" s="3219">
        <v>4733287</v>
      </c>
      <c r="L15" s="1287">
        <v>0</v>
      </c>
      <c r="M15" s="1287">
        <f t="shared" si="9"/>
        <v>0</v>
      </c>
      <c r="N15" s="1287">
        <f t="shared" si="10"/>
        <v>0</v>
      </c>
      <c r="O15" s="1287">
        <f t="shared" si="11"/>
        <v>0</v>
      </c>
      <c r="P15" s="1287">
        <f t="shared" si="12"/>
        <v>0</v>
      </c>
      <c r="Q15" s="1287">
        <v>0</v>
      </c>
      <c r="R15" s="1287">
        <f>0</f>
        <v>0</v>
      </c>
      <c r="S15" s="1287">
        <f>+R15+600789</f>
        <v>600789</v>
      </c>
      <c r="T15" s="1287">
        <f>+S15+1796741</f>
        <v>2397530</v>
      </c>
      <c r="U15" s="1287">
        <f>+T15+810757+1525000</f>
        <v>4733287</v>
      </c>
      <c r="V15" s="1287">
        <f t="shared" si="16"/>
        <v>4733287</v>
      </c>
      <c r="W15" s="1287">
        <f t="shared" si="23"/>
        <v>4733287</v>
      </c>
      <c r="X15" s="1287"/>
      <c r="Y15" s="1287">
        <f t="shared" si="17"/>
        <v>0</v>
      </c>
      <c r="Z15" s="1287">
        <f t="shared" si="18"/>
        <v>0</v>
      </c>
      <c r="AA15" s="1287">
        <f t="shared" si="19"/>
        <v>0</v>
      </c>
      <c r="AB15" s="1287">
        <f t="shared" si="20"/>
        <v>0</v>
      </c>
      <c r="AC15" s="1287">
        <f t="shared" si="21"/>
        <v>0</v>
      </c>
      <c r="AD15" s="1284"/>
      <c r="AE15" s="1213">
        <f t="shared" si="1"/>
        <v>600789</v>
      </c>
      <c r="AF15" s="1213">
        <f t="shared" si="2"/>
        <v>1796741</v>
      </c>
      <c r="AG15" s="1213">
        <f t="shared" si="3"/>
        <v>2335757</v>
      </c>
      <c r="AH15" s="2919">
        <f t="shared" si="4"/>
        <v>0</v>
      </c>
      <c r="AI15" s="1834">
        <f>+K15/I15</f>
        <v>1</v>
      </c>
      <c r="AJ15" s="417">
        <f t="shared" si="22"/>
        <v>0</v>
      </c>
      <c r="AK15" s="420"/>
    </row>
    <row r="16" spans="1:37" s="416" customFormat="1" ht="15">
      <c r="A16" s="2933"/>
      <c r="B16" s="1289" t="s">
        <v>323</v>
      </c>
      <c r="C16" s="1286" t="s">
        <v>1277</v>
      </c>
      <c r="D16" s="1287">
        <v>820697</v>
      </c>
      <c r="E16" s="2716">
        <v>892581</v>
      </c>
      <c r="F16" s="1287">
        <v>820698</v>
      </c>
      <c r="G16" s="1287">
        <f t="shared" si="5"/>
        <v>820698</v>
      </c>
      <c r="H16" s="1287">
        <f>+G16</f>
        <v>820698</v>
      </c>
      <c r="I16" s="1287">
        <f>+H16-446395</f>
        <v>374303</v>
      </c>
      <c r="J16" s="1287">
        <f t="shared" si="8"/>
        <v>374303</v>
      </c>
      <c r="K16" s="3219">
        <v>374303</v>
      </c>
      <c r="L16" s="1287">
        <v>0</v>
      </c>
      <c r="M16" s="1287">
        <f t="shared" si="9"/>
        <v>0</v>
      </c>
      <c r="N16" s="1287">
        <f t="shared" si="10"/>
        <v>0</v>
      </c>
      <c r="O16" s="1287">
        <f t="shared" si="11"/>
        <v>0</v>
      </c>
      <c r="P16" s="1287">
        <f t="shared" si="12"/>
        <v>0</v>
      </c>
      <c r="Q16" s="1287">
        <v>0</v>
      </c>
      <c r="R16" s="1287">
        <f>+F16</f>
        <v>820698</v>
      </c>
      <c r="S16" s="1287">
        <f t="shared" si="13"/>
        <v>820698</v>
      </c>
      <c r="T16" s="1287">
        <f>+S16</f>
        <v>820698</v>
      </c>
      <c r="U16" s="1287">
        <f>+T16-446395</f>
        <v>374303</v>
      </c>
      <c r="V16" s="1287">
        <f t="shared" si="16"/>
        <v>374303</v>
      </c>
      <c r="W16" s="1287">
        <f t="shared" si="23"/>
        <v>374303</v>
      </c>
      <c r="X16" s="1287"/>
      <c r="Y16" s="1287">
        <f t="shared" si="17"/>
        <v>0</v>
      </c>
      <c r="Z16" s="1287">
        <f t="shared" si="18"/>
        <v>0</v>
      </c>
      <c r="AA16" s="1287">
        <f t="shared" si="19"/>
        <v>0</v>
      </c>
      <c r="AB16" s="1287">
        <f t="shared" si="20"/>
        <v>0</v>
      </c>
      <c r="AC16" s="1287">
        <f t="shared" si="21"/>
        <v>0</v>
      </c>
      <c r="AD16" s="1284"/>
      <c r="AE16" s="1213">
        <f t="shared" si="1"/>
        <v>0</v>
      </c>
      <c r="AF16" s="1213">
        <f t="shared" si="2"/>
        <v>0</v>
      </c>
      <c r="AG16" s="1213">
        <f t="shared" si="3"/>
        <v>-446395</v>
      </c>
      <c r="AH16" s="2919">
        <f t="shared" si="4"/>
        <v>0</v>
      </c>
      <c r="AI16" s="1834">
        <f>+K16/I16</f>
        <v>1</v>
      </c>
      <c r="AJ16" s="417">
        <f t="shared" si="22"/>
        <v>1</v>
      </c>
      <c r="AK16" s="420"/>
    </row>
    <row r="17" spans="1:37" s="416" customFormat="1" ht="15">
      <c r="A17" s="2933"/>
      <c r="B17" s="1289" t="s">
        <v>325</v>
      </c>
      <c r="C17" s="1286" t="s">
        <v>242</v>
      </c>
      <c r="D17" s="1287">
        <v>0</v>
      </c>
      <c r="E17" s="2716">
        <v>0</v>
      </c>
      <c r="F17" s="1287">
        <v>0</v>
      </c>
      <c r="G17" s="1287">
        <f>+F17</f>
        <v>0</v>
      </c>
      <c r="H17" s="1287">
        <f t="shared" si="6"/>
        <v>0</v>
      </c>
      <c r="I17" s="1287">
        <f t="shared" si="7"/>
        <v>0</v>
      </c>
      <c r="J17" s="1287">
        <f t="shared" si="8"/>
        <v>0</v>
      </c>
      <c r="K17" s="3219">
        <v>0</v>
      </c>
      <c r="L17" s="1287">
        <v>0</v>
      </c>
      <c r="M17" s="1287">
        <f t="shared" si="9"/>
        <v>0</v>
      </c>
      <c r="N17" s="1287">
        <f t="shared" si="10"/>
        <v>0</v>
      </c>
      <c r="O17" s="1287">
        <f t="shared" si="11"/>
        <v>0</v>
      </c>
      <c r="P17" s="1287">
        <f t="shared" si="12"/>
        <v>0</v>
      </c>
      <c r="Q17" s="1287">
        <v>0</v>
      </c>
      <c r="R17" s="1287">
        <v>0</v>
      </c>
      <c r="S17" s="1287">
        <f>+R17</f>
        <v>0</v>
      </c>
      <c r="T17" s="1287">
        <f t="shared" si="14"/>
        <v>0</v>
      </c>
      <c r="U17" s="1287">
        <f t="shared" si="15"/>
        <v>0</v>
      </c>
      <c r="V17" s="1287">
        <f t="shared" si="16"/>
        <v>0</v>
      </c>
      <c r="W17" s="1287">
        <f t="shared" si="23"/>
        <v>0</v>
      </c>
      <c r="X17" s="1287"/>
      <c r="Y17" s="1287">
        <f t="shared" si="17"/>
        <v>0</v>
      </c>
      <c r="Z17" s="1287">
        <f t="shared" si="18"/>
        <v>0</v>
      </c>
      <c r="AA17" s="1287">
        <f t="shared" si="19"/>
        <v>0</v>
      </c>
      <c r="AB17" s="1287">
        <f t="shared" si="20"/>
        <v>0</v>
      </c>
      <c r="AC17" s="1287">
        <f t="shared" si="21"/>
        <v>0</v>
      </c>
      <c r="AD17" s="1284"/>
      <c r="AE17" s="1213">
        <f t="shared" si="1"/>
        <v>0</v>
      </c>
      <c r="AF17" s="1213">
        <f t="shared" si="2"/>
        <v>0</v>
      </c>
      <c r="AG17" s="1213">
        <f t="shared" si="3"/>
        <v>0</v>
      </c>
      <c r="AH17" s="2919">
        <f t="shared" si="4"/>
        <v>0</v>
      </c>
      <c r="AI17" s="1834"/>
      <c r="AJ17" s="417">
        <f t="shared" si="22"/>
        <v>0</v>
      </c>
      <c r="AK17" s="420"/>
    </row>
    <row r="18" spans="1:37" s="416" customFormat="1" ht="15">
      <c r="A18" s="2933"/>
      <c r="B18" s="1289" t="s">
        <v>327</v>
      </c>
      <c r="C18" s="1286" t="s">
        <v>163</v>
      </c>
      <c r="D18" s="1287">
        <v>0</v>
      </c>
      <c r="E18" s="2716">
        <v>0</v>
      </c>
      <c r="F18" s="1287">
        <v>0</v>
      </c>
      <c r="G18" s="1287">
        <v>0</v>
      </c>
      <c r="H18" s="1287">
        <f t="shared" si="6"/>
        <v>0</v>
      </c>
      <c r="I18" s="1287">
        <f t="shared" si="7"/>
        <v>0</v>
      </c>
      <c r="J18" s="1287">
        <f t="shared" si="8"/>
        <v>0</v>
      </c>
      <c r="K18" s="3219">
        <v>0</v>
      </c>
      <c r="L18" s="1287">
        <v>0</v>
      </c>
      <c r="M18" s="1287">
        <v>0</v>
      </c>
      <c r="N18" s="1287">
        <f t="shared" si="10"/>
        <v>0</v>
      </c>
      <c r="O18" s="1287">
        <v>0</v>
      </c>
      <c r="P18" s="1287"/>
      <c r="Q18" s="1287">
        <v>0</v>
      </c>
      <c r="R18" s="1287">
        <v>0</v>
      </c>
      <c r="S18" s="1287">
        <v>0</v>
      </c>
      <c r="T18" s="1287">
        <f t="shared" si="14"/>
        <v>0</v>
      </c>
      <c r="U18" s="1287">
        <f t="shared" si="15"/>
        <v>0</v>
      </c>
      <c r="V18" s="1287">
        <f t="shared" si="16"/>
        <v>0</v>
      </c>
      <c r="W18" s="1287">
        <f t="shared" si="23"/>
        <v>0</v>
      </c>
      <c r="X18" s="1287"/>
      <c r="Y18" s="1287"/>
      <c r="Z18" s="1287"/>
      <c r="AA18" s="1287"/>
      <c r="AB18" s="1287"/>
      <c r="AC18" s="1287"/>
      <c r="AD18" s="1284"/>
      <c r="AE18" s="1213">
        <f t="shared" si="1"/>
        <v>0</v>
      </c>
      <c r="AF18" s="1213">
        <f t="shared" si="2"/>
        <v>0</v>
      </c>
      <c r="AG18" s="1213">
        <f t="shared" si="3"/>
        <v>0</v>
      </c>
      <c r="AH18" s="2919">
        <f t="shared" si="4"/>
        <v>0</v>
      </c>
      <c r="AI18" s="1834"/>
      <c r="AJ18" s="417">
        <f t="shared" si="22"/>
        <v>0</v>
      </c>
      <c r="AK18" s="420"/>
    </row>
    <row r="19" spans="1:37" s="424" customFormat="1" ht="15">
      <c r="A19" s="2933"/>
      <c r="B19" s="1289" t="s">
        <v>329</v>
      </c>
      <c r="C19" s="1286" t="s">
        <v>162</v>
      </c>
      <c r="D19" s="1287">
        <v>0</v>
      </c>
      <c r="E19" s="2716">
        <v>644870</v>
      </c>
      <c r="F19" s="1287">
        <v>0</v>
      </c>
      <c r="G19" s="1287">
        <f>+F19</f>
        <v>0</v>
      </c>
      <c r="H19" s="1287">
        <f t="shared" si="6"/>
        <v>0</v>
      </c>
      <c r="I19" s="1287">
        <f>+H19+166075</f>
        <v>166075</v>
      </c>
      <c r="J19" s="1287">
        <f t="shared" si="8"/>
        <v>166075</v>
      </c>
      <c r="K19" s="3219">
        <v>166075</v>
      </c>
      <c r="L19" s="1287">
        <v>0</v>
      </c>
      <c r="M19" s="1287">
        <f>+L19</f>
        <v>0</v>
      </c>
      <c r="N19" s="1287">
        <f t="shared" si="10"/>
        <v>0</v>
      </c>
      <c r="O19" s="1287">
        <f>+N19</f>
        <v>0</v>
      </c>
      <c r="P19" s="1287">
        <f>+O19</f>
        <v>0</v>
      </c>
      <c r="Q19" s="1287">
        <v>0</v>
      </c>
      <c r="R19" s="1287">
        <v>0</v>
      </c>
      <c r="S19" s="1287">
        <f>+R19</f>
        <v>0</v>
      </c>
      <c r="T19" s="1287">
        <f t="shared" si="14"/>
        <v>0</v>
      </c>
      <c r="U19" s="1287">
        <f>+T19+166075</f>
        <v>166075</v>
      </c>
      <c r="V19" s="1287">
        <f t="shared" si="16"/>
        <v>166075</v>
      </c>
      <c r="W19" s="1287">
        <f t="shared" si="23"/>
        <v>166075</v>
      </c>
      <c r="X19" s="1287"/>
      <c r="Y19" s="1287">
        <f>+X19</f>
        <v>0</v>
      </c>
      <c r="Z19" s="1287">
        <f>+Y19</f>
        <v>0</v>
      </c>
      <c r="AA19" s="1287">
        <f>+Z19</f>
        <v>0</v>
      </c>
      <c r="AB19" s="1287">
        <f>+AA19</f>
        <v>0</v>
      </c>
      <c r="AC19" s="1287">
        <f>+AB19</f>
        <v>0</v>
      </c>
      <c r="AD19" s="1284"/>
      <c r="AE19" s="1213">
        <f t="shared" si="1"/>
        <v>0</v>
      </c>
      <c r="AF19" s="1213">
        <f t="shared" si="2"/>
        <v>0</v>
      </c>
      <c r="AG19" s="1213">
        <f t="shared" si="3"/>
        <v>166075</v>
      </c>
      <c r="AH19" s="2919">
        <f t="shared" si="4"/>
        <v>0</v>
      </c>
      <c r="AI19" s="1834">
        <f>+K19/I19</f>
        <v>1</v>
      </c>
      <c r="AJ19" s="417">
        <f t="shared" si="22"/>
        <v>0</v>
      </c>
      <c r="AK19" s="420"/>
    </row>
    <row r="20" spans="1:37" s="424" customFormat="1" ht="15">
      <c r="A20" s="2934" t="s">
        <v>12</v>
      </c>
      <c r="B20" s="1282" t="s">
        <v>12</v>
      </c>
      <c r="C20" s="1283" t="s">
        <v>1278</v>
      </c>
      <c r="D20" s="1213">
        <f t="shared" ref="D20:AC20" si="24">SUM(D21:D22)</f>
        <v>0</v>
      </c>
      <c r="E20" s="2715">
        <f t="shared" si="24"/>
        <v>0</v>
      </c>
      <c r="F20" s="1213">
        <f t="shared" si="24"/>
        <v>0</v>
      </c>
      <c r="G20" s="1213">
        <f t="shared" si="24"/>
        <v>0</v>
      </c>
      <c r="H20" s="1213">
        <f t="shared" si="24"/>
        <v>0</v>
      </c>
      <c r="I20" s="1213">
        <f t="shared" si="24"/>
        <v>0</v>
      </c>
      <c r="J20" s="1213">
        <f t="shared" si="24"/>
        <v>0</v>
      </c>
      <c r="K20" s="3208">
        <f>SUM(K21:K22)</f>
        <v>0</v>
      </c>
      <c r="L20" s="1213">
        <f t="shared" si="24"/>
        <v>0</v>
      </c>
      <c r="M20" s="1213">
        <f t="shared" si="24"/>
        <v>0</v>
      </c>
      <c r="N20" s="1213">
        <f t="shared" si="24"/>
        <v>0</v>
      </c>
      <c r="O20" s="1213">
        <f t="shared" si="24"/>
        <v>0</v>
      </c>
      <c r="P20" s="1213">
        <f t="shared" si="24"/>
        <v>0</v>
      </c>
      <c r="Q20" s="1213">
        <f t="shared" si="24"/>
        <v>0</v>
      </c>
      <c r="R20" s="1213">
        <f t="shared" si="24"/>
        <v>0</v>
      </c>
      <c r="S20" s="1213">
        <f t="shared" si="24"/>
        <v>0</v>
      </c>
      <c r="T20" s="1213">
        <f t="shared" si="24"/>
        <v>0</v>
      </c>
      <c r="U20" s="1213">
        <f t="shared" si="24"/>
        <v>0</v>
      </c>
      <c r="V20" s="1213">
        <f t="shared" si="24"/>
        <v>0</v>
      </c>
      <c r="W20" s="1213">
        <f t="shared" si="24"/>
        <v>0</v>
      </c>
      <c r="X20" s="1213">
        <f t="shared" si="24"/>
        <v>0</v>
      </c>
      <c r="Y20" s="1213">
        <f t="shared" si="24"/>
        <v>0</v>
      </c>
      <c r="Z20" s="1213">
        <f t="shared" si="24"/>
        <v>0</v>
      </c>
      <c r="AA20" s="1213">
        <f t="shared" si="24"/>
        <v>0</v>
      </c>
      <c r="AB20" s="1213">
        <f t="shared" si="24"/>
        <v>0</v>
      </c>
      <c r="AC20" s="1213">
        <f t="shared" si="24"/>
        <v>0</v>
      </c>
      <c r="AD20" s="1284"/>
      <c r="AE20" s="1213">
        <f t="shared" si="1"/>
        <v>0</v>
      </c>
      <c r="AF20" s="1213">
        <f t="shared" si="2"/>
        <v>0</v>
      </c>
      <c r="AG20" s="1213">
        <f t="shared" si="3"/>
        <v>0</v>
      </c>
      <c r="AH20" s="2919">
        <f t="shared" si="4"/>
        <v>0</v>
      </c>
      <c r="AI20" s="1829"/>
      <c r="AJ20" s="417">
        <f t="shared" si="22"/>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3219">
        <v>0</v>
      </c>
      <c r="L21" s="1287">
        <v>0</v>
      </c>
      <c r="M21" s="1287">
        <f t="shared" ref="M21:P22" si="26">+L21</f>
        <v>0</v>
      </c>
      <c r="N21" s="1287">
        <f t="shared" si="26"/>
        <v>0</v>
      </c>
      <c r="O21" s="1287">
        <f t="shared" si="26"/>
        <v>0</v>
      </c>
      <c r="P21" s="1287">
        <f t="shared" si="26"/>
        <v>0</v>
      </c>
      <c r="Q21" s="1287">
        <v>0</v>
      </c>
      <c r="R21" s="1287">
        <v>0</v>
      </c>
      <c r="S21" s="1287">
        <f t="shared" ref="S21:V22" si="27">+R21</f>
        <v>0</v>
      </c>
      <c r="T21" s="1287">
        <f t="shared" si="27"/>
        <v>0</v>
      </c>
      <c r="U21" s="1287">
        <f t="shared" si="27"/>
        <v>0</v>
      </c>
      <c r="V21" s="1287">
        <f t="shared" si="27"/>
        <v>0</v>
      </c>
      <c r="W21" s="1287">
        <f>+K21</f>
        <v>0</v>
      </c>
      <c r="X21" s="1287"/>
      <c r="Y21" s="1287">
        <f t="shared" ref="Y21:AC22" si="28">+X21</f>
        <v>0</v>
      </c>
      <c r="Z21" s="1287">
        <f t="shared" si="28"/>
        <v>0</v>
      </c>
      <c r="AA21" s="1287">
        <f t="shared" si="28"/>
        <v>0</v>
      </c>
      <c r="AB21" s="1287">
        <f t="shared" si="28"/>
        <v>0</v>
      </c>
      <c r="AC21" s="1287">
        <f t="shared" si="28"/>
        <v>0</v>
      </c>
      <c r="AD21" s="1284"/>
      <c r="AE21" s="1213">
        <f t="shared" si="1"/>
        <v>0</v>
      </c>
      <c r="AF21" s="1213">
        <f t="shared" si="2"/>
        <v>0</v>
      </c>
      <c r="AG21" s="1213">
        <f t="shared" si="3"/>
        <v>0</v>
      </c>
      <c r="AH21" s="2919">
        <f t="shared" si="4"/>
        <v>0</v>
      </c>
      <c r="AI21" s="1834"/>
      <c r="AJ21" s="417">
        <f t="shared" si="22"/>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3219">
        <v>0</v>
      </c>
      <c r="L22" s="1287">
        <v>0</v>
      </c>
      <c r="M22" s="1287">
        <f t="shared" si="26"/>
        <v>0</v>
      </c>
      <c r="N22" s="1287">
        <f t="shared" si="26"/>
        <v>0</v>
      </c>
      <c r="O22" s="1287">
        <f t="shared" si="26"/>
        <v>0</v>
      </c>
      <c r="P22" s="1287">
        <f t="shared" si="26"/>
        <v>0</v>
      </c>
      <c r="Q22" s="1287">
        <v>0</v>
      </c>
      <c r="R22" s="1287">
        <v>0</v>
      </c>
      <c r="S22" s="1287">
        <f t="shared" si="27"/>
        <v>0</v>
      </c>
      <c r="T22" s="1287">
        <f t="shared" si="27"/>
        <v>0</v>
      </c>
      <c r="U22" s="1287">
        <f t="shared" si="27"/>
        <v>0</v>
      </c>
      <c r="V22" s="1287">
        <f t="shared" si="27"/>
        <v>0</v>
      </c>
      <c r="W22" s="1287">
        <f>+K22</f>
        <v>0</v>
      </c>
      <c r="X22" s="1287"/>
      <c r="Y22" s="1287">
        <f t="shared" si="28"/>
        <v>0</v>
      </c>
      <c r="Z22" s="1287">
        <f t="shared" si="28"/>
        <v>0</v>
      </c>
      <c r="AA22" s="1287">
        <f t="shared" si="28"/>
        <v>0</v>
      </c>
      <c r="AB22" s="1287">
        <f t="shared" si="28"/>
        <v>0</v>
      </c>
      <c r="AC22" s="1287">
        <f t="shared" si="28"/>
        <v>0</v>
      </c>
      <c r="AD22" s="1284"/>
      <c r="AE22" s="1213">
        <f t="shared" si="1"/>
        <v>0</v>
      </c>
      <c r="AF22" s="1213">
        <f t="shared" si="2"/>
        <v>0</v>
      </c>
      <c r="AG22" s="1213">
        <f t="shared" si="3"/>
        <v>0</v>
      </c>
      <c r="AH22" s="2919">
        <f t="shared" si="4"/>
        <v>0</v>
      </c>
      <c r="AI22" s="1834"/>
      <c r="AJ22" s="417">
        <f t="shared" si="22"/>
        <v>0</v>
      </c>
      <c r="AK22" s="420"/>
    </row>
    <row r="23" spans="1:37" s="416" customFormat="1" ht="21">
      <c r="A23" s="2934" t="s">
        <v>14</v>
      </c>
      <c r="B23" s="1282" t="s">
        <v>14</v>
      </c>
      <c r="C23" s="1283" t="s">
        <v>1279</v>
      </c>
      <c r="D23" s="1213">
        <f t="shared" ref="D23:AC23" si="29">D24+D25</f>
        <v>0</v>
      </c>
      <c r="E23" s="2715">
        <f t="shared" si="29"/>
        <v>68809</v>
      </c>
      <c r="F23" s="1213">
        <f t="shared" si="29"/>
        <v>0</v>
      </c>
      <c r="G23" s="1213">
        <f t="shared" si="29"/>
        <v>0</v>
      </c>
      <c r="H23" s="1213">
        <f t="shared" si="29"/>
        <v>0</v>
      </c>
      <c r="I23" s="1213">
        <f t="shared" si="29"/>
        <v>0</v>
      </c>
      <c r="J23" s="1213">
        <f t="shared" si="29"/>
        <v>0</v>
      </c>
      <c r="K23" s="3208">
        <f t="shared" si="29"/>
        <v>0</v>
      </c>
      <c r="L23" s="1213">
        <f t="shared" si="29"/>
        <v>0</v>
      </c>
      <c r="M23" s="1213">
        <f t="shared" si="29"/>
        <v>0</v>
      </c>
      <c r="N23" s="1213">
        <f t="shared" si="29"/>
        <v>0</v>
      </c>
      <c r="O23" s="1213">
        <f t="shared" si="29"/>
        <v>0</v>
      </c>
      <c r="P23" s="1213">
        <f t="shared" si="29"/>
        <v>0</v>
      </c>
      <c r="Q23" s="1213">
        <f t="shared" si="29"/>
        <v>0</v>
      </c>
      <c r="R23" s="1213">
        <f t="shared" si="29"/>
        <v>0</v>
      </c>
      <c r="S23" s="1213">
        <f t="shared" si="29"/>
        <v>0</v>
      </c>
      <c r="T23" s="1213">
        <f t="shared" si="29"/>
        <v>0</v>
      </c>
      <c r="U23" s="1213">
        <f t="shared" si="29"/>
        <v>0</v>
      </c>
      <c r="V23" s="1213">
        <f t="shared" si="29"/>
        <v>0</v>
      </c>
      <c r="W23" s="1213">
        <f t="shared" si="29"/>
        <v>0</v>
      </c>
      <c r="X23" s="1213">
        <f t="shared" si="29"/>
        <v>0</v>
      </c>
      <c r="Y23" s="1213">
        <f t="shared" si="29"/>
        <v>0</v>
      </c>
      <c r="Z23" s="1213">
        <f t="shared" si="29"/>
        <v>0</v>
      </c>
      <c r="AA23" s="1213">
        <f t="shared" si="29"/>
        <v>0</v>
      </c>
      <c r="AB23" s="1213">
        <f t="shared" si="29"/>
        <v>0</v>
      </c>
      <c r="AC23" s="1213">
        <f t="shared" si="29"/>
        <v>0</v>
      </c>
      <c r="AD23" s="1284"/>
      <c r="AE23" s="1213">
        <f t="shared" si="1"/>
        <v>0</v>
      </c>
      <c r="AF23" s="1213">
        <f t="shared" si="2"/>
        <v>0</v>
      </c>
      <c r="AG23" s="1213">
        <f t="shared" si="3"/>
        <v>0</v>
      </c>
      <c r="AH23" s="2919">
        <f t="shared" si="4"/>
        <v>0</v>
      </c>
      <c r="AI23" s="1829"/>
      <c r="AJ23" s="417">
        <f t="shared" si="22"/>
        <v>0</v>
      </c>
      <c r="AK23" s="412"/>
    </row>
    <row r="24" spans="1:37" s="416" customFormat="1" ht="15">
      <c r="A24" s="2934"/>
      <c r="B24" s="1289" t="s">
        <v>198</v>
      </c>
      <c r="C24" s="1284" t="s">
        <v>186</v>
      </c>
      <c r="D24" s="1213">
        <v>0</v>
      </c>
      <c r="E24" s="2715">
        <v>0</v>
      </c>
      <c r="F24" s="1213">
        <v>0</v>
      </c>
      <c r="G24" s="1213">
        <f t="shared" ref="G24:G31" si="30">+F24</f>
        <v>0</v>
      </c>
      <c r="H24" s="1213">
        <f t="shared" ref="H24:H31" si="31">+G24</f>
        <v>0</v>
      </c>
      <c r="I24" s="1213">
        <f t="shared" ref="I24:I31" si="32">+H24</f>
        <v>0</v>
      </c>
      <c r="J24" s="1291">
        <f t="shared" ref="J24:J31" si="33">+I24</f>
        <v>0</v>
      </c>
      <c r="K24" s="3219">
        <f>0</f>
        <v>0</v>
      </c>
      <c r="L24" s="1213">
        <v>0</v>
      </c>
      <c r="M24" s="1213">
        <f t="shared" ref="M24:M31" si="34">+L24</f>
        <v>0</v>
      </c>
      <c r="N24" s="1213">
        <f t="shared" ref="N24:N31" si="35">+M24</f>
        <v>0</v>
      </c>
      <c r="O24" s="1213">
        <f t="shared" ref="O24:O31" si="36">+N24</f>
        <v>0</v>
      </c>
      <c r="P24" s="1213">
        <f t="shared" ref="P24:P31" si="37">+O24</f>
        <v>0</v>
      </c>
      <c r="Q24" s="1213">
        <v>0</v>
      </c>
      <c r="R24" s="1213">
        <v>0</v>
      </c>
      <c r="S24" s="1213">
        <f t="shared" ref="S24:S31" si="38">+R24</f>
        <v>0</v>
      </c>
      <c r="T24" s="1213">
        <f t="shared" ref="T24:T31" si="39">+S24</f>
        <v>0</v>
      </c>
      <c r="U24" s="1213">
        <f t="shared" ref="U24:V27" si="40">+T24</f>
        <v>0</v>
      </c>
      <c r="V24" s="1213">
        <f t="shared" si="40"/>
        <v>0</v>
      </c>
      <c r="W24" s="1291">
        <f t="shared" ref="W24:W31" si="41">+K24</f>
        <v>0</v>
      </c>
      <c r="X24" s="1213"/>
      <c r="Y24" s="1213">
        <f t="shared" ref="Y24:Y31" si="42">+X24</f>
        <v>0</v>
      </c>
      <c r="Z24" s="1213">
        <f t="shared" ref="Z24:Z31" si="43">+Y24</f>
        <v>0</v>
      </c>
      <c r="AA24" s="1213">
        <f t="shared" ref="AA24:AA31" si="44">+Z24</f>
        <v>0</v>
      </c>
      <c r="AB24" s="1213">
        <f t="shared" ref="AB24:AB31" si="45">+AA24</f>
        <v>0</v>
      </c>
      <c r="AC24" s="1213">
        <f t="shared" ref="AC24:AC31" si="46">+AB24</f>
        <v>0</v>
      </c>
      <c r="AD24" s="1284"/>
      <c r="AE24" s="1213">
        <f t="shared" si="1"/>
        <v>0</v>
      </c>
      <c r="AF24" s="1213">
        <f t="shared" si="2"/>
        <v>0</v>
      </c>
      <c r="AG24" s="1213">
        <f t="shared" si="3"/>
        <v>0</v>
      </c>
      <c r="AH24" s="2919">
        <f t="shared" si="4"/>
        <v>0</v>
      </c>
      <c r="AI24" s="1829"/>
      <c r="AJ24" s="417">
        <f t="shared" si="22"/>
        <v>0</v>
      </c>
      <c r="AK24" s="412"/>
    </row>
    <row r="25" spans="1:37" s="424" customFormat="1" ht="15">
      <c r="A25" s="2933"/>
      <c r="B25" s="1289" t="s">
        <v>200</v>
      </c>
      <c r="C25" s="1286" t="s">
        <v>148</v>
      </c>
      <c r="D25" s="1287">
        <v>0</v>
      </c>
      <c r="E25" s="2716">
        <v>68809</v>
      </c>
      <c r="F25" s="1287">
        <v>0</v>
      </c>
      <c r="G25" s="1287">
        <f>+F25</f>
        <v>0</v>
      </c>
      <c r="H25" s="1213">
        <f t="shared" si="31"/>
        <v>0</v>
      </c>
      <c r="I25" s="1287">
        <f t="shared" si="32"/>
        <v>0</v>
      </c>
      <c r="J25" s="1291">
        <f t="shared" si="33"/>
        <v>0</v>
      </c>
      <c r="K25" s="3219">
        <v>0</v>
      </c>
      <c r="L25" s="1287">
        <v>0</v>
      </c>
      <c r="M25" s="1287">
        <f t="shared" si="34"/>
        <v>0</v>
      </c>
      <c r="N25" s="1287">
        <f t="shared" si="35"/>
        <v>0</v>
      </c>
      <c r="O25" s="1287">
        <f t="shared" si="36"/>
        <v>0</v>
      </c>
      <c r="P25" s="1287">
        <f t="shared" si="37"/>
        <v>0</v>
      </c>
      <c r="Q25" s="1287">
        <v>0</v>
      </c>
      <c r="R25" s="1287">
        <v>0</v>
      </c>
      <c r="S25" s="1287">
        <f>+R25</f>
        <v>0</v>
      </c>
      <c r="T25" s="1287">
        <f t="shared" si="39"/>
        <v>0</v>
      </c>
      <c r="U25" s="1287">
        <f t="shared" si="40"/>
        <v>0</v>
      </c>
      <c r="V25" s="1287">
        <f t="shared" si="40"/>
        <v>0</v>
      </c>
      <c r="W25" s="1291">
        <f t="shared" si="41"/>
        <v>0</v>
      </c>
      <c r="X25" s="1287"/>
      <c r="Y25" s="1287">
        <f t="shared" si="42"/>
        <v>0</v>
      </c>
      <c r="Z25" s="1287">
        <f t="shared" si="43"/>
        <v>0</v>
      </c>
      <c r="AA25" s="1287">
        <f t="shared" si="44"/>
        <v>0</v>
      </c>
      <c r="AB25" s="1287">
        <f t="shared" si="45"/>
        <v>0</v>
      </c>
      <c r="AC25" s="1287">
        <f t="shared" si="46"/>
        <v>0</v>
      </c>
      <c r="AD25" s="1284"/>
      <c r="AE25" s="1213">
        <f t="shared" si="1"/>
        <v>0</v>
      </c>
      <c r="AF25" s="1213">
        <f t="shared" si="2"/>
        <v>0</v>
      </c>
      <c r="AG25" s="1213">
        <f t="shared" si="3"/>
        <v>0</v>
      </c>
      <c r="AH25" s="2919">
        <f t="shared" si="4"/>
        <v>0</v>
      </c>
      <c r="AI25" s="1834"/>
      <c r="AJ25" s="417">
        <f t="shared" si="22"/>
        <v>0</v>
      </c>
      <c r="AK25" s="420"/>
    </row>
    <row r="26" spans="1:37" s="424" customFormat="1" ht="15">
      <c r="A26" s="2933"/>
      <c r="B26" s="1289" t="s">
        <v>202</v>
      </c>
      <c r="C26" s="1290" t="s">
        <v>1280</v>
      </c>
      <c r="D26" s="1287">
        <v>0</v>
      </c>
      <c r="E26" s="2716">
        <v>0</v>
      </c>
      <c r="F26" s="1287">
        <v>0</v>
      </c>
      <c r="G26" s="1213">
        <f t="shared" si="30"/>
        <v>0</v>
      </c>
      <c r="H26" s="1213">
        <f t="shared" si="31"/>
        <v>0</v>
      </c>
      <c r="I26" s="1287">
        <f t="shared" si="32"/>
        <v>0</v>
      </c>
      <c r="J26" s="1291">
        <f t="shared" si="33"/>
        <v>0</v>
      </c>
      <c r="K26" s="3219">
        <v>0</v>
      </c>
      <c r="L26" s="1287">
        <v>0</v>
      </c>
      <c r="M26" s="1287">
        <f t="shared" si="34"/>
        <v>0</v>
      </c>
      <c r="N26" s="1287">
        <f t="shared" si="35"/>
        <v>0</v>
      </c>
      <c r="O26" s="1287">
        <f t="shared" si="36"/>
        <v>0</v>
      </c>
      <c r="P26" s="1287">
        <f t="shared" si="37"/>
        <v>0</v>
      </c>
      <c r="Q26" s="1287">
        <v>0</v>
      </c>
      <c r="R26" s="1287">
        <v>0</v>
      </c>
      <c r="S26" s="1287">
        <f t="shared" si="38"/>
        <v>0</v>
      </c>
      <c r="T26" s="1287">
        <f t="shared" si="39"/>
        <v>0</v>
      </c>
      <c r="U26" s="1287">
        <f t="shared" si="40"/>
        <v>0</v>
      </c>
      <c r="V26" s="1287">
        <f t="shared" si="40"/>
        <v>0</v>
      </c>
      <c r="W26" s="1291">
        <f t="shared" si="41"/>
        <v>0</v>
      </c>
      <c r="X26" s="1287"/>
      <c r="Y26" s="1287">
        <f t="shared" si="42"/>
        <v>0</v>
      </c>
      <c r="Z26" s="1287">
        <f t="shared" si="43"/>
        <v>0</v>
      </c>
      <c r="AA26" s="1287">
        <f t="shared" si="44"/>
        <v>0</v>
      </c>
      <c r="AB26" s="1287">
        <f t="shared" si="45"/>
        <v>0</v>
      </c>
      <c r="AC26" s="1287">
        <f t="shared" si="46"/>
        <v>0</v>
      </c>
      <c r="AD26" s="1284"/>
      <c r="AE26" s="1213">
        <f t="shared" si="1"/>
        <v>0</v>
      </c>
      <c r="AF26" s="1213">
        <f t="shared" si="2"/>
        <v>0</v>
      </c>
      <c r="AG26" s="1213">
        <f t="shared" si="3"/>
        <v>0</v>
      </c>
      <c r="AH26" s="2919">
        <f t="shared" si="4"/>
        <v>0</v>
      </c>
      <c r="AI26" s="1834"/>
      <c r="AJ26" s="417">
        <f t="shared" si="22"/>
        <v>0</v>
      </c>
      <c r="AK26" s="420"/>
    </row>
    <row r="27" spans="1:37" s="424" customFormat="1" ht="15">
      <c r="A27" s="2934" t="s">
        <v>15</v>
      </c>
      <c r="B27" s="1282" t="s">
        <v>15</v>
      </c>
      <c r="C27" s="1292" t="s">
        <v>150</v>
      </c>
      <c r="D27" s="1293">
        <v>0</v>
      </c>
      <c r="E27" s="2718">
        <v>0</v>
      </c>
      <c r="F27" s="1293">
        <v>0</v>
      </c>
      <c r="G27" s="1293">
        <f t="shared" si="30"/>
        <v>0</v>
      </c>
      <c r="H27" s="1293">
        <f t="shared" si="31"/>
        <v>0</v>
      </c>
      <c r="I27" s="1293">
        <f t="shared" si="32"/>
        <v>0</v>
      </c>
      <c r="J27" s="1293">
        <f t="shared" si="33"/>
        <v>0</v>
      </c>
      <c r="K27" s="3219">
        <v>0</v>
      </c>
      <c r="L27" s="1293">
        <v>0</v>
      </c>
      <c r="M27" s="1293">
        <f t="shared" si="34"/>
        <v>0</v>
      </c>
      <c r="N27" s="1293">
        <f t="shared" si="35"/>
        <v>0</v>
      </c>
      <c r="O27" s="1293">
        <f t="shared" si="36"/>
        <v>0</v>
      </c>
      <c r="P27" s="1293">
        <f t="shared" si="37"/>
        <v>0</v>
      </c>
      <c r="Q27" s="1293">
        <v>0</v>
      </c>
      <c r="R27" s="1293">
        <v>0</v>
      </c>
      <c r="S27" s="1293">
        <f t="shared" si="38"/>
        <v>0</v>
      </c>
      <c r="T27" s="1293">
        <f t="shared" si="39"/>
        <v>0</v>
      </c>
      <c r="U27" s="1293">
        <f t="shared" si="40"/>
        <v>0</v>
      </c>
      <c r="V27" s="1293">
        <f t="shared" si="40"/>
        <v>0</v>
      </c>
      <c r="W27" s="1293">
        <f t="shared" si="41"/>
        <v>0</v>
      </c>
      <c r="X27" s="1293">
        <f>+V27</f>
        <v>0</v>
      </c>
      <c r="Y27" s="1293">
        <f t="shared" si="42"/>
        <v>0</v>
      </c>
      <c r="Z27" s="1293">
        <f t="shared" si="43"/>
        <v>0</v>
      </c>
      <c r="AA27" s="1293">
        <f t="shared" si="44"/>
        <v>0</v>
      </c>
      <c r="AB27" s="1293">
        <f t="shared" si="45"/>
        <v>0</v>
      </c>
      <c r="AC27" s="1293">
        <f t="shared" si="46"/>
        <v>0</v>
      </c>
      <c r="AD27" s="1284"/>
      <c r="AE27" s="1213">
        <f t="shared" si="1"/>
        <v>0</v>
      </c>
      <c r="AF27" s="1213">
        <f t="shared" si="2"/>
        <v>0</v>
      </c>
      <c r="AG27" s="1213">
        <f t="shared" si="3"/>
        <v>0</v>
      </c>
      <c r="AH27" s="2919">
        <f t="shared" si="4"/>
        <v>0</v>
      </c>
      <c r="AI27" s="1834"/>
      <c r="AJ27" s="417">
        <f t="shared" si="22"/>
        <v>0</v>
      </c>
      <c r="AK27" s="427"/>
    </row>
    <row r="28" spans="1:37" s="424" customFormat="1" ht="15">
      <c r="A28" s="2933"/>
      <c r="B28" s="1289" t="s">
        <v>212</v>
      </c>
      <c r="C28" s="1290" t="s">
        <v>1280</v>
      </c>
      <c r="D28" s="1287">
        <v>0</v>
      </c>
      <c r="E28" s="2716">
        <v>0</v>
      </c>
      <c r="F28" s="1287">
        <v>0</v>
      </c>
      <c r="G28" s="1287">
        <f t="shared" si="30"/>
        <v>0</v>
      </c>
      <c r="H28" s="1287">
        <f t="shared" si="31"/>
        <v>0</v>
      </c>
      <c r="I28" s="1287">
        <f t="shared" si="32"/>
        <v>0</v>
      </c>
      <c r="J28" s="1287">
        <f t="shared" si="33"/>
        <v>0</v>
      </c>
      <c r="K28" s="3219">
        <v>0</v>
      </c>
      <c r="L28" s="1287">
        <v>0</v>
      </c>
      <c r="M28" s="1287">
        <f t="shared" si="34"/>
        <v>0</v>
      </c>
      <c r="N28" s="1287">
        <f t="shared" si="35"/>
        <v>0</v>
      </c>
      <c r="O28" s="1287">
        <f t="shared" si="36"/>
        <v>0</v>
      </c>
      <c r="P28" s="1287">
        <f t="shared" si="37"/>
        <v>0</v>
      </c>
      <c r="Q28" s="1287">
        <v>0</v>
      </c>
      <c r="R28" s="1287">
        <f>+P28</f>
        <v>0</v>
      </c>
      <c r="S28" s="1287">
        <f t="shared" si="38"/>
        <v>0</v>
      </c>
      <c r="T28" s="1287">
        <f t="shared" si="39"/>
        <v>0</v>
      </c>
      <c r="U28" s="1287">
        <v>0</v>
      </c>
      <c r="V28" s="1287"/>
      <c r="W28" s="1287">
        <f t="shared" si="41"/>
        <v>0</v>
      </c>
      <c r="X28" s="1287"/>
      <c r="Y28" s="1287">
        <f t="shared" si="42"/>
        <v>0</v>
      </c>
      <c r="Z28" s="1287">
        <f t="shared" si="43"/>
        <v>0</v>
      </c>
      <c r="AA28" s="1287">
        <f t="shared" si="44"/>
        <v>0</v>
      </c>
      <c r="AB28" s="1287">
        <f t="shared" si="45"/>
        <v>0</v>
      </c>
      <c r="AC28" s="1287">
        <f t="shared" si="46"/>
        <v>0</v>
      </c>
      <c r="AD28" s="1284"/>
      <c r="AE28" s="1213">
        <f t="shared" si="1"/>
        <v>0</v>
      </c>
      <c r="AF28" s="1213">
        <f t="shared" si="2"/>
        <v>0</v>
      </c>
      <c r="AG28" s="1213">
        <f t="shared" si="3"/>
        <v>0</v>
      </c>
      <c r="AH28" s="2919">
        <f t="shared" si="4"/>
        <v>0</v>
      </c>
      <c r="AI28" s="1834"/>
      <c r="AJ28" s="417">
        <f t="shared" si="22"/>
        <v>0</v>
      </c>
      <c r="AK28" s="420"/>
    </row>
    <row r="29" spans="1:37" s="424" customFormat="1" ht="15">
      <c r="A29" s="2934" t="s">
        <v>17</v>
      </c>
      <c r="B29" s="1474" t="s">
        <v>17</v>
      </c>
      <c r="C29" s="1292" t="s">
        <v>153</v>
      </c>
      <c r="D29" s="1213">
        <v>0</v>
      </c>
      <c r="E29" s="2715">
        <v>0</v>
      </c>
      <c r="F29" s="1213">
        <v>0</v>
      </c>
      <c r="G29" s="1213">
        <f t="shared" si="30"/>
        <v>0</v>
      </c>
      <c r="H29" s="1213">
        <f t="shared" si="31"/>
        <v>0</v>
      </c>
      <c r="I29" s="1213">
        <f t="shared" si="32"/>
        <v>0</v>
      </c>
      <c r="J29" s="1213">
        <f t="shared" si="33"/>
        <v>0</v>
      </c>
      <c r="K29" s="3219">
        <v>0</v>
      </c>
      <c r="L29" s="1213">
        <v>0</v>
      </c>
      <c r="M29" s="1213">
        <f t="shared" si="34"/>
        <v>0</v>
      </c>
      <c r="N29" s="1213">
        <f t="shared" si="35"/>
        <v>0</v>
      </c>
      <c r="O29" s="1213">
        <f t="shared" si="36"/>
        <v>0</v>
      </c>
      <c r="P29" s="1213">
        <f t="shared" si="37"/>
        <v>0</v>
      </c>
      <c r="Q29" s="1213">
        <v>0</v>
      </c>
      <c r="R29" s="1213">
        <v>0</v>
      </c>
      <c r="S29" s="1213">
        <f t="shared" si="38"/>
        <v>0</v>
      </c>
      <c r="T29" s="1213">
        <f t="shared" si="39"/>
        <v>0</v>
      </c>
      <c r="U29" s="1213">
        <f t="shared" ref="U29:V31" si="47">+T29</f>
        <v>0</v>
      </c>
      <c r="V29" s="1213">
        <f t="shared" si="47"/>
        <v>0</v>
      </c>
      <c r="W29" s="1213">
        <f t="shared" si="41"/>
        <v>0</v>
      </c>
      <c r="X29" s="1213"/>
      <c r="Y29" s="1213">
        <f t="shared" si="42"/>
        <v>0</v>
      </c>
      <c r="Z29" s="1213">
        <f t="shared" si="43"/>
        <v>0</v>
      </c>
      <c r="AA29" s="1213">
        <f t="shared" si="44"/>
        <v>0</v>
      </c>
      <c r="AB29" s="1213">
        <f t="shared" si="45"/>
        <v>0</v>
      </c>
      <c r="AC29" s="1213">
        <f t="shared" si="46"/>
        <v>0</v>
      </c>
      <c r="AD29" s="1284"/>
      <c r="AE29" s="1213">
        <f t="shared" si="1"/>
        <v>0</v>
      </c>
      <c r="AF29" s="1213">
        <f t="shared" si="2"/>
        <v>0</v>
      </c>
      <c r="AG29" s="1213">
        <f t="shared" si="3"/>
        <v>0</v>
      </c>
      <c r="AH29" s="2919">
        <f t="shared" si="4"/>
        <v>0</v>
      </c>
      <c r="AI29" s="1829"/>
      <c r="AJ29" s="417">
        <f t="shared" si="22"/>
        <v>0</v>
      </c>
      <c r="AK29" s="412"/>
    </row>
    <row r="30" spans="1:37" s="416" customFormat="1" ht="15">
      <c r="A30" s="2934" t="s">
        <v>19</v>
      </c>
      <c r="B30" s="1282" t="s">
        <v>19</v>
      </c>
      <c r="C30" s="1292" t="s">
        <v>1281</v>
      </c>
      <c r="D30" s="1293">
        <v>0</v>
      </c>
      <c r="E30" s="2718">
        <v>0</v>
      </c>
      <c r="F30" s="1293">
        <v>0</v>
      </c>
      <c r="G30" s="1293">
        <f t="shared" si="30"/>
        <v>0</v>
      </c>
      <c r="H30" s="1293">
        <f t="shared" si="31"/>
        <v>0</v>
      </c>
      <c r="I30" s="1293">
        <f t="shared" si="32"/>
        <v>0</v>
      </c>
      <c r="J30" s="1293">
        <f t="shared" si="33"/>
        <v>0</v>
      </c>
      <c r="K30" s="3219">
        <v>0</v>
      </c>
      <c r="L30" s="1293">
        <v>0</v>
      </c>
      <c r="M30" s="1293">
        <f t="shared" si="34"/>
        <v>0</v>
      </c>
      <c r="N30" s="1293">
        <f t="shared" si="35"/>
        <v>0</v>
      </c>
      <c r="O30" s="1293">
        <f t="shared" si="36"/>
        <v>0</v>
      </c>
      <c r="P30" s="1293">
        <f t="shared" si="37"/>
        <v>0</v>
      </c>
      <c r="Q30" s="1293">
        <v>0</v>
      </c>
      <c r="R30" s="1293">
        <v>0</v>
      </c>
      <c r="S30" s="1293">
        <f t="shared" si="38"/>
        <v>0</v>
      </c>
      <c r="T30" s="1293">
        <f t="shared" si="39"/>
        <v>0</v>
      </c>
      <c r="U30" s="1293">
        <f t="shared" si="47"/>
        <v>0</v>
      </c>
      <c r="V30" s="1293">
        <f t="shared" si="47"/>
        <v>0</v>
      </c>
      <c r="W30" s="1293">
        <f t="shared" si="41"/>
        <v>0</v>
      </c>
      <c r="X30" s="1293"/>
      <c r="Y30" s="1293">
        <f t="shared" si="42"/>
        <v>0</v>
      </c>
      <c r="Z30" s="1293">
        <f t="shared" si="43"/>
        <v>0</v>
      </c>
      <c r="AA30" s="1293">
        <f t="shared" si="44"/>
        <v>0</v>
      </c>
      <c r="AB30" s="1293">
        <f t="shared" si="45"/>
        <v>0</v>
      </c>
      <c r="AC30" s="1293">
        <f t="shared" si="46"/>
        <v>0</v>
      </c>
      <c r="AD30" s="1284"/>
      <c r="AE30" s="1213">
        <f t="shared" si="1"/>
        <v>0</v>
      </c>
      <c r="AF30" s="1213">
        <f t="shared" si="2"/>
        <v>0</v>
      </c>
      <c r="AG30" s="1213">
        <f t="shared" si="3"/>
        <v>0</v>
      </c>
      <c r="AH30" s="2919">
        <f t="shared" si="4"/>
        <v>0</v>
      </c>
      <c r="AI30" s="1834"/>
      <c r="AJ30" s="417">
        <f t="shared" si="22"/>
        <v>0</v>
      </c>
      <c r="AK30" s="427"/>
    </row>
    <row r="31" spans="1:37" s="416" customFormat="1" ht="15">
      <c r="A31" s="2934" t="s">
        <v>21</v>
      </c>
      <c r="B31" s="1282" t="s">
        <v>21</v>
      </c>
      <c r="C31" s="1292" t="s">
        <v>393</v>
      </c>
      <c r="D31" s="1227">
        <v>0</v>
      </c>
      <c r="E31" s="2719">
        <v>0</v>
      </c>
      <c r="F31" s="1227">
        <v>0</v>
      </c>
      <c r="G31" s="1227">
        <f t="shared" si="30"/>
        <v>0</v>
      </c>
      <c r="H31" s="1227">
        <f t="shared" si="31"/>
        <v>0</v>
      </c>
      <c r="I31" s="1227">
        <f t="shared" si="32"/>
        <v>0</v>
      </c>
      <c r="J31" s="1227">
        <f t="shared" si="33"/>
        <v>0</v>
      </c>
      <c r="K31" s="3219">
        <v>0</v>
      </c>
      <c r="L31" s="1227">
        <v>0</v>
      </c>
      <c r="M31" s="1227">
        <f t="shared" si="34"/>
        <v>0</v>
      </c>
      <c r="N31" s="1227">
        <f t="shared" si="35"/>
        <v>0</v>
      </c>
      <c r="O31" s="1227">
        <f t="shared" si="36"/>
        <v>0</v>
      </c>
      <c r="P31" s="1227">
        <f t="shared" si="37"/>
        <v>0</v>
      </c>
      <c r="Q31" s="1227">
        <v>0</v>
      </c>
      <c r="R31" s="1227">
        <v>0</v>
      </c>
      <c r="S31" s="1227">
        <f t="shared" si="38"/>
        <v>0</v>
      </c>
      <c r="T31" s="1227">
        <f t="shared" si="39"/>
        <v>0</v>
      </c>
      <c r="U31" s="1227">
        <f t="shared" si="47"/>
        <v>0</v>
      </c>
      <c r="V31" s="1227">
        <f t="shared" si="47"/>
        <v>0</v>
      </c>
      <c r="W31" s="1227">
        <f t="shared" si="41"/>
        <v>0</v>
      </c>
      <c r="X31" s="1227"/>
      <c r="Y31" s="1227">
        <f t="shared" si="42"/>
        <v>0</v>
      </c>
      <c r="Z31" s="1227">
        <f t="shared" si="43"/>
        <v>0</v>
      </c>
      <c r="AA31" s="1227">
        <f t="shared" si="44"/>
        <v>0</v>
      </c>
      <c r="AB31" s="1227">
        <f t="shared" si="45"/>
        <v>0</v>
      </c>
      <c r="AC31" s="1227">
        <f t="shared" si="46"/>
        <v>0</v>
      </c>
      <c r="AD31" s="1284"/>
      <c r="AE31" s="1213">
        <f t="shared" si="1"/>
        <v>0</v>
      </c>
      <c r="AF31" s="1213">
        <f t="shared" si="2"/>
        <v>0</v>
      </c>
      <c r="AG31" s="1213">
        <f t="shared" si="3"/>
        <v>0</v>
      </c>
      <c r="AH31" s="2919">
        <f t="shared" si="4"/>
        <v>0</v>
      </c>
      <c r="AI31" s="1834"/>
      <c r="AJ31" s="417">
        <f t="shared" si="22"/>
        <v>0</v>
      </c>
      <c r="AK31" s="430"/>
    </row>
    <row r="32" spans="1:37" s="416" customFormat="1" ht="15">
      <c r="A32" s="2934" t="s">
        <v>23</v>
      </c>
      <c r="B32" s="1474" t="s">
        <v>23</v>
      </c>
      <c r="C32" s="1292" t="s">
        <v>1282</v>
      </c>
      <c r="D32" s="1213">
        <f t="shared" ref="D32:AC32" si="48">+D8+D20+D23+D27+D29+D30+D31</f>
        <v>13995573</v>
      </c>
      <c r="E32" s="2715">
        <f>+E8+E20+E23+E27+E29+E30+E31</f>
        <v>23464311</v>
      </c>
      <c r="F32" s="1213">
        <f t="shared" si="48"/>
        <v>19876952</v>
      </c>
      <c r="G32" s="1213">
        <f t="shared" si="48"/>
        <v>20477741</v>
      </c>
      <c r="H32" s="1213">
        <f t="shared" si="48"/>
        <v>22274482</v>
      </c>
      <c r="I32" s="1213">
        <f t="shared" si="48"/>
        <v>22691595</v>
      </c>
      <c r="J32" s="1213">
        <f t="shared" si="48"/>
        <v>22691595</v>
      </c>
      <c r="K32" s="3208">
        <f t="shared" si="48"/>
        <v>22691595</v>
      </c>
      <c r="L32" s="1213">
        <f t="shared" si="48"/>
        <v>0</v>
      </c>
      <c r="M32" s="1213">
        <f t="shared" si="48"/>
        <v>0</v>
      </c>
      <c r="N32" s="1213">
        <f t="shared" si="48"/>
        <v>0</v>
      </c>
      <c r="O32" s="1213">
        <f t="shared" si="48"/>
        <v>0</v>
      </c>
      <c r="P32" s="1213">
        <f t="shared" si="48"/>
        <v>0</v>
      </c>
      <c r="Q32" s="1213">
        <f t="shared" si="48"/>
        <v>0</v>
      </c>
      <c r="R32" s="1213">
        <f t="shared" si="48"/>
        <v>19876952</v>
      </c>
      <c r="S32" s="1213">
        <f t="shared" si="48"/>
        <v>20477741</v>
      </c>
      <c r="T32" s="1213">
        <f t="shared" si="48"/>
        <v>22274482</v>
      </c>
      <c r="U32" s="1213">
        <f t="shared" si="48"/>
        <v>22691595</v>
      </c>
      <c r="V32" s="1213">
        <f t="shared" si="48"/>
        <v>22691595</v>
      </c>
      <c r="W32" s="1213">
        <f t="shared" si="48"/>
        <v>22691595</v>
      </c>
      <c r="X32" s="1213">
        <f t="shared" si="48"/>
        <v>0</v>
      </c>
      <c r="Y32" s="1213">
        <f t="shared" si="48"/>
        <v>0</v>
      </c>
      <c r="Z32" s="1213">
        <f t="shared" si="48"/>
        <v>0</v>
      </c>
      <c r="AA32" s="1213">
        <f t="shared" si="48"/>
        <v>0</v>
      </c>
      <c r="AB32" s="1213">
        <f t="shared" si="48"/>
        <v>0</v>
      </c>
      <c r="AC32" s="1213">
        <f t="shared" si="48"/>
        <v>0</v>
      </c>
      <c r="AD32" s="1283"/>
      <c r="AE32" s="1213">
        <f t="shared" si="1"/>
        <v>600789</v>
      </c>
      <c r="AF32" s="1213">
        <f t="shared" si="2"/>
        <v>1796741</v>
      </c>
      <c r="AG32" s="1213">
        <f t="shared" si="3"/>
        <v>417113</v>
      </c>
      <c r="AH32" s="2919">
        <f t="shared" si="4"/>
        <v>0</v>
      </c>
      <c r="AI32" s="1829">
        <f>+K32/I32</f>
        <v>1</v>
      </c>
      <c r="AJ32" s="417">
        <f t="shared" si="22"/>
        <v>5881379</v>
      </c>
      <c r="AK32" s="412"/>
    </row>
    <row r="33" spans="1:38" s="424" customFormat="1" ht="15">
      <c r="A33" s="2975" t="s">
        <v>25</v>
      </c>
      <c r="B33" s="1282" t="s">
        <v>25</v>
      </c>
      <c r="C33" s="1292" t="s">
        <v>1305</v>
      </c>
      <c r="D33" s="1213">
        <f t="shared" ref="D33:AC33" si="49">SUM(D34:D36)</f>
        <v>513146071</v>
      </c>
      <c r="E33" s="2715">
        <f>SUM(E34:E36)</f>
        <v>542931246</v>
      </c>
      <c r="F33" s="1213">
        <f t="shared" si="49"/>
        <v>609044407</v>
      </c>
      <c r="G33" s="1213">
        <f t="shared" si="49"/>
        <v>612985182</v>
      </c>
      <c r="H33" s="1213">
        <f t="shared" si="49"/>
        <v>613819432</v>
      </c>
      <c r="I33" s="1213">
        <f t="shared" si="49"/>
        <v>618202552</v>
      </c>
      <c r="J33" s="1213">
        <f t="shared" si="49"/>
        <v>618202552</v>
      </c>
      <c r="K33" s="3208">
        <f>SUM(K34:K36)</f>
        <v>608600127</v>
      </c>
      <c r="L33" s="1213">
        <f t="shared" si="49"/>
        <v>0</v>
      </c>
      <c r="M33" s="1213">
        <f t="shared" si="49"/>
        <v>0</v>
      </c>
      <c r="N33" s="1213">
        <f t="shared" si="49"/>
        <v>0</v>
      </c>
      <c r="O33" s="1213">
        <f t="shared" si="49"/>
        <v>0</v>
      </c>
      <c r="P33" s="1213">
        <f t="shared" si="49"/>
        <v>0</v>
      </c>
      <c r="Q33" s="1213">
        <f t="shared" si="49"/>
        <v>0</v>
      </c>
      <c r="R33" s="1213">
        <f t="shared" si="49"/>
        <v>609044407</v>
      </c>
      <c r="S33" s="1213">
        <f t="shared" si="49"/>
        <v>612985182</v>
      </c>
      <c r="T33" s="1213">
        <f t="shared" si="49"/>
        <v>613819432</v>
      </c>
      <c r="U33" s="1213">
        <f t="shared" si="49"/>
        <v>618202552</v>
      </c>
      <c r="V33" s="1213">
        <f t="shared" si="49"/>
        <v>618202552</v>
      </c>
      <c r="W33" s="1213">
        <f t="shared" si="49"/>
        <v>608600127</v>
      </c>
      <c r="X33" s="1213">
        <f t="shared" si="49"/>
        <v>0</v>
      </c>
      <c r="Y33" s="1213">
        <f t="shared" si="49"/>
        <v>0</v>
      </c>
      <c r="Z33" s="1213">
        <f t="shared" si="49"/>
        <v>0</v>
      </c>
      <c r="AA33" s="1213">
        <f t="shared" si="49"/>
        <v>0</v>
      </c>
      <c r="AB33" s="1213">
        <f t="shared" si="49"/>
        <v>0</v>
      </c>
      <c r="AC33" s="1213">
        <f t="shared" si="49"/>
        <v>0</v>
      </c>
      <c r="AD33" s="1284"/>
      <c r="AE33" s="1213">
        <f t="shared" si="1"/>
        <v>3940775</v>
      </c>
      <c r="AF33" s="1213">
        <f t="shared" si="2"/>
        <v>834250</v>
      </c>
      <c r="AG33" s="1213">
        <f t="shared" si="3"/>
        <v>4383120</v>
      </c>
      <c r="AH33" s="2919">
        <f t="shared" si="4"/>
        <v>0</v>
      </c>
      <c r="AI33" s="1829">
        <f>+K33/I33</f>
        <v>0.98446718641174424</v>
      </c>
      <c r="AJ33" s="417">
        <f t="shared" si="22"/>
        <v>95898336</v>
      </c>
      <c r="AK33" s="412"/>
    </row>
    <row r="34" spans="1:38" s="424" customFormat="1" ht="15">
      <c r="A34" s="2975"/>
      <c r="B34" s="1477" t="s">
        <v>1284</v>
      </c>
      <c r="C34" s="1286" t="s">
        <v>1285</v>
      </c>
      <c r="D34" s="1291">
        <v>0</v>
      </c>
      <c r="E34" s="2717">
        <v>17249425</v>
      </c>
      <c r="F34" s="1291">
        <v>0</v>
      </c>
      <c r="G34" s="1227">
        <f>+F34+1434777</f>
        <v>1434777</v>
      </c>
      <c r="H34" s="1227">
        <f>+G34</f>
        <v>1434777</v>
      </c>
      <c r="I34" s="1227">
        <f t="shared" ref="G34:J36" si="50">+H34</f>
        <v>1434777</v>
      </c>
      <c r="J34" s="1227">
        <f t="shared" si="50"/>
        <v>1434777</v>
      </c>
      <c r="K34" s="3220">
        <v>1434777</v>
      </c>
      <c r="L34" s="1291">
        <v>0</v>
      </c>
      <c r="M34" s="1291">
        <f t="shared" ref="M34:P36" si="51">+L34</f>
        <v>0</v>
      </c>
      <c r="N34" s="1291">
        <f t="shared" si="51"/>
        <v>0</v>
      </c>
      <c r="O34" s="1291">
        <f t="shared" si="51"/>
        <v>0</v>
      </c>
      <c r="P34" s="1291">
        <f t="shared" si="51"/>
        <v>0</v>
      </c>
      <c r="Q34" s="1291">
        <v>0</v>
      </c>
      <c r="R34" s="1291">
        <v>0</v>
      </c>
      <c r="S34" s="1227">
        <f>+R34+1434777</f>
        <v>1434777</v>
      </c>
      <c r="T34" s="1227">
        <f t="shared" ref="T34:V36" si="52">+S34</f>
        <v>1434777</v>
      </c>
      <c r="U34" s="1227">
        <f t="shared" si="52"/>
        <v>1434777</v>
      </c>
      <c r="V34" s="1227">
        <f t="shared" si="52"/>
        <v>1434777</v>
      </c>
      <c r="W34" s="1291">
        <f>+K34</f>
        <v>1434777</v>
      </c>
      <c r="X34" s="1213"/>
      <c r="Y34" s="1213">
        <f t="shared" ref="Y34:AC36" si="53">+X34</f>
        <v>0</v>
      </c>
      <c r="Z34" s="1213">
        <f t="shared" si="53"/>
        <v>0</v>
      </c>
      <c r="AA34" s="1213">
        <f t="shared" si="53"/>
        <v>0</v>
      </c>
      <c r="AB34" s="1213">
        <f t="shared" si="53"/>
        <v>0</v>
      </c>
      <c r="AC34" s="1213">
        <f t="shared" si="53"/>
        <v>0</v>
      </c>
      <c r="AD34" s="2947"/>
      <c r="AE34" s="1213">
        <f t="shared" si="1"/>
        <v>1434777</v>
      </c>
      <c r="AF34" s="1213">
        <f t="shared" si="2"/>
        <v>0</v>
      </c>
      <c r="AG34" s="1213">
        <f t="shared" si="3"/>
        <v>0</v>
      </c>
      <c r="AH34" s="2919">
        <f t="shared" si="4"/>
        <v>0</v>
      </c>
      <c r="AI34" s="1834">
        <f>+K34/I34</f>
        <v>1</v>
      </c>
      <c r="AJ34" s="417">
        <f t="shared" si="22"/>
        <v>0</v>
      </c>
      <c r="AK34" s="548"/>
    </row>
    <row r="35" spans="1:38" s="424" customFormat="1" ht="15">
      <c r="A35" s="2933"/>
      <c r="B35" s="1477" t="s">
        <v>1286</v>
      </c>
      <c r="C35" s="1286" t="s">
        <v>1287</v>
      </c>
      <c r="D35" s="1227">
        <v>0</v>
      </c>
      <c r="E35" s="2719">
        <v>0</v>
      </c>
      <c r="F35" s="1227">
        <v>0</v>
      </c>
      <c r="G35" s="1227">
        <f t="shared" si="50"/>
        <v>0</v>
      </c>
      <c r="H35" s="1227">
        <f t="shared" si="50"/>
        <v>0</v>
      </c>
      <c r="I35" s="1227">
        <f t="shared" si="50"/>
        <v>0</v>
      </c>
      <c r="J35" s="1227">
        <f t="shared" si="50"/>
        <v>0</v>
      </c>
      <c r="K35" s="3209">
        <v>0</v>
      </c>
      <c r="L35" s="1227">
        <v>0</v>
      </c>
      <c r="M35" s="1227">
        <f t="shared" si="51"/>
        <v>0</v>
      </c>
      <c r="N35" s="1227">
        <f t="shared" si="51"/>
        <v>0</v>
      </c>
      <c r="O35" s="1227">
        <f t="shared" si="51"/>
        <v>0</v>
      </c>
      <c r="P35" s="1227">
        <f t="shared" si="51"/>
        <v>0</v>
      </c>
      <c r="Q35" s="1227">
        <v>0</v>
      </c>
      <c r="R35" s="1227">
        <v>0</v>
      </c>
      <c r="S35" s="1227">
        <f>+R35</f>
        <v>0</v>
      </c>
      <c r="T35" s="1227">
        <f t="shared" si="52"/>
        <v>0</v>
      </c>
      <c r="U35" s="1227">
        <f t="shared" si="52"/>
        <v>0</v>
      </c>
      <c r="V35" s="1227">
        <f t="shared" si="52"/>
        <v>0</v>
      </c>
      <c r="W35" s="1227">
        <f>+K35</f>
        <v>0</v>
      </c>
      <c r="X35" s="1227"/>
      <c r="Y35" s="1227">
        <f t="shared" si="53"/>
        <v>0</v>
      </c>
      <c r="Z35" s="1227">
        <f t="shared" si="53"/>
        <v>0</v>
      </c>
      <c r="AA35" s="1227">
        <f t="shared" si="53"/>
        <v>0</v>
      </c>
      <c r="AB35" s="1227">
        <f t="shared" si="53"/>
        <v>0</v>
      </c>
      <c r="AC35" s="1227">
        <f t="shared" si="53"/>
        <v>0</v>
      </c>
      <c r="AD35" s="1284"/>
      <c r="AE35" s="1213">
        <f t="shared" si="1"/>
        <v>0</v>
      </c>
      <c r="AF35" s="1213">
        <f t="shared" si="2"/>
        <v>0</v>
      </c>
      <c r="AG35" s="1213">
        <f t="shared" si="3"/>
        <v>0</v>
      </c>
      <c r="AH35" s="2919">
        <f t="shared" si="4"/>
        <v>0</v>
      </c>
      <c r="AI35" s="1834"/>
      <c r="AJ35" s="417">
        <f t="shared" si="22"/>
        <v>0</v>
      </c>
      <c r="AK35" s="430"/>
    </row>
    <row r="36" spans="1:38" s="424" customFormat="1" ht="15">
      <c r="A36" s="2976"/>
      <c r="B36" s="1477" t="s">
        <v>1288</v>
      </c>
      <c r="C36" s="1286" t="s">
        <v>1289</v>
      </c>
      <c r="D36" s="1227">
        <f>504527357+4039+8614675</f>
        <v>513146071</v>
      </c>
      <c r="E36" s="2719">
        <v>525681821</v>
      </c>
      <c r="F36" s="1227">
        <v>609044407</v>
      </c>
      <c r="G36" s="1227">
        <f>+F36+1600000+175000+293800+437198</f>
        <v>611550405</v>
      </c>
      <c r="H36" s="1227">
        <f>+G36+9000*12+237300+488950</f>
        <v>612384655</v>
      </c>
      <c r="I36" s="1227">
        <f>+H36+1241171+237300+2904649</f>
        <v>616767775</v>
      </c>
      <c r="J36" s="1227">
        <f t="shared" si="50"/>
        <v>616767775</v>
      </c>
      <c r="K36" s="3209">
        <v>607165350</v>
      </c>
      <c r="L36" s="1227">
        <v>0</v>
      </c>
      <c r="M36" s="1227">
        <f t="shared" si="51"/>
        <v>0</v>
      </c>
      <c r="N36" s="1227">
        <f t="shared" si="51"/>
        <v>0</v>
      </c>
      <c r="O36" s="1227">
        <f t="shared" si="51"/>
        <v>0</v>
      </c>
      <c r="P36" s="1227">
        <f t="shared" si="51"/>
        <v>0</v>
      </c>
      <c r="Q36" s="1227">
        <v>0</v>
      </c>
      <c r="R36" s="1227">
        <f>+F36</f>
        <v>609044407</v>
      </c>
      <c r="S36" s="1227">
        <f>+R36+1600000+175000+293800+437198</f>
        <v>611550405</v>
      </c>
      <c r="T36" s="1227">
        <f>+S36+9000*12+237300+488950</f>
        <v>612384655</v>
      </c>
      <c r="U36" s="1227">
        <f>+T36+1241171+237300+2904649</f>
        <v>616767775</v>
      </c>
      <c r="V36" s="1227">
        <f t="shared" si="52"/>
        <v>616767775</v>
      </c>
      <c r="W36" s="1227">
        <f>+K36</f>
        <v>607165350</v>
      </c>
      <c r="X36" s="1227"/>
      <c r="Y36" s="1227">
        <f t="shared" si="53"/>
        <v>0</v>
      </c>
      <c r="Z36" s="1227">
        <f t="shared" si="53"/>
        <v>0</v>
      </c>
      <c r="AA36" s="1227">
        <f t="shared" si="53"/>
        <v>0</v>
      </c>
      <c r="AB36" s="1227">
        <f t="shared" si="53"/>
        <v>0</v>
      </c>
      <c r="AC36" s="1227">
        <f t="shared" si="53"/>
        <v>0</v>
      </c>
      <c r="AD36" s="1284"/>
      <c r="AE36" s="1213">
        <f t="shared" si="1"/>
        <v>2505998</v>
      </c>
      <c r="AF36" s="1213">
        <f t="shared" si="2"/>
        <v>834250</v>
      </c>
      <c r="AG36" s="1213">
        <f t="shared" si="3"/>
        <v>4383120</v>
      </c>
      <c r="AH36" s="2919">
        <f t="shared" si="4"/>
        <v>0</v>
      </c>
      <c r="AI36" s="1834">
        <f>+K36/I36</f>
        <v>0.98443105267618758</v>
      </c>
      <c r="AJ36" s="417">
        <f t="shared" si="22"/>
        <v>95898336</v>
      </c>
      <c r="AK36" s="430"/>
    </row>
    <row r="37" spans="1:38" s="405" customFormat="1" ht="15.75">
      <c r="A37" s="2975" t="s">
        <v>27</v>
      </c>
      <c r="B37" s="1475" t="s">
        <v>27</v>
      </c>
      <c r="C37" s="1297" t="s">
        <v>1290</v>
      </c>
      <c r="D37" s="1298">
        <f t="shared" ref="D37:AC37" si="54">+D32+D33</f>
        <v>527141644</v>
      </c>
      <c r="E37" s="2720">
        <f t="shared" si="54"/>
        <v>566395557</v>
      </c>
      <c r="F37" s="1298">
        <f t="shared" si="54"/>
        <v>628921359</v>
      </c>
      <c r="G37" s="1298">
        <f t="shared" si="54"/>
        <v>633462923</v>
      </c>
      <c r="H37" s="1298">
        <f t="shared" si="54"/>
        <v>636093914</v>
      </c>
      <c r="I37" s="1298">
        <f t="shared" si="54"/>
        <v>640894147</v>
      </c>
      <c r="J37" s="1298">
        <f t="shared" si="54"/>
        <v>640894147</v>
      </c>
      <c r="K37" s="3210">
        <f t="shared" si="54"/>
        <v>631291722</v>
      </c>
      <c r="L37" s="1298">
        <f t="shared" si="54"/>
        <v>0</v>
      </c>
      <c r="M37" s="1298">
        <f t="shared" si="54"/>
        <v>0</v>
      </c>
      <c r="N37" s="1298">
        <f t="shared" si="54"/>
        <v>0</v>
      </c>
      <c r="O37" s="1298">
        <f t="shared" si="54"/>
        <v>0</v>
      </c>
      <c r="P37" s="1298">
        <f t="shared" si="54"/>
        <v>0</v>
      </c>
      <c r="Q37" s="1298">
        <f t="shared" si="54"/>
        <v>0</v>
      </c>
      <c r="R37" s="1298">
        <f t="shared" si="54"/>
        <v>628921359</v>
      </c>
      <c r="S37" s="1298">
        <f t="shared" si="54"/>
        <v>633462923</v>
      </c>
      <c r="T37" s="1298">
        <f t="shared" si="54"/>
        <v>636093914</v>
      </c>
      <c r="U37" s="1298">
        <f t="shared" si="54"/>
        <v>640894147</v>
      </c>
      <c r="V37" s="1298">
        <f t="shared" si="54"/>
        <v>640894147</v>
      </c>
      <c r="W37" s="1298">
        <f t="shared" si="54"/>
        <v>631291722</v>
      </c>
      <c r="X37" s="1298">
        <f t="shared" si="54"/>
        <v>0</v>
      </c>
      <c r="Y37" s="1298">
        <f t="shared" si="54"/>
        <v>0</v>
      </c>
      <c r="Z37" s="1298">
        <f t="shared" si="54"/>
        <v>0</v>
      </c>
      <c r="AA37" s="1298">
        <f t="shared" si="54"/>
        <v>0</v>
      </c>
      <c r="AB37" s="1298">
        <f t="shared" si="54"/>
        <v>0</v>
      </c>
      <c r="AC37" s="1298">
        <f t="shared" si="54"/>
        <v>0</v>
      </c>
      <c r="AD37" s="1284"/>
      <c r="AE37" s="1213">
        <f t="shared" si="1"/>
        <v>4541564</v>
      </c>
      <c r="AF37" s="1213">
        <f t="shared" si="2"/>
        <v>2630991</v>
      </c>
      <c r="AG37" s="1213">
        <f t="shared" si="3"/>
        <v>4800233</v>
      </c>
      <c r="AH37" s="2919">
        <f t="shared" si="4"/>
        <v>0</v>
      </c>
      <c r="AI37" s="1829">
        <f>+K37/I37</f>
        <v>0.98501714355646941</v>
      </c>
      <c r="AJ37" s="417">
        <f t="shared" si="22"/>
        <v>101779715</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58"/>
      <c r="AJ38" s="417"/>
      <c r="AK38" s="436"/>
    </row>
    <row r="39" spans="1:38" ht="15">
      <c r="A39" s="2932"/>
      <c r="B39" s="1285"/>
      <c r="C39" s="1548" t="str">
        <f t="shared" ref="C39:T40" si="55">+C4</f>
        <v>A</v>
      </c>
      <c r="D39" s="1549" t="str">
        <f t="shared" si="55"/>
        <v>B</v>
      </c>
      <c r="E39" s="2960" t="str">
        <f t="shared" si="55"/>
        <v>B</v>
      </c>
      <c r="F39" s="1345" t="str">
        <f t="shared" si="55"/>
        <v>B</v>
      </c>
      <c r="G39" s="1345" t="str">
        <f t="shared" si="55"/>
        <v>D</v>
      </c>
      <c r="H39" s="1345" t="str">
        <f t="shared" si="55"/>
        <v>E</v>
      </c>
      <c r="I39" s="1345" t="str">
        <f t="shared" si="55"/>
        <v>C</v>
      </c>
      <c r="J39" s="1345" t="str">
        <f t="shared" si="55"/>
        <v>F</v>
      </c>
      <c r="K39" s="1345" t="str">
        <f t="shared" si="55"/>
        <v>D</v>
      </c>
      <c r="L39" s="1345" t="str">
        <f t="shared" si="55"/>
        <v>E</v>
      </c>
      <c r="M39" s="1345" t="str">
        <f t="shared" si="55"/>
        <v>F</v>
      </c>
      <c r="N39" s="1345" t="str">
        <f t="shared" si="55"/>
        <v>F</v>
      </c>
      <c r="O39" s="1345" t="str">
        <f t="shared" si="55"/>
        <v>E</v>
      </c>
      <c r="P39" s="1345">
        <f t="shared" si="55"/>
        <v>0</v>
      </c>
      <c r="Q39" s="1345" t="str">
        <f t="shared" si="55"/>
        <v>F</v>
      </c>
      <c r="R39" s="1345" t="str">
        <f t="shared" si="55"/>
        <v>E</v>
      </c>
      <c r="S39" s="1345" t="str">
        <f t="shared" si="55"/>
        <v>E</v>
      </c>
      <c r="T39" s="1345" t="str">
        <f t="shared" si="55"/>
        <v>G</v>
      </c>
      <c r="U39" s="1345" t="str">
        <f>+U4</f>
        <v>G</v>
      </c>
      <c r="V39" s="1345">
        <f>+V4</f>
        <v>0</v>
      </c>
      <c r="W39" s="1345" t="str">
        <f>+W4</f>
        <v>H</v>
      </c>
      <c r="X39" s="2961"/>
      <c r="Y39" s="2961"/>
      <c r="Z39" s="2961"/>
      <c r="AA39" s="2961"/>
      <c r="AB39" s="2961"/>
      <c r="AC39" s="2961"/>
      <c r="AD39" s="2962"/>
      <c r="AE39" s="1213"/>
      <c r="AF39" s="1345" t="str">
        <f>+AF4</f>
        <v>H</v>
      </c>
      <c r="AG39" s="1301" t="str">
        <f>+AG4</f>
        <v>I</v>
      </c>
      <c r="AH39" s="1551"/>
      <c r="AI39" s="1845" t="str">
        <f>+AI4</f>
        <v>I</v>
      </c>
      <c r="AJ39" s="417"/>
      <c r="AK39" s="1549"/>
      <c r="AL39" s="439"/>
    </row>
    <row r="40" spans="1:38" ht="73.5">
      <c r="A40" s="2933"/>
      <c r="B40" s="1278" t="s">
        <v>6</v>
      </c>
      <c r="C40" s="1276" t="str">
        <f t="shared" si="55"/>
        <v>Kiemelt előirányzat, előirányzat megnevezése</v>
      </c>
      <c r="D40" s="1278" t="str">
        <f t="shared" si="55"/>
        <v>2024. évi eredeti előirányzat
forintban</v>
      </c>
      <c r="E40" s="2596" t="str">
        <f>+E5</f>
        <v>2024. évi teljesítés forintban</v>
      </c>
      <c r="F40" s="1276" t="str">
        <f t="shared" si="55"/>
        <v>2025. évi eredeti előirányzat forintban</v>
      </c>
      <c r="G40" s="1276" t="str">
        <f t="shared" ref="G40:AJ40" si="56">+G5</f>
        <v>2025. évi I. számú módosított előirányzat
forintban</v>
      </c>
      <c r="H40" s="1276" t="str">
        <f t="shared" si="56"/>
        <v>2025. évi II. számú módosított előirányzat forintban</v>
      </c>
      <c r="I40" s="1276" t="str">
        <f t="shared" si="56"/>
        <v>2025. évi III. számú módosított előirányzat forintban</v>
      </c>
      <c r="J40" s="1276" t="str">
        <f t="shared" si="56"/>
        <v>2025. évi IV. számú módosított előirányzat forintban</v>
      </c>
      <c r="K40" s="3197" t="str">
        <f t="shared" si="56"/>
        <v>2025. évi
teljesítés forintban</v>
      </c>
      <c r="L40" s="1276" t="str">
        <f t="shared" si="56"/>
        <v>Önként vállalt feladat forintban</v>
      </c>
      <c r="M40" s="1276" t="str">
        <f t="shared" si="56"/>
        <v>Önként vállalt feladat I. módosítás
forintban</v>
      </c>
      <c r="N40" s="1276" t="str">
        <f t="shared" si="56"/>
        <v>Önként vállalt feladat II. módosítás forintban</v>
      </c>
      <c r="O40" s="1276" t="str">
        <f t="shared" si="56"/>
        <v>Önként vállalt feladat III. módosítás forintban</v>
      </c>
      <c r="P40" s="1276" t="str">
        <f t="shared" si="56"/>
        <v>Önként vállalt feladat IV. módosítás  forintban</v>
      </c>
      <c r="Q40" s="1276" t="str">
        <f t="shared" si="56"/>
        <v>Önként vállalt teljesítés  forintban</v>
      </c>
      <c r="R40" s="1276" t="str">
        <f t="shared" si="56"/>
        <v>Kötelező feladat forintban</v>
      </c>
      <c r="S40" s="1276" t="str">
        <f t="shared" si="56"/>
        <v>Kötelező feladat 
I. módosítás
forintban</v>
      </c>
      <c r="T40" s="1276" t="str">
        <f t="shared" si="56"/>
        <v>Kötelező feladat II. módosítás forintban</v>
      </c>
      <c r="U40" s="1276" t="str">
        <f t="shared" si="56"/>
        <v>Kötelező feladat III. módosítás  forintban</v>
      </c>
      <c r="V40" s="1278" t="str">
        <f t="shared" si="56"/>
        <v>Kötelező feladat IV. módosítás  forintban</v>
      </c>
      <c r="W40" s="1278" t="str">
        <f t="shared" si="56"/>
        <v>Kötelező teljesítés  forintban</v>
      </c>
      <c r="X40" s="1278">
        <f t="shared" si="56"/>
        <v>0</v>
      </c>
      <c r="Y40" s="1278">
        <f t="shared" si="56"/>
        <v>0</v>
      </c>
      <c r="Z40" s="1278">
        <f t="shared" si="56"/>
        <v>0</v>
      </c>
      <c r="AA40" s="1278">
        <f t="shared" si="56"/>
        <v>0</v>
      </c>
      <c r="AB40" s="1278">
        <f t="shared" si="56"/>
        <v>0</v>
      </c>
      <c r="AC40" s="1278">
        <f t="shared" si="56"/>
        <v>0</v>
      </c>
      <c r="AD40" s="1278"/>
      <c r="AE40" s="1278" t="str">
        <f t="shared" si="56"/>
        <v>I. változás</v>
      </c>
      <c r="AF40" s="1278" t="str">
        <f t="shared" si="56"/>
        <v>Előirányzat-módosítások, előirányzat-átcsoportosítások összegszerű változásai</v>
      </c>
      <c r="AG40" s="2916" t="str">
        <f t="shared" si="56"/>
        <v>Előirányzat-módosítások, előirányzat-átcsoportosítások összegszerű változásai a III. módosításnál</v>
      </c>
      <c r="AH40" s="1854" t="str">
        <f t="shared" si="56"/>
        <v>IV. változás</v>
      </c>
      <c r="AI40" s="1825" t="str">
        <f t="shared" si="56"/>
        <v xml:space="preserve"> 2025. évi teljesítés / 2025. évi III. számú módosított előirányzat</v>
      </c>
      <c r="AJ40" s="1854" t="str">
        <f t="shared" si="56"/>
        <v>Változás Eredeti előző évhez 
Ft-ban</v>
      </c>
      <c r="AK40" s="2595"/>
      <c r="AL40" s="439"/>
    </row>
    <row r="41" spans="1:38" ht="15">
      <c r="A41" s="2934" t="s">
        <v>6</v>
      </c>
      <c r="B41" s="2946" t="s">
        <v>3353</v>
      </c>
      <c r="C41" s="1292" t="s">
        <v>1291</v>
      </c>
      <c r="D41" s="1213">
        <f t="shared" ref="D41:AC41" si="57">SUM(D42:D46)</f>
        <v>526570144</v>
      </c>
      <c r="E41" s="2715">
        <f t="shared" si="57"/>
        <v>563599540</v>
      </c>
      <c r="F41" s="1213">
        <f t="shared" si="57"/>
        <v>628340601</v>
      </c>
      <c r="G41" s="1213">
        <f t="shared" si="57"/>
        <v>632882165</v>
      </c>
      <c r="H41" s="1213">
        <f t="shared" si="57"/>
        <v>635513156</v>
      </c>
      <c r="I41" s="1213">
        <f t="shared" si="57"/>
        <v>640411548</v>
      </c>
      <c r="J41" s="1213">
        <f t="shared" si="57"/>
        <v>640411548</v>
      </c>
      <c r="K41" s="3208">
        <f t="shared" si="57"/>
        <v>620987222</v>
      </c>
      <c r="L41" s="1213">
        <f t="shared" si="57"/>
        <v>0</v>
      </c>
      <c r="M41" s="1213">
        <f t="shared" si="57"/>
        <v>0</v>
      </c>
      <c r="N41" s="1213">
        <f t="shared" si="57"/>
        <v>0</v>
      </c>
      <c r="O41" s="1213">
        <f t="shared" si="57"/>
        <v>0</v>
      </c>
      <c r="P41" s="1213">
        <f t="shared" si="57"/>
        <v>0</v>
      </c>
      <c r="Q41" s="1213">
        <f t="shared" si="57"/>
        <v>0</v>
      </c>
      <c r="R41" s="1213">
        <f t="shared" si="57"/>
        <v>628340601</v>
      </c>
      <c r="S41" s="1213">
        <f t="shared" si="57"/>
        <v>632882165</v>
      </c>
      <c r="T41" s="1213">
        <f t="shared" si="57"/>
        <v>635513156</v>
      </c>
      <c r="U41" s="1213">
        <f t="shared" si="57"/>
        <v>640411548</v>
      </c>
      <c r="V41" s="1213">
        <f t="shared" si="57"/>
        <v>640411548</v>
      </c>
      <c r="W41" s="1213">
        <f t="shared" si="57"/>
        <v>620987222</v>
      </c>
      <c r="X41" s="1213">
        <f t="shared" si="57"/>
        <v>0</v>
      </c>
      <c r="Y41" s="1213">
        <f t="shared" si="57"/>
        <v>0</v>
      </c>
      <c r="Z41" s="1213">
        <f t="shared" si="57"/>
        <v>0</v>
      </c>
      <c r="AA41" s="1213">
        <f t="shared" si="57"/>
        <v>0</v>
      </c>
      <c r="AB41" s="1213">
        <f t="shared" si="57"/>
        <v>0</v>
      </c>
      <c r="AC41" s="1213">
        <f t="shared" si="57"/>
        <v>0</v>
      </c>
      <c r="AD41" s="1284"/>
      <c r="AE41" s="1213">
        <f t="shared" si="1"/>
        <v>4541564</v>
      </c>
      <c r="AF41" s="1213">
        <f t="shared" si="2"/>
        <v>2630991</v>
      </c>
      <c r="AG41" s="1213">
        <f t="shared" si="3"/>
        <v>4898392</v>
      </c>
      <c r="AH41" s="2919">
        <f t="shared" si="4"/>
        <v>0</v>
      </c>
      <c r="AI41" s="1829">
        <f t="shared" ref="AI41:AI54" si="58">+K41/I41</f>
        <v>0.96966899478833257</v>
      </c>
      <c r="AJ41" s="417">
        <f t="shared" ref="AJ41:AJ54" si="59">+F41-D41</f>
        <v>101770457</v>
      </c>
      <c r="AK41" s="412"/>
      <c r="AL41" s="439"/>
    </row>
    <row r="42" spans="1:38" ht="15">
      <c r="A42" s="2934"/>
      <c r="B42" s="2948" t="s">
        <v>176</v>
      </c>
      <c r="C42" s="1290" t="s">
        <v>147</v>
      </c>
      <c r="D42" s="1227">
        <v>388644685</v>
      </c>
      <c r="E42" s="2719">
        <v>402697501</v>
      </c>
      <c r="F42" s="1227">
        <v>472904717</v>
      </c>
      <c r="G42" s="1227">
        <f>+F42+175000+260000-1830000</f>
        <v>471509717</v>
      </c>
      <c r="H42" s="1227">
        <f>+G42+9000*12+210000</f>
        <v>471827717</v>
      </c>
      <c r="I42" s="1227">
        <f>+H42+210000-141732</f>
        <v>471895985</v>
      </c>
      <c r="J42" s="1227">
        <f t="shared" ref="G42:J46" si="60">+I42</f>
        <v>471895985</v>
      </c>
      <c r="K42" s="3209">
        <v>467790038</v>
      </c>
      <c r="L42" s="1227">
        <v>0</v>
      </c>
      <c r="M42" s="1227">
        <f t="shared" ref="M42:P46" si="61">+L42</f>
        <v>0</v>
      </c>
      <c r="N42" s="1227">
        <f t="shared" si="61"/>
        <v>0</v>
      </c>
      <c r="O42" s="1227">
        <f t="shared" si="61"/>
        <v>0</v>
      </c>
      <c r="P42" s="1227">
        <f t="shared" si="61"/>
        <v>0</v>
      </c>
      <c r="Q42" s="1227">
        <v>0</v>
      </c>
      <c r="R42" s="1227">
        <f>+F42</f>
        <v>472904717</v>
      </c>
      <c r="S42" s="1227">
        <f>+R42+175000+260000-1830000</f>
        <v>471509717</v>
      </c>
      <c r="T42" s="1227">
        <f>+S42+9000*12+210000</f>
        <v>471827717</v>
      </c>
      <c r="U42" s="1227">
        <f>+T42+210000-141732</f>
        <v>471895985</v>
      </c>
      <c r="V42" s="1227">
        <f>+U42</f>
        <v>471895985</v>
      </c>
      <c r="W42" s="1227">
        <f>+K42</f>
        <v>467790038</v>
      </c>
      <c r="X42" s="1227"/>
      <c r="Y42" s="1227">
        <f t="shared" ref="Y42:AC46" si="62">+X42</f>
        <v>0</v>
      </c>
      <c r="Z42" s="1227">
        <f t="shared" si="62"/>
        <v>0</v>
      </c>
      <c r="AA42" s="1227">
        <f t="shared" si="62"/>
        <v>0</v>
      </c>
      <c r="AB42" s="1227">
        <f t="shared" si="62"/>
        <v>0</v>
      </c>
      <c r="AC42" s="1227">
        <f t="shared" si="62"/>
        <v>0</v>
      </c>
      <c r="AD42" s="1284"/>
      <c r="AE42" s="1213">
        <f t="shared" si="1"/>
        <v>-1395000</v>
      </c>
      <c r="AF42" s="1213">
        <f t="shared" si="2"/>
        <v>318000</v>
      </c>
      <c r="AG42" s="1213">
        <f t="shared" si="3"/>
        <v>68268</v>
      </c>
      <c r="AH42" s="2919">
        <f t="shared" si="4"/>
        <v>0</v>
      </c>
      <c r="AI42" s="1834">
        <f t="shared" si="58"/>
        <v>0.99129904230908006</v>
      </c>
      <c r="AJ42" s="417">
        <f t="shared" si="59"/>
        <v>84260032</v>
      </c>
      <c r="AK42" s="430"/>
      <c r="AL42" s="439"/>
    </row>
    <row r="43" spans="1:38" ht="15">
      <c r="A43" s="2934"/>
      <c r="B43" s="2948" t="s">
        <v>178</v>
      </c>
      <c r="C43" s="1290" t="s">
        <v>8</v>
      </c>
      <c r="D43" s="1227">
        <v>61442247</v>
      </c>
      <c r="E43" s="2719">
        <v>60433621</v>
      </c>
      <c r="F43" s="1227">
        <v>71931243</v>
      </c>
      <c r="G43" s="1227">
        <f>+F43+33800</f>
        <v>71965043</v>
      </c>
      <c r="H43" s="1227">
        <f>+G43+27300</f>
        <v>71992343</v>
      </c>
      <c r="I43" s="1227">
        <f>+H43+27300</f>
        <v>72019643</v>
      </c>
      <c r="J43" s="1227">
        <f t="shared" si="60"/>
        <v>72019643</v>
      </c>
      <c r="K43" s="3209">
        <v>69206875</v>
      </c>
      <c r="L43" s="1227">
        <v>0</v>
      </c>
      <c r="M43" s="1227">
        <f t="shared" si="61"/>
        <v>0</v>
      </c>
      <c r="N43" s="1227">
        <f t="shared" si="61"/>
        <v>0</v>
      </c>
      <c r="O43" s="1227">
        <f t="shared" si="61"/>
        <v>0</v>
      </c>
      <c r="P43" s="1227">
        <f t="shared" si="61"/>
        <v>0</v>
      </c>
      <c r="Q43" s="1227">
        <v>0</v>
      </c>
      <c r="R43" s="1227">
        <f>+F43</f>
        <v>71931243</v>
      </c>
      <c r="S43" s="1227">
        <f>+R43+33800</f>
        <v>71965043</v>
      </c>
      <c r="T43" s="1227">
        <f>+S43+27300</f>
        <v>71992343</v>
      </c>
      <c r="U43" s="1227">
        <f>+T43+27300</f>
        <v>72019643</v>
      </c>
      <c r="V43" s="1227">
        <f>+U43</f>
        <v>72019643</v>
      </c>
      <c r="W43" s="1227">
        <f>+K43</f>
        <v>69206875</v>
      </c>
      <c r="X43" s="1227"/>
      <c r="Y43" s="1227">
        <f t="shared" si="62"/>
        <v>0</v>
      </c>
      <c r="Z43" s="1227">
        <f t="shared" si="62"/>
        <v>0</v>
      </c>
      <c r="AA43" s="1227">
        <f t="shared" si="62"/>
        <v>0</v>
      </c>
      <c r="AB43" s="1227">
        <f t="shared" si="62"/>
        <v>0</v>
      </c>
      <c r="AC43" s="1227">
        <f t="shared" si="62"/>
        <v>0</v>
      </c>
      <c r="AD43" s="1665"/>
      <c r="AE43" s="1213">
        <f t="shared" si="1"/>
        <v>33800</v>
      </c>
      <c r="AF43" s="1213">
        <f t="shared" si="2"/>
        <v>27300</v>
      </c>
      <c r="AG43" s="1213">
        <f t="shared" si="3"/>
        <v>27300</v>
      </c>
      <c r="AH43" s="2919">
        <f t="shared" si="4"/>
        <v>0</v>
      </c>
      <c r="AI43" s="1834">
        <f t="shared" si="58"/>
        <v>0.96094443289589759</v>
      </c>
      <c r="AJ43" s="417">
        <f t="shared" si="59"/>
        <v>10488996</v>
      </c>
      <c r="AK43" s="430"/>
      <c r="AL43" s="439"/>
    </row>
    <row r="44" spans="1:38" ht="15">
      <c r="A44" s="2934"/>
      <c r="B44" s="2948" t="s">
        <v>179</v>
      </c>
      <c r="C44" s="1290" t="s">
        <v>317</v>
      </c>
      <c r="D44" s="1227">
        <v>76483212</v>
      </c>
      <c r="E44" s="2719">
        <v>89981642</v>
      </c>
      <c r="F44" s="1227">
        <v>83504641</v>
      </c>
      <c r="G44" s="1227">
        <f>+F44+1600000+437198+849897+1830000+600789</f>
        <v>88822525</v>
      </c>
      <c r="H44" s="1227">
        <f>+G44+488950+1796741</f>
        <v>91108216</v>
      </c>
      <c r="I44" s="1227">
        <f>+H44+1241171+98159+810757+141732+2904649-393644</f>
        <v>95911040</v>
      </c>
      <c r="J44" s="1227">
        <f t="shared" si="60"/>
        <v>95911040</v>
      </c>
      <c r="K44" s="3209">
        <v>83405429</v>
      </c>
      <c r="L44" s="1227">
        <v>0</v>
      </c>
      <c r="M44" s="1227">
        <f t="shared" si="61"/>
        <v>0</v>
      </c>
      <c r="N44" s="1227">
        <f t="shared" si="61"/>
        <v>0</v>
      </c>
      <c r="O44" s="1227">
        <f t="shared" si="61"/>
        <v>0</v>
      </c>
      <c r="P44" s="1227">
        <f t="shared" si="61"/>
        <v>0</v>
      </c>
      <c r="Q44" s="1227">
        <v>0</v>
      </c>
      <c r="R44" s="1227">
        <f>+F44</f>
        <v>83504641</v>
      </c>
      <c r="S44" s="1227">
        <f>+R44+1600000+437198+849897+1830000+600789</f>
        <v>88822525</v>
      </c>
      <c r="T44" s="1227">
        <f>+S44+488950+1796741</f>
        <v>91108216</v>
      </c>
      <c r="U44" s="1227">
        <f>+T44+1241171+98159+810757+141732+2904649-393644</f>
        <v>95911040</v>
      </c>
      <c r="V44" s="1227">
        <f>+U44</f>
        <v>95911040</v>
      </c>
      <c r="W44" s="1227">
        <f>+K44</f>
        <v>83405429</v>
      </c>
      <c r="X44" s="1227"/>
      <c r="Y44" s="1227">
        <f t="shared" si="62"/>
        <v>0</v>
      </c>
      <c r="Z44" s="1227">
        <f t="shared" si="62"/>
        <v>0</v>
      </c>
      <c r="AA44" s="1227">
        <f t="shared" si="62"/>
        <v>0</v>
      </c>
      <c r="AB44" s="1227">
        <f t="shared" si="62"/>
        <v>0</v>
      </c>
      <c r="AC44" s="1227">
        <f t="shared" si="62"/>
        <v>0</v>
      </c>
      <c r="AD44" s="2947"/>
      <c r="AE44" s="1213">
        <f t="shared" si="1"/>
        <v>5317884</v>
      </c>
      <c r="AF44" s="1213">
        <f t="shared" si="2"/>
        <v>2285691</v>
      </c>
      <c r="AG44" s="1213">
        <f t="shared" si="3"/>
        <v>4802824</v>
      </c>
      <c r="AH44" s="2919">
        <f t="shared" si="4"/>
        <v>0</v>
      </c>
      <c r="AI44" s="1834">
        <f t="shared" si="58"/>
        <v>0.86961239290075465</v>
      </c>
      <c r="AJ44" s="417">
        <f t="shared" si="59"/>
        <v>7021429</v>
      </c>
      <c r="AK44" s="430"/>
    </row>
    <row r="45" spans="1:38" s="439" customFormat="1" ht="15">
      <c r="A45" s="2934"/>
      <c r="B45" s="2948" t="s">
        <v>180</v>
      </c>
      <c r="C45" s="1290" t="s">
        <v>318</v>
      </c>
      <c r="D45" s="1227">
        <v>0</v>
      </c>
      <c r="E45" s="2719">
        <v>0</v>
      </c>
      <c r="F45" s="1227">
        <v>0</v>
      </c>
      <c r="G45" s="1227">
        <f t="shared" si="60"/>
        <v>0</v>
      </c>
      <c r="H45" s="1227">
        <f t="shared" si="60"/>
        <v>0</v>
      </c>
      <c r="I45" s="1227">
        <f t="shared" si="60"/>
        <v>0</v>
      </c>
      <c r="J45" s="1227">
        <f t="shared" si="60"/>
        <v>0</v>
      </c>
      <c r="K45" s="3209">
        <v>0</v>
      </c>
      <c r="L45" s="1227">
        <v>0</v>
      </c>
      <c r="M45" s="1227">
        <f t="shared" si="61"/>
        <v>0</v>
      </c>
      <c r="N45" s="1227">
        <f t="shared" si="61"/>
        <v>0</v>
      </c>
      <c r="O45" s="1227">
        <f t="shared" si="61"/>
        <v>0</v>
      </c>
      <c r="P45" s="1227">
        <f t="shared" si="61"/>
        <v>0</v>
      </c>
      <c r="Q45" s="1227">
        <v>0</v>
      </c>
      <c r="R45" s="1227">
        <f>0</f>
        <v>0</v>
      </c>
      <c r="S45" s="1227">
        <f t="shared" ref="S45:V46" si="63">+R45</f>
        <v>0</v>
      </c>
      <c r="T45" s="1227">
        <f t="shared" si="63"/>
        <v>0</v>
      </c>
      <c r="U45" s="1227">
        <f t="shared" si="63"/>
        <v>0</v>
      </c>
      <c r="V45" s="1227">
        <f t="shared" si="63"/>
        <v>0</v>
      </c>
      <c r="W45" s="1227">
        <f>+K45</f>
        <v>0</v>
      </c>
      <c r="X45" s="1227"/>
      <c r="Y45" s="1227">
        <f t="shared" si="62"/>
        <v>0</v>
      </c>
      <c r="Z45" s="1227">
        <f t="shared" si="62"/>
        <v>0</v>
      </c>
      <c r="AA45" s="1227">
        <f t="shared" si="62"/>
        <v>0</v>
      </c>
      <c r="AB45" s="1227">
        <f t="shared" si="62"/>
        <v>0</v>
      </c>
      <c r="AC45" s="1227">
        <f t="shared" si="62"/>
        <v>0</v>
      </c>
      <c r="AD45" s="1284"/>
      <c r="AE45" s="1213">
        <f t="shared" si="1"/>
        <v>0</v>
      </c>
      <c r="AF45" s="1213">
        <f t="shared" si="2"/>
        <v>0</v>
      </c>
      <c r="AG45" s="1213">
        <f t="shared" si="3"/>
        <v>0</v>
      </c>
      <c r="AH45" s="2919">
        <f t="shared" si="4"/>
        <v>0</v>
      </c>
      <c r="AI45" s="1834"/>
      <c r="AJ45" s="417">
        <f t="shared" si="59"/>
        <v>0</v>
      </c>
      <c r="AK45" s="430"/>
    </row>
    <row r="46" spans="1:38" ht="15">
      <c r="A46" s="2934"/>
      <c r="B46" s="1477" t="s">
        <v>181</v>
      </c>
      <c r="C46" s="1286" t="s">
        <v>3319</v>
      </c>
      <c r="D46" s="1227">
        <v>0</v>
      </c>
      <c r="E46" s="2719">
        <v>10486776</v>
      </c>
      <c r="F46" s="1227">
        <v>0</v>
      </c>
      <c r="G46" s="1227">
        <f>+F46+584880</f>
        <v>584880</v>
      </c>
      <c r="H46" s="1227">
        <f t="shared" si="60"/>
        <v>584880</v>
      </c>
      <c r="I46" s="1227">
        <f t="shared" si="60"/>
        <v>584880</v>
      </c>
      <c r="J46" s="1227">
        <f t="shared" si="60"/>
        <v>584880</v>
      </c>
      <c r="K46" s="3209">
        <v>584880</v>
      </c>
      <c r="L46" s="1227">
        <v>0</v>
      </c>
      <c r="M46" s="1227">
        <f t="shared" si="61"/>
        <v>0</v>
      </c>
      <c r="N46" s="1227">
        <f t="shared" si="61"/>
        <v>0</v>
      </c>
      <c r="O46" s="1227">
        <f t="shared" si="61"/>
        <v>0</v>
      </c>
      <c r="P46" s="1227">
        <f t="shared" si="61"/>
        <v>0</v>
      </c>
      <c r="Q46" s="1227">
        <v>0</v>
      </c>
      <c r="R46" s="1227">
        <v>0</v>
      </c>
      <c r="S46" s="1227">
        <f>+R46+584880</f>
        <v>584880</v>
      </c>
      <c r="T46" s="1227">
        <f t="shared" si="63"/>
        <v>584880</v>
      </c>
      <c r="U46" s="1227">
        <f t="shared" si="63"/>
        <v>584880</v>
      </c>
      <c r="V46" s="1227">
        <f t="shared" si="63"/>
        <v>584880</v>
      </c>
      <c r="W46" s="1227">
        <f>+K46</f>
        <v>584880</v>
      </c>
      <c r="X46" s="1227"/>
      <c r="Y46" s="1227">
        <f t="shared" si="62"/>
        <v>0</v>
      </c>
      <c r="Z46" s="1227">
        <f t="shared" si="62"/>
        <v>0</v>
      </c>
      <c r="AA46" s="1227">
        <f t="shared" si="62"/>
        <v>0</v>
      </c>
      <c r="AB46" s="1227">
        <f t="shared" si="62"/>
        <v>0</v>
      </c>
      <c r="AC46" s="1227">
        <f t="shared" si="62"/>
        <v>0</v>
      </c>
      <c r="AD46" s="2947"/>
      <c r="AE46" s="1213">
        <f t="shared" si="1"/>
        <v>584880</v>
      </c>
      <c r="AF46" s="1213">
        <f t="shared" si="2"/>
        <v>0</v>
      </c>
      <c r="AG46" s="1213">
        <f t="shared" si="3"/>
        <v>0</v>
      </c>
      <c r="AH46" s="2919">
        <f t="shared" si="4"/>
        <v>0</v>
      </c>
      <c r="AI46" s="1834">
        <f t="shared" si="58"/>
        <v>1</v>
      </c>
      <c r="AJ46" s="417">
        <f t="shared" si="59"/>
        <v>0</v>
      </c>
      <c r="AK46" s="430"/>
    </row>
    <row r="47" spans="1:38" ht="15">
      <c r="A47" s="2934" t="s">
        <v>12</v>
      </c>
      <c r="B47" s="2946" t="s">
        <v>12</v>
      </c>
      <c r="C47" s="1292" t="s">
        <v>1292</v>
      </c>
      <c r="D47" s="1213">
        <f t="shared" ref="D47:AC47" si="64">SUM(D48:D50)</f>
        <v>571500</v>
      </c>
      <c r="E47" s="2715">
        <f t="shared" si="64"/>
        <v>1361240</v>
      </c>
      <c r="F47" s="1213">
        <f t="shared" si="64"/>
        <v>580758</v>
      </c>
      <c r="G47" s="1213">
        <f t="shared" si="64"/>
        <v>580758</v>
      </c>
      <c r="H47" s="1213">
        <f t="shared" si="64"/>
        <v>580758</v>
      </c>
      <c r="I47" s="1213">
        <f t="shared" si="64"/>
        <v>482599</v>
      </c>
      <c r="J47" s="1213">
        <f t="shared" si="64"/>
        <v>482599</v>
      </c>
      <c r="K47" s="3208">
        <f>SUM(K48:K50)</f>
        <v>419354</v>
      </c>
      <c r="L47" s="1213">
        <f t="shared" si="64"/>
        <v>0</v>
      </c>
      <c r="M47" s="1213">
        <f t="shared" si="64"/>
        <v>0</v>
      </c>
      <c r="N47" s="1213">
        <f t="shared" si="64"/>
        <v>0</v>
      </c>
      <c r="O47" s="1213">
        <f t="shared" si="64"/>
        <v>0</v>
      </c>
      <c r="P47" s="1213">
        <f t="shared" si="64"/>
        <v>0</v>
      </c>
      <c r="Q47" s="1213">
        <f t="shared" si="64"/>
        <v>0</v>
      </c>
      <c r="R47" s="1213">
        <f t="shared" si="64"/>
        <v>580758</v>
      </c>
      <c r="S47" s="1213">
        <f t="shared" si="64"/>
        <v>580758</v>
      </c>
      <c r="T47" s="1213">
        <f t="shared" si="64"/>
        <v>580758</v>
      </c>
      <c r="U47" s="1213">
        <f t="shared" si="64"/>
        <v>482599</v>
      </c>
      <c r="V47" s="1213">
        <f t="shared" si="64"/>
        <v>482599</v>
      </c>
      <c r="W47" s="1213">
        <f t="shared" si="64"/>
        <v>419354</v>
      </c>
      <c r="X47" s="1213">
        <f t="shared" si="64"/>
        <v>0</v>
      </c>
      <c r="Y47" s="1213">
        <f t="shared" si="64"/>
        <v>0</v>
      </c>
      <c r="Z47" s="1213">
        <f t="shared" si="64"/>
        <v>0</v>
      </c>
      <c r="AA47" s="1213">
        <f t="shared" si="64"/>
        <v>0</v>
      </c>
      <c r="AB47" s="1213">
        <f t="shared" si="64"/>
        <v>0</v>
      </c>
      <c r="AC47" s="1213">
        <f t="shared" si="64"/>
        <v>0</v>
      </c>
      <c r="AD47" s="1284"/>
      <c r="AE47" s="1213">
        <f t="shared" si="1"/>
        <v>0</v>
      </c>
      <c r="AF47" s="1213">
        <f t="shared" si="2"/>
        <v>0</v>
      </c>
      <c r="AG47" s="1213">
        <f t="shared" si="3"/>
        <v>-98159</v>
      </c>
      <c r="AH47" s="2919">
        <f t="shared" si="4"/>
        <v>0</v>
      </c>
      <c r="AI47" s="1829">
        <f t="shared" si="58"/>
        <v>0.86894916897880026</v>
      </c>
      <c r="AJ47" s="417">
        <f t="shared" si="59"/>
        <v>9258</v>
      </c>
      <c r="AK47" s="412"/>
    </row>
    <row r="48" spans="1:38" ht="15">
      <c r="A48" s="2934"/>
      <c r="B48" s="2948" t="s">
        <v>185</v>
      </c>
      <c r="C48" s="1290" t="s">
        <v>82</v>
      </c>
      <c r="D48" s="1227">
        <v>571500</v>
      </c>
      <c r="E48" s="2719">
        <v>1361240</v>
      </c>
      <c r="F48" s="1227">
        <v>580758</v>
      </c>
      <c r="G48" s="1227">
        <f>+F48</f>
        <v>580758</v>
      </c>
      <c r="H48" s="1227">
        <f>+G48</f>
        <v>580758</v>
      </c>
      <c r="I48" s="1227">
        <f>+H48-98159</f>
        <v>482599</v>
      </c>
      <c r="J48" s="1227">
        <f t="shared" ref="G48:J51" si="65">+I48</f>
        <v>482599</v>
      </c>
      <c r="K48" s="3209">
        <v>419354</v>
      </c>
      <c r="L48" s="1227">
        <v>0</v>
      </c>
      <c r="M48" s="1227">
        <f t="shared" ref="M48:P51" si="66">+L48</f>
        <v>0</v>
      </c>
      <c r="N48" s="1227">
        <f t="shared" si="66"/>
        <v>0</v>
      </c>
      <c r="O48" s="1227">
        <f t="shared" si="66"/>
        <v>0</v>
      </c>
      <c r="P48" s="1227">
        <f t="shared" si="66"/>
        <v>0</v>
      </c>
      <c r="Q48" s="1227">
        <v>0</v>
      </c>
      <c r="R48" s="1227">
        <f>+F48</f>
        <v>580758</v>
      </c>
      <c r="S48" s="1227">
        <f>+R48</f>
        <v>580758</v>
      </c>
      <c r="T48" s="1227">
        <f>+S48</f>
        <v>580758</v>
      </c>
      <c r="U48" s="1227">
        <f>+T48-98159</f>
        <v>482599</v>
      </c>
      <c r="V48" s="1227">
        <f t="shared" ref="S48:V51" si="67">+U48</f>
        <v>482599</v>
      </c>
      <c r="W48" s="1227">
        <f>+K48</f>
        <v>419354</v>
      </c>
      <c r="X48" s="1227"/>
      <c r="Y48" s="1227">
        <f t="shared" ref="Y48:AC51" si="68">+X48</f>
        <v>0</v>
      </c>
      <c r="Z48" s="1227">
        <f t="shared" si="68"/>
        <v>0</v>
      </c>
      <c r="AA48" s="1227">
        <f t="shared" si="68"/>
        <v>0</v>
      </c>
      <c r="AB48" s="1227">
        <f t="shared" si="68"/>
        <v>0</v>
      </c>
      <c r="AC48" s="1227">
        <f t="shared" si="68"/>
        <v>0</v>
      </c>
      <c r="AD48" s="2947"/>
      <c r="AE48" s="1213">
        <f t="shared" si="1"/>
        <v>0</v>
      </c>
      <c r="AF48" s="1213">
        <f t="shared" si="2"/>
        <v>0</v>
      </c>
      <c r="AG48" s="1213">
        <f t="shared" si="3"/>
        <v>-98159</v>
      </c>
      <c r="AH48" s="2919">
        <f t="shared" si="4"/>
        <v>0</v>
      </c>
      <c r="AI48" s="1834">
        <f t="shared" si="58"/>
        <v>0.86894916897880026</v>
      </c>
      <c r="AJ48" s="417">
        <f t="shared" si="59"/>
        <v>9258</v>
      </c>
      <c r="AK48" s="430"/>
    </row>
    <row r="49" spans="1:37" ht="15">
      <c r="A49" s="2934"/>
      <c r="B49" s="2948" t="s">
        <v>187</v>
      </c>
      <c r="C49" s="1290" t="s">
        <v>344</v>
      </c>
      <c r="D49" s="1227">
        <v>0</v>
      </c>
      <c r="E49" s="2719">
        <v>0</v>
      </c>
      <c r="F49" s="1227">
        <v>0</v>
      </c>
      <c r="G49" s="1227">
        <f>+F49</f>
        <v>0</v>
      </c>
      <c r="H49" s="1227">
        <f>+G49</f>
        <v>0</v>
      </c>
      <c r="I49" s="1227">
        <f t="shared" si="65"/>
        <v>0</v>
      </c>
      <c r="J49" s="1227">
        <f t="shared" si="65"/>
        <v>0</v>
      </c>
      <c r="K49" s="3209">
        <v>0</v>
      </c>
      <c r="L49" s="1227">
        <v>0</v>
      </c>
      <c r="M49" s="1227">
        <f t="shared" si="66"/>
        <v>0</v>
      </c>
      <c r="N49" s="1227">
        <f t="shared" si="66"/>
        <v>0</v>
      </c>
      <c r="O49" s="1227">
        <f t="shared" si="66"/>
        <v>0</v>
      </c>
      <c r="P49" s="1227">
        <f t="shared" si="66"/>
        <v>0</v>
      </c>
      <c r="Q49" s="1227">
        <v>0</v>
      </c>
      <c r="R49" s="1227">
        <f>+F49</f>
        <v>0</v>
      </c>
      <c r="S49" s="1227">
        <f>+R49</f>
        <v>0</v>
      </c>
      <c r="T49" s="1227">
        <f>+S49</f>
        <v>0</v>
      </c>
      <c r="U49" s="1227">
        <f t="shared" si="67"/>
        <v>0</v>
      </c>
      <c r="V49" s="1227">
        <f t="shared" si="67"/>
        <v>0</v>
      </c>
      <c r="W49" s="1227">
        <f>+K49</f>
        <v>0</v>
      </c>
      <c r="X49" s="1227"/>
      <c r="Y49" s="1227">
        <f t="shared" si="68"/>
        <v>0</v>
      </c>
      <c r="Z49" s="1227">
        <f t="shared" si="68"/>
        <v>0</v>
      </c>
      <c r="AA49" s="1227">
        <f t="shared" si="68"/>
        <v>0</v>
      </c>
      <c r="AB49" s="1227">
        <f t="shared" si="68"/>
        <v>0</v>
      </c>
      <c r="AC49" s="1227">
        <f t="shared" si="68"/>
        <v>0</v>
      </c>
      <c r="AD49" s="1284"/>
      <c r="AE49" s="1213">
        <f t="shared" si="1"/>
        <v>0</v>
      </c>
      <c r="AF49" s="1213">
        <f t="shared" si="2"/>
        <v>0</v>
      </c>
      <c r="AG49" s="1213">
        <f t="shared" si="3"/>
        <v>0</v>
      </c>
      <c r="AH49" s="2919">
        <f t="shared" si="4"/>
        <v>0</v>
      </c>
      <c r="AI49" s="1834"/>
      <c r="AJ49" s="417">
        <f t="shared" si="59"/>
        <v>0</v>
      </c>
      <c r="AK49" s="430"/>
    </row>
    <row r="50" spans="1:37" ht="15">
      <c r="A50" s="2934"/>
      <c r="B50" s="1477" t="s">
        <v>189</v>
      </c>
      <c r="C50" s="1286" t="s">
        <v>1293</v>
      </c>
      <c r="D50" s="1227">
        <v>0</v>
      </c>
      <c r="E50" s="2719">
        <v>0</v>
      </c>
      <c r="F50" s="1227">
        <v>0</v>
      </c>
      <c r="G50" s="1227">
        <f t="shared" si="65"/>
        <v>0</v>
      </c>
      <c r="H50" s="1227">
        <f t="shared" si="65"/>
        <v>0</v>
      </c>
      <c r="I50" s="1227">
        <f t="shared" si="65"/>
        <v>0</v>
      </c>
      <c r="J50" s="1227">
        <f t="shared" si="65"/>
        <v>0</v>
      </c>
      <c r="K50" s="3209">
        <v>0</v>
      </c>
      <c r="L50" s="1227">
        <v>0</v>
      </c>
      <c r="M50" s="1227">
        <f t="shared" si="66"/>
        <v>0</v>
      </c>
      <c r="N50" s="1227">
        <f t="shared" si="66"/>
        <v>0</v>
      </c>
      <c r="O50" s="1227">
        <f t="shared" si="66"/>
        <v>0</v>
      </c>
      <c r="P50" s="1227">
        <f t="shared" si="66"/>
        <v>0</v>
      </c>
      <c r="Q50" s="1227">
        <v>0</v>
      </c>
      <c r="R50" s="1227">
        <v>0</v>
      </c>
      <c r="S50" s="1227">
        <f t="shared" si="67"/>
        <v>0</v>
      </c>
      <c r="T50" s="1227">
        <f t="shared" si="67"/>
        <v>0</v>
      </c>
      <c r="U50" s="1227">
        <f t="shared" si="67"/>
        <v>0</v>
      </c>
      <c r="V50" s="1227">
        <f t="shared" si="67"/>
        <v>0</v>
      </c>
      <c r="W50" s="1227">
        <f>+K50</f>
        <v>0</v>
      </c>
      <c r="X50" s="1227"/>
      <c r="Y50" s="1227">
        <f t="shared" si="68"/>
        <v>0</v>
      </c>
      <c r="Z50" s="1227">
        <f t="shared" si="68"/>
        <v>0</v>
      </c>
      <c r="AA50" s="1227">
        <f t="shared" si="68"/>
        <v>0</v>
      </c>
      <c r="AB50" s="1227">
        <f t="shared" si="68"/>
        <v>0</v>
      </c>
      <c r="AC50" s="1227">
        <f t="shared" si="68"/>
        <v>0</v>
      </c>
      <c r="AD50" s="1284"/>
      <c r="AE50" s="1213">
        <f t="shared" si="1"/>
        <v>0</v>
      </c>
      <c r="AF50" s="1213">
        <f t="shared" si="2"/>
        <v>0</v>
      </c>
      <c r="AG50" s="1213">
        <f t="shared" si="3"/>
        <v>0</v>
      </c>
      <c r="AH50" s="2919">
        <f t="shared" si="4"/>
        <v>0</v>
      </c>
      <c r="AI50" s="1834"/>
      <c r="AJ50" s="417">
        <f t="shared" si="59"/>
        <v>0</v>
      </c>
      <c r="AK50" s="430"/>
    </row>
    <row r="51" spans="1:37" ht="15">
      <c r="A51" s="2934"/>
      <c r="B51" s="1477" t="s">
        <v>191</v>
      </c>
      <c r="C51" s="1290" t="s">
        <v>1294</v>
      </c>
      <c r="D51" s="1227">
        <v>0</v>
      </c>
      <c r="E51" s="2719">
        <v>0</v>
      </c>
      <c r="F51" s="1227">
        <v>0</v>
      </c>
      <c r="G51" s="1227">
        <f t="shared" si="65"/>
        <v>0</v>
      </c>
      <c r="H51" s="1227">
        <f t="shared" si="65"/>
        <v>0</v>
      </c>
      <c r="I51" s="1227">
        <f t="shared" si="65"/>
        <v>0</v>
      </c>
      <c r="J51" s="1227">
        <f t="shared" si="65"/>
        <v>0</v>
      </c>
      <c r="K51" s="3209">
        <v>0</v>
      </c>
      <c r="L51" s="1227">
        <v>0</v>
      </c>
      <c r="M51" s="1227">
        <f t="shared" si="66"/>
        <v>0</v>
      </c>
      <c r="N51" s="1227">
        <f t="shared" si="66"/>
        <v>0</v>
      </c>
      <c r="O51" s="1227">
        <f t="shared" si="66"/>
        <v>0</v>
      </c>
      <c r="P51" s="1227">
        <f t="shared" si="66"/>
        <v>0</v>
      </c>
      <c r="Q51" s="1227">
        <v>0</v>
      </c>
      <c r="R51" s="1227">
        <v>0</v>
      </c>
      <c r="S51" s="1227">
        <f t="shared" si="67"/>
        <v>0</v>
      </c>
      <c r="T51" s="1227">
        <f t="shared" si="67"/>
        <v>0</v>
      </c>
      <c r="U51" s="1227">
        <f t="shared" si="67"/>
        <v>0</v>
      </c>
      <c r="V51" s="1227">
        <f t="shared" si="67"/>
        <v>0</v>
      </c>
      <c r="W51" s="1227">
        <f>+K51</f>
        <v>0</v>
      </c>
      <c r="X51" s="1227"/>
      <c r="Y51" s="1227">
        <f t="shared" si="68"/>
        <v>0</v>
      </c>
      <c r="Z51" s="1227">
        <f t="shared" si="68"/>
        <v>0</v>
      </c>
      <c r="AA51" s="1227">
        <f t="shared" si="68"/>
        <v>0</v>
      </c>
      <c r="AB51" s="1227">
        <f t="shared" si="68"/>
        <v>0</v>
      </c>
      <c r="AC51" s="1227">
        <f t="shared" si="68"/>
        <v>0</v>
      </c>
      <c r="AD51" s="1284"/>
      <c r="AE51" s="1213">
        <f t="shared" si="1"/>
        <v>0</v>
      </c>
      <c r="AF51" s="1213">
        <f t="shared" si="2"/>
        <v>0</v>
      </c>
      <c r="AG51" s="1213">
        <f t="shared" si="3"/>
        <v>0</v>
      </c>
      <c r="AH51" s="2919">
        <f t="shared" si="4"/>
        <v>0</v>
      </c>
      <c r="AI51" s="1834"/>
      <c r="AJ51" s="417">
        <f t="shared" si="59"/>
        <v>0</v>
      </c>
      <c r="AK51" s="430"/>
    </row>
    <row r="52" spans="1:37" ht="15">
      <c r="A52" s="2934" t="s">
        <v>14</v>
      </c>
      <c r="B52" s="1282" t="s">
        <v>14</v>
      </c>
      <c r="C52" s="2950" t="s">
        <v>1295</v>
      </c>
      <c r="D52" s="1298">
        <f t="shared" ref="D52:AC52" si="69">+D41+D47</f>
        <v>527141644</v>
      </c>
      <c r="E52" s="2720">
        <f t="shared" si="69"/>
        <v>564960780</v>
      </c>
      <c r="F52" s="1298">
        <f t="shared" si="69"/>
        <v>628921359</v>
      </c>
      <c r="G52" s="1298">
        <f t="shared" si="69"/>
        <v>633462923</v>
      </c>
      <c r="H52" s="1298">
        <f t="shared" si="69"/>
        <v>636093914</v>
      </c>
      <c r="I52" s="1298">
        <f t="shared" si="69"/>
        <v>640894147</v>
      </c>
      <c r="J52" s="1298">
        <f t="shared" si="69"/>
        <v>640894147</v>
      </c>
      <c r="K52" s="3210">
        <f t="shared" si="69"/>
        <v>621406576</v>
      </c>
      <c r="L52" s="1298">
        <f t="shared" si="69"/>
        <v>0</v>
      </c>
      <c r="M52" s="1298">
        <f t="shared" si="69"/>
        <v>0</v>
      </c>
      <c r="N52" s="1298">
        <f t="shared" si="69"/>
        <v>0</v>
      </c>
      <c r="O52" s="1298">
        <f t="shared" si="69"/>
        <v>0</v>
      </c>
      <c r="P52" s="1298">
        <f t="shared" si="69"/>
        <v>0</v>
      </c>
      <c r="Q52" s="1298">
        <f t="shared" si="69"/>
        <v>0</v>
      </c>
      <c r="R52" s="1298">
        <f t="shared" si="69"/>
        <v>628921359</v>
      </c>
      <c r="S52" s="1298">
        <f t="shared" si="69"/>
        <v>633462923</v>
      </c>
      <c r="T52" s="1298">
        <f t="shared" si="69"/>
        <v>636093914</v>
      </c>
      <c r="U52" s="1298">
        <f t="shared" si="69"/>
        <v>640894147</v>
      </c>
      <c r="V52" s="1298">
        <f t="shared" si="69"/>
        <v>640894147</v>
      </c>
      <c r="W52" s="1298">
        <f t="shared" si="69"/>
        <v>621406576</v>
      </c>
      <c r="X52" s="1298">
        <f t="shared" si="69"/>
        <v>0</v>
      </c>
      <c r="Y52" s="1298">
        <f t="shared" si="69"/>
        <v>0</v>
      </c>
      <c r="Z52" s="1298">
        <f t="shared" si="69"/>
        <v>0</v>
      </c>
      <c r="AA52" s="1298">
        <f t="shared" si="69"/>
        <v>0</v>
      </c>
      <c r="AB52" s="1298">
        <f t="shared" si="69"/>
        <v>0</v>
      </c>
      <c r="AC52" s="1298">
        <f t="shared" si="69"/>
        <v>0</v>
      </c>
      <c r="AD52" s="1284"/>
      <c r="AE52" s="1213">
        <f t="shared" si="1"/>
        <v>4541564</v>
      </c>
      <c r="AF52" s="1213">
        <f t="shared" si="2"/>
        <v>2630991</v>
      </c>
      <c r="AG52" s="1213">
        <f t="shared" si="3"/>
        <v>4800233</v>
      </c>
      <c r="AH52" s="2919">
        <f t="shared" si="4"/>
        <v>0</v>
      </c>
      <c r="AI52" s="1829">
        <f t="shared" si="58"/>
        <v>0.96959315186256489</v>
      </c>
      <c r="AJ52" s="417">
        <f t="shared" si="59"/>
        <v>101779715</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8"/>
        <v>#DIV/0!</v>
      </c>
      <c r="AJ53" s="417">
        <f t="shared" si="59"/>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7">
        <v>51</v>
      </c>
      <c r="E54" s="2967">
        <v>54</v>
      </c>
      <c r="F54" s="2957">
        <v>51</v>
      </c>
      <c r="G54" s="2957">
        <f>+F54</f>
        <v>51</v>
      </c>
      <c r="H54" s="2957">
        <f>+G54</f>
        <v>51</v>
      </c>
      <c r="I54" s="2957">
        <f>+H54</f>
        <v>51</v>
      </c>
      <c r="J54" s="2957">
        <f>+I54</f>
        <v>51</v>
      </c>
      <c r="K54" s="3212">
        <v>57</v>
      </c>
      <c r="L54" s="2957">
        <v>0</v>
      </c>
      <c r="M54" s="2957">
        <f>+L54</f>
        <v>0</v>
      </c>
      <c r="N54" s="2957">
        <f>+M54</f>
        <v>0</v>
      </c>
      <c r="O54" s="2957">
        <f>+N54</f>
        <v>0</v>
      </c>
      <c r="P54" s="2957">
        <f>+O54</f>
        <v>0</v>
      </c>
      <c r="Q54" s="2957">
        <f>+P54</f>
        <v>0</v>
      </c>
      <c r="R54" s="2957">
        <f>+F54</f>
        <v>51</v>
      </c>
      <c r="S54" s="2957">
        <f>+R54</f>
        <v>51</v>
      </c>
      <c r="T54" s="2957">
        <f>+S54</f>
        <v>51</v>
      </c>
      <c r="U54" s="2957">
        <f>+T54</f>
        <v>51</v>
      </c>
      <c r="V54" s="2957">
        <f>+U54</f>
        <v>51</v>
      </c>
      <c r="W54" s="2957">
        <f>+V54</f>
        <v>51</v>
      </c>
      <c r="X54" s="2957"/>
      <c r="Y54" s="2957">
        <f>+X54</f>
        <v>0</v>
      </c>
      <c r="Z54" s="2957">
        <f>+Y54</f>
        <v>0</v>
      </c>
      <c r="AA54" s="2957">
        <f>+Z54</f>
        <v>0</v>
      </c>
      <c r="AB54" s="2957">
        <f>+AA54</f>
        <v>0</v>
      </c>
      <c r="AC54" s="2957">
        <f>+AB54</f>
        <v>0</v>
      </c>
      <c r="AD54" s="2965"/>
      <c r="AE54" s="2959">
        <f t="shared" si="1"/>
        <v>0</v>
      </c>
      <c r="AF54" s="1213">
        <f t="shared" si="2"/>
        <v>0</v>
      </c>
      <c r="AG54" s="1213">
        <f t="shared" si="3"/>
        <v>0</v>
      </c>
      <c r="AH54" s="2943">
        <f t="shared" si="4"/>
        <v>0</v>
      </c>
      <c r="AI54" s="1829">
        <f t="shared" si="58"/>
        <v>1.1176470588235294</v>
      </c>
      <c r="AJ54" s="550">
        <f t="shared" si="59"/>
        <v>0</v>
      </c>
      <c r="AK54" s="1853"/>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0">+X55</f>
        <v>0</v>
      </c>
      <c r="Z55" s="459">
        <f t="shared" si="70"/>
        <v>0</v>
      </c>
      <c r="AA55" s="459">
        <f t="shared" si="70"/>
        <v>0</v>
      </c>
      <c r="AB55" s="459">
        <f t="shared" si="70"/>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70"/>
        <v>0</v>
      </c>
      <c r="Z56" s="459">
        <f t="shared" si="70"/>
        <v>0</v>
      </c>
      <c r="AA56" s="459">
        <f t="shared" si="70"/>
        <v>0</v>
      </c>
      <c r="AB56" s="459">
        <f t="shared" si="70"/>
        <v>0</v>
      </c>
      <c r="AC56" s="459"/>
      <c r="AD56" s="557"/>
      <c r="AE56" s="555">
        <f t="shared" si="1"/>
        <v>0</v>
      </c>
      <c r="AF56" s="555"/>
      <c r="AG56" s="555"/>
      <c r="AH56" s="555"/>
      <c r="AJ56" s="417">
        <f>+F56-D56</f>
        <v>0</v>
      </c>
    </row>
    <row r="57" spans="1:37" ht="15.75">
      <c r="B57" s="3205" t="s">
        <v>17</v>
      </c>
      <c r="C57" s="3207" t="s">
        <v>4053</v>
      </c>
      <c r="D57" s="3206">
        <f t="shared" ref="D57:K57" si="71">+D37-D52</f>
        <v>0</v>
      </c>
      <c r="E57" s="3199">
        <f>+E37-E52</f>
        <v>1434777</v>
      </c>
      <c r="F57" s="3200">
        <f t="shared" si="71"/>
        <v>0</v>
      </c>
      <c r="G57" s="3201">
        <f t="shared" si="71"/>
        <v>0</v>
      </c>
      <c r="H57" s="3201">
        <f t="shared" si="71"/>
        <v>0</v>
      </c>
      <c r="I57" s="3201"/>
      <c r="J57" s="3201">
        <f t="shared" si="71"/>
        <v>0</v>
      </c>
      <c r="K57" s="2198">
        <f t="shared" si="71"/>
        <v>9885146</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2">+D37-D52</f>
        <v>0</v>
      </c>
      <c r="E60" s="396">
        <f>+E37-E52</f>
        <v>1434777</v>
      </c>
      <c r="F60" s="396">
        <f t="shared" si="72"/>
        <v>0</v>
      </c>
      <c r="G60" s="396">
        <f t="shared" si="72"/>
        <v>0</v>
      </c>
      <c r="H60" s="396">
        <f t="shared" si="72"/>
        <v>0</v>
      </c>
      <c r="I60" s="396">
        <f t="shared" si="72"/>
        <v>0</v>
      </c>
      <c r="J60" s="460">
        <f t="shared" si="72"/>
        <v>0</v>
      </c>
      <c r="K60" s="460">
        <f t="shared" si="72"/>
        <v>9885146</v>
      </c>
      <c r="L60" s="460">
        <f t="shared" si="72"/>
        <v>0</v>
      </c>
      <c r="M60" s="460">
        <f t="shared" si="72"/>
        <v>0</v>
      </c>
      <c r="N60" s="460">
        <f t="shared" si="72"/>
        <v>0</v>
      </c>
      <c r="O60" s="460">
        <f t="shared" si="72"/>
        <v>0</v>
      </c>
      <c r="P60" s="460">
        <f t="shared" si="72"/>
        <v>0</v>
      </c>
      <c r="Q60" s="460">
        <f t="shared" si="72"/>
        <v>0</v>
      </c>
      <c r="R60" s="460">
        <f t="shared" si="72"/>
        <v>0</v>
      </c>
      <c r="S60" s="460">
        <f t="shared" si="72"/>
        <v>0</v>
      </c>
      <c r="T60" s="460">
        <f t="shared" si="72"/>
        <v>0</v>
      </c>
      <c r="U60" s="460">
        <f t="shared" si="72"/>
        <v>0</v>
      </c>
      <c r="V60" s="460">
        <f t="shared" si="72"/>
        <v>0</v>
      </c>
      <c r="W60" s="460">
        <f t="shared" si="72"/>
        <v>9885146</v>
      </c>
      <c r="X60" s="396">
        <f t="shared" si="72"/>
        <v>0</v>
      </c>
      <c r="Y60" s="396">
        <f t="shared" si="72"/>
        <v>0</v>
      </c>
      <c r="Z60" s="396">
        <f t="shared" si="72"/>
        <v>0</v>
      </c>
      <c r="AA60" s="396">
        <f t="shared" si="72"/>
        <v>0</v>
      </c>
      <c r="AB60" s="396">
        <f t="shared" si="72"/>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HJzLj1bivaB1kbEiApUGhrNP/xunIqp5aTtZONKfJxv3Tpt8vBHppAeEfypiHNriV4wdbHKxgMRZybxtLy4VUA==" saltValue="HwrEs0e7losW2D4c6oXNcA=="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rowBreaks count="1" manualBreakCount="1">
    <brk id="56" max="16383" man="1"/>
  </rowBreaks>
  <colBreaks count="1" manualBreakCount="1">
    <brk id="31"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6487-2EC7-4919-9ADB-987997DC51A5}">
  <sheetPr>
    <tabColor indexed="60"/>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2.14062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16384" width="8" style="396"/>
  </cols>
  <sheetData>
    <row r="1" spans="1:37" s="397" customFormat="1" ht="21" customHeight="1">
      <c r="A1" s="3667" t="s">
        <v>4273</v>
      </c>
      <c r="B1" s="3667"/>
      <c r="C1" s="3667"/>
      <c r="D1" s="3667"/>
      <c r="E1" s="3667"/>
      <c r="F1" s="3667"/>
      <c r="G1" s="3667"/>
      <c r="H1" s="3667"/>
      <c r="I1" s="3667"/>
      <c r="J1" s="3667"/>
      <c r="K1" s="3667"/>
      <c r="L1" s="3667"/>
      <c r="M1" s="3667"/>
      <c r="N1" s="3667"/>
      <c r="O1" s="3667"/>
      <c r="P1" s="3667"/>
      <c r="Q1" s="3667"/>
      <c r="R1" s="3667"/>
      <c r="S1" s="3667"/>
      <c r="T1" s="3667"/>
      <c r="U1" s="3667"/>
      <c r="V1" s="3667"/>
      <c r="W1" s="3667"/>
      <c r="X1" s="3667"/>
      <c r="Y1" s="3667"/>
      <c r="Z1" s="3667"/>
      <c r="AA1" s="3667"/>
      <c r="AB1" s="3667"/>
      <c r="AC1" s="3667"/>
      <c r="AD1" s="3667"/>
      <c r="AE1" s="3667"/>
      <c r="AF1" s="3667"/>
      <c r="AG1" s="3667"/>
      <c r="AH1" s="3667"/>
      <c r="AI1" s="3667"/>
    </row>
    <row r="2" spans="1:37" s="398" customFormat="1" ht="23.25" customHeight="1">
      <c r="A2" s="3661" t="s">
        <v>3421</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6.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AC8" si="0">SUM(D9:D19)</f>
        <v>36425245</v>
      </c>
      <c r="E8" s="2715">
        <f t="shared" si="0"/>
        <v>49713908</v>
      </c>
      <c r="F8" s="1213">
        <f t="shared" si="0"/>
        <v>35110809</v>
      </c>
      <c r="G8" s="1213">
        <f t="shared" si="0"/>
        <v>36866923</v>
      </c>
      <c r="H8" s="1213">
        <f t="shared" si="0"/>
        <v>40372781</v>
      </c>
      <c r="I8" s="1213">
        <f t="shared" si="0"/>
        <v>43734132</v>
      </c>
      <c r="J8" s="1213">
        <f t="shared" si="0"/>
        <v>43734132</v>
      </c>
      <c r="K8" s="3208">
        <f t="shared" si="0"/>
        <v>43734132</v>
      </c>
      <c r="L8" s="1213">
        <f t="shared" si="0"/>
        <v>0</v>
      </c>
      <c r="M8" s="1213">
        <f t="shared" si="0"/>
        <v>0</v>
      </c>
      <c r="N8" s="1213">
        <f t="shared" si="0"/>
        <v>0</v>
      </c>
      <c r="O8" s="1213">
        <f t="shared" si="0"/>
        <v>0</v>
      </c>
      <c r="P8" s="1213">
        <f t="shared" si="0"/>
        <v>0</v>
      </c>
      <c r="Q8" s="1213">
        <f t="shared" si="0"/>
        <v>0</v>
      </c>
      <c r="R8" s="1213">
        <f t="shared" si="0"/>
        <v>35110809</v>
      </c>
      <c r="S8" s="1213">
        <f t="shared" si="0"/>
        <v>36866923</v>
      </c>
      <c r="T8" s="1213">
        <f t="shared" si="0"/>
        <v>40372781</v>
      </c>
      <c r="U8" s="1213">
        <f t="shared" si="0"/>
        <v>43734132</v>
      </c>
      <c r="V8" s="1213">
        <f t="shared" si="0"/>
        <v>43734132</v>
      </c>
      <c r="W8" s="1213">
        <f t="shared" si="0"/>
        <v>43734132</v>
      </c>
      <c r="X8" s="1213">
        <f t="shared" si="0"/>
        <v>0</v>
      </c>
      <c r="Y8" s="1213">
        <f t="shared" si="0"/>
        <v>0</v>
      </c>
      <c r="Z8" s="1213">
        <f t="shared" si="0"/>
        <v>0</v>
      </c>
      <c r="AA8" s="1213">
        <f t="shared" si="0"/>
        <v>0</v>
      </c>
      <c r="AB8" s="1213">
        <f t="shared" si="0"/>
        <v>0</v>
      </c>
      <c r="AC8" s="1213">
        <f t="shared" si="0"/>
        <v>0</v>
      </c>
      <c r="AD8" s="1284"/>
      <c r="AE8" s="1213">
        <f t="shared" ref="AE8:AE56" si="1">+G8-F8</f>
        <v>1756114</v>
      </c>
      <c r="AF8" s="1213">
        <f t="shared" ref="AF8:AF55" si="2">+H8-G8</f>
        <v>3505858</v>
      </c>
      <c r="AG8" s="1213">
        <f t="shared" ref="AG8:AG55" si="3">+I8-H8</f>
        <v>3361351</v>
      </c>
      <c r="AH8" s="2919">
        <f t="shared" ref="AH8:AH55" si="4">+J8-I8</f>
        <v>0</v>
      </c>
      <c r="AI8" s="1829">
        <f>+K8/I8</f>
        <v>1</v>
      </c>
      <c r="AJ8" s="417">
        <f>+F8-D8</f>
        <v>-1314436</v>
      </c>
      <c r="AK8" s="412"/>
    </row>
    <row r="9" spans="1:37" s="416" customFormat="1" ht="15">
      <c r="A9" s="2933"/>
      <c r="B9" s="1285" t="s">
        <v>176</v>
      </c>
      <c r="C9" s="1286" t="s">
        <v>226</v>
      </c>
      <c r="D9" s="1287">
        <v>0</v>
      </c>
      <c r="E9" s="2716">
        <v>0</v>
      </c>
      <c r="F9" s="1287">
        <v>0</v>
      </c>
      <c r="G9" s="1287">
        <f t="shared" ref="G9:G19" si="5">+F9</f>
        <v>0</v>
      </c>
      <c r="H9" s="1287">
        <f t="shared" ref="H9:H19" si="6">+G9</f>
        <v>0</v>
      </c>
      <c r="I9" s="1287">
        <f t="shared" ref="I9:I17" si="7">+H9</f>
        <v>0</v>
      </c>
      <c r="J9" s="1287">
        <f t="shared" ref="J9:J19" si="8">+I9</f>
        <v>0</v>
      </c>
      <c r="K9" s="3219">
        <v>0</v>
      </c>
      <c r="L9" s="1287">
        <v>0</v>
      </c>
      <c r="M9" s="1287">
        <f t="shared" ref="M9:M17" si="9">+L9</f>
        <v>0</v>
      </c>
      <c r="N9" s="1287">
        <f t="shared" ref="N9:N19" si="10">+M9</f>
        <v>0</v>
      </c>
      <c r="O9" s="1287">
        <f t="shared" ref="O9:O17" si="11">+N9</f>
        <v>0</v>
      </c>
      <c r="P9" s="1287">
        <f t="shared" ref="P9:P17" si="12">+O9</f>
        <v>0</v>
      </c>
      <c r="Q9" s="1287">
        <v>0</v>
      </c>
      <c r="R9" s="1287">
        <v>0</v>
      </c>
      <c r="S9" s="1287">
        <f t="shared" ref="S9:S19" si="13">+R9</f>
        <v>0</v>
      </c>
      <c r="T9" s="1287">
        <f t="shared" ref="T9:T19" si="14">+S9</f>
        <v>0</v>
      </c>
      <c r="U9" s="1287">
        <f t="shared" ref="U9:U17" si="15">+T9</f>
        <v>0</v>
      </c>
      <c r="V9" s="1287">
        <f t="shared" ref="V9:V17" si="16">+U9</f>
        <v>0</v>
      </c>
      <c r="W9" s="1287">
        <f>+K9</f>
        <v>0</v>
      </c>
      <c r="X9" s="1287"/>
      <c r="Y9" s="1287">
        <f t="shared" ref="Y9:Y17" si="17">+X9</f>
        <v>0</v>
      </c>
      <c r="Z9" s="1287">
        <f t="shared" ref="Z9:Z17" si="18">+Y9</f>
        <v>0</v>
      </c>
      <c r="AA9" s="1287">
        <f t="shared" ref="AA9:AA17" si="19">+Z9</f>
        <v>0</v>
      </c>
      <c r="AB9" s="1287">
        <f t="shared" ref="AB9:AB17" si="20">+AA9</f>
        <v>0</v>
      </c>
      <c r="AC9" s="1287">
        <f t="shared" ref="AC9:AC17" si="21">+AB9</f>
        <v>0</v>
      </c>
      <c r="AD9" s="1284"/>
      <c r="AE9" s="1213">
        <f t="shared" si="1"/>
        <v>0</v>
      </c>
      <c r="AF9" s="1213">
        <f t="shared" si="2"/>
        <v>0</v>
      </c>
      <c r="AG9" s="1213">
        <f t="shared" si="3"/>
        <v>0</v>
      </c>
      <c r="AH9" s="2919">
        <f t="shared" si="4"/>
        <v>0</v>
      </c>
      <c r="AI9" s="1834"/>
      <c r="AJ9" s="417">
        <f t="shared" ref="AJ9:AJ37" si="22">+F9-D9</f>
        <v>0</v>
      </c>
      <c r="AK9" s="420"/>
    </row>
    <row r="10" spans="1:37" s="416" customFormat="1" ht="15">
      <c r="A10" s="2933"/>
      <c r="B10" s="1285" t="s">
        <v>178</v>
      </c>
      <c r="C10" s="1286" t="s">
        <v>228</v>
      </c>
      <c r="D10" s="1287">
        <v>898317</v>
      </c>
      <c r="E10" s="2716">
        <v>1238039</v>
      </c>
      <c r="F10" s="1287">
        <v>1113619</v>
      </c>
      <c r="G10" s="1287">
        <f t="shared" si="5"/>
        <v>1113619</v>
      </c>
      <c r="H10" s="1287">
        <f t="shared" si="6"/>
        <v>1113619</v>
      </c>
      <c r="I10" s="1287">
        <f>+H10+82223</f>
        <v>1195842</v>
      </c>
      <c r="J10" s="1287">
        <f t="shared" si="8"/>
        <v>1195842</v>
      </c>
      <c r="K10" s="3219">
        <v>1195842</v>
      </c>
      <c r="L10" s="1287">
        <v>0</v>
      </c>
      <c r="M10" s="1287">
        <f t="shared" si="9"/>
        <v>0</v>
      </c>
      <c r="N10" s="1287">
        <f t="shared" si="10"/>
        <v>0</v>
      </c>
      <c r="O10" s="1287">
        <f t="shared" si="11"/>
        <v>0</v>
      </c>
      <c r="P10" s="1287">
        <f t="shared" si="12"/>
        <v>0</v>
      </c>
      <c r="Q10" s="1287">
        <v>0</v>
      </c>
      <c r="R10" s="1287">
        <f>+F10</f>
        <v>1113619</v>
      </c>
      <c r="S10" s="1287">
        <f t="shared" si="13"/>
        <v>1113619</v>
      </c>
      <c r="T10" s="1287">
        <f t="shared" si="14"/>
        <v>1113619</v>
      </c>
      <c r="U10" s="1287">
        <f>+T10+82223</f>
        <v>1195842</v>
      </c>
      <c r="V10" s="1287">
        <f t="shared" si="16"/>
        <v>1195842</v>
      </c>
      <c r="W10" s="1287">
        <f t="shared" ref="W10:W19" si="23">+K10</f>
        <v>1195842</v>
      </c>
      <c r="X10" s="1287"/>
      <c r="Y10" s="1287">
        <f t="shared" si="17"/>
        <v>0</v>
      </c>
      <c r="Z10" s="1287">
        <f t="shared" si="18"/>
        <v>0</v>
      </c>
      <c r="AA10" s="1287">
        <f t="shared" si="19"/>
        <v>0</v>
      </c>
      <c r="AB10" s="1287">
        <f t="shared" si="20"/>
        <v>0</v>
      </c>
      <c r="AC10" s="1287">
        <f t="shared" si="21"/>
        <v>0</v>
      </c>
      <c r="AD10" s="1284"/>
      <c r="AE10" s="1213">
        <f t="shared" si="1"/>
        <v>0</v>
      </c>
      <c r="AF10" s="1213">
        <f t="shared" si="2"/>
        <v>0</v>
      </c>
      <c r="AG10" s="1213">
        <f t="shared" si="3"/>
        <v>82223</v>
      </c>
      <c r="AH10" s="2919">
        <f t="shared" si="4"/>
        <v>0</v>
      </c>
      <c r="AI10" s="1834">
        <f>+K10/I10</f>
        <v>1</v>
      </c>
      <c r="AJ10" s="417">
        <f t="shared" si="22"/>
        <v>215302</v>
      </c>
      <c r="AK10" s="420"/>
    </row>
    <row r="11" spans="1:37" s="416" customFormat="1" ht="15">
      <c r="A11" s="2933"/>
      <c r="B11" s="1289" t="s">
        <v>179</v>
      </c>
      <c r="C11" s="1286" t="s">
        <v>460</v>
      </c>
      <c r="D11" s="1287">
        <v>0</v>
      </c>
      <c r="E11" s="2716">
        <v>0</v>
      </c>
      <c r="F11" s="1287">
        <v>0</v>
      </c>
      <c r="G11" s="1287">
        <f t="shared" si="5"/>
        <v>0</v>
      </c>
      <c r="H11" s="1287">
        <f t="shared" si="6"/>
        <v>0</v>
      </c>
      <c r="I11" s="1287">
        <f t="shared" si="7"/>
        <v>0</v>
      </c>
      <c r="J11" s="1287">
        <f t="shared" si="8"/>
        <v>0</v>
      </c>
      <c r="K11" s="3219">
        <v>0</v>
      </c>
      <c r="L11" s="1287">
        <v>0</v>
      </c>
      <c r="M11" s="1287">
        <f t="shared" si="9"/>
        <v>0</v>
      </c>
      <c r="N11" s="1287">
        <f t="shared" si="10"/>
        <v>0</v>
      </c>
      <c r="O11" s="1287">
        <f t="shared" si="11"/>
        <v>0</v>
      </c>
      <c r="P11" s="1287">
        <f t="shared" si="12"/>
        <v>0</v>
      </c>
      <c r="Q11" s="1287">
        <v>0</v>
      </c>
      <c r="R11" s="1287">
        <v>0</v>
      </c>
      <c r="S11" s="1287">
        <f t="shared" si="13"/>
        <v>0</v>
      </c>
      <c r="T11" s="1287">
        <f t="shared" si="14"/>
        <v>0</v>
      </c>
      <c r="U11" s="1287">
        <f t="shared" si="15"/>
        <v>0</v>
      </c>
      <c r="V11" s="1287">
        <f t="shared" si="16"/>
        <v>0</v>
      </c>
      <c r="W11" s="1287">
        <f t="shared" si="23"/>
        <v>0</v>
      </c>
      <c r="X11" s="1287"/>
      <c r="Y11" s="1287">
        <f t="shared" si="17"/>
        <v>0</v>
      </c>
      <c r="Z11" s="1287">
        <f t="shared" si="18"/>
        <v>0</v>
      </c>
      <c r="AA11" s="1287">
        <f t="shared" si="19"/>
        <v>0</v>
      </c>
      <c r="AB11" s="1287">
        <f t="shared" si="20"/>
        <v>0</v>
      </c>
      <c r="AC11" s="1287">
        <f t="shared" si="21"/>
        <v>0</v>
      </c>
      <c r="AD11" s="1284"/>
      <c r="AE11" s="1213">
        <f t="shared" si="1"/>
        <v>0</v>
      </c>
      <c r="AF11" s="1213">
        <f t="shared" si="2"/>
        <v>0</v>
      </c>
      <c r="AG11" s="1213">
        <f t="shared" si="3"/>
        <v>0</v>
      </c>
      <c r="AH11" s="2919">
        <f t="shared" si="4"/>
        <v>0</v>
      </c>
      <c r="AI11" s="1834"/>
      <c r="AJ11" s="417">
        <f t="shared" si="22"/>
        <v>0</v>
      </c>
      <c r="AK11" s="420"/>
    </row>
    <row r="12" spans="1:37" s="416" customFormat="1" ht="15">
      <c r="A12" s="2933"/>
      <c r="B12" s="1289" t="s">
        <v>180</v>
      </c>
      <c r="C12" s="1286" t="s">
        <v>232</v>
      </c>
      <c r="D12" s="1287">
        <v>0</v>
      </c>
      <c r="E12" s="2716">
        <v>0</v>
      </c>
      <c r="F12" s="1287">
        <v>0</v>
      </c>
      <c r="G12" s="1287">
        <f t="shared" si="5"/>
        <v>0</v>
      </c>
      <c r="H12" s="1287">
        <f t="shared" si="6"/>
        <v>0</v>
      </c>
      <c r="I12" s="1287">
        <f t="shared" si="7"/>
        <v>0</v>
      </c>
      <c r="J12" s="1287">
        <f t="shared" si="8"/>
        <v>0</v>
      </c>
      <c r="K12" s="3219">
        <v>0</v>
      </c>
      <c r="L12" s="1287">
        <v>0</v>
      </c>
      <c r="M12" s="1287">
        <f t="shared" si="9"/>
        <v>0</v>
      </c>
      <c r="N12" s="1287">
        <f t="shared" si="10"/>
        <v>0</v>
      </c>
      <c r="O12" s="1287">
        <f t="shared" si="11"/>
        <v>0</v>
      </c>
      <c r="P12" s="1287">
        <f t="shared" si="12"/>
        <v>0</v>
      </c>
      <c r="Q12" s="1287">
        <v>0</v>
      </c>
      <c r="R12" s="1287">
        <v>0</v>
      </c>
      <c r="S12" s="1287">
        <f t="shared" si="13"/>
        <v>0</v>
      </c>
      <c r="T12" s="1287">
        <f t="shared" si="14"/>
        <v>0</v>
      </c>
      <c r="U12" s="1287">
        <f t="shared" si="15"/>
        <v>0</v>
      </c>
      <c r="V12" s="1287">
        <f t="shared" si="16"/>
        <v>0</v>
      </c>
      <c r="W12" s="1287">
        <f t="shared" si="23"/>
        <v>0</v>
      </c>
      <c r="X12" s="1287"/>
      <c r="Y12" s="1287">
        <f t="shared" si="17"/>
        <v>0</v>
      </c>
      <c r="Z12" s="1287">
        <f t="shared" si="18"/>
        <v>0</v>
      </c>
      <c r="AA12" s="1287">
        <f t="shared" si="19"/>
        <v>0</v>
      </c>
      <c r="AB12" s="1287">
        <f t="shared" si="20"/>
        <v>0</v>
      </c>
      <c r="AC12" s="1287">
        <f t="shared" si="21"/>
        <v>0</v>
      </c>
      <c r="AD12" s="1284"/>
      <c r="AE12" s="1213">
        <f t="shared" si="1"/>
        <v>0</v>
      </c>
      <c r="AF12" s="1213">
        <f t="shared" si="2"/>
        <v>0</v>
      </c>
      <c r="AG12" s="1213">
        <f t="shared" si="3"/>
        <v>0</v>
      </c>
      <c r="AH12" s="2919">
        <f t="shared" si="4"/>
        <v>0</v>
      </c>
      <c r="AI12" s="1834"/>
      <c r="AJ12" s="417">
        <f t="shared" si="22"/>
        <v>0</v>
      </c>
      <c r="AK12" s="420"/>
    </row>
    <row r="13" spans="1:37" s="416" customFormat="1" ht="15">
      <c r="A13" s="2933"/>
      <c r="B13" s="1289" t="s">
        <v>181</v>
      </c>
      <c r="C13" s="1286" t="s">
        <v>234</v>
      </c>
      <c r="D13" s="1287">
        <v>26898212</v>
      </c>
      <c r="E13" s="2716">
        <v>24010926</v>
      </c>
      <c r="F13" s="1287">
        <v>25939313</v>
      </c>
      <c r="G13" s="1287">
        <f t="shared" si="5"/>
        <v>25939313</v>
      </c>
      <c r="H13" s="1287">
        <f t="shared" si="6"/>
        <v>25939313</v>
      </c>
      <c r="I13" s="1287">
        <f>+H13-1738256</f>
        <v>24201057</v>
      </c>
      <c r="J13" s="1287">
        <f t="shared" si="8"/>
        <v>24201057</v>
      </c>
      <c r="K13" s="3219">
        <v>24201057</v>
      </c>
      <c r="L13" s="1287">
        <v>0</v>
      </c>
      <c r="M13" s="1287">
        <f t="shared" si="9"/>
        <v>0</v>
      </c>
      <c r="N13" s="1287">
        <f t="shared" si="10"/>
        <v>0</v>
      </c>
      <c r="O13" s="1287">
        <f t="shared" si="11"/>
        <v>0</v>
      </c>
      <c r="P13" s="1287">
        <f t="shared" si="12"/>
        <v>0</v>
      </c>
      <c r="Q13" s="1287">
        <v>0</v>
      </c>
      <c r="R13" s="1287">
        <f>+F13</f>
        <v>25939313</v>
      </c>
      <c r="S13" s="1287">
        <f t="shared" si="13"/>
        <v>25939313</v>
      </c>
      <c r="T13" s="1287">
        <f t="shared" si="14"/>
        <v>25939313</v>
      </c>
      <c r="U13" s="1287">
        <f>+T13-1738256</f>
        <v>24201057</v>
      </c>
      <c r="V13" s="1287">
        <f t="shared" si="16"/>
        <v>24201057</v>
      </c>
      <c r="W13" s="1287">
        <f t="shared" si="23"/>
        <v>24201057</v>
      </c>
      <c r="X13" s="1287"/>
      <c r="Y13" s="1287">
        <f t="shared" si="17"/>
        <v>0</v>
      </c>
      <c r="Z13" s="1287">
        <f t="shared" si="18"/>
        <v>0</v>
      </c>
      <c r="AA13" s="1287">
        <f t="shared" si="19"/>
        <v>0</v>
      </c>
      <c r="AB13" s="1287">
        <f t="shared" si="20"/>
        <v>0</v>
      </c>
      <c r="AC13" s="1287">
        <f t="shared" si="21"/>
        <v>0</v>
      </c>
      <c r="AD13" s="1284"/>
      <c r="AE13" s="1213">
        <f t="shared" si="1"/>
        <v>0</v>
      </c>
      <c r="AF13" s="1213">
        <f t="shared" si="2"/>
        <v>0</v>
      </c>
      <c r="AG13" s="1213">
        <f t="shared" si="3"/>
        <v>-1738256</v>
      </c>
      <c r="AH13" s="2919">
        <f t="shared" si="4"/>
        <v>0</v>
      </c>
      <c r="AI13" s="1834">
        <f>+K13/I13</f>
        <v>1</v>
      </c>
      <c r="AJ13" s="417">
        <f t="shared" si="22"/>
        <v>-958899</v>
      </c>
      <c r="AK13" s="420"/>
    </row>
    <row r="14" spans="1:37" s="416" customFormat="1" ht="15">
      <c r="A14" s="2933"/>
      <c r="B14" s="1289" t="s">
        <v>183</v>
      </c>
      <c r="C14" s="1286" t="s">
        <v>887</v>
      </c>
      <c r="D14" s="1287">
        <v>7505063</v>
      </c>
      <c r="E14" s="2716">
        <v>7235708</v>
      </c>
      <c r="F14" s="1287">
        <v>7304292</v>
      </c>
      <c r="G14" s="1287">
        <f t="shared" si="5"/>
        <v>7304292</v>
      </c>
      <c r="H14" s="1287">
        <f t="shared" si="6"/>
        <v>7304292</v>
      </c>
      <c r="I14" s="1287">
        <f>+H14-770013</f>
        <v>6534279</v>
      </c>
      <c r="J14" s="1287">
        <f t="shared" si="8"/>
        <v>6534279</v>
      </c>
      <c r="K14" s="3219">
        <v>6534279</v>
      </c>
      <c r="L14" s="1287">
        <v>0</v>
      </c>
      <c r="M14" s="1287">
        <f t="shared" si="9"/>
        <v>0</v>
      </c>
      <c r="N14" s="1287">
        <f t="shared" si="10"/>
        <v>0</v>
      </c>
      <c r="O14" s="1287">
        <f t="shared" si="11"/>
        <v>0</v>
      </c>
      <c r="P14" s="1287">
        <f t="shared" si="12"/>
        <v>0</v>
      </c>
      <c r="Q14" s="1287">
        <v>0</v>
      </c>
      <c r="R14" s="1287">
        <f>+F14</f>
        <v>7304292</v>
      </c>
      <c r="S14" s="1287">
        <f t="shared" si="13"/>
        <v>7304292</v>
      </c>
      <c r="T14" s="1287">
        <f t="shared" si="14"/>
        <v>7304292</v>
      </c>
      <c r="U14" s="1287">
        <f>+T14-770013</f>
        <v>6534279</v>
      </c>
      <c r="V14" s="1287">
        <f t="shared" si="16"/>
        <v>6534279</v>
      </c>
      <c r="W14" s="1287">
        <f t="shared" si="23"/>
        <v>6534279</v>
      </c>
      <c r="X14" s="1287"/>
      <c r="Y14" s="1287">
        <f t="shared" si="17"/>
        <v>0</v>
      </c>
      <c r="Z14" s="1287">
        <f t="shared" si="18"/>
        <v>0</v>
      </c>
      <c r="AA14" s="1287">
        <f t="shared" si="19"/>
        <v>0</v>
      </c>
      <c r="AB14" s="1287">
        <f t="shared" si="20"/>
        <v>0</v>
      </c>
      <c r="AC14" s="1287">
        <f t="shared" si="21"/>
        <v>0</v>
      </c>
      <c r="AD14" s="1284"/>
      <c r="AE14" s="1213">
        <f t="shared" si="1"/>
        <v>0</v>
      </c>
      <c r="AF14" s="1213">
        <f t="shared" si="2"/>
        <v>0</v>
      </c>
      <c r="AG14" s="1213">
        <f t="shared" si="3"/>
        <v>-770013</v>
      </c>
      <c r="AH14" s="2919">
        <f t="shared" si="4"/>
        <v>0</v>
      </c>
      <c r="AI14" s="1834">
        <f>+K14/I14</f>
        <v>1</v>
      </c>
      <c r="AJ14" s="417">
        <f t="shared" si="22"/>
        <v>-200771</v>
      </c>
      <c r="AK14" s="420"/>
    </row>
    <row r="15" spans="1:37" s="416" customFormat="1" ht="15">
      <c r="A15" s="2933"/>
      <c r="B15" s="1289" t="s">
        <v>321</v>
      </c>
      <c r="C15" s="1290" t="s">
        <v>238</v>
      </c>
      <c r="D15" s="1287">
        <v>0</v>
      </c>
      <c r="E15" s="2716">
        <v>9257162</v>
      </c>
      <c r="F15" s="1287">
        <v>0</v>
      </c>
      <c r="G15" s="1287">
        <f>+F15+1756114</f>
        <v>1756114</v>
      </c>
      <c r="H15" s="1287">
        <f>+G15+3505858</f>
        <v>5261972</v>
      </c>
      <c r="I15" s="1287">
        <f>+H15+1287166+3436000</f>
        <v>9985138</v>
      </c>
      <c r="J15" s="1287">
        <f t="shared" si="8"/>
        <v>9985138</v>
      </c>
      <c r="K15" s="3219">
        <v>9985138</v>
      </c>
      <c r="L15" s="1287">
        <v>0</v>
      </c>
      <c r="M15" s="1287">
        <f t="shared" si="9"/>
        <v>0</v>
      </c>
      <c r="N15" s="1287">
        <f t="shared" si="10"/>
        <v>0</v>
      </c>
      <c r="O15" s="1287">
        <f t="shared" si="11"/>
        <v>0</v>
      </c>
      <c r="P15" s="1287">
        <f t="shared" si="12"/>
        <v>0</v>
      </c>
      <c r="Q15" s="1287">
        <v>0</v>
      </c>
      <c r="R15" s="1287">
        <f>0</f>
        <v>0</v>
      </c>
      <c r="S15" s="1287">
        <f>+R15+1756114</f>
        <v>1756114</v>
      </c>
      <c r="T15" s="1287">
        <f>+S15+3505858</f>
        <v>5261972</v>
      </c>
      <c r="U15" s="1287">
        <f>+T15+1287166+3436000</f>
        <v>9985138</v>
      </c>
      <c r="V15" s="1287">
        <f t="shared" si="16"/>
        <v>9985138</v>
      </c>
      <c r="W15" s="1287">
        <f t="shared" si="23"/>
        <v>9985138</v>
      </c>
      <c r="X15" s="1287"/>
      <c r="Y15" s="1287">
        <f t="shared" si="17"/>
        <v>0</v>
      </c>
      <c r="Z15" s="1287">
        <f t="shared" si="18"/>
        <v>0</v>
      </c>
      <c r="AA15" s="1287">
        <f t="shared" si="19"/>
        <v>0</v>
      </c>
      <c r="AB15" s="1287">
        <f t="shared" si="20"/>
        <v>0</v>
      </c>
      <c r="AC15" s="1287">
        <f t="shared" si="21"/>
        <v>0</v>
      </c>
      <c r="AD15" s="1665"/>
      <c r="AE15" s="1213">
        <f t="shared" si="1"/>
        <v>1756114</v>
      </c>
      <c r="AF15" s="1213">
        <f t="shared" si="2"/>
        <v>3505858</v>
      </c>
      <c r="AG15" s="1213">
        <f t="shared" si="3"/>
        <v>4723166</v>
      </c>
      <c r="AH15" s="2919">
        <f t="shared" si="4"/>
        <v>0</v>
      </c>
      <c r="AI15" s="1834">
        <f>+K15/I15</f>
        <v>1</v>
      </c>
      <c r="AJ15" s="417">
        <f t="shared" si="22"/>
        <v>0</v>
      </c>
      <c r="AK15" s="420"/>
    </row>
    <row r="16" spans="1:37" s="416" customFormat="1" ht="15">
      <c r="A16" s="2933"/>
      <c r="B16" s="1289" t="s">
        <v>323</v>
      </c>
      <c r="C16" s="1286" t="s">
        <v>1277</v>
      </c>
      <c r="D16" s="1287">
        <v>1123653</v>
      </c>
      <c r="E16" s="2716">
        <v>1158698</v>
      </c>
      <c r="F16" s="1287">
        <v>753585</v>
      </c>
      <c r="G16" s="1287">
        <f t="shared" si="5"/>
        <v>753585</v>
      </c>
      <c r="H16" s="1287">
        <f>+G16</f>
        <v>753585</v>
      </c>
      <c r="I16" s="1287">
        <f>+H16-141703</f>
        <v>611882</v>
      </c>
      <c r="J16" s="1287">
        <f t="shared" si="8"/>
        <v>611882</v>
      </c>
      <c r="K16" s="3219">
        <v>611882</v>
      </c>
      <c r="L16" s="1287">
        <v>0</v>
      </c>
      <c r="M16" s="1287">
        <f t="shared" si="9"/>
        <v>0</v>
      </c>
      <c r="N16" s="1287">
        <f t="shared" si="10"/>
        <v>0</v>
      </c>
      <c r="O16" s="1287">
        <f t="shared" si="11"/>
        <v>0</v>
      </c>
      <c r="P16" s="1287">
        <f t="shared" si="12"/>
        <v>0</v>
      </c>
      <c r="Q16" s="1287">
        <v>0</v>
      </c>
      <c r="R16" s="1287">
        <f>+F16</f>
        <v>753585</v>
      </c>
      <c r="S16" s="1287">
        <f>+R16</f>
        <v>753585</v>
      </c>
      <c r="T16" s="1287">
        <f>+S16</f>
        <v>753585</v>
      </c>
      <c r="U16" s="1287">
        <f>+T16-141703</f>
        <v>611882</v>
      </c>
      <c r="V16" s="1287">
        <f t="shared" si="16"/>
        <v>611882</v>
      </c>
      <c r="W16" s="1287">
        <f t="shared" si="23"/>
        <v>611882</v>
      </c>
      <c r="X16" s="1287"/>
      <c r="Y16" s="1287">
        <f t="shared" si="17"/>
        <v>0</v>
      </c>
      <c r="Z16" s="1287">
        <f t="shared" si="18"/>
        <v>0</v>
      </c>
      <c r="AA16" s="1287">
        <f t="shared" si="19"/>
        <v>0</v>
      </c>
      <c r="AB16" s="1287">
        <f t="shared" si="20"/>
        <v>0</v>
      </c>
      <c r="AC16" s="1287">
        <f t="shared" si="21"/>
        <v>0</v>
      </c>
      <c r="AD16" s="1665"/>
      <c r="AE16" s="1213">
        <f t="shared" si="1"/>
        <v>0</v>
      </c>
      <c r="AF16" s="1213">
        <f t="shared" si="2"/>
        <v>0</v>
      </c>
      <c r="AG16" s="1213">
        <f t="shared" si="3"/>
        <v>-141703</v>
      </c>
      <c r="AH16" s="2919">
        <f t="shared" si="4"/>
        <v>0</v>
      </c>
      <c r="AI16" s="1834">
        <f>+K16/I16</f>
        <v>1</v>
      </c>
      <c r="AJ16" s="417">
        <f t="shared" si="22"/>
        <v>-370068</v>
      </c>
      <c r="AK16" s="420"/>
    </row>
    <row r="17" spans="1:37" s="416" customFormat="1" ht="15">
      <c r="A17" s="2933"/>
      <c r="B17" s="1289" t="s">
        <v>325</v>
      </c>
      <c r="C17" s="1286" t="s">
        <v>242</v>
      </c>
      <c r="D17" s="1287">
        <v>0</v>
      </c>
      <c r="E17" s="2716">
        <v>0</v>
      </c>
      <c r="F17" s="1287">
        <v>0</v>
      </c>
      <c r="G17" s="1287">
        <f t="shared" si="5"/>
        <v>0</v>
      </c>
      <c r="H17" s="1287">
        <f t="shared" si="6"/>
        <v>0</v>
      </c>
      <c r="I17" s="1287">
        <f t="shared" si="7"/>
        <v>0</v>
      </c>
      <c r="J17" s="1287">
        <f t="shared" si="8"/>
        <v>0</v>
      </c>
      <c r="K17" s="3219">
        <v>0</v>
      </c>
      <c r="L17" s="1287">
        <v>0</v>
      </c>
      <c r="M17" s="1287">
        <f t="shared" si="9"/>
        <v>0</v>
      </c>
      <c r="N17" s="1287">
        <f t="shared" si="10"/>
        <v>0</v>
      </c>
      <c r="O17" s="1287">
        <f t="shared" si="11"/>
        <v>0</v>
      </c>
      <c r="P17" s="1287">
        <f t="shared" si="12"/>
        <v>0</v>
      </c>
      <c r="Q17" s="1287">
        <v>0</v>
      </c>
      <c r="R17" s="1287">
        <v>0</v>
      </c>
      <c r="S17" s="1287">
        <f t="shared" si="13"/>
        <v>0</v>
      </c>
      <c r="T17" s="1287">
        <f t="shared" si="14"/>
        <v>0</v>
      </c>
      <c r="U17" s="1287">
        <f t="shared" si="15"/>
        <v>0</v>
      </c>
      <c r="V17" s="1287">
        <f t="shared" si="16"/>
        <v>0</v>
      </c>
      <c r="W17" s="1287">
        <f t="shared" si="23"/>
        <v>0</v>
      </c>
      <c r="X17" s="1287"/>
      <c r="Y17" s="1287">
        <f t="shared" si="17"/>
        <v>0</v>
      </c>
      <c r="Z17" s="1287">
        <f t="shared" si="18"/>
        <v>0</v>
      </c>
      <c r="AA17" s="1287">
        <f t="shared" si="19"/>
        <v>0</v>
      </c>
      <c r="AB17" s="1287">
        <f t="shared" si="20"/>
        <v>0</v>
      </c>
      <c r="AC17" s="1287">
        <f t="shared" si="21"/>
        <v>0</v>
      </c>
      <c r="AD17" s="1284"/>
      <c r="AE17" s="1213">
        <f t="shared" si="1"/>
        <v>0</v>
      </c>
      <c r="AF17" s="1213">
        <f t="shared" si="2"/>
        <v>0</v>
      </c>
      <c r="AG17" s="1213">
        <f t="shared" si="3"/>
        <v>0</v>
      </c>
      <c r="AH17" s="2919">
        <f t="shared" si="4"/>
        <v>0</v>
      </c>
      <c r="AI17" s="1834"/>
      <c r="AJ17" s="417">
        <f t="shared" si="22"/>
        <v>0</v>
      </c>
      <c r="AK17" s="420"/>
    </row>
    <row r="18" spans="1:37" s="416" customFormat="1" ht="15">
      <c r="A18" s="2933"/>
      <c r="B18" s="1289" t="s">
        <v>327</v>
      </c>
      <c r="C18" s="1286" t="s">
        <v>163</v>
      </c>
      <c r="D18" s="1287">
        <v>0</v>
      </c>
      <c r="E18" s="2716">
        <v>0</v>
      </c>
      <c r="F18" s="1287">
        <v>0</v>
      </c>
      <c r="G18" s="1287">
        <f t="shared" si="5"/>
        <v>0</v>
      </c>
      <c r="H18" s="1287">
        <f t="shared" si="6"/>
        <v>0</v>
      </c>
      <c r="I18" s="1287">
        <v>0</v>
      </c>
      <c r="J18" s="1287">
        <f t="shared" si="8"/>
        <v>0</v>
      </c>
      <c r="K18" s="3219">
        <v>0</v>
      </c>
      <c r="L18" s="1287">
        <v>0</v>
      </c>
      <c r="M18" s="1287">
        <v>0</v>
      </c>
      <c r="N18" s="1287">
        <f t="shared" si="10"/>
        <v>0</v>
      </c>
      <c r="O18" s="1287">
        <v>0</v>
      </c>
      <c r="P18" s="1287"/>
      <c r="Q18" s="1287">
        <v>0</v>
      </c>
      <c r="R18" s="1287">
        <v>0</v>
      </c>
      <c r="S18" s="1287">
        <f t="shared" si="13"/>
        <v>0</v>
      </c>
      <c r="T18" s="1287">
        <f t="shared" si="14"/>
        <v>0</v>
      </c>
      <c r="U18" s="1287">
        <v>0</v>
      </c>
      <c r="V18" s="1287"/>
      <c r="W18" s="1287">
        <f t="shared" si="23"/>
        <v>0</v>
      </c>
      <c r="X18" s="1287"/>
      <c r="Y18" s="1287"/>
      <c r="Z18" s="1287"/>
      <c r="AA18" s="1287"/>
      <c r="AB18" s="1287"/>
      <c r="AC18" s="1287"/>
      <c r="AD18" s="1284"/>
      <c r="AE18" s="1213">
        <f t="shared" si="1"/>
        <v>0</v>
      </c>
      <c r="AF18" s="1213">
        <f t="shared" si="2"/>
        <v>0</v>
      </c>
      <c r="AG18" s="1213">
        <f t="shared" si="3"/>
        <v>0</v>
      </c>
      <c r="AH18" s="2919">
        <f t="shared" si="4"/>
        <v>0</v>
      </c>
      <c r="AI18" s="1834"/>
      <c r="AJ18" s="417">
        <f t="shared" si="22"/>
        <v>0</v>
      </c>
      <c r="AK18" s="420"/>
    </row>
    <row r="19" spans="1:37" s="424" customFormat="1" ht="15">
      <c r="A19" s="2933"/>
      <c r="B19" s="1289" t="s">
        <v>329</v>
      </c>
      <c r="C19" s="1286" t="s">
        <v>162</v>
      </c>
      <c r="D19" s="1287">
        <v>0</v>
      </c>
      <c r="E19" s="2716">
        <v>6813375</v>
      </c>
      <c r="F19" s="1287">
        <v>0</v>
      </c>
      <c r="G19" s="1287">
        <f t="shared" si="5"/>
        <v>0</v>
      </c>
      <c r="H19" s="1287">
        <f t="shared" si="6"/>
        <v>0</v>
      </c>
      <c r="I19" s="1287">
        <f>+H19+1205934</f>
        <v>1205934</v>
      </c>
      <c r="J19" s="1287">
        <f t="shared" si="8"/>
        <v>1205934</v>
      </c>
      <c r="K19" s="3219">
        <v>1205934</v>
      </c>
      <c r="L19" s="1287">
        <v>0</v>
      </c>
      <c r="M19" s="1287">
        <f>+L19</f>
        <v>0</v>
      </c>
      <c r="N19" s="1287">
        <f t="shared" si="10"/>
        <v>0</v>
      </c>
      <c r="O19" s="1287">
        <f>+N19</f>
        <v>0</v>
      </c>
      <c r="P19" s="1287">
        <f>+O19</f>
        <v>0</v>
      </c>
      <c r="Q19" s="1287">
        <v>0</v>
      </c>
      <c r="R19" s="1287">
        <v>0</v>
      </c>
      <c r="S19" s="1287">
        <f t="shared" si="13"/>
        <v>0</v>
      </c>
      <c r="T19" s="1287">
        <f t="shared" si="14"/>
        <v>0</v>
      </c>
      <c r="U19" s="1287">
        <f>+T19+1205934</f>
        <v>1205934</v>
      </c>
      <c r="V19" s="1287">
        <f>+U19</f>
        <v>1205934</v>
      </c>
      <c r="W19" s="1287">
        <f t="shared" si="23"/>
        <v>1205934</v>
      </c>
      <c r="X19" s="1287"/>
      <c r="Y19" s="1287">
        <f>+X19</f>
        <v>0</v>
      </c>
      <c r="Z19" s="1287">
        <f>+Y19</f>
        <v>0</v>
      </c>
      <c r="AA19" s="1287">
        <f>+Z19</f>
        <v>0</v>
      </c>
      <c r="AB19" s="1287">
        <f>+AA19</f>
        <v>0</v>
      </c>
      <c r="AC19" s="1287">
        <f>+AB19</f>
        <v>0</v>
      </c>
      <c r="AD19" s="1284"/>
      <c r="AE19" s="1213">
        <f t="shared" si="1"/>
        <v>0</v>
      </c>
      <c r="AF19" s="1213">
        <f t="shared" si="2"/>
        <v>0</v>
      </c>
      <c r="AG19" s="1213">
        <f t="shared" si="3"/>
        <v>1205934</v>
      </c>
      <c r="AH19" s="2919">
        <f t="shared" si="4"/>
        <v>0</v>
      </c>
      <c r="AI19" s="1834">
        <f>+K19/I19</f>
        <v>1</v>
      </c>
      <c r="AJ19" s="417">
        <f t="shared" si="22"/>
        <v>0</v>
      </c>
      <c r="AK19" s="420"/>
    </row>
    <row r="20" spans="1:37" s="424" customFormat="1" ht="15">
      <c r="A20" s="2934" t="s">
        <v>12</v>
      </c>
      <c r="B20" s="1282" t="s">
        <v>12</v>
      </c>
      <c r="C20" s="1283" t="s">
        <v>1278</v>
      </c>
      <c r="D20" s="1213">
        <f t="shared" ref="D20:AC20" si="24">SUM(D21:D22)</f>
        <v>0</v>
      </c>
      <c r="E20" s="2715">
        <f t="shared" si="24"/>
        <v>0</v>
      </c>
      <c r="F20" s="1213">
        <f t="shared" si="24"/>
        <v>0</v>
      </c>
      <c r="G20" s="1213">
        <f t="shared" si="24"/>
        <v>0</v>
      </c>
      <c r="H20" s="1213">
        <f t="shared" si="24"/>
        <v>0</v>
      </c>
      <c r="I20" s="1213">
        <f t="shared" si="24"/>
        <v>0</v>
      </c>
      <c r="J20" s="1213">
        <f t="shared" si="24"/>
        <v>0</v>
      </c>
      <c r="K20" s="3208">
        <f>SUM(K21:K22)</f>
        <v>0</v>
      </c>
      <c r="L20" s="1213">
        <f t="shared" si="24"/>
        <v>0</v>
      </c>
      <c r="M20" s="1213">
        <f t="shared" si="24"/>
        <v>0</v>
      </c>
      <c r="N20" s="1213">
        <f t="shared" si="24"/>
        <v>0</v>
      </c>
      <c r="O20" s="1213">
        <f t="shared" si="24"/>
        <v>0</v>
      </c>
      <c r="P20" s="1213">
        <f t="shared" si="24"/>
        <v>0</v>
      </c>
      <c r="Q20" s="1213">
        <f t="shared" si="24"/>
        <v>0</v>
      </c>
      <c r="R20" s="1213">
        <f t="shared" si="24"/>
        <v>0</v>
      </c>
      <c r="S20" s="1213">
        <f t="shared" si="24"/>
        <v>0</v>
      </c>
      <c r="T20" s="1213">
        <f t="shared" si="24"/>
        <v>0</v>
      </c>
      <c r="U20" s="1213">
        <f t="shared" si="24"/>
        <v>0</v>
      </c>
      <c r="V20" s="1213">
        <f t="shared" si="24"/>
        <v>0</v>
      </c>
      <c r="W20" s="1213">
        <f t="shared" si="24"/>
        <v>0</v>
      </c>
      <c r="X20" s="1213">
        <f t="shared" si="24"/>
        <v>0</v>
      </c>
      <c r="Y20" s="1213">
        <f t="shared" si="24"/>
        <v>0</v>
      </c>
      <c r="Z20" s="1213">
        <f t="shared" si="24"/>
        <v>0</v>
      </c>
      <c r="AA20" s="1213">
        <f t="shared" si="24"/>
        <v>0</v>
      </c>
      <c r="AB20" s="1213">
        <f t="shared" si="24"/>
        <v>0</v>
      </c>
      <c r="AC20" s="1213">
        <f t="shared" si="24"/>
        <v>0</v>
      </c>
      <c r="AD20" s="1284"/>
      <c r="AE20" s="1213">
        <f t="shared" si="1"/>
        <v>0</v>
      </c>
      <c r="AF20" s="1213">
        <f t="shared" si="2"/>
        <v>0</v>
      </c>
      <c r="AG20" s="1213">
        <f t="shared" si="3"/>
        <v>0</v>
      </c>
      <c r="AH20" s="2919">
        <f t="shared" si="4"/>
        <v>0</v>
      </c>
      <c r="AI20" s="1829"/>
      <c r="AJ20" s="417">
        <f t="shared" si="22"/>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3219">
        <v>0</v>
      </c>
      <c r="L21" s="1287">
        <v>0</v>
      </c>
      <c r="M21" s="1287">
        <f t="shared" ref="M21:P22" si="26">+L21</f>
        <v>0</v>
      </c>
      <c r="N21" s="1287">
        <f t="shared" si="26"/>
        <v>0</v>
      </c>
      <c r="O21" s="1287">
        <f t="shared" si="26"/>
        <v>0</v>
      </c>
      <c r="P21" s="1287">
        <f t="shared" si="26"/>
        <v>0</v>
      </c>
      <c r="Q21" s="1287">
        <v>0</v>
      </c>
      <c r="R21" s="1287">
        <v>0</v>
      </c>
      <c r="S21" s="1287">
        <f t="shared" ref="S21:V22" si="27">+R21</f>
        <v>0</v>
      </c>
      <c r="T21" s="1287">
        <f t="shared" si="27"/>
        <v>0</v>
      </c>
      <c r="U21" s="1287">
        <f t="shared" si="27"/>
        <v>0</v>
      </c>
      <c r="V21" s="1287">
        <f t="shared" si="27"/>
        <v>0</v>
      </c>
      <c r="W21" s="1287">
        <f>+K21</f>
        <v>0</v>
      </c>
      <c r="X21" s="1287"/>
      <c r="Y21" s="1287">
        <f t="shared" ref="Y21:AC22" si="28">+X21</f>
        <v>0</v>
      </c>
      <c r="Z21" s="1287">
        <f t="shared" si="28"/>
        <v>0</v>
      </c>
      <c r="AA21" s="1287">
        <f t="shared" si="28"/>
        <v>0</v>
      </c>
      <c r="AB21" s="1287">
        <f t="shared" si="28"/>
        <v>0</v>
      </c>
      <c r="AC21" s="1287">
        <f t="shared" si="28"/>
        <v>0</v>
      </c>
      <c r="AD21" s="1284"/>
      <c r="AE21" s="1213">
        <f t="shared" si="1"/>
        <v>0</v>
      </c>
      <c r="AF21" s="1213">
        <f t="shared" si="2"/>
        <v>0</v>
      </c>
      <c r="AG21" s="1213">
        <f t="shared" si="3"/>
        <v>0</v>
      </c>
      <c r="AH21" s="2919">
        <f t="shared" si="4"/>
        <v>0</v>
      </c>
      <c r="AI21" s="1834"/>
      <c r="AJ21" s="417">
        <f t="shared" si="22"/>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3219">
        <v>0</v>
      </c>
      <c r="L22" s="1287">
        <v>0</v>
      </c>
      <c r="M22" s="1287">
        <f t="shared" si="26"/>
        <v>0</v>
      </c>
      <c r="N22" s="1287">
        <f t="shared" si="26"/>
        <v>0</v>
      </c>
      <c r="O22" s="1287">
        <f t="shared" si="26"/>
        <v>0</v>
      </c>
      <c r="P22" s="1287">
        <f t="shared" si="26"/>
        <v>0</v>
      </c>
      <c r="Q22" s="1287">
        <v>0</v>
      </c>
      <c r="R22" s="1287">
        <v>0</v>
      </c>
      <c r="S22" s="1287">
        <f t="shared" si="27"/>
        <v>0</v>
      </c>
      <c r="T22" s="1287">
        <f t="shared" si="27"/>
        <v>0</v>
      </c>
      <c r="U22" s="1287">
        <f t="shared" si="27"/>
        <v>0</v>
      </c>
      <c r="V22" s="1287">
        <f t="shared" si="27"/>
        <v>0</v>
      </c>
      <c r="W22" s="1287">
        <f>+K22</f>
        <v>0</v>
      </c>
      <c r="X22" s="1287"/>
      <c r="Y22" s="1287">
        <f t="shared" si="28"/>
        <v>0</v>
      </c>
      <c r="Z22" s="1287">
        <f t="shared" si="28"/>
        <v>0</v>
      </c>
      <c r="AA22" s="1287">
        <f t="shared" si="28"/>
        <v>0</v>
      </c>
      <c r="AB22" s="1287">
        <f t="shared" si="28"/>
        <v>0</v>
      </c>
      <c r="AC22" s="1287">
        <f t="shared" si="28"/>
        <v>0</v>
      </c>
      <c r="AD22" s="1284"/>
      <c r="AE22" s="1213">
        <f t="shared" si="1"/>
        <v>0</v>
      </c>
      <c r="AF22" s="1213">
        <f t="shared" si="2"/>
        <v>0</v>
      </c>
      <c r="AG22" s="1213">
        <f t="shared" si="3"/>
        <v>0</v>
      </c>
      <c r="AH22" s="2919">
        <f t="shared" si="4"/>
        <v>0</v>
      </c>
      <c r="AI22" s="1834"/>
      <c r="AJ22" s="417">
        <f t="shared" si="22"/>
        <v>0</v>
      </c>
      <c r="AK22" s="420"/>
    </row>
    <row r="23" spans="1:37" s="416" customFormat="1" ht="21">
      <c r="A23" s="2934" t="s">
        <v>14</v>
      </c>
      <c r="B23" s="1282" t="s">
        <v>14</v>
      </c>
      <c r="C23" s="1283" t="s">
        <v>1279</v>
      </c>
      <c r="D23" s="1213">
        <f t="shared" ref="D23:AC23" si="29">D24+D25</f>
        <v>0</v>
      </c>
      <c r="E23" s="2715">
        <f t="shared" si="29"/>
        <v>36886</v>
      </c>
      <c r="F23" s="1213">
        <f t="shared" si="29"/>
        <v>0</v>
      </c>
      <c r="G23" s="1213">
        <f t="shared" si="29"/>
        <v>0</v>
      </c>
      <c r="H23" s="1213">
        <f t="shared" si="29"/>
        <v>0</v>
      </c>
      <c r="I23" s="1213">
        <f t="shared" si="29"/>
        <v>0</v>
      </c>
      <c r="J23" s="1213">
        <f t="shared" si="29"/>
        <v>0</v>
      </c>
      <c r="K23" s="3208">
        <f t="shared" si="29"/>
        <v>0</v>
      </c>
      <c r="L23" s="1213">
        <f t="shared" si="29"/>
        <v>0</v>
      </c>
      <c r="M23" s="1213">
        <f t="shared" si="29"/>
        <v>0</v>
      </c>
      <c r="N23" s="1213">
        <f t="shared" si="29"/>
        <v>0</v>
      </c>
      <c r="O23" s="1213">
        <f t="shared" si="29"/>
        <v>0</v>
      </c>
      <c r="P23" s="1213">
        <f t="shared" si="29"/>
        <v>0</v>
      </c>
      <c r="Q23" s="1213">
        <f t="shared" si="29"/>
        <v>0</v>
      </c>
      <c r="R23" s="1213">
        <f t="shared" si="29"/>
        <v>0</v>
      </c>
      <c r="S23" s="1213">
        <f t="shared" si="29"/>
        <v>0</v>
      </c>
      <c r="T23" s="1213">
        <f t="shared" si="29"/>
        <v>0</v>
      </c>
      <c r="U23" s="1213">
        <f t="shared" si="29"/>
        <v>0</v>
      </c>
      <c r="V23" s="1213">
        <f t="shared" si="29"/>
        <v>0</v>
      </c>
      <c r="W23" s="1213">
        <f t="shared" si="29"/>
        <v>0</v>
      </c>
      <c r="X23" s="1213">
        <f t="shared" si="29"/>
        <v>0</v>
      </c>
      <c r="Y23" s="1213">
        <f t="shared" si="29"/>
        <v>0</v>
      </c>
      <c r="Z23" s="1213">
        <f t="shared" si="29"/>
        <v>0</v>
      </c>
      <c r="AA23" s="1213">
        <f t="shared" si="29"/>
        <v>0</v>
      </c>
      <c r="AB23" s="1213">
        <f t="shared" si="29"/>
        <v>0</v>
      </c>
      <c r="AC23" s="1213">
        <f t="shared" si="29"/>
        <v>0</v>
      </c>
      <c r="AD23" s="1284"/>
      <c r="AE23" s="1213">
        <f t="shared" si="1"/>
        <v>0</v>
      </c>
      <c r="AF23" s="1213">
        <f t="shared" si="2"/>
        <v>0</v>
      </c>
      <c r="AG23" s="1213">
        <f t="shared" si="3"/>
        <v>0</v>
      </c>
      <c r="AH23" s="2919">
        <f t="shared" si="4"/>
        <v>0</v>
      </c>
      <c r="AI23" s="1829"/>
      <c r="AJ23" s="417">
        <f t="shared" si="22"/>
        <v>0</v>
      </c>
      <c r="AK23" s="412"/>
    </row>
    <row r="24" spans="1:37" s="416" customFormat="1" ht="15">
      <c r="A24" s="2934"/>
      <c r="B24" s="1289" t="s">
        <v>198</v>
      </c>
      <c r="C24" s="1284" t="s">
        <v>186</v>
      </c>
      <c r="D24" s="1213">
        <v>0</v>
      </c>
      <c r="E24" s="2715">
        <v>0</v>
      </c>
      <c r="F24" s="1213">
        <v>0</v>
      </c>
      <c r="G24" s="1213">
        <f t="shared" ref="G24:G31" si="30">+F24</f>
        <v>0</v>
      </c>
      <c r="H24" s="1213">
        <f t="shared" ref="H24:H31" si="31">+G24</f>
        <v>0</v>
      </c>
      <c r="I24" s="1213">
        <f t="shared" ref="I24:I31" si="32">+H24</f>
        <v>0</v>
      </c>
      <c r="J24" s="1291">
        <f t="shared" ref="J24:J31" si="33">+I24</f>
        <v>0</v>
      </c>
      <c r="K24" s="3208">
        <v>0</v>
      </c>
      <c r="L24" s="1213">
        <v>0</v>
      </c>
      <c r="M24" s="1213">
        <f t="shared" ref="M24:M31" si="34">+L24</f>
        <v>0</v>
      </c>
      <c r="N24" s="1213">
        <f t="shared" ref="N24:N31" si="35">+M24</f>
        <v>0</v>
      </c>
      <c r="O24" s="1213">
        <f t="shared" ref="O24:O31" si="36">+N24</f>
        <v>0</v>
      </c>
      <c r="P24" s="1213">
        <f t="shared" ref="P24:P31" si="37">+O24</f>
        <v>0</v>
      </c>
      <c r="Q24" s="1213">
        <v>0</v>
      </c>
      <c r="R24" s="1213">
        <v>0</v>
      </c>
      <c r="S24" s="1213">
        <f t="shared" ref="S24:S31" si="38">+R24</f>
        <v>0</v>
      </c>
      <c r="T24" s="1213">
        <f t="shared" ref="T24:T31" si="39">+S24</f>
        <v>0</v>
      </c>
      <c r="U24" s="1213">
        <f t="shared" ref="U24:V27" si="40">+T24</f>
        <v>0</v>
      </c>
      <c r="V24" s="1213">
        <f t="shared" si="40"/>
        <v>0</v>
      </c>
      <c r="W24" s="1291">
        <f t="shared" ref="W24:W31" si="41">+K24</f>
        <v>0</v>
      </c>
      <c r="X24" s="1213"/>
      <c r="Y24" s="1213">
        <f t="shared" ref="Y24:Y31" si="42">+X24</f>
        <v>0</v>
      </c>
      <c r="Z24" s="1213">
        <f t="shared" ref="Z24:Z31" si="43">+Y24</f>
        <v>0</v>
      </c>
      <c r="AA24" s="1213">
        <f t="shared" ref="AA24:AA31" si="44">+Z24</f>
        <v>0</v>
      </c>
      <c r="AB24" s="1213">
        <f t="shared" ref="AB24:AB31" si="45">+AA24</f>
        <v>0</v>
      </c>
      <c r="AC24" s="1213">
        <f t="shared" ref="AC24:AC31" si="46">+AB24</f>
        <v>0</v>
      </c>
      <c r="AD24" s="1284"/>
      <c r="AE24" s="1213">
        <f t="shared" si="1"/>
        <v>0</v>
      </c>
      <c r="AF24" s="1213">
        <f t="shared" si="2"/>
        <v>0</v>
      </c>
      <c r="AG24" s="1213">
        <f t="shared" si="3"/>
        <v>0</v>
      </c>
      <c r="AH24" s="2919">
        <f t="shared" si="4"/>
        <v>0</v>
      </c>
      <c r="AI24" s="1829"/>
      <c r="AJ24" s="417">
        <f t="shared" si="22"/>
        <v>0</v>
      </c>
      <c r="AK24" s="412"/>
    </row>
    <row r="25" spans="1:37" s="424" customFormat="1" ht="15">
      <c r="A25" s="2933"/>
      <c r="B25" s="1289" t="s">
        <v>200</v>
      </c>
      <c r="C25" s="1286" t="s">
        <v>148</v>
      </c>
      <c r="D25" s="1287">
        <v>0</v>
      </c>
      <c r="E25" s="2716">
        <v>36886</v>
      </c>
      <c r="F25" s="1287">
        <v>0</v>
      </c>
      <c r="G25" s="1287">
        <f>+F25</f>
        <v>0</v>
      </c>
      <c r="H25" s="1291">
        <f t="shared" si="31"/>
        <v>0</v>
      </c>
      <c r="I25" s="1287">
        <f t="shared" si="32"/>
        <v>0</v>
      </c>
      <c r="J25" s="1291">
        <f t="shared" si="33"/>
        <v>0</v>
      </c>
      <c r="K25" s="3219">
        <v>0</v>
      </c>
      <c r="L25" s="1287">
        <v>0</v>
      </c>
      <c r="M25" s="1287">
        <f t="shared" si="34"/>
        <v>0</v>
      </c>
      <c r="N25" s="1287">
        <f t="shared" si="35"/>
        <v>0</v>
      </c>
      <c r="O25" s="1287">
        <f t="shared" si="36"/>
        <v>0</v>
      </c>
      <c r="P25" s="1287">
        <f t="shared" si="37"/>
        <v>0</v>
      </c>
      <c r="Q25" s="1287">
        <v>0</v>
      </c>
      <c r="R25" s="1287">
        <v>0</v>
      </c>
      <c r="S25" s="1287">
        <f t="shared" si="38"/>
        <v>0</v>
      </c>
      <c r="T25" s="1287">
        <f t="shared" si="39"/>
        <v>0</v>
      </c>
      <c r="U25" s="1287">
        <f t="shared" si="40"/>
        <v>0</v>
      </c>
      <c r="V25" s="1287">
        <f t="shared" si="40"/>
        <v>0</v>
      </c>
      <c r="W25" s="1291">
        <f t="shared" si="41"/>
        <v>0</v>
      </c>
      <c r="X25" s="1287"/>
      <c r="Y25" s="1287">
        <f t="shared" si="42"/>
        <v>0</v>
      </c>
      <c r="Z25" s="1287">
        <f t="shared" si="43"/>
        <v>0</v>
      </c>
      <c r="AA25" s="1287">
        <f t="shared" si="44"/>
        <v>0</v>
      </c>
      <c r="AB25" s="1287">
        <f t="shared" si="45"/>
        <v>0</v>
      </c>
      <c r="AC25" s="1287">
        <f t="shared" si="46"/>
        <v>0</v>
      </c>
      <c r="AD25" s="1284"/>
      <c r="AE25" s="1213">
        <f t="shared" si="1"/>
        <v>0</v>
      </c>
      <c r="AF25" s="1213">
        <f t="shared" si="2"/>
        <v>0</v>
      </c>
      <c r="AG25" s="1213">
        <f t="shared" si="3"/>
        <v>0</v>
      </c>
      <c r="AH25" s="2919">
        <f t="shared" si="4"/>
        <v>0</v>
      </c>
      <c r="AI25" s="1834"/>
      <c r="AJ25" s="417">
        <f t="shared" si="22"/>
        <v>0</v>
      </c>
      <c r="AK25" s="420"/>
    </row>
    <row r="26" spans="1:37" s="424" customFormat="1" ht="15">
      <c r="A26" s="2933"/>
      <c r="B26" s="1289" t="s">
        <v>202</v>
      </c>
      <c r="C26" s="1290" t="s">
        <v>1280</v>
      </c>
      <c r="D26" s="1287">
        <v>0</v>
      </c>
      <c r="E26" s="2716">
        <v>0</v>
      </c>
      <c r="F26" s="1287">
        <v>0</v>
      </c>
      <c r="G26" s="1213">
        <f t="shared" si="30"/>
        <v>0</v>
      </c>
      <c r="H26" s="1213">
        <f t="shared" si="31"/>
        <v>0</v>
      </c>
      <c r="I26" s="1287">
        <f t="shared" si="32"/>
        <v>0</v>
      </c>
      <c r="J26" s="1291">
        <f t="shared" si="33"/>
        <v>0</v>
      </c>
      <c r="K26" s="3219">
        <v>0</v>
      </c>
      <c r="L26" s="1287">
        <v>0</v>
      </c>
      <c r="M26" s="1287">
        <f t="shared" si="34"/>
        <v>0</v>
      </c>
      <c r="N26" s="1287">
        <f t="shared" si="35"/>
        <v>0</v>
      </c>
      <c r="O26" s="1287">
        <f t="shared" si="36"/>
        <v>0</v>
      </c>
      <c r="P26" s="1287">
        <f t="shared" si="37"/>
        <v>0</v>
      </c>
      <c r="Q26" s="1287">
        <v>0</v>
      </c>
      <c r="R26" s="1287">
        <v>0</v>
      </c>
      <c r="S26" s="1287">
        <f t="shared" si="38"/>
        <v>0</v>
      </c>
      <c r="T26" s="1287">
        <f t="shared" si="39"/>
        <v>0</v>
      </c>
      <c r="U26" s="1287">
        <f t="shared" si="40"/>
        <v>0</v>
      </c>
      <c r="V26" s="1287">
        <f t="shared" si="40"/>
        <v>0</v>
      </c>
      <c r="W26" s="1291">
        <f t="shared" si="41"/>
        <v>0</v>
      </c>
      <c r="X26" s="1287"/>
      <c r="Y26" s="1287">
        <f t="shared" si="42"/>
        <v>0</v>
      </c>
      <c r="Z26" s="1287">
        <f t="shared" si="43"/>
        <v>0</v>
      </c>
      <c r="AA26" s="1287">
        <f t="shared" si="44"/>
        <v>0</v>
      </c>
      <c r="AB26" s="1287">
        <f t="shared" si="45"/>
        <v>0</v>
      </c>
      <c r="AC26" s="1287">
        <f t="shared" si="46"/>
        <v>0</v>
      </c>
      <c r="AD26" s="1284"/>
      <c r="AE26" s="1213">
        <f t="shared" si="1"/>
        <v>0</v>
      </c>
      <c r="AF26" s="1213">
        <f t="shared" si="2"/>
        <v>0</v>
      </c>
      <c r="AG26" s="1213">
        <f t="shared" si="3"/>
        <v>0</v>
      </c>
      <c r="AH26" s="2919">
        <f t="shared" si="4"/>
        <v>0</v>
      </c>
      <c r="AI26" s="1834"/>
      <c r="AJ26" s="417">
        <f t="shared" si="22"/>
        <v>0</v>
      </c>
      <c r="AK26" s="420"/>
    </row>
    <row r="27" spans="1:37" s="424" customFormat="1" ht="15">
      <c r="A27" s="2934" t="s">
        <v>15</v>
      </c>
      <c r="B27" s="1282" t="s">
        <v>15</v>
      </c>
      <c r="C27" s="1292" t="s">
        <v>150</v>
      </c>
      <c r="D27" s="1293">
        <v>0</v>
      </c>
      <c r="E27" s="2718">
        <v>0</v>
      </c>
      <c r="F27" s="1293">
        <v>0</v>
      </c>
      <c r="G27" s="1293">
        <f t="shared" si="30"/>
        <v>0</v>
      </c>
      <c r="H27" s="1293">
        <f t="shared" si="31"/>
        <v>0</v>
      </c>
      <c r="I27" s="1293">
        <f t="shared" si="32"/>
        <v>0</v>
      </c>
      <c r="J27" s="1293">
        <f t="shared" si="33"/>
        <v>0</v>
      </c>
      <c r="K27" s="3221">
        <v>0</v>
      </c>
      <c r="L27" s="1293">
        <v>0</v>
      </c>
      <c r="M27" s="1293">
        <f t="shared" si="34"/>
        <v>0</v>
      </c>
      <c r="N27" s="1293">
        <f t="shared" si="35"/>
        <v>0</v>
      </c>
      <c r="O27" s="1293">
        <f t="shared" si="36"/>
        <v>0</v>
      </c>
      <c r="P27" s="1293">
        <f t="shared" si="37"/>
        <v>0</v>
      </c>
      <c r="Q27" s="1293">
        <v>0</v>
      </c>
      <c r="R27" s="1293">
        <v>0</v>
      </c>
      <c r="S27" s="1293">
        <f t="shared" si="38"/>
        <v>0</v>
      </c>
      <c r="T27" s="1293">
        <f t="shared" si="39"/>
        <v>0</v>
      </c>
      <c r="U27" s="1293">
        <f t="shared" si="40"/>
        <v>0</v>
      </c>
      <c r="V27" s="1293">
        <f t="shared" si="40"/>
        <v>0</v>
      </c>
      <c r="W27" s="1293">
        <f t="shared" si="41"/>
        <v>0</v>
      </c>
      <c r="X27" s="1293">
        <f>+V27</f>
        <v>0</v>
      </c>
      <c r="Y27" s="1293">
        <f t="shared" si="42"/>
        <v>0</v>
      </c>
      <c r="Z27" s="1293">
        <f t="shared" si="43"/>
        <v>0</v>
      </c>
      <c r="AA27" s="1293">
        <f t="shared" si="44"/>
        <v>0</v>
      </c>
      <c r="AB27" s="1293">
        <f t="shared" si="45"/>
        <v>0</v>
      </c>
      <c r="AC27" s="1293">
        <f t="shared" si="46"/>
        <v>0</v>
      </c>
      <c r="AD27" s="1284"/>
      <c r="AE27" s="1213">
        <f t="shared" si="1"/>
        <v>0</v>
      </c>
      <c r="AF27" s="1213">
        <f t="shared" si="2"/>
        <v>0</v>
      </c>
      <c r="AG27" s="1213">
        <f t="shared" si="3"/>
        <v>0</v>
      </c>
      <c r="AH27" s="2919">
        <f t="shared" si="4"/>
        <v>0</v>
      </c>
      <c r="AI27" s="1834"/>
      <c r="AJ27" s="417">
        <f t="shared" si="22"/>
        <v>0</v>
      </c>
      <c r="AK27" s="427"/>
    </row>
    <row r="28" spans="1:37" s="424" customFormat="1" ht="15">
      <c r="A28" s="2933"/>
      <c r="B28" s="1289" t="s">
        <v>212</v>
      </c>
      <c r="C28" s="1290" t="s">
        <v>1280</v>
      </c>
      <c r="D28" s="1287">
        <v>0</v>
      </c>
      <c r="E28" s="2716">
        <v>0</v>
      </c>
      <c r="F28" s="1287">
        <v>0</v>
      </c>
      <c r="G28" s="1287">
        <f t="shared" si="30"/>
        <v>0</v>
      </c>
      <c r="H28" s="1287">
        <f t="shared" si="31"/>
        <v>0</v>
      </c>
      <c r="I28" s="1287">
        <f t="shared" si="32"/>
        <v>0</v>
      </c>
      <c r="J28" s="1287">
        <f t="shared" si="33"/>
        <v>0</v>
      </c>
      <c r="K28" s="3219">
        <v>0</v>
      </c>
      <c r="L28" s="1287">
        <v>0</v>
      </c>
      <c r="M28" s="1287">
        <f t="shared" si="34"/>
        <v>0</v>
      </c>
      <c r="N28" s="1287">
        <f t="shared" si="35"/>
        <v>0</v>
      </c>
      <c r="O28" s="1287">
        <f t="shared" si="36"/>
        <v>0</v>
      </c>
      <c r="P28" s="1287">
        <f t="shared" si="37"/>
        <v>0</v>
      </c>
      <c r="Q28" s="1287">
        <v>0</v>
      </c>
      <c r="R28" s="1287">
        <f>+P28</f>
        <v>0</v>
      </c>
      <c r="S28" s="1287">
        <f t="shared" si="38"/>
        <v>0</v>
      </c>
      <c r="T28" s="1287">
        <f t="shared" si="39"/>
        <v>0</v>
      </c>
      <c r="U28" s="1287">
        <v>0</v>
      </c>
      <c r="V28" s="1287"/>
      <c r="W28" s="1287">
        <f t="shared" si="41"/>
        <v>0</v>
      </c>
      <c r="X28" s="1287"/>
      <c r="Y28" s="1287">
        <f t="shared" si="42"/>
        <v>0</v>
      </c>
      <c r="Z28" s="1287">
        <f t="shared" si="43"/>
        <v>0</v>
      </c>
      <c r="AA28" s="1287">
        <f t="shared" si="44"/>
        <v>0</v>
      </c>
      <c r="AB28" s="1287">
        <f t="shared" si="45"/>
        <v>0</v>
      </c>
      <c r="AC28" s="1287">
        <f t="shared" si="46"/>
        <v>0</v>
      </c>
      <c r="AD28" s="1284"/>
      <c r="AE28" s="1213">
        <f t="shared" si="1"/>
        <v>0</v>
      </c>
      <c r="AF28" s="1213">
        <f t="shared" si="2"/>
        <v>0</v>
      </c>
      <c r="AG28" s="1213">
        <f t="shared" si="3"/>
        <v>0</v>
      </c>
      <c r="AH28" s="2919">
        <f t="shared" si="4"/>
        <v>0</v>
      </c>
      <c r="AI28" s="1834"/>
      <c r="AJ28" s="417">
        <f t="shared" si="22"/>
        <v>0</v>
      </c>
      <c r="AK28" s="420"/>
    </row>
    <row r="29" spans="1:37" s="424" customFormat="1" ht="15">
      <c r="A29" s="2934" t="s">
        <v>17</v>
      </c>
      <c r="B29" s="1474" t="s">
        <v>17</v>
      </c>
      <c r="C29" s="1292" t="s">
        <v>153</v>
      </c>
      <c r="D29" s="1213">
        <v>0</v>
      </c>
      <c r="E29" s="2715">
        <v>0</v>
      </c>
      <c r="F29" s="1213">
        <v>0</v>
      </c>
      <c r="G29" s="1213">
        <f t="shared" si="30"/>
        <v>0</v>
      </c>
      <c r="H29" s="1213">
        <f t="shared" si="31"/>
        <v>0</v>
      </c>
      <c r="I29" s="1213">
        <f t="shared" si="32"/>
        <v>0</v>
      </c>
      <c r="J29" s="1213">
        <f t="shared" si="33"/>
        <v>0</v>
      </c>
      <c r="K29" s="3208">
        <v>0</v>
      </c>
      <c r="L29" s="1213">
        <v>0</v>
      </c>
      <c r="M29" s="1213">
        <f t="shared" si="34"/>
        <v>0</v>
      </c>
      <c r="N29" s="1213">
        <f t="shared" si="35"/>
        <v>0</v>
      </c>
      <c r="O29" s="1213">
        <f t="shared" si="36"/>
        <v>0</v>
      </c>
      <c r="P29" s="1213">
        <f t="shared" si="37"/>
        <v>0</v>
      </c>
      <c r="Q29" s="1213">
        <v>0</v>
      </c>
      <c r="R29" s="1213">
        <v>0</v>
      </c>
      <c r="S29" s="1213">
        <f t="shared" si="38"/>
        <v>0</v>
      </c>
      <c r="T29" s="1213">
        <f t="shared" si="39"/>
        <v>0</v>
      </c>
      <c r="U29" s="1213">
        <f t="shared" ref="U29:V31" si="47">+T29</f>
        <v>0</v>
      </c>
      <c r="V29" s="1213">
        <f t="shared" si="47"/>
        <v>0</v>
      </c>
      <c r="W29" s="1213">
        <f t="shared" si="41"/>
        <v>0</v>
      </c>
      <c r="X29" s="1213"/>
      <c r="Y29" s="1213">
        <f t="shared" si="42"/>
        <v>0</v>
      </c>
      <c r="Z29" s="1213">
        <f t="shared" si="43"/>
        <v>0</v>
      </c>
      <c r="AA29" s="1213">
        <f t="shared" si="44"/>
        <v>0</v>
      </c>
      <c r="AB29" s="1213">
        <f t="shared" si="45"/>
        <v>0</v>
      </c>
      <c r="AC29" s="1213">
        <f t="shared" si="46"/>
        <v>0</v>
      </c>
      <c r="AD29" s="1284"/>
      <c r="AE29" s="1213">
        <f t="shared" si="1"/>
        <v>0</v>
      </c>
      <c r="AF29" s="1213">
        <f t="shared" si="2"/>
        <v>0</v>
      </c>
      <c r="AG29" s="1213">
        <f t="shared" si="3"/>
        <v>0</v>
      </c>
      <c r="AH29" s="2919">
        <f t="shared" si="4"/>
        <v>0</v>
      </c>
      <c r="AI29" s="1829"/>
      <c r="AJ29" s="417">
        <f t="shared" si="22"/>
        <v>0</v>
      </c>
      <c r="AK29" s="412"/>
    </row>
    <row r="30" spans="1:37" s="416" customFormat="1" ht="15">
      <c r="A30" s="2934" t="s">
        <v>19</v>
      </c>
      <c r="B30" s="1282" t="s">
        <v>19</v>
      </c>
      <c r="C30" s="1292" t="s">
        <v>1281</v>
      </c>
      <c r="D30" s="1293">
        <v>0</v>
      </c>
      <c r="E30" s="2718">
        <v>0</v>
      </c>
      <c r="F30" s="1293">
        <v>0</v>
      </c>
      <c r="G30" s="1293">
        <f t="shared" si="30"/>
        <v>0</v>
      </c>
      <c r="H30" s="1293">
        <f t="shared" si="31"/>
        <v>0</v>
      </c>
      <c r="I30" s="1293">
        <f t="shared" si="32"/>
        <v>0</v>
      </c>
      <c r="J30" s="1293">
        <f t="shared" si="33"/>
        <v>0</v>
      </c>
      <c r="K30" s="3221">
        <v>0</v>
      </c>
      <c r="L30" s="1293">
        <v>0</v>
      </c>
      <c r="M30" s="1293">
        <f t="shared" si="34"/>
        <v>0</v>
      </c>
      <c r="N30" s="1293">
        <f t="shared" si="35"/>
        <v>0</v>
      </c>
      <c r="O30" s="1293">
        <f t="shared" si="36"/>
        <v>0</v>
      </c>
      <c r="P30" s="1293">
        <f t="shared" si="37"/>
        <v>0</v>
      </c>
      <c r="Q30" s="1293">
        <v>0</v>
      </c>
      <c r="R30" s="1293">
        <v>0</v>
      </c>
      <c r="S30" s="1293">
        <f t="shared" si="38"/>
        <v>0</v>
      </c>
      <c r="T30" s="1293">
        <f t="shared" si="39"/>
        <v>0</v>
      </c>
      <c r="U30" s="1293">
        <f t="shared" si="47"/>
        <v>0</v>
      </c>
      <c r="V30" s="1293">
        <f t="shared" si="47"/>
        <v>0</v>
      </c>
      <c r="W30" s="1293">
        <f t="shared" si="41"/>
        <v>0</v>
      </c>
      <c r="X30" s="1293"/>
      <c r="Y30" s="1293">
        <f t="shared" si="42"/>
        <v>0</v>
      </c>
      <c r="Z30" s="1293">
        <f t="shared" si="43"/>
        <v>0</v>
      </c>
      <c r="AA30" s="1293">
        <f t="shared" si="44"/>
        <v>0</v>
      </c>
      <c r="AB30" s="1293">
        <f t="shared" si="45"/>
        <v>0</v>
      </c>
      <c r="AC30" s="1293">
        <f t="shared" si="46"/>
        <v>0</v>
      </c>
      <c r="AD30" s="1284"/>
      <c r="AE30" s="1213">
        <f t="shared" si="1"/>
        <v>0</v>
      </c>
      <c r="AF30" s="1213">
        <f t="shared" si="2"/>
        <v>0</v>
      </c>
      <c r="AG30" s="1213">
        <f t="shared" si="3"/>
        <v>0</v>
      </c>
      <c r="AH30" s="2919">
        <f t="shared" si="4"/>
        <v>0</v>
      </c>
      <c r="AI30" s="1834"/>
      <c r="AJ30" s="417">
        <f t="shared" si="22"/>
        <v>0</v>
      </c>
      <c r="AK30" s="427"/>
    </row>
    <row r="31" spans="1:37" s="416" customFormat="1" ht="15">
      <c r="A31" s="2934" t="s">
        <v>21</v>
      </c>
      <c r="B31" s="1282" t="s">
        <v>21</v>
      </c>
      <c r="C31" s="1292" t="s">
        <v>393</v>
      </c>
      <c r="D31" s="1227">
        <v>0</v>
      </c>
      <c r="E31" s="2719">
        <v>0</v>
      </c>
      <c r="F31" s="1227">
        <v>0</v>
      </c>
      <c r="G31" s="1227">
        <f t="shared" si="30"/>
        <v>0</v>
      </c>
      <c r="H31" s="1227">
        <f t="shared" si="31"/>
        <v>0</v>
      </c>
      <c r="I31" s="1227">
        <f t="shared" si="32"/>
        <v>0</v>
      </c>
      <c r="J31" s="1227">
        <f t="shared" si="33"/>
        <v>0</v>
      </c>
      <c r="K31" s="3209">
        <v>0</v>
      </c>
      <c r="L31" s="1227">
        <v>0</v>
      </c>
      <c r="M31" s="1227">
        <f t="shared" si="34"/>
        <v>0</v>
      </c>
      <c r="N31" s="1227">
        <f t="shared" si="35"/>
        <v>0</v>
      </c>
      <c r="O31" s="1227">
        <f t="shared" si="36"/>
        <v>0</v>
      </c>
      <c r="P31" s="1227">
        <f t="shared" si="37"/>
        <v>0</v>
      </c>
      <c r="Q31" s="1227">
        <v>0</v>
      </c>
      <c r="R31" s="1227">
        <v>0</v>
      </c>
      <c r="S31" s="1227">
        <f t="shared" si="38"/>
        <v>0</v>
      </c>
      <c r="T31" s="1227">
        <f t="shared" si="39"/>
        <v>0</v>
      </c>
      <c r="U31" s="1227">
        <f t="shared" si="47"/>
        <v>0</v>
      </c>
      <c r="V31" s="1227">
        <f t="shared" si="47"/>
        <v>0</v>
      </c>
      <c r="W31" s="1227">
        <f t="shared" si="41"/>
        <v>0</v>
      </c>
      <c r="X31" s="1227"/>
      <c r="Y31" s="1227">
        <f t="shared" si="42"/>
        <v>0</v>
      </c>
      <c r="Z31" s="1227">
        <f t="shared" si="43"/>
        <v>0</v>
      </c>
      <c r="AA31" s="1227">
        <f t="shared" si="44"/>
        <v>0</v>
      </c>
      <c r="AB31" s="1227">
        <f t="shared" si="45"/>
        <v>0</v>
      </c>
      <c r="AC31" s="1227">
        <f t="shared" si="46"/>
        <v>0</v>
      </c>
      <c r="AD31" s="1284"/>
      <c r="AE31" s="1213">
        <f t="shared" si="1"/>
        <v>0</v>
      </c>
      <c r="AF31" s="1213">
        <f t="shared" si="2"/>
        <v>0</v>
      </c>
      <c r="AG31" s="1213">
        <f t="shared" si="3"/>
        <v>0</v>
      </c>
      <c r="AH31" s="2919">
        <f t="shared" si="4"/>
        <v>0</v>
      </c>
      <c r="AI31" s="1834"/>
      <c r="AJ31" s="417">
        <f t="shared" si="22"/>
        <v>0</v>
      </c>
      <c r="AK31" s="430"/>
    </row>
    <row r="32" spans="1:37" s="416" customFormat="1" ht="15">
      <c r="A32" s="2934" t="s">
        <v>23</v>
      </c>
      <c r="B32" s="1474" t="s">
        <v>23</v>
      </c>
      <c r="C32" s="1292" t="s">
        <v>1282</v>
      </c>
      <c r="D32" s="1213">
        <f t="shared" ref="D32:AC32" si="48">+D8+D20+D23+D27+D29+D30+D31</f>
        <v>36425245</v>
      </c>
      <c r="E32" s="2715">
        <f>+E8+E20+E23+E27+E29+E30+E31</f>
        <v>49750794</v>
      </c>
      <c r="F32" s="1213">
        <f t="shared" si="48"/>
        <v>35110809</v>
      </c>
      <c r="G32" s="1213">
        <f t="shared" si="48"/>
        <v>36866923</v>
      </c>
      <c r="H32" s="1213">
        <f t="shared" si="48"/>
        <v>40372781</v>
      </c>
      <c r="I32" s="1213">
        <f t="shared" si="48"/>
        <v>43734132</v>
      </c>
      <c r="J32" s="1213">
        <f t="shared" si="48"/>
        <v>43734132</v>
      </c>
      <c r="K32" s="3208">
        <f t="shared" si="48"/>
        <v>43734132</v>
      </c>
      <c r="L32" s="1213">
        <f t="shared" si="48"/>
        <v>0</v>
      </c>
      <c r="M32" s="1213">
        <f t="shared" si="48"/>
        <v>0</v>
      </c>
      <c r="N32" s="1213">
        <f t="shared" si="48"/>
        <v>0</v>
      </c>
      <c r="O32" s="1213">
        <f t="shared" si="48"/>
        <v>0</v>
      </c>
      <c r="P32" s="1213">
        <f t="shared" si="48"/>
        <v>0</v>
      </c>
      <c r="Q32" s="1213">
        <f t="shared" si="48"/>
        <v>0</v>
      </c>
      <c r="R32" s="1213">
        <f t="shared" si="48"/>
        <v>35110809</v>
      </c>
      <c r="S32" s="1213">
        <f t="shared" si="48"/>
        <v>36866923</v>
      </c>
      <c r="T32" s="1213">
        <f t="shared" si="48"/>
        <v>40372781</v>
      </c>
      <c r="U32" s="1213">
        <f t="shared" si="48"/>
        <v>43734132</v>
      </c>
      <c r="V32" s="1213">
        <f t="shared" si="48"/>
        <v>43734132</v>
      </c>
      <c r="W32" s="1213">
        <f t="shared" si="48"/>
        <v>43734132</v>
      </c>
      <c r="X32" s="1213">
        <f t="shared" si="48"/>
        <v>0</v>
      </c>
      <c r="Y32" s="1213">
        <f t="shared" si="48"/>
        <v>0</v>
      </c>
      <c r="Z32" s="1213">
        <f t="shared" si="48"/>
        <v>0</v>
      </c>
      <c r="AA32" s="1213">
        <f t="shared" si="48"/>
        <v>0</v>
      </c>
      <c r="AB32" s="1213">
        <f t="shared" si="48"/>
        <v>0</v>
      </c>
      <c r="AC32" s="1213">
        <f t="shared" si="48"/>
        <v>0</v>
      </c>
      <c r="AD32" s="1283"/>
      <c r="AE32" s="1213">
        <f t="shared" si="1"/>
        <v>1756114</v>
      </c>
      <c r="AF32" s="1213">
        <f t="shared" si="2"/>
        <v>3505858</v>
      </c>
      <c r="AG32" s="1213">
        <f t="shared" si="3"/>
        <v>3361351</v>
      </c>
      <c r="AH32" s="2919">
        <f t="shared" si="4"/>
        <v>0</v>
      </c>
      <c r="AI32" s="1829">
        <f>+K32/I32</f>
        <v>1</v>
      </c>
      <c r="AJ32" s="417">
        <f t="shared" si="22"/>
        <v>-1314436</v>
      </c>
      <c r="AK32" s="412"/>
    </row>
    <row r="33" spans="1:38" s="424" customFormat="1" ht="15">
      <c r="A33" s="2975" t="s">
        <v>25</v>
      </c>
      <c r="B33" s="1282" t="s">
        <v>25</v>
      </c>
      <c r="C33" s="1292" t="s">
        <v>1305</v>
      </c>
      <c r="D33" s="1213">
        <f t="shared" ref="D33:AC33" si="49">SUM(D34:D36)</f>
        <v>879509543</v>
      </c>
      <c r="E33" s="2715">
        <f>SUM(E34:E36)</f>
        <v>899777583</v>
      </c>
      <c r="F33" s="1213">
        <f t="shared" si="49"/>
        <v>978177616</v>
      </c>
      <c r="G33" s="1213">
        <f t="shared" si="49"/>
        <v>983770677</v>
      </c>
      <c r="H33" s="1213">
        <f t="shared" si="49"/>
        <v>985410747</v>
      </c>
      <c r="I33" s="1213">
        <f t="shared" si="49"/>
        <v>1000254209</v>
      </c>
      <c r="J33" s="1213">
        <f t="shared" si="49"/>
        <v>1000254209</v>
      </c>
      <c r="K33" s="3208">
        <f>SUM(K34:K36)</f>
        <v>975351810</v>
      </c>
      <c r="L33" s="1213">
        <f t="shared" si="49"/>
        <v>0</v>
      </c>
      <c r="M33" s="1213">
        <f t="shared" si="49"/>
        <v>0</v>
      </c>
      <c r="N33" s="1213">
        <f t="shared" si="49"/>
        <v>0</v>
      </c>
      <c r="O33" s="1213">
        <f t="shared" si="49"/>
        <v>0</v>
      </c>
      <c r="P33" s="1213">
        <f t="shared" si="49"/>
        <v>0</v>
      </c>
      <c r="Q33" s="1213">
        <f t="shared" si="49"/>
        <v>0</v>
      </c>
      <c r="R33" s="1213">
        <f t="shared" si="49"/>
        <v>978177616</v>
      </c>
      <c r="S33" s="1213">
        <f t="shared" si="49"/>
        <v>983770677</v>
      </c>
      <c r="T33" s="1213">
        <f t="shared" si="49"/>
        <v>985410747</v>
      </c>
      <c r="U33" s="1213">
        <f t="shared" si="49"/>
        <v>1000254209</v>
      </c>
      <c r="V33" s="1213">
        <f t="shared" si="49"/>
        <v>1000254209</v>
      </c>
      <c r="W33" s="1213">
        <f t="shared" si="49"/>
        <v>975351810</v>
      </c>
      <c r="X33" s="1213">
        <f t="shared" si="49"/>
        <v>0</v>
      </c>
      <c r="Y33" s="1213">
        <f t="shared" si="49"/>
        <v>0</v>
      </c>
      <c r="Z33" s="1213">
        <f t="shared" si="49"/>
        <v>0</v>
      </c>
      <c r="AA33" s="1213">
        <f t="shared" si="49"/>
        <v>0</v>
      </c>
      <c r="AB33" s="1213">
        <f t="shared" si="49"/>
        <v>0</v>
      </c>
      <c r="AC33" s="1213">
        <f t="shared" si="49"/>
        <v>0</v>
      </c>
      <c r="AD33" s="1284"/>
      <c r="AE33" s="1213">
        <f t="shared" si="1"/>
        <v>5593061</v>
      </c>
      <c r="AF33" s="1213">
        <f t="shared" si="2"/>
        <v>1640070</v>
      </c>
      <c r="AG33" s="1213">
        <f t="shared" si="3"/>
        <v>14843462</v>
      </c>
      <c r="AH33" s="2919">
        <f t="shared" si="4"/>
        <v>0</v>
      </c>
      <c r="AI33" s="1829">
        <f>+K33/I33</f>
        <v>0.97510392980510818</v>
      </c>
      <c r="AJ33" s="417">
        <f t="shared" si="22"/>
        <v>98668073</v>
      </c>
      <c r="AK33" s="412"/>
    </row>
    <row r="34" spans="1:38" s="424" customFormat="1" ht="15">
      <c r="A34" s="2975"/>
      <c r="B34" s="1477" t="s">
        <v>1284</v>
      </c>
      <c r="C34" s="1286" t="s">
        <v>1285</v>
      </c>
      <c r="D34" s="1291">
        <v>0</v>
      </c>
      <c r="E34" s="2717">
        <v>27768171</v>
      </c>
      <c r="F34" s="1291">
        <v>0</v>
      </c>
      <c r="G34" s="1227">
        <f>+F34+3799861</f>
        <v>3799861</v>
      </c>
      <c r="H34" s="1227">
        <f t="shared" ref="H34:J35" si="50">+G34</f>
        <v>3799861</v>
      </c>
      <c r="I34" s="1227">
        <f t="shared" si="50"/>
        <v>3799861</v>
      </c>
      <c r="J34" s="1227">
        <f t="shared" si="50"/>
        <v>3799861</v>
      </c>
      <c r="K34" s="3220">
        <v>3799861</v>
      </c>
      <c r="L34" s="1291">
        <v>0</v>
      </c>
      <c r="M34" s="1291">
        <f t="shared" ref="M34:P36" si="51">+L34</f>
        <v>0</v>
      </c>
      <c r="N34" s="1291">
        <f t="shared" si="51"/>
        <v>0</v>
      </c>
      <c r="O34" s="1291">
        <f t="shared" si="51"/>
        <v>0</v>
      </c>
      <c r="P34" s="1291">
        <f t="shared" si="51"/>
        <v>0</v>
      </c>
      <c r="Q34" s="1291">
        <v>0</v>
      </c>
      <c r="R34" s="1291">
        <v>0</v>
      </c>
      <c r="S34" s="1291">
        <f>+R34+3799861</f>
        <v>3799861</v>
      </c>
      <c r="T34" s="1291">
        <f t="shared" ref="S34:V35" si="52">+S34</f>
        <v>3799861</v>
      </c>
      <c r="U34" s="1291">
        <f t="shared" si="52"/>
        <v>3799861</v>
      </c>
      <c r="V34" s="1291">
        <f t="shared" si="52"/>
        <v>3799861</v>
      </c>
      <c r="W34" s="1291">
        <f>+K34</f>
        <v>3799861</v>
      </c>
      <c r="X34" s="1213"/>
      <c r="Y34" s="1213">
        <f t="shared" ref="Y34:AC36" si="53">+X34</f>
        <v>0</v>
      </c>
      <c r="Z34" s="1213">
        <f t="shared" si="53"/>
        <v>0</v>
      </c>
      <c r="AA34" s="1213">
        <f t="shared" si="53"/>
        <v>0</v>
      </c>
      <c r="AB34" s="1213">
        <f t="shared" si="53"/>
        <v>0</v>
      </c>
      <c r="AC34" s="1213">
        <f t="shared" si="53"/>
        <v>0</v>
      </c>
      <c r="AD34" s="2947"/>
      <c r="AE34" s="1213">
        <f t="shared" si="1"/>
        <v>3799861</v>
      </c>
      <c r="AF34" s="1213">
        <f t="shared" si="2"/>
        <v>0</v>
      </c>
      <c r="AG34" s="1213">
        <f t="shared" si="3"/>
        <v>0</v>
      </c>
      <c r="AH34" s="2919">
        <f t="shared" si="4"/>
        <v>0</v>
      </c>
      <c r="AI34" s="1834">
        <f>+K34/I34</f>
        <v>1</v>
      </c>
      <c r="AJ34" s="417">
        <f t="shared" si="22"/>
        <v>0</v>
      </c>
      <c r="AK34" s="548"/>
    </row>
    <row r="35" spans="1:38" s="424" customFormat="1" ht="15">
      <c r="A35" s="2933"/>
      <c r="B35" s="1477" t="s">
        <v>1286</v>
      </c>
      <c r="C35" s="1286" t="s">
        <v>1287</v>
      </c>
      <c r="D35" s="1227">
        <v>0</v>
      </c>
      <c r="E35" s="2719">
        <v>0</v>
      </c>
      <c r="F35" s="1227">
        <v>0</v>
      </c>
      <c r="G35" s="1227">
        <f>+F35</f>
        <v>0</v>
      </c>
      <c r="H35" s="1227">
        <f t="shared" si="50"/>
        <v>0</v>
      </c>
      <c r="I35" s="1227">
        <f t="shared" si="50"/>
        <v>0</v>
      </c>
      <c r="J35" s="1227">
        <f t="shared" si="50"/>
        <v>0</v>
      </c>
      <c r="K35" s="3209">
        <v>0</v>
      </c>
      <c r="L35" s="1227">
        <v>0</v>
      </c>
      <c r="M35" s="1227">
        <f t="shared" si="51"/>
        <v>0</v>
      </c>
      <c r="N35" s="1227">
        <f t="shared" si="51"/>
        <v>0</v>
      </c>
      <c r="O35" s="1227">
        <f t="shared" si="51"/>
        <v>0</v>
      </c>
      <c r="P35" s="1227">
        <f t="shared" si="51"/>
        <v>0</v>
      </c>
      <c r="Q35" s="1227">
        <v>0</v>
      </c>
      <c r="R35" s="1291">
        <v>0</v>
      </c>
      <c r="S35" s="1291">
        <f t="shared" si="52"/>
        <v>0</v>
      </c>
      <c r="T35" s="1291">
        <f t="shared" si="52"/>
        <v>0</v>
      </c>
      <c r="U35" s="1291">
        <f t="shared" si="52"/>
        <v>0</v>
      </c>
      <c r="V35" s="1291">
        <f t="shared" si="52"/>
        <v>0</v>
      </c>
      <c r="W35" s="1291">
        <f>+K35</f>
        <v>0</v>
      </c>
      <c r="X35" s="1227"/>
      <c r="Y35" s="1227">
        <f t="shared" si="53"/>
        <v>0</v>
      </c>
      <c r="Z35" s="1227">
        <f t="shared" si="53"/>
        <v>0</v>
      </c>
      <c r="AA35" s="1227">
        <f t="shared" si="53"/>
        <v>0</v>
      </c>
      <c r="AB35" s="1227">
        <f t="shared" si="53"/>
        <v>0</v>
      </c>
      <c r="AC35" s="1227">
        <f t="shared" si="53"/>
        <v>0</v>
      </c>
      <c r="AD35" s="1284"/>
      <c r="AE35" s="1213">
        <f t="shared" si="1"/>
        <v>0</v>
      </c>
      <c r="AF35" s="1213">
        <f t="shared" si="2"/>
        <v>0</v>
      </c>
      <c r="AG35" s="1213">
        <f t="shared" si="3"/>
        <v>0</v>
      </c>
      <c r="AH35" s="2919">
        <f t="shared" si="4"/>
        <v>0</v>
      </c>
      <c r="AI35" s="1834"/>
      <c r="AJ35" s="417">
        <f t="shared" si="22"/>
        <v>0</v>
      </c>
      <c r="AK35" s="430"/>
    </row>
    <row r="36" spans="1:38" s="424" customFormat="1" ht="15">
      <c r="A36" s="2976"/>
      <c r="B36" s="1477" t="s">
        <v>1288</v>
      </c>
      <c r="C36" s="1286" t="s">
        <v>1289</v>
      </c>
      <c r="D36" s="1227">
        <f>867743143+1+11766399</f>
        <v>879509543</v>
      </c>
      <c r="E36" s="2719">
        <v>872009412</v>
      </c>
      <c r="F36" s="1227">
        <v>978177616</v>
      </c>
      <c r="G36" s="1227">
        <f>+F36+1473200+320000</f>
        <v>979970816</v>
      </c>
      <c r="H36" s="1227">
        <f>+G36+9000*12+210000+666750+655320</f>
        <v>981610886</v>
      </c>
      <c r="I36" s="1227">
        <f>+H36+210000+14633462</f>
        <v>996454348</v>
      </c>
      <c r="J36" s="1227">
        <f>+I36</f>
        <v>996454348</v>
      </c>
      <c r="K36" s="3209">
        <v>971551949</v>
      </c>
      <c r="L36" s="1227">
        <v>0</v>
      </c>
      <c r="M36" s="1227">
        <f t="shared" si="51"/>
        <v>0</v>
      </c>
      <c r="N36" s="1227">
        <f t="shared" si="51"/>
        <v>0</v>
      </c>
      <c r="O36" s="1227">
        <f t="shared" si="51"/>
        <v>0</v>
      </c>
      <c r="P36" s="1227">
        <f t="shared" si="51"/>
        <v>0</v>
      </c>
      <c r="Q36" s="1227">
        <v>0</v>
      </c>
      <c r="R36" s="1227">
        <f>+F36</f>
        <v>978177616</v>
      </c>
      <c r="S36" s="1291">
        <f>+R36+1473200+320000</f>
        <v>979970816</v>
      </c>
      <c r="T36" s="1291">
        <f>+S36+9000*12+210000+666750+655320</f>
        <v>981610886</v>
      </c>
      <c r="U36" s="1291">
        <f>+T36+210000+14633462</f>
        <v>996454348</v>
      </c>
      <c r="V36" s="1291">
        <f>+U36</f>
        <v>996454348</v>
      </c>
      <c r="W36" s="1291">
        <f>+K36</f>
        <v>971551949</v>
      </c>
      <c r="X36" s="1227"/>
      <c r="Y36" s="1227">
        <f t="shared" si="53"/>
        <v>0</v>
      </c>
      <c r="Z36" s="1227">
        <f t="shared" si="53"/>
        <v>0</v>
      </c>
      <c r="AA36" s="1227">
        <f t="shared" si="53"/>
        <v>0</v>
      </c>
      <c r="AB36" s="1227">
        <f t="shared" si="53"/>
        <v>0</v>
      </c>
      <c r="AC36" s="1227">
        <f t="shared" si="53"/>
        <v>0</v>
      </c>
      <c r="AD36" s="1284"/>
      <c r="AE36" s="1213">
        <f t="shared" si="1"/>
        <v>1793200</v>
      </c>
      <c r="AF36" s="1213">
        <f t="shared" si="2"/>
        <v>1640070</v>
      </c>
      <c r="AG36" s="1213">
        <f t="shared" si="3"/>
        <v>14843462</v>
      </c>
      <c r="AH36" s="2919">
        <f t="shared" si="4"/>
        <v>0</v>
      </c>
      <c r="AI36" s="1834">
        <f>+K36/I36</f>
        <v>0.97500899158101717</v>
      </c>
      <c r="AJ36" s="417">
        <f t="shared" si="22"/>
        <v>98668073</v>
      </c>
      <c r="AK36" s="430"/>
    </row>
    <row r="37" spans="1:38" s="405" customFormat="1" ht="15.75">
      <c r="A37" s="2975" t="s">
        <v>27</v>
      </c>
      <c r="B37" s="1475" t="s">
        <v>27</v>
      </c>
      <c r="C37" s="1297" t="s">
        <v>1290</v>
      </c>
      <c r="D37" s="1298">
        <f t="shared" ref="D37:AC37" si="54">+D32+D33</f>
        <v>915934788</v>
      </c>
      <c r="E37" s="2720">
        <f t="shared" si="54"/>
        <v>949528377</v>
      </c>
      <c r="F37" s="1298">
        <f t="shared" si="54"/>
        <v>1013288425</v>
      </c>
      <c r="G37" s="1298">
        <f t="shared" si="54"/>
        <v>1020637600</v>
      </c>
      <c r="H37" s="1298">
        <f t="shared" si="54"/>
        <v>1025783528</v>
      </c>
      <c r="I37" s="1298">
        <f t="shared" si="54"/>
        <v>1043988341</v>
      </c>
      <c r="J37" s="1298">
        <f t="shared" si="54"/>
        <v>1043988341</v>
      </c>
      <c r="K37" s="3210">
        <f t="shared" si="54"/>
        <v>1019085942</v>
      </c>
      <c r="L37" s="1298">
        <f t="shared" si="54"/>
        <v>0</v>
      </c>
      <c r="M37" s="1298">
        <f t="shared" si="54"/>
        <v>0</v>
      </c>
      <c r="N37" s="1298">
        <f t="shared" si="54"/>
        <v>0</v>
      </c>
      <c r="O37" s="1298">
        <f t="shared" si="54"/>
        <v>0</v>
      </c>
      <c r="P37" s="1298">
        <f t="shared" si="54"/>
        <v>0</v>
      </c>
      <c r="Q37" s="1298">
        <f t="shared" si="54"/>
        <v>0</v>
      </c>
      <c r="R37" s="1298">
        <f t="shared" si="54"/>
        <v>1013288425</v>
      </c>
      <c r="S37" s="1298">
        <f t="shared" si="54"/>
        <v>1020637600</v>
      </c>
      <c r="T37" s="1298">
        <f t="shared" si="54"/>
        <v>1025783528</v>
      </c>
      <c r="U37" s="1298">
        <f t="shared" si="54"/>
        <v>1043988341</v>
      </c>
      <c r="V37" s="1298">
        <f t="shared" si="54"/>
        <v>1043988341</v>
      </c>
      <c r="W37" s="1298">
        <f t="shared" si="54"/>
        <v>1019085942</v>
      </c>
      <c r="X37" s="1298">
        <f t="shared" si="54"/>
        <v>0</v>
      </c>
      <c r="Y37" s="1298">
        <f t="shared" si="54"/>
        <v>0</v>
      </c>
      <c r="Z37" s="1298">
        <f t="shared" si="54"/>
        <v>0</v>
      </c>
      <c r="AA37" s="1298">
        <f t="shared" si="54"/>
        <v>0</v>
      </c>
      <c r="AB37" s="1298">
        <f t="shared" si="54"/>
        <v>0</v>
      </c>
      <c r="AC37" s="1298">
        <f t="shared" si="54"/>
        <v>0</v>
      </c>
      <c r="AD37" s="1284"/>
      <c r="AE37" s="1213">
        <f t="shared" si="1"/>
        <v>7349175</v>
      </c>
      <c r="AF37" s="1213">
        <f t="shared" si="2"/>
        <v>5145928</v>
      </c>
      <c r="AG37" s="1213">
        <f t="shared" si="3"/>
        <v>18204813</v>
      </c>
      <c r="AH37" s="2919">
        <f t="shared" si="4"/>
        <v>0</v>
      </c>
      <c r="AI37" s="1829">
        <f>+K37/I37</f>
        <v>0.9761468610117362</v>
      </c>
      <c r="AJ37" s="417">
        <f t="shared" si="22"/>
        <v>97353637</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58"/>
      <c r="AJ38" s="417"/>
      <c r="AK38" s="436"/>
    </row>
    <row r="39" spans="1:38" ht="15">
      <c r="A39" s="2932"/>
      <c r="B39" s="1285"/>
      <c r="C39" s="1548" t="str">
        <f t="shared" ref="C39:T40" si="55">+C4</f>
        <v>A</v>
      </c>
      <c r="D39" s="1549" t="str">
        <f t="shared" si="55"/>
        <v>B</v>
      </c>
      <c r="E39" s="2960" t="str">
        <f t="shared" si="55"/>
        <v>B</v>
      </c>
      <c r="F39" s="1345" t="str">
        <f t="shared" si="55"/>
        <v>B</v>
      </c>
      <c r="G39" s="1345" t="str">
        <f t="shared" si="55"/>
        <v>D</v>
      </c>
      <c r="H39" s="1345" t="str">
        <f t="shared" si="55"/>
        <v>E</v>
      </c>
      <c r="I39" s="1345" t="str">
        <f t="shared" si="55"/>
        <v>C</v>
      </c>
      <c r="J39" s="1345" t="str">
        <f t="shared" si="55"/>
        <v>F</v>
      </c>
      <c r="K39" s="1345" t="str">
        <f t="shared" si="55"/>
        <v>D</v>
      </c>
      <c r="L39" s="1345" t="str">
        <f t="shared" si="55"/>
        <v>E</v>
      </c>
      <c r="M39" s="1345" t="str">
        <f t="shared" si="55"/>
        <v>F</v>
      </c>
      <c r="N39" s="1345" t="str">
        <f t="shared" si="55"/>
        <v>F</v>
      </c>
      <c r="O39" s="1345" t="str">
        <f t="shared" si="55"/>
        <v>E</v>
      </c>
      <c r="P39" s="1345">
        <f t="shared" si="55"/>
        <v>0</v>
      </c>
      <c r="Q39" s="1345" t="str">
        <f t="shared" si="55"/>
        <v>F</v>
      </c>
      <c r="R39" s="1345" t="str">
        <f t="shared" si="55"/>
        <v>E</v>
      </c>
      <c r="S39" s="1345" t="str">
        <f t="shared" si="55"/>
        <v>E</v>
      </c>
      <c r="T39" s="1345" t="str">
        <f t="shared" si="55"/>
        <v>G</v>
      </c>
      <c r="U39" s="1345" t="str">
        <f>+U4</f>
        <v>G</v>
      </c>
      <c r="V39" s="1345">
        <f>+V4</f>
        <v>0</v>
      </c>
      <c r="W39" s="1345" t="str">
        <f>+W4</f>
        <v>H</v>
      </c>
      <c r="X39" s="2961"/>
      <c r="Y39" s="2961"/>
      <c r="Z39" s="2961"/>
      <c r="AA39" s="2961"/>
      <c r="AB39" s="2961"/>
      <c r="AC39" s="2961"/>
      <c r="AD39" s="2962"/>
      <c r="AE39" s="1213"/>
      <c r="AF39" s="1345" t="str">
        <f>+AF4</f>
        <v>H</v>
      </c>
      <c r="AG39" s="1301" t="str">
        <f>+AG4</f>
        <v>I</v>
      </c>
      <c r="AH39" s="1551"/>
      <c r="AI39" s="1845" t="str">
        <f>+AI4</f>
        <v>I</v>
      </c>
      <c r="AJ39" s="417"/>
      <c r="AK39" s="1549"/>
      <c r="AL39" s="439"/>
    </row>
    <row r="40" spans="1:38" ht="73.5">
      <c r="A40" s="2933"/>
      <c r="B40" s="1278" t="s">
        <v>6</v>
      </c>
      <c r="C40" s="1276" t="str">
        <f t="shared" si="55"/>
        <v>Kiemelt előirányzat, előirányzat megnevezése</v>
      </c>
      <c r="D40" s="1278" t="str">
        <f t="shared" si="55"/>
        <v>2024. évi eredeti előirányzat
forintban</v>
      </c>
      <c r="E40" s="2596" t="str">
        <f>+E5</f>
        <v>2024. évi teljesítés forintban</v>
      </c>
      <c r="F40" s="1276" t="str">
        <f t="shared" si="55"/>
        <v>2025. évi eredeti előirányzat forintban</v>
      </c>
      <c r="G40" s="1276" t="str">
        <f t="shared" ref="G40:AJ40" si="56">+G5</f>
        <v>2025. évi I. számú módosított előirányzat
forintban</v>
      </c>
      <c r="H40" s="1276" t="str">
        <f t="shared" si="56"/>
        <v>2025. évi II. számú módosított előirányzat forintban</v>
      </c>
      <c r="I40" s="1276" t="str">
        <f t="shared" si="56"/>
        <v>2025. évi III. számú módosított előirányzat forintban</v>
      </c>
      <c r="J40" s="1276" t="str">
        <f t="shared" si="56"/>
        <v>2025. évi IV. számú módosított előirányzat forintban</v>
      </c>
      <c r="K40" s="3197" t="str">
        <f t="shared" si="56"/>
        <v>2025. évi
teljesítés forintban</v>
      </c>
      <c r="L40" s="1276" t="str">
        <f t="shared" si="56"/>
        <v>Önként vállalt feladat forintban</v>
      </c>
      <c r="M40" s="1276" t="str">
        <f t="shared" si="56"/>
        <v>Önként vállalt feladat I. módosítás
forintban</v>
      </c>
      <c r="N40" s="1276" t="str">
        <f t="shared" si="56"/>
        <v>Önként vállalt feladat II. módosítás forintban</v>
      </c>
      <c r="O40" s="1276" t="str">
        <f t="shared" si="56"/>
        <v>Önként vállalt feladat III. módosítás forintban</v>
      </c>
      <c r="P40" s="1276" t="str">
        <f t="shared" si="56"/>
        <v>Önként vállalt feladat IV. módosítás  forintban</v>
      </c>
      <c r="Q40" s="1276" t="str">
        <f t="shared" si="56"/>
        <v>Önként vállalt teljesítés  forintban</v>
      </c>
      <c r="R40" s="1276" t="str">
        <f t="shared" si="56"/>
        <v>Kötelező feladat forintban</v>
      </c>
      <c r="S40" s="1276" t="str">
        <f t="shared" si="56"/>
        <v>Kötelező feladat 
I. módosítás
forintban</v>
      </c>
      <c r="T40" s="1276" t="str">
        <f t="shared" si="56"/>
        <v>Kötelező feladat II. módosítás forintban</v>
      </c>
      <c r="U40" s="1276" t="str">
        <f t="shared" si="56"/>
        <v>Kötelező feladat III. módosítás  forintban</v>
      </c>
      <c r="V40" s="1278" t="str">
        <f t="shared" si="56"/>
        <v>Kötelező feladat IV. módosítás  forintban</v>
      </c>
      <c r="W40" s="1278" t="str">
        <f t="shared" si="56"/>
        <v>Kötelező teljesítés  forintban</v>
      </c>
      <c r="X40" s="1278">
        <f t="shared" si="56"/>
        <v>0</v>
      </c>
      <c r="Y40" s="1278">
        <f t="shared" si="56"/>
        <v>0</v>
      </c>
      <c r="Z40" s="1278">
        <f t="shared" si="56"/>
        <v>0</v>
      </c>
      <c r="AA40" s="1278">
        <f t="shared" si="56"/>
        <v>0</v>
      </c>
      <c r="AB40" s="1278">
        <f t="shared" si="56"/>
        <v>0</v>
      </c>
      <c r="AC40" s="1278">
        <f t="shared" si="56"/>
        <v>0</v>
      </c>
      <c r="AD40" s="1278"/>
      <c r="AE40" s="1278" t="str">
        <f t="shared" si="56"/>
        <v>I. változás</v>
      </c>
      <c r="AF40" s="1278" t="str">
        <f t="shared" si="56"/>
        <v>Előirányzat-módosítások, előirányzat-átcsoportosítások összegszerű változásai</v>
      </c>
      <c r="AG40" s="2916" t="str">
        <f t="shared" si="56"/>
        <v>Előirányzat-módosítások, előirányzat-átcsoportosítások összegszerű változásai a III. módosításnál</v>
      </c>
      <c r="AH40" s="1854" t="str">
        <f t="shared" si="56"/>
        <v>IV. változás</v>
      </c>
      <c r="AI40" s="1825" t="str">
        <f t="shared" si="56"/>
        <v xml:space="preserve"> 2025. évi teljesítés / 2025. évi III. számú módosított előirányzat</v>
      </c>
      <c r="AJ40" s="1854" t="str">
        <f t="shared" si="56"/>
        <v>Változás Eredeti előző évhez 
Ft-ban</v>
      </c>
      <c r="AK40" s="2595"/>
      <c r="AL40" s="439"/>
    </row>
    <row r="41" spans="1:38" ht="15">
      <c r="A41" s="2934" t="s">
        <v>6</v>
      </c>
      <c r="B41" s="2946" t="s">
        <v>3353</v>
      </c>
      <c r="C41" s="1292" t="s">
        <v>1291</v>
      </c>
      <c r="D41" s="1213">
        <f t="shared" ref="D41:AC41" si="57">SUM(D42:D46)</f>
        <v>914474288</v>
      </c>
      <c r="E41" s="2715">
        <f t="shared" si="57"/>
        <v>944296879</v>
      </c>
      <c r="F41" s="1213">
        <f t="shared" si="57"/>
        <v>1012175016</v>
      </c>
      <c r="G41" s="1213">
        <f t="shared" si="57"/>
        <v>1019524191</v>
      </c>
      <c r="H41" s="1213">
        <f t="shared" si="57"/>
        <v>1024670119</v>
      </c>
      <c r="I41" s="1213">
        <f t="shared" si="57"/>
        <v>1042874932</v>
      </c>
      <c r="J41" s="1213">
        <f t="shared" si="57"/>
        <v>1042874932</v>
      </c>
      <c r="K41" s="3208">
        <f t="shared" si="57"/>
        <v>989713292</v>
      </c>
      <c r="L41" s="1213">
        <f t="shared" si="57"/>
        <v>0</v>
      </c>
      <c r="M41" s="1213">
        <f t="shared" si="57"/>
        <v>0</v>
      </c>
      <c r="N41" s="1213">
        <f t="shared" si="57"/>
        <v>0</v>
      </c>
      <c r="O41" s="1213">
        <f t="shared" si="57"/>
        <v>0</v>
      </c>
      <c r="P41" s="1213">
        <f t="shared" si="57"/>
        <v>0</v>
      </c>
      <c r="Q41" s="1213">
        <f t="shared" si="57"/>
        <v>0</v>
      </c>
      <c r="R41" s="1213">
        <f t="shared" si="57"/>
        <v>1012175016</v>
      </c>
      <c r="S41" s="1213">
        <f t="shared" si="57"/>
        <v>1019524191</v>
      </c>
      <c r="T41" s="1213">
        <f t="shared" si="57"/>
        <v>1024670119</v>
      </c>
      <c r="U41" s="1213">
        <f t="shared" si="57"/>
        <v>1042874932</v>
      </c>
      <c r="V41" s="1213">
        <f t="shared" si="57"/>
        <v>1042874932</v>
      </c>
      <c r="W41" s="1213">
        <f t="shared" si="57"/>
        <v>989713292</v>
      </c>
      <c r="X41" s="1213">
        <f t="shared" si="57"/>
        <v>0</v>
      </c>
      <c r="Y41" s="1213">
        <f t="shared" si="57"/>
        <v>0</v>
      </c>
      <c r="Z41" s="1213">
        <f t="shared" si="57"/>
        <v>0</v>
      </c>
      <c r="AA41" s="1213">
        <f t="shared" si="57"/>
        <v>0</v>
      </c>
      <c r="AB41" s="1213">
        <f t="shared" si="57"/>
        <v>0</v>
      </c>
      <c r="AC41" s="1213">
        <f t="shared" si="57"/>
        <v>0</v>
      </c>
      <c r="AD41" s="1284"/>
      <c r="AE41" s="1213">
        <f t="shared" si="1"/>
        <v>7349175</v>
      </c>
      <c r="AF41" s="1213">
        <f t="shared" si="2"/>
        <v>5145928</v>
      </c>
      <c r="AG41" s="1213">
        <f t="shared" si="3"/>
        <v>18204813</v>
      </c>
      <c r="AH41" s="2919">
        <f t="shared" si="4"/>
        <v>0</v>
      </c>
      <c r="AI41" s="1829">
        <f t="shared" ref="AI41:AI54" si="58">+K41/I41</f>
        <v>0.94902395448508103</v>
      </c>
      <c r="AJ41" s="417">
        <f t="shared" ref="AJ41:AJ54" si="59">+F41-D41</f>
        <v>97700728</v>
      </c>
      <c r="AK41" s="412"/>
      <c r="AL41" s="439"/>
    </row>
    <row r="42" spans="1:38" ht="20.25" customHeight="1">
      <c r="A42" s="2934"/>
      <c r="B42" s="2948" t="s">
        <v>176</v>
      </c>
      <c r="C42" s="1290" t="s">
        <v>147</v>
      </c>
      <c r="D42" s="1227">
        <v>628218697</v>
      </c>
      <c r="E42" s="2719">
        <v>637392198</v>
      </c>
      <c r="F42" s="1227">
        <v>718768879</v>
      </c>
      <c r="G42" s="1227">
        <f>+F42+320000</f>
        <v>719088879</v>
      </c>
      <c r="H42" s="1227">
        <f>+G42+9000*12+210000</f>
        <v>719406879</v>
      </c>
      <c r="I42" s="1227">
        <f>+H42+210000-9864549+1548870</f>
        <v>711301200</v>
      </c>
      <c r="J42" s="1227">
        <f t="shared" ref="G42:J46" si="60">+I42</f>
        <v>711301200</v>
      </c>
      <c r="K42" s="3209">
        <v>709497690</v>
      </c>
      <c r="L42" s="1227">
        <v>0</v>
      </c>
      <c r="M42" s="1227">
        <f t="shared" ref="M42:P46" si="61">+L42</f>
        <v>0</v>
      </c>
      <c r="N42" s="1227">
        <f t="shared" si="61"/>
        <v>0</v>
      </c>
      <c r="O42" s="1227">
        <f t="shared" si="61"/>
        <v>0</v>
      </c>
      <c r="P42" s="1227">
        <f t="shared" si="61"/>
        <v>0</v>
      </c>
      <c r="Q42" s="1227">
        <v>0</v>
      </c>
      <c r="R42" s="1227">
        <f>+F42</f>
        <v>718768879</v>
      </c>
      <c r="S42" s="1227">
        <f>+R42+320000</f>
        <v>719088879</v>
      </c>
      <c r="T42" s="1227">
        <f>+S42+9000*12+210000</f>
        <v>719406879</v>
      </c>
      <c r="U42" s="1227">
        <f>+T42+210000-9864549+1548870</f>
        <v>711301200</v>
      </c>
      <c r="V42" s="1227">
        <f>+U42</f>
        <v>711301200</v>
      </c>
      <c r="W42" s="1227">
        <f>+K42</f>
        <v>709497690</v>
      </c>
      <c r="X42" s="1227"/>
      <c r="Y42" s="1227">
        <f t="shared" ref="Y42:AC46" si="62">+X42</f>
        <v>0</v>
      </c>
      <c r="Z42" s="1227">
        <f t="shared" si="62"/>
        <v>0</v>
      </c>
      <c r="AA42" s="1227">
        <f t="shared" si="62"/>
        <v>0</v>
      </c>
      <c r="AB42" s="1227">
        <f t="shared" si="62"/>
        <v>0</v>
      </c>
      <c r="AC42" s="1227">
        <f t="shared" si="62"/>
        <v>0</v>
      </c>
      <c r="AD42" s="1665"/>
      <c r="AE42" s="1213">
        <f t="shared" si="1"/>
        <v>320000</v>
      </c>
      <c r="AF42" s="1213">
        <f t="shared" si="2"/>
        <v>318000</v>
      </c>
      <c r="AG42" s="1213">
        <f t="shared" si="3"/>
        <v>-8105679</v>
      </c>
      <c r="AH42" s="2919">
        <f t="shared" si="4"/>
        <v>0</v>
      </c>
      <c r="AI42" s="1834">
        <f t="shared" si="58"/>
        <v>0.99746449183552621</v>
      </c>
      <c r="AJ42" s="417">
        <f t="shared" si="59"/>
        <v>90550182</v>
      </c>
      <c r="AK42" s="430"/>
      <c r="AL42" s="439"/>
    </row>
    <row r="43" spans="1:38" ht="15">
      <c r="A43" s="2934"/>
      <c r="B43" s="2948" t="s">
        <v>178</v>
      </c>
      <c r="C43" s="1290" t="s">
        <v>8</v>
      </c>
      <c r="D43" s="1227">
        <v>99011504</v>
      </c>
      <c r="E43" s="2719">
        <v>91020291</v>
      </c>
      <c r="F43" s="1227">
        <v>111318760</v>
      </c>
      <c r="G43" s="1227">
        <f t="shared" si="60"/>
        <v>111318760</v>
      </c>
      <c r="H43" s="1227">
        <f t="shared" si="60"/>
        <v>111318760</v>
      </c>
      <c r="I43" s="1227">
        <f>+H43+284964</f>
        <v>111603724</v>
      </c>
      <c r="J43" s="1227">
        <f t="shared" si="60"/>
        <v>111603724</v>
      </c>
      <c r="K43" s="3209">
        <v>102931915</v>
      </c>
      <c r="L43" s="1227">
        <v>0</v>
      </c>
      <c r="M43" s="1227">
        <f t="shared" si="61"/>
        <v>0</v>
      </c>
      <c r="N43" s="1227">
        <f t="shared" si="61"/>
        <v>0</v>
      </c>
      <c r="O43" s="1227">
        <f t="shared" si="61"/>
        <v>0</v>
      </c>
      <c r="P43" s="1227">
        <f t="shared" si="61"/>
        <v>0</v>
      </c>
      <c r="Q43" s="1227">
        <v>0</v>
      </c>
      <c r="R43" s="1227">
        <f>+F43</f>
        <v>111318760</v>
      </c>
      <c r="S43" s="1227">
        <f>+R43</f>
        <v>111318760</v>
      </c>
      <c r="T43" s="1227">
        <f>+S43</f>
        <v>111318760</v>
      </c>
      <c r="U43" s="1227">
        <f>+T43+284964</f>
        <v>111603724</v>
      </c>
      <c r="V43" s="1227">
        <f>+U43</f>
        <v>111603724</v>
      </c>
      <c r="W43" s="1227">
        <f>+K43</f>
        <v>102931915</v>
      </c>
      <c r="X43" s="1227"/>
      <c r="Y43" s="1227">
        <f t="shared" si="62"/>
        <v>0</v>
      </c>
      <c r="Z43" s="1227">
        <f t="shared" si="62"/>
        <v>0</v>
      </c>
      <c r="AA43" s="1227">
        <f t="shared" si="62"/>
        <v>0</v>
      </c>
      <c r="AB43" s="1227">
        <f t="shared" si="62"/>
        <v>0</v>
      </c>
      <c r="AC43" s="1227">
        <f t="shared" si="62"/>
        <v>0</v>
      </c>
      <c r="AD43" s="1665"/>
      <c r="AE43" s="1213">
        <f t="shared" si="1"/>
        <v>0</v>
      </c>
      <c r="AF43" s="1213">
        <f t="shared" si="2"/>
        <v>0</v>
      </c>
      <c r="AG43" s="1213">
        <f t="shared" si="3"/>
        <v>284964</v>
      </c>
      <c r="AH43" s="2919">
        <f t="shared" si="4"/>
        <v>0</v>
      </c>
      <c r="AI43" s="1834">
        <f t="shared" si="58"/>
        <v>0.9222982111242094</v>
      </c>
      <c r="AJ43" s="417">
        <f t="shared" si="59"/>
        <v>12307256</v>
      </c>
      <c r="AK43" s="430"/>
      <c r="AL43" s="439"/>
    </row>
    <row r="44" spans="1:38" ht="15">
      <c r="A44" s="2934"/>
      <c r="B44" s="2948" t="s">
        <v>179</v>
      </c>
      <c r="C44" s="1290" t="s">
        <v>317</v>
      </c>
      <c r="D44" s="1227">
        <v>187244087</v>
      </c>
      <c r="E44" s="2719">
        <v>203074206</v>
      </c>
      <c r="F44" s="1227">
        <v>182087377</v>
      </c>
      <c r="G44" s="1227">
        <f>+F44+1473200+626628+1756114</f>
        <v>185943319</v>
      </c>
      <c r="H44" s="1227">
        <f>+G44+666750+655320+3505858</f>
        <v>190771247</v>
      </c>
      <c r="I44" s="1227">
        <f>+H44+1287166+9864549+14633462+240351</f>
        <v>216796775</v>
      </c>
      <c r="J44" s="1227">
        <f t="shared" si="60"/>
        <v>216796775</v>
      </c>
      <c r="K44" s="3209">
        <v>174110454</v>
      </c>
      <c r="L44" s="1227">
        <v>0</v>
      </c>
      <c r="M44" s="1227">
        <f t="shared" si="61"/>
        <v>0</v>
      </c>
      <c r="N44" s="1227">
        <f t="shared" si="61"/>
        <v>0</v>
      </c>
      <c r="O44" s="1227">
        <f t="shared" si="61"/>
        <v>0</v>
      </c>
      <c r="P44" s="1227">
        <f t="shared" si="61"/>
        <v>0</v>
      </c>
      <c r="Q44" s="1227">
        <v>0</v>
      </c>
      <c r="R44" s="1227">
        <f>+F44</f>
        <v>182087377</v>
      </c>
      <c r="S44" s="1227">
        <f>+R44+1473200+626628+1756114</f>
        <v>185943319</v>
      </c>
      <c r="T44" s="1227">
        <f>+S44+666750+655320+3505858</f>
        <v>190771247</v>
      </c>
      <c r="U44" s="1227">
        <f>+T44+1287166+9864549+14633462+240351</f>
        <v>216796775</v>
      </c>
      <c r="V44" s="1227">
        <f>+U44</f>
        <v>216796775</v>
      </c>
      <c r="W44" s="1227">
        <f>+K44</f>
        <v>174110454</v>
      </c>
      <c r="X44" s="1227"/>
      <c r="Y44" s="1227">
        <f t="shared" si="62"/>
        <v>0</v>
      </c>
      <c r="Z44" s="1227">
        <f t="shared" si="62"/>
        <v>0</v>
      </c>
      <c r="AA44" s="1227">
        <f t="shared" si="62"/>
        <v>0</v>
      </c>
      <c r="AB44" s="1227">
        <f t="shared" si="62"/>
        <v>0</v>
      </c>
      <c r="AC44" s="1227">
        <f t="shared" si="62"/>
        <v>0</v>
      </c>
      <c r="AD44" s="2947"/>
      <c r="AE44" s="1213">
        <f t="shared" si="1"/>
        <v>3855942</v>
      </c>
      <c r="AF44" s="1213">
        <f t="shared" si="2"/>
        <v>4827928</v>
      </c>
      <c r="AG44" s="1213">
        <f t="shared" si="3"/>
        <v>26025528</v>
      </c>
      <c r="AH44" s="2919">
        <f t="shared" si="4"/>
        <v>0</v>
      </c>
      <c r="AI44" s="1834">
        <f t="shared" si="58"/>
        <v>0.80310444654907809</v>
      </c>
      <c r="AJ44" s="417">
        <f t="shared" si="59"/>
        <v>-5156710</v>
      </c>
      <c r="AK44" s="430"/>
    </row>
    <row r="45" spans="1:38" s="439" customFormat="1" ht="15">
      <c r="A45" s="2934"/>
      <c r="B45" s="2948" t="s">
        <v>180</v>
      </c>
      <c r="C45" s="1290" t="s">
        <v>318</v>
      </c>
      <c r="D45" s="1227">
        <v>0</v>
      </c>
      <c r="E45" s="2719">
        <v>0</v>
      </c>
      <c r="F45" s="1227">
        <v>0</v>
      </c>
      <c r="G45" s="1227">
        <f t="shared" si="60"/>
        <v>0</v>
      </c>
      <c r="H45" s="1227">
        <f t="shared" si="60"/>
        <v>0</v>
      </c>
      <c r="I45" s="1227">
        <f t="shared" si="60"/>
        <v>0</v>
      </c>
      <c r="J45" s="1227">
        <f t="shared" si="60"/>
        <v>0</v>
      </c>
      <c r="K45" s="3209">
        <v>0</v>
      </c>
      <c r="L45" s="1227">
        <v>0</v>
      </c>
      <c r="M45" s="1227">
        <f t="shared" si="61"/>
        <v>0</v>
      </c>
      <c r="N45" s="1227">
        <f t="shared" si="61"/>
        <v>0</v>
      </c>
      <c r="O45" s="1227">
        <f t="shared" si="61"/>
        <v>0</v>
      </c>
      <c r="P45" s="1227">
        <f t="shared" si="61"/>
        <v>0</v>
      </c>
      <c r="Q45" s="1227">
        <v>0</v>
      </c>
      <c r="R45" s="1227">
        <v>0</v>
      </c>
      <c r="S45" s="1227">
        <f t="shared" ref="S45:V46" si="63">+R45</f>
        <v>0</v>
      </c>
      <c r="T45" s="1227">
        <f t="shared" si="63"/>
        <v>0</v>
      </c>
      <c r="U45" s="1227">
        <f t="shared" si="63"/>
        <v>0</v>
      </c>
      <c r="V45" s="1227">
        <f t="shared" si="63"/>
        <v>0</v>
      </c>
      <c r="W45" s="1227">
        <f>+K45</f>
        <v>0</v>
      </c>
      <c r="X45" s="1227"/>
      <c r="Y45" s="1227">
        <f t="shared" si="62"/>
        <v>0</v>
      </c>
      <c r="Z45" s="1227">
        <f t="shared" si="62"/>
        <v>0</v>
      </c>
      <c r="AA45" s="1227">
        <f t="shared" si="62"/>
        <v>0</v>
      </c>
      <c r="AB45" s="1227">
        <f t="shared" si="62"/>
        <v>0</v>
      </c>
      <c r="AC45" s="1227">
        <f t="shared" si="62"/>
        <v>0</v>
      </c>
      <c r="AD45" s="1284"/>
      <c r="AE45" s="1213">
        <f t="shared" si="1"/>
        <v>0</v>
      </c>
      <c r="AF45" s="1213">
        <f t="shared" si="2"/>
        <v>0</v>
      </c>
      <c r="AG45" s="1213">
        <f t="shared" si="3"/>
        <v>0</v>
      </c>
      <c r="AH45" s="2919">
        <f t="shared" si="4"/>
        <v>0</v>
      </c>
      <c r="AI45" s="1834"/>
      <c r="AJ45" s="417">
        <f t="shared" si="59"/>
        <v>0</v>
      </c>
      <c r="AK45" s="430"/>
    </row>
    <row r="46" spans="1:38" ht="15">
      <c r="A46" s="2934"/>
      <c r="B46" s="1477" t="s">
        <v>181</v>
      </c>
      <c r="C46" s="1286" t="s">
        <v>3319</v>
      </c>
      <c r="D46" s="1227">
        <v>0</v>
      </c>
      <c r="E46" s="2719">
        <v>12810184</v>
      </c>
      <c r="F46" s="1227">
        <v>0</v>
      </c>
      <c r="G46" s="1227">
        <f>+F46+3173233</f>
        <v>3173233</v>
      </c>
      <c r="H46" s="1227">
        <f t="shared" si="60"/>
        <v>3173233</v>
      </c>
      <c r="I46" s="1227">
        <f t="shared" si="60"/>
        <v>3173233</v>
      </c>
      <c r="J46" s="1227">
        <f t="shared" si="60"/>
        <v>3173233</v>
      </c>
      <c r="K46" s="3209">
        <v>3173233</v>
      </c>
      <c r="L46" s="1227">
        <v>0</v>
      </c>
      <c r="M46" s="1227">
        <f t="shared" si="61"/>
        <v>0</v>
      </c>
      <c r="N46" s="1227">
        <f t="shared" si="61"/>
        <v>0</v>
      </c>
      <c r="O46" s="1227">
        <f t="shared" si="61"/>
        <v>0</v>
      </c>
      <c r="P46" s="1227">
        <f t="shared" si="61"/>
        <v>0</v>
      </c>
      <c r="Q46" s="1227">
        <v>0</v>
      </c>
      <c r="R46" s="1227">
        <v>0</v>
      </c>
      <c r="S46" s="1227">
        <f>+R46+3173233</f>
        <v>3173233</v>
      </c>
      <c r="T46" s="1227">
        <f t="shared" si="63"/>
        <v>3173233</v>
      </c>
      <c r="U46" s="1227">
        <f t="shared" si="63"/>
        <v>3173233</v>
      </c>
      <c r="V46" s="1227">
        <f t="shared" si="63"/>
        <v>3173233</v>
      </c>
      <c r="W46" s="1227">
        <f>+K46</f>
        <v>3173233</v>
      </c>
      <c r="X46" s="1227"/>
      <c r="Y46" s="1227">
        <f t="shared" si="62"/>
        <v>0</v>
      </c>
      <c r="Z46" s="1227">
        <f t="shared" si="62"/>
        <v>0</v>
      </c>
      <c r="AA46" s="1227">
        <f t="shared" si="62"/>
        <v>0</v>
      </c>
      <c r="AB46" s="1227">
        <f t="shared" si="62"/>
        <v>0</v>
      </c>
      <c r="AC46" s="1227">
        <f t="shared" si="62"/>
        <v>0</v>
      </c>
      <c r="AD46" s="2947"/>
      <c r="AE46" s="1213">
        <f t="shared" si="1"/>
        <v>3173233</v>
      </c>
      <c r="AF46" s="1213">
        <f t="shared" si="2"/>
        <v>0</v>
      </c>
      <c r="AG46" s="1213">
        <f t="shared" si="3"/>
        <v>0</v>
      </c>
      <c r="AH46" s="2919">
        <f t="shared" si="4"/>
        <v>0</v>
      </c>
      <c r="AI46" s="1834">
        <f t="shared" si="58"/>
        <v>1</v>
      </c>
      <c r="AJ46" s="417">
        <f t="shared" si="59"/>
        <v>0</v>
      </c>
      <c r="AK46" s="430"/>
    </row>
    <row r="47" spans="1:38" ht="15">
      <c r="A47" s="2934" t="s">
        <v>12</v>
      </c>
      <c r="B47" s="2946" t="s">
        <v>12</v>
      </c>
      <c r="C47" s="1292" t="s">
        <v>1292</v>
      </c>
      <c r="D47" s="1213">
        <f t="shared" ref="D47:AC47" si="64">SUM(D48:D50)</f>
        <v>1460500</v>
      </c>
      <c r="E47" s="2715">
        <f t="shared" si="64"/>
        <v>1431637</v>
      </c>
      <c r="F47" s="1213">
        <f t="shared" si="64"/>
        <v>1113409</v>
      </c>
      <c r="G47" s="1213">
        <f t="shared" si="64"/>
        <v>1113409</v>
      </c>
      <c r="H47" s="1213">
        <f t="shared" si="64"/>
        <v>1113409</v>
      </c>
      <c r="I47" s="1213">
        <f t="shared" si="64"/>
        <v>1113409</v>
      </c>
      <c r="J47" s="1213">
        <f t="shared" si="64"/>
        <v>1113409</v>
      </c>
      <c r="K47" s="3208">
        <f>SUM(K48:K50)</f>
        <v>675823</v>
      </c>
      <c r="L47" s="1213">
        <f t="shared" si="64"/>
        <v>0</v>
      </c>
      <c r="M47" s="1213">
        <f t="shared" si="64"/>
        <v>0</v>
      </c>
      <c r="N47" s="1213">
        <f t="shared" si="64"/>
        <v>0</v>
      </c>
      <c r="O47" s="1213">
        <f t="shared" si="64"/>
        <v>0</v>
      </c>
      <c r="P47" s="1213">
        <f t="shared" si="64"/>
        <v>0</v>
      </c>
      <c r="Q47" s="1213">
        <f t="shared" si="64"/>
        <v>0</v>
      </c>
      <c r="R47" s="1213">
        <f t="shared" si="64"/>
        <v>1113409</v>
      </c>
      <c r="S47" s="1213">
        <f t="shared" si="64"/>
        <v>1113409</v>
      </c>
      <c r="T47" s="1213">
        <f t="shared" si="64"/>
        <v>1113409</v>
      </c>
      <c r="U47" s="1213">
        <f t="shared" si="64"/>
        <v>1113409</v>
      </c>
      <c r="V47" s="1213">
        <f t="shared" si="64"/>
        <v>1113409</v>
      </c>
      <c r="W47" s="1213">
        <f t="shared" si="64"/>
        <v>675823</v>
      </c>
      <c r="X47" s="1213">
        <f t="shared" si="64"/>
        <v>0</v>
      </c>
      <c r="Y47" s="1213">
        <f t="shared" si="64"/>
        <v>0</v>
      </c>
      <c r="Z47" s="1213">
        <f t="shared" si="64"/>
        <v>0</v>
      </c>
      <c r="AA47" s="1213">
        <f t="shared" si="64"/>
        <v>0</v>
      </c>
      <c r="AB47" s="1213">
        <f t="shared" si="64"/>
        <v>0</v>
      </c>
      <c r="AC47" s="1213">
        <f t="shared" si="64"/>
        <v>0</v>
      </c>
      <c r="AD47" s="1284"/>
      <c r="AE47" s="1213">
        <f t="shared" si="1"/>
        <v>0</v>
      </c>
      <c r="AF47" s="1213">
        <f t="shared" si="2"/>
        <v>0</v>
      </c>
      <c r="AG47" s="1213">
        <f t="shared" si="3"/>
        <v>0</v>
      </c>
      <c r="AH47" s="2919">
        <f t="shared" si="4"/>
        <v>0</v>
      </c>
      <c r="AI47" s="1829">
        <f t="shared" si="58"/>
        <v>0.60698539350768677</v>
      </c>
      <c r="AJ47" s="417">
        <f t="shared" si="59"/>
        <v>-347091</v>
      </c>
      <c r="AK47" s="412"/>
    </row>
    <row r="48" spans="1:38" ht="15">
      <c r="A48" s="2934"/>
      <c r="B48" s="2948" t="s">
        <v>185</v>
      </c>
      <c r="C48" s="1290" t="s">
        <v>82</v>
      </c>
      <c r="D48" s="1227">
        <v>1460500</v>
      </c>
      <c r="E48" s="2719">
        <v>1431637</v>
      </c>
      <c r="F48" s="1227">
        <v>1113409</v>
      </c>
      <c r="G48" s="1227">
        <f t="shared" ref="G48:J51" si="65">+F48</f>
        <v>1113409</v>
      </c>
      <c r="H48" s="1227">
        <f t="shared" si="65"/>
        <v>1113409</v>
      </c>
      <c r="I48" s="1227">
        <f t="shared" si="65"/>
        <v>1113409</v>
      </c>
      <c r="J48" s="1227">
        <f t="shared" si="65"/>
        <v>1113409</v>
      </c>
      <c r="K48" s="3209">
        <v>675823</v>
      </c>
      <c r="L48" s="1227">
        <v>0</v>
      </c>
      <c r="M48" s="1227">
        <f t="shared" ref="M48:P51" si="66">+L48</f>
        <v>0</v>
      </c>
      <c r="N48" s="1227">
        <f t="shared" si="66"/>
        <v>0</v>
      </c>
      <c r="O48" s="1227">
        <f t="shared" si="66"/>
        <v>0</v>
      </c>
      <c r="P48" s="1227">
        <f t="shared" si="66"/>
        <v>0</v>
      </c>
      <c r="Q48" s="1227">
        <v>0</v>
      </c>
      <c r="R48" s="1227">
        <f>+F48</f>
        <v>1113409</v>
      </c>
      <c r="S48" s="1227">
        <f t="shared" ref="S48:V51" si="67">+R48</f>
        <v>1113409</v>
      </c>
      <c r="T48" s="1227">
        <f t="shared" si="67"/>
        <v>1113409</v>
      </c>
      <c r="U48" s="1227">
        <f t="shared" si="67"/>
        <v>1113409</v>
      </c>
      <c r="V48" s="1227">
        <f t="shared" si="67"/>
        <v>1113409</v>
      </c>
      <c r="W48" s="1227">
        <f>+K48</f>
        <v>675823</v>
      </c>
      <c r="X48" s="1227"/>
      <c r="Y48" s="1227">
        <f t="shared" ref="Y48:AC51" si="68">+X48</f>
        <v>0</v>
      </c>
      <c r="Z48" s="1227">
        <f t="shared" si="68"/>
        <v>0</v>
      </c>
      <c r="AA48" s="1227">
        <f t="shared" si="68"/>
        <v>0</v>
      </c>
      <c r="AB48" s="1227">
        <f t="shared" si="68"/>
        <v>0</v>
      </c>
      <c r="AC48" s="1227">
        <f t="shared" si="68"/>
        <v>0</v>
      </c>
      <c r="AD48" s="2947"/>
      <c r="AE48" s="1213">
        <f t="shared" si="1"/>
        <v>0</v>
      </c>
      <c r="AF48" s="1213">
        <f t="shared" si="2"/>
        <v>0</v>
      </c>
      <c r="AG48" s="1213">
        <f t="shared" si="3"/>
        <v>0</v>
      </c>
      <c r="AH48" s="2919">
        <f t="shared" si="4"/>
        <v>0</v>
      </c>
      <c r="AI48" s="1834">
        <f t="shared" si="58"/>
        <v>0.60698539350768677</v>
      </c>
      <c r="AJ48" s="417">
        <f t="shared" si="59"/>
        <v>-347091</v>
      </c>
      <c r="AK48" s="430"/>
    </row>
    <row r="49" spans="1:37" ht="15">
      <c r="A49" s="2934"/>
      <c r="B49" s="2948" t="s">
        <v>187</v>
      </c>
      <c r="C49" s="1290" t="s">
        <v>344</v>
      </c>
      <c r="D49" s="1227">
        <v>0</v>
      </c>
      <c r="E49" s="2719">
        <v>0</v>
      </c>
      <c r="F49" s="1227">
        <v>0</v>
      </c>
      <c r="G49" s="1227">
        <f t="shared" si="65"/>
        <v>0</v>
      </c>
      <c r="H49" s="1227">
        <f t="shared" si="65"/>
        <v>0</v>
      </c>
      <c r="I49" s="1227">
        <f t="shared" si="65"/>
        <v>0</v>
      </c>
      <c r="J49" s="1227">
        <f t="shared" si="65"/>
        <v>0</v>
      </c>
      <c r="K49" s="3209">
        <v>0</v>
      </c>
      <c r="L49" s="1227">
        <v>0</v>
      </c>
      <c r="M49" s="1227">
        <f t="shared" si="66"/>
        <v>0</v>
      </c>
      <c r="N49" s="1227">
        <f t="shared" si="66"/>
        <v>0</v>
      </c>
      <c r="O49" s="1227">
        <f t="shared" si="66"/>
        <v>0</v>
      </c>
      <c r="P49" s="1227">
        <f t="shared" si="66"/>
        <v>0</v>
      </c>
      <c r="Q49" s="1227">
        <v>0</v>
      </c>
      <c r="R49" s="1227">
        <f>+F49</f>
        <v>0</v>
      </c>
      <c r="S49" s="1227">
        <f t="shared" si="67"/>
        <v>0</v>
      </c>
      <c r="T49" s="1227">
        <f t="shared" si="67"/>
        <v>0</v>
      </c>
      <c r="U49" s="1227">
        <f t="shared" si="67"/>
        <v>0</v>
      </c>
      <c r="V49" s="1227">
        <f t="shared" si="67"/>
        <v>0</v>
      </c>
      <c r="W49" s="1227">
        <f>+K49</f>
        <v>0</v>
      </c>
      <c r="X49" s="1227"/>
      <c r="Y49" s="1227">
        <f t="shared" si="68"/>
        <v>0</v>
      </c>
      <c r="Z49" s="1227">
        <f t="shared" si="68"/>
        <v>0</v>
      </c>
      <c r="AA49" s="1227">
        <f t="shared" si="68"/>
        <v>0</v>
      </c>
      <c r="AB49" s="1227">
        <f t="shared" si="68"/>
        <v>0</v>
      </c>
      <c r="AC49" s="1227">
        <f t="shared" si="68"/>
        <v>0</v>
      </c>
      <c r="AD49" s="1284"/>
      <c r="AE49" s="1213">
        <f t="shared" si="1"/>
        <v>0</v>
      </c>
      <c r="AF49" s="1213">
        <f t="shared" si="2"/>
        <v>0</v>
      </c>
      <c r="AG49" s="1213">
        <f t="shared" si="3"/>
        <v>0</v>
      </c>
      <c r="AH49" s="2919">
        <f t="shared" si="4"/>
        <v>0</v>
      </c>
      <c r="AI49" s="1834"/>
      <c r="AJ49" s="417">
        <f t="shared" si="59"/>
        <v>0</v>
      </c>
      <c r="AK49" s="430"/>
    </row>
    <row r="50" spans="1:37" ht="15">
      <c r="A50" s="2934"/>
      <c r="B50" s="1477" t="s">
        <v>189</v>
      </c>
      <c r="C50" s="1286" t="s">
        <v>1293</v>
      </c>
      <c r="D50" s="1227">
        <v>0</v>
      </c>
      <c r="E50" s="2719">
        <v>0</v>
      </c>
      <c r="F50" s="1227">
        <v>0</v>
      </c>
      <c r="G50" s="1227">
        <f>+F50</f>
        <v>0</v>
      </c>
      <c r="H50" s="1227">
        <f t="shared" si="65"/>
        <v>0</v>
      </c>
      <c r="I50" s="1227">
        <f t="shared" si="65"/>
        <v>0</v>
      </c>
      <c r="J50" s="1227">
        <f t="shared" si="65"/>
        <v>0</v>
      </c>
      <c r="K50" s="3209">
        <v>0</v>
      </c>
      <c r="L50" s="1227">
        <v>0</v>
      </c>
      <c r="M50" s="1227">
        <f t="shared" si="66"/>
        <v>0</v>
      </c>
      <c r="N50" s="1227">
        <f t="shared" si="66"/>
        <v>0</v>
      </c>
      <c r="O50" s="1227">
        <f t="shared" si="66"/>
        <v>0</v>
      </c>
      <c r="P50" s="1227">
        <f t="shared" si="66"/>
        <v>0</v>
      </c>
      <c r="Q50" s="1227">
        <v>0</v>
      </c>
      <c r="R50" s="1227">
        <v>0</v>
      </c>
      <c r="S50" s="1227">
        <f>+R50</f>
        <v>0</v>
      </c>
      <c r="T50" s="1227">
        <f t="shared" si="67"/>
        <v>0</v>
      </c>
      <c r="U50" s="1227">
        <f t="shared" si="67"/>
        <v>0</v>
      </c>
      <c r="V50" s="1227">
        <f t="shared" si="67"/>
        <v>0</v>
      </c>
      <c r="W50" s="1227">
        <f>+K50</f>
        <v>0</v>
      </c>
      <c r="X50" s="1227"/>
      <c r="Y50" s="1227">
        <f t="shared" si="68"/>
        <v>0</v>
      </c>
      <c r="Z50" s="1227">
        <f t="shared" si="68"/>
        <v>0</v>
      </c>
      <c r="AA50" s="1227">
        <f t="shared" si="68"/>
        <v>0</v>
      </c>
      <c r="AB50" s="1227">
        <f t="shared" si="68"/>
        <v>0</v>
      </c>
      <c r="AC50" s="1227">
        <f t="shared" si="68"/>
        <v>0</v>
      </c>
      <c r="AD50" s="1284"/>
      <c r="AE50" s="1213">
        <f t="shared" si="1"/>
        <v>0</v>
      </c>
      <c r="AF50" s="1213">
        <f t="shared" si="2"/>
        <v>0</v>
      </c>
      <c r="AG50" s="1213">
        <f t="shared" si="3"/>
        <v>0</v>
      </c>
      <c r="AH50" s="2919">
        <f t="shared" si="4"/>
        <v>0</v>
      </c>
      <c r="AI50" s="1834"/>
      <c r="AJ50" s="417">
        <f t="shared" si="59"/>
        <v>0</v>
      </c>
      <c r="AK50" s="430"/>
    </row>
    <row r="51" spans="1:37" ht="15">
      <c r="A51" s="2934"/>
      <c r="B51" s="1477" t="s">
        <v>191</v>
      </c>
      <c r="C51" s="1290" t="s">
        <v>1294</v>
      </c>
      <c r="D51" s="1227">
        <v>0</v>
      </c>
      <c r="E51" s="2719">
        <v>0</v>
      </c>
      <c r="F51" s="1227">
        <v>0</v>
      </c>
      <c r="G51" s="1227">
        <f t="shared" si="65"/>
        <v>0</v>
      </c>
      <c r="H51" s="1227">
        <f t="shared" si="65"/>
        <v>0</v>
      </c>
      <c r="I51" s="1227">
        <f t="shared" si="65"/>
        <v>0</v>
      </c>
      <c r="J51" s="1227">
        <f t="shared" si="65"/>
        <v>0</v>
      </c>
      <c r="K51" s="3209">
        <v>0</v>
      </c>
      <c r="L51" s="1227">
        <v>0</v>
      </c>
      <c r="M51" s="1227">
        <f t="shared" si="66"/>
        <v>0</v>
      </c>
      <c r="N51" s="1227">
        <f t="shared" si="66"/>
        <v>0</v>
      </c>
      <c r="O51" s="1227">
        <f t="shared" si="66"/>
        <v>0</v>
      </c>
      <c r="P51" s="1227">
        <f t="shared" si="66"/>
        <v>0</v>
      </c>
      <c r="Q51" s="1227">
        <v>0</v>
      </c>
      <c r="R51" s="1227">
        <v>0</v>
      </c>
      <c r="S51" s="1227">
        <f t="shared" si="67"/>
        <v>0</v>
      </c>
      <c r="T51" s="1227">
        <f t="shared" si="67"/>
        <v>0</v>
      </c>
      <c r="U51" s="1227">
        <f t="shared" si="67"/>
        <v>0</v>
      </c>
      <c r="V51" s="1227">
        <f t="shared" si="67"/>
        <v>0</v>
      </c>
      <c r="W51" s="1227">
        <f>+K51</f>
        <v>0</v>
      </c>
      <c r="X51" s="1227"/>
      <c r="Y51" s="1227">
        <f t="shared" si="68"/>
        <v>0</v>
      </c>
      <c r="Z51" s="1227">
        <f t="shared" si="68"/>
        <v>0</v>
      </c>
      <c r="AA51" s="1227">
        <f t="shared" si="68"/>
        <v>0</v>
      </c>
      <c r="AB51" s="1227">
        <f t="shared" si="68"/>
        <v>0</v>
      </c>
      <c r="AC51" s="1227">
        <f t="shared" si="68"/>
        <v>0</v>
      </c>
      <c r="AD51" s="1284"/>
      <c r="AE51" s="1213">
        <f t="shared" si="1"/>
        <v>0</v>
      </c>
      <c r="AF51" s="1213">
        <f t="shared" si="2"/>
        <v>0</v>
      </c>
      <c r="AG51" s="1213">
        <f t="shared" si="3"/>
        <v>0</v>
      </c>
      <c r="AH51" s="2919">
        <f t="shared" si="4"/>
        <v>0</v>
      </c>
      <c r="AI51" s="1834"/>
      <c r="AJ51" s="417">
        <f t="shared" si="59"/>
        <v>0</v>
      </c>
      <c r="AK51" s="430"/>
    </row>
    <row r="52" spans="1:37" ht="15">
      <c r="A52" s="2934" t="s">
        <v>14</v>
      </c>
      <c r="B52" s="1282" t="s">
        <v>14</v>
      </c>
      <c r="C52" s="2950" t="s">
        <v>1295</v>
      </c>
      <c r="D52" s="1298">
        <f t="shared" ref="D52:AC52" si="69">+D41+D47</f>
        <v>915934788</v>
      </c>
      <c r="E52" s="2720">
        <f t="shared" si="69"/>
        <v>945728516</v>
      </c>
      <c r="F52" s="1298">
        <f t="shared" si="69"/>
        <v>1013288425</v>
      </c>
      <c r="G52" s="1298">
        <f t="shared" si="69"/>
        <v>1020637600</v>
      </c>
      <c r="H52" s="1298">
        <f t="shared" si="69"/>
        <v>1025783528</v>
      </c>
      <c r="I52" s="1298">
        <f t="shared" si="69"/>
        <v>1043988341</v>
      </c>
      <c r="J52" s="1298">
        <f t="shared" si="69"/>
        <v>1043988341</v>
      </c>
      <c r="K52" s="3210">
        <f t="shared" si="69"/>
        <v>990389115</v>
      </c>
      <c r="L52" s="1298">
        <f t="shared" si="69"/>
        <v>0</v>
      </c>
      <c r="M52" s="1298">
        <f t="shared" si="69"/>
        <v>0</v>
      </c>
      <c r="N52" s="1298">
        <f t="shared" si="69"/>
        <v>0</v>
      </c>
      <c r="O52" s="1298">
        <f t="shared" si="69"/>
        <v>0</v>
      </c>
      <c r="P52" s="1298">
        <f t="shared" si="69"/>
        <v>0</v>
      </c>
      <c r="Q52" s="1298">
        <f t="shared" si="69"/>
        <v>0</v>
      </c>
      <c r="R52" s="1298">
        <f t="shared" si="69"/>
        <v>1013288425</v>
      </c>
      <c r="S52" s="1298">
        <f t="shared" si="69"/>
        <v>1020637600</v>
      </c>
      <c r="T52" s="1298">
        <f t="shared" si="69"/>
        <v>1025783528</v>
      </c>
      <c r="U52" s="1298">
        <f t="shared" si="69"/>
        <v>1043988341</v>
      </c>
      <c r="V52" s="1298">
        <f t="shared" si="69"/>
        <v>1043988341</v>
      </c>
      <c r="W52" s="1298">
        <f t="shared" si="69"/>
        <v>990389115</v>
      </c>
      <c r="X52" s="1298">
        <f t="shared" si="69"/>
        <v>0</v>
      </c>
      <c r="Y52" s="1298">
        <f t="shared" si="69"/>
        <v>0</v>
      </c>
      <c r="Z52" s="1298">
        <f t="shared" si="69"/>
        <v>0</v>
      </c>
      <c r="AA52" s="1298">
        <f t="shared" si="69"/>
        <v>0</v>
      </c>
      <c r="AB52" s="1298">
        <f t="shared" si="69"/>
        <v>0</v>
      </c>
      <c r="AC52" s="1298">
        <f t="shared" si="69"/>
        <v>0</v>
      </c>
      <c r="AD52" s="1284"/>
      <c r="AE52" s="1213">
        <f t="shared" si="1"/>
        <v>7349175</v>
      </c>
      <c r="AF52" s="1213">
        <f t="shared" si="2"/>
        <v>5145928</v>
      </c>
      <c r="AG52" s="1213">
        <f t="shared" si="3"/>
        <v>18204813</v>
      </c>
      <c r="AH52" s="2919">
        <f t="shared" si="4"/>
        <v>0</v>
      </c>
      <c r="AI52" s="1829">
        <f t="shared" si="58"/>
        <v>0.94865917185563664</v>
      </c>
      <c r="AJ52" s="417">
        <f t="shared" si="59"/>
        <v>97353637</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8"/>
        <v>#DIV/0!</v>
      </c>
      <c r="AJ53" s="417">
        <f t="shared" si="59"/>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7">
        <v>87</v>
      </c>
      <c r="E54" s="2967">
        <v>89</v>
      </c>
      <c r="F54" s="2957">
        <v>87</v>
      </c>
      <c r="G54" s="2957">
        <f>+F54</f>
        <v>87</v>
      </c>
      <c r="H54" s="2957">
        <f>+G54-6</f>
        <v>81</v>
      </c>
      <c r="I54" s="2957">
        <f>+H54</f>
        <v>81</v>
      </c>
      <c r="J54" s="2957">
        <f>+I54</f>
        <v>81</v>
      </c>
      <c r="K54" s="3212">
        <v>86</v>
      </c>
      <c r="L54" s="2957">
        <v>0</v>
      </c>
      <c r="M54" s="2957">
        <f>+L54</f>
        <v>0</v>
      </c>
      <c r="N54" s="2957">
        <f>+M54</f>
        <v>0</v>
      </c>
      <c r="O54" s="2957">
        <f>+N54</f>
        <v>0</v>
      </c>
      <c r="P54" s="2957">
        <f>+O54</f>
        <v>0</v>
      </c>
      <c r="Q54" s="2957">
        <f>+P54</f>
        <v>0</v>
      </c>
      <c r="R54" s="2957">
        <f>+F54</f>
        <v>87</v>
      </c>
      <c r="S54" s="2957">
        <f>+R54</f>
        <v>87</v>
      </c>
      <c r="T54" s="2957">
        <f>+S54-6</f>
        <v>81</v>
      </c>
      <c r="U54" s="2957">
        <f>+T54</f>
        <v>81</v>
      </c>
      <c r="V54" s="2957">
        <f>+U54</f>
        <v>81</v>
      </c>
      <c r="W54" s="2957">
        <f>+V54</f>
        <v>81</v>
      </c>
      <c r="X54" s="2957"/>
      <c r="Y54" s="2957">
        <f>+X54</f>
        <v>0</v>
      </c>
      <c r="Z54" s="2957">
        <f>+Y54</f>
        <v>0</v>
      </c>
      <c r="AA54" s="2957">
        <f>+Z54</f>
        <v>0</v>
      </c>
      <c r="AB54" s="2957">
        <f>+AA54</f>
        <v>0</v>
      </c>
      <c r="AC54" s="2957">
        <f>+AB54</f>
        <v>0</v>
      </c>
      <c r="AD54" s="2965"/>
      <c r="AE54" s="2959">
        <f t="shared" si="1"/>
        <v>0</v>
      </c>
      <c r="AF54" s="1213">
        <f t="shared" si="2"/>
        <v>-6</v>
      </c>
      <c r="AG54" s="1213">
        <f t="shared" si="3"/>
        <v>0</v>
      </c>
      <c r="AH54" s="2943">
        <f t="shared" si="4"/>
        <v>0</v>
      </c>
      <c r="AI54" s="1829">
        <f t="shared" si="58"/>
        <v>1.0617283950617284</v>
      </c>
      <c r="AJ54" s="550">
        <f t="shared" si="59"/>
        <v>0</v>
      </c>
      <c r="AK54" s="1853"/>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0">+X55</f>
        <v>0</v>
      </c>
      <c r="Z55" s="459">
        <f t="shared" si="70"/>
        <v>0</v>
      </c>
      <c r="AA55" s="459">
        <f t="shared" si="70"/>
        <v>0</v>
      </c>
      <c r="AB55" s="459">
        <f t="shared" si="70"/>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70"/>
        <v>0</v>
      </c>
      <c r="Z56" s="459">
        <f t="shared" si="70"/>
        <v>0</v>
      </c>
      <c r="AA56" s="459">
        <f t="shared" si="70"/>
        <v>0</v>
      </c>
      <c r="AB56" s="459">
        <f t="shared" si="70"/>
        <v>0</v>
      </c>
      <c r="AC56" s="459"/>
      <c r="AD56" s="557"/>
      <c r="AE56" s="555">
        <f t="shared" si="1"/>
        <v>0</v>
      </c>
      <c r="AF56" s="555"/>
      <c r="AG56" s="555"/>
      <c r="AH56" s="555"/>
      <c r="AJ56" s="417">
        <f>+F56-D56</f>
        <v>0</v>
      </c>
    </row>
    <row r="57" spans="1:37" ht="15.75">
      <c r="B57" s="3205" t="s">
        <v>17</v>
      </c>
      <c r="C57" s="3207" t="s">
        <v>4053</v>
      </c>
      <c r="D57" s="3206">
        <f t="shared" ref="D57:K57" si="71">+D37-D52</f>
        <v>0</v>
      </c>
      <c r="E57" s="3199">
        <f>+E37-E52</f>
        <v>3799861</v>
      </c>
      <c r="F57" s="3200">
        <f t="shared" si="71"/>
        <v>0</v>
      </c>
      <c r="G57" s="3201">
        <f t="shared" si="71"/>
        <v>0</v>
      </c>
      <c r="H57" s="3201">
        <f t="shared" si="71"/>
        <v>0</v>
      </c>
      <c r="I57" s="3201"/>
      <c r="J57" s="3201">
        <f t="shared" si="71"/>
        <v>0</v>
      </c>
      <c r="K57" s="2198">
        <f t="shared" si="71"/>
        <v>28696827</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2">+D37-D52</f>
        <v>0</v>
      </c>
      <c r="E60" s="396">
        <f>+E37-E52</f>
        <v>3799861</v>
      </c>
      <c r="F60" s="396">
        <f t="shared" si="72"/>
        <v>0</v>
      </c>
      <c r="G60" s="396">
        <f t="shared" si="72"/>
        <v>0</v>
      </c>
      <c r="H60" s="396">
        <f t="shared" si="72"/>
        <v>0</v>
      </c>
      <c r="I60" s="396">
        <f t="shared" si="72"/>
        <v>0</v>
      </c>
      <c r="J60" s="460">
        <f t="shared" si="72"/>
        <v>0</v>
      </c>
      <c r="K60" s="460">
        <f t="shared" si="72"/>
        <v>28696827</v>
      </c>
      <c r="L60" s="460">
        <f t="shared" si="72"/>
        <v>0</v>
      </c>
      <c r="M60" s="460">
        <f t="shared" si="72"/>
        <v>0</v>
      </c>
      <c r="N60" s="460">
        <f t="shared" si="72"/>
        <v>0</v>
      </c>
      <c r="O60" s="460">
        <f t="shared" si="72"/>
        <v>0</v>
      </c>
      <c r="P60" s="460">
        <f t="shared" si="72"/>
        <v>0</v>
      </c>
      <c r="Q60" s="460">
        <f t="shared" si="72"/>
        <v>0</v>
      </c>
      <c r="R60" s="460">
        <f t="shared" si="72"/>
        <v>0</v>
      </c>
      <c r="S60" s="460">
        <f t="shared" si="72"/>
        <v>0</v>
      </c>
      <c r="T60" s="460">
        <f t="shared" si="72"/>
        <v>0</v>
      </c>
      <c r="U60" s="460">
        <f t="shared" si="72"/>
        <v>0</v>
      </c>
      <c r="V60" s="460">
        <f t="shared" si="72"/>
        <v>0</v>
      </c>
      <c r="W60" s="460">
        <f t="shared" si="72"/>
        <v>28696827</v>
      </c>
      <c r="X60" s="396">
        <f t="shared" si="72"/>
        <v>0</v>
      </c>
      <c r="Y60" s="396">
        <f t="shared" si="72"/>
        <v>0</v>
      </c>
      <c r="Z60" s="396">
        <f t="shared" si="72"/>
        <v>0</v>
      </c>
      <c r="AA60" s="396">
        <f t="shared" si="72"/>
        <v>0</v>
      </c>
      <c r="AB60" s="396">
        <f t="shared" si="72"/>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ewjsNQp4x3vNq1L42QXweFkAG/iMvUNvzygMe8+IrtJ58vnoFHjUAVx7eDT+os5qOG4oXEmQg7dXburZU2Fmlg==" saltValue="ELyZP23ZgAxMuD2AFS7g6g=="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colBreaks count="1" manualBreakCount="1">
    <brk id="1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7A5C9-FEB9-432A-9FA6-21567159EC40}">
  <sheetPr>
    <tabColor indexed="10"/>
  </sheetPr>
  <dimension ref="A1:Q171"/>
  <sheetViews>
    <sheetView view="pageBreakPreview" zoomScale="70" zoomScaleNormal="75" zoomScaleSheetLayoutView="70" workbookViewId="0">
      <pane ySplit="5" topLeftCell="A82" activePane="bottomLeft" state="frozen"/>
      <selection sqref="A1:Q1"/>
      <selection pane="bottomLeft" activeCell="H86" sqref="H86"/>
    </sheetView>
  </sheetViews>
  <sheetFormatPr defaultRowHeight="12.75"/>
  <cols>
    <col min="1" max="1" width="48" style="292" customWidth="1"/>
    <col min="2" max="2" width="42" style="292" customWidth="1"/>
    <col min="3" max="3" width="26" style="1018" customWidth="1"/>
    <col min="4" max="4" width="17.28515625" style="292" customWidth="1"/>
    <col min="5" max="5" width="48" style="292" customWidth="1"/>
    <col min="6" max="6" width="42.28515625" style="292" customWidth="1"/>
    <col min="7" max="7" width="27.42578125" style="1018" customWidth="1"/>
    <col min="8" max="9" width="17.28515625" style="292" bestFit="1" customWidth="1"/>
    <col min="10" max="10" width="16" style="292" customWidth="1"/>
    <col min="11" max="11" width="17.28515625" style="292" customWidth="1"/>
    <col min="12" max="12" width="16.140625" style="292" bestFit="1" customWidth="1"/>
    <col min="13" max="13" width="4.140625" style="292" hidden="1" customWidth="1"/>
    <col min="14" max="14" width="17.42578125" style="292" customWidth="1"/>
    <col min="15" max="15" width="15.5703125" style="292" bestFit="1" customWidth="1"/>
    <col min="16" max="16" width="15" style="292" customWidth="1"/>
    <col min="17" max="17" width="4.42578125" style="292" customWidth="1"/>
    <col min="18" max="16384" width="9.140625" style="292"/>
  </cols>
  <sheetData>
    <row r="1" spans="1:17" s="1015" customFormat="1" ht="27.75">
      <c r="A1" s="3539" t="s">
        <v>48</v>
      </c>
      <c r="B1" s="3539"/>
      <c r="C1" s="3539"/>
      <c r="D1" s="3539"/>
      <c r="E1" s="3539"/>
      <c r="F1" s="3539"/>
      <c r="G1" s="3539"/>
      <c r="H1" s="3539"/>
    </row>
    <row r="2" spans="1:17" s="18" customFormat="1" ht="10.5" customHeight="1">
      <c r="A2" s="1068"/>
      <c r="B2" s="1068"/>
      <c r="C2" s="1068"/>
      <c r="D2" s="1068"/>
      <c r="E2" s="1068"/>
      <c r="F2" s="1068"/>
      <c r="G2" s="1068"/>
      <c r="H2" s="1068"/>
    </row>
    <row r="3" spans="1:17" s="18" customFormat="1" ht="9" customHeight="1">
      <c r="C3" s="1068"/>
      <c r="D3" s="1068"/>
      <c r="E3" s="1068"/>
      <c r="F3" s="1068"/>
      <c r="G3" s="1068"/>
      <c r="H3" s="1068"/>
    </row>
    <row r="4" spans="1:17" s="1016" customFormat="1" ht="18.75">
      <c r="A4" s="3540" t="s">
        <v>49</v>
      </c>
      <c r="B4" s="3540"/>
      <c r="C4" s="3540"/>
      <c r="D4" s="3540"/>
      <c r="E4" s="3540" t="s">
        <v>49</v>
      </c>
      <c r="F4" s="3540"/>
      <c r="G4" s="3540"/>
      <c r="H4" s="3540"/>
    </row>
    <row r="5" spans="1:17" s="18" customFormat="1" ht="37.5">
      <c r="A5" s="1231" t="s">
        <v>50</v>
      </c>
      <c r="B5" s="1231" t="s">
        <v>51</v>
      </c>
      <c r="C5" s="1230" t="s">
        <v>52</v>
      </c>
      <c r="D5" s="1232" t="s">
        <v>3492</v>
      </c>
      <c r="E5" s="1231" t="s">
        <v>50</v>
      </c>
      <c r="F5" s="1231" t="s">
        <v>51</v>
      </c>
      <c r="G5" s="1230" t="s">
        <v>52</v>
      </c>
      <c r="H5" s="1232" t="s">
        <v>3493</v>
      </c>
    </row>
    <row r="6" spans="1:17" s="18" customFormat="1" ht="56.25">
      <c r="A6" s="1020" t="s">
        <v>53</v>
      </c>
      <c r="B6" s="1069" t="s">
        <v>54</v>
      </c>
      <c r="C6" s="1233" t="s">
        <v>55</v>
      </c>
      <c r="D6" s="1019">
        <f>2000000+3500000+1653540+1045464+1348219+813261+300000*4+75057+98108+154254+1241171+1000000+2600000+4320000+10000000+293800+4069900+1152715+165100+2643522+312080+2096650+275230+26970+14633462+7120540+12867121+5596085+2904649+44184445+19466701+13874179+952598-30000-120000-59580-130000-100410+98159-576198-3597423-434340-450000-1075920-60000-5550+17602446-28086946-71586015</f>
        <v>75073044</v>
      </c>
      <c r="E6" s="1069" t="s">
        <v>56</v>
      </c>
      <c r="F6" s="1069" t="s">
        <v>3960</v>
      </c>
      <c r="G6" s="1070" t="s">
        <v>3876</v>
      </c>
      <c r="H6" s="1019">
        <f>+'intnemváltoztató-előterj2.mell '!D21</f>
        <v>4450470</v>
      </c>
      <c r="I6" s="17"/>
    </row>
    <row r="7" spans="1:17" s="18" customFormat="1" ht="18.75">
      <c r="A7" s="1020" t="s">
        <v>57</v>
      </c>
      <c r="B7" s="1020" t="s">
        <v>58</v>
      </c>
      <c r="C7" s="1233" t="s">
        <v>55</v>
      </c>
      <c r="D7" s="1019">
        <f>681585+2441550+30000+120000+59580+130000+100410-98159+576198+3597423+434340+450000+1075920+60000+5550-17602446+28086946</f>
        <v>20148897</v>
      </c>
      <c r="E7" s="1069" t="s">
        <v>63</v>
      </c>
      <c r="F7" s="1069" t="s">
        <v>3951</v>
      </c>
      <c r="G7" s="1070" t="s">
        <v>3257</v>
      </c>
      <c r="H7" s="1019">
        <f>+'intnemváltoztató-előterj2.mell '!L21</f>
        <v>1000000</v>
      </c>
      <c r="I7" s="17"/>
      <c r="N7" s="1019">
        <f>+változtató!H70+változtató!H84+változtató!H114</f>
        <v>-89221092</v>
      </c>
    </row>
    <row r="8" spans="1:17" s="18" customFormat="1" ht="18.75">
      <c r="A8" s="1020"/>
      <c r="B8" s="1020"/>
      <c r="C8" s="1233"/>
      <c r="D8" s="1019"/>
      <c r="E8" s="1069" t="s">
        <v>59</v>
      </c>
      <c r="F8" s="1069" t="s">
        <v>3959</v>
      </c>
      <c r="G8" s="1070" t="s">
        <v>3257</v>
      </c>
      <c r="H8" s="1019">
        <f>+'intnemváltoztató-előterj2.mell '!E21</f>
        <v>4069900</v>
      </c>
    </row>
    <row r="9" spans="1:17" s="18" customFormat="1" ht="79.5" thickBot="1">
      <c r="A9" s="1020"/>
      <c r="B9" s="1020"/>
      <c r="C9" s="1233"/>
      <c r="D9" s="1234"/>
      <c r="E9" s="1069" t="s">
        <v>3255</v>
      </c>
      <c r="F9" s="3002" t="s">
        <v>3996</v>
      </c>
      <c r="G9" s="1070" t="s">
        <v>3671</v>
      </c>
      <c r="H9" s="1019">
        <f>+'intnemváltoztató-előterj2.mell '!R21</f>
        <v>2364795</v>
      </c>
      <c r="I9" s="17">
        <f>3*300000+1152715+312080</f>
        <v>2364795</v>
      </c>
      <c r="J9" s="17">
        <f>+H9-I9</f>
        <v>0</v>
      </c>
      <c r="N9" s="17" t="s">
        <v>58</v>
      </c>
    </row>
    <row r="10" spans="1:17" s="18" customFormat="1" ht="38.25" thickBot="1">
      <c r="A10" s="1020"/>
      <c r="B10" s="1020"/>
      <c r="C10" s="1235"/>
      <c r="D10" s="1019"/>
      <c r="E10" s="1069" t="s">
        <v>3865</v>
      </c>
      <c r="F10" s="1069" t="s">
        <v>34</v>
      </c>
      <c r="G10" s="1070" t="s">
        <v>3257</v>
      </c>
      <c r="H10" s="1019">
        <f>+'intnemváltoztató-előterj2.mell '!C21</f>
        <v>293800</v>
      </c>
      <c r="J10" s="1019">
        <f>+változtató!H116+H21</f>
        <v>281990282</v>
      </c>
      <c r="K10" s="1019">
        <f>+'8. mell. Intézmények összesen'!AG52</f>
        <v>281990282</v>
      </c>
      <c r="L10" s="1019">
        <f>+J10-K10</f>
        <v>0</v>
      </c>
      <c r="M10" s="1020"/>
      <c r="N10" s="1019">
        <f>+D7+D8</f>
        <v>20148897</v>
      </c>
      <c r="O10" s="1019">
        <f>+'8. mell. Intézmények összesen'!AG47</f>
        <v>-69072195</v>
      </c>
      <c r="P10" s="2060">
        <f>+N7+N10</f>
        <v>-69072195</v>
      </c>
      <c r="Q10" s="2061">
        <f>+P10-O10</f>
        <v>0</v>
      </c>
    </row>
    <row r="11" spans="1:17" s="18" customFormat="1" ht="18.75" hidden="1">
      <c r="A11" s="1020"/>
      <c r="B11" s="1020"/>
      <c r="C11" s="1233"/>
      <c r="D11" s="1019"/>
      <c r="E11" s="1069"/>
      <c r="F11" s="1069"/>
      <c r="G11" s="1070"/>
      <c r="H11" s="1019">
        <f>+'intnemváltoztató-előterj2.mell '!J21</f>
        <v>0</v>
      </c>
      <c r="J11" s="17"/>
      <c r="K11" s="17"/>
      <c r="L11" s="17"/>
      <c r="N11" s="17"/>
      <c r="O11" s="17"/>
      <c r="P11" s="17"/>
    </row>
    <row r="12" spans="1:17" s="18" customFormat="1" ht="131.25">
      <c r="A12" s="1020"/>
      <c r="B12" s="1020"/>
      <c r="C12" s="1233"/>
      <c r="D12" s="1019"/>
      <c r="E12" s="1069" t="s">
        <v>88</v>
      </c>
      <c r="F12" s="1069" t="s">
        <v>4009</v>
      </c>
      <c r="G12" s="1070" t="s">
        <v>3257</v>
      </c>
      <c r="H12" s="1019">
        <f>+'intnemváltoztató-előterj2.mell '!M21</f>
        <v>134019780</v>
      </c>
      <c r="I12" s="1019">
        <f>2000000+3500000+6920000+87306302+34293478</f>
        <v>134019780</v>
      </c>
      <c r="J12" s="17"/>
      <c r="K12" s="17"/>
      <c r="L12" s="17"/>
    </row>
    <row r="13" spans="1:17" s="18" customFormat="1" ht="187.5">
      <c r="A13" s="1020"/>
      <c r="B13" s="1020"/>
      <c r="C13" s="1233"/>
      <c r="D13" s="1019"/>
      <c r="E13" s="1069" t="s">
        <v>62</v>
      </c>
      <c r="F13" s="1069" t="s">
        <v>4027</v>
      </c>
      <c r="G13" s="1070" t="s">
        <v>3257</v>
      </c>
      <c r="H13" s="1019">
        <f>+'intnemváltoztató-előterj2.mell '!T21</f>
        <v>-53782009</v>
      </c>
      <c r="I13" s="1019">
        <f>2699004+10000000+1348219+300000+2643522+813261-71586015</f>
        <v>-53782009</v>
      </c>
      <c r="J13" s="17">
        <f>+H13-I13</f>
        <v>0</v>
      </c>
      <c r="K13" s="17"/>
      <c r="L13" s="17"/>
      <c r="O13" s="17"/>
    </row>
    <row r="14" spans="1:17" s="18" customFormat="1" ht="18.75" hidden="1">
      <c r="A14" s="1020"/>
      <c r="B14" s="1020"/>
      <c r="C14" s="1233"/>
      <c r="D14" s="1019"/>
      <c r="E14" s="1069" t="s">
        <v>3670</v>
      </c>
      <c r="F14" s="1069"/>
      <c r="G14" s="1070" t="s">
        <v>3257</v>
      </c>
      <c r="H14" s="1019">
        <f>+'intnemváltoztató-előterj2.mell '!K21</f>
        <v>0</v>
      </c>
      <c r="J14" s="17"/>
      <c r="K14" s="17"/>
      <c r="L14" s="17"/>
    </row>
    <row r="15" spans="1:17" s="18" customFormat="1" ht="75">
      <c r="A15" s="1020"/>
      <c r="B15" s="1020"/>
      <c r="C15" s="1233"/>
      <c r="D15" s="1019"/>
      <c r="E15" s="1069" t="s">
        <v>60</v>
      </c>
      <c r="F15" s="1069" t="s">
        <v>3958</v>
      </c>
      <c r="G15" s="1070" t="s">
        <v>3257</v>
      </c>
      <c r="H15" s="1019">
        <f>+'intnemváltoztató-előterj2.mell '!U21</f>
        <v>708555</v>
      </c>
      <c r="I15" s="17"/>
      <c r="J15" s="17"/>
      <c r="K15" s="17"/>
      <c r="L15" s="17"/>
    </row>
    <row r="16" spans="1:17" s="18" customFormat="1" ht="37.5" hidden="1">
      <c r="A16" s="1020"/>
      <c r="B16" s="1020"/>
      <c r="C16" s="1233"/>
      <c r="D16" s="1019"/>
      <c r="E16" s="1069" t="s">
        <v>1495</v>
      </c>
      <c r="F16" s="1069" t="s">
        <v>3864</v>
      </c>
      <c r="G16" s="1070" t="s">
        <v>3478</v>
      </c>
      <c r="H16" s="1019">
        <f>+'intnemváltoztató-előterj2.mell '!F21</f>
        <v>0</v>
      </c>
      <c r="I16" s="17"/>
      <c r="J16" s="17"/>
      <c r="K16" s="17"/>
      <c r="L16" s="17"/>
    </row>
    <row r="17" spans="1:12" s="18" customFormat="1" ht="37.5" hidden="1">
      <c r="A17" s="1020"/>
      <c r="B17" s="1020"/>
      <c r="C17" s="1233"/>
      <c r="D17" s="1019"/>
      <c r="E17" s="1069" t="s">
        <v>3867</v>
      </c>
      <c r="F17" s="1069" t="s">
        <v>3866</v>
      </c>
      <c r="G17" s="1070" t="s">
        <v>3207</v>
      </c>
      <c r="H17" s="1019">
        <f>+'intnemváltoztató-előterj2.mell '!Q21</f>
        <v>0</v>
      </c>
      <c r="J17" s="17"/>
      <c r="K17" s="17"/>
      <c r="L17" s="17"/>
    </row>
    <row r="18" spans="1:12" s="18" customFormat="1" ht="75" hidden="1">
      <c r="A18" s="1020"/>
      <c r="B18" s="1020"/>
      <c r="C18" s="1233"/>
      <c r="D18" s="1019"/>
      <c r="E18" s="1069" t="s">
        <v>3692</v>
      </c>
      <c r="F18" s="1069"/>
      <c r="G18" s="1070" t="s">
        <v>3691</v>
      </c>
      <c r="H18" s="1019">
        <f>+'intnemváltoztató-előterj2.mell '!O21</f>
        <v>0</v>
      </c>
      <c r="J18" s="17"/>
      <c r="K18" s="17"/>
      <c r="L18" s="17"/>
    </row>
    <row r="19" spans="1:12" s="18" customFormat="1" ht="18.75">
      <c r="A19" s="1020"/>
      <c r="B19" s="1020"/>
      <c r="C19" s="1233"/>
      <c r="D19" s="1019"/>
      <c r="E19" s="1069"/>
      <c r="F19" s="1069"/>
      <c r="G19" s="1070"/>
      <c r="H19" s="1019">
        <f>+'intnemváltoztató-előterj2.mell '!G21</f>
        <v>2096650</v>
      </c>
      <c r="J19" s="17"/>
      <c r="K19" s="17"/>
      <c r="L19" s="17"/>
    </row>
    <row r="20" spans="1:12" s="18" customFormat="1" ht="18.75" hidden="1">
      <c r="A20" s="1020"/>
      <c r="B20" s="1020"/>
      <c r="C20" s="1233"/>
      <c r="D20" s="1019"/>
      <c r="E20" s="1069"/>
      <c r="F20" s="1069"/>
      <c r="G20" s="1070"/>
      <c r="H20" s="1019">
        <f>+'intnemváltoztató-előterj2.mell '!V21</f>
        <v>0</v>
      </c>
      <c r="J20" s="17"/>
      <c r="K20" s="17"/>
      <c r="L20" s="17"/>
    </row>
    <row r="21" spans="1:12" s="18" customFormat="1" ht="19.5">
      <c r="A21" s="1236" t="s">
        <v>66</v>
      </c>
      <c r="B21" s="1236"/>
      <c r="C21" s="1237"/>
      <c r="D21" s="1238">
        <f>SUM(D6:D20)</f>
        <v>95221941</v>
      </c>
      <c r="E21" s="1236" t="s">
        <v>66</v>
      </c>
      <c r="F21" s="1239"/>
      <c r="G21" s="1237"/>
      <c r="H21" s="1238">
        <f>SUM(H6:H20)</f>
        <v>95221941</v>
      </c>
      <c r="I21" s="17"/>
      <c r="J21" s="17">
        <f>+'intnemváltoztató-előterj2.mell '!$W$21</f>
        <v>95221941</v>
      </c>
      <c r="K21" s="1019">
        <f>+H21-J21</f>
        <v>0</v>
      </c>
      <c r="L21" s="1019">
        <f>+H21-D21</f>
        <v>0</v>
      </c>
    </row>
    <row r="22" spans="1:12" s="18" customFormat="1" ht="19.5" hidden="1">
      <c r="A22" s="3538" t="s">
        <v>67</v>
      </c>
      <c r="B22" s="3538"/>
      <c r="C22" s="3538"/>
      <c r="D22" s="3538"/>
      <c r="E22" s="3538"/>
      <c r="F22" s="3538"/>
      <c r="G22" s="3538"/>
      <c r="H22" s="3538"/>
      <c r="I22" s="17"/>
      <c r="K22" s="17"/>
    </row>
    <row r="23" spans="1:12" s="18" customFormat="1" ht="39" hidden="1">
      <c r="A23" s="3541" t="s">
        <v>68</v>
      </c>
      <c r="B23" s="3541"/>
      <c r="C23" s="1070"/>
      <c r="D23" s="1241"/>
      <c r="E23" s="1242" t="s">
        <v>69</v>
      </c>
      <c r="F23" s="1229"/>
      <c r="G23" s="1240"/>
      <c r="H23" s="1241"/>
      <c r="K23" s="17"/>
    </row>
    <row r="24" spans="1:12" s="18" customFormat="1" ht="18.75" hidden="1">
      <c r="A24" s="1069"/>
      <c r="B24" s="1243"/>
      <c r="C24" s="1070"/>
      <c r="D24" s="1019"/>
      <c r="E24" s="1069"/>
      <c r="F24" s="1244"/>
      <c r="G24" s="1070"/>
      <c r="H24" s="1019"/>
      <c r="K24" s="17"/>
    </row>
    <row r="25" spans="1:12" s="18" customFormat="1" ht="18.75" hidden="1">
      <c r="A25" s="1069"/>
      <c r="B25" s="1245"/>
      <c r="C25" s="1070"/>
      <c r="D25" s="1019"/>
      <c r="E25" s="1229"/>
      <c r="F25" s="1229"/>
      <c r="G25" s="1070"/>
      <c r="H25" s="1019"/>
      <c r="K25" s="17"/>
    </row>
    <row r="26" spans="1:12" s="18" customFormat="1" ht="18.75" hidden="1">
      <c r="A26" s="1069"/>
      <c r="B26" s="1245"/>
      <c r="C26" s="1070"/>
      <c r="D26" s="1019"/>
      <c r="E26" s="1229"/>
      <c r="F26" s="1229"/>
      <c r="G26" s="1070"/>
      <c r="H26" s="1019"/>
      <c r="K26" s="17"/>
    </row>
    <row r="27" spans="1:12" s="18" customFormat="1" ht="18.75" hidden="1">
      <c r="A27" s="1069"/>
      <c r="B27" s="1246"/>
      <c r="C27" s="1070"/>
      <c r="D27" s="1019"/>
      <c r="E27" s="1229"/>
      <c r="F27" s="1229"/>
      <c r="G27" s="1070"/>
      <c r="H27" s="1019"/>
      <c r="K27" s="17"/>
    </row>
    <row r="28" spans="1:12" s="18" customFormat="1" ht="18.75" hidden="1">
      <c r="A28" s="1069"/>
      <c r="B28" s="1246"/>
      <c r="C28" s="1070"/>
      <c r="D28" s="1019"/>
      <c r="E28" s="1069"/>
      <c r="F28" s="1229"/>
      <c r="G28" s="1070"/>
      <c r="H28" s="1019"/>
      <c r="K28" s="17"/>
    </row>
    <row r="29" spans="1:12" s="18" customFormat="1" ht="18.75" hidden="1">
      <c r="A29" s="1069"/>
      <c r="B29" s="1246"/>
      <c r="C29" s="1070"/>
      <c r="D29" s="1019"/>
      <c r="E29" s="1229"/>
      <c r="F29" s="1229"/>
      <c r="G29" s="1070"/>
      <c r="H29" s="1019"/>
      <c r="K29" s="17"/>
    </row>
    <row r="30" spans="1:12" s="18" customFormat="1" ht="18.75" hidden="1">
      <c r="A30" s="1069"/>
      <c r="B30" s="1246"/>
      <c r="C30" s="1070"/>
      <c r="D30" s="1019"/>
      <c r="E30" s="1229"/>
      <c r="F30" s="1229"/>
      <c r="G30" s="1070"/>
      <c r="H30" s="1019"/>
      <c r="K30" s="17"/>
    </row>
    <row r="31" spans="1:12" s="18" customFormat="1" ht="18.75" hidden="1">
      <c r="A31" s="1069"/>
      <c r="B31" s="1246"/>
      <c r="C31" s="1070"/>
      <c r="D31" s="1019"/>
      <c r="E31" s="1229"/>
      <c r="F31" s="1229"/>
      <c r="G31" s="1070"/>
      <c r="H31" s="1019"/>
      <c r="K31" s="17"/>
    </row>
    <row r="32" spans="1:12" s="18" customFormat="1" ht="19.5" hidden="1">
      <c r="A32" s="3538"/>
      <c r="B32" s="3538"/>
      <c r="C32" s="3538"/>
      <c r="D32" s="3538"/>
      <c r="E32" s="3538"/>
      <c r="F32" s="3538"/>
      <c r="G32" s="3538"/>
      <c r="H32" s="3538"/>
      <c r="K32" s="17"/>
    </row>
    <row r="33" spans="1:11" s="18" customFormat="1" ht="19.5" hidden="1">
      <c r="A33" s="3541" t="s">
        <v>70</v>
      </c>
      <c r="B33" s="3541"/>
      <c r="C33" s="1070"/>
      <c r="D33" s="1241"/>
      <c r="E33" s="3541" t="s">
        <v>71</v>
      </c>
      <c r="F33" s="3541"/>
      <c r="G33" s="1070"/>
      <c r="H33" s="1241"/>
      <c r="I33" s="17"/>
      <c r="K33" s="17"/>
    </row>
    <row r="34" spans="1:11" s="18" customFormat="1" ht="18.75" hidden="1">
      <c r="A34" s="1069"/>
      <c r="B34" s="1229"/>
      <c r="C34" s="1070"/>
      <c r="D34" s="1019"/>
      <c r="E34" s="1069"/>
      <c r="F34" s="1229"/>
      <c r="G34" s="1070"/>
      <c r="H34" s="1019"/>
      <c r="I34" s="17"/>
      <c r="K34" s="17"/>
    </row>
    <row r="35" spans="1:11" s="18" customFormat="1" ht="18.75" hidden="1">
      <c r="A35" s="1069"/>
      <c r="B35" s="1229"/>
      <c r="C35" s="1070"/>
      <c r="D35" s="1019"/>
      <c r="E35" s="1069"/>
      <c r="F35" s="1229"/>
      <c r="G35" s="1070"/>
      <c r="H35" s="1019"/>
      <c r="I35" s="17"/>
      <c r="K35" s="17"/>
    </row>
    <row r="36" spans="1:11" s="18" customFormat="1" ht="18.75" hidden="1">
      <c r="A36" s="1069"/>
      <c r="B36" s="1229"/>
      <c r="C36" s="1070"/>
      <c r="D36" s="1019"/>
      <c r="E36" s="1069"/>
      <c r="F36" s="1229"/>
      <c r="G36" s="1070"/>
      <c r="H36" s="1019"/>
      <c r="I36" s="17"/>
      <c r="K36" s="17"/>
    </row>
    <row r="37" spans="1:11" s="18" customFormat="1" ht="18.75" hidden="1">
      <c r="A37" s="1069"/>
      <c r="B37" s="1229"/>
      <c r="C37" s="1070"/>
      <c r="D37" s="1019"/>
      <c r="E37" s="1069"/>
      <c r="F37" s="1229"/>
      <c r="G37" s="1070"/>
      <c r="H37" s="1019"/>
      <c r="I37" s="17"/>
      <c r="K37" s="17"/>
    </row>
    <row r="38" spans="1:11" s="18" customFormat="1" ht="18.75" hidden="1">
      <c r="A38" s="1069"/>
      <c r="B38" s="1229"/>
      <c r="C38" s="1070"/>
      <c r="D38" s="1019"/>
      <c r="E38" s="1069"/>
      <c r="F38" s="1229"/>
      <c r="G38" s="1070"/>
      <c r="H38" s="1019"/>
      <c r="K38" s="17"/>
    </row>
    <row r="39" spans="1:11" s="18" customFormat="1" ht="18.75" hidden="1">
      <c r="A39" s="1069"/>
      <c r="B39" s="1229"/>
      <c r="C39" s="1070"/>
      <c r="D39" s="1019"/>
      <c r="E39" s="1069"/>
      <c r="F39" s="1069"/>
      <c r="G39" s="1070"/>
      <c r="H39" s="1019"/>
      <c r="K39" s="17"/>
    </row>
    <row r="40" spans="1:11" s="18" customFormat="1" ht="19.5" hidden="1">
      <c r="A40" s="1069"/>
      <c r="B40" s="1229"/>
      <c r="C40" s="1070"/>
      <c r="D40" s="1241">
        <f>SUM(D38:D39)</f>
        <v>0</v>
      </c>
      <c r="E40" s="1069"/>
      <c r="F40" s="1069"/>
      <c r="G40" s="1070"/>
      <c r="H40" s="1241">
        <f>SUM(H38:H39)</f>
        <v>0</v>
      </c>
      <c r="K40" s="17"/>
    </row>
    <row r="41" spans="1:11" s="18" customFormat="1" ht="20.25">
      <c r="A41" s="3544" t="s">
        <v>72</v>
      </c>
      <c r="B41" s="3544"/>
      <c r="C41" s="3544"/>
      <c r="D41" s="3544"/>
      <c r="E41" s="3544"/>
      <c r="F41" s="3544"/>
      <c r="G41" s="3544"/>
      <c r="H41" s="3544"/>
      <c r="K41" s="17"/>
    </row>
    <row r="42" spans="1:11" s="18" customFormat="1" ht="37.5">
      <c r="A42" s="1069" t="s">
        <v>1348</v>
      </c>
      <c r="B42" s="1069"/>
      <c r="C42" s="1070" t="s">
        <v>3664</v>
      </c>
      <c r="D42" s="1019">
        <f>800000</f>
        <v>800000</v>
      </c>
      <c r="E42" s="1069" t="s">
        <v>1576</v>
      </c>
      <c r="F42" s="1069" t="s">
        <v>2733</v>
      </c>
      <c r="G42" s="1070" t="s">
        <v>3256</v>
      </c>
      <c r="H42" s="1019">
        <f>82000+68016+800000</f>
        <v>950016</v>
      </c>
      <c r="I42" s="19">
        <f>+'PMH Dologi(alábontás)-nem része'!V121</f>
        <v>1850283</v>
      </c>
      <c r="J42" s="1588">
        <f>SUM(H42:I42)</f>
        <v>2800299</v>
      </c>
      <c r="K42" s="17"/>
    </row>
    <row r="43" spans="1:11" s="18" customFormat="1" ht="18.75" hidden="1">
      <c r="A43" s="1069"/>
      <c r="B43" s="1069"/>
      <c r="C43" s="1070"/>
      <c r="D43" s="1019"/>
      <c r="E43" s="1069"/>
      <c r="F43" s="1069"/>
      <c r="G43" s="1070"/>
      <c r="H43" s="1019"/>
      <c r="I43" s="19"/>
      <c r="J43" s="1588"/>
      <c r="K43" s="17"/>
    </row>
    <row r="44" spans="1:11" s="18" customFormat="1" ht="37.5">
      <c r="A44" s="1069" t="str">
        <f>+'PMH Dologi(alábontás)-nem része'!B122</f>
        <v xml:space="preserve">Egyéb különféle dologi kiadások előirányzata </v>
      </c>
      <c r="B44" s="1069" t="str">
        <f>+'PMH Dologi(alábontás)-nem része'!B105</f>
        <v>Tagsági díjak</v>
      </c>
      <c r="C44" s="1070" t="s">
        <v>3256</v>
      </c>
      <c r="D44" s="1019">
        <f>82000+68016</f>
        <v>150016</v>
      </c>
      <c r="E44" s="1069"/>
      <c r="F44" s="1069"/>
      <c r="G44" s="1070"/>
      <c r="H44" s="1019"/>
      <c r="I44" s="19"/>
      <c r="J44" s="1588"/>
      <c r="K44" s="17"/>
    </row>
    <row r="45" spans="1:11" s="18" customFormat="1" ht="18.75">
      <c r="A45" s="1069" t="s">
        <v>73</v>
      </c>
      <c r="B45" s="1069"/>
      <c r="C45" s="1070" t="s">
        <v>3664</v>
      </c>
      <c r="D45" s="1019">
        <v>10</v>
      </c>
      <c r="E45" s="1069" t="s">
        <v>1362</v>
      </c>
      <c r="F45" s="1069"/>
      <c r="G45" s="1070" t="s">
        <v>3664</v>
      </c>
      <c r="H45" s="1019">
        <v>10</v>
      </c>
      <c r="I45" s="19"/>
      <c r="J45" s="1588"/>
      <c r="K45" s="17"/>
    </row>
    <row r="46" spans="1:11" s="18" customFormat="1" ht="18.75">
      <c r="A46" s="1069" t="s">
        <v>76</v>
      </c>
      <c r="B46" s="1069"/>
      <c r="C46" s="1070" t="s">
        <v>3664</v>
      </c>
      <c r="D46" s="1019">
        <v>96260</v>
      </c>
      <c r="E46" s="1069" t="s">
        <v>1370</v>
      </c>
      <c r="F46" s="1069"/>
      <c r="G46" s="1070" t="s">
        <v>3664</v>
      </c>
      <c r="H46" s="1019">
        <v>96260</v>
      </c>
      <c r="I46" s="19"/>
      <c r="J46" s="1588"/>
      <c r="K46" s="17"/>
    </row>
    <row r="47" spans="1:11" s="18" customFormat="1" ht="18.75">
      <c r="A47" s="1069" t="s">
        <v>1391</v>
      </c>
      <c r="B47" s="1069"/>
      <c r="C47" s="1070" t="s">
        <v>3664</v>
      </c>
      <c r="D47" s="1019">
        <f>1122100</f>
        <v>1122100</v>
      </c>
      <c r="E47" s="1069" t="s">
        <v>3985</v>
      </c>
      <c r="F47" s="1069"/>
      <c r="G47" s="1070" t="s">
        <v>3664</v>
      </c>
      <c r="H47" s="1019">
        <f>1122100+892307</f>
        <v>2014407</v>
      </c>
      <c r="I47" s="19">
        <f>SUM(D42:D47)</f>
        <v>2168386</v>
      </c>
      <c r="J47" s="17">
        <f>SUM(H42:H47)</f>
        <v>3060693</v>
      </c>
      <c r="K47" s="17"/>
    </row>
    <row r="48" spans="1:11" s="18" customFormat="1" ht="18.75">
      <c r="A48" s="1069" t="s">
        <v>1422</v>
      </c>
      <c r="B48" s="1069"/>
      <c r="C48" s="1070" t="s">
        <v>3664</v>
      </c>
      <c r="D48" s="1019">
        <f>892307</f>
        <v>892307</v>
      </c>
      <c r="E48" s="1069"/>
      <c r="F48" s="1020"/>
      <c r="G48" s="1070"/>
      <c r="H48" s="1019"/>
      <c r="K48" s="17"/>
    </row>
    <row r="49" spans="1:15" s="18" customFormat="1" ht="56.25">
      <c r="A49" s="1069" t="s">
        <v>1456</v>
      </c>
      <c r="B49" s="1069"/>
      <c r="C49" s="1070" t="s">
        <v>3256</v>
      </c>
      <c r="D49" s="1019">
        <v>297197</v>
      </c>
      <c r="E49" s="1069" t="s">
        <v>1452</v>
      </c>
      <c r="F49" s="1020"/>
      <c r="G49" s="1070" t="s">
        <v>3256</v>
      </c>
      <c r="H49" s="1019">
        <v>297197</v>
      </c>
      <c r="K49" s="17"/>
    </row>
    <row r="50" spans="1:15" s="18" customFormat="1" ht="18.75">
      <c r="A50" s="1069" t="s">
        <v>1521</v>
      </c>
      <c r="B50" s="1020"/>
      <c r="C50" s="1070" t="s">
        <v>3256</v>
      </c>
      <c r="D50" s="1019">
        <v>1873163</v>
      </c>
      <c r="E50" s="1069" t="s">
        <v>1516</v>
      </c>
      <c r="F50" s="1020"/>
      <c r="G50" s="1070" t="s">
        <v>3256</v>
      </c>
      <c r="H50" s="1019">
        <v>1873163</v>
      </c>
      <c r="K50" s="17"/>
    </row>
    <row r="51" spans="1:15" s="18" customFormat="1" ht="18.75" hidden="1">
      <c r="A51" s="1069"/>
      <c r="B51" s="1020"/>
      <c r="C51" s="1070"/>
      <c r="D51" s="1019"/>
      <c r="E51" s="1069"/>
      <c r="F51" s="1020"/>
      <c r="G51" s="1070"/>
      <c r="H51" s="1019"/>
      <c r="K51" s="17"/>
    </row>
    <row r="52" spans="1:15" s="18" customFormat="1" ht="18.75" hidden="1">
      <c r="A52" s="1069"/>
      <c r="B52" s="1020"/>
      <c r="C52" s="1070"/>
      <c r="D52" s="1019"/>
      <c r="E52" s="1069"/>
      <c r="F52" s="1069"/>
      <c r="G52" s="1070"/>
      <c r="H52" s="1019"/>
      <c r="K52" s="17"/>
    </row>
    <row r="53" spans="1:15" s="18" customFormat="1" ht="18.75" hidden="1">
      <c r="A53" s="1069"/>
      <c r="B53" s="1069"/>
      <c r="C53" s="1070"/>
      <c r="D53" s="1019"/>
      <c r="E53" s="1020"/>
      <c r="F53" s="1069"/>
      <c r="G53" s="1070"/>
      <c r="H53" s="1019"/>
      <c r="K53" s="17"/>
    </row>
    <row r="54" spans="1:15" s="18" customFormat="1" ht="18.75" hidden="1">
      <c r="A54" s="1069"/>
      <c r="B54" s="1020"/>
      <c r="C54" s="1070"/>
      <c r="D54" s="1019"/>
      <c r="E54" s="1020"/>
      <c r="F54" s="1069"/>
      <c r="G54" s="1070"/>
      <c r="H54" s="1019"/>
      <c r="K54" s="17"/>
    </row>
    <row r="55" spans="1:15" s="18" customFormat="1" ht="18.75" hidden="1">
      <c r="A55" s="1069"/>
      <c r="B55" s="1069"/>
      <c r="C55" s="1070"/>
      <c r="D55" s="1019"/>
      <c r="E55" s="1069"/>
      <c r="F55" s="1020"/>
      <c r="G55" s="1070"/>
      <c r="H55" s="1019"/>
      <c r="K55" s="17"/>
    </row>
    <row r="56" spans="1:15" s="18" customFormat="1" ht="18.75" hidden="1">
      <c r="A56" s="1069"/>
      <c r="B56" s="1069"/>
      <c r="C56" s="1070"/>
      <c r="D56" s="1019"/>
      <c r="E56" s="1069"/>
      <c r="F56" s="1069"/>
      <c r="G56" s="1070"/>
      <c r="H56" s="1019"/>
      <c r="K56" s="17"/>
    </row>
    <row r="57" spans="1:15" s="18" customFormat="1" ht="20.25">
      <c r="A57" s="3544" t="s">
        <v>86</v>
      </c>
      <c r="B57" s="3544"/>
      <c r="C57" s="3544"/>
      <c r="D57" s="3544"/>
      <c r="E57" s="3544"/>
      <c r="F57" s="3544"/>
      <c r="G57" s="3544"/>
      <c r="H57" s="3544"/>
      <c r="K57" s="19"/>
      <c r="L57" s="19"/>
    </row>
    <row r="58" spans="1:15" s="18" customFormat="1" ht="37.5">
      <c r="A58" s="1069" t="s">
        <v>3298</v>
      </c>
      <c r="B58" s="1069" t="s">
        <v>3928</v>
      </c>
      <c r="C58" s="1070" t="s">
        <v>3206</v>
      </c>
      <c r="D58" s="1019">
        <f>3010941+1109980</f>
        <v>4120921</v>
      </c>
      <c r="E58" s="1069" t="s">
        <v>88</v>
      </c>
      <c r="F58" s="1069" t="s">
        <v>89</v>
      </c>
      <c r="G58" s="1070" t="s">
        <v>3257</v>
      </c>
      <c r="H58" s="1019">
        <f>(3010941+1109980)+1825000+26000+1130236+13799000+8192+4096+1400000+157700+61719+1420312-1420312+405447+320000+11614</f>
        <v>23269925</v>
      </c>
      <c r="I58" s="19">
        <f>+'33. mell. E.műk.c.kiad.'!T90+H12</f>
        <v>-23269925</v>
      </c>
      <c r="J58" s="19">
        <f>+H58+I58</f>
        <v>0</v>
      </c>
      <c r="K58" s="19"/>
      <c r="L58" s="19"/>
      <c r="O58" s="17"/>
    </row>
    <row r="59" spans="1:15" s="18" customFormat="1" ht="37.5">
      <c r="A59" s="1069" t="s">
        <v>77</v>
      </c>
      <c r="B59" s="1069" t="s">
        <v>3886</v>
      </c>
      <c r="C59" s="1070" t="s">
        <v>3478</v>
      </c>
      <c r="D59" s="1019">
        <f>405447</f>
        <v>405447</v>
      </c>
      <c r="E59" s="1069"/>
      <c r="F59" s="1069"/>
      <c r="G59" s="1070"/>
      <c r="H59" s="1019"/>
      <c r="I59" s="19"/>
      <c r="J59" s="19"/>
      <c r="K59" s="19"/>
      <c r="L59" s="19"/>
      <c r="O59" s="17"/>
    </row>
    <row r="60" spans="1:15" s="18" customFormat="1" ht="37.5">
      <c r="A60" s="1069" t="s">
        <v>3877</v>
      </c>
      <c r="B60" s="1069" t="s">
        <v>3885</v>
      </c>
      <c r="C60" s="2195" t="s">
        <v>3478</v>
      </c>
      <c r="D60" s="1019">
        <f>1825000</f>
        <v>1825000</v>
      </c>
      <c r="E60" s="1069"/>
      <c r="F60" s="1069"/>
      <c r="G60" s="1070"/>
      <c r="H60" s="1019"/>
      <c r="I60" s="19"/>
      <c r="J60" s="19"/>
      <c r="K60" s="19"/>
      <c r="L60" s="19"/>
      <c r="O60" s="17"/>
    </row>
    <row r="61" spans="1:15" s="18" customFormat="1" ht="18.75" hidden="1">
      <c r="A61" s="1069"/>
      <c r="B61" s="3034"/>
      <c r="C61" s="2195"/>
      <c r="D61" s="1019"/>
      <c r="E61" s="1069"/>
      <c r="F61" s="1229"/>
      <c r="G61" s="1070"/>
      <c r="H61" s="1019"/>
      <c r="I61" s="1588"/>
      <c r="J61" s="19"/>
      <c r="K61" s="17"/>
      <c r="O61" s="17"/>
    </row>
    <row r="62" spans="1:15" s="18" customFormat="1" ht="56.25">
      <c r="A62" s="1069" t="s">
        <v>93</v>
      </c>
      <c r="B62" s="1069" t="s">
        <v>3203</v>
      </c>
      <c r="C62" s="2195" t="s">
        <v>3478</v>
      </c>
      <c r="D62" s="1019">
        <f>26000</f>
        <v>26000</v>
      </c>
      <c r="E62" s="1069"/>
      <c r="F62" s="1229"/>
      <c r="G62" s="1070"/>
      <c r="H62" s="1019"/>
      <c r="I62" s="1588"/>
      <c r="J62" s="19"/>
      <c r="K62" s="17"/>
      <c r="O62" s="17"/>
    </row>
    <row r="63" spans="1:15" s="18" customFormat="1" ht="75">
      <c r="A63" s="1069" t="s">
        <v>3935</v>
      </c>
      <c r="B63" s="1069" t="s">
        <v>3936</v>
      </c>
      <c r="C63" s="2195" t="s">
        <v>3257</v>
      </c>
      <c r="D63" s="1019">
        <v>1130236</v>
      </c>
      <c r="E63" s="1069"/>
      <c r="F63" s="1229"/>
      <c r="G63" s="1070"/>
      <c r="H63" s="1019"/>
      <c r="I63" s="17"/>
      <c r="O63" s="17"/>
    </row>
    <row r="64" spans="1:15" s="18" customFormat="1" ht="56.25">
      <c r="A64" s="1069" t="s">
        <v>3955</v>
      </c>
      <c r="B64" s="1069"/>
      <c r="C64" s="2195" t="s">
        <v>3478</v>
      </c>
      <c r="D64" s="1019">
        <v>13799000</v>
      </c>
      <c r="E64" s="1069"/>
      <c r="F64" s="1229"/>
      <c r="G64" s="1070"/>
      <c r="H64" s="1019"/>
      <c r="I64" s="17"/>
      <c r="O64" s="17"/>
    </row>
    <row r="65" spans="1:15" s="18" customFormat="1" ht="93.75">
      <c r="A65" s="1069" t="s">
        <v>3946</v>
      </c>
      <c r="B65" s="1069"/>
      <c r="C65" s="2195" t="s">
        <v>3206</v>
      </c>
      <c r="D65" s="1019">
        <f>8192+4096</f>
        <v>12288</v>
      </c>
      <c r="E65" s="1069"/>
      <c r="F65" s="1229"/>
      <c r="G65" s="1070"/>
      <c r="H65" s="1019"/>
      <c r="I65" s="17"/>
      <c r="O65" s="17"/>
    </row>
    <row r="66" spans="1:15" s="18" customFormat="1" ht="37.5">
      <c r="A66" s="1069" t="s">
        <v>98</v>
      </c>
      <c r="B66" s="1069" t="s">
        <v>3950</v>
      </c>
      <c r="C66" s="1070" t="s">
        <v>3254</v>
      </c>
      <c r="D66" s="1019">
        <v>1400000</v>
      </c>
      <c r="E66" s="1069"/>
      <c r="F66" s="1229"/>
      <c r="G66" s="1070"/>
      <c r="H66" s="1019"/>
      <c r="I66" s="17"/>
      <c r="O66" s="17"/>
    </row>
    <row r="67" spans="1:15" s="18" customFormat="1" ht="18.75">
      <c r="A67" s="1069" t="s">
        <v>59</v>
      </c>
      <c r="B67" s="1069"/>
      <c r="C67" s="1070" t="s">
        <v>3257</v>
      </c>
      <c r="D67" s="1019">
        <f>157700</f>
        <v>157700</v>
      </c>
      <c r="E67" s="1069"/>
      <c r="F67" s="1229"/>
      <c r="G67" s="1070"/>
      <c r="H67" s="1019"/>
      <c r="I67" s="17"/>
      <c r="O67" s="17"/>
    </row>
    <row r="68" spans="1:15" s="18" customFormat="1" ht="37.5">
      <c r="A68" s="1069" t="s">
        <v>3887</v>
      </c>
      <c r="B68" s="1069" t="s">
        <v>3956</v>
      </c>
      <c r="C68" s="2195" t="s">
        <v>3206</v>
      </c>
      <c r="D68" s="1019">
        <f>61719</f>
        <v>61719</v>
      </c>
      <c r="E68" s="1069"/>
      <c r="F68" s="1229"/>
      <c r="G68" s="1070"/>
      <c r="H68" s="1019"/>
      <c r="I68" s="17"/>
      <c r="J68" s="17"/>
      <c r="O68" s="17"/>
    </row>
    <row r="69" spans="1:15" s="18" customFormat="1" ht="93.75" hidden="1">
      <c r="A69" s="1069" t="s">
        <v>3935</v>
      </c>
      <c r="B69" s="1069" t="s">
        <v>3957</v>
      </c>
      <c r="C69" s="1070" t="s">
        <v>3257</v>
      </c>
      <c r="D69" s="1019">
        <f>1420312-1420312</f>
        <v>0</v>
      </c>
      <c r="E69" s="1069"/>
      <c r="F69" s="1229"/>
      <c r="G69" s="1070"/>
      <c r="H69" s="1019"/>
      <c r="I69" s="17"/>
      <c r="J69" s="17"/>
      <c r="O69" s="17"/>
    </row>
    <row r="70" spans="1:15" s="18" customFormat="1" ht="37.5">
      <c r="A70" s="1069" t="s">
        <v>77</v>
      </c>
      <c r="B70" s="1069" t="s">
        <v>1638</v>
      </c>
      <c r="C70" s="2195" t="s">
        <v>3478</v>
      </c>
      <c r="D70" s="1019">
        <f>320000+11614</f>
        <v>331614</v>
      </c>
      <c r="E70" s="1069"/>
      <c r="F70" s="1229"/>
      <c r="G70" s="1070"/>
      <c r="H70" s="1019"/>
      <c r="I70" s="17"/>
      <c r="J70" s="17"/>
      <c r="O70" s="17"/>
    </row>
    <row r="71" spans="1:15" s="18" customFormat="1" ht="18.75" hidden="1">
      <c r="A71" s="1069"/>
      <c r="B71" s="1069"/>
      <c r="C71" s="2195"/>
      <c r="D71" s="1019"/>
      <c r="E71" s="1069"/>
      <c r="F71" s="1069"/>
      <c r="G71" s="1070"/>
      <c r="H71" s="1019"/>
      <c r="I71" s="17"/>
      <c r="J71" s="19">
        <f>SUM(H71:I71)</f>
        <v>0</v>
      </c>
      <c r="O71" s="17"/>
    </row>
    <row r="72" spans="1:15" s="18" customFormat="1" ht="18.75" hidden="1">
      <c r="A72" s="1069"/>
      <c r="B72" s="1069"/>
      <c r="C72" s="1070"/>
      <c r="D72" s="1019"/>
      <c r="E72" s="1069"/>
      <c r="F72" s="1229"/>
      <c r="G72" s="1070"/>
      <c r="H72" s="1019"/>
      <c r="I72" s="17"/>
      <c r="J72" s="17"/>
      <c r="O72" s="17"/>
    </row>
    <row r="73" spans="1:15" s="18" customFormat="1" ht="18.75" hidden="1">
      <c r="A73" s="1069"/>
      <c r="B73" s="1069"/>
      <c r="C73" s="1070"/>
      <c r="D73" s="1019"/>
      <c r="E73" s="1069"/>
      <c r="F73" s="1229"/>
      <c r="G73" s="1070"/>
      <c r="H73" s="1019"/>
      <c r="I73" s="17"/>
      <c r="J73" s="17"/>
      <c r="O73" s="17"/>
    </row>
    <row r="74" spans="1:15" s="18" customFormat="1" ht="18.75" hidden="1">
      <c r="A74" s="1069"/>
      <c r="B74" s="1069"/>
      <c r="C74" s="1070"/>
      <c r="D74" s="1019"/>
      <c r="E74" s="1069"/>
      <c r="F74" s="1229"/>
      <c r="G74" s="1070"/>
      <c r="H74" s="1019"/>
      <c r="I74" s="17"/>
      <c r="J74" s="17"/>
      <c r="O74" s="17"/>
    </row>
    <row r="75" spans="1:15" s="18" customFormat="1" ht="18.75" hidden="1">
      <c r="A75" s="1069"/>
      <c r="B75" s="1069"/>
      <c r="C75" s="1070"/>
      <c r="D75" s="1019"/>
      <c r="E75" s="1069"/>
      <c r="F75" s="1229"/>
      <c r="G75" s="1070"/>
      <c r="H75" s="1019"/>
      <c r="I75" s="17"/>
      <c r="J75" s="17"/>
      <c r="O75" s="17"/>
    </row>
    <row r="76" spans="1:15" s="18" customFormat="1" ht="18.75" hidden="1">
      <c r="A76" s="1069"/>
      <c r="B76" s="1069"/>
      <c r="C76" s="1070"/>
      <c r="D76" s="1019"/>
      <c r="E76" s="1069"/>
      <c r="F76" s="1229"/>
      <c r="G76" s="1070"/>
      <c r="H76" s="1019"/>
      <c r="I76" s="17"/>
      <c r="J76" s="17"/>
      <c r="O76" s="17"/>
    </row>
    <row r="77" spans="1:15" s="18" customFormat="1" ht="18.75" hidden="1">
      <c r="A77" s="1069"/>
      <c r="B77" s="1069"/>
      <c r="C77" s="1070"/>
      <c r="D77" s="1019"/>
      <c r="E77" s="1069"/>
      <c r="F77" s="1229"/>
      <c r="G77" s="1070"/>
      <c r="H77" s="1019"/>
      <c r="I77" s="17"/>
      <c r="O77" s="17"/>
    </row>
    <row r="78" spans="1:15" s="18" customFormat="1" ht="18.75" hidden="1">
      <c r="A78" s="1069"/>
      <c r="B78" s="1069"/>
      <c r="C78" s="1070"/>
      <c r="D78" s="1019"/>
      <c r="E78" s="1069"/>
      <c r="F78" s="1229"/>
      <c r="G78" s="1070"/>
      <c r="H78" s="1019"/>
      <c r="I78" s="17"/>
      <c r="O78" s="17"/>
    </row>
    <row r="79" spans="1:15" s="18" customFormat="1" ht="11.25" customHeight="1">
      <c r="A79" s="1196"/>
      <c r="B79" s="1196"/>
      <c r="C79" s="1197"/>
      <c r="D79" s="1198"/>
      <c r="E79" s="1196"/>
      <c r="F79" s="1196"/>
      <c r="G79" s="1197"/>
      <c r="H79" s="1198"/>
      <c r="I79" s="17"/>
      <c r="K79" s="11"/>
      <c r="O79" s="17"/>
    </row>
    <row r="80" spans="1:15" s="18" customFormat="1" ht="37.5">
      <c r="A80" s="1069" t="s">
        <v>3890</v>
      </c>
      <c r="B80" s="1069" t="s">
        <v>3927</v>
      </c>
      <c r="C80" s="2195" t="s">
        <v>3206</v>
      </c>
      <c r="D80" s="1019">
        <f>3000000+5000000</f>
        <v>8000000</v>
      </c>
      <c r="E80" s="1069" t="s">
        <v>63</v>
      </c>
      <c r="F80" s="1069" t="s">
        <v>89</v>
      </c>
      <c r="G80" s="1070" t="s">
        <v>3257</v>
      </c>
      <c r="H80" s="1019">
        <f>3000000+5000000+1227560+309364+18545+49096</f>
        <v>9604565</v>
      </c>
      <c r="I80" s="17">
        <f>+'33. mell. E.műk.c.kiad.'!T88+H7</f>
        <v>-9604565</v>
      </c>
      <c r="J80" s="19">
        <f>SUM(H80:I80)</f>
        <v>0</v>
      </c>
      <c r="K80" s="17"/>
      <c r="O80" s="17"/>
    </row>
    <row r="81" spans="1:15" s="18" customFormat="1" ht="37.5">
      <c r="A81" s="1069" t="s">
        <v>3954</v>
      </c>
      <c r="B81" s="1069" t="s">
        <v>1976</v>
      </c>
      <c r="C81" s="2195" t="s">
        <v>3206</v>
      </c>
      <c r="D81" s="1019">
        <f>1227560+18545+49096</f>
        <v>1295201</v>
      </c>
      <c r="E81" s="1069"/>
      <c r="F81" s="1229"/>
      <c r="G81" s="1070"/>
      <c r="H81" s="1019"/>
      <c r="O81" s="17"/>
    </row>
    <row r="82" spans="1:15" s="18" customFormat="1" ht="56.25">
      <c r="A82" s="1069" t="s">
        <v>3948</v>
      </c>
      <c r="B82" s="1069" t="s">
        <v>3966</v>
      </c>
      <c r="C82" s="2195" t="s">
        <v>3206</v>
      </c>
      <c r="D82" s="1019">
        <v>309364</v>
      </c>
      <c r="E82" s="1069"/>
      <c r="F82" s="1229"/>
      <c r="G82" s="1070"/>
      <c r="H82" s="1019"/>
      <c r="O82" s="17"/>
    </row>
    <row r="83" spans="1:15" s="18" customFormat="1" ht="18.75" hidden="1">
      <c r="A83" s="1069"/>
      <c r="B83" s="1069"/>
      <c r="C83" s="1069"/>
      <c r="D83" s="1019"/>
      <c r="E83" s="1069"/>
      <c r="F83" s="1229"/>
      <c r="G83" s="1070"/>
      <c r="H83" s="1019"/>
      <c r="O83" s="17"/>
    </row>
    <row r="84" spans="1:15" s="18" customFormat="1" ht="11.25" customHeight="1">
      <c r="A84" s="1196"/>
      <c r="B84" s="1196"/>
      <c r="C84" s="1197"/>
      <c r="D84" s="1198"/>
      <c r="E84" s="1196"/>
      <c r="F84" s="1196"/>
      <c r="G84" s="1197"/>
      <c r="H84" s="1198"/>
      <c r="O84" s="17"/>
    </row>
    <row r="85" spans="1:15" s="18" customFormat="1" ht="37.5">
      <c r="A85" s="1069" t="s">
        <v>3549</v>
      </c>
      <c r="B85" s="1069"/>
      <c r="C85" s="1070" t="s">
        <v>3254</v>
      </c>
      <c r="D85" s="1019">
        <f>40106000</f>
        <v>40106000</v>
      </c>
      <c r="E85" s="1069" t="s">
        <v>107</v>
      </c>
      <c r="F85" s="1069" t="s">
        <v>108</v>
      </c>
      <c r="G85" s="1070" t="s">
        <v>3257</v>
      </c>
      <c r="H85" s="1019">
        <f>40106000+24363786+4528376+7909691+9750000+84030204</f>
        <v>170688057</v>
      </c>
      <c r="I85" s="19">
        <f>+'33. mell. E.műk.c.kiad.'!T96</f>
        <v>-340688057</v>
      </c>
      <c r="J85" s="19">
        <f>SUM(H85:I85)</f>
        <v>-170000000</v>
      </c>
      <c r="K85" s="17"/>
      <c r="O85" s="17"/>
    </row>
    <row r="86" spans="1:15" s="18" customFormat="1" ht="56.25">
      <c r="A86" s="1069" t="s">
        <v>3962</v>
      </c>
      <c r="B86" s="1069" t="s">
        <v>3933</v>
      </c>
      <c r="C86" s="1070" t="s">
        <v>3254</v>
      </c>
      <c r="D86" s="1019">
        <f>24363786+4528376</f>
        <v>28892162</v>
      </c>
      <c r="E86" s="1229"/>
      <c r="F86" s="1229"/>
      <c r="G86" s="1070"/>
      <c r="H86" s="1019"/>
      <c r="I86" s="1017"/>
      <c r="K86" s="19"/>
      <c r="O86" s="17"/>
    </row>
    <row r="87" spans="1:15" s="18" customFormat="1" ht="37.5">
      <c r="A87" s="1069" t="s">
        <v>3855</v>
      </c>
      <c r="B87" s="1069" t="s">
        <v>3952</v>
      </c>
      <c r="C87" s="1070" t="s">
        <v>3254</v>
      </c>
      <c r="D87" s="1019">
        <v>7909691</v>
      </c>
      <c r="E87" s="1229"/>
      <c r="F87" s="1229"/>
      <c r="G87" s="1070"/>
      <c r="H87" s="1019"/>
      <c r="O87" s="17"/>
    </row>
    <row r="88" spans="1:15" s="18" customFormat="1" ht="56.25">
      <c r="A88" s="1069" t="s">
        <v>3967</v>
      </c>
      <c r="B88" s="1069" t="s">
        <v>3968</v>
      </c>
      <c r="C88" s="1070" t="s">
        <v>3254</v>
      </c>
      <c r="D88" s="1019">
        <f>9750000</f>
        <v>9750000</v>
      </c>
      <c r="E88" s="1229"/>
      <c r="F88" s="1229"/>
      <c r="G88" s="1070"/>
      <c r="H88" s="1019"/>
      <c r="O88" s="17"/>
    </row>
    <row r="89" spans="1:15" s="18" customFormat="1" ht="18.75" hidden="1">
      <c r="A89" s="1069"/>
      <c r="B89" s="1069"/>
      <c r="C89" s="2195"/>
      <c r="D89" s="1019"/>
      <c r="E89" s="1229"/>
      <c r="F89" s="1229"/>
      <c r="G89" s="1070"/>
      <c r="H89" s="1019"/>
      <c r="O89" s="17"/>
    </row>
    <row r="90" spans="1:15" s="18" customFormat="1" ht="18.75">
      <c r="A90" s="1069" t="s">
        <v>3993</v>
      </c>
      <c r="B90" s="1069"/>
      <c r="C90" s="1070" t="s">
        <v>3257</v>
      </c>
      <c r="D90" s="1019">
        <v>84030204</v>
      </c>
      <c r="E90" s="1229"/>
      <c r="F90" s="1229"/>
      <c r="G90" s="1070"/>
      <c r="H90" s="1019"/>
      <c r="O90" s="17"/>
    </row>
    <row r="91" spans="1:15" s="18" customFormat="1" ht="18.75" hidden="1">
      <c r="A91" s="1069"/>
      <c r="B91" s="1069"/>
      <c r="C91" s="1070"/>
      <c r="D91" s="1019"/>
      <c r="E91" s="1229"/>
      <c r="F91" s="1229"/>
      <c r="G91" s="1070"/>
      <c r="H91" s="1019"/>
      <c r="O91" s="17"/>
    </row>
    <row r="92" spans="1:15" s="18" customFormat="1" ht="18.75" hidden="1">
      <c r="A92" s="1229"/>
      <c r="B92" s="1069"/>
      <c r="C92" s="1070"/>
      <c r="D92" s="1019"/>
      <c r="E92" s="1229"/>
      <c r="F92" s="1229"/>
      <c r="G92" s="1070"/>
      <c r="H92" s="1019"/>
      <c r="O92" s="17"/>
    </row>
    <row r="93" spans="1:15" s="18" customFormat="1" ht="18.75" hidden="1">
      <c r="A93" s="1069"/>
      <c r="B93" s="1069"/>
      <c r="C93" s="1070"/>
      <c r="D93" s="1019"/>
      <c r="E93" s="1069"/>
      <c r="F93" s="1229"/>
      <c r="G93" s="1070"/>
      <c r="H93" s="1019"/>
      <c r="O93" s="17"/>
    </row>
    <row r="94" spans="1:15" s="18" customFormat="1" ht="10.5" customHeight="1">
      <c r="A94" s="1196"/>
      <c r="B94" s="1196"/>
      <c r="C94" s="1197"/>
      <c r="D94" s="1198"/>
      <c r="E94" s="1196"/>
      <c r="F94" s="1196"/>
      <c r="G94" s="1197"/>
      <c r="H94" s="1198"/>
      <c r="O94" s="17"/>
    </row>
    <row r="95" spans="1:15" s="18" customFormat="1" ht="56.25">
      <c r="A95" s="1069" t="s">
        <v>93</v>
      </c>
      <c r="B95" s="1069" t="s">
        <v>3925</v>
      </c>
      <c r="C95" s="1070" t="s">
        <v>3478</v>
      </c>
      <c r="D95" s="1019">
        <f>1273467</f>
        <v>1273467</v>
      </c>
      <c r="E95" s="1229" t="s">
        <v>112</v>
      </c>
      <c r="F95" s="1069" t="s">
        <v>89</v>
      </c>
      <c r="G95" s="1070" t="s">
        <v>3257</v>
      </c>
      <c r="H95" s="1019">
        <f>1273467+1415974+2400000</f>
        <v>5089441</v>
      </c>
      <c r="I95" s="19">
        <f>+'33. mell. E.műk.c.kiad.'!T95</f>
        <v>-36374493</v>
      </c>
      <c r="J95" s="19">
        <f>SUM(H95:I95)</f>
        <v>-31285052</v>
      </c>
      <c r="O95" s="17"/>
    </row>
    <row r="96" spans="1:15" s="18" customFormat="1" ht="18.75" hidden="1">
      <c r="A96" s="1069"/>
      <c r="B96" s="1069"/>
      <c r="C96" s="1070"/>
      <c r="D96" s="1019"/>
      <c r="E96" s="1229"/>
      <c r="F96" s="1069"/>
      <c r="G96" s="1070"/>
      <c r="H96" s="1019"/>
      <c r="I96" s="19"/>
      <c r="J96" s="19"/>
      <c r="O96" s="17"/>
    </row>
    <row r="97" spans="1:15" s="18" customFormat="1" ht="37.5">
      <c r="A97" s="1069" t="s">
        <v>118</v>
      </c>
      <c r="B97" s="1069" t="s">
        <v>3926</v>
      </c>
      <c r="C97" s="1070" t="s">
        <v>3254</v>
      </c>
      <c r="D97" s="1019">
        <f>1415974</f>
        <v>1415974</v>
      </c>
      <c r="E97" s="1229"/>
      <c r="F97" s="1069"/>
      <c r="G97" s="1070"/>
      <c r="H97" s="1019"/>
      <c r="I97" s="19"/>
      <c r="J97" s="19"/>
      <c r="O97" s="17"/>
    </row>
    <row r="98" spans="1:15" s="18" customFormat="1" ht="56.25">
      <c r="A98" s="1069" t="s">
        <v>3047</v>
      </c>
      <c r="B98" s="1069"/>
      <c r="C98" s="1070" t="s">
        <v>3873</v>
      </c>
      <c r="D98" s="1019">
        <f>2400000</f>
        <v>2400000</v>
      </c>
      <c r="E98" s="1229"/>
      <c r="F98" s="1069"/>
      <c r="G98" s="1070"/>
      <c r="H98" s="1019"/>
      <c r="I98" s="19"/>
      <c r="J98" s="19"/>
      <c r="O98" s="17"/>
    </row>
    <row r="99" spans="1:15" s="18" customFormat="1" ht="7.5" customHeight="1">
      <c r="A99" s="1196"/>
      <c r="B99" s="1196"/>
      <c r="C99" s="1197"/>
      <c r="D99" s="1198"/>
      <c r="E99" s="1196"/>
      <c r="F99" s="1196"/>
      <c r="G99" s="1197"/>
      <c r="H99" s="1198"/>
      <c r="I99" s="19"/>
      <c r="J99" s="19"/>
      <c r="O99" s="17"/>
    </row>
    <row r="100" spans="1:15" s="18" customFormat="1" ht="75">
      <c r="A100" s="1069" t="s">
        <v>2304</v>
      </c>
      <c r="B100" s="1069"/>
      <c r="C100" s="1070" t="s">
        <v>3257</v>
      </c>
      <c r="D100" s="1019">
        <v>462578</v>
      </c>
      <c r="E100" s="1229" t="s">
        <v>4013</v>
      </c>
      <c r="F100" s="1069" t="s">
        <v>4014</v>
      </c>
      <c r="G100" s="1070" t="s">
        <v>3257</v>
      </c>
      <c r="H100" s="1019">
        <v>462578</v>
      </c>
      <c r="I100" s="19"/>
      <c r="J100" s="19"/>
      <c r="O100" s="17"/>
    </row>
    <row r="101" spans="1:15" s="18" customFormat="1" ht="18.75" hidden="1">
      <c r="A101" s="1069"/>
      <c r="B101" s="1069"/>
      <c r="C101" s="1070"/>
      <c r="D101" s="1019"/>
      <c r="E101" s="1229"/>
      <c r="F101" s="1069"/>
      <c r="G101" s="1070"/>
      <c r="H101" s="1019"/>
      <c r="I101" s="19"/>
      <c r="J101" s="19"/>
      <c r="O101" s="17"/>
    </row>
    <row r="102" spans="1:15" s="18" customFormat="1" ht="18.75" hidden="1">
      <c r="A102" s="1069"/>
      <c r="B102" s="1069"/>
      <c r="C102" s="1070"/>
      <c r="D102" s="1019"/>
      <c r="E102" s="1229"/>
      <c r="F102" s="1069"/>
      <c r="G102" s="1070"/>
      <c r="H102" s="1019"/>
      <c r="I102" s="19"/>
      <c r="J102" s="19"/>
      <c r="O102" s="17"/>
    </row>
    <row r="103" spans="1:15" s="18" customFormat="1" ht="18.75" hidden="1">
      <c r="A103" s="1069"/>
      <c r="B103" s="1069"/>
      <c r="C103" s="1070"/>
      <c r="D103" s="1019"/>
      <c r="E103" s="1229"/>
      <c r="F103" s="1069"/>
      <c r="G103" s="1070"/>
      <c r="H103" s="1019"/>
      <c r="I103" s="19"/>
      <c r="J103" s="19"/>
      <c r="O103" s="17"/>
    </row>
    <row r="104" spans="1:15" s="18" customFormat="1" ht="10.5" customHeight="1">
      <c r="A104" s="1196"/>
      <c r="B104" s="1196"/>
      <c r="C104" s="1197"/>
      <c r="D104" s="1198"/>
      <c r="E104" s="1196"/>
      <c r="F104" s="1196"/>
      <c r="G104" s="1197"/>
      <c r="H104" s="1198"/>
      <c r="O104" s="17"/>
    </row>
    <row r="105" spans="1:15" s="1786" customFormat="1" ht="37.5">
      <c r="A105" s="2227" t="s">
        <v>75</v>
      </c>
      <c r="B105" s="2227" t="s">
        <v>3969</v>
      </c>
      <c r="C105" s="2195" t="s">
        <v>3656</v>
      </c>
      <c r="D105" s="2228">
        <f>529155</f>
        <v>529155</v>
      </c>
      <c r="E105" s="2227" t="s">
        <v>3877</v>
      </c>
      <c r="F105" s="2227" t="s">
        <v>3970</v>
      </c>
      <c r="G105" s="1070" t="s">
        <v>3478</v>
      </c>
      <c r="H105" s="2228">
        <f>529155</f>
        <v>529155</v>
      </c>
      <c r="O105" s="295"/>
    </row>
    <row r="106" spans="1:15" s="1786" customFormat="1" ht="56.25">
      <c r="A106" s="2227" t="s">
        <v>1562</v>
      </c>
      <c r="B106" s="2227"/>
      <c r="C106" s="2195" t="s">
        <v>3478</v>
      </c>
      <c r="D106" s="2228">
        <f>95255+15463+1299</f>
        <v>112017</v>
      </c>
      <c r="E106" s="2227" t="s">
        <v>91</v>
      </c>
      <c r="F106" s="2227" t="s">
        <v>97</v>
      </c>
      <c r="G106" s="1070" t="s">
        <v>3478</v>
      </c>
      <c r="H106" s="2228">
        <f>95255+15463+1299+904835</f>
        <v>1016852</v>
      </c>
      <c r="O106" s="295"/>
    </row>
    <row r="107" spans="1:15" s="1786" customFormat="1" ht="18.75">
      <c r="A107" s="2227" t="s">
        <v>1675</v>
      </c>
      <c r="B107" s="2227"/>
      <c r="C107" s="2195" t="s">
        <v>3478</v>
      </c>
      <c r="D107" s="2228">
        <f>904835</f>
        <v>904835</v>
      </c>
      <c r="E107" s="2227"/>
      <c r="F107" s="2227"/>
      <c r="G107" s="2195"/>
      <c r="H107" s="2228"/>
      <c r="O107" s="295"/>
    </row>
    <row r="108" spans="1:15" s="1786" customFormat="1" ht="18.75">
      <c r="A108" s="2227" t="s">
        <v>1519</v>
      </c>
      <c r="B108" s="2227" t="s">
        <v>3973</v>
      </c>
      <c r="C108" s="2195" t="s">
        <v>3478</v>
      </c>
      <c r="D108" s="2228">
        <f>116659</f>
        <v>116659</v>
      </c>
      <c r="E108" s="2227" t="s">
        <v>91</v>
      </c>
      <c r="F108" s="2227" t="s">
        <v>3974</v>
      </c>
      <c r="G108" s="1070" t="s">
        <v>3478</v>
      </c>
      <c r="H108" s="2228">
        <f>116659</f>
        <v>116659</v>
      </c>
      <c r="O108" s="295"/>
    </row>
    <row r="109" spans="1:15" s="1786" customFormat="1" ht="56.25">
      <c r="A109" s="2227" t="s">
        <v>3976</v>
      </c>
      <c r="B109" s="2227" t="s">
        <v>3975</v>
      </c>
      <c r="C109" s="2195" t="s">
        <v>3478</v>
      </c>
      <c r="D109" s="2228">
        <v>114170</v>
      </c>
      <c r="E109" s="2227" t="s">
        <v>77</v>
      </c>
      <c r="F109" s="2227" t="s">
        <v>3977</v>
      </c>
      <c r="G109" s="1070" t="s">
        <v>3478</v>
      </c>
      <c r="H109" s="2228">
        <v>114170</v>
      </c>
      <c r="O109" s="295"/>
    </row>
    <row r="110" spans="1:15" s="1786" customFormat="1" ht="18.75" hidden="1">
      <c r="A110" s="2227"/>
      <c r="B110" s="2227"/>
      <c r="C110" s="2195"/>
      <c r="D110" s="2228"/>
      <c r="E110" s="2227"/>
      <c r="F110" s="2227"/>
      <c r="G110" s="2195"/>
      <c r="H110" s="2228"/>
      <c r="O110" s="295"/>
    </row>
    <row r="111" spans="1:15" s="18" customFormat="1" ht="37.5">
      <c r="A111" s="1069" t="s">
        <v>3887</v>
      </c>
      <c r="B111" s="1069" t="s">
        <v>1984</v>
      </c>
      <c r="C111" s="1070" t="s">
        <v>3206</v>
      </c>
      <c r="D111" s="1019">
        <f>99809</f>
        <v>99809</v>
      </c>
      <c r="E111" s="1069" t="s">
        <v>2940</v>
      </c>
      <c r="F111" s="1069"/>
      <c r="G111" s="1070" t="s">
        <v>3254</v>
      </c>
      <c r="H111" s="1019">
        <f>99809</f>
        <v>99809</v>
      </c>
      <c r="O111" s="17"/>
    </row>
    <row r="112" spans="1:15" s="18" customFormat="1" ht="37.5">
      <c r="A112" s="1069" t="s">
        <v>3930</v>
      </c>
      <c r="B112" s="1069" t="s">
        <v>3931</v>
      </c>
      <c r="C112" s="1070" t="s">
        <v>3656</v>
      </c>
      <c r="D112" s="1019">
        <f>328328</f>
        <v>328328</v>
      </c>
      <c r="E112" s="1069" t="s">
        <v>1516</v>
      </c>
      <c r="F112" s="1229" t="s">
        <v>3929</v>
      </c>
      <c r="G112" s="1070" t="s">
        <v>3478</v>
      </c>
      <c r="H112" s="1019">
        <v>328328</v>
      </c>
      <c r="O112" s="17"/>
    </row>
    <row r="113" spans="1:15" s="18" customFormat="1" ht="18.75">
      <c r="A113" s="1069" t="s">
        <v>3932</v>
      </c>
      <c r="B113" s="1069"/>
      <c r="C113" s="1070" t="s">
        <v>3206</v>
      </c>
      <c r="D113" s="1019">
        <f>3800000+395944+2</f>
        <v>4195946</v>
      </c>
      <c r="E113" s="1069" t="s">
        <v>3899</v>
      </c>
      <c r="F113" s="1229"/>
      <c r="G113" s="1070" t="s">
        <v>3207</v>
      </c>
      <c r="H113" s="1019">
        <f>3800000+395944+2+500000+1100000+278000+100000+1700000+600000+233000</f>
        <v>8706946</v>
      </c>
      <c r="O113" s="17"/>
    </row>
    <row r="114" spans="1:15" s="18" customFormat="1" ht="18.75">
      <c r="A114" s="1069" t="s">
        <v>2056</v>
      </c>
      <c r="B114" s="1069"/>
      <c r="C114" s="1070" t="s">
        <v>3207</v>
      </c>
      <c r="D114" s="1019">
        <f>500000+1100000+278000+100000</f>
        <v>1978000</v>
      </c>
      <c r="E114" s="1069"/>
      <c r="F114" s="1069"/>
      <c r="G114" s="1070"/>
      <c r="H114" s="1019"/>
      <c r="O114" s="17"/>
    </row>
    <row r="115" spans="1:15" s="18" customFormat="1" ht="18.75">
      <c r="A115" s="1069" t="s">
        <v>3941</v>
      </c>
      <c r="B115" s="1069" t="s">
        <v>3942</v>
      </c>
      <c r="C115" s="1070" t="s">
        <v>3207</v>
      </c>
      <c r="D115" s="1019">
        <f>1700000</f>
        <v>1700000</v>
      </c>
      <c r="E115" s="1069"/>
      <c r="F115" s="1069"/>
      <c r="G115" s="1070"/>
      <c r="H115" s="1019"/>
      <c r="O115" s="17"/>
    </row>
    <row r="116" spans="1:15" s="18" customFormat="1" ht="18.75">
      <c r="A116" s="1069" t="s">
        <v>124</v>
      </c>
      <c r="B116" s="1069" t="s">
        <v>123</v>
      </c>
      <c r="C116" s="1070" t="s">
        <v>3207</v>
      </c>
      <c r="D116" s="1019">
        <f>600000+233000</f>
        <v>833000</v>
      </c>
      <c r="E116" s="1069"/>
      <c r="F116" s="1069"/>
      <c r="G116" s="1070"/>
      <c r="H116" s="1019"/>
      <c r="O116" s="17"/>
    </row>
    <row r="117" spans="1:15" s="18" customFormat="1" ht="56.25">
      <c r="A117" s="1069" t="s">
        <v>3963</v>
      </c>
      <c r="B117" s="1069" t="s">
        <v>3933</v>
      </c>
      <c r="C117" s="1070" t="s">
        <v>3254</v>
      </c>
      <c r="D117" s="1019">
        <f>5000000</f>
        <v>5000000</v>
      </c>
      <c r="E117" s="1229" t="s">
        <v>3159</v>
      </c>
      <c r="F117" s="1229"/>
      <c r="G117" s="1070" t="s">
        <v>3206</v>
      </c>
      <c r="H117" s="1019">
        <f>5000000</f>
        <v>5000000</v>
      </c>
      <c r="O117" s="17"/>
    </row>
    <row r="118" spans="1:15" s="18" customFormat="1" ht="56.25">
      <c r="A118" s="1069" t="s">
        <v>93</v>
      </c>
      <c r="B118" s="1069" t="s">
        <v>122</v>
      </c>
      <c r="C118" s="1070" t="s">
        <v>3478</v>
      </c>
      <c r="D118" s="1019">
        <f>500000+15915</f>
        <v>515915</v>
      </c>
      <c r="E118" s="1069" t="s">
        <v>93</v>
      </c>
      <c r="F118" s="1069" t="s">
        <v>1868</v>
      </c>
      <c r="G118" s="1070" t="s">
        <v>3478</v>
      </c>
      <c r="H118" s="1019">
        <f>500000+15915+92491</f>
        <v>608406</v>
      </c>
      <c r="J118" s="22"/>
      <c r="K118" s="23"/>
      <c r="L118" s="11"/>
    </row>
    <row r="119" spans="1:15" s="18" customFormat="1" ht="56.25">
      <c r="A119" s="1069" t="s">
        <v>93</v>
      </c>
      <c r="B119" s="1069" t="s">
        <v>3971</v>
      </c>
      <c r="C119" s="1070" t="s">
        <v>3478</v>
      </c>
      <c r="D119" s="1019">
        <f>92491</f>
        <v>92491</v>
      </c>
      <c r="E119" s="1069"/>
      <c r="F119" s="1069"/>
      <c r="G119" s="1070"/>
      <c r="H119" s="1019"/>
      <c r="J119" s="22"/>
      <c r="K119" s="23"/>
      <c r="L119" s="11"/>
    </row>
    <row r="120" spans="1:15" s="18" customFormat="1" ht="18.75">
      <c r="A120" s="1069" t="s">
        <v>64</v>
      </c>
      <c r="B120" s="1069" t="s">
        <v>3938</v>
      </c>
      <c r="C120" s="1070" t="s">
        <v>3257</v>
      </c>
      <c r="D120" s="1019">
        <f>293800</f>
        <v>293800</v>
      </c>
      <c r="E120" s="1069" t="s">
        <v>1536</v>
      </c>
      <c r="F120" s="1244" t="s">
        <v>3937</v>
      </c>
      <c r="G120" s="1070" t="s">
        <v>3478</v>
      </c>
      <c r="H120" s="1019">
        <f>293800+400000</f>
        <v>693800</v>
      </c>
      <c r="J120" s="22"/>
      <c r="K120" s="23"/>
      <c r="L120" s="11"/>
    </row>
    <row r="121" spans="1:15" s="18" customFormat="1" ht="56.25">
      <c r="A121" s="1069" t="s">
        <v>77</v>
      </c>
      <c r="B121" s="1069" t="s">
        <v>3940</v>
      </c>
      <c r="C121" s="1070" t="s">
        <v>3478</v>
      </c>
      <c r="D121" s="1019">
        <f>400000</f>
        <v>400000</v>
      </c>
      <c r="E121" s="1069"/>
      <c r="F121" s="1244"/>
      <c r="G121" s="1070"/>
      <c r="H121" s="1019"/>
      <c r="J121" s="22"/>
      <c r="K121" s="23"/>
      <c r="L121" s="11"/>
    </row>
    <row r="122" spans="1:15" s="18" customFormat="1" ht="37.5">
      <c r="A122" s="1069" t="s">
        <v>2266</v>
      </c>
      <c r="B122" s="1069"/>
      <c r="C122" s="1070" t="s">
        <v>3257</v>
      </c>
      <c r="D122" s="1019">
        <f>210000</f>
        <v>210000</v>
      </c>
      <c r="E122" s="1069" t="s">
        <v>3040</v>
      </c>
      <c r="F122" s="1069"/>
      <c r="G122" s="1070" t="s">
        <v>3257</v>
      </c>
      <c r="H122" s="1019">
        <f>210000+200000</f>
        <v>410000</v>
      </c>
      <c r="J122" s="22"/>
      <c r="K122" s="23"/>
      <c r="L122" s="11"/>
    </row>
    <row r="123" spans="1:15" s="18" customFormat="1" ht="37.5">
      <c r="A123" s="1069" t="s">
        <v>3953</v>
      </c>
      <c r="B123" s="1069"/>
      <c r="C123" s="1070" t="s">
        <v>3257</v>
      </c>
      <c r="D123" s="1019">
        <f>200000</f>
        <v>200000</v>
      </c>
      <c r="E123" s="1069"/>
      <c r="F123" s="1069"/>
      <c r="G123" s="1070"/>
      <c r="H123" s="1019"/>
      <c r="J123" s="22"/>
      <c r="K123" s="23"/>
      <c r="L123" s="11"/>
    </row>
    <row r="124" spans="1:15" s="18" customFormat="1" ht="18.75">
      <c r="A124" s="1069" t="s">
        <v>3890</v>
      </c>
      <c r="B124" s="1069" t="s">
        <v>102</v>
      </c>
      <c r="C124" s="1070" t="s">
        <v>3206</v>
      </c>
      <c r="D124" s="1019">
        <f>1500000+2000000+1688600+1104910+59729</f>
        <v>6353239</v>
      </c>
      <c r="E124" s="1069" t="s">
        <v>3890</v>
      </c>
      <c r="F124" s="1069" t="s">
        <v>3943</v>
      </c>
      <c r="G124" s="1070" t="s">
        <v>3206</v>
      </c>
      <c r="H124" s="1019">
        <f>1500000+2000000</f>
        <v>3500000</v>
      </c>
      <c r="J124" s="22"/>
      <c r="K124" s="23"/>
      <c r="L124" s="11"/>
    </row>
    <row r="125" spans="1:15" s="18" customFormat="1" ht="18.75">
      <c r="A125" s="1069"/>
      <c r="B125" s="1069"/>
      <c r="C125" s="1070"/>
      <c r="D125" s="1019"/>
      <c r="E125" s="1069" t="s">
        <v>3890</v>
      </c>
      <c r="F125" s="1069" t="s">
        <v>1949</v>
      </c>
      <c r="G125" s="1070" t="s">
        <v>3206</v>
      </c>
      <c r="H125" s="1019">
        <f>1688600</f>
        <v>1688600</v>
      </c>
      <c r="J125" s="22"/>
      <c r="K125" s="23"/>
      <c r="L125" s="11"/>
    </row>
    <row r="126" spans="1:15" s="18" customFormat="1" ht="18.75">
      <c r="A126" s="1069"/>
      <c r="B126" s="1069"/>
      <c r="C126" s="1070"/>
      <c r="D126" s="1019"/>
      <c r="E126" s="1069" t="s">
        <v>3890</v>
      </c>
      <c r="F126" s="1069" t="s">
        <v>1955</v>
      </c>
      <c r="G126" s="1070" t="s">
        <v>3206</v>
      </c>
      <c r="H126" s="1019">
        <f>1104910</f>
        <v>1104910</v>
      </c>
      <c r="J126" s="22"/>
      <c r="K126" s="23"/>
      <c r="L126" s="11"/>
    </row>
    <row r="127" spans="1:15" s="18" customFormat="1" ht="18.75">
      <c r="A127" s="1069"/>
      <c r="B127" s="1069"/>
      <c r="C127" s="1070"/>
      <c r="D127" s="1019"/>
      <c r="E127" s="1069" t="s">
        <v>3890</v>
      </c>
      <c r="F127" s="1069" t="s">
        <v>1953</v>
      </c>
      <c r="G127" s="1070" t="s">
        <v>3206</v>
      </c>
      <c r="H127" s="1019">
        <f>59729</f>
        <v>59729</v>
      </c>
      <c r="J127" s="22"/>
      <c r="K127" s="23"/>
      <c r="L127" s="11"/>
    </row>
    <row r="128" spans="1:15" s="18" customFormat="1" ht="56.25">
      <c r="A128" s="1069" t="s">
        <v>3945</v>
      </c>
      <c r="B128" s="1069"/>
      <c r="C128" s="1070" t="s">
        <v>3254</v>
      </c>
      <c r="D128" s="1019">
        <f>630000+20000</f>
        <v>650000</v>
      </c>
      <c r="E128" s="1069" t="s">
        <v>77</v>
      </c>
      <c r="F128" s="1069" t="s">
        <v>3944</v>
      </c>
      <c r="G128" s="1070" t="s">
        <v>3478</v>
      </c>
      <c r="H128" s="1019">
        <f>630000</f>
        <v>630000</v>
      </c>
      <c r="J128" s="22"/>
      <c r="K128" s="23"/>
      <c r="L128" s="11"/>
    </row>
    <row r="129" spans="1:12" s="18" customFormat="1" ht="37.5">
      <c r="A129" s="1069"/>
      <c r="B129" s="1069"/>
      <c r="C129" s="1070"/>
      <c r="D129" s="1019"/>
      <c r="E129" s="1069" t="s">
        <v>130</v>
      </c>
      <c r="F129" s="1069" t="s">
        <v>131</v>
      </c>
      <c r="G129" s="1070" t="s">
        <v>3478</v>
      </c>
      <c r="H129" s="1019">
        <f>20000</f>
        <v>20000</v>
      </c>
      <c r="J129" s="22"/>
      <c r="K129" s="23"/>
      <c r="L129" s="11"/>
    </row>
    <row r="130" spans="1:12" s="18" customFormat="1" ht="37.5">
      <c r="A130" s="1069" t="s">
        <v>130</v>
      </c>
      <c r="B130" s="1069" t="s">
        <v>131</v>
      </c>
      <c r="C130" s="1070" t="s">
        <v>3478</v>
      </c>
      <c r="D130" s="1019">
        <f>12672</f>
        <v>12672</v>
      </c>
      <c r="E130" s="1069" t="s">
        <v>1481</v>
      </c>
      <c r="F130" s="1069" t="s">
        <v>3972</v>
      </c>
      <c r="G130" s="1070" t="s">
        <v>3478</v>
      </c>
      <c r="H130" s="1019">
        <f>12672</f>
        <v>12672</v>
      </c>
      <c r="J130" s="22"/>
      <c r="K130" s="23"/>
      <c r="L130" s="11"/>
    </row>
    <row r="131" spans="1:12" s="18" customFormat="1" ht="37.5">
      <c r="A131" s="1069" t="s">
        <v>3855</v>
      </c>
      <c r="B131" s="1069" t="s">
        <v>111</v>
      </c>
      <c r="C131" s="1070" t="s">
        <v>3254</v>
      </c>
      <c r="D131" s="1019">
        <v>2858500</v>
      </c>
      <c r="E131" s="1069" t="s">
        <v>3855</v>
      </c>
      <c r="F131" s="1069" t="s">
        <v>3947</v>
      </c>
      <c r="G131" s="1070" t="s">
        <v>3254</v>
      </c>
      <c r="H131" s="1019">
        <v>2858500</v>
      </c>
      <c r="J131" s="22"/>
      <c r="K131" s="23"/>
      <c r="L131" s="11"/>
    </row>
    <row r="132" spans="1:12" s="18" customFormat="1" ht="56.25">
      <c r="A132" s="1069" t="s">
        <v>3948</v>
      </c>
      <c r="B132" s="1069" t="s">
        <v>100</v>
      </c>
      <c r="C132" s="1070" t="s">
        <v>3206</v>
      </c>
      <c r="D132" s="1019">
        <v>345414</v>
      </c>
      <c r="E132" s="1069" t="s">
        <v>3948</v>
      </c>
      <c r="F132" s="1069" t="s">
        <v>1998</v>
      </c>
      <c r="G132" s="1070" t="s">
        <v>3206</v>
      </c>
      <c r="H132" s="1019">
        <v>345414</v>
      </c>
      <c r="J132" s="22"/>
      <c r="K132" s="23"/>
      <c r="L132" s="11"/>
    </row>
    <row r="133" spans="1:12" s="18" customFormat="1" ht="37.5">
      <c r="A133" s="1069" t="s">
        <v>95</v>
      </c>
      <c r="B133" s="1069"/>
      <c r="C133" s="1070" t="s">
        <v>3656</v>
      </c>
      <c r="D133" s="1019">
        <f>3500000+85785</f>
        <v>3585785</v>
      </c>
      <c r="E133" s="1069" t="s">
        <v>1360</v>
      </c>
      <c r="F133" s="1069"/>
      <c r="G133" s="1070" t="s">
        <v>3656</v>
      </c>
      <c r="H133" s="1019">
        <f>3500000</f>
        <v>3500000</v>
      </c>
      <c r="J133" s="22"/>
      <c r="K133" s="23"/>
      <c r="L133" s="11"/>
    </row>
    <row r="134" spans="1:12" s="18" customFormat="1" ht="37.5" customHeight="1">
      <c r="A134" s="1069" t="s">
        <v>1805</v>
      </c>
      <c r="B134" s="1069" t="s">
        <v>3989</v>
      </c>
      <c r="C134" s="1070" t="s">
        <v>3656</v>
      </c>
      <c r="D134" s="1019">
        <f>15267</f>
        <v>15267</v>
      </c>
      <c r="E134" s="1069" t="s">
        <v>1391</v>
      </c>
      <c r="F134" s="1069"/>
      <c r="G134" s="1070" t="s">
        <v>3656</v>
      </c>
      <c r="H134" s="1019">
        <f>85785+15267</f>
        <v>101052</v>
      </c>
      <c r="J134" s="22"/>
      <c r="K134" s="23"/>
      <c r="L134" s="11"/>
    </row>
    <row r="135" spans="1:12" s="18" customFormat="1" ht="56.25">
      <c r="A135" s="1069" t="s">
        <v>121</v>
      </c>
      <c r="B135" s="1069"/>
      <c r="C135" s="1070" t="s">
        <v>3478</v>
      </c>
      <c r="D135" s="1019">
        <v>317378000</v>
      </c>
      <c r="E135" s="1069" t="s">
        <v>3146</v>
      </c>
      <c r="F135" s="1069"/>
      <c r="G135" s="1070" t="s">
        <v>3254</v>
      </c>
      <c r="H135" s="1019">
        <f>317378000+5378000+4053000</f>
        <v>326809000</v>
      </c>
      <c r="J135" s="22"/>
      <c r="K135" s="23"/>
      <c r="L135" s="11"/>
    </row>
    <row r="136" spans="1:12" s="18" customFormat="1" ht="56.25">
      <c r="A136" s="1069" t="s">
        <v>1548</v>
      </c>
      <c r="B136" s="1069"/>
      <c r="C136" s="1070" t="s">
        <v>3478</v>
      </c>
      <c r="D136" s="1019">
        <v>5378000</v>
      </c>
      <c r="E136" s="1069"/>
      <c r="F136" s="1069"/>
      <c r="G136" s="1070"/>
      <c r="H136" s="1019"/>
      <c r="J136" s="22"/>
      <c r="K136" s="23"/>
      <c r="L136" s="11"/>
    </row>
    <row r="137" spans="1:12" s="18" customFormat="1" ht="56.25">
      <c r="A137" s="1069" t="s">
        <v>1546</v>
      </c>
      <c r="B137" s="1069"/>
      <c r="C137" s="1070" t="s">
        <v>3478</v>
      </c>
      <c r="D137" s="1019">
        <v>4053000</v>
      </c>
      <c r="E137" s="1069"/>
      <c r="F137" s="1069"/>
      <c r="G137" s="1070"/>
      <c r="H137" s="1019"/>
      <c r="J137" s="22"/>
      <c r="K137" s="23"/>
      <c r="L137" s="11"/>
    </row>
    <row r="138" spans="1:12" s="18" customFormat="1" ht="56.25">
      <c r="A138" s="1069" t="s">
        <v>1521</v>
      </c>
      <c r="B138" s="1069"/>
      <c r="C138" s="1070" t="s">
        <v>3478</v>
      </c>
      <c r="D138" s="1019">
        <f>10000000+759967</f>
        <v>10759967</v>
      </c>
      <c r="E138" s="1069" t="s">
        <v>77</v>
      </c>
      <c r="F138" s="1069" t="s">
        <v>3992</v>
      </c>
      <c r="G138" s="1070" t="s">
        <v>3478</v>
      </c>
      <c r="H138" s="1019">
        <f>10000000</f>
        <v>10000000</v>
      </c>
      <c r="J138" s="22"/>
      <c r="K138" s="23"/>
      <c r="L138" s="11"/>
    </row>
    <row r="139" spans="1:12" s="18" customFormat="1" ht="67.5" customHeight="1">
      <c r="A139" s="1069"/>
      <c r="B139" s="1069"/>
      <c r="C139" s="1070"/>
      <c r="D139" s="1019"/>
      <c r="E139" s="1069" t="s">
        <v>77</v>
      </c>
      <c r="F139" s="1069" t="s">
        <v>127</v>
      </c>
      <c r="G139" s="1070" t="s">
        <v>3478</v>
      </c>
      <c r="H139" s="1019">
        <f>759967</f>
        <v>759967</v>
      </c>
      <c r="J139" s="22"/>
      <c r="K139" s="23"/>
      <c r="L139" s="11"/>
    </row>
    <row r="140" spans="1:12" s="18" customFormat="1" ht="37.5">
      <c r="A140" s="1069" t="str">
        <f>+'ÖNK.-Dologi (alábontás)nemrésze'!B132</f>
        <v>Egyéb dologi kiadások</v>
      </c>
      <c r="B140" s="1069" t="str">
        <f>+'ÖNK.-Dologi (alábontás)nemrésze'!B131</f>
        <v>Egyéb különféle dologi kiadások előirányzata</v>
      </c>
      <c r="C140" s="1070" t="s">
        <v>3478</v>
      </c>
      <c r="D140" s="1019">
        <f>339100</f>
        <v>339100</v>
      </c>
      <c r="E140" s="1069" t="str">
        <f>+'ÖNK.-Dologi (alábontás)nemrésze'!B132</f>
        <v>Egyéb dologi kiadások</v>
      </c>
      <c r="F140" s="1069" t="str">
        <f>+'ÖNK.-Dologi (alábontás)nemrésze'!B124</f>
        <v>Egyéb adók, díjak</v>
      </c>
      <c r="G140" s="1070" t="s">
        <v>3478</v>
      </c>
      <c r="H140" s="1019">
        <f>339100</f>
        <v>339100</v>
      </c>
      <c r="I140" s="19"/>
      <c r="J140" s="19"/>
      <c r="K140" s="23"/>
      <c r="L140" s="11"/>
    </row>
    <row r="141" spans="1:12" s="18" customFormat="1" ht="41.25" customHeight="1">
      <c r="A141" s="3542" t="s">
        <v>4036</v>
      </c>
      <c r="B141" s="3543"/>
      <c r="C141" s="1070" t="s">
        <v>3257</v>
      </c>
      <c r="D141" s="1019">
        <v>10966519</v>
      </c>
      <c r="E141" s="3542" t="s">
        <v>2602</v>
      </c>
      <c r="F141" s="3543"/>
      <c r="G141" s="1070" t="s">
        <v>3873</v>
      </c>
      <c r="H141" s="1019">
        <v>10966519</v>
      </c>
      <c r="I141" s="19"/>
      <c r="J141" s="19"/>
      <c r="K141" s="23"/>
      <c r="L141" s="11"/>
    </row>
    <row r="142" spans="1:12" s="18" customFormat="1" ht="18.75">
      <c r="A142" s="1069" t="s">
        <v>4033</v>
      </c>
      <c r="B142" s="1069" t="s">
        <v>4035</v>
      </c>
      <c r="C142" s="1070" t="s">
        <v>3873</v>
      </c>
      <c r="D142" s="1019">
        <v>51232129</v>
      </c>
      <c r="E142" s="1069" t="s">
        <v>4032</v>
      </c>
      <c r="F142" s="1069" t="s">
        <v>4033</v>
      </c>
      <c r="G142" s="1070" t="s">
        <v>3254</v>
      </c>
      <c r="H142" s="1019">
        <v>51232129</v>
      </c>
      <c r="I142" s="17"/>
      <c r="J142" s="2204"/>
      <c r="K142" s="23"/>
      <c r="L142" s="11"/>
    </row>
    <row r="143" spans="1:12" s="18" customFormat="1" ht="37.5">
      <c r="A143" s="1069" t="s">
        <v>4034</v>
      </c>
      <c r="B143" s="1069" t="s">
        <v>4035</v>
      </c>
      <c r="C143" s="1070" t="s">
        <v>3873</v>
      </c>
      <c r="D143" s="1019">
        <v>7512385</v>
      </c>
      <c r="E143" s="1069" t="s">
        <v>4032</v>
      </c>
      <c r="F143" s="1069" t="s">
        <v>4034</v>
      </c>
      <c r="G143" s="1070" t="s">
        <v>3254</v>
      </c>
      <c r="H143" s="1019">
        <v>7512385</v>
      </c>
      <c r="I143" s="17"/>
      <c r="J143" s="1071"/>
      <c r="K143" s="23"/>
      <c r="L143" s="11"/>
    </row>
    <row r="144" spans="1:12" s="18" customFormat="1" ht="18.75" hidden="1">
      <c r="A144" s="1069"/>
      <c r="B144" s="1069"/>
      <c r="C144" s="1070"/>
      <c r="D144" s="1019"/>
      <c r="E144" s="1069"/>
      <c r="F144" s="1069"/>
      <c r="G144" s="1070"/>
      <c r="H144" s="1019"/>
      <c r="I144" s="17"/>
      <c r="J144" s="1071"/>
      <c r="K144" s="23"/>
      <c r="L144" s="11"/>
    </row>
    <row r="145" spans="1:12" s="18" customFormat="1" ht="18.75" hidden="1">
      <c r="A145" s="1069"/>
      <c r="B145" s="1069"/>
      <c r="C145" s="1070"/>
      <c r="D145" s="1019"/>
      <c r="E145" s="1069"/>
      <c r="F145" s="1069"/>
      <c r="G145" s="1070"/>
      <c r="H145" s="1019"/>
      <c r="I145" s="17"/>
      <c r="J145" s="1071"/>
      <c r="K145" s="23"/>
      <c r="L145" s="11"/>
    </row>
    <row r="146" spans="1:12" s="18" customFormat="1" ht="18.75" hidden="1">
      <c r="A146" s="1069"/>
      <c r="B146" s="1069"/>
      <c r="C146" s="1070"/>
      <c r="D146" s="1019"/>
      <c r="E146" s="1069"/>
      <c r="F146" s="1069"/>
      <c r="G146" s="1070"/>
      <c r="H146" s="1019"/>
      <c r="I146" s="17"/>
      <c r="J146" s="22"/>
      <c r="K146" s="23"/>
      <c r="L146" s="11"/>
    </row>
    <row r="147" spans="1:12" s="18" customFormat="1" ht="9.75" hidden="1" customHeight="1">
      <c r="A147" s="1196"/>
      <c r="B147" s="1196"/>
      <c r="C147" s="1197"/>
      <c r="D147" s="1198"/>
      <c r="E147" s="1196"/>
      <c r="F147" s="1196"/>
      <c r="G147" s="1197"/>
      <c r="H147" s="1198"/>
      <c r="J147" s="22"/>
      <c r="K147" s="23"/>
      <c r="L147" s="11"/>
    </row>
    <row r="148" spans="1:12" s="1786" customFormat="1" ht="18.75" hidden="1">
      <c r="A148" s="2227"/>
      <c r="B148" s="2227"/>
      <c r="C148" s="1070"/>
      <c r="D148" s="2228"/>
      <c r="E148" s="2227"/>
      <c r="F148" s="2227"/>
      <c r="G148" s="1070"/>
      <c r="H148" s="2228"/>
      <c r="J148" s="2229"/>
      <c r="K148" s="2230"/>
      <c r="L148" s="291"/>
    </row>
    <row r="149" spans="1:12" s="1786" customFormat="1" ht="18.75" hidden="1">
      <c r="A149" s="2231"/>
      <c r="B149" s="2231"/>
      <c r="C149" s="2232"/>
      <c r="D149" s="2233"/>
      <c r="E149" s="2231"/>
      <c r="F149" s="2231"/>
      <c r="G149" s="2232"/>
      <c r="H149" s="2233"/>
      <c r="J149" s="2229"/>
      <c r="K149" s="2230"/>
      <c r="L149" s="291"/>
    </row>
    <row r="150" spans="1:12" s="18" customFormat="1" ht="24" hidden="1" customHeight="1">
      <c r="A150" s="1069"/>
      <c r="B150" s="1069"/>
      <c r="C150" s="1070"/>
      <c r="D150" s="1019"/>
      <c r="E150" s="1069"/>
      <c r="F150" s="1069"/>
      <c r="G150" s="1070"/>
      <c r="H150" s="1019"/>
      <c r="J150" s="22"/>
      <c r="K150" s="23"/>
      <c r="L150" s="11"/>
    </row>
    <row r="151" spans="1:12" s="18" customFormat="1" ht="18.75" hidden="1">
      <c r="A151" s="1069"/>
      <c r="B151" s="1069"/>
      <c r="C151" s="2195"/>
      <c r="D151" s="1019"/>
      <c r="E151" s="1069"/>
      <c r="F151" s="1069"/>
      <c r="G151" s="2195"/>
      <c r="H151" s="1019"/>
      <c r="J151" s="22"/>
      <c r="K151" s="23"/>
      <c r="L151" s="11"/>
    </row>
    <row r="152" spans="1:12" s="18" customFormat="1" ht="18.75" hidden="1">
      <c r="A152" s="1069"/>
      <c r="B152" s="1069"/>
      <c r="C152" s="1070"/>
      <c r="D152" s="1019"/>
      <c r="E152" s="1069"/>
      <c r="F152" s="1069"/>
      <c r="G152" s="1070"/>
      <c r="H152" s="1019"/>
      <c r="J152" s="22"/>
      <c r="K152" s="23"/>
      <c r="L152" s="11"/>
    </row>
    <row r="153" spans="1:12" s="18" customFormat="1" ht="18.75" hidden="1">
      <c r="A153" s="1069"/>
      <c r="B153" s="1069"/>
      <c r="C153" s="1070"/>
      <c r="D153" s="1019"/>
      <c r="E153" s="1069"/>
      <c r="F153" s="1069"/>
      <c r="G153" s="1070"/>
      <c r="H153" s="1019"/>
      <c r="J153" s="22"/>
      <c r="K153" s="23"/>
      <c r="L153" s="11"/>
    </row>
    <row r="154" spans="1:12" s="18" customFormat="1" ht="18.75" hidden="1">
      <c r="A154" s="1069"/>
      <c r="B154" s="1069"/>
      <c r="C154" s="1070"/>
      <c r="D154" s="1019"/>
      <c r="E154" s="1069"/>
      <c r="F154" s="1069"/>
      <c r="G154" s="1070"/>
      <c r="H154" s="1019"/>
      <c r="J154" s="22"/>
      <c r="K154" s="23"/>
      <c r="L154" s="11"/>
    </row>
    <row r="155" spans="1:12" s="18" customFormat="1" ht="18.75" hidden="1">
      <c r="A155" s="1069"/>
      <c r="B155" s="1069"/>
      <c r="C155" s="1070"/>
      <c r="D155" s="1019"/>
      <c r="E155" s="1069"/>
      <c r="F155" s="1069"/>
      <c r="G155" s="1070"/>
      <c r="H155" s="1019"/>
      <c r="J155" s="22"/>
      <c r="K155" s="23"/>
      <c r="L155" s="11"/>
    </row>
    <row r="156" spans="1:12" s="18" customFormat="1" ht="18.75" hidden="1">
      <c r="A156" s="1069"/>
      <c r="B156" s="1069"/>
      <c r="C156" s="1070"/>
      <c r="D156" s="1019"/>
      <c r="E156" s="1069"/>
      <c r="F156" s="1069"/>
      <c r="G156" s="1070"/>
      <c r="H156" s="1019"/>
      <c r="J156" s="22"/>
      <c r="K156" s="23"/>
      <c r="L156" s="11"/>
    </row>
    <row r="157" spans="1:12" s="18" customFormat="1" ht="18.75" hidden="1">
      <c r="A157" s="1069"/>
      <c r="B157" s="1069"/>
      <c r="C157" s="1070"/>
      <c r="D157" s="1019"/>
      <c r="E157" s="1069"/>
      <c r="F157" s="1069"/>
      <c r="G157" s="1070"/>
      <c r="H157" s="1019"/>
      <c r="J157" s="22"/>
      <c r="K157" s="23"/>
      <c r="L157" s="11"/>
    </row>
    <row r="158" spans="1:12" s="18" customFormat="1" ht="18.75" hidden="1">
      <c r="A158" s="1069"/>
      <c r="B158" s="1069"/>
      <c r="C158" s="1070"/>
      <c r="D158" s="1019"/>
      <c r="E158" s="1069"/>
      <c r="F158" s="1069"/>
      <c r="G158" s="1070"/>
      <c r="H158" s="1019"/>
      <c r="J158" s="22"/>
      <c r="K158" s="23"/>
      <c r="L158" s="11"/>
    </row>
    <row r="159" spans="1:12" s="18" customFormat="1" ht="18.75" hidden="1">
      <c r="A159" s="1069"/>
      <c r="B159" s="1069"/>
      <c r="C159" s="1070"/>
      <c r="D159" s="1019"/>
      <c r="E159" s="1069"/>
      <c r="F159" s="1069"/>
      <c r="G159" s="1070"/>
      <c r="H159" s="1019"/>
      <c r="J159" s="22"/>
      <c r="K159" s="23"/>
      <c r="L159" s="11"/>
    </row>
    <row r="160" spans="1:12" s="18" customFormat="1" ht="18.75">
      <c r="A160" s="1247" t="s">
        <v>133</v>
      </c>
      <c r="B160" s="1247"/>
      <c r="C160" s="1248"/>
      <c r="D160" s="1249">
        <f>SUM(D58:D159)+D21</f>
        <v>743400609</v>
      </c>
      <c r="E160" s="1247" t="s">
        <v>133</v>
      </c>
      <c r="F160" s="1247"/>
      <c r="G160" s="1248"/>
      <c r="H160" s="1249">
        <f>SUM(H58:H159)+H21</f>
        <v>743400609</v>
      </c>
    </row>
    <row r="161" spans="1:8" s="18" customFormat="1" ht="18.75">
      <c r="A161" s="1020"/>
      <c r="B161" s="1020"/>
      <c r="C161" s="1233"/>
      <c r="D161" s="1020"/>
      <c r="E161" s="1020"/>
      <c r="F161" s="1020"/>
      <c r="G161" s="1233"/>
      <c r="H161" s="1019">
        <f>+D160-H160</f>
        <v>0</v>
      </c>
    </row>
    <row r="162" spans="1:8" s="18" customFormat="1" ht="27">
      <c r="A162" s="3035" t="s">
        <v>3516</v>
      </c>
      <c r="B162" s="1020"/>
      <c r="C162" s="1233"/>
      <c r="D162" s="1020"/>
      <c r="E162" s="1020"/>
      <c r="F162" s="1020"/>
      <c r="G162" s="1233"/>
      <c r="H162" s="1020"/>
    </row>
    <row r="169" spans="1:8" ht="20.25">
      <c r="A169" s="1666"/>
    </row>
    <row r="170" spans="1:8" ht="20.25">
      <c r="A170" s="1666"/>
    </row>
    <row r="171" spans="1:8" ht="20.25">
      <c r="A171" s="1666"/>
    </row>
  </sheetData>
  <sheetProtection selectLockedCells="1" selectUnlockedCells="1"/>
  <mergeCells count="12">
    <mergeCell ref="E141:F141"/>
    <mergeCell ref="A141:B141"/>
    <mergeCell ref="A33:B33"/>
    <mergeCell ref="E33:F33"/>
    <mergeCell ref="A41:H41"/>
    <mergeCell ref="A57:H57"/>
    <mergeCell ref="A32:H32"/>
    <mergeCell ref="A1:H1"/>
    <mergeCell ref="A4:D4"/>
    <mergeCell ref="E4:H4"/>
    <mergeCell ref="A22:H22"/>
    <mergeCell ref="A23:B23"/>
  </mergeCells>
  <phoneticPr fontId="143" type="noConversion"/>
  <printOptions horizontalCentered="1"/>
  <pageMargins left="0.15748031496062992" right="0.11811023622047245" top="0.59055118110236227" bottom="0.43307086614173229" header="0.51181102362204722" footer="0.11811023622047245"/>
  <pageSetup paperSize="9" scale="53" firstPageNumber="0" fitToHeight="4" orientation="landscape" horizontalDpi="300" verticalDpi="300" r:id="rId1"/>
  <headerFooter alignWithMargins="0">
    <oddFooter>&amp;C&amp;14&amp;P/&amp;N</oddFooter>
  </headerFooter>
  <rowBreaks count="1" manualBreakCount="1">
    <brk id="56" max="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B0B6E-57AF-49F6-A944-0A1AB003328F}">
  <sheetPr>
    <tabColor indexed="60"/>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1.4257812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16384" width="8" style="396"/>
  </cols>
  <sheetData>
    <row r="1" spans="1:37" s="397" customFormat="1" ht="21" customHeight="1">
      <c r="A1" s="3667" t="s">
        <v>4274</v>
      </c>
      <c r="B1" s="3667"/>
      <c r="C1" s="3667"/>
      <c r="D1" s="3667"/>
      <c r="E1" s="3667"/>
      <c r="F1" s="3667"/>
      <c r="G1" s="3667"/>
      <c r="H1" s="3667"/>
      <c r="I1" s="3667"/>
      <c r="J1" s="3667"/>
      <c r="K1" s="3667"/>
      <c r="L1" s="3667"/>
      <c r="M1" s="3667"/>
      <c r="N1" s="3667"/>
      <c r="O1" s="3667"/>
      <c r="P1" s="3667"/>
      <c r="Q1" s="3667"/>
      <c r="R1" s="3667"/>
      <c r="S1" s="3667"/>
      <c r="T1" s="3667"/>
      <c r="U1" s="3667"/>
      <c r="V1" s="3667"/>
      <c r="W1" s="3667"/>
      <c r="X1" s="3667"/>
      <c r="Y1" s="3667"/>
      <c r="Z1" s="3667"/>
      <c r="AA1" s="3667"/>
      <c r="AB1" s="3667"/>
      <c r="AC1" s="3667"/>
      <c r="AD1" s="3667"/>
      <c r="AE1" s="3667"/>
      <c r="AF1" s="3667"/>
      <c r="AG1" s="3667"/>
      <c r="AH1" s="3667"/>
      <c r="AI1" s="3667"/>
    </row>
    <row r="2" spans="1:37" s="398" customFormat="1" ht="20.25" customHeight="1">
      <c r="A2" s="3661" t="s">
        <v>3422</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2"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22">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AC8" si="0">SUM(D9:D19)</f>
        <v>40222060</v>
      </c>
      <c r="E8" s="2715">
        <f t="shared" si="0"/>
        <v>49388537</v>
      </c>
      <c r="F8" s="1213">
        <f t="shared" si="0"/>
        <v>42437268</v>
      </c>
      <c r="G8" s="1213">
        <f t="shared" si="0"/>
        <v>43748129</v>
      </c>
      <c r="H8" s="1213">
        <f t="shared" si="0"/>
        <v>47738323</v>
      </c>
      <c r="I8" s="1213">
        <f t="shared" si="0"/>
        <v>52176191</v>
      </c>
      <c r="J8" s="1213">
        <f t="shared" si="0"/>
        <v>52176191</v>
      </c>
      <c r="K8" s="3208">
        <f t="shared" si="0"/>
        <v>52176191</v>
      </c>
      <c r="L8" s="1213">
        <f t="shared" si="0"/>
        <v>0</v>
      </c>
      <c r="M8" s="1213">
        <f t="shared" si="0"/>
        <v>0</v>
      </c>
      <c r="N8" s="1213">
        <f t="shared" si="0"/>
        <v>0</v>
      </c>
      <c r="O8" s="1213">
        <f t="shared" si="0"/>
        <v>0</v>
      </c>
      <c r="P8" s="1213">
        <f t="shared" si="0"/>
        <v>0</v>
      </c>
      <c r="Q8" s="1213">
        <f t="shared" si="0"/>
        <v>0</v>
      </c>
      <c r="R8" s="1213">
        <f t="shared" si="0"/>
        <v>42437268</v>
      </c>
      <c r="S8" s="1213">
        <f t="shared" si="0"/>
        <v>43748129</v>
      </c>
      <c r="T8" s="1213">
        <f t="shared" si="0"/>
        <v>47738323</v>
      </c>
      <c r="U8" s="1213">
        <f t="shared" si="0"/>
        <v>52176191</v>
      </c>
      <c r="V8" s="1213">
        <f t="shared" si="0"/>
        <v>52176191</v>
      </c>
      <c r="W8" s="1213">
        <f t="shared" si="0"/>
        <v>52176191</v>
      </c>
      <c r="X8" s="1213">
        <f t="shared" si="0"/>
        <v>0</v>
      </c>
      <c r="Y8" s="1213">
        <f t="shared" si="0"/>
        <v>0</v>
      </c>
      <c r="Z8" s="1213">
        <f t="shared" si="0"/>
        <v>0</v>
      </c>
      <c r="AA8" s="1213">
        <f t="shared" si="0"/>
        <v>0</v>
      </c>
      <c r="AB8" s="1213">
        <f t="shared" si="0"/>
        <v>0</v>
      </c>
      <c r="AC8" s="1213">
        <f t="shared" si="0"/>
        <v>0</v>
      </c>
      <c r="AD8" s="1284"/>
      <c r="AE8" s="1213">
        <f t="shared" ref="AE8:AE56" si="1">+G8-F8</f>
        <v>1310861</v>
      </c>
      <c r="AF8" s="1213">
        <f t="shared" ref="AF8:AF55" si="2">+H8-G8</f>
        <v>3990194</v>
      </c>
      <c r="AG8" s="1213">
        <f t="shared" ref="AG8:AG55" si="3">+I8-H8</f>
        <v>4437868</v>
      </c>
      <c r="AH8" s="2919">
        <f t="shared" ref="AH8:AH55" si="4">+J8-I8</f>
        <v>0</v>
      </c>
      <c r="AI8" s="1829">
        <f>+K8/I8</f>
        <v>1</v>
      </c>
      <c r="AJ8" s="417">
        <f>+F8-D8</f>
        <v>2215208</v>
      </c>
      <c r="AK8" s="412"/>
    </row>
    <row r="9" spans="1:37" s="416" customFormat="1" ht="15">
      <c r="A9" s="2933"/>
      <c r="B9" s="1285" t="s">
        <v>176</v>
      </c>
      <c r="C9" s="1286" t="s">
        <v>226</v>
      </c>
      <c r="D9" s="1287">
        <v>0</v>
      </c>
      <c r="E9" s="2716">
        <v>0</v>
      </c>
      <c r="F9" s="1287">
        <v>0</v>
      </c>
      <c r="G9" s="1287">
        <f t="shared" ref="G9:G16" si="5">+F9</f>
        <v>0</v>
      </c>
      <c r="H9" s="1287">
        <f t="shared" ref="H9:H19" si="6">+G9</f>
        <v>0</v>
      </c>
      <c r="I9" s="1287">
        <f t="shared" ref="I9:I17" si="7">+H9</f>
        <v>0</v>
      </c>
      <c r="J9" s="1287">
        <f t="shared" ref="J9:J19" si="8">+I9</f>
        <v>0</v>
      </c>
      <c r="K9" s="3219">
        <v>0</v>
      </c>
      <c r="L9" s="1287">
        <v>0</v>
      </c>
      <c r="M9" s="1287">
        <f t="shared" ref="M9:M17" si="9">+L9</f>
        <v>0</v>
      </c>
      <c r="N9" s="1287">
        <f t="shared" ref="N9:N19" si="10">+M9</f>
        <v>0</v>
      </c>
      <c r="O9" s="1287">
        <f t="shared" ref="O9:O17" si="11">+N9</f>
        <v>0</v>
      </c>
      <c r="P9" s="1287">
        <f t="shared" ref="P9:P17" si="12">+O9</f>
        <v>0</v>
      </c>
      <c r="Q9" s="1287">
        <v>0</v>
      </c>
      <c r="R9" s="1287">
        <v>0</v>
      </c>
      <c r="S9" s="1287">
        <f t="shared" ref="S9:S16" si="13">+R9</f>
        <v>0</v>
      </c>
      <c r="T9" s="1287">
        <f t="shared" ref="T9:T19" si="14">+S9</f>
        <v>0</v>
      </c>
      <c r="U9" s="1287">
        <f t="shared" ref="U9:U17" si="15">+T9</f>
        <v>0</v>
      </c>
      <c r="V9" s="1287">
        <f t="shared" ref="V9:V17" si="16">+U9</f>
        <v>0</v>
      </c>
      <c r="W9" s="1287">
        <f>+K9</f>
        <v>0</v>
      </c>
      <c r="X9" s="1287"/>
      <c r="Y9" s="1287">
        <f t="shared" ref="Y9:Y17" si="17">+X9</f>
        <v>0</v>
      </c>
      <c r="Z9" s="1287">
        <f t="shared" ref="Z9:Z17" si="18">+Y9</f>
        <v>0</v>
      </c>
      <c r="AA9" s="1287">
        <f t="shared" ref="AA9:AA17" si="19">+Z9</f>
        <v>0</v>
      </c>
      <c r="AB9" s="1287">
        <f t="shared" ref="AB9:AB17" si="20">+AA9</f>
        <v>0</v>
      </c>
      <c r="AC9" s="1287">
        <f t="shared" ref="AC9:AC17" si="21">+AB9</f>
        <v>0</v>
      </c>
      <c r="AD9" s="1284"/>
      <c r="AE9" s="1213">
        <f t="shared" si="1"/>
        <v>0</v>
      </c>
      <c r="AF9" s="1213">
        <f t="shared" si="2"/>
        <v>0</v>
      </c>
      <c r="AG9" s="1213">
        <f t="shared" si="3"/>
        <v>0</v>
      </c>
      <c r="AH9" s="2919">
        <f t="shared" si="4"/>
        <v>0</v>
      </c>
      <c r="AI9" s="1834"/>
      <c r="AJ9" s="417">
        <f t="shared" ref="AJ9:AJ37" si="22">+F9-D9</f>
        <v>0</v>
      </c>
      <c r="AK9" s="420"/>
    </row>
    <row r="10" spans="1:37" s="416" customFormat="1" ht="15">
      <c r="A10" s="2933"/>
      <c r="B10" s="1285" t="s">
        <v>178</v>
      </c>
      <c r="C10" s="1286" t="s">
        <v>228</v>
      </c>
      <c r="D10" s="1287">
        <v>3546237</v>
      </c>
      <c r="E10" s="2716">
        <v>2702225</v>
      </c>
      <c r="F10" s="1287">
        <v>3539915</v>
      </c>
      <c r="G10" s="1287">
        <f t="shared" si="5"/>
        <v>3539915</v>
      </c>
      <c r="H10" s="1287">
        <f t="shared" si="6"/>
        <v>3539915</v>
      </c>
      <c r="I10" s="1287">
        <f>+H10-540201</f>
        <v>2999714</v>
      </c>
      <c r="J10" s="1287">
        <f t="shared" si="8"/>
        <v>2999714</v>
      </c>
      <c r="K10" s="3219">
        <v>2999714</v>
      </c>
      <c r="L10" s="1287">
        <v>0</v>
      </c>
      <c r="M10" s="1287">
        <f t="shared" si="9"/>
        <v>0</v>
      </c>
      <c r="N10" s="1287">
        <f t="shared" si="10"/>
        <v>0</v>
      </c>
      <c r="O10" s="1287">
        <f t="shared" si="11"/>
        <v>0</v>
      </c>
      <c r="P10" s="1287">
        <f t="shared" si="12"/>
        <v>0</v>
      </c>
      <c r="Q10" s="1287">
        <v>0</v>
      </c>
      <c r="R10" s="1287">
        <f>+F10</f>
        <v>3539915</v>
      </c>
      <c r="S10" s="1287">
        <f t="shared" si="13"/>
        <v>3539915</v>
      </c>
      <c r="T10" s="1287">
        <f t="shared" si="14"/>
        <v>3539915</v>
      </c>
      <c r="U10" s="1287">
        <f>+T10-540201</f>
        <v>2999714</v>
      </c>
      <c r="V10" s="1287">
        <f t="shared" si="16"/>
        <v>2999714</v>
      </c>
      <c r="W10" s="1287">
        <f t="shared" ref="W10:W19" si="23">+K10</f>
        <v>2999714</v>
      </c>
      <c r="X10" s="1287"/>
      <c r="Y10" s="1287">
        <f t="shared" si="17"/>
        <v>0</v>
      </c>
      <c r="Z10" s="1287">
        <f t="shared" si="18"/>
        <v>0</v>
      </c>
      <c r="AA10" s="1287">
        <f t="shared" si="19"/>
        <v>0</v>
      </c>
      <c r="AB10" s="1287">
        <f t="shared" si="20"/>
        <v>0</v>
      </c>
      <c r="AC10" s="1287">
        <f t="shared" si="21"/>
        <v>0</v>
      </c>
      <c r="AD10" s="1284"/>
      <c r="AE10" s="1213">
        <f t="shared" si="1"/>
        <v>0</v>
      </c>
      <c r="AF10" s="1213">
        <f t="shared" si="2"/>
        <v>0</v>
      </c>
      <c r="AG10" s="1213">
        <f t="shared" si="3"/>
        <v>-540201</v>
      </c>
      <c r="AH10" s="2919">
        <f t="shared" si="4"/>
        <v>0</v>
      </c>
      <c r="AI10" s="1834">
        <f>+K10/I10</f>
        <v>1</v>
      </c>
      <c r="AJ10" s="417">
        <f t="shared" si="22"/>
        <v>-6322</v>
      </c>
      <c r="AK10" s="420"/>
    </row>
    <row r="11" spans="1:37" s="416" customFormat="1" ht="15">
      <c r="A11" s="2933"/>
      <c r="B11" s="1289" t="s">
        <v>179</v>
      </c>
      <c r="C11" s="1286" t="s">
        <v>460</v>
      </c>
      <c r="D11" s="1287">
        <v>0</v>
      </c>
      <c r="E11" s="2716">
        <v>0</v>
      </c>
      <c r="F11" s="1287">
        <v>0</v>
      </c>
      <c r="G11" s="1287">
        <f t="shared" si="5"/>
        <v>0</v>
      </c>
      <c r="H11" s="1287">
        <f t="shared" si="6"/>
        <v>0</v>
      </c>
      <c r="I11" s="1287">
        <f t="shared" si="7"/>
        <v>0</v>
      </c>
      <c r="J11" s="1287">
        <f t="shared" si="8"/>
        <v>0</v>
      </c>
      <c r="K11" s="3219">
        <v>0</v>
      </c>
      <c r="L11" s="1287">
        <v>0</v>
      </c>
      <c r="M11" s="1287">
        <f t="shared" si="9"/>
        <v>0</v>
      </c>
      <c r="N11" s="1287">
        <f t="shared" si="10"/>
        <v>0</v>
      </c>
      <c r="O11" s="1287">
        <f t="shared" si="11"/>
        <v>0</v>
      </c>
      <c r="P11" s="1287">
        <f t="shared" si="12"/>
        <v>0</v>
      </c>
      <c r="Q11" s="1287">
        <v>0</v>
      </c>
      <c r="R11" s="1287">
        <v>0</v>
      </c>
      <c r="S11" s="1287">
        <f t="shared" si="13"/>
        <v>0</v>
      </c>
      <c r="T11" s="1287">
        <f t="shared" si="14"/>
        <v>0</v>
      </c>
      <c r="U11" s="1287">
        <f t="shared" si="15"/>
        <v>0</v>
      </c>
      <c r="V11" s="1287">
        <f t="shared" si="16"/>
        <v>0</v>
      </c>
      <c r="W11" s="1287">
        <f t="shared" si="23"/>
        <v>0</v>
      </c>
      <c r="X11" s="1287"/>
      <c r="Y11" s="1287">
        <f t="shared" si="17"/>
        <v>0</v>
      </c>
      <c r="Z11" s="1287">
        <f t="shared" si="18"/>
        <v>0</v>
      </c>
      <c r="AA11" s="1287">
        <f t="shared" si="19"/>
        <v>0</v>
      </c>
      <c r="AB11" s="1287">
        <f t="shared" si="20"/>
        <v>0</v>
      </c>
      <c r="AC11" s="1287">
        <f t="shared" si="21"/>
        <v>0</v>
      </c>
      <c r="AD11" s="1284"/>
      <c r="AE11" s="1213">
        <f t="shared" si="1"/>
        <v>0</v>
      </c>
      <c r="AF11" s="1213">
        <f t="shared" si="2"/>
        <v>0</v>
      </c>
      <c r="AG11" s="1213">
        <f t="shared" si="3"/>
        <v>0</v>
      </c>
      <c r="AH11" s="2919">
        <f t="shared" si="4"/>
        <v>0</v>
      </c>
      <c r="AI11" s="1834"/>
      <c r="AJ11" s="417">
        <f t="shared" si="22"/>
        <v>0</v>
      </c>
      <c r="AK11" s="420"/>
    </row>
    <row r="12" spans="1:37" s="416" customFormat="1" ht="15">
      <c r="A12" s="2933"/>
      <c r="B12" s="1289" t="s">
        <v>180</v>
      </c>
      <c r="C12" s="1286" t="s">
        <v>232</v>
      </c>
      <c r="D12" s="1287">
        <v>0</v>
      </c>
      <c r="E12" s="2716">
        <v>0</v>
      </c>
      <c r="F12" s="1287">
        <v>0</v>
      </c>
      <c r="G12" s="1287">
        <f t="shared" si="5"/>
        <v>0</v>
      </c>
      <c r="H12" s="1287">
        <f t="shared" si="6"/>
        <v>0</v>
      </c>
      <c r="I12" s="1287">
        <f t="shared" si="7"/>
        <v>0</v>
      </c>
      <c r="J12" s="1287">
        <f t="shared" si="8"/>
        <v>0</v>
      </c>
      <c r="K12" s="3219">
        <v>0</v>
      </c>
      <c r="L12" s="1287">
        <v>0</v>
      </c>
      <c r="M12" s="1287">
        <f t="shared" si="9"/>
        <v>0</v>
      </c>
      <c r="N12" s="1287">
        <f t="shared" si="10"/>
        <v>0</v>
      </c>
      <c r="O12" s="1287">
        <f t="shared" si="11"/>
        <v>0</v>
      </c>
      <c r="P12" s="1287">
        <f t="shared" si="12"/>
        <v>0</v>
      </c>
      <c r="Q12" s="1287">
        <v>0</v>
      </c>
      <c r="R12" s="1287">
        <v>0</v>
      </c>
      <c r="S12" s="1287">
        <f t="shared" si="13"/>
        <v>0</v>
      </c>
      <c r="T12" s="1287">
        <f t="shared" si="14"/>
        <v>0</v>
      </c>
      <c r="U12" s="1287">
        <f t="shared" si="15"/>
        <v>0</v>
      </c>
      <c r="V12" s="1287">
        <f t="shared" si="16"/>
        <v>0</v>
      </c>
      <c r="W12" s="1287">
        <f t="shared" si="23"/>
        <v>0</v>
      </c>
      <c r="X12" s="1287"/>
      <c r="Y12" s="1287">
        <f t="shared" si="17"/>
        <v>0</v>
      </c>
      <c r="Z12" s="1287">
        <f t="shared" si="18"/>
        <v>0</v>
      </c>
      <c r="AA12" s="1287">
        <f t="shared" si="19"/>
        <v>0</v>
      </c>
      <c r="AB12" s="1287">
        <f t="shared" si="20"/>
        <v>0</v>
      </c>
      <c r="AC12" s="1287">
        <f t="shared" si="21"/>
        <v>0</v>
      </c>
      <c r="AD12" s="1284"/>
      <c r="AE12" s="1213">
        <f t="shared" si="1"/>
        <v>0</v>
      </c>
      <c r="AF12" s="1213">
        <f t="shared" si="2"/>
        <v>0</v>
      </c>
      <c r="AG12" s="1213">
        <f t="shared" si="3"/>
        <v>0</v>
      </c>
      <c r="AH12" s="2919">
        <f t="shared" si="4"/>
        <v>0</v>
      </c>
      <c r="AI12" s="1834"/>
      <c r="AJ12" s="417">
        <f t="shared" si="22"/>
        <v>0</v>
      </c>
      <c r="AK12" s="420"/>
    </row>
    <row r="13" spans="1:37" s="416" customFormat="1" ht="15">
      <c r="A13" s="2933"/>
      <c r="B13" s="1289" t="s">
        <v>181</v>
      </c>
      <c r="C13" s="1286" t="s">
        <v>234</v>
      </c>
      <c r="D13" s="1287">
        <v>27165413</v>
      </c>
      <c r="E13" s="2716">
        <v>25476698</v>
      </c>
      <c r="F13" s="1287">
        <f>28311037-1</f>
        <v>28311036</v>
      </c>
      <c r="G13" s="1287">
        <f t="shared" si="5"/>
        <v>28311036</v>
      </c>
      <c r="H13" s="1287">
        <f t="shared" si="6"/>
        <v>28311036</v>
      </c>
      <c r="I13" s="1287">
        <f>+H13-1354128</f>
        <v>26956908</v>
      </c>
      <c r="J13" s="1287">
        <f t="shared" si="8"/>
        <v>26956908</v>
      </c>
      <c r="K13" s="3219">
        <v>26956908</v>
      </c>
      <c r="L13" s="1287">
        <v>0</v>
      </c>
      <c r="M13" s="1287">
        <f t="shared" si="9"/>
        <v>0</v>
      </c>
      <c r="N13" s="1287">
        <f t="shared" si="10"/>
        <v>0</v>
      </c>
      <c r="O13" s="1287">
        <f t="shared" si="11"/>
        <v>0</v>
      </c>
      <c r="P13" s="1287">
        <f t="shared" si="12"/>
        <v>0</v>
      </c>
      <c r="Q13" s="1287">
        <v>0</v>
      </c>
      <c r="R13" s="1287">
        <f>+F13</f>
        <v>28311036</v>
      </c>
      <c r="S13" s="1287">
        <f t="shared" si="13"/>
        <v>28311036</v>
      </c>
      <c r="T13" s="1287">
        <f t="shared" si="14"/>
        <v>28311036</v>
      </c>
      <c r="U13" s="1287">
        <f>+T13-1354128</f>
        <v>26956908</v>
      </c>
      <c r="V13" s="1287">
        <f t="shared" si="16"/>
        <v>26956908</v>
      </c>
      <c r="W13" s="1287">
        <f t="shared" si="23"/>
        <v>26956908</v>
      </c>
      <c r="X13" s="1287"/>
      <c r="Y13" s="1287">
        <f t="shared" si="17"/>
        <v>0</v>
      </c>
      <c r="Z13" s="1287">
        <f t="shared" si="18"/>
        <v>0</v>
      </c>
      <c r="AA13" s="1287">
        <f t="shared" si="19"/>
        <v>0</v>
      </c>
      <c r="AB13" s="1287">
        <f t="shared" si="20"/>
        <v>0</v>
      </c>
      <c r="AC13" s="1287">
        <f t="shared" si="21"/>
        <v>0</v>
      </c>
      <c r="AD13" s="1284"/>
      <c r="AE13" s="1213">
        <f t="shared" si="1"/>
        <v>0</v>
      </c>
      <c r="AF13" s="1213">
        <f t="shared" si="2"/>
        <v>0</v>
      </c>
      <c r="AG13" s="1213">
        <f t="shared" si="3"/>
        <v>-1354128</v>
      </c>
      <c r="AH13" s="2919">
        <f t="shared" si="4"/>
        <v>0</v>
      </c>
      <c r="AI13" s="1834">
        <f>+K13/I13</f>
        <v>1</v>
      </c>
      <c r="AJ13" s="417">
        <f t="shared" si="22"/>
        <v>1145623</v>
      </c>
      <c r="AK13" s="420"/>
    </row>
    <row r="14" spans="1:37" s="416" customFormat="1" ht="15">
      <c r="A14" s="2933"/>
      <c r="B14" s="1289" t="s">
        <v>183</v>
      </c>
      <c r="C14" s="1286" t="s">
        <v>887</v>
      </c>
      <c r="D14" s="1287">
        <v>8292146</v>
      </c>
      <c r="E14" s="2716">
        <v>7378821</v>
      </c>
      <c r="F14" s="1287">
        <v>8599757</v>
      </c>
      <c r="G14" s="1287">
        <f t="shared" si="5"/>
        <v>8599757</v>
      </c>
      <c r="H14" s="1287">
        <f t="shared" si="6"/>
        <v>8599757</v>
      </c>
      <c r="I14" s="1287">
        <f>+H14-880837</f>
        <v>7718920</v>
      </c>
      <c r="J14" s="1287">
        <f t="shared" si="8"/>
        <v>7718920</v>
      </c>
      <c r="K14" s="3219">
        <v>7718920</v>
      </c>
      <c r="L14" s="1287">
        <v>0</v>
      </c>
      <c r="M14" s="1287">
        <f t="shared" si="9"/>
        <v>0</v>
      </c>
      <c r="N14" s="1287">
        <f t="shared" si="10"/>
        <v>0</v>
      </c>
      <c r="O14" s="1287">
        <f t="shared" si="11"/>
        <v>0</v>
      </c>
      <c r="P14" s="1287">
        <f t="shared" si="12"/>
        <v>0</v>
      </c>
      <c r="Q14" s="1287">
        <v>0</v>
      </c>
      <c r="R14" s="1287">
        <f>+F14</f>
        <v>8599757</v>
      </c>
      <c r="S14" s="1287">
        <f t="shared" si="13"/>
        <v>8599757</v>
      </c>
      <c r="T14" s="1287">
        <f t="shared" si="14"/>
        <v>8599757</v>
      </c>
      <c r="U14" s="1287">
        <f>+T14-880837</f>
        <v>7718920</v>
      </c>
      <c r="V14" s="1287">
        <f t="shared" si="16"/>
        <v>7718920</v>
      </c>
      <c r="W14" s="1287">
        <f t="shared" si="23"/>
        <v>7718920</v>
      </c>
      <c r="X14" s="1287"/>
      <c r="Y14" s="1287">
        <f t="shared" si="17"/>
        <v>0</v>
      </c>
      <c r="Z14" s="1287">
        <f t="shared" si="18"/>
        <v>0</v>
      </c>
      <c r="AA14" s="1287">
        <f t="shared" si="19"/>
        <v>0</v>
      </c>
      <c r="AB14" s="1287">
        <f t="shared" si="20"/>
        <v>0</v>
      </c>
      <c r="AC14" s="1287">
        <f t="shared" si="21"/>
        <v>0</v>
      </c>
      <c r="AD14" s="1284"/>
      <c r="AE14" s="1213">
        <f t="shared" si="1"/>
        <v>0</v>
      </c>
      <c r="AF14" s="1213">
        <f t="shared" si="2"/>
        <v>0</v>
      </c>
      <c r="AG14" s="1213">
        <f t="shared" si="3"/>
        <v>-880837</v>
      </c>
      <c r="AH14" s="2919">
        <f t="shared" si="4"/>
        <v>0</v>
      </c>
      <c r="AI14" s="1834">
        <f>+K14/I14</f>
        <v>1</v>
      </c>
      <c r="AJ14" s="417">
        <f t="shared" si="22"/>
        <v>307611</v>
      </c>
      <c r="AK14" s="420"/>
    </row>
    <row r="15" spans="1:37" s="416" customFormat="1" ht="15">
      <c r="A15" s="2933"/>
      <c r="B15" s="1289" t="s">
        <v>321</v>
      </c>
      <c r="C15" s="1290" t="s">
        <v>238</v>
      </c>
      <c r="D15" s="1287">
        <v>0</v>
      </c>
      <c r="E15" s="2716">
        <v>10791473</v>
      </c>
      <c r="F15" s="1287">
        <v>0</v>
      </c>
      <c r="G15" s="1287">
        <f>+F15+1310861</f>
        <v>1310861</v>
      </c>
      <c r="H15" s="1287">
        <f>+G15+3990194</f>
        <v>5301055</v>
      </c>
      <c r="I15" s="1287">
        <f>+H15+1625841+4426753</f>
        <v>11353649</v>
      </c>
      <c r="J15" s="1287">
        <f t="shared" si="8"/>
        <v>11353649</v>
      </c>
      <c r="K15" s="3219">
        <v>11353649</v>
      </c>
      <c r="L15" s="1287">
        <v>0</v>
      </c>
      <c r="M15" s="1287">
        <f t="shared" si="9"/>
        <v>0</v>
      </c>
      <c r="N15" s="1287">
        <f t="shared" si="10"/>
        <v>0</v>
      </c>
      <c r="O15" s="1287">
        <f t="shared" si="11"/>
        <v>0</v>
      </c>
      <c r="P15" s="1287">
        <f t="shared" si="12"/>
        <v>0</v>
      </c>
      <c r="Q15" s="1287">
        <v>0</v>
      </c>
      <c r="R15" s="1287">
        <v>0</v>
      </c>
      <c r="S15" s="1287">
        <f>+R15+1310861</f>
        <v>1310861</v>
      </c>
      <c r="T15" s="1287">
        <f>+S15+3990194</f>
        <v>5301055</v>
      </c>
      <c r="U15" s="1287">
        <f>+T15+1625841+4426753</f>
        <v>11353649</v>
      </c>
      <c r="V15" s="1287">
        <f t="shared" si="16"/>
        <v>11353649</v>
      </c>
      <c r="W15" s="1287">
        <f t="shared" si="23"/>
        <v>11353649</v>
      </c>
      <c r="X15" s="1287"/>
      <c r="Y15" s="1287">
        <f t="shared" si="17"/>
        <v>0</v>
      </c>
      <c r="Z15" s="1287">
        <f t="shared" si="18"/>
        <v>0</v>
      </c>
      <c r="AA15" s="1287">
        <f t="shared" si="19"/>
        <v>0</v>
      </c>
      <c r="AB15" s="1287">
        <f t="shared" si="20"/>
        <v>0</v>
      </c>
      <c r="AC15" s="1287">
        <f t="shared" si="21"/>
        <v>0</v>
      </c>
      <c r="AD15" s="1665"/>
      <c r="AE15" s="1213">
        <f t="shared" si="1"/>
        <v>1310861</v>
      </c>
      <c r="AF15" s="1213">
        <f t="shared" si="2"/>
        <v>3990194</v>
      </c>
      <c r="AG15" s="1213">
        <f t="shared" si="3"/>
        <v>6052594</v>
      </c>
      <c r="AH15" s="2919">
        <f t="shared" si="4"/>
        <v>0</v>
      </c>
      <c r="AI15" s="1834">
        <f>+K15/I15</f>
        <v>1</v>
      </c>
      <c r="AJ15" s="417">
        <f t="shared" si="22"/>
        <v>0</v>
      </c>
      <c r="AK15" s="420"/>
    </row>
    <row r="16" spans="1:37" s="416" customFormat="1" ht="15">
      <c r="A16" s="2933"/>
      <c r="B16" s="1289" t="s">
        <v>323</v>
      </c>
      <c r="C16" s="1286" t="s">
        <v>1277</v>
      </c>
      <c r="D16" s="1287">
        <v>1218264</v>
      </c>
      <c r="E16" s="2716">
        <v>3013714</v>
      </c>
      <c r="F16" s="1287">
        <v>1986560</v>
      </c>
      <c r="G16" s="1287">
        <f t="shared" si="5"/>
        <v>1986560</v>
      </c>
      <c r="H16" s="1287">
        <f>+G16</f>
        <v>1986560</v>
      </c>
      <c r="I16" s="1287">
        <f>+H16-1224537</f>
        <v>762023</v>
      </c>
      <c r="J16" s="1287">
        <f t="shared" si="8"/>
        <v>762023</v>
      </c>
      <c r="K16" s="3219">
        <v>762023</v>
      </c>
      <c r="L16" s="1287">
        <v>0</v>
      </c>
      <c r="M16" s="1287">
        <f t="shared" si="9"/>
        <v>0</v>
      </c>
      <c r="N16" s="1287">
        <f t="shared" si="10"/>
        <v>0</v>
      </c>
      <c r="O16" s="1287">
        <f t="shared" si="11"/>
        <v>0</v>
      </c>
      <c r="P16" s="1287">
        <f t="shared" si="12"/>
        <v>0</v>
      </c>
      <c r="Q16" s="1287">
        <v>0</v>
      </c>
      <c r="R16" s="1287">
        <f>+F16</f>
        <v>1986560</v>
      </c>
      <c r="S16" s="1287">
        <f t="shared" si="13"/>
        <v>1986560</v>
      </c>
      <c r="T16" s="1287">
        <f>+S16</f>
        <v>1986560</v>
      </c>
      <c r="U16" s="1287">
        <f>+T16-1224537</f>
        <v>762023</v>
      </c>
      <c r="V16" s="1287">
        <f t="shared" si="16"/>
        <v>762023</v>
      </c>
      <c r="W16" s="1287">
        <f t="shared" si="23"/>
        <v>762023</v>
      </c>
      <c r="X16" s="1287"/>
      <c r="Y16" s="1287">
        <f t="shared" si="17"/>
        <v>0</v>
      </c>
      <c r="Z16" s="1287">
        <f t="shared" si="18"/>
        <v>0</v>
      </c>
      <c r="AA16" s="1287">
        <f t="shared" si="19"/>
        <v>0</v>
      </c>
      <c r="AB16" s="1287">
        <f t="shared" si="20"/>
        <v>0</v>
      </c>
      <c r="AC16" s="1287">
        <f t="shared" si="21"/>
        <v>0</v>
      </c>
      <c r="AD16" s="1284"/>
      <c r="AE16" s="1213">
        <f t="shared" si="1"/>
        <v>0</v>
      </c>
      <c r="AF16" s="1213">
        <f t="shared" si="2"/>
        <v>0</v>
      </c>
      <c r="AG16" s="1213">
        <f t="shared" si="3"/>
        <v>-1224537</v>
      </c>
      <c r="AH16" s="2919">
        <f t="shared" si="4"/>
        <v>0</v>
      </c>
      <c r="AI16" s="1834">
        <f>+K16/I16</f>
        <v>1</v>
      </c>
      <c r="AJ16" s="417">
        <f t="shared" si="22"/>
        <v>768296</v>
      </c>
      <c r="AK16" s="420"/>
    </row>
    <row r="17" spans="1:37" s="416" customFormat="1" ht="15">
      <c r="A17" s="2933"/>
      <c r="B17" s="1289" t="s">
        <v>325</v>
      </c>
      <c r="C17" s="1286" t="s">
        <v>242</v>
      </c>
      <c r="D17" s="1287">
        <v>0</v>
      </c>
      <c r="E17" s="2716">
        <v>0</v>
      </c>
      <c r="F17" s="1287">
        <v>0</v>
      </c>
      <c r="G17" s="1287">
        <f>+F17</f>
        <v>0</v>
      </c>
      <c r="H17" s="1287">
        <f t="shared" si="6"/>
        <v>0</v>
      </c>
      <c r="I17" s="1287">
        <f t="shared" si="7"/>
        <v>0</v>
      </c>
      <c r="J17" s="1287">
        <f t="shared" si="8"/>
        <v>0</v>
      </c>
      <c r="K17" s="3219">
        <v>0</v>
      </c>
      <c r="L17" s="1287">
        <v>0</v>
      </c>
      <c r="M17" s="1287">
        <f t="shared" si="9"/>
        <v>0</v>
      </c>
      <c r="N17" s="1287">
        <f t="shared" si="10"/>
        <v>0</v>
      </c>
      <c r="O17" s="1287">
        <f t="shared" si="11"/>
        <v>0</v>
      </c>
      <c r="P17" s="1287">
        <f t="shared" si="12"/>
        <v>0</v>
      </c>
      <c r="Q17" s="1287">
        <v>0</v>
      </c>
      <c r="R17" s="1287">
        <v>0</v>
      </c>
      <c r="S17" s="1287">
        <f>+R17</f>
        <v>0</v>
      </c>
      <c r="T17" s="1287">
        <f t="shared" si="14"/>
        <v>0</v>
      </c>
      <c r="U17" s="1287">
        <f t="shared" si="15"/>
        <v>0</v>
      </c>
      <c r="V17" s="1287">
        <f t="shared" si="16"/>
        <v>0</v>
      </c>
      <c r="W17" s="1287">
        <f t="shared" si="23"/>
        <v>0</v>
      </c>
      <c r="X17" s="1287"/>
      <c r="Y17" s="1287">
        <f t="shared" si="17"/>
        <v>0</v>
      </c>
      <c r="Z17" s="1287">
        <f t="shared" si="18"/>
        <v>0</v>
      </c>
      <c r="AA17" s="1287">
        <f t="shared" si="19"/>
        <v>0</v>
      </c>
      <c r="AB17" s="1287">
        <f t="shared" si="20"/>
        <v>0</v>
      </c>
      <c r="AC17" s="1287">
        <f t="shared" si="21"/>
        <v>0</v>
      </c>
      <c r="AD17" s="1284"/>
      <c r="AE17" s="1213">
        <f t="shared" si="1"/>
        <v>0</v>
      </c>
      <c r="AF17" s="1213">
        <f t="shared" si="2"/>
        <v>0</v>
      </c>
      <c r="AG17" s="1213">
        <f t="shared" si="3"/>
        <v>0</v>
      </c>
      <c r="AH17" s="2919">
        <f t="shared" si="4"/>
        <v>0</v>
      </c>
      <c r="AI17" s="1834"/>
      <c r="AJ17" s="417">
        <f t="shared" si="22"/>
        <v>0</v>
      </c>
      <c r="AK17" s="420"/>
    </row>
    <row r="18" spans="1:37" s="416" customFormat="1" ht="15">
      <c r="A18" s="2933"/>
      <c r="B18" s="1289" t="s">
        <v>327</v>
      </c>
      <c r="C18" s="1286" t="s">
        <v>163</v>
      </c>
      <c r="D18" s="1287">
        <v>0</v>
      </c>
      <c r="E18" s="2716">
        <v>0</v>
      </c>
      <c r="F18" s="1287">
        <v>0</v>
      </c>
      <c r="G18" s="1287">
        <f>+F18</f>
        <v>0</v>
      </c>
      <c r="H18" s="1287">
        <f t="shared" si="6"/>
        <v>0</v>
      </c>
      <c r="I18" s="1287">
        <v>0</v>
      </c>
      <c r="J18" s="1287">
        <f t="shared" si="8"/>
        <v>0</v>
      </c>
      <c r="K18" s="3219">
        <v>0</v>
      </c>
      <c r="L18" s="1287">
        <v>0</v>
      </c>
      <c r="M18" s="1287">
        <v>0</v>
      </c>
      <c r="N18" s="1287">
        <f t="shared" si="10"/>
        <v>0</v>
      </c>
      <c r="O18" s="1287">
        <v>0</v>
      </c>
      <c r="P18" s="1287"/>
      <c r="Q18" s="1287">
        <v>0</v>
      </c>
      <c r="R18" s="1287">
        <v>0</v>
      </c>
      <c r="S18" s="1287">
        <f>+R18</f>
        <v>0</v>
      </c>
      <c r="T18" s="1287">
        <f t="shared" si="14"/>
        <v>0</v>
      </c>
      <c r="U18" s="1287">
        <v>0</v>
      </c>
      <c r="V18" s="1287"/>
      <c r="W18" s="1287">
        <f t="shared" si="23"/>
        <v>0</v>
      </c>
      <c r="X18" s="1287"/>
      <c r="Y18" s="1287"/>
      <c r="Z18" s="1287"/>
      <c r="AA18" s="1287"/>
      <c r="AB18" s="1287"/>
      <c r="AC18" s="1287"/>
      <c r="AD18" s="1284"/>
      <c r="AE18" s="1213">
        <f t="shared" si="1"/>
        <v>0</v>
      </c>
      <c r="AF18" s="1213">
        <f t="shared" si="2"/>
        <v>0</v>
      </c>
      <c r="AG18" s="1213">
        <f t="shared" si="3"/>
        <v>0</v>
      </c>
      <c r="AH18" s="2919">
        <f t="shared" si="4"/>
        <v>0</v>
      </c>
      <c r="AI18" s="1834"/>
      <c r="AJ18" s="417">
        <f t="shared" si="22"/>
        <v>0</v>
      </c>
      <c r="AK18" s="420"/>
    </row>
    <row r="19" spans="1:37" s="424" customFormat="1" ht="15">
      <c r="A19" s="2933"/>
      <c r="B19" s="1289" t="s">
        <v>329</v>
      </c>
      <c r="C19" s="1286" t="s">
        <v>162</v>
      </c>
      <c r="D19" s="1287">
        <v>0</v>
      </c>
      <c r="E19" s="2716">
        <v>25606</v>
      </c>
      <c r="F19" s="1287">
        <v>0</v>
      </c>
      <c r="G19" s="1287">
        <f>+F19</f>
        <v>0</v>
      </c>
      <c r="H19" s="1287">
        <f t="shared" si="6"/>
        <v>0</v>
      </c>
      <c r="I19" s="1287">
        <f>+H19+2384977</f>
        <v>2384977</v>
      </c>
      <c r="J19" s="1287">
        <f t="shared" si="8"/>
        <v>2384977</v>
      </c>
      <c r="K19" s="3219">
        <v>2384977</v>
      </c>
      <c r="L19" s="1287">
        <v>0</v>
      </c>
      <c r="M19" s="1287">
        <f>+L19</f>
        <v>0</v>
      </c>
      <c r="N19" s="1287">
        <f t="shared" si="10"/>
        <v>0</v>
      </c>
      <c r="O19" s="1287">
        <f>+N19</f>
        <v>0</v>
      </c>
      <c r="P19" s="1287">
        <f>+O19</f>
        <v>0</v>
      </c>
      <c r="Q19" s="1287">
        <v>0</v>
      </c>
      <c r="R19" s="1287">
        <v>0</v>
      </c>
      <c r="S19" s="1287">
        <f>+R19</f>
        <v>0</v>
      </c>
      <c r="T19" s="1287">
        <f t="shared" si="14"/>
        <v>0</v>
      </c>
      <c r="U19" s="1287">
        <f>+T19+2384977</f>
        <v>2384977</v>
      </c>
      <c r="V19" s="1287">
        <f>+U19</f>
        <v>2384977</v>
      </c>
      <c r="W19" s="1287">
        <f t="shared" si="23"/>
        <v>2384977</v>
      </c>
      <c r="X19" s="1287"/>
      <c r="Y19" s="1287">
        <f>+X19</f>
        <v>0</v>
      </c>
      <c r="Z19" s="1287">
        <f>+Y19</f>
        <v>0</v>
      </c>
      <c r="AA19" s="1287">
        <f>+Z19</f>
        <v>0</v>
      </c>
      <c r="AB19" s="1287">
        <f>+AA19</f>
        <v>0</v>
      </c>
      <c r="AC19" s="1287">
        <f>+AB19</f>
        <v>0</v>
      </c>
      <c r="AD19" s="1284"/>
      <c r="AE19" s="1213">
        <f t="shared" si="1"/>
        <v>0</v>
      </c>
      <c r="AF19" s="1213">
        <f t="shared" si="2"/>
        <v>0</v>
      </c>
      <c r="AG19" s="1213">
        <f t="shared" si="3"/>
        <v>2384977</v>
      </c>
      <c r="AH19" s="2919">
        <f t="shared" si="4"/>
        <v>0</v>
      </c>
      <c r="AI19" s="1834">
        <f>+K19/I19</f>
        <v>1</v>
      </c>
      <c r="AJ19" s="417">
        <f t="shared" si="22"/>
        <v>0</v>
      </c>
      <c r="AK19" s="420"/>
    </row>
    <row r="20" spans="1:37" s="424" customFormat="1" ht="15">
      <c r="A20" s="2934" t="s">
        <v>12</v>
      </c>
      <c r="B20" s="1282" t="s">
        <v>12</v>
      </c>
      <c r="C20" s="1283" t="s">
        <v>1278</v>
      </c>
      <c r="D20" s="1213">
        <f t="shared" ref="D20:AC20" si="24">SUM(D21:D22)</f>
        <v>0</v>
      </c>
      <c r="E20" s="2715">
        <f t="shared" si="24"/>
        <v>0</v>
      </c>
      <c r="F20" s="1213">
        <f t="shared" si="24"/>
        <v>0</v>
      </c>
      <c r="G20" s="1213">
        <f t="shared" si="24"/>
        <v>0</v>
      </c>
      <c r="H20" s="1213">
        <f t="shared" si="24"/>
        <v>0</v>
      </c>
      <c r="I20" s="1213">
        <f t="shared" si="24"/>
        <v>0</v>
      </c>
      <c r="J20" s="1213">
        <f t="shared" si="24"/>
        <v>0</v>
      </c>
      <c r="K20" s="3208">
        <f>SUM(K21:K22)</f>
        <v>0</v>
      </c>
      <c r="L20" s="1213">
        <f t="shared" si="24"/>
        <v>0</v>
      </c>
      <c r="M20" s="1213">
        <f t="shared" si="24"/>
        <v>0</v>
      </c>
      <c r="N20" s="1213">
        <f t="shared" si="24"/>
        <v>0</v>
      </c>
      <c r="O20" s="1213">
        <f t="shared" si="24"/>
        <v>0</v>
      </c>
      <c r="P20" s="1213">
        <f t="shared" si="24"/>
        <v>0</v>
      </c>
      <c r="Q20" s="1213">
        <f t="shared" si="24"/>
        <v>0</v>
      </c>
      <c r="R20" s="1213">
        <f t="shared" si="24"/>
        <v>0</v>
      </c>
      <c r="S20" s="1213">
        <f t="shared" si="24"/>
        <v>0</v>
      </c>
      <c r="T20" s="1213">
        <f t="shared" si="24"/>
        <v>0</v>
      </c>
      <c r="U20" s="1213">
        <f t="shared" si="24"/>
        <v>0</v>
      </c>
      <c r="V20" s="1213">
        <f t="shared" si="24"/>
        <v>0</v>
      </c>
      <c r="W20" s="1213">
        <f t="shared" si="24"/>
        <v>0</v>
      </c>
      <c r="X20" s="1213">
        <f t="shared" si="24"/>
        <v>0</v>
      </c>
      <c r="Y20" s="1213">
        <f t="shared" si="24"/>
        <v>0</v>
      </c>
      <c r="Z20" s="1213">
        <f t="shared" si="24"/>
        <v>0</v>
      </c>
      <c r="AA20" s="1213">
        <f t="shared" si="24"/>
        <v>0</v>
      </c>
      <c r="AB20" s="1213">
        <f t="shared" si="24"/>
        <v>0</v>
      </c>
      <c r="AC20" s="1213">
        <f t="shared" si="24"/>
        <v>0</v>
      </c>
      <c r="AD20" s="1284"/>
      <c r="AE20" s="1213">
        <f t="shared" si="1"/>
        <v>0</v>
      </c>
      <c r="AF20" s="1213">
        <f t="shared" si="2"/>
        <v>0</v>
      </c>
      <c r="AG20" s="1213">
        <f t="shared" si="3"/>
        <v>0</v>
      </c>
      <c r="AH20" s="2919">
        <f t="shared" si="4"/>
        <v>0</v>
      </c>
      <c r="AI20" s="1829"/>
      <c r="AJ20" s="417">
        <f t="shared" si="22"/>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3219"/>
      <c r="L21" s="1287">
        <v>0</v>
      </c>
      <c r="M21" s="1287">
        <f t="shared" ref="M21:P22" si="26">+L21</f>
        <v>0</v>
      </c>
      <c r="N21" s="1287">
        <f t="shared" si="26"/>
        <v>0</v>
      </c>
      <c r="O21" s="1287">
        <f t="shared" si="26"/>
        <v>0</v>
      </c>
      <c r="P21" s="1287">
        <f t="shared" si="26"/>
        <v>0</v>
      </c>
      <c r="Q21" s="1287">
        <v>0</v>
      </c>
      <c r="R21" s="1287">
        <v>0</v>
      </c>
      <c r="S21" s="1287">
        <f t="shared" ref="S21:V22" si="27">+R21</f>
        <v>0</v>
      </c>
      <c r="T21" s="1287">
        <f t="shared" si="27"/>
        <v>0</v>
      </c>
      <c r="U21" s="1287">
        <f t="shared" si="27"/>
        <v>0</v>
      </c>
      <c r="V21" s="1287">
        <f t="shared" si="27"/>
        <v>0</v>
      </c>
      <c r="W21" s="1287">
        <f>+K21</f>
        <v>0</v>
      </c>
      <c r="X21" s="1287"/>
      <c r="Y21" s="1287">
        <f t="shared" ref="Y21:AC22" si="28">+X21</f>
        <v>0</v>
      </c>
      <c r="Z21" s="1287">
        <f t="shared" si="28"/>
        <v>0</v>
      </c>
      <c r="AA21" s="1287">
        <f t="shared" si="28"/>
        <v>0</v>
      </c>
      <c r="AB21" s="1287">
        <f t="shared" si="28"/>
        <v>0</v>
      </c>
      <c r="AC21" s="1287">
        <f t="shared" si="28"/>
        <v>0</v>
      </c>
      <c r="AD21" s="1284"/>
      <c r="AE21" s="1213">
        <f t="shared" si="1"/>
        <v>0</v>
      </c>
      <c r="AF21" s="1213">
        <f t="shared" si="2"/>
        <v>0</v>
      </c>
      <c r="AG21" s="1213">
        <f t="shared" si="3"/>
        <v>0</v>
      </c>
      <c r="AH21" s="2919">
        <f t="shared" si="4"/>
        <v>0</v>
      </c>
      <c r="AI21" s="1834"/>
      <c r="AJ21" s="417">
        <f t="shared" si="22"/>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3219"/>
      <c r="L22" s="1287">
        <v>0</v>
      </c>
      <c r="M22" s="1287">
        <f t="shared" si="26"/>
        <v>0</v>
      </c>
      <c r="N22" s="1287">
        <f t="shared" si="26"/>
        <v>0</v>
      </c>
      <c r="O22" s="1287">
        <f t="shared" si="26"/>
        <v>0</v>
      </c>
      <c r="P22" s="1287">
        <f t="shared" si="26"/>
        <v>0</v>
      </c>
      <c r="Q22" s="1287">
        <v>0</v>
      </c>
      <c r="R22" s="1287">
        <v>0</v>
      </c>
      <c r="S22" s="1287">
        <f t="shared" si="27"/>
        <v>0</v>
      </c>
      <c r="T22" s="1287">
        <f t="shared" si="27"/>
        <v>0</v>
      </c>
      <c r="U22" s="1287">
        <f t="shared" si="27"/>
        <v>0</v>
      </c>
      <c r="V22" s="1287">
        <f t="shared" si="27"/>
        <v>0</v>
      </c>
      <c r="W22" s="1287">
        <f>+K22</f>
        <v>0</v>
      </c>
      <c r="X22" s="1287"/>
      <c r="Y22" s="1287">
        <f t="shared" si="28"/>
        <v>0</v>
      </c>
      <c r="Z22" s="1287">
        <f t="shared" si="28"/>
        <v>0</v>
      </c>
      <c r="AA22" s="1287">
        <f t="shared" si="28"/>
        <v>0</v>
      </c>
      <c r="AB22" s="1287">
        <f t="shared" si="28"/>
        <v>0</v>
      </c>
      <c r="AC22" s="1287">
        <f t="shared" si="28"/>
        <v>0</v>
      </c>
      <c r="AD22" s="1284"/>
      <c r="AE22" s="1213">
        <f t="shared" si="1"/>
        <v>0</v>
      </c>
      <c r="AF22" s="1213">
        <f t="shared" si="2"/>
        <v>0</v>
      </c>
      <c r="AG22" s="1213">
        <f t="shared" si="3"/>
        <v>0</v>
      </c>
      <c r="AH22" s="2919">
        <f t="shared" si="4"/>
        <v>0</v>
      </c>
      <c r="AI22" s="1834"/>
      <c r="AJ22" s="417">
        <f t="shared" si="22"/>
        <v>0</v>
      </c>
      <c r="AK22" s="420"/>
    </row>
    <row r="23" spans="1:37" s="416" customFormat="1" ht="21">
      <c r="A23" s="2934" t="s">
        <v>14</v>
      </c>
      <c r="B23" s="1282" t="s">
        <v>14</v>
      </c>
      <c r="C23" s="1283" t="s">
        <v>1279</v>
      </c>
      <c r="D23" s="1213">
        <f t="shared" ref="D23:AC23" si="29">D24+D25</f>
        <v>0</v>
      </c>
      <c r="E23" s="2715">
        <f t="shared" si="29"/>
        <v>0</v>
      </c>
      <c r="F23" s="1213">
        <f t="shared" si="29"/>
        <v>0</v>
      </c>
      <c r="G23" s="1213">
        <f t="shared" si="29"/>
        <v>0</v>
      </c>
      <c r="H23" s="1213">
        <f t="shared" si="29"/>
        <v>0</v>
      </c>
      <c r="I23" s="1213">
        <f t="shared" si="29"/>
        <v>0</v>
      </c>
      <c r="J23" s="1213">
        <f t="shared" si="29"/>
        <v>0</v>
      </c>
      <c r="K23" s="3208">
        <f t="shared" si="29"/>
        <v>0</v>
      </c>
      <c r="L23" s="1213">
        <f t="shared" si="29"/>
        <v>0</v>
      </c>
      <c r="M23" s="1213">
        <f t="shared" si="29"/>
        <v>0</v>
      </c>
      <c r="N23" s="1213">
        <f t="shared" si="29"/>
        <v>0</v>
      </c>
      <c r="O23" s="1213">
        <f t="shared" si="29"/>
        <v>0</v>
      </c>
      <c r="P23" s="1213">
        <f t="shared" si="29"/>
        <v>0</v>
      </c>
      <c r="Q23" s="1213">
        <f t="shared" si="29"/>
        <v>0</v>
      </c>
      <c r="R23" s="1213">
        <f t="shared" si="29"/>
        <v>0</v>
      </c>
      <c r="S23" s="1213">
        <f t="shared" si="29"/>
        <v>0</v>
      </c>
      <c r="T23" s="1213">
        <f t="shared" si="29"/>
        <v>0</v>
      </c>
      <c r="U23" s="1213">
        <f t="shared" si="29"/>
        <v>0</v>
      </c>
      <c r="V23" s="1213">
        <f t="shared" si="29"/>
        <v>0</v>
      </c>
      <c r="W23" s="1213">
        <f t="shared" si="29"/>
        <v>0</v>
      </c>
      <c r="X23" s="1213">
        <f t="shared" si="29"/>
        <v>0</v>
      </c>
      <c r="Y23" s="1213">
        <f t="shared" si="29"/>
        <v>0</v>
      </c>
      <c r="Z23" s="1213">
        <f t="shared" si="29"/>
        <v>0</v>
      </c>
      <c r="AA23" s="1213">
        <f t="shared" si="29"/>
        <v>0</v>
      </c>
      <c r="AB23" s="1213">
        <f t="shared" si="29"/>
        <v>0</v>
      </c>
      <c r="AC23" s="1213">
        <f t="shared" si="29"/>
        <v>0</v>
      </c>
      <c r="AD23" s="1284"/>
      <c r="AE23" s="1213">
        <f t="shared" si="1"/>
        <v>0</v>
      </c>
      <c r="AF23" s="1213">
        <f t="shared" si="2"/>
        <v>0</v>
      </c>
      <c r="AG23" s="1213">
        <f t="shared" si="3"/>
        <v>0</v>
      </c>
      <c r="AH23" s="2919">
        <f t="shared" si="4"/>
        <v>0</v>
      </c>
      <c r="AI23" s="1829"/>
      <c r="AJ23" s="417">
        <f t="shared" si="22"/>
        <v>0</v>
      </c>
      <c r="AK23" s="412"/>
    </row>
    <row r="24" spans="1:37" s="416" customFormat="1" ht="15">
      <c r="A24" s="2934"/>
      <c r="B24" s="1289" t="s">
        <v>198</v>
      </c>
      <c r="C24" s="1284" t="s">
        <v>186</v>
      </c>
      <c r="D24" s="1213">
        <v>0</v>
      </c>
      <c r="E24" s="2715">
        <v>0</v>
      </c>
      <c r="F24" s="1213">
        <v>0</v>
      </c>
      <c r="G24" s="1213">
        <f t="shared" ref="G24:G31" si="30">+F24</f>
        <v>0</v>
      </c>
      <c r="H24" s="1213">
        <f t="shared" ref="H24:H31" si="31">+G24</f>
        <v>0</v>
      </c>
      <c r="I24" s="1213">
        <f t="shared" ref="I24:I31" si="32">+H24</f>
        <v>0</v>
      </c>
      <c r="J24" s="1291">
        <f t="shared" ref="J24:J31" si="33">+I24</f>
        <v>0</v>
      </c>
      <c r="K24" s="3219">
        <f>0</f>
        <v>0</v>
      </c>
      <c r="L24" s="1213">
        <v>0</v>
      </c>
      <c r="M24" s="1213">
        <f t="shared" ref="M24:M31" si="34">+L24</f>
        <v>0</v>
      </c>
      <c r="N24" s="1213">
        <f t="shared" ref="N24:N31" si="35">+M24</f>
        <v>0</v>
      </c>
      <c r="O24" s="1213">
        <f t="shared" ref="O24:O31" si="36">+N24</f>
        <v>0</v>
      </c>
      <c r="P24" s="1213">
        <f t="shared" ref="P24:P31" si="37">+O24</f>
        <v>0</v>
      </c>
      <c r="Q24" s="1213">
        <v>0</v>
      </c>
      <c r="R24" s="1213">
        <v>0</v>
      </c>
      <c r="S24" s="1213">
        <f t="shared" ref="S24:S31" si="38">+R24</f>
        <v>0</v>
      </c>
      <c r="T24" s="1213">
        <f t="shared" ref="T24:T31" si="39">+S24</f>
        <v>0</v>
      </c>
      <c r="U24" s="1213">
        <f t="shared" ref="U24:V27" si="40">+T24</f>
        <v>0</v>
      </c>
      <c r="V24" s="1213">
        <f t="shared" si="40"/>
        <v>0</v>
      </c>
      <c r="W24" s="1291">
        <f t="shared" ref="W24:W31" si="41">+K24</f>
        <v>0</v>
      </c>
      <c r="X24" s="1213"/>
      <c r="Y24" s="1213">
        <f t="shared" ref="Y24:Y31" si="42">+X24</f>
        <v>0</v>
      </c>
      <c r="Z24" s="1213">
        <f t="shared" ref="Z24:Z31" si="43">+Y24</f>
        <v>0</v>
      </c>
      <c r="AA24" s="1213">
        <f t="shared" ref="AA24:AA31" si="44">+Z24</f>
        <v>0</v>
      </c>
      <c r="AB24" s="1213">
        <f t="shared" ref="AB24:AB31" si="45">+AA24</f>
        <v>0</v>
      </c>
      <c r="AC24" s="1213">
        <f t="shared" ref="AC24:AC31" si="46">+AB24</f>
        <v>0</v>
      </c>
      <c r="AD24" s="1284"/>
      <c r="AE24" s="1213">
        <f t="shared" si="1"/>
        <v>0</v>
      </c>
      <c r="AF24" s="1213">
        <f t="shared" si="2"/>
        <v>0</v>
      </c>
      <c r="AG24" s="1213">
        <f t="shared" si="3"/>
        <v>0</v>
      </c>
      <c r="AH24" s="2919">
        <f t="shared" si="4"/>
        <v>0</v>
      </c>
      <c r="AI24" s="1829"/>
      <c r="AJ24" s="417">
        <f t="shared" si="22"/>
        <v>0</v>
      </c>
      <c r="AK24" s="412"/>
    </row>
    <row r="25" spans="1:37" s="424" customFormat="1" ht="15">
      <c r="A25" s="2933"/>
      <c r="B25" s="1289" t="s">
        <v>200</v>
      </c>
      <c r="C25" s="1286" t="s">
        <v>148</v>
      </c>
      <c r="D25" s="1287">
        <v>0</v>
      </c>
      <c r="E25" s="2716">
        <v>0</v>
      </c>
      <c r="F25" s="1287">
        <v>0</v>
      </c>
      <c r="G25" s="1213">
        <f t="shared" si="30"/>
        <v>0</v>
      </c>
      <c r="H25" s="1291">
        <f t="shared" si="31"/>
        <v>0</v>
      </c>
      <c r="I25" s="1287">
        <f t="shared" si="32"/>
        <v>0</v>
      </c>
      <c r="J25" s="1291">
        <f t="shared" si="33"/>
        <v>0</v>
      </c>
      <c r="K25" s="3219">
        <v>0</v>
      </c>
      <c r="L25" s="1287">
        <v>0</v>
      </c>
      <c r="M25" s="1287">
        <f t="shared" si="34"/>
        <v>0</v>
      </c>
      <c r="N25" s="1287">
        <f t="shared" si="35"/>
        <v>0</v>
      </c>
      <c r="O25" s="1287">
        <f t="shared" si="36"/>
        <v>0</v>
      </c>
      <c r="P25" s="1287">
        <f t="shared" si="37"/>
        <v>0</v>
      </c>
      <c r="Q25" s="1287">
        <v>0</v>
      </c>
      <c r="R25" s="1287">
        <v>0</v>
      </c>
      <c r="S25" s="1287">
        <f t="shared" si="38"/>
        <v>0</v>
      </c>
      <c r="T25" s="1287">
        <f t="shared" si="39"/>
        <v>0</v>
      </c>
      <c r="U25" s="1287">
        <f t="shared" si="40"/>
        <v>0</v>
      </c>
      <c r="V25" s="1287">
        <f t="shared" si="40"/>
        <v>0</v>
      </c>
      <c r="W25" s="1291">
        <f t="shared" si="41"/>
        <v>0</v>
      </c>
      <c r="X25" s="1287"/>
      <c r="Y25" s="1287">
        <f t="shared" si="42"/>
        <v>0</v>
      </c>
      <c r="Z25" s="1287">
        <f t="shared" si="43"/>
        <v>0</v>
      </c>
      <c r="AA25" s="1287">
        <f t="shared" si="44"/>
        <v>0</v>
      </c>
      <c r="AB25" s="1287">
        <f t="shared" si="45"/>
        <v>0</v>
      </c>
      <c r="AC25" s="1287">
        <f t="shared" si="46"/>
        <v>0</v>
      </c>
      <c r="AD25" s="1284"/>
      <c r="AE25" s="1213">
        <f t="shared" si="1"/>
        <v>0</v>
      </c>
      <c r="AF25" s="1213">
        <f t="shared" si="2"/>
        <v>0</v>
      </c>
      <c r="AG25" s="1213">
        <f t="shared" si="3"/>
        <v>0</v>
      </c>
      <c r="AH25" s="2919">
        <f t="shared" si="4"/>
        <v>0</v>
      </c>
      <c r="AI25" s="1834"/>
      <c r="AJ25" s="417">
        <f t="shared" si="22"/>
        <v>0</v>
      </c>
      <c r="AK25" s="420"/>
    </row>
    <row r="26" spans="1:37" s="424" customFormat="1" ht="15">
      <c r="A26" s="2933"/>
      <c r="B26" s="1289" t="s">
        <v>202</v>
      </c>
      <c r="C26" s="1290" t="s">
        <v>1280</v>
      </c>
      <c r="D26" s="1287">
        <v>0</v>
      </c>
      <c r="E26" s="2716">
        <v>0</v>
      </c>
      <c r="F26" s="1287">
        <v>0</v>
      </c>
      <c r="G26" s="1213">
        <f t="shared" si="30"/>
        <v>0</v>
      </c>
      <c r="H26" s="1213">
        <f t="shared" si="31"/>
        <v>0</v>
      </c>
      <c r="I26" s="1287">
        <f t="shared" si="32"/>
        <v>0</v>
      </c>
      <c r="J26" s="1291">
        <f t="shared" si="33"/>
        <v>0</v>
      </c>
      <c r="K26" s="3219">
        <v>0</v>
      </c>
      <c r="L26" s="1287">
        <v>0</v>
      </c>
      <c r="M26" s="1287">
        <f t="shared" si="34"/>
        <v>0</v>
      </c>
      <c r="N26" s="1287">
        <f t="shared" si="35"/>
        <v>0</v>
      </c>
      <c r="O26" s="1287">
        <f t="shared" si="36"/>
        <v>0</v>
      </c>
      <c r="P26" s="1287">
        <f t="shared" si="37"/>
        <v>0</v>
      </c>
      <c r="Q26" s="1287">
        <v>0</v>
      </c>
      <c r="R26" s="1287">
        <v>0</v>
      </c>
      <c r="S26" s="1287">
        <f t="shared" si="38"/>
        <v>0</v>
      </c>
      <c r="T26" s="1287">
        <f t="shared" si="39"/>
        <v>0</v>
      </c>
      <c r="U26" s="1287">
        <f t="shared" si="40"/>
        <v>0</v>
      </c>
      <c r="V26" s="1287">
        <f t="shared" si="40"/>
        <v>0</v>
      </c>
      <c r="W26" s="1291">
        <f t="shared" si="41"/>
        <v>0</v>
      </c>
      <c r="X26" s="1287"/>
      <c r="Y26" s="1287">
        <f t="shared" si="42"/>
        <v>0</v>
      </c>
      <c r="Z26" s="1287">
        <f t="shared" si="43"/>
        <v>0</v>
      </c>
      <c r="AA26" s="1287">
        <f t="shared" si="44"/>
        <v>0</v>
      </c>
      <c r="AB26" s="1287">
        <f t="shared" si="45"/>
        <v>0</v>
      </c>
      <c r="AC26" s="1287">
        <f t="shared" si="46"/>
        <v>0</v>
      </c>
      <c r="AD26" s="1284"/>
      <c r="AE26" s="1213">
        <f t="shared" si="1"/>
        <v>0</v>
      </c>
      <c r="AF26" s="1213">
        <f t="shared" si="2"/>
        <v>0</v>
      </c>
      <c r="AG26" s="1213">
        <f t="shared" si="3"/>
        <v>0</v>
      </c>
      <c r="AH26" s="2919">
        <f t="shared" si="4"/>
        <v>0</v>
      </c>
      <c r="AI26" s="1834"/>
      <c r="AJ26" s="417">
        <f t="shared" si="22"/>
        <v>0</v>
      </c>
      <c r="AK26" s="420"/>
    </row>
    <row r="27" spans="1:37" s="424" customFormat="1" ht="15">
      <c r="A27" s="2934" t="s">
        <v>15</v>
      </c>
      <c r="B27" s="1282" t="s">
        <v>15</v>
      </c>
      <c r="C27" s="1292" t="s">
        <v>150</v>
      </c>
      <c r="D27" s="1293">
        <v>0</v>
      </c>
      <c r="E27" s="2718">
        <v>0</v>
      </c>
      <c r="F27" s="1293">
        <v>0</v>
      </c>
      <c r="G27" s="1293">
        <f t="shared" si="30"/>
        <v>0</v>
      </c>
      <c r="H27" s="1293">
        <f t="shared" si="31"/>
        <v>0</v>
      </c>
      <c r="I27" s="1293">
        <f t="shared" si="32"/>
        <v>0</v>
      </c>
      <c r="J27" s="1293">
        <f t="shared" si="33"/>
        <v>0</v>
      </c>
      <c r="K27" s="3219">
        <v>0</v>
      </c>
      <c r="L27" s="1293">
        <v>0</v>
      </c>
      <c r="M27" s="1293">
        <f t="shared" si="34"/>
        <v>0</v>
      </c>
      <c r="N27" s="1293">
        <f t="shared" si="35"/>
        <v>0</v>
      </c>
      <c r="O27" s="1293">
        <f t="shared" si="36"/>
        <v>0</v>
      </c>
      <c r="P27" s="1293">
        <f t="shared" si="37"/>
        <v>0</v>
      </c>
      <c r="Q27" s="1293">
        <v>0</v>
      </c>
      <c r="R27" s="1293">
        <v>0</v>
      </c>
      <c r="S27" s="1293">
        <f t="shared" si="38"/>
        <v>0</v>
      </c>
      <c r="T27" s="1293">
        <f t="shared" si="39"/>
        <v>0</v>
      </c>
      <c r="U27" s="1293">
        <f t="shared" si="40"/>
        <v>0</v>
      </c>
      <c r="V27" s="1293">
        <f t="shared" si="40"/>
        <v>0</v>
      </c>
      <c r="W27" s="1293">
        <f t="shared" si="41"/>
        <v>0</v>
      </c>
      <c r="X27" s="1293"/>
      <c r="Y27" s="1293">
        <f t="shared" si="42"/>
        <v>0</v>
      </c>
      <c r="Z27" s="1293">
        <f t="shared" si="43"/>
        <v>0</v>
      </c>
      <c r="AA27" s="1293">
        <f t="shared" si="44"/>
        <v>0</v>
      </c>
      <c r="AB27" s="1293">
        <f t="shared" si="45"/>
        <v>0</v>
      </c>
      <c r="AC27" s="1293">
        <f t="shared" si="46"/>
        <v>0</v>
      </c>
      <c r="AD27" s="1284"/>
      <c r="AE27" s="1213">
        <f t="shared" si="1"/>
        <v>0</v>
      </c>
      <c r="AF27" s="1213">
        <f t="shared" si="2"/>
        <v>0</v>
      </c>
      <c r="AG27" s="1213">
        <f t="shared" si="3"/>
        <v>0</v>
      </c>
      <c r="AH27" s="2919">
        <f t="shared" si="4"/>
        <v>0</v>
      </c>
      <c r="AI27" s="1834"/>
      <c r="AJ27" s="417">
        <f t="shared" si="22"/>
        <v>0</v>
      </c>
      <c r="AK27" s="427"/>
    </row>
    <row r="28" spans="1:37" s="424" customFormat="1" ht="15">
      <c r="A28" s="2933"/>
      <c r="B28" s="1289" t="s">
        <v>212</v>
      </c>
      <c r="C28" s="1290" t="s">
        <v>1280</v>
      </c>
      <c r="D28" s="1227">
        <v>0</v>
      </c>
      <c r="E28" s="2719">
        <v>0</v>
      </c>
      <c r="F28" s="1227">
        <v>0</v>
      </c>
      <c r="G28" s="1287">
        <f t="shared" si="30"/>
        <v>0</v>
      </c>
      <c r="H28" s="1287">
        <f t="shared" si="31"/>
        <v>0</v>
      </c>
      <c r="I28" s="1287">
        <f t="shared" si="32"/>
        <v>0</v>
      </c>
      <c r="J28" s="1287">
        <f t="shared" si="33"/>
        <v>0</v>
      </c>
      <c r="K28" s="3219">
        <v>0</v>
      </c>
      <c r="L28" s="1287">
        <v>0</v>
      </c>
      <c r="M28" s="1287">
        <f t="shared" si="34"/>
        <v>0</v>
      </c>
      <c r="N28" s="1287">
        <f t="shared" si="35"/>
        <v>0</v>
      </c>
      <c r="O28" s="1287">
        <f t="shared" si="36"/>
        <v>0</v>
      </c>
      <c r="P28" s="1287">
        <f t="shared" si="37"/>
        <v>0</v>
      </c>
      <c r="Q28" s="1287">
        <v>0</v>
      </c>
      <c r="R28" s="1287">
        <f>+P28</f>
        <v>0</v>
      </c>
      <c r="S28" s="1287">
        <f t="shared" si="38"/>
        <v>0</v>
      </c>
      <c r="T28" s="1287">
        <f t="shared" si="39"/>
        <v>0</v>
      </c>
      <c r="U28" s="1287">
        <v>0</v>
      </c>
      <c r="V28" s="1287"/>
      <c r="W28" s="1287">
        <f t="shared" si="41"/>
        <v>0</v>
      </c>
      <c r="X28" s="1287"/>
      <c r="Y28" s="1287">
        <f t="shared" si="42"/>
        <v>0</v>
      </c>
      <c r="Z28" s="1287">
        <f t="shared" si="43"/>
        <v>0</v>
      </c>
      <c r="AA28" s="1287">
        <f t="shared" si="44"/>
        <v>0</v>
      </c>
      <c r="AB28" s="1287">
        <f t="shared" si="45"/>
        <v>0</v>
      </c>
      <c r="AC28" s="1287">
        <f t="shared" si="46"/>
        <v>0</v>
      </c>
      <c r="AD28" s="1284"/>
      <c r="AE28" s="1213">
        <f t="shared" si="1"/>
        <v>0</v>
      </c>
      <c r="AF28" s="1213">
        <f t="shared" si="2"/>
        <v>0</v>
      </c>
      <c r="AG28" s="1213">
        <f t="shared" si="3"/>
        <v>0</v>
      </c>
      <c r="AH28" s="2919">
        <f t="shared" si="4"/>
        <v>0</v>
      </c>
      <c r="AI28" s="1834"/>
      <c r="AJ28" s="417">
        <f t="shared" si="22"/>
        <v>0</v>
      </c>
      <c r="AK28" s="430"/>
    </row>
    <row r="29" spans="1:37" s="424" customFormat="1" ht="15">
      <c r="A29" s="2934" t="s">
        <v>17</v>
      </c>
      <c r="B29" s="1474" t="s">
        <v>17</v>
      </c>
      <c r="C29" s="1292" t="s">
        <v>153</v>
      </c>
      <c r="D29" s="1213">
        <v>0</v>
      </c>
      <c r="E29" s="2715">
        <v>0</v>
      </c>
      <c r="F29" s="1213">
        <v>0</v>
      </c>
      <c r="G29" s="1213">
        <f t="shared" si="30"/>
        <v>0</v>
      </c>
      <c r="H29" s="1213">
        <f t="shared" si="31"/>
        <v>0</v>
      </c>
      <c r="I29" s="1213">
        <f t="shared" si="32"/>
        <v>0</v>
      </c>
      <c r="J29" s="1213">
        <f t="shared" si="33"/>
        <v>0</v>
      </c>
      <c r="K29" s="3219">
        <v>0</v>
      </c>
      <c r="L29" s="1213">
        <v>0</v>
      </c>
      <c r="M29" s="1213">
        <f t="shared" si="34"/>
        <v>0</v>
      </c>
      <c r="N29" s="1213">
        <f t="shared" si="35"/>
        <v>0</v>
      </c>
      <c r="O29" s="1213">
        <f t="shared" si="36"/>
        <v>0</v>
      </c>
      <c r="P29" s="1213">
        <f t="shared" si="37"/>
        <v>0</v>
      </c>
      <c r="Q29" s="1213">
        <v>0</v>
      </c>
      <c r="R29" s="1213">
        <v>0</v>
      </c>
      <c r="S29" s="1213">
        <f t="shared" si="38"/>
        <v>0</v>
      </c>
      <c r="T29" s="1213">
        <f t="shared" si="39"/>
        <v>0</v>
      </c>
      <c r="U29" s="1213">
        <f t="shared" ref="U29:V31" si="47">+T29</f>
        <v>0</v>
      </c>
      <c r="V29" s="1213">
        <f t="shared" si="47"/>
        <v>0</v>
      </c>
      <c r="W29" s="1213">
        <f t="shared" si="41"/>
        <v>0</v>
      </c>
      <c r="X29" s="1213"/>
      <c r="Y29" s="1213">
        <f t="shared" si="42"/>
        <v>0</v>
      </c>
      <c r="Z29" s="1213">
        <f t="shared" si="43"/>
        <v>0</v>
      </c>
      <c r="AA29" s="1213">
        <f t="shared" si="44"/>
        <v>0</v>
      </c>
      <c r="AB29" s="1213">
        <f t="shared" si="45"/>
        <v>0</v>
      </c>
      <c r="AC29" s="1213">
        <f t="shared" si="46"/>
        <v>0</v>
      </c>
      <c r="AD29" s="1284"/>
      <c r="AE29" s="1213">
        <f t="shared" si="1"/>
        <v>0</v>
      </c>
      <c r="AF29" s="1213">
        <f t="shared" si="2"/>
        <v>0</v>
      </c>
      <c r="AG29" s="1213">
        <f t="shared" si="3"/>
        <v>0</v>
      </c>
      <c r="AH29" s="2919">
        <f t="shared" si="4"/>
        <v>0</v>
      </c>
      <c r="AI29" s="1829"/>
      <c r="AJ29" s="417">
        <f t="shared" si="22"/>
        <v>0</v>
      </c>
      <c r="AK29" s="412"/>
    </row>
    <row r="30" spans="1:37" s="416" customFormat="1" ht="15">
      <c r="A30" s="2934" t="s">
        <v>19</v>
      </c>
      <c r="B30" s="1282" t="s">
        <v>19</v>
      </c>
      <c r="C30" s="1292" t="s">
        <v>1281</v>
      </c>
      <c r="D30" s="1293">
        <v>0</v>
      </c>
      <c r="E30" s="2718">
        <v>0</v>
      </c>
      <c r="F30" s="1293">
        <v>0</v>
      </c>
      <c r="G30" s="1293">
        <f t="shared" si="30"/>
        <v>0</v>
      </c>
      <c r="H30" s="1293">
        <f t="shared" si="31"/>
        <v>0</v>
      </c>
      <c r="I30" s="1293">
        <f t="shared" si="32"/>
        <v>0</v>
      </c>
      <c r="J30" s="1293">
        <f t="shared" si="33"/>
        <v>0</v>
      </c>
      <c r="K30" s="3219">
        <v>0</v>
      </c>
      <c r="L30" s="1293">
        <v>0</v>
      </c>
      <c r="M30" s="1293">
        <f t="shared" si="34"/>
        <v>0</v>
      </c>
      <c r="N30" s="1293">
        <f t="shared" si="35"/>
        <v>0</v>
      </c>
      <c r="O30" s="1293">
        <f t="shared" si="36"/>
        <v>0</v>
      </c>
      <c r="P30" s="1293">
        <f t="shared" si="37"/>
        <v>0</v>
      </c>
      <c r="Q30" s="1293">
        <v>0</v>
      </c>
      <c r="R30" s="1293">
        <v>0</v>
      </c>
      <c r="S30" s="1293">
        <f t="shared" si="38"/>
        <v>0</v>
      </c>
      <c r="T30" s="1293">
        <f t="shared" si="39"/>
        <v>0</v>
      </c>
      <c r="U30" s="1293">
        <f t="shared" si="47"/>
        <v>0</v>
      </c>
      <c r="V30" s="1293">
        <f t="shared" si="47"/>
        <v>0</v>
      </c>
      <c r="W30" s="1293">
        <f t="shared" si="41"/>
        <v>0</v>
      </c>
      <c r="X30" s="1293"/>
      <c r="Y30" s="1293">
        <f t="shared" si="42"/>
        <v>0</v>
      </c>
      <c r="Z30" s="1293">
        <f t="shared" si="43"/>
        <v>0</v>
      </c>
      <c r="AA30" s="1293">
        <f t="shared" si="44"/>
        <v>0</v>
      </c>
      <c r="AB30" s="1293">
        <f t="shared" si="45"/>
        <v>0</v>
      </c>
      <c r="AC30" s="1293">
        <f t="shared" si="46"/>
        <v>0</v>
      </c>
      <c r="AD30" s="1284"/>
      <c r="AE30" s="1213">
        <f t="shared" si="1"/>
        <v>0</v>
      </c>
      <c r="AF30" s="1213">
        <f t="shared" si="2"/>
        <v>0</v>
      </c>
      <c r="AG30" s="1213">
        <f t="shared" si="3"/>
        <v>0</v>
      </c>
      <c r="AH30" s="2919">
        <f t="shared" si="4"/>
        <v>0</v>
      </c>
      <c r="AI30" s="1834"/>
      <c r="AJ30" s="417">
        <f t="shared" si="22"/>
        <v>0</v>
      </c>
      <c r="AK30" s="427"/>
    </row>
    <row r="31" spans="1:37" s="416" customFormat="1" ht="15">
      <c r="A31" s="2934" t="s">
        <v>21</v>
      </c>
      <c r="B31" s="1282" t="s">
        <v>21</v>
      </c>
      <c r="C31" s="1292" t="s">
        <v>393</v>
      </c>
      <c r="D31" s="1227">
        <v>0</v>
      </c>
      <c r="E31" s="2719">
        <v>0</v>
      </c>
      <c r="F31" s="1227">
        <v>0</v>
      </c>
      <c r="G31" s="1227">
        <f t="shared" si="30"/>
        <v>0</v>
      </c>
      <c r="H31" s="1227">
        <f t="shared" si="31"/>
        <v>0</v>
      </c>
      <c r="I31" s="1227">
        <f t="shared" si="32"/>
        <v>0</v>
      </c>
      <c r="J31" s="1227">
        <f t="shared" si="33"/>
        <v>0</v>
      </c>
      <c r="K31" s="3219">
        <v>0</v>
      </c>
      <c r="L31" s="1227">
        <v>0</v>
      </c>
      <c r="M31" s="1227">
        <f t="shared" si="34"/>
        <v>0</v>
      </c>
      <c r="N31" s="1227">
        <f t="shared" si="35"/>
        <v>0</v>
      </c>
      <c r="O31" s="1227">
        <f t="shared" si="36"/>
        <v>0</v>
      </c>
      <c r="P31" s="1227">
        <f t="shared" si="37"/>
        <v>0</v>
      </c>
      <c r="Q31" s="1227">
        <v>0</v>
      </c>
      <c r="R31" s="1227">
        <v>0</v>
      </c>
      <c r="S31" s="1227">
        <f t="shared" si="38"/>
        <v>0</v>
      </c>
      <c r="T31" s="1227">
        <f t="shared" si="39"/>
        <v>0</v>
      </c>
      <c r="U31" s="1227">
        <f t="shared" si="47"/>
        <v>0</v>
      </c>
      <c r="V31" s="1227">
        <f t="shared" si="47"/>
        <v>0</v>
      </c>
      <c r="W31" s="1227">
        <f t="shared" si="41"/>
        <v>0</v>
      </c>
      <c r="X31" s="1227"/>
      <c r="Y31" s="1227">
        <f t="shared" si="42"/>
        <v>0</v>
      </c>
      <c r="Z31" s="1227">
        <f t="shared" si="43"/>
        <v>0</v>
      </c>
      <c r="AA31" s="1227">
        <f t="shared" si="44"/>
        <v>0</v>
      </c>
      <c r="AB31" s="1227">
        <f t="shared" si="45"/>
        <v>0</v>
      </c>
      <c r="AC31" s="1227">
        <f t="shared" si="46"/>
        <v>0</v>
      </c>
      <c r="AD31" s="1284"/>
      <c r="AE31" s="1213">
        <f t="shared" si="1"/>
        <v>0</v>
      </c>
      <c r="AF31" s="1213">
        <f t="shared" si="2"/>
        <v>0</v>
      </c>
      <c r="AG31" s="1213">
        <f t="shared" si="3"/>
        <v>0</v>
      </c>
      <c r="AH31" s="2919">
        <f t="shared" si="4"/>
        <v>0</v>
      </c>
      <c r="AI31" s="1834"/>
      <c r="AJ31" s="417">
        <f t="shared" si="22"/>
        <v>0</v>
      </c>
      <c r="AK31" s="430"/>
    </row>
    <row r="32" spans="1:37" s="416" customFormat="1" ht="15">
      <c r="A32" s="2934" t="s">
        <v>23</v>
      </c>
      <c r="B32" s="1474" t="s">
        <v>23</v>
      </c>
      <c r="C32" s="1292" t="s">
        <v>1282</v>
      </c>
      <c r="D32" s="1213">
        <f t="shared" ref="D32:AC32" si="48">+D8+D20+D23+D27+D29+D30+D31</f>
        <v>40222060</v>
      </c>
      <c r="E32" s="2715">
        <f>+E8+E20+E23+E27+E29+E30+E31</f>
        <v>49388537</v>
      </c>
      <c r="F32" s="1213">
        <f t="shared" si="48"/>
        <v>42437268</v>
      </c>
      <c r="G32" s="1213">
        <f t="shared" si="48"/>
        <v>43748129</v>
      </c>
      <c r="H32" s="1213">
        <f t="shared" si="48"/>
        <v>47738323</v>
      </c>
      <c r="I32" s="1213">
        <f t="shared" si="48"/>
        <v>52176191</v>
      </c>
      <c r="J32" s="1213">
        <f t="shared" si="48"/>
        <v>52176191</v>
      </c>
      <c r="K32" s="3208">
        <f t="shared" si="48"/>
        <v>52176191</v>
      </c>
      <c r="L32" s="1213">
        <f t="shared" si="48"/>
        <v>0</v>
      </c>
      <c r="M32" s="1213">
        <f t="shared" si="48"/>
        <v>0</v>
      </c>
      <c r="N32" s="1213">
        <f t="shared" si="48"/>
        <v>0</v>
      </c>
      <c r="O32" s="1213">
        <f t="shared" si="48"/>
        <v>0</v>
      </c>
      <c r="P32" s="1213">
        <f t="shared" si="48"/>
        <v>0</v>
      </c>
      <c r="Q32" s="1213">
        <f t="shared" si="48"/>
        <v>0</v>
      </c>
      <c r="R32" s="1213">
        <f t="shared" si="48"/>
        <v>42437268</v>
      </c>
      <c r="S32" s="1213">
        <f t="shared" si="48"/>
        <v>43748129</v>
      </c>
      <c r="T32" s="1213">
        <f t="shared" si="48"/>
        <v>47738323</v>
      </c>
      <c r="U32" s="1213">
        <f t="shared" si="48"/>
        <v>52176191</v>
      </c>
      <c r="V32" s="1213">
        <f t="shared" si="48"/>
        <v>52176191</v>
      </c>
      <c r="W32" s="1213">
        <f t="shared" si="48"/>
        <v>52176191</v>
      </c>
      <c r="X32" s="1213">
        <f t="shared" si="48"/>
        <v>0</v>
      </c>
      <c r="Y32" s="1213">
        <f t="shared" si="48"/>
        <v>0</v>
      </c>
      <c r="Z32" s="1213">
        <f t="shared" si="48"/>
        <v>0</v>
      </c>
      <c r="AA32" s="1213">
        <f t="shared" si="48"/>
        <v>0</v>
      </c>
      <c r="AB32" s="1213">
        <f t="shared" si="48"/>
        <v>0</v>
      </c>
      <c r="AC32" s="1213">
        <f t="shared" si="48"/>
        <v>0</v>
      </c>
      <c r="AD32" s="1283"/>
      <c r="AE32" s="1213">
        <f t="shared" si="1"/>
        <v>1310861</v>
      </c>
      <c r="AF32" s="1213">
        <f t="shared" si="2"/>
        <v>3990194</v>
      </c>
      <c r="AG32" s="1213">
        <f t="shared" si="3"/>
        <v>4437868</v>
      </c>
      <c r="AH32" s="2919">
        <f t="shared" si="4"/>
        <v>0</v>
      </c>
      <c r="AI32" s="1829">
        <f>+K32/I32</f>
        <v>1</v>
      </c>
      <c r="AJ32" s="417">
        <f t="shared" si="22"/>
        <v>2215208</v>
      </c>
      <c r="AK32" s="412"/>
    </row>
    <row r="33" spans="1:38" s="424" customFormat="1" ht="15">
      <c r="A33" s="2975" t="s">
        <v>25</v>
      </c>
      <c r="B33" s="1282" t="s">
        <v>25</v>
      </c>
      <c r="C33" s="1292" t="s">
        <v>1305</v>
      </c>
      <c r="D33" s="1213">
        <f t="shared" ref="D33:AC33" si="49">SUM(D34:D36)</f>
        <v>996074076</v>
      </c>
      <c r="E33" s="2715">
        <f>SUM(E34:E36)</f>
        <v>1075027968</v>
      </c>
      <c r="F33" s="1213">
        <f t="shared" si="49"/>
        <v>1158688616</v>
      </c>
      <c r="G33" s="1213">
        <f t="shared" si="49"/>
        <v>1173301520</v>
      </c>
      <c r="H33" s="1213">
        <f t="shared" si="49"/>
        <v>1171884472</v>
      </c>
      <c r="I33" s="1213">
        <f t="shared" si="49"/>
        <v>1172830327</v>
      </c>
      <c r="J33" s="1213">
        <f t="shared" si="49"/>
        <v>1172830327</v>
      </c>
      <c r="K33" s="3208">
        <f>SUM(K34:K36)</f>
        <v>1118425685</v>
      </c>
      <c r="L33" s="1213">
        <f t="shared" si="49"/>
        <v>0</v>
      </c>
      <c r="M33" s="1213">
        <f t="shared" si="49"/>
        <v>0</v>
      </c>
      <c r="N33" s="1213">
        <f t="shared" si="49"/>
        <v>0</v>
      </c>
      <c r="O33" s="1213">
        <f t="shared" si="49"/>
        <v>0</v>
      </c>
      <c r="P33" s="1213">
        <f t="shared" si="49"/>
        <v>0</v>
      </c>
      <c r="Q33" s="1213">
        <f t="shared" si="49"/>
        <v>0</v>
      </c>
      <c r="R33" s="1213">
        <f t="shared" si="49"/>
        <v>1158688616</v>
      </c>
      <c r="S33" s="1213">
        <f t="shared" si="49"/>
        <v>1173301520</v>
      </c>
      <c r="T33" s="1213">
        <f t="shared" si="49"/>
        <v>1171884472</v>
      </c>
      <c r="U33" s="1213">
        <f t="shared" si="49"/>
        <v>1172830327</v>
      </c>
      <c r="V33" s="1213">
        <f t="shared" si="49"/>
        <v>1172830327</v>
      </c>
      <c r="W33" s="1213">
        <f t="shared" si="49"/>
        <v>1118425685</v>
      </c>
      <c r="X33" s="1213">
        <f t="shared" si="49"/>
        <v>0</v>
      </c>
      <c r="Y33" s="1213">
        <f t="shared" si="49"/>
        <v>0</v>
      </c>
      <c r="Z33" s="1213">
        <f t="shared" si="49"/>
        <v>0</v>
      </c>
      <c r="AA33" s="1213">
        <f t="shared" si="49"/>
        <v>0</v>
      </c>
      <c r="AB33" s="1213">
        <f t="shared" si="49"/>
        <v>0</v>
      </c>
      <c r="AC33" s="1213">
        <f t="shared" si="49"/>
        <v>0</v>
      </c>
      <c r="AD33" s="1284"/>
      <c r="AE33" s="1213">
        <f t="shared" si="1"/>
        <v>14612904</v>
      </c>
      <c r="AF33" s="1213">
        <f t="shared" si="2"/>
        <v>-1417048</v>
      </c>
      <c r="AG33" s="1213">
        <f t="shared" si="3"/>
        <v>945855</v>
      </c>
      <c r="AH33" s="2919">
        <f t="shared" si="4"/>
        <v>0</v>
      </c>
      <c r="AI33" s="1829">
        <f>+K33/I33</f>
        <v>0.95361252114006767</v>
      </c>
      <c r="AJ33" s="417">
        <f t="shared" si="22"/>
        <v>162614540</v>
      </c>
      <c r="AK33" s="412"/>
    </row>
    <row r="34" spans="1:38" s="424" customFormat="1" ht="15">
      <c r="A34" s="2975"/>
      <c r="B34" s="1477" t="s">
        <v>1284</v>
      </c>
      <c r="C34" s="1286" t="s">
        <v>1285</v>
      </c>
      <c r="D34" s="1291">
        <v>0</v>
      </c>
      <c r="E34" s="2717">
        <v>66238814</v>
      </c>
      <c r="F34" s="1291">
        <v>0</v>
      </c>
      <c r="G34" s="1227">
        <f>+F34+12795104</f>
        <v>12795104</v>
      </c>
      <c r="H34" s="1227">
        <f t="shared" ref="G34:J36" si="50">+G34</f>
        <v>12795104</v>
      </c>
      <c r="I34" s="1227">
        <f t="shared" si="50"/>
        <v>12795104</v>
      </c>
      <c r="J34" s="1227">
        <f t="shared" si="50"/>
        <v>12795104</v>
      </c>
      <c r="K34" s="3220">
        <v>12795104</v>
      </c>
      <c r="L34" s="1291">
        <v>0</v>
      </c>
      <c r="M34" s="1291">
        <f t="shared" ref="M34:P36" si="51">+L34</f>
        <v>0</v>
      </c>
      <c r="N34" s="1291">
        <f t="shared" si="51"/>
        <v>0</v>
      </c>
      <c r="O34" s="1291">
        <f t="shared" si="51"/>
        <v>0</v>
      </c>
      <c r="P34" s="1291">
        <f t="shared" si="51"/>
        <v>0</v>
      </c>
      <c r="Q34" s="1291">
        <v>0</v>
      </c>
      <c r="R34" s="1291">
        <v>0</v>
      </c>
      <c r="S34" s="1291">
        <f>+R34+12795104</f>
        <v>12795104</v>
      </c>
      <c r="T34" s="1291">
        <f t="shared" ref="S34:V36" si="52">+S34</f>
        <v>12795104</v>
      </c>
      <c r="U34" s="1291">
        <f t="shared" si="52"/>
        <v>12795104</v>
      </c>
      <c r="V34" s="1291">
        <f t="shared" si="52"/>
        <v>12795104</v>
      </c>
      <c r="W34" s="1291">
        <f>+K34</f>
        <v>12795104</v>
      </c>
      <c r="X34" s="1213"/>
      <c r="Y34" s="1213">
        <f t="shared" ref="Y34:AC36" si="53">+X34</f>
        <v>0</v>
      </c>
      <c r="Z34" s="1213">
        <f t="shared" si="53"/>
        <v>0</v>
      </c>
      <c r="AA34" s="1213">
        <f t="shared" si="53"/>
        <v>0</v>
      </c>
      <c r="AB34" s="1213">
        <f t="shared" si="53"/>
        <v>0</v>
      </c>
      <c r="AC34" s="1213">
        <f t="shared" si="53"/>
        <v>0</v>
      </c>
      <c r="AD34" s="2947"/>
      <c r="AE34" s="1213">
        <f t="shared" si="1"/>
        <v>12795104</v>
      </c>
      <c r="AF34" s="1213">
        <f t="shared" si="2"/>
        <v>0</v>
      </c>
      <c r="AG34" s="1213">
        <f t="shared" si="3"/>
        <v>0</v>
      </c>
      <c r="AH34" s="2919">
        <f t="shared" si="4"/>
        <v>0</v>
      </c>
      <c r="AI34" s="1834">
        <f>+K34/I34</f>
        <v>1</v>
      </c>
      <c r="AJ34" s="417">
        <f t="shared" si="22"/>
        <v>0</v>
      </c>
      <c r="AK34" s="548"/>
    </row>
    <row r="35" spans="1:38" s="424" customFormat="1" ht="15">
      <c r="A35" s="2933"/>
      <c r="B35" s="1477" t="s">
        <v>1286</v>
      </c>
      <c r="C35" s="1286" t="s">
        <v>1287</v>
      </c>
      <c r="D35" s="1227">
        <v>0</v>
      </c>
      <c r="E35" s="2719">
        <v>0</v>
      </c>
      <c r="F35" s="1227">
        <v>0</v>
      </c>
      <c r="G35" s="1227">
        <f t="shared" si="50"/>
        <v>0</v>
      </c>
      <c r="H35" s="1227">
        <f t="shared" si="50"/>
        <v>0</v>
      </c>
      <c r="I35" s="1227">
        <f t="shared" si="50"/>
        <v>0</v>
      </c>
      <c r="J35" s="1227">
        <f t="shared" si="50"/>
        <v>0</v>
      </c>
      <c r="K35" s="3209">
        <v>0</v>
      </c>
      <c r="L35" s="1227">
        <v>0</v>
      </c>
      <c r="M35" s="1227">
        <f t="shared" si="51"/>
        <v>0</v>
      </c>
      <c r="N35" s="1227">
        <f t="shared" si="51"/>
        <v>0</v>
      </c>
      <c r="O35" s="1227">
        <f t="shared" si="51"/>
        <v>0</v>
      </c>
      <c r="P35" s="1227">
        <f t="shared" si="51"/>
        <v>0</v>
      </c>
      <c r="Q35" s="1227">
        <v>0</v>
      </c>
      <c r="R35" s="1291">
        <v>0</v>
      </c>
      <c r="S35" s="1291">
        <f t="shared" si="52"/>
        <v>0</v>
      </c>
      <c r="T35" s="1291">
        <f t="shared" si="52"/>
        <v>0</v>
      </c>
      <c r="U35" s="1291">
        <f t="shared" si="52"/>
        <v>0</v>
      </c>
      <c r="V35" s="1291">
        <f t="shared" si="52"/>
        <v>0</v>
      </c>
      <c r="W35" s="1291">
        <f>+K35</f>
        <v>0</v>
      </c>
      <c r="X35" s="1291">
        <f>+W35</f>
        <v>0</v>
      </c>
      <c r="Y35" s="1291">
        <f t="shared" si="53"/>
        <v>0</v>
      </c>
      <c r="Z35" s="1291">
        <f t="shared" si="53"/>
        <v>0</v>
      </c>
      <c r="AA35" s="1291">
        <f t="shared" si="53"/>
        <v>0</v>
      </c>
      <c r="AB35" s="1291">
        <f t="shared" si="53"/>
        <v>0</v>
      </c>
      <c r="AC35" s="1291">
        <f t="shared" si="53"/>
        <v>0</v>
      </c>
      <c r="AD35" s="1291"/>
      <c r="AE35" s="1213">
        <f t="shared" si="1"/>
        <v>0</v>
      </c>
      <c r="AF35" s="1213">
        <f t="shared" si="2"/>
        <v>0</v>
      </c>
      <c r="AG35" s="1213">
        <f t="shared" si="3"/>
        <v>0</v>
      </c>
      <c r="AH35" s="2919">
        <f t="shared" si="4"/>
        <v>0</v>
      </c>
      <c r="AI35" s="1834"/>
      <c r="AJ35" s="417">
        <f t="shared" si="22"/>
        <v>0</v>
      </c>
      <c r="AK35" s="430"/>
    </row>
    <row r="36" spans="1:38" s="424" customFormat="1" ht="15">
      <c r="A36" s="2976"/>
      <c r="B36" s="1477" t="s">
        <v>1288</v>
      </c>
      <c r="C36" s="1286" t="s">
        <v>1289</v>
      </c>
      <c r="D36" s="1227">
        <f>983011214+115654+12947208</f>
        <v>996074076</v>
      </c>
      <c r="E36" s="2719">
        <v>1008789154</v>
      </c>
      <c r="F36" s="1227">
        <v>1158688616</v>
      </c>
      <c r="G36" s="1227">
        <f>+F36+1524000+293800</f>
        <v>1160506416</v>
      </c>
      <c r="H36" s="1227">
        <f>+G36+9000*12+237300-1762348</f>
        <v>1159089368</v>
      </c>
      <c r="I36" s="1227">
        <f>+H36+237300+708555</f>
        <v>1160035223</v>
      </c>
      <c r="J36" s="1227">
        <f t="shared" si="50"/>
        <v>1160035223</v>
      </c>
      <c r="K36" s="3209">
        <v>1105630581</v>
      </c>
      <c r="L36" s="1227">
        <v>0</v>
      </c>
      <c r="M36" s="1227">
        <f t="shared" si="51"/>
        <v>0</v>
      </c>
      <c r="N36" s="1227">
        <f t="shared" si="51"/>
        <v>0</v>
      </c>
      <c r="O36" s="1227">
        <f t="shared" si="51"/>
        <v>0</v>
      </c>
      <c r="P36" s="1227">
        <f t="shared" si="51"/>
        <v>0</v>
      </c>
      <c r="Q36" s="1227">
        <v>0</v>
      </c>
      <c r="R36" s="1227">
        <f>+F36</f>
        <v>1158688616</v>
      </c>
      <c r="S36" s="1291">
        <f>+R36+1524000+293800</f>
        <v>1160506416</v>
      </c>
      <c r="T36" s="1291">
        <f>+S36+9000*12+237300-1762348</f>
        <v>1159089368</v>
      </c>
      <c r="U36" s="1291">
        <f>+T36+237300+708555</f>
        <v>1160035223</v>
      </c>
      <c r="V36" s="1291">
        <f t="shared" si="52"/>
        <v>1160035223</v>
      </c>
      <c r="W36" s="1291">
        <f>+K36</f>
        <v>1105630581</v>
      </c>
      <c r="X36" s="1227"/>
      <c r="Y36" s="1227">
        <f t="shared" si="53"/>
        <v>0</v>
      </c>
      <c r="Z36" s="1227">
        <f t="shared" si="53"/>
        <v>0</v>
      </c>
      <c r="AA36" s="1227">
        <f t="shared" si="53"/>
        <v>0</v>
      </c>
      <c r="AB36" s="1227">
        <f t="shared" si="53"/>
        <v>0</v>
      </c>
      <c r="AC36" s="1227">
        <f t="shared" si="53"/>
        <v>0</v>
      </c>
      <c r="AD36" s="1284"/>
      <c r="AE36" s="1213">
        <f t="shared" si="1"/>
        <v>1817800</v>
      </c>
      <c r="AF36" s="1213">
        <f t="shared" si="2"/>
        <v>-1417048</v>
      </c>
      <c r="AG36" s="1213">
        <f t="shared" si="3"/>
        <v>945855</v>
      </c>
      <c r="AH36" s="2919">
        <f t="shared" si="4"/>
        <v>0</v>
      </c>
      <c r="AI36" s="1834">
        <f>+K36/I36</f>
        <v>0.95310087062761539</v>
      </c>
      <c r="AJ36" s="417">
        <f t="shared" si="22"/>
        <v>162614540</v>
      </c>
      <c r="AK36" s="430"/>
    </row>
    <row r="37" spans="1:38" s="405" customFormat="1" ht="15.75">
      <c r="A37" s="2975" t="s">
        <v>27</v>
      </c>
      <c r="B37" s="1475" t="s">
        <v>27</v>
      </c>
      <c r="C37" s="1297" t="s">
        <v>1290</v>
      </c>
      <c r="D37" s="1298">
        <f t="shared" ref="D37:AC37" si="54">+D32+D33</f>
        <v>1036296136</v>
      </c>
      <c r="E37" s="2720">
        <f t="shared" si="54"/>
        <v>1124416505</v>
      </c>
      <c r="F37" s="1298">
        <f t="shared" si="54"/>
        <v>1201125884</v>
      </c>
      <c r="G37" s="1298">
        <f t="shared" si="54"/>
        <v>1217049649</v>
      </c>
      <c r="H37" s="1298">
        <f t="shared" si="54"/>
        <v>1219622795</v>
      </c>
      <c r="I37" s="1298">
        <f t="shared" si="54"/>
        <v>1225006518</v>
      </c>
      <c r="J37" s="1298">
        <f t="shared" si="54"/>
        <v>1225006518</v>
      </c>
      <c r="K37" s="3210">
        <f t="shared" si="54"/>
        <v>1170601876</v>
      </c>
      <c r="L37" s="1298">
        <f t="shared" si="54"/>
        <v>0</v>
      </c>
      <c r="M37" s="1298">
        <f t="shared" si="54"/>
        <v>0</v>
      </c>
      <c r="N37" s="1298">
        <f t="shared" si="54"/>
        <v>0</v>
      </c>
      <c r="O37" s="1298">
        <f t="shared" si="54"/>
        <v>0</v>
      </c>
      <c r="P37" s="1298">
        <f t="shared" si="54"/>
        <v>0</v>
      </c>
      <c r="Q37" s="1298">
        <f t="shared" si="54"/>
        <v>0</v>
      </c>
      <c r="R37" s="1298">
        <f t="shared" si="54"/>
        <v>1201125884</v>
      </c>
      <c r="S37" s="1298">
        <f t="shared" si="54"/>
        <v>1217049649</v>
      </c>
      <c r="T37" s="1298">
        <f t="shared" si="54"/>
        <v>1219622795</v>
      </c>
      <c r="U37" s="1298">
        <f t="shared" si="54"/>
        <v>1225006518</v>
      </c>
      <c r="V37" s="1298">
        <f t="shared" si="54"/>
        <v>1225006518</v>
      </c>
      <c r="W37" s="1298">
        <f t="shared" si="54"/>
        <v>1170601876</v>
      </c>
      <c r="X37" s="1298">
        <f t="shared" si="54"/>
        <v>0</v>
      </c>
      <c r="Y37" s="1298">
        <f t="shared" si="54"/>
        <v>0</v>
      </c>
      <c r="Z37" s="1298">
        <f t="shared" si="54"/>
        <v>0</v>
      </c>
      <c r="AA37" s="1298">
        <f t="shared" si="54"/>
        <v>0</v>
      </c>
      <c r="AB37" s="1298">
        <f t="shared" si="54"/>
        <v>0</v>
      </c>
      <c r="AC37" s="1298">
        <f t="shared" si="54"/>
        <v>0</v>
      </c>
      <c r="AD37" s="1284"/>
      <c r="AE37" s="1213">
        <f t="shared" si="1"/>
        <v>15923765</v>
      </c>
      <c r="AF37" s="1213">
        <f t="shared" si="2"/>
        <v>2573146</v>
      </c>
      <c r="AG37" s="1213">
        <f t="shared" si="3"/>
        <v>5383723</v>
      </c>
      <c r="AH37" s="2919">
        <f t="shared" si="4"/>
        <v>0</v>
      </c>
      <c r="AI37" s="1829">
        <f>+K37/I37</f>
        <v>0.95558828365352422</v>
      </c>
      <c r="AJ37" s="417">
        <f t="shared" si="22"/>
        <v>164829748</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58"/>
      <c r="AJ38" s="417"/>
      <c r="AK38" s="436"/>
    </row>
    <row r="39" spans="1:38" ht="15">
      <c r="A39" s="2932"/>
      <c r="B39" s="1285"/>
      <c r="C39" s="1548" t="str">
        <f t="shared" ref="C39:T40" si="55">+C4</f>
        <v>A</v>
      </c>
      <c r="D39" s="1549" t="str">
        <f t="shared" si="55"/>
        <v>B</v>
      </c>
      <c r="E39" s="2960" t="str">
        <f t="shared" si="55"/>
        <v>B</v>
      </c>
      <c r="F39" s="1345" t="str">
        <f t="shared" si="55"/>
        <v>B</v>
      </c>
      <c r="G39" s="1345" t="str">
        <f t="shared" si="55"/>
        <v>D</v>
      </c>
      <c r="H39" s="1345" t="str">
        <f t="shared" si="55"/>
        <v>E</v>
      </c>
      <c r="I39" s="1345" t="str">
        <f t="shared" si="55"/>
        <v>C</v>
      </c>
      <c r="J39" s="1345" t="str">
        <f t="shared" si="55"/>
        <v>F</v>
      </c>
      <c r="K39" s="1345" t="str">
        <f t="shared" si="55"/>
        <v>D</v>
      </c>
      <c r="L39" s="1345" t="str">
        <f t="shared" si="55"/>
        <v>E</v>
      </c>
      <c r="M39" s="1345" t="str">
        <f t="shared" si="55"/>
        <v>F</v>
      </c>
      <c r="N39" s="1345" t="str">
        <f t="shared" si="55"/>
        <v>F</v>
      </c>
      <c r="O39" s="1345" t="str">
        <f t="shared" si="55"/>
        <v>E</v>
      </c>
      <c r="P39" s="1345">
        <f t="shared" si="55"/>
        <v>0</v>
      </c>
      <c r="Q39" s="1345" t="str">
        <f t="shared" si="55"/>
        <v>F</v>
      </c>
      <c r="R39" s="1345" t="str">
        <f t="shared" si="55"/>
        <v>E</v>
      </c>
      <c r="S39" s="1345" t="str">
        <f t="shared" si="55"/>
        <v>E</v>
      </c>
      <c r="T39" s="1345" t="str">
        <f t="shared" si="55"/>
        <v>G</v>
      </c>
      <c r="U39" s="1345" t="str">
        <f>+U4</f>
        <v>G</v>
      </c>
      <c r="V39" s="1345">
        <f>+V4</f>
        <v>0</v>
      </c>
      <c r="W39" s="1345" t="str">
        <f>+W4</f>
        <v>H</v>
      </c>
      <c r="X39" s="2961"/>
      <c r="Y39" s="2961"/>
      <c r="Z39" s="2961"/>
      <c r="AA39" s="2961"/>
      <c r="AB39" s="2961"/>
      <c r="AC39" s="2961"/>
      <c r="AD39" s="2962"/>
      <c r="AE39" s="1213"/>
      <c r="AF39" s="1345" t="str">
        <f>+AF4</f>
        <v>H</v>
      </c>
      <c r="AG39" s="1301" t="str">
        <f>+AG4</f>
        <v>I</v>
      </c>
      <c r="AH39" s="1551"/>
      <c r="AI39" s="1845" t="str">
        <f>+AI4</f>
        <v>I</v>
      </c>
      <c r="AJ39" s="417"/>
      <c r="AK39" s="1549"/>
      <c r="AL39" s="439"/>
    </row>
    <row r="40" spans="1:38" ht="73.5">
      <c r="A40" s="2933"/>
      <c r="B40" s="1278" t="s">
        <v>6</v>
      </c>
      <c r="C40" s="1276" t="str">
        <f t="shared" si="55"/>
        <v>Kiemelt előirányzat, előirányzat megnevezése</v>
      </c>
      <c r="D40" s="1278" t="str">
        <f t="shared" si="55"/>
        <v>2024. évi eredeti előirányzat
forintban</v>
      </c>
      <c r="E40" s="2596" t="str">
        <f>+E5</f>
        <v>2024. évi teljesítés forintban</v>
      </c>
      <c r="F40" s="1276" t="str">
        <f t="shared" si="55"/>
        <v>2025. évi eredeti előirányzat forintban</v>
      </c>
      <c r="G40" s="1276" t="str">
        <f t="shared" ref="G40:AJ40" si="56">+G5</f>
        <v>2025. évi I. számú módosított előirányzat
forintban</v>
      </c>
      <c r="H40" s="1276" t="str">
        <f t="shared" si="56"/>
        <v>2025. évi II. számú módosított előirányzat forintban</v>
      </c>
      <c r="I40" s="1276" t="str">
        <f t="shared" si="56"/>
        <v>2025. évi III. számú módosított előirányzat forintban</v>
      </c>
      <c r="J40" s="1276" t="str">
        <f t="shared" si="56"/>
        <v>2025. évi IV. számú módosított előirányzat forintban</v>
      </c>
      <c r="K40" s="3197" t="str">
        <f t="shared" si="56"/>
        <v>2025. évi
teljesítés forintban</v>
      </c>
      <c r="L40" s="1276" t="str">
        <f t="shared" si="56"/>
        <v>Önként vállalt feladat forintban</v>
      </c>
      <c r="M40" s="1276" t="str">
        <f t="shared" si="56"/>
        <v>Önként vállalt feladat I. módosítás
forintban</v>
      </c>
      <c r="N40" s="1276" t="str">
        <f t="shared" si="56"/>
        <v>Önként vállalt feladat II. módosítás forintban</v>
      </c>
      <c r="O40" s="1276" t="str">
        <f t="shared" si="56"/>
        <v>Önként vállalt feladat III. módosítás forintban</v>
      </c>
      <c r="P40" s="1276" t="str">
        <f t="shared" si="56"/>
        <v>Önként vállalt feladat IV. módosítás  forintban</v>
      </c>
      <c r="Q40" s="1276" t="str">
        <f t="shared" si="56"/>
        <v>Önként vállalt teljesítés  forintban</v>
      </c>
      <c r="R40" s="1276" t="str">
        <f t="shared" si="56"/>
        <v>Kötelező feladat forintban</v>
      </c>
      <c r="S40" s="1276" t="str">
        <f t="shared" si="56"/>
        <v>Kötelező feladat 
I. módosítás
forintban</v>
      </c>
      <c r="T40" s="1276" t="str">
        <f t="shared" si="56"/>
        <v>Kötelező feladat II. módosítás forintban</v>
      </c>
      <c r="U40" s="1276" t="str">
        <f t="shared" si="56"/>
        <v>Kötelező feladat III. módosítás  forintban</v>
      </c>
      <c r="V40" s="1278" t="str">
        <f t="shared" si="56"/>
        <v>Kötelező feladat IV. módosítás  forintban</v>
      </c>
      <c r="W40" s="1278" t="str">
        <f t="shared" si="56"/>
        <v>Kötelező teljesítés  forintban</v>
      </c>
      <c r="X40" s="1278">
        <f t="shared" si="56"/>
        <v>0</v>
      </c>
      <c r="Y40" s="1278">
        <f t="shared" si="56"/>
        <v>0</v>
      </c>
      <c r="Z40" s="1278">
        <f t="shared" si="56"/>
        <v>0</v>
      </c>
      <c r="AA40" s="1278">
        <f t="shared" si="56"/>
        <v>0</v>
      </c>
      <c r="AB40" s="1278">
        <f t="shared" si="56"/>
        <v>0</v>
      </c>
      <c r="AC40" s="1278">
        <f t="shared" si="56"/>
        <v>0</v>
      </c>
      <c r="AD40" s="1278"/>
      <c r="AE40" s="1278" t="str">
        <f t="shared" si="56"/>
        <v>I. változás</v>
      </c>
      <c r="AF40" s="1278" t="str">
        <f t="shared" si="56"/>
        <v>Előirányzat-módosítások, előirányzat-átcsoportosítások összegszerű változásai</v>
      </c>
      <c r="AG40" s="2916" t="str">
        <f t="shared" si="56"/>
        <v>Előirányzat-módosítások, előirányzat-átcsoportosítások összegszerű változásai a III. módosításnál</v>
      </c>
      <c r="AH40" s="1854" t="str">
        <f t="shared" si="56"/>
        <v>IV. változás</v>
      </c>
      <c r="AI40" s="1825" t="str">
        <f t="shared" si="56"/>
        <v xml:space="preserve"> 2025. évi teljesítés / 2025. évi III. számú módosított előirányzat</v>
      </c>
      <c r="AJ40" s="1854" t="str">
        <f t="shared" si="56"/>
        <v>Változás Eredeti előző évhez 
Ft-ban</v>
      </c>
      <c r="AK40" s="2595"/>
      <c r="AL40" s="439"/>
    </row>
    <row r="41" spans="1:38" ht="15">
      <c r="A41" s="2934" t="s">
        <v>6</v>
      </c>
      <c r="B41" s="2946" t="s">
        <v>3353</v>
      </c>
      <c r="C41" s="1292" t="s">
        <v>1291</v>
      </c>
      <c r="D41" s="1213">
        <f t="shared" ref="D41:AC41" si="57">SUM(D42:D46)</f>
        <v>1034645136</v>
      </c>
      <c r="E41" s="2715">
        <f t="shared" si="57"/>
        <v>1105401430</v>
      </c>
      <c r="F41" s="1213">
        <f t="shared" si="57"/>
        <v>1199830484</v>
      </c>
      <c r="G41" s="1213">
        <f t="shared" si="57"/>
        <v>1215754249</v>
      </c>
      <c r="H41" s="1213">
        <f t="shared" si="57"/>
        <v>1218302525</v>
      </c>
      <c r="I41" s="1213">
        <f t="shared" si="57"/>
        <v>1222428465</v>
      </c>
      <c r="J41" s="1213">
        <f t="shared" si="57"/>
        <v>1222428465</v>
      </c>
      <c r="K41" s="3208">
        <f t="shared" si="57"/>
        <v>1132884490</v>
      </c>
      <c r="L41" s="1213">
        <f t="shared" si="57"/>
        <v>0</v>
      </c>
      <c r="M41" s="1213">
        <f t="shared" si="57"/>
        <v>0</v>
      </c>
      <c r="N41" s="1213">
        <f t="shared" si="57"/>
        <v>0</v>
      </c>
      <c r="O41" s="1213">
        <f t="shared" si="57"/>
        <v>0</v>
      </c>
      <c r="P41" s="1213">
        <f t="shared" si="57"/>
        <v>0</v>
      </c>
      <c r="Q41" s="1213">
        <f t="shared" si="57"/>
        <v>0</v>
      </c>
      <c r="R41" s="1213">
        <f t="shared" si="57"/>
        <v>1199830484</v>
      </c>
      <c r="S41" s="1213">
        <f t="shared" si="57"/>
        <v>1215754249</v>
      </c>
      <c r="T41" s="1213">
        <f t="shared" si="57"/>
        <v>1218302525</v>
      </c>
      <c r="U41" s="1213">
        <f t="shared" si="57"/>
        <v>1222428465</v>
      </c>
      <c r="V41" s="1213">
        <f t="shared" si="57"/>
        <v>1222428465</v>
      </c>
      <c r="W41" s="1213">
        <f t="shared" si="57"/>
        <v>1132884490</v>
      </c>
      <c r="X41" s="1213">
        <f t="shared" si="57"/>
        <v>0</v>
      </c>
      <c r="Y41" s="1213">
        <f t="shared" si="57"/>
        <v>0</v>
      </c>
      <c r="Z41" s="1213">
        <f t="shared" si="57"/>
        <v>0</v>
      </c>
      <c r="AA41" s="1213">
        <f t="shared" si="57"/>
        <v>0</v>
      </c>
      <c r="AB41" s="1213">
        <f t="shared" si="57"/>
        <v>0</v>
      </c>
      <c r="AC41" s="1213">
        <f t="shared" si="57"/>
        <v>0</v>
      </c>
      <c r="AD41" s="1284"/>
      <c r="AE41" s="1213">
        <f t="shared" si="1"/>
        <v>15923765</v>
      </c>
      <c r="AF41" s="1213">
        <f t="shared" si="2"/>
        <v>2548276</v>
      </c>
      <c r="AG41" s="1213">
        <f t="shared" si="3"/>
        <v>4125940</v>
      </c>
      <c r="AH41" s="2919">
        <f t="shared" si="4"/>
        <v>0</v>
      </c>
      <c r="AI41" s="1829">
        <f t="shared" ref="AI41:AI54" si="58">+K41/I41</f>
        <v>0.926749108382387</v>
      </c>
      <c r="AJ41" s="417">
        <f t="shared" ref="AJ41:AJ54" si="59">+F41-D41</f>
        <v>165185348</v>
      </c>
      <c r="AK41" s="412"/>
      <c r="AL41" s="439"/>
    </row>
    <row r="42" spans="1:38" ht="15">
      <c r="A42" s="2934"/>
      <c r="B42" s="2948" t="s">
        <v>176</v>
      </c>
      <c r="C42" s="1290" t="s">
        <v>147</v>
      </c>
      <c r="D42" s="1227">
        <v>720762198</v>
      </c>
      <c r="E42" s="2719">
        <v>725792990</v>
      </c>
      <c r="F42" s="1227">
        <v>855167777</v>
      </c>
      <c r="G42" s="1227">
        <f>+F42+260000</f>
        <v>855427777</v>
      </c>
      <c r="H42" s="1227">
        <f>+G42+9000*12+210000-1559600</f>
        <v>854186177</v>
      </c>
      <c r="I42" s="1227">
        <f>+H42+210000+2561626</f>
        <v>856957803</v>
      </c>
      <c r="J42" s="1227">
        <f t="shared" ref="G42:J46" si="60">+I42</f>
        <v>856957803</v>
      </c>
      <c r="K42" s="3209">
        <v>822595070</v>
      </c>
      <c r="L42" s="1227">
        <v>0</v>
      </c>
      <c r="M42" s="1227">
        <f t="shared" ref="M42:P46" si="61">+L42</f>
        <v>0</v>
      </c>
      <c r="N42" s="1227">
        <f t="shared" si="61"/>
        <v>0</v>
      </c>
      <c r="O42" s="1227">
        <f t="shared" si="61"/>
        <v>0</v>
      </c>
      <c r="P42" s="1227">
        <f t="shared" si="61"/>
        <v>0</v>
      </c>
      <c r="Q42" s="1227">
        <v>0</v>
      </c>
      <c r="R42" s="1227">
        <f>+F42</f>
        <v>855167777</v>
      </c>
      <c r="S42" s="1227">
        <f>+R42+260000</f>
        <v>855427777</v>
      </c>
      <c r="T42" s="1227">
        <f>+S42+9000*12+210000-1559600</f>
        <v>854186177</v>
      </c>
      <c r="U42" s="1227">
        <f>+T42+210000+2561626</f>
        <v>856957803</v>
      </c>
      <c r="V42" s="1227">
        <f>U42</f>
        <v>856957803</v>
      </c>
      <c r="W42" s="1227">
        <f>+K42</f>
        <v>822595070</v>
      </c>
      <c r="X42" s="1227"/>
      <c r="Y42" s="1227">
        <f t="shared" ref="Y42:AC46" si="62">+X42</f>
        <v>0</v>
      </c>
      <c r="Z42" s="1227">
        <f t="shared" si="62"/>
        <v>0</v>
      </c>
      <c r="AA42" s="1227">
        <f t="shared" si="62"/>
        <v>0</v>
      </c>
      <c r="AB42" s="1227">
        <f t="shared" si="62"/>
        <v>0</v>
      </c>
      <c r="AC42" s="1227">
        <f t="shared" si="62"/>
        <v>0</v>
      </c>
      <c r="AD42" s="1284"/>
      <c r="AE42" s="1213">
        <f t="shared" si="1"/>
        <v>260000</v>
      </c>
      <c r="AF42" s="1213">
        <f t="shared" si="2"/>
        <v>-1241600</v>
      </c>
      <c r="AG42" s="1213">
        <f t="shared" si="3"/>
        <v>2771626</v>
      </c>
      <c r="AH42" s="2919">
        <f t="shared" si="4"/>
        <v>0</v>
      </c>
      <c r="AI42" s="1834">
        <f t="shared" si="58"/>
        <v>0.9599014877048736</v>
      </c>
      <c r="AJ42" s="417">
        <f t="shared" si="59"/>
        <v>134405579</v>
      </c>
      <c r="AK42" s="430"/>
      <c r="AL42" s="439"/>
    </row>
    <row r="43" spans="1:38" ht="15">
      <c r="A43" s="2934"/>
      <c r="B43" s="2948" t="s">
        <v>178</v>
      </c>
      <c r="C43" s="1290" t="s">
        <v>8</v>
      </c>
      <c r="D43" s="1227">
        <v>114501346</v>
      </c>
      <c r="E43" s="2719">
        <v>111886133</v>
      </c>
      <c r="F43" s="1227">
        <v>132070825</v>
      </c>
      <c r="G43" s="1227">
        <f>+F43+33800</f>
        <v>132104625</v>
      </c>
      <c r="H43" s="1227">
        <f>+G43+27300-202748</f>
        <v>131929177</v>
      </c>
      <c r="I43" s="1227">
        <f>+H43+27300</f>
        <v>131956477</v>
      </c>
      <c r="J43" s="1227">
        <f t="shared" si="60"/>
        <v>131956477</v>
      </c>
      <c r="K43" s="3209">
        <v>122205490</v>
      </c>
      <c r="L43" s="1227">
        <v>0</v>
      </c>
      <c r="M43" s="1227">
        <f t="shared" si="61"/>
        <v>0</v>
      </c>
      <c r="N43" s="1227">
        <f t="shared" si="61"/>
        <v>0</v>
      </c>
      <c r="O43" s="1227">
        <f t="shared" si="61"/>
        <v>0</v>
      </c>
      <c r="P43" s="1227">
        <f t="shared" si="61"/>
        <v>0</v>
      </c>
      <c r="Q43" s="1227">
        <v>0</v>
      </c>
      <c r="R43" s="1227">
        <f>+F43</f>
        <v>132070825</v>
      </c>
      <c r="S43" s="1227">
        <f>+R43+33800</f>
        <v>132104625</v>
      </c>
      <c r="T43" s="1227">
        <f>+S43+27300-202748</f>
        <v>131929177</v>
      </c>
      <c r="U43" s="1227">
        <f>+T43+27300</f>
        <v>131956477</v>
      </c>
      <c r="V43" s="1227">
        <f>U43</f>
        <v>131956477</v>
      </c>
      <c r="W43" s="1227">
        <f>+K43</f>
        <v>122205490</v>
      </c>
      <c r="X43" s="1227"/>
      <c r="Y43" s="1227">
        <f t="shared" si="62"/>
        <v>0</v>
      </c>
      <c r="Z43" s="1227">
        <f t="shared" si="62"/>
        <v>0</v>
      </c>
      <c r="AA43" s="1227">
        <f t="shared" si="62"/>
        <v>0</v>
      </c>
      <c r="AB43" s="1227">
        <f t="shared" si="62"/>
        <v>0</v>
      </c>
      <c r="AC43" s="1227">
        <f t="shared" si="62"/>
        <v>0</v>
      </c>
      <c r="AD43" s="1665"/>
      <c r="AE43" s="1213">
        <f t="shared" si="1"/>
        <v>33800</v>
      </c>
      <c r="AF43" s="1213">
        <f t="shared" si="2"/>
        <v>-175448</v>
      </c>
      <c r="AG43" s="1213">
        <f t="shared" si="3"/>
        <v>27300</v>
      </c>
      <c r="AH43" s="2919">
        <f t="shared" si="4"/>
        <v>0</v>
      </c>
      <c r="AI43" s="1834">
        <f t="shared" si="58"/>
        <v>0.92610452156888068</v>
      </c>
      <c r="AJ43" s="417">
        <f t="shared" si="59"/>
        <v>17569479</v>
      </c>
      <c r="AK43" s="430"/>
      <c r="AL43" s="439"/>
    </row>
    <row r="44" spans="1:38" ht="15">
      <c r="A44" s="2934"/>
      <c r="B44" s="2948" t="s">
        <v>179</v>
      </c>
      <c r="C44" s="1290" t="s">
        <v>317</v>
      </c>
      <c r="D44" s="1227">
        <v>199381592</v>
      </c>
      <c r="E44" s="2719">
        <v>225184749</v>
      </c>
      <c r="F44" s="1227">
        <v>212591882</v>
      </c>
      <c r="G44" s="1227">
        <f>+F44+1524000+825369+1310861</f>
        <v>216252112</v>
      </c>
      <c r="H44" s="1227">
        <f>+G44+3990194-24870</f>
        <v>220217436</v>
      </c>
      <c r="I44" s="1227">
        <f>+H44+26970-576198+1625841+250401</f>
        <v>221544450</v>
      </c>
      <c r="J44" s="1227">
        <f t="shared" si="60"/>
        <v>221544450</v>
      </c>
      <c r="K44" s="3209">
        <v>176114195</v>
      </c>
      <c r="L44" s="1227">
        <v>0</v>
      </c>
      <c r="M44" s="1227">
        <f t="shared" si="61"/>
        <v>0</v>
      </c>
      <c r="N44" s="1227">
        <f t="shared" si="61"/>
        <v>0</v>
      </c>
      <c r="O44" s="1227">
        <f t="shared" si="61"/>
        <v>0</v>
      </c>
      <c r="P44" s="1227">
        <f t="shared" si="61"/>
        <v>0</v>
      </c>
      <c r="Q44" s="1227">
        <v>0</v>
      </c>
      <c r="R44" s="1227">
        <f>+F44</f>
        <v>212591882</v>
      </c>
      <c r="S44" s="1227">
        <f>+R44+1524000+825369+1310861</f>
        <v>216252112</v>
      </c>
      <c r="T44" s="1227">
        <f>+S44+3990194-24870</f>
        <v>220217436</v>
      </c>
      <c r="U44" s="1227">
        <f>+T44+26970-576198+1625841+250401</f>
        <v>221544450</v>
      </c>
      <c r="V44" s="1227">
        <f>U44</f>
        <v>221544450</v>
      </c>
      <c r="W44" s="1227">
        <f>+K44</f>
        <v>176114195</v>
      </c>
      <c r="X44" s="1227"/>
      <c r="Y44" s="1227">
        <f t="shared" si="62"/>
        <v>0</v>
      </c>
      <c r="Z44" s="1227">
        <f t="shared" si="62"/>
        <v>0</v>
      </c>
      <c r="AA44" s="1227">
        <f t="shared" si="62"/>
        <v>0</v>
      </c>
      <c r="AB44" s="1227">
        <f t="shared" si="62"/>
        <v>0</v>
      </c>
      <c r="AC44" s="1227">
        <f t="shared" si="62"/>
        <v>0</v>
      </c>
      <c r="AD44" s="1284"/>
      <c r="AE44" s="1213">
        <f t="shared" si="1"/>
        <v>3660230</v>
      </c>
      <c r="AF44" s="1213">
        <f t="shared" si="2"/>
        <v>3965324</v>
      </c>
      <c r="AG44" s="1213">
        <f t="shared" si="3"/>
        <v>1327014</v>
      </c>
      <c r="AH44" s="2919">
        <f t="shared" si="4"/>
        <v>0</v>
      </c>
      <c r="AI44" s="1834">
        <f t="shared" si="58"/>
        <v>0.79493841980695068</v>
      </c>
      <c r="AJ44" s="417">
        <f t="shared" si="59"/>
        <v>13210290</v>
      </c>
      <c r="AK44" s="430"/>
    </row>
    <row r="45" spans="1:38" s="439" customFormat="1" ht="15">
      <c r="A45" s="2934"/>
      <c r="B45" s="2948" t="s">
        <v>180</v>
      </c>
      <c r="C45" s="1290" t="s">
        <v>318</v>
      </c>
      <c r="D45" s="1227">
        <v>0</v>
      </c>
      <c r="E45" s="2719">
        <v>0</v>
      </c>
      <c r="F45" s="1227">
        <v>0</v>
      </c>
      <c r="G45" s="1227">
        <f t="shared" si="60"/>
        <v>0</v>
      </c>
      <c r="H45" s="1227">
        <f t="shared" si="60"/>
        <v>0</v>
      </c>
      <c r="I45" s="1227">
        <f t="shared" si="60"/>
        <v>0</v>
      </c>
      <c r="J45" s="1227">
        <f t="shared" si="60"/>
        <v>0</v>
      </c>
      <c r="K45" s="3209">
        <v>0</v>
      </c>
      <c r="L45" s="1227">
        <v>0</v>
      </c>
      <c r="M45" s="1227">
        <f t="shared" si="61"/>
        <v>0</v>
      </c>
      <c r="N45" s="1227">
        <f t="shared" si="61"/>
        <v>0</v>
      </c>
      <c r="O45" s="1227">
        <f t="shared" si="61"/>
        <v>0</v>
      </c>
      <c r="P45" s="1227">
        <f t="shared" si="61"/>
        <v>0</v>
      </c>
      <c r="Q45" s="1227">
        <v>0</v>
      </c>
      <c r="R45" s="1227">
        <v>0</v>
      </c>
      <c r="S45" s="1227">
        <f t="shared" ref="S45:U46" si="63">+R45</f>
        <v>0</v>
      </c>
      <c r="T45" s="1227">
        <f t="shared" si="63"/>
        <v>0</v>
      </c>
      <c r="U45" s="1227">
        <f t="shared" si="63"/>
        <v>0</v>
      </c>
      <c r="V45" s="1227">
        <f>+U45</f>
        <v>0</v>
      </c>
      <c r="W45" s="1227">
        <f>+K45</f>
        <v>0</v>
      </c>
      <c r="X45" s="1227"/>
      <c r="Y45" s="1227">
        <f t="shared" si="62"/>
        <v>0</v>
      </c>
      <c r="Z45" s="1227">
        <f t="shared" si="62"/>
        <v>0</v>
      </c>
      <c r="AA45" s="1227">
        <f t="shared" si="62"/>
        <v>0</v>
      </c>
      <c r="AB45" s="1227">
        <f t="shared" si="62"/>
        <v>0</v>
      </c>
      <c r="AC45" s="1227">
        <f t="shared" si="62"/>
        <v>0</v>
      </c>
      <c r="AD45" s="1284"/>
      <c r="AE45" s="1213">
        <f t="shared" si="1"/>
        <v>0</v>
      </c>
      <c r="AF45" s="1213">
        <f t="shared" si="2"/>
        <v>0</v>
      </c>
      <c r="AG45" s="1213">
        <f t="shared" si="3"/>
        <v>0</v>
      </c>
      <c r="AH45" s="2919">
        <f t="shared" si="4"/>
        <v>0</v>
      </c>
      <c r="AI45" s="1834"/>
      <c r="AJ45" s="417">
        <f t="shared" si="59"/>
        <v>0</v>
      </c>
      <c r="AK45" s="430"/>
    </row>
    <row r="46" spans="1:38" ht="15">
      <c r="A46" s="2934"/>
      <c r="B46" s="1477" t="s">
        <v>181</v>
      </c>
      <c r="C46" s="1286" t="s">
        <v>151</v>
      </c>
      <c r="D46" s="1227">
        <v>0</v>
      </c>
      <c r="E46" s="2719">
        <v>42537558</v>
      </c>
      <c r="F46" s="1227">
        <v>0</v>
      </c>
      <c r="G46" s="1227">
        <f>+F46+11969735</f>
        <v>11969735</v>
      </c>
      <c r="H46" s="1227">
        <f t="shared" si="60"/>
        <v>11969735</v>
      </c>
      <c r="I46" s="1227">
        <f t="shared" si="60"/>
        <v>11969735</v>
      </c>
      <c r="J46" s="1227">
        <f t="shared" si="60"/>
        <v>11969735</v>
      </c>
      <c r="K46" s="3209">
        <v>11969735</v>
      </c>
      <c r="L46" s="1227">
        <v>0</v>
      </c>
      <c r="M46" s="1227">
        <f t="shared" si="61"/>
        <v>0</v>
      </c>
      <c r="N46" s="1227">
        <f t="shared" si="61"/>
        <v>0</v>
      </c>
      <c r="O46" s="1227">
        <f t="shared" si="61"/>
        <v>0</v>
      </c>
      <c r="P46" s="1227">
        <f t="shared" si="61"/>
        <v>0</v>
      </c>
      <c r="Q46" s="1227">
        <v>0</v>
      </c>
      <c r="R46" s="1227">
        <v>0</v>
      </c>
      <c r="S46" s="1227">
        <f>+R46+11969735</f>
        <v>11969735</v>
      </c>
      <c r="T46" s="1227">
        <f t="shared" si="63"/>
        <v>11969735</v>
      </c>
      <c r="U46" s="1227">
        <f t="shared" si="63"/>
        <v>11969735</v>
      </c>
      <c r="V46" s="1227">
        <f>+U46</f>
        <v>11969735</v>
      </c>
      <c r="W46" s="1227">
        <f>+K46</f>
        <v>11969735</v>
      </c>
      <c r="X46" s="1227"/>
      <c r="Y46" s="1227">
        <f t="shared" si="62"/>
        <v>0</v>
      </c>
      <c r="Z46" s="1227">
        <f t="shared" si="62"/>
        <v>0</v>
      </c>
      <c r="AA46" s="1227">
        <f t="shared" si="62"/>
        <v>0</v>
      </c>
      <c r="AB46" s="1227">
        <f t="shared" si="62"/>
        <v>0</v>
      </c>
      <c r="AC46" s="1227">
        <f t="shared" si="62"/>
        <v>0</v>
      </c>
      <c r="AD46" s="2966"/>
      <c r="AE46" s="1213">
        <f t="shared" si="1"/>
        <v>11969735</v>
      </c>
      <c r="AF46" s="1213">
        <f t="shared" si="2"/>
        <v>0</v>
      </c>
      <c r="AG46" s="1213">
        <f t="shared" si="3"/>
        <v>0</v>
      </c>
      <c r="AH46" s="2919">
        <f t="shared" si="4"/>
        <v>0</v>
      </c>
      <c r="AI46" s="1834">
        <f t="shared" si="58"/>
        <v>1</v>
      </c>
      <c r="AJ46" s="417">
        <f t="shared" si="59"/>
        <v>0</v>
      </c>
      <c r="AK46" s="430"/>
    </row>
    <row r="47" spans="1:38" ht="15">
      <c r="A47" s="2934" t="s">
        <v>12</v>
      </c>
      <c r="B47" s="2946" t="s">
        <v>12</v>
      </c>
      <c r="C47" s="1292" t="s">
        <v>1292</v>
      </c>
      <c r="D47" s="1213">
        <f t="shared" ref="D47:AC47" si="64">SUM(D48:D50)</f>
        <v>1651000</v>
      </c>
      <c r="E47" s="2715">
        <f t="shared" si="64"/>
        <v>6219971</v>
      </c>
      <c r="F47" s="1213">
        <f t="shared" si="64"/>
        <v>1295400</v>
      </c>
      <c r="G47" s="1213">
        <f t="shared" si="64"/>
        <v>1295400</v>
      </c>
      <c r="H47" s="1213">
        <f t="shared" si="64"/>
        <v>1320270</v>
      </c>
      <c r="I47" s="1213">
        <f t="shared" si="64"/>
        <v>2578053</v>
      </c>
      <c r="J47" s="1213">
        <f t="shared" si="64"/>
        <v>2578053</v>
      </c>
      <c r="K47" s="3208">
        <f>SUM(K48:K50)</f>
        <v>2247138</v>
      </c>
      <c r="L47" s="1213">
        <f t="shared" si="64"/>
        <v>0</v>
      </c>
      <c r="M47" s="1213">
        <f t="shared" si="64"/>
        <v>0</v>
      </c>
      <c r="N47" s="1213">
        <f t="shared" si="64"/>
        <v>0</v>
      </c>
      <c r="O47" s="1213">
        <f t="shared" si="64"/>
        <v>0</v>
      </c>
      <c r="P47" s="1213">
        <f t="shared" si="64"/>
        <v>0</v>
      </c>
      <c r="Q47" s="1213">
        <f t="shared" si="64"/>
        <v>0</v>
      </c>
      <c r="R47" s="1213">
        <f t="shared" si="64"/>
        <v>1295400</v>
      </c>
      <c r="S47" s="1213">
        <f t="shared" si="64"/>
        <v>1295400</v>
      </c>
      <c r="T47" s="1213">
        <f t="shared" si="64"/>
        <v>1320270</v>
      </c>
      <c r="U47" s="1213">
        <f t="shared" si="64"/>
        <v>2578053</v>
      </c>
      <c r="V47" s="1213">
        <f t="shared" si="64"/>
        <v>2578053</v>
      </c>
      <c r="W47" s="1213">
        <f t="shared" si="64"/>
        <v>2247138</v>
      </c>
      <c r="X47" s="1213">
        <f t="shared" si="64"/>
        <v>0</v>
      </c>
      <c r="Y47" s="1213">
        <f t="shared" si="64"/>
        <v>0</v>
      </c>
      <c r="Z47" s="1213">
        <f t="shared" si="64"/>
        <v>0</v>
      </c>
      <c r="AA47" s="1213">
        <f t="shared" si="64"/>
        <v>0</v>
      </c>
      <c r="AB47" s="1213">
        <f t="shared" si="64"/>
        <v>0</v>
      </c>
      <c r="AC47" s="1213">
        <f t="shared" si="64"/>
        <v>0</v>
      </c>
      <c r="AD47" s="2966"/>
      <c r="AE47" s="1213">
        <f t="shared" si="1"/>
        <v>0</v>
      </c>
      <c r="AF47" s="1213">
        <f t="shared" si="2"/>
        <v>24870</v>
      </c>
      <c r="AG47" s="1213">
        <f t="shared" si="3"/>
        <v>1257783</v>
      </c>
      <c r="AH47" s="2919">
        <f t="shared" si="4"/>
        <v>0</v>
      </c>
      <c r="AI47" s="1829">
        <f t="shared" si="58"/>
        <v>0.87164150620642789</v>
      </c>
      <c r="AJ47" s="417">
        <f t="shared" si="59"/>
        <v>-355600</v>
      </c>
      <c r="AK47" s="412"/>
    </row>
    <row r="48" spans="1:38" ht="15">
      <c r="A48" s="2934"/>
      <c r="B48" s="2948" t="s">
        <v>185</v>
      </c>
      <c r="C48" s="1290" t="s">
        <v>82</v>
      </c>
      <c r="D48" s="1227">
        <v>1651000</v>
      </c>
      <c r="E48" s="2719">
        <v>6219971</v>
      </c>
      <c r="F48" s="1227">
        <v>1295400</v>
      </c>
      <c r="G48" s="1227">
        <f t="shared" ref="G48:J51" si="65">+F48</f>
        <v>1295400</v>
      </c>
      <c r="H48" s="1227">
        <f>+G48+24870</f>
        <v>1320270</v>
      </c>
      <c r="I48" s="1227">
        <f>+H48+681585+576198</f>
        <v>2578053</v>
      </c>
      <c r="J48" s="1227">
        <f t="shared" si="65"/>
        <v>2578053</v>
      </c>
      <c r="K48" s="3209">
        <v>2247138</v>
      </c>
      <c r="L48" s="1227">
        <v>0</v>
      </c>
      <c r="M48" s="1227">
        <f t="shared" ref="M48:P51" si="66">+L48</f>
        <v>0</v>
      </c>
      <c r="N48" s="1227">
        <f t="shared" si="66"/>
        <v>0</v>
      </c>
      <c r="O48" s="1227">
        <f t="shared" si="66"/>
        <v>0</v>
      </c>
      <c r="P48" s="1227">
        <f t="shared" si="66"/>
        <v>0</v>
      </c>
      <c r="Q48" s="1227">
        <v>0</v>
      </c>
      <c r="R48" s="1227">
        <f>+F48</f>
        <v>1295400</v>
      </c>
      <c r="S48" s="1227">
        <f>+R48</f>
        <v>1295400</v>
      </c>
      <c r="T48" s="1227">
        <f>+S48+24870</f>
        <v>1320270</v>
      </c>
      <c r="U48" s="1227">
        <f>+T48+681585+576198</f>
        <v>2578053</v>
      </c>
      <c r="V48" s="1227">
        <f t="shared" ref="S48:V51" si="67">+U48</f>
        <v>2578053</v>
      </c>
      <c r="W48" s="1227">
        <f>+K48</f>
        <v>2247138</v>
      </c>
      <c r="X48" s="1227"/>
      <c r="Y48" s="1227">
        <f t="shared" ref="Y48:AC51" si="68">+X48</f>
        <v>0</v>
      </c>
      <c r="Z48" s="1227">
        <f t="shared" si="68"/>
        <v>0</v>
      </c>
      <c r="AA48" s="1227">
        <f t="shared" si="68"/>
        <v>0</v>
      </c>
      <c r="AB48" s="1227">
        <f t="shared" si="68"/>
        <v>0</v>
      </c>
      <c r="AC48" s="1227">
        <f t="shared" si="68"/>
        <v>0</v>
      </c>
      <c r="AD48" s="1284"/>
      <c r="AE48" s="1213">
        <f t="shared" si="1"/>
        <v>0</v>
      </c>
      <c r="AF48" s="1213">
        <f t="shared" si="2"/>
        <v>24870</v>
      </c>
      <c r="AG48" s="1213">
        <f t="shared" si="3"/>
        <v>1257783</v>
      </c>
      <c r="AH48" s="2919">
        <f t="shared" si="4"/>
        <v>0</v>
      </c>
      <c r="AI48" s="1834">
        <f t="shared" si="58"/>
        <v>0.87164150620642789</v>
      </c>
      <c r="AJ48" s="417">
        <f t="shared" si="59"/>
        <v>-355600</v>
      </c>
      <c r="AK48" s="430"/>
    </row>
    <row r="49" spans="1:37" ht="15">
      <c r="A49" s="2934"/>
      <c r="B49" s="2948" t="s">
        <v>187</v>
      </c>
      <c r="C49" s="1290" t="s">
        <v>344</v>
      </c>
      <c r="D49" s="1227">
        <v>0</v>
      </c>
      <c r="E49" s="2719">
        <v>0</v>
      </c>
      <c r="F49" s="1227">
        <v>0</v>
      </c>
      <c r="G49" s="1227">
        <f t="shared" si="65"/>
        <v>0</v>
      </c>
      <c r="H49" s="1227">
        <f t="shared" si="65"/>
        <v>0</v>
      </c>
      <c r="I49" s="1227">
        <f t="shared" si="65"/>
        <v>0</v>
      </c>
      <c r="J49" s="1227">
        <f t="shared" si="65"/>
        <v>0</v>
      </c>
      <c r="K49" s="3209">
        <v>0</v>
      </c>
      <c r="L49" s="1227">
        <v>0</v>
      </c>
      <c r="M49" s="1227">
        <f t="shared" si="66"/>
        <v>0</v>
      </c>
      <c r="N49" s="1227">
        <f t="shared" si="66"/>
        <v>0</v>
      </c>
      <c r="O49" s="1227">
        <f t="shared" si="66"/>
        <v>0</v>
      </c>
      <c r="P49" s="1227">
        <f t="shared" si="66"/>
        <v>0</v>
      </c>
      <c r="Q49" s="1227">
        <v>0</v>
      </c>
      <c r="R49" s="1227">
        <f>+F49</f>
        <v>0</v>
      </c>
      <c r="S49" s="1227">
        <f t="shared" si="67"/>
        <v>0</v>
      </c>
      <c r="T49" s="1227">
        <f t="shared" si="67"/>
        <v>0</v>
      </c>
      <c r="U49" s="1227">
        <f t="shared" si="67"/>
        <v>0</v>
      </c>
      <c r="V49" s="1227">
        <f t="shared" si="67"/>
        <v>0</v>
      </c>
      <c r="W49" s="1227">
        <f>+K49</f>
        <v>0</v>
      </c>
      <c r="X49" s="1227"/>
      <c r="Y49" s="1227">
        <f t="shared" si="68"/>
        <v>0</v>
      </c>
      <c r="Z49" s="1227">
        <f t="shared" si="68"/>
        <v>0</v>
      </c>
      <c r="AA49" s="1227">
        <f t="shared" si="68"/>
        <v>0</v>
      </c>
      <c r="AB49" s="1227">
        <f t="shared" si="68"/>
        <v>0</v>
      </c>
      <c r="AC49" s="1227">
        <f t="shared" si="68"/>
        <v>0</v>
      </c>
      <c r="AD49" s="1284"/>
      <c r="AE49" s="1213">
        <f t="shared" si="1"/>
        <v>0</v>
      </c>
      <c r="AF49" s="1213">
        <f t="shared" si="2"/>
        <v>0</v>
      </c>
      <c r="AG49" s="1213">
        <f t="shared" si="3"/>
        <v>0</v>
      </c>
      <c r="AH49" s="2919">
        <f t="shared" si="4"/>
        <v>0</v>
      </c>
      <c r="AI49" s="1834"/>
      <c r="AJ49" s="417">
        <f t="shared" si="59"/>
        <v>0</v>
      </c>
      <c r="AK49" s="430"/>
    </row>
    <row r="50" spans="1:37" ht="15">
      <c r="A50" s="2934"/>
      <c r="B50" s="1477" t="s">
        <v>189</v>
      </c>
      <c r="C50" s="1286" t="s">
        <v>1293</v>
      </c>
      <c r="D50" s="1227">
        <v>0</v>
      </c>
      <c r="E50" s="2719">
        <v>0</v>
      </c>
      <c r="F50" s="1227">
        <v>0</v>
      </c>
      <c r="G50" s="1227">
        <f t="shared" si="65"/>
        <v>0</v>
      </c>
      <c r="H50" s="1227">
        <f t="shared" si="65"/>
        <v>0</v>
      </c>
      <c r="I50" s="1227">
        <f t="shared" si="65"/>
        <v>0</v>
      </c>
      <c r="J50" s="1227">
        <f t="shared" si="65"/>
        <v>0</v>
      </c>
      <c r="K50" s="3209">
        <v>0</v>
      </c>
      <c r="L50" s="1227">
        <v>0</v>
      </c>
      <c r="M50" s="1227">
        <f t="shared" si="66"/>
        <v>0</v>
      </c>
      <c r="N50" s="1227">
        <f t="shared" si="66"/>
        <v>0</v>
      </c>
      <c r="O50" s="1227">
        <f t="shared" si="66"/>
        <v>0</v>
      </c>
      <c r="P50" s="1227">
        <f t="shared" si="66"/>
        <v>0</v>
      </c>
      <c r="Q50" s="1227">
        <v>0</v>
      </c>
      <c r="R50" s="1227">
        <v>0</v>
      </c>
      <c r="S50" s="1227">
        <f t="shared" si="67"/>
        <v>0</v>
      </c>
      <c r="T50" s="1227">
        <f t="shared" si="67"/>
        <v>0</v>
      </c>
      <c r="U50" s="1227">
        <f t="shared" si="67"/>
        <v>0</v>
      </c>
      <c r="V50" s="1227">
        <f t="shared" si="67"/>
        <v>0</v>
      </c>
      <c r="W50" s="1227">
        <f>+K50</f>
        <v>0</v>
      </c>
      <c r="X50" s="1227"/>
      <c r="Y50" s="1227">
        <f t="shared" si="68"/>
        <v>0</v>
      </c>
      <c r="Z50" s="1227">
        <f t="shared" si="68"/>
        <v>0</v>
      </c>
      <c r="AA50" s="1227">
        <f t="shared" si="68"/>
        <v>0</v>
      </c>
      <c r="AB50" s="1227">
        <f t="shared" si="68"/>
        <v>0</v>
      </c>
      <c r="AC50" s="1227">
        <f t="shared" si="68"/>
        <v>0</v>
      </c>
      <c r="AD50" s="1284"/>
      <c r="AE50" s="1213">
        <f t="shared" si="1"/>
        <v>0</v>
      </c>
      <c r="AF50" s="1213">
        <f t="shared" si="2"/>
        <v>0</v>
      </c>
      <c r="AG50" s="1213">
        <f t="shared" si="3"/>
        <v>0</v>
      </c>
      <c r="AH50" s="2919">
        <f t="shared" si="4"/>
        <v>0</v>
      </c>
      <c r="AI50" s="1834"/>
      <c r="AJ50" s="417">
        <f t="shared" si="59"/>
        <v>0</v>
      </c>
      <c r="AK50" s="430"/>
    </row>
    <row r="51" spans="1:37" ht="15">
      <c r="A51" s="2934"/>
      <c r="B51" s="1477" t="s">
        <v>191</v>
      </c>
      <c r="C51" s="1290" t="s">
        <v>1294</v>
      </c>
      <c r="D51" s="1227">
        <v>0</v>
      </c>
      <c r="E51" s="2719">
        <v>0</v>
      </c>
      <c r="F51" s="1227">
        <v>0</v>
      </c>
      <c r="G51" s="1227">
        <f t="shared" si="65"/>
        <v>0</v>
      </c>
      <c r="H51" s="1227">
        <f t="shared" si="65"/>
        <v>0</v>
      </c>
      <c r="I51" s="1227">
        <f t="shared" si="65"/>
        <v>0</v>
      </c>
      <c r="J51" s="1227">
        <f t="shared" si="65"/>
        <v>0</v>
      </c>
      <c r="K51" s="3209">
        <v>0</v>
      </c>
      <c r="L51" s="1227">
        <v>0</v>
      </c>
      <c r="M51" s="1227">
        <f t="shared" si="66"/>
        <v>0</v>
      </c>
      <c r="N51" s="1227">
        <f t="shared" si="66"/>
        <v>0</v>
      </c>
      <c r="O51" s="1227">
        <f t="shared" si="66"/>
        <v>0</v>
      </c>
      <c r="P51" s="1227">
        <f t="shared" si="66"/>
        <v>0</v>
      </c>
      <c r="Q51" s="1227">
        <v>0</v>
      </c>
      <c r="R51" s="1227">
        <v>0</v>
      </c>
      <c r="S51" s="1227">
        <f t="shared" si="67"/>
        <v>0</v>
      </c>
      <c r="T51" s="1227">
        <f t="shared" si="67"/>
        <v>0</v>
      </c>
      <c r="U51" s="1227">
        <f t="shared" si="67"/>
        <v>0</v>
      </c>
      <c r="V51" s="1227">
        <f t="shared" si="67"/>
        <v>0</v>
      </c>
      <c r="W51" s="1227">
        <f>+K51</f>
        <v>0</v>
      </c>
      <c r="X51" s="1227"/>
      <c r="Y51" s="1227">
        <f t="shared" si="68"/>
        <v>0</v>
      </c>
      <c r="Z51" s="1227">
        <f t="shared" si="68"/>
        <v>0</v>
      </c>
      <c r="AA51" s="1227">
        <f t="shared" si="68"/>
        <v>0</v>
      </c>
      <c r="AB51" s="1227">
        <f t="shared" si="68"/>
        <v>0</v>
      </c>
      <c r="AC51" s="1227">
        <f t="shared" si="68"/>
        <v>0</v>
      </c>
      <c r="AD51" s="1284"/>
      <c r="AE51" s="1213">
        <f t="shared" si="1"/>
        <v>0</v>
      </c>
      <c r="AF51" s="1213">
        <f t="shared" si="2"/>
        <v>0</v>
      </c>
      <c r="AG51" s="1213">
        <f t="shared" si="3"/>
        <v>0</v>
      </c>
      <c r="AH51" s="2919">
        <f t="shared" si="4"/>
        <v>0</v>
      </c>
      <c r="AI51" s="1834"/>
      <c r="AJ51" s="417">
        <f t="shared" si="59"/>
        <v>0</v>
      </c>
      <c r="AK51" s="430"/>
    </row>
    <row r="52" spans="1:37" ht="15">
      <c r="A52" s="2934" t="s">
        <v>14</v>
      </c>
      <c r="B52" s="1282" t="s">
        <v>14</v>
      </c>
      <c r="C52" s="2950" t="s">
        <v>1295</v>
      </c>
      <c r="D52" s="1298">
        <f t="shared" ref="D52:AC52" si="69">+D41+D47</f>
        <v>1036296136</v>
      </c>
      <c r="E52" s="2720">
        <f t="shared" si="69"/>
        <v>1111621401</v>
      </c>
      <c r="F52" s="1298">
        <f t="shared" si="69"/>
        <v>1201125884</v>
      </c>
      <c r="G52" s="1298">
        <f t="shared" si="69"/>
        <v>1217049649</v>
      </c>
      <c r="H52" s="1298">
        <f t="shared" si="69"/>
        <v>1219622795</v>
      </c>
      <c r="I52" s="1298">
        <f t="shared" si="69"/>
        <v>1225006518</v>
      </c>
      <c r="J52" s="1298">
        <f t="shared" si="69"/>
        <v>1225006518</v>
      </c>
      <c r="K52" s="3210">
        <f t="shared" si="69"/>
        <v>1135131628</v>
      </c>
      <c r="L52" s="1298">
        <f t="shared" si="69"/>
        <v>0</v>
      </c>
      <c r="M52" s="1298">
        <f t="shared" si="69"/>
        <v>0</v>
      </c>
      <c r="N52" s="1298">
        <f t="shared" si="69"/>
        <v>0</v>
      </c>
      <c r="O52" s="1298">
        <f t="shared" si="69"/>
        <v>0</v>
      </c>
      <c r="P52" s="1298">
        <f t="shared" si="69"/>
        <v>0</v>
      </c>
      <c r="Q52" s="1298">
        <f t="shared" si="69"/>
        <v>0</v>
      </c>
      <c r="R52" s="1298">
        <f t="shared" si="69"/>
        <v>1201125884</v>
      </c>
      <c r="S52" s="1298">
        <f t="shared" si="69"/>
        <v>1217049649</v>
      </c>
      <c r="T52" s="1298">
        <f t="shared" si="69"/>
        <v>1219622795</v>
      </c>
      <c r="U52" s="1298">
        <f t="shared" si="69"/>
        <v>1225006518</v>
      </c>
      <c r="V52" s="1298">
        <f t="shared" si="69"/>
        <v>1225006518</v>
      </c>
      <c r="W52" s="1298">
        <f t="shared" si="69"/>
        <v>1135131628</v>
      </c>
      <c r="X52" s="1298">
        <f t="shared" si="69"/>
        <v>0</v>
      </c>
      <c r="Y52" s="1298">
        <f t="shared" si="69"/>
        <v>0</v>
      </c>
      <c r="Z52" s="1298">
        <f t="shared" si="69"/>
        <v>0</v>
      </c>
      <c r="AA52" s="1298">
        <f t="shared" si="69"/>
        <v>0</v>
      </c>
      <c r="AB52" s="1298">
        <f t="shared" si="69"/>
        <v>0</v>
      </c>
      <c r="AC52" s="1298">
        <f t="shared" si="69"/>
        <v>0</v>
      </c>
      <c r="AD52" s="1284"/>
      <c r="AE52" s="1213">
        <f t="shared" si="1"/>
        <v>15923765</v>
      </c>
      <c r="AF52" s="1213">
        <f t="shared" si="2"/>
        <v>2573146</v>
      </c>
      <c r="AG52" s="1213">
        <f t="shared" si="3"/>
        <v>5383723</v>
      </c>
      <c r="AH52" s="2919">
        <f t="shared" si="4"/>
        <v>0</v>
      </c>
      <c r="AI52" s="1829">
        <f t="shared" si="58"/>
        <v>0.92663313322876539</v>
      </c>
      <c r="AJ52" s="417">
        <f t="shared" si="59"/>
        <v>164829748</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8"/>
        <v>#DIV/0!</v>
      </c>
      <c r="AJ53" s="417">
        <f t="shared" si="59"/>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5">
        <v>99</v>
      </c>
      <c r="E54" s="2956">
        <v>103</v>
      </c>
      <c r="F54" s="2957">
        <v>99</v>
      </c>
      <c r="G54" s="2957">
        <f>+F54</f>
        <v>99</v>
      </c>
      <c r="H54" s="2957">
        <f>+G54-12</f>
        <v>87</v>
      </c>
      <c r="I54" s="2957">
        <f>+H54</f>
        <v>87</v>
      </c>
      <c r="J54" s="2957">
        <f>+I54</f>
        <v>87</v>
      </c>
      <c r="K54" s="3212">
        <v>90</v>
      </c>
      <c r="L54" s="2957">
        <v>0</v>
      </c>
      <c r="M54" s="2957">
        <f>+L54</f>
        <v>0</v>
      </c>
      <c r="N54" s="2957">
        <f>+M54</f>
        <v>0</v>
      </c>
      <c r="O54" s="2957">
        <f>+N54</f>
        <v>0</v>
      </c>
      <c r="P54" s="2957">
        <f>+O54</f>
        <v>0</v>
      </c>
      <c r="Q54" s="2957">
        <f>+P54</f>
        <v>0</v>
      </c>
      <c r="R54" s="2957">
        <f>+F54</f>
        <v>99</v>
      </c>
      <c r="S54" s="2957">
        <f>+R54</f>
        <v>99</v>
      </c>
      <c r="T54" s="2957">
        <f>+S54-12</f>
        <v>87</v>
      </c>
      <c r="U54" s="2957">
        <f>+T54</f>
        <v>87</v>
      </c>
      <c r="V54" s="2957">
        <f>+U54</f>
        <v>87</v>
      </c>
      <c r="W54" s="2957">
        <f>+V54</f>
        <v>87</v>
      </c>
      <c r="X54" s="2957"/>
      <c r="Y54" s="2957">
        <f>+X54</f>
        <v>0</v>
      </c>
      <c r="Z54" s="2957">
        <f>+Y54</f>
        <v>0</v>
      </c>
      <c r="AA54" s="2957">
        <f>+Z54</f>
        <v>0</v>
      </c>
      <c r="AB54" s="2957">
        <f>+AA54</f>
        <v>0</v>
      </c>
      <c r="AC54" s="2957">
        <f>+AB54</f>
        <v>0</v>
      </c>
      <c r="AD54" s="2965"/>
      <c r="AE54" s="2959">
        <f t="shared" si="1"/>
        <v>0</v>
      </c>
      <c r="AF54" s="1213">
        <f t="shared" si="2"/>
        <v>-12</v>
      </c>
      <c r="AG54" s="1213">
        <f t="shared" si="3"/>
        <v>0</v>
      </c>
      <c r="AH54" s="2943">
        <f t="shared" si="4"/>
        <v>0</v>
      </c>
      <c r="AI54" s="1829">
        <f t="shared" si="58"/>
        <v>1.0344827586206897</v>
      </c>
      <c r="AJ54" s="550">
        <f t="shared" si="59"/>
        <v>0</v>
      </c>
      <c r="AK54" s="1852"/>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0">+X55</f>
        <v>0</v>
      </c>
      <c r="Z55" s="459">
        <f t="shared" si="70"/>
        <v>0</v>
      </c>
      <c r="AA55" s="459">
        <f t="shared" si="70"/>
        <v>0</v>
      </c>
      <c r="AB55" s="459">
        <f t="shared" si="70"/>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70"/>
        <v>0</v>
      </c>
      <c r="Z56" s="459">
        <f t="shared" si="70"/>
        <v>0</v>
      </c>
      <c r="AA56" s="459">
        <f t="shared" si="70"/>
        <v>0</v>
      </c>
      <c r="AB56" s="459">
        <f t="shared" si="70"/>
        <v>0</v>
      </c>
      <c r="AC56" s="459"/>
      <c r="AD56" s="557"/>
      <c r="AE56" s="555">
        <f t="shared" si="1"/>
        <v>0</v>
      </c>
      <c r="AF56" s="555"/>
      <c r="AG56" s="555"/>
      <c r="AH56" s="555"/>
      <c r="AJ56" s="417">
        <f>+F56-D56</f>
        <v>0</v>
      </c>
    </row>
    <row r="57" spans="1:37" ht="15.75">
      <c r="B57" s="3205" t="s">
        <v>17</v>
      </c>
      <c r="C57" s="3207" t="s">
        <v>4053</v>
      </c>
      <c r="D57" s="3206">
        <f t="shared" ref="D57:K57" si="71">+D37-D52</f>
        <v>0</v>
      </c>
      <c r="E57" s="3199">
        <f>+E37-E52</f>
        <v>12795104</v>
      </c>
      <c r="F57" s="3200">
        <f t="shared" si="71"/>
        <v>0</v>
      </c>
      <c r="G57" s="3201">
        <f t="shared" si="71"/>
        <v>0</v>
      </c>
      <c r="H57" s="3201">
        <f t="shared" si="71"/>
        <v>0</v>
      </c>
      <c r="I57" s="3201"/>
      <c r="J57" s="3201">
        <f t="shared" si="71"/>
        <v>0</v>
      </c>
      <c r="K57" s="2198">
        <f t="shared" si="71"/>
        <v>35470248</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2">+D37-D52</f>
        <v>0</v>
      </c>
      <c r="E60" s="396">
        <f>+E37-E52</f>
        <v>12795104</v>
      </c>
      <c r="F60" s="396">
        <f t="shared" si="72"/>
        <v>0</v>
      </c>
      <c r="G60" s="396">
        <f t="shared" si="72"/>
        <v>0</v>
      </c>
      <c r="H60" s="396">
        <f t="shared" si="72"/>
        <v>0</v>
      </c>
      <c r="I60" s="396">
        <f t="shared" si="72"/>
        <v>0</v>
      </c>
      <c r="J60" s="460">
        <f t="shared" si="72"/>
        <v>0</v>
      </c>
      <c r="K60" s="460">
        <f t="shared" si="72"/>
        <v>35470248</v>
      </c>
      <c r="L60" s="460">
        <f t="shared" si="72"/>
        <v>0</v>
      </c>
      <c r="M60" s="460">
        <f t="shared" si="72"/>
        <v>0</v>
      </c>
      <c r="N60" s="460">
        <f t="shared" si="72"/>
        <v>0</v>
      </c>
      <c r="O60" s="460">
        <f t="shared" si="72"/>
        <v>0</v>
      </c>
      <c r="P60" s="460">
        <f t="shared" si="72"/>
        <v>0</v>
      </c>
      <c r="Q60" s="460">
        <f t="shared" si="72"/>
        <v>0</v>
      </c>
      <c r="R60" s="460">
        <f t="shared" si="72"/>
        <v>0</v>
      </c>
      <c r="S60" s="460">
        <f t="shared" si="72"/>
        <v>0</v>
      </c>
      <c r="T60" s="460">
        <f t="shared" si="72"/>
        <v>0</v>
      </c>
      <c r="U60" s="460">
        <f t="shared" si="72"/>
        <v>0</v>
      </c>
      <c r="V60" s="460">
        <f t="shared" si="72"/>
        <v>0</v>
      </c>
      <c r="W60" s="460">
        <f t="shared" si="72"/>
        <v>35470248</v>
      </c>
      <c r="X60" s="396">
        <f t="shared" si="72"/>
        <v>0</v>
      </c>
      <c r="Y60" s="396">
        <f t="shared" si="72"/>
        <v>0</v>
      </c>
      <c r="Z60" s="396">
        <f t="shared" si="72"/>
        <v>0</v>
      </c>
      <c r="AA60" s="396">
        <f t="shared" si="72"/>
        <v>0</v>
      </c>
      <c r="AB60" s="396">
        <f t="shared" si="72"/>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7IJZpiucF5ye2kHlX0gg5GC1GvMdN3QoPWz0hUA44FyryrXEj569dGEYK9VIDw2pyYio9o8HJQk8gjuAtcMSXw==" saltValue="eJ/pAxp2TM8RYbuE22KL/A=="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colBreaks count="2" manualBreakCount="2">
    <brk id="20" max="1048575" man="1"/>
    <brk id="2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E069A-CB37-4539-A7B8-BF21B184F799}">
  <sheetPr>
    <tabColor indexed="14"/>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1.4257812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460" hidden="1" customWidth="1"/>
    <col min="23" max="23" width="10.85546875" style="460" customWidth="1"/>
    <col min="24" max="29" width="10.85546875" style="460"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16384" width="8" style="396"/>
  </cols>
  <sheetData>
    <row r="1" spans="1:37" s="397" customFormat="1" ht="21" customHeight="1">
      <c r="A1" s="3663" t="s">
        <v>4275</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row>
    <row r="2" spans="1:37" s="398" customFormat="1" ht="18" customHeight="1">
      <c r="A2" s="3661" t="s">
        <v>3423</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92"/>
      <c r="W3" s="2192"/>
      <c r="X3" s="2192"/>
      <c r="Y3" s="2192"/>
      <c r="Z3" s="2192"/>
      <c r="AA3" s="2192"/>
      <c r="AB3" s="2192"/>
      <c r="AC3" s="2192"/>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2193"/>
      <c r="Y4" s="2193"/>
      <c r="Z4" s="2193"/>
      <c r="AA4" s="2193"/>
      <c r="AB4" s="2193"/>
      <c r="AC4" s="2193"/>
      <c r="AD4" s="1343"/>
      <c r="AE4" s="1343"/>
      <c r="AF4" s="1301" t="s">
        <v>3464</v>
      </c>
      <c r="AG4" s="1301" t="s">
        <v>3913</v>
      </c>
      <c r="AH4" s="1551"/>
      <c r="AI4" s="1845" t="s">
        <v>3913</v>
      </c>
    </row>
    <row r="5" spans="1:37" ht="7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2998"/>
      <c r="Y5" s="2998"/>
      <c r="Z5" s="2998"/>
      <c r="AA5" s="2998"/>
      <c r="AB5" s="2998"/>
      <c r="AC5" s="2998"/>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2999"/>
      <c r="Y6" s="2999"/>
      <c r="Z6" s="2999"/>
      <c r="AA6" s="2999"/>
      <c r="AB6" s="2999"/>
      <c r="AC6" s="2999"/>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2999"/>
      <c r="W7" s="2999"/>
      <c r="X7" s="2999"/>
      <c r="Y7" s="2999"/>
      <c r="Z7" s="2999"/>
      <c r="AA7" s="2999"/>
      <c r="AB7" s="2999"/>
      <c r="AC7" s="2999"/>
      <c r="AD7" s="1281"/>
      <c r="AE7" s="1276"/>
      <c r="AF7" s="1276"/>
      <c r="AG7" s="1276"/>
      <c r="AH7" s="2980"/>
      <c r="AI7" s="1857"/>
      <c r="AK7" s="406"/>
    </row>
    <row r="8" spans="1:37" s="416" customFormat="1" ht="15">
      <c r="A8" s="2933"/>
      <c r="B8" s="1282" t="s">
        <v>3353</v>
      </c>
      <c r="C8" s="1283" t="s">
        <v>1276</v>
      </c>
      <c r="D8" s="1213">
        <f t="shared" ref="D8:AC8" si="0">SUM(D9:D19)</f>
        <v>111575922</v>
      </c>
      <c r="E8" s="2715">
        <f t="shared" si="0"/>
        <v>183132251</v>
      </c>
      <c r="F8" s="1213">
        <f t="shared" si="0"/>
        <v>126319995</v>
      </c>
      <c r="G8" s="1213">
        <f t="shared" si="0"/>
        <v>132460032</v>
      </c>
      <c r="H8" s="1213">
        <f t="shared" si="0"/>
        <v>136105151</v>
      </c>
      <c r="I8" s="1213">
        <f t="shared" si="0"/>
        <v>165406134</v>
      </c>
      <c r="J8" s="1213">
        <f t="shared" si="0"/>
        <v>165406134</v>
      </c>
      <c r="K8" s="3208">
        <f t="shared" si="0"/>
        <v>165406134</v>
      </c>
      <c r="L8" s="1213">
        <f t="shared" si="0"/>
        <v>0</v>
      </c>
      <c r="M8" s="1213">
        <f t="shared" si="0"/>
        <v>0</v>
      </c>
      <c r="N8" s="1213">
        <f t="shared" si="0"/>
        <v>0</v>
      </c>
      <c r="O8" s="1213">
        <f t="shared" si="0"/>
        <v>0</v>
      </c>
      <c r="P8" s="1213">
        <f t="shared" si="0"/>
        <v>0</v>
      </c>
      <c r="Q8" s="1213">
        <f t="shared" si="0"/>
        <v>0</v>
      </c>
      <c r="R8" s="1213">
        <f t="shared" si="0"/>
        <v>126319995</v>
      </c>
      <c r="S8" s="1213">
        <f t="shared" si="0"/>
        <v>132460032</v>
      </c>
      <c r="T8" s="1213">
        <f t="shared" si="0"/>
        <v>136105151</v>
      </c>
      <c r="U8" s="1213">
        <f t="shared" si="0"/>
        <v>165406134</v>
      </c>
      <c r="V8" s="1213">
        <f t="shared" si="0"/>
        <v>165406134</v>
      </c>
      <c r="W8" s="1213">
        <f t="shared" si="0"/>
        <v>165406134</v>
      </c>
      <c r="X8" s="1213">
        <f t="shared" si="0"/>
        <v>0</v>
      </c>
      <c r="Y8" s="1213">
        <f t="shared" si="0"/>
        <v>0</v>
      </c>
      <c r="Z8" s="1213">
        <f t="shared" si="0"/>
        <v>0</v>
      </c>
      <c r="AA8" s="1213">
        <f t="shared" si="0"/>
        <v>0</v>
      </c>
      <c r="AB8" s="1213">
        <f t="shared" si="0"/>
        <v>0</v>
      </c>
      <c r="AC8" s="1213">
        <f t="shared" si="0"/>
        <v>0</v>
      </c>
      <c r="AD8" s="1284"/>
      <c r="AE8" s="1213">
        <f t="shared" ref="AE8:AE56" si="1">+G8-F8</f>
        <v>6140037</v>
      </c>
      <c r="AF8" s="1213">
        <f t="shared" ref="AF8:AF55" si="2">+H8-G8</f>
        <v>3645119</v>
      </c>
      <c r="AG8" s="1213">
        <f t="shared" ref="AG8:AG55" si="3">+I8-H8</f>
        <v>29300983</v>
      </c>
      <c r="AH8" s="2919">
        <f t="shared" ref="AH8:AH55" si="4">+J8-I8</f>
        <v>0</v>
      </c>
      <c r="AI8" s="1829">
        <f>+K8/I8</f>
        <v>1</v>
      </c>
      <c r="AJ8" s="417">
        <f>+F8-D8</f>
        <v>14744073</v>
      </c>
      <c r="AK8" s="412"/>
    </row>
    <row r="9" spans="1:37" s="416" customFormat="1" ht="15">
      <c r="A9" s="2933"/>
      <c r="B9" s="1285" t="s">
        <v>176</v>
      </c>
      <c r="C9" s="1286" t="s">
        <v>226</v>
      </c>
      <c r="D9" s="1287">
        <v>0</v>
      </c>
      <c r="E9" s="2716">
        <v>0</v>
      </c>
      <c r="F9" s="1287">
        <v>0</v>
      </c>
      <c r="G9" s="1287">
        <f t="shared" ref="G9:G19" si="5">+F9</f>
        <v>0</v>
      </c>
      <c r="H9" s="1287">
        <f t="shared" ref="H9:H19" si="6">+G9</f>
        <v>0</v>
      </c>
      <c r="I9" s="1287">
        <f t="shared" ref="I9:I17" si="7">+H9</f>
        <v>0</v>
      </c>
      <c r="J9" s="1287">
        <f t="shared" ref="J9:J19" si="8">+I9</f>
        <v>0</v>
      </c>
      <c r="K9" s="3219">
        <v>0</v>
      </c>
      <c r="L9" s="1287">
        <v>0</v>
      </c>
      <c r="M9" s="1287">
        <f t="shared" ref="M9:M17" si="9">+L9</f>
        <v>0</v>
      </c>
      <c r="N9" s="1287">
        <f t="shared" ref="N9:N19" si="10">+M9</f>
        <v>0</v>
      </c>
      <c r="O9" s="1287">
        <f t="shared" ref="O9:O17" si="11">+N9</f>
        <v>0</v>
      </c>
      <c r="P9" s="1287">
        <f t="shared" ref="P9:P17" si="12">+O9</f>
        <v>0</v>
      </c>
      <c r="Q9" s="1287">
        <v>0</v>
      </c>
      <c r="R9" s="1287">
        <v>0</v>
      </c>
      <c r="S9" s="1287">
        <f t="shared" ref="S9:S16" si="13">+R9</f>
        <v>0</v>
      </c>
      <c r="T9" s="1287">
        <f t="shared" ref="T9:T19" si="14">+S9</f>
        <v>0</v>
      </c>
      <c r="U9" s="1287">
        <f t="shared" ref="U9:U17" si="15">+T9</f>
        <v>0</v>
      </c>
      <c r="V9" s="1291">
        <f t="shared" ref="V9:V18" si="16">+U9</f>
        <v>0</v>
      </c>
      <c r="W9" s="1291">
        <f>+K9</f>
        <v>0</v>
      </c>
      <c r="X9" s="1291"/>
      <c r="Y9" s="1291">
        <f t="shared" ref="Y9:Y17" si="17">+X9</f>
        <v>0</v>
      </c>
      <c r="Z9" s="1291">
        <f t="shared" ref="Z9:Z17" si="18">+Y9</f>
        <v>0</v>
      </c>
      <c r="AA9" s="1291">
        <f t="shared" ref="AA9:AA17" si="19">+Z9</f>
        <v>0</v>
      </c>
      <c r="AB9" s="1291">
        <f t="shared" ref="AB9:AB17" si="20">+AA9</f>
        <v>0</v>
      </c>
      <c r="AC9" s="1291">
        <f t="shared" ref="AC9:AC17" si="21">+AB9</f>
        <v>0</v>
      </c>
      <c r="AD9" s="1284"/>
      <c r="AE9" s="1213">
        <f t="shared" si="1"/>
        <v>0</v>
      </c>
      <c r="AF9" s="1213">
        <f t="shared" si="2"/>
        <v>0</v>
      </c>
      <c r="AG9" s="1213">
        <f t="shared" si="3"/>
        <v>0</v>
      </c>
      <c r="AH9" s="2919">
        <f t="shared" si="4"/>
        <v>0</v>
      </c>
      <c r="AI9" s="1834"/>
      <c r="AJ9" s="417">
        <f t="shared" ref="AJ9:AJ37" si="22">+F9-D9</f>
        <v>0</v>
      </c>
      <c r="AK9" s="420"/>
    </row>
    <row r="10" spans="1:37" s="416" customFormat="1" ht="15">
      <c r="A10" s="2933"/>
      <c r="B10" s="1285" t="s">
        <v>178</v>
      </c>
      <c r="C10" s="1286" t="s">
        <v>228</v>
      </c>
      <c r="D10" s="1287">
        <v>90994221</v>
      </c>
      <c r="E10" s="2716">
        <v>131953939</v>
      </c>
      <c r="F10" s="1287">
        <f>116325331-13485000</f>
        <v>102840331</v>
      </c>
      <c r="G10" s="1287">
        <f t="shared" si="5"/>
        <v>102840331</v>
      </c>
      <c r="H10" s="1287">
        <f t="shared" si="6"/>
        <v>102840331</v>
      </c>
      <c r="I10" s="1287">
        <f>+H10+24705156</f>
        <v>127545487</v>
      </c>
      <c r="J10" s="1287">
        <f t="shared" si="8"/>
        <v>127545487</v>
      </c>
      <c r="K10" s="3219">
        <v>127545487</v>
      </c>
      <c r="L10" s="1287">
        <v>0</v>
      </c>
      <c r="M10" s="1287">
        <f t="shared" si="9"/>
        <v>0</v>
      </c>
      <c r="N10" s="1287">
        <f t="shared" si="10"/>
        <v>0</v>
      </c>
      <c r="O10" s="1287">
        <f t="shared" si="11"/>
        <v>0</v>
      </c>
      <c r="P10" s="1287">
        <f t="shared" si="12"/>
        <v>0</v>
      </c>
      <c r="Q10" s="1287">
        <v>0</v>
      </c>
      <c r="R10" s="1287">
        <f>+F10</f>
        <v>102840331</v>
      </c>
      <c r="S10" s="1287">
        <f t="shared" si="13"/>
        <v>102840331</v>
      </c>
      <c r="T10" s="1287">
        <f t="shared" si="14"/>
        <v>102840331</v>
      </c>
      <c r="U10" s="1287">
        <f>+T10+24705156</f>
        <v>127545487</v>
      </c>
      <c r="V10" s="1291">
        <f t="shared" si="16"/>
        <v>127545487</v>
      </c>
      <c r="W10" s="1291">
        <f t="shared" ref="W10:W19" si="23">+K10</f>
        <v>127545487</v>
      </c>
      <c r="X10" s="1291"/>
      <c r="Y10" s="1291">
        <f t="shared" si="17"/>
        <v>0</v>
      </c>
      <c r="Z10" s="1291">
        <f t="shared" si="18"/>
        <v>0</v>
      </c>
      <c r="AA10" s="1291">
        <f t="shared" si="19"/>
        <v>0</v>
      </c>
      <c r="AB10" s="1291">
        <f t="shared" si="20"/>
        <v>0</v>
      </c>
      <c r="AC10" s="1291">
        <f t="shared" si="21"/>
        <v>0</v>
      </c>
      <c r="AD10" s="1284"/>
      <c r="AE10" s="1213">
        <f t="shared" si="1"/>
        <v>0</v>
      </c>
      <c r="AF10" s="1213">
        <f t="shared" si="2"/>
        <v>0</v>
      </c>
      <c r="AG10" s="1213">
        <f t="shared" si="3"/>
        <v>24705156</v>
      </c>
      <c r="AH10" s="2919">
        <f t="shared" si="4"/>
        <v>0</v>
      </c>
      <c r="AI10" s="1834">
        <f t="shared" ref="AI10:AI37" si="24">+K10/I10</f>
        <v>1</v>
      </c>
      <c r="AJ10" s="417">
        <f t="shared" si="22"/>
        <v>11846110</v>
      </c>
      <c r="AK10" s="420"/>
    </row>
    <row r="11" spans="1:37" s="416" customFormat="1" ht="15">
      <c r="A11" s="2933"/>
      <c r="B11" s="1289" t="s">
        <v>179</v>
      </c>
      <c r="C11" s="1286" t="s">
        <v>460</v>
      </c>
      <c r="D11" s="1287">
        <v>3032000</v>
      </c>
      <c r="E11" s="2716">
        <v>5712272</v>
      </c>
      <c r="F11" s="1287">
        <v>4532000</v>
      </c>
      <c r="G11" s="1287">
        <f t="shared" si="5"/>
        <v>4532000</v>
      </c>
      <c r="H11" s="1287">
        <f t="shared" si="6"/>
        <v>4532000</v>
      </c>
      <c r="I11" s="1287">
        <f>+H11+2036295</f>
        <v>6568295</v>
      </c>
      <c r="J11" s="1287">
        <f t="shared" si="8"/>
        <v>6568295</v>
      </c>
      <c r="K11" s="3219">
        <v>6568295</v>
      </c>
      <c r="L11" s="1287">
        <v>0</v>
      </c>
      <c r="M11" s="1287">
        <f t="shared" si="9"/>
        <v>0</v>
      </c>
      <c r="N11" s="1287">
        <f t="shared" si="10"/>
        <v>0</v>
      </c>
      <c r="O11" s="1287">
        <f t="shared" si="11"/>
        <v>0</v>
      </c>
      <c r="P11" s="1287">
        <f t="shared" si="12"/>
        <v>0</v>
      </c>
      <c r="Q11" s="1287">
        <v>0</v>
      </c>
      <c r="R11" s="1287">
        <f>+F11</f>
        <v>4532000</v>
      </c>
      <c r="S11" s="1287">
        <f t="shared" si="13"/>
        <v>4532000</v>
      </c>
      <c r="T11" s="1287">
        <f t="shared" si="14"/>
        <v>4532000</v>
      </c>
      <c r="U11" s="1287">
        <f>+T11+2036295</f>
        <v>6568295</v>
      </c>
      <c r="V11" s="1291">
        <f t="shared" si="16"/>
        <v>6568295</v>
      </c>
      <c r="W11" s="1291">
        <f t="shared" si="23"/>
        <v>6568295</v>
      </c>
      <c r="X11" s="1291"/>
      <c r="Y11" s="1291">
        <f t="shared" si="17"/>
        <v>0</v>
      </c>
      <c r="Z11" s="1291">
        <f t="shared" si="18"/>
        <v>0</v>
      </c>
      <c r="AA11" s="1291">
        <f t="shared" si="19"/>
        <v>0</v>
      </c>
      <c r="AB11" s="1291">
        <f t="shared" si="20"/>
        <v>0</v>
      </c>
      <c r="AC11" s="1291">
        <f t="shared" si="21"/>
        <v>0</v>
      </c>
      <c r="AD11" s="1284"/>
      <c r="AE11" s="1213">
        <f t="shared" si="1"/>
        <v>0</v>
      </c>
      <c r="AF11" s="1213">
        <f t="shared" si="2"/>
        <v>0</v>
      </c>
      <c r="AG11" s="1213">
        <f t="shared" si="3"/>
        <v>2036295</v>
      </c>
      <c r="AH11" s="2919">
        <f t="shared" si="4"/>
        <v>0</v>
      </c>
      <c r="AI11" s="1834">
        <f t="shared" si="24"/>
        <v>1</v>
      </c>
      <c r="AJ11" s="417">
        <f t="shared" si="22"/>
        <v>1500000</v>
      </c>
      <c r="AK11" s="420"/>
    </row>
    <row r="12" spans="1:37" s="416" customFormat="1" ht="15">
      <c r="A12" s="2933"/>
      <c r="B12" s="1289" t="s">
        <v>180</v>
      </c>
      <c r="C12" s="1286" t="s">
        <v>232</v>
      </c>
      <c r="D12" s="1287">
        <v>0</v>
      </c>
      <c r="E12" s="2716">
        <v>0</v>
      </c>
      <c r="F12" s="1287">
        <v>0</v>
      </c>
      <c r="G12" s="1287">
        <f t="shared" si="5"/>
        <v>0</v>
      </c>
      <c r="H12" s="1287">
        <f t="shared" si="6"/>
        <v>0</v>
      </c>
      <c r="I12" s="1287">
        <f t="shared" si="7"/>
        <v>0</v>
      </c>
      <c r="J12" s="1287">
        <f t="shared" si="8"/>
        <v>0</v>
      </c>
      <c r="K12" s="3219">
        <v>0</v>
      </c>
      <c r="L12" s="1287">
        <v>0</v>
      </c>
      <c r="M12" s="1287">
        <f t="shared" si="9"/>
        <v>0</v>
      </c>
      <c r="N12" s="1287">
        <f t="shared" si="10"/>
        <v>0</v>
      </c>
      <c r="O12" s="1287">
        <f t="shared" si="11"/>
        <v>0</v>
      </c>
      <c r="P12" s="1287">
        <f t="shared" si="12"/>
        <v>0</v>
      </c>
      <c r="Q12" s="1287">
        <v>0</v>
      </c>
      <c r="R12" s="1287">
        <v>0</v>
      </c>
      <c r="S12" s="1287">
        <f t="shared" si="13"/>
        <v>0</v>
      </c>
      <c r="T12" s="1287">
        <f t="shared" si="14"/>
        <v>0</v>
      </c>
      <c r="U12" s="1287">
        <f t="shared" si="15"/>
        <v>0</v>
      </c>
      <c r="V12" s="1291">
        <f t="shared" si="16"/>
        <v>0</v>
      </c>
      <c r="W12" s="1291">
        <f t="shared" si="23"/>
        <v>0</v>
      </c>
      <c r="X12" s="1291"/>
      <c r="Y12" s="1291">
        <f t="shared" si="17"/>
        <v>0</v>
      </c>
      <c r="Z12" s="1291">
        <f t="shared" si="18"/>
        <v>0</v>
      </c>
      <c r="AA12" s="1291">
        <f t="shared" si="19"/>
        <v>0</v>
      </c>
      <c r="AB12" s="1291">
        <f t="shared" si="20"/>
        <v>0</v>
      </c>
      <c r="AC12" s="1291">
        <f t="shared" si="21"/>
        <v>0</v>
      </c>
      <c r="AD12" s="1284"/>
      <c r="AE12" s="1213">
        <f t="shared" si="1"/>
        <v>0</v>
      </c>
      <c r="AF12" s="1213">
        <f t="shared" si="2"/>
        <v>0</v>
      </c>
      <c r="AG12" s="1213">
        <f t="shared" si="3"/>
        <v>0</v>
      </c>
      <c r="AH12" s="2919">
        <f t="shared" si="4"/>
        <v>0</v>
      </c>
      <c r="AI12" s="1834"/>
      <c r="AJ12" s="417">
        <f t="shared" si="22"/>
        <v>0</v>
      </c>
      <c r="AK12" s="420"/>
    </row>
    <row r="13" spans="1:37" s="416" customFormat="1" ht="15">
      <c r="A13" s="2933"/>
      <c r="B13" s="1289" t="s">
        <v>181</v>
      </c>
      <c r="C13" s="1286" t="s">
        <v>234</v>
      </c>
      <c r="D13" s="1287">
        <v>0</v>
      </c>
      <c r="E13" s="2716">
        <v>0</v>
      </c>
      <c r="F13" s="1287">
        <v>0</v>
      </c>
      <c r="G13" s="1287">
        <f t="shared" si="5"/>
        <v>0</v>
      </c>
      <c r="H13" s="1287">
        <f t="shared" si="6"/>
        <v>0</v>
      </c>
      <c r="I13" s="1287">
        <f t="shared" si="7"/>
        <v>0</v>
      </c>
      <c r="J13" s="1287">
        <f t="shared" si="8"/>
        <v>0</v>
      </c>
      <c r="K13" s="3219">
        <v>0</v>
      </c>
      <c r="L13" s="1287">
        <v>0</v>
      </c>
      <c r="M13" s="1287">
        <f t="shared" si="9"/>
        <v>0</v>
      </c>
      <c r="N13" s="1287">
        <f t="shared" si="10"/>
        <v>0</v>
      </c>
      <c r="O13" s="1287">
        <f t="shared" si="11"/>
        <v>0</v>
      </c>
      <c r="P13" s="1287">
        <f t="shared" si="12"/>
        <v>0</v>
      </c>
      <c r="Q13" s="1287">
        <v>0</v>
      </c>
      <c r="R13" s="1287">
        <v>0</v>
      </c>
      <c r="S13" s="1287">
        <f t="shared" si="13"/>
        <v>0</v>
      </c>
      <c r="T13" s="1287">
        <f t="shared" si="14"/>
        <v>0</v>
      </c>
      <c r="U13" s="1287">
        <f t="shared" si="15"/>
        <v>0</v>
      </c>
      <c r="V13" s="1291">
        <f t="shared" si="16"/>
        <v>0</v>
      </c>
      <c r="W13" s="1291">
        <f t="shared" si="23"/>
        <v>0</v>
      </c>
      <c r="X13" s="1291"/>
      <c r="Y13" s="1291">
        <f t="shared" si="17"/>
        <v>0</v>
      </c>
      <c r="Z13" s="1291">
        <f t="shared" si="18"/>
        <v>0</v>
      </c>
      <c r="AA13" s="1291">
        <f t="shared" si="19"/>
        <v>0</v>
      </c>
      <c r="AB13" s="1291">
        <f t="shared" si="20"/>
        <v>0</v>
      </c>
      <c r="AC13" s="1291">
        <f t="shared" si="21"/>
        <v>0</v>
      </c>
      <c r="AD13" s="1284"/>
      <c r="AE13" s="1213">
        <f t="shared" si="1"/>
        <v>0</v>
      </c>
      <c r="AF13" s="1213">
        <f t="shared" si="2"/>
        <v>0</v>
      </c>
      <c r="AG13" s="1213">
        <f t="shared" si="3"/>
        <v>0</v>
      </c>
      <c r="AH13" s="2919">
        <f t="shared" si="4"/>
        <v>0</v>
      </c>
      <c r="AI13" s="1834"/>
      <c r="AJ13" s="417">
        <f t="shared" si="22"/>
        <v>0</v>
      </c>
      <c r="AK13" s="420"/>
    </row>
    <row r="14" spans="1:37" s="416" customFormat="1" ht="15">
      <c r="A14" s="2933"/>
      <c r="B14" s="1289" t="s">
        <v>183</v>
      </c>
      <c r="C14" s="1286" t="s">
        <v>887</v>
      </c>
      <c r="D14" s="1287">
        <v>12483510</v>
      </c>
      <c r="E14" s="2716">
        <v>20542418</v>
      </c>
      <c r="F14" s="1287">
        <f>17912959-3640950</f>
        <v>14272009</v>
      </c>
      <c r="G14" s="1287">
        <f t="shared" si="5"/>
        <v>14272009</v>
      </c>
      <c r="H14" s="1287">
        <f t="shared" si="6"/>
        <v>14272009</v>
      </c>
      <c r="I14" s="1287">
        <f>+H14+2388440</f>
        <v>16660449</v>
      </c>
      <c r="J14" s="1287">
        <f t="shared" si="8"/>
        <v>16660449</v>
      </c>
      <c r="K14" s="3219">
        <v>16660449</v>
      </c>
      <c r="L14" s="1287">
        <v>0</v>
      </c>
      <c r="M14" s="1287">
        <f t="shared" si="9"/>
        <v>0</v>
      </c>
      <c r="N14" s="1287">
        <f t="shared" si="10"/>
        <v>0</v>
      </c>
      <c r="O14" s="1287">
        <f t="shared" si="11"/>
        <v>0</v>
      </c>
      <c r="P14" s="1287">
        <f t="shared" si="12"/>
        <v>0</v>
      </c>
      <c r="Q14" s="1287">
        <v>0</v>
      </c>
      <c r="R14" s="1287">
        <f>+F14</f>
        <v>14272009</v>
      </c>
      <c r="S14" s="1287">
        <f t="shared" si="13"/>
        <v>14272009</v>
      </c>
      <c r="T14" s="1287">
        <f t="shared" si="14"/>
        <v>14272009</v>
      </c>
      <c r="U14" s="1287">
        <f>+T14+2388440</f>
        <v>16660449</v>
      </c>
      <c r="V14" s="1291">
        <f t="shared" si="16"/>
        <v>16660449</v>
      </c>
      <c r="W14" s="1291">
        <f t="shared" si="23"/>
        <v>16660449</v>
      </c>
      <c r="X14" s="1291"/>
      <c r="Y14" s="1291">
        <f t="shared" si="17"/>
        <v>0</v>
      </c>
      <c r="Z14" s="1291">
        <f t="shared" si="18"/>
        <v>0</v>
      </c>
      <c r="AA14" s="1291">
        <f t="shared" si="19"/>
        <v>0</v>
      </c>
      <c r="AB14" s="1291">
        <f t="shared" si="20"/>
        <v>0</v>
      </c>
      <c r="AC14" s="1291">
        <f t="shared" si="21"/>
        <v>0</v>
      </c>
      <c r="AD14" s="1284"/>
      <c r="AE14" s="1213">
        <f t="shared" si="1"/>
        <v>0</v>
      </c>
      <c r="AF14" s="1213">
        <f t="shared" si="2"/>
        <v>0</v>
      </c>
      <c r="AG14" s="1213">
        <f t="shared" si="3"/>
        <v>2388440</v>
      </c>
      <c r="AH14" s="2919">
        <f t="shared" si="4"/>
        <v>0</v>
      </c>
      <c r="AI14" s="1834">
        <f t="shared" si="24"/>
        <v>1</v>
      </c>
      <c r="AJ14" s="417">
        <f t="shared" si="22"/>
        <v>1788499</v>
      </c>
      <c r="AK14" s="420"/>
    </row>
    <row r="15" spans="1:37" s="416" customFormat="1" ht="15">
      <c r="A15" s="2933"/>
      <c r="B15" s="1289" t="s">
        <v>321</v>
      </c>
      <c r="C15" s="1290" t="s">
        <v>238</v>
      </c>
      <c r="D15" s="1287">
        <v>0</v>
      </c>
      <c r="E15" s="2716">
        <v>13473734</v>
      </c>
      <c r="F15" s="1287">
        <v>0</v>
      </c>
      <c r="G15" s="1287">
        <f>+F15+5952707</f>
        <v>5952707</v>
      </c>
      <c r="H15" s="1287">
        <f>+G15+3645119</f>
        <v>9597826</v>
      </c>
      <c r="I15" s="1287">
        <f>+H15+6380650-6268547</f>
        <v>9709929</v>
      </c>
      <c r="J15" s="1287">
        <f t="shared" si="8"/>
        <v>9709929</v>
      </c>
      <c r="K15" s="3219">
        <v>9709929</v>
      </c>
      <c r="L15" s="1287">
        <v>0</v>
      </c>
      <c r="M15" s="1287">
        <f t="shared" si="9"/>
        <v>0</v>
      </c>
      <c r="N15" s="1287">
        <f t="shared" si="10"/>
        <v>0</v>
      </c>
      <c r="O15" s="1287">
        <f t="shared" si="11"/>
        <v>0</v>
      </c>
      <c r="P15" s="1287">
        <f t="shared" si="12"/>
        <v>0</v>
      </c>
      <c r="Q15" s="1287">
        <v>0</v>
      </c>
      <c r="R15" s="1287">
        <f>+F15</f>
        <v>0</v>
      </c>
      <c r="S15" s="1287">
        <f>+R15+5952707</f>
        <v>5952707</v>
      </c>
      <c r="T15" s="1287">
        <f>+S15+3645119</f>
        <v>9597826</v>
      </c>
      <c r="U15" s="1287">
        <f>+T15+6380650-6268547</f>
        <v>9709929</v>
      </c>
      <c r="V15" s="1291">
        <f t="shared" si="16"/>
        <v>9709929</v>
      </c>
      <c r="W15" s="1291">
        <f t="shared" si="23"/>
        <v>9709929</v>
      </c>
      <c r="X15" s="1291"/>
      <c r="Y15" s="1291">
        <f t="shared" si="17"/>
        <v>0</v>
      </c>
      <c r="Z15" s="1291">
        <f t="shared" si="18"/>
        <v>0</v>
      </c>
      <c r="AA15" s="1291">
        <f t="shared" si="19"/>
        <v>0</v>
      </c>
      <c r="AB15" s="1291">
        <f t="shared" si="20"/>
        <v>0</v>
      </c>
      <c r="AC15" s="1291">
        <f t="shared" si="21"/>
        <v>0</v>
      </c>
      <c r="AD15" s="1665"/>
      <c r="AE15" s="1213">
        <f t="shared" si="1"/>
        <v>5952707</v>
      </c>
      <c r="AF15" s="1213">
        <f t="shared" si="2"/>
        <v>3645119</v>
      </c>
      <c r="AG15" s="1213">
        <f t="shared" si="3"/>
        <v>112103</v>
      </c>
      <c r="AH15" s="2919">
        <f t="shared" si="4"/>
        <v>0</v>
      </c>
      <c r="AI15" s="1834">
        <f t="shared" si="24"/>
        <v>1</v>
      </c>
      <c r="AJ15" s="417">
        <f t="shared" si="22"/>
        <v>0</v>
      </c>
      <c r="AK15" s="420"/>
    </row>
    <row r="16" spans="1:37" s="416" customFormat="1" ht="15">
      <c r="A16" s="2933"/>
      <c r="B16" s="1289" t="s">
        <v>323</v>
      </c>
      <c r="C16" s="1286" t="s">
        <v>1277</v>
      </c>
      <c r="D16" s="1287">
        <v>5066191</v>
      </c>
      <c r="E16" s="2716">
        <v>7978128</v>
      </c>
      <c r="F16" s="1287">
        <v>4675655</v>
      </c>
      <c r="G16" s="1287">
        <f t="shared" si="5"/>
        <v>4675655</v>
      </c>
      <c r="H16" s="1287">
        <f>+G16</f>
        <v>4675655</v>
      </c>
      <c r="I16" s="1287">
        <f>+H16-1549977</f>
        <v>3125678</v>
      </c>
      <c r="J16" s="1287">
        <f t="shared" si="8"/>
        <v>3125678</v>
      </c>
      <c r="K16" s="3219">
        <v>3125678</v>
      </c>
      <c r="L16" s="1287">
        <v>0</v>
      </c>
      <c r="M16" s="1287">
        <f t="shared" si="9"/>
        <v>0</v>
      </c>
      <c r="N16" s="1287">
        <f t="shared" si="10"/>
        <v>0</v>
      </c>
      <c r="O16" s="1287">
        <f t="shared" si="11"/>
        <v>0</v>
      </c>
      <c r="P16" s="1287">
        <f t="shared" si="12"/>
        <v>0</v>
      </c>
      <c r="Q16" s="1287">
        <v>0</v>
      </c>
      <c r="R16" s="1287">
        <f>+F16</f>
        <v>4675655</v>
      </c>
      <c r="S16" s="1287">
        <f t="shared" si="13"/>
        <v>4675655</v>
      </c>
      <c r="T16" s="1287">
        <f t="shared" si="14"/>
        <v>4675655</v>
      </c>
      <c r="U16" s="1287">
        <f>+T16-1549977</f>
        <v>3125678</v>
      </c>
      <c r="V16" s="1291">
        <f t="shared" si="16"/>
        <v>3125678</v>
      </c>
      <c r="W16" s="1291">
        <f t="shared" si="23"/>
        <v>3125678</v>
      </c>
      <c r="X16" s="1291"/>
      <c r="Y16" s="1291">
        <f t="shared" si="17"/>
        <v>0</v>
      </c>
      <c r="Z16" s="1291">
        <f t="shared" si="18"/>
        <v>0</v>
      </c>
      <c r="AA16" s="1291">
        <f t="shared" si="19"/>
        <v>0</v>
      </c>
      <c r="AB16" s="1291">
        <f t="shared" si="20"/>
        <v>0</v>
      </c>
      <c r="AC16" s="1291">
        <f t="shared" si="21"/>
        <v>0</v>
      </c>
      <c r="AD16" s="1284"/>
      <c r="AE16" s="1213">
        <f t="shared" si="1"/>
        <v>0</v>
      </c>
      <c r="AF16" s="1213">
        <f t="shared" si="2"/>
        <v>0</v>
      </c>
      <c r="AG16" s="1213">
        <f t="shared" si="3"/>
        <v>-1549977</v>
      </c>
      <c r="AH16" s="2919">
        <f t="shared" si="4"/>
        <v>0</v>
      </c>
      <c r="AI16" s="1834">
        <f t="shared" si="24"/>
        <v>1</v>
      </c>
      <c r="AJ16" s="417">
        <f t="shared" si="22"/>
        <v>-390536</v>
      </c>
      <c r="AK16" s="420"/>
    </row>
    <row r="17" spans="1:37" s="416" customFormat="1" ht="15">
      <c r="A17" s="2933"/>
      <c r="B17" s="1289" t="s">
        <v>325</v>
      </c>
      <c r="C17" s="1286" t="s">
        <v>242</v>
      </c>
      <c r="D17" s="1287">
        <v>0</v>
      </c>
      <c r="E17" s="2716">
        <v>0</v>
      </c>
      <c r="F17" s="1287">
        <v>0</v>
      </c>
      <c r="G17" s="1287">
        <f t="shared" si="5"/>
        <v>0</v>
      </c>
      <c r="H17" s="1287">
        <f t="shared" si="6"/>
        <v>0</v>
      </c>
      <c r="I17" s="1287">
        <f t="shared" si="7"/>
        <v>0</v>
      </c>
      <c r="J17" s="1287">
        <f t="shared" si="8"/>
        <v>0</v>
      </c>
      <c r="K17" s="3219">
        <v>0</v>
      </c>
      <c r="L17" s="1287">
        <v>0</v>
      </c>
      <c r="M17" s="1287">
        <f t="shared" si="9"/>
        <v>0</v>
      </c>
      <c r="N17" s="1287">
        <f t="shared" si="10"/>
        <v>0</v>
      </c>
      <c r="O17" s="1287">
        <f t="shared" si="11"/>
        <v>0</v>
      </c>
      <c r="P17" s="1287">
        <f t="shared" si="12"/>
        <v>0</v>
      </c>
      <c r="Q17" s="1287">
        <v>0</v>
      </c>
      <c r="R17" s="1287">
        <v>0</v>
      </c>
      <c r="S17" s="1287">
        <f>+R17</f>
        <v>0</v>
      </c>
      <c r="T17" s="1287">
        <f t="shared" si="14"/>
        <v>0</v>
      </c>
      <c r="U17" s="1287">
        <f t="shared" si="15"/>
        <v>0</v>
      </c>
      <c r="V17" s="1291">
        <f t="shared" si="16"/>
        <v>0</v>
      </c>
      <c r="W17" s="1291">
        <f t="shared" si="23"/>
        <v>0</v>
      </c>
      <c r="X17" s="1291"/>
      <c r="Y17" s="1291">
        <f t="shared" si="17"/>
        <v>0</v>
      </c>
      <c r="Z17" s="1291">
        <f t="shared" si="18"/>
        <v>0</v>
      </c>
      <c r="AA17" s="1291">
        <f t="shared" si="19"/>
        <v>0</v>
      </c>
      <c r="AB17" s="1291">
        <f t="shared" si="20"/>
        <v>0</v>
      </c>
      <c r="AC17" s="1291">
        <f t="shared" si="21"/>
        <v>0</v>
      </c>
      <c r="AD17" s="1284"/>
      <c r="AE17" s="1213">
        <f t="shared" si="1"/>
        <v>0</v>
      </c>
      <c r="AF17" s="1213">
        <f t="shared" si="2"/>
        <v>0</v>
      </c>
      <c r="AG17" s="1213">
        <f t="shared" si="3"/>
        <v>0</v>
      </c>
      <c r="AH17" s="2919">
        <f t="shared" si="4"/>
        <v>0</v>
      </c>
      <c r="AI17" s="1834"/>
      <c r="AJ17" s="417">
        <f t="shared" si="22"/>
        <v>0</v>
      </c>
      <c r="AK17" s="420"/>
    </row>
    <row r="18" spans="1:37" s="416" customFormat="1" ht="15">
      <c r="A18" s="2933"/>
      <c r="B18" s="1289" t="s">
        <v>327</v>
      </c>
      <c r="C18" s="1286" t="s">
        <v>163</v>
      </c>
      <c r="D18" s="1287">
        <v>0</v>
      </c>
      <c r="E18" s="2716">
        <v>2004263</v>
      </c>
      <c r="F18" s="1287">
        <v>0</v>
      </c>
      <c r="G18" s="1287">
        <f>+F18+187330</f>
        <v>187330</v>
      </c>
      <c r="H18" s="1287">
        <f t="shared" si="6"/>
        <v>187330</v>
      </c>
      <c r="I18" s="1287">
        <f>+H18+620610</f>
        <v>807940</v>
      </c>
      <c r="J18" s="1287">
        <f t="shared" si="8"/>
        <v>807940</v>
      </c>
      <c r="K18" s="3219">
        <v>807940</v>
      </c>
      <c r="L18" s="1287">
        <v>0</v>
      </c>
      <c r="M18" s="1287">
        <v>0</v>
      </c>
      <c r="N18" s="1287">
        <f t="shared" si="10"/>
        <v>0</v>
      </c>
      <c r="O18" s="1287">
        <v>0</v>
      </c>
      <c r="P18" s="1287"/>
      <c r="Q18" s="1287">
        <v>0</v>
      </c>
      <c r="R18" s="1287">
        <v>0</v>
      </c>
      <c r="S18" s="1287">
        <f>+R18+187330</f>
        <v>187330</v>
      </c>
      <c r="T18" s="1287">
        <f t="shared" si="14"/>
        <v>187330</v>
      </c>
      <c r="U18" s="1287">
        <f>+T18+620610</f>
        <v>807940</v>
      </c>
      <c r="V18" s="1291">
        <f t="shared" si="16"/>
        <v>807940</v>
      </c>
      <c r="W18" s="1291">
        <f t="shared" si="23"/>
        <v>807940</v>
      </c>
      <c r="X18" s="1291"/>
      <c r="Y18" s="1291">
        <f t="shared" ref="Y18:AC19" si="25">+X18</f>
        <v>0</v>
      </c>
      <c r="Z18" s="1291">
        <f t="shared" si="25"/>
        <v>0</v>
      </c>
      <c r="AA18" s="1291">
        <f t="shared" si="25"/>
        <v>0</v>
      </c>
      <c r="AB18" s="1291">
        <f t="shared" si="25"/>
        <v>0</v>
      </c>
      <c r="AC18" s="1291">
        <f t="shared" si="25"/>
        <v>0</v>
      </c>
      <c r="AD18" s="1284"/>
      <c r="AE18" s="1213">
        <f t="shared" si="1"/>
        <v>187330</v>
      </c>
      <c r="AF18" s="1213">
        <f t="shared" si="2"/>
        <v>0</v>
      </c>
      <c r="AG18" s="1213">
        <f t="shared" si="3"/>
        <v>620610</v>
      </c>
      <c r="AH18" s="2919">
        <f t="shared" si="4"/>
        <v>0</v>
      </c>
      <c r="AI18" s="1834">
        <f t="shared" si="24"/>
        <v>1</v>
      </c>
      <c r="AJ18" s="417">
        <f t="shared" si="22"/>
        <v>0</v>
      </c>
      <c r="AK18" s="420"/>
    </row>
    <row r="19" spans="1:37" s="424" customFormat="1" ht="15">
      <c r="A19" s="2933"/>
      <c r="B19" s="1289" t="s">
        <v>329</v>
      </c>
      <c r="C19" s="1286" t="s">
        <v>162</v>
      </c>
      <c r="D19" s="1287">
        <v>0</v>
      </c>
      <c r="E19" s="2716">
        <v>1467497</v>
      </c>
      <c r="F19" s="1287">
        <v>0</v>
      </c>
      <c r="G19" s="1287">
        <f t="shared" si="5"/>
        <v>0</v>
      </c>
      <c r="H19" s="1287">
        <f t="shared" si="6"/>
        <v>0</v>
      </c>
      <c r="I19" s="1287">
        <f>+H19+988356</f>
        <v>988356</v>
      </c>
      <c r="J19" s="1287">
        <f t="shared" si="8"/>
        <v>988356</v>
      </c>
      <c r="K19" s="3219">
        <v>988356</v>
      </c>
      <c r="L19" s="1287">
        <v>0</v>
      </c>
      <c r="M19" s="1287">
        <f>+L19</f>
        <v>0</v>
      </c>
      <c r="N19" s="1287">
        <f t="shared" si="10"/>
        <v>0</v>
      </c>
      <c r="O19" s="1287">
        <f>+N19</f>
        <v>0</v>
      </c>
      <c r="P19" s="1287">
        <f>+O19</f>
        <v>0</v>
      </c>
      <c r="Q19" s="1287">
        <v>0</v>
      </c>
      <c r="R19" s="1287">
        <v>0</v>
      </c>
      <c r="S19" s="1287">
        <f>+R19</f>
        <v>0</v>
      </c>
      <c r="T19" s="1287">
        <f t="shared" si="14"/>
        <v>0</v>
      </c>
      <c r="U19" s="1287">
        <f>+T19+988356</f>
        <v>988356</v>
      </c>
      <c r="V19" s="1291">
        <f>+U19</f>
        <v>988356</v>
      </c>
      <c r="W19" s="1291">
        <f t="shared" si="23"/>
        <v>988356</v>
      </c>
      <c r="X19" s="1291"/>
      <c r="Y19" s="1291">
        <f t="shared" si="25"/>
        <v>0</v>
      </c>
      <c r="Z19" s="1291">
        <f t="shared" si="25"/>
        <v>0</v>
      </c>
      <c r="AA19" s="1291">
        <f t="shared" si="25"/>
        <v>0</v>
      </c>
      <c r="AB19" s="1291">
        <f t="shared" si="25"/>
        <v>0</v>
      </c>
      <c r="AC19" s="1291">
        <f t="shared" si="25"/>
        <v>0</v>
      </c>
      <c r="AD19" s="1284"/>
      <c r="AE19" s="1213">
        <f t="shared" si="1"/>
        <v>0</v>
      </c>
      <c r="AF19" s="1213">
        <f t="shared" si="2"/>
        <v>0</v>
      </c>
      <c r="AG19" s="1213">
        <f t="shared" si="3"/>
        <v>988356</v>
      </c>
      <c r="AH19" s="2919">
        <f t="shared" si="4"/>
        <v>0</v>
      </c>
      <c r="AI19" s="1834">
        <f t="shared" si="24"/>
        <v>1</v>
      </c>
      <c r="AJ19" s="417">
        <f t="shared" si="22"/>
        <v>0</v>
      </c>
      <c r="AK19" s="420"/>
    </row>
    <row r="20" spans="1:37" s="424" customFormat="1" ht="15">
      <c r="A20" s="2934" t="s">
        <v>12</v>
      </c>
      <c r="B20" s="1282" t="s">
        <v>12</v>
      </c>
      <c r="C20" s="1283" t="s">
        <v>1278</v>
      </c>
      <c r="D20" s="1213">
        <f t="shared" ref="D20:AC20" si="26">SUM(D21:D22)</f>
        <v>0</v>
      </c>
      <c r="E20" s="2715">
        <f t="shared" si="26"/>
        <v>0</v>
      </c>
      <c r="F20" s="1213">
        <f t="shared" si="26"/>
        <v>0</v>
      </c>
      <c r="G20" s="1213">
        <f t="shared" si="26"/>
        <v>0</v>
      </c>
      <c r="H20" s="1213">
        <f t="shared" si="26"/>
        <v>0</v>
      </c>
      <c r="I20" s="1213">
        <f t="shared" si="26"/>
        <v>0</v>
      </c>
      <c r="J20" s="1213">
        <f t="shared" si="26"/>
        <v>0</v>
      </c>
      <c r="K20" s="3208">
        <f>SUM(K21:K22)</f>
        <v>0</v>
      </c>
      <c r="L20" s="1213">
        <f t="shared" si="26"/>
        <v>0</v>
      </c>
      <c r="M20" s="1213">
        <f t="shared" si="26"/>
        <v>0</v>
      </c>
      <c r="N20" s="1213">
        <f t="shared" si="26"/>
        <v>0</v>
      </c>
      <c r="O20" s="1213">
        <f t="shared" si="26"/>
        <v>0</v>
      </c>
      <c r="P20" s="1213">
        <f t="shared" si="26"/>
        <v>0</v>
      </c>
      <c r="Q20" s="1213">
        <f t="shared" si="26"/>
        <v>0</v>
      </c>
      <c r="R20" s="1213">
        <f t="shared" si="26"/>
        <v>0</v>
      </c>
      <c r="S20" s="1213">
        <f t="shared" si="26"/>
        <v>0</v>
      </c>
      <c r="T20" s="1213">
        <f t="shared" si="26"/>
        <v>0</v>
      </c>
      <c r="U20" s="1213">
        <f t="shared" si="26"/>
        <v>0</v>
      </c>
      <c r="V20" s="1213">
        <f t="shared" si="26"/>
        <v>0</v>
      </c>
      <c r="W20" s="1213">
        <f t="shared" si="26"/>
        <v>0</v>
      </c>
      <c r="X20" s="1213">
        <f t="shared" si="26"/>
        <v>0</v>
      </c>
      <c r="Y20" s="1213">
        <f t="shared" si="26"/>
        <v>0</v>
      </c>
      <c r="Z20" s="1213">
        <f t="shared" si="26"/>
        <v>0</v>
      </c>
      <c r="AA20" s="1213">
        <f t="shared" si="26"/>
        <v>0</v>
      </c>
      <c r="AB20" s="1213">
        <f t="shared" si="26"/>
        <v>0</v>
      </c>
      <c r="AC20" s="1213">
        <f t="shared" si="26"/>
        <v>0</v>
      </c>
      <c r="AD20" s="1284"/>
      <c r="AE20" s="1213">
        <f t="shared" si="1"/>
        <v>0</v>
      </c>
      <c r="AF20" s="1213">
        <f t="shared" si="2"/>
        <v>0</v>
      </c>
      <c r="AG20" s="1213">
        <f t="shared" si="3"/>
        <v>0</v>
      </c>
      <c r="AH20" s="2919">
        <f t="shared" si="4"/>
        <v>0</v>
      </c>
      <c r="AI20" s="1829"/>
      <c r="AJ20" s="417">
        <f t="shared" si="22"/>
        <v>0</v>
      </c>
      <c r="AK20" s="412"/>
    </row>
    <row r="21" spans="1:37" s="424" customFormat="1" ht="15">
      <c r="A21" s="2933"/>
      <c r="B21" s="1289" t="s">
        <v>185</v>
      </c>
      <c r="C21" s="1286" t="s">
        <v>247</v>
      </c>
      <c r="D21" s="1287">
        <v>0</v>
      </c>
      <c r="E21" s="2716">
        <v>0</v>
      </c>
      <c r="F21" s="1287">
        <v>0</v>
      </c>
      <c r="G21" s="1287">
        <f t="shared" ref="G21:J22" si="27">+F21</f>
        <v>0</v>
      </c>
      <c r="H21" s="1287">
        <f t="shared" si="27"/>
        <v>0</v>
      </c>
      <c r="I21" s="1287">
        <f t="shared" si="27"/>
        <v>0</v>
      </c>
      <c r="J21" s="1287">
        <f t="shared" si="27"/>
        <v>0</v>
      </c>
      <c r="K21" s="3219">
        <v>0</v>
      </c>
      <c r="L21" s="1287">
        <v>0</v>
      </c>
      <c r="M21" s="1287">
        <f t="shared" ref="M21:P22" si="28">+L21</f>
        <v>0</v>
      </c>
      <c r="N21" s="1287">
        <f t="shared" si="28"/>
        <v>0</v>
      </c>
      <c r="O21" s="1287">
        <f t="shared" si="28"/>
        <v>0</v>
      </c>
      <c r="P21" s="1287">
        <f t="shared" si="28"/>
        <v>0</v>
      </c>
      <c r="Q21" s="1287">
        <v>0</v>
      </c>
      <c r="R21" s="1287">
        <v>0</v>
      </c>
      <c r="S21" s="1287">
        <f t="shared" ref="S21:V22" si="29">+R21</f>
        <v>0</v>
      </c>
      <c r="T21" s="1287">
        <f t="shared" si="29"/>
        <v>0</v>
      </c>
      <c r="U21" s="1287">
        <f t="shared" si="29"/>
        <v>0</v>
      </c>
      <c r="V21" s="1291">
        <f t="shared" si="29"/>
        <v>0</v>
      </c>
      <c r="W21" s="1291">
        <f>+K21</f>
        <v>0</v>
      </c>
      <c r="X21" s="1291"/>
      <c r="Y21" s="1291">
        <f t="shared" ref="Y21:AC22" si="30">+X21</f>
        <v>0</v>
      </c>
      <c r="Z21" s="1291">
        <f t="shared" si="30"/>
        <v>0</v>
      </c>
      <c r="AA21" s="1291">
        <f t="shared" si="30"/>
        <v>0</v>
      </c>
      <c r="AB21" s="1291">
        <f t="shared" si="30"/>
        <v>0</v>
      </c>
      <c r="AC21" s="1291">
        <f t="shared" si="30"/>
        <v>0</v>
      </c>
      <c r="AD21" s="1284"/>
      <c r="AE21" s="1213">
        <f t="shared" si="1"/>
        <v>0</v>
      </c>
      <c r="AF21" s="1213">
        <f t="shared" si="2"/>
        <v>0</v>
      </c>
      <c r="AG21" s="1213">
        <f t="shared" si="3"/>
        <v>0</v>
      </c>
      <c r="AH21" s="2919">
        <f t="shared" si="4"/>
        <v>0</v>
      </c>
      <c r="AI21" s="1834"/>
      <c r="AJ21" s="417">
        <f t="shared" si="22"/>
        <v>0</v>
      </c>
      <c r="AK21" s="420"/>
    </row>
    <row r="22" spans="1:37" s="424" customFormat="1" ht="15">
      <c r="A22" s="2933"/>
      <c r="B22" s="1289" t="s">
        <v>187</v>
      </c>
      <c r="C22" s="1286" t="s">
        <v>155</v>
      </c>
      <c r="D22" s="1287">
        <v>0</v>
      </c>
      <c r="E22" s="2716">
        <v>0</v>
      </c>
      <c r="F22" s="1287">
        <v>0</v>
      </c>
      <c r="G22" s="1287">
        <f t="shared" si="27"/>
        <v>0</v>
      </c>
      <c r="H22" s="1287">
        <f t="shared" si="27"/>
        <v>0</v>
      </c>
      <c r="I22" s="1287">
        <f t="shared" si="27"/>
        <v>0</v>
      </c>
      <c r="J22" s="1287">
        <f t="shared" si="27"/>
        <v>0</v>
      </c>
      <c r="K22" s="3219">
        <v>0</v>
      </c>
      <c r="L22" s="1287">
        <v>0</v>
      </c>
      <c r="M22" s="1287">
        <f t="shared" si="28"/>
        <v>0</v>
      </c>
      <c r="N22" s="1287">
        <f t="shared" si="28"/>
        <v>0</v>
      </c>
      <c r="O22" s="1287">
        <f t="shared" si="28"/>
        <v>0</v>
      </c>
      <c r="P22" s="1287">
        <f t="shared" si="28"/>
        <v>0</v>
      </c>
      <c r="Q22" s="1287">
        <v>0</v>
      </c>
      <c r="R22" s="1287">
        <v>0</v>
      </c>
      <c r="S22" s="1287">
        <f t="shared" si="29"/>
        <v>0</v>
      </c>
      <c r="T22" s="1287">
        <f t="shared" si="29"/>
        <v>0</v>
      </c>
      <c r="U22" s="1287">
        <f t="shared" si="29"/>
        <v>0</v>
      </c>
      <c r="V22" s="1291">
        <f t="shared" si="29"/>
        <v>0</v>
      </c>
      <c r="W22" s="1291">
        <f>+K22</f>
        <v>0</v>
      </c>
      <c r="X22" s="1291"/>
      <c r="Y22" s="1291">
        <f t="shared" si="30"/>
        <v>0</v>
      </c>
      <c r="Z22" s="1291">
        <f t="shared" si="30"/>
        <v>0</v>
      </c>
      <c r="AA22" s="1291">
        <f t="shared" si="30"/>
        <v>0</v>
      </c>
      <c r="AB22" s="1291">
        <f t="shared" si="30"/>
        <v>0</v>
      </c>
      <c r="AC22" s="1291">
        <f t="shared" si="30"/>
        <v>0</v>
      </c>
      <c r="AD22" s="1284"/>
      <c r="AE22" s="1213">
        <f t="shared" si="1"/>
        <v>0</v>
      </c>
      <c r="AF22" s="1213">
        <f t="shared" si="2"/>
        <v>0</v>
      </c>
      <c r="AG22" s="1213">
        <f t="shared" si="3"/>
        <v>0</v>
      </c>
      <c r="AH22" s="2919">
        <f t="shared" si="4"/>
        <v>0</v>
      </c>
      <c r="AI22" s="1834"/>
      <c r="AJ22" s="417">
        <f t="shared" si="22"/>
        <v>0</v>
      </c>
      <c r="AK22" s="420"/>
    </row>
    <row r="23" spans="1:37" s="416" customFormat="1" ht="21">
      <c r="A23" s="2934" t="s">
        <v>14</v>
      </c>
      <c r="B23" s="1282" t="s">
        <v>14</v>
      </c>
      <c r="C23" s="1283" t="s">
        <v>1279</v>
      </c>
      <c r="D23" s="1213">
        <f t="shared" ref="D23:AC23" si="31">D24+D25</f>
        <v>0</v>
      </c>
      <c r="E23" s="2715">
        <f t="shared" si="31"/>
        <v>1400000</v>
      </c>
      <c r="F23" s="1213">
        <f t="shared" si="31"/>
        <v>0</v>
      </c>
      <c r="G23" s="1213">
        <f t="shared" si="31"/>
        <v>3195000</v>
      </c>
      <c r="H23" s="1213">
        <f t="shared" si="31"/>
        <v>3195000</v>
      </c>
      <c r="I23" s="1213">
        <f t="shared" si="31"/>
        <v>3645000</v>
      </c>
      <c r="J23" s="1213">
        <f t="shared" si="31"/>
        <v>3645000</v>
      </c>
      <c r="K23" s="3208">
        <f t="shared" si="31"/>
        <v>3645000</v>
      </c>
      <c r="L23" s="1213">
        <f t="shared" si="31"/>
        <v>0</v>
      </c>
      <c r="M23" s="1213">
        <f t="shared" si="31"/>
        <v>0</v>
      </c>
      <c r="N23" s="1213">
        <f t="shared" si="31"/>
        <v>0</v>
      </c>
      <c r="O23" s="1213">
        <f t="shared" si="31"/>
        <v>0</v>
      </c>
      <c r="P23" s="1213">
        <f t="shared" si="31"/>
        <v>0</v>
      </c>
      <c r="Q23" s="1213">
        <f t="shared" si="31"/>
        <v>0</v>
      </c>
      <c r="R23" s="1213">
        <f t="shared" si="31"/>
        <v>0</v>
      </c>
      <c r="S23" s="1213">
        <f t="shared" si="31"/>
        <v>3195000</v>
      </c>
      <c r="T23" s="1213">
        <f t="shared" si="31"/>
        <v>3195000</v>
      </c>
      <c r="U23" s="1213">
        <f t="shared" si="31"/>
        <v>3645000</v>
      </c>
      <c r="V23" s="1213">
        <f t="shared" si="31"/>
        <v>3645000</v>
      </c>
      <c r="W23" s="1213">
        <f t="shared" si="31"/>
        <v>3645000</v>
      </c>
      <c r="X23" s="1213">
        <f t="shared" si="31"/>
        <v>0</v>
      </c>
      <c r="Y23" s="1213">
        <f t="shared" si="31"/>
        <v>0</v>
      </c>
      <c r="Z23" s="1213">
        <f t="shared" si="31"/>
        <v>0</v>
      </c>
      <c r="AA23" s="1213">
        <f t="shared" si="31"/>
        <v>0</v>
      </c>
      <c r="AB23" s="1213">
        <f t="shared" si="31"/>
        <v>0</v>
      </c>
      <c r="AC23" s="1213">
        <f t="shared" si="31"/>
        <v>0</v>
      </c>
      <c r="AD23" s="1283"/>
      <c r="AE23" s="1213">
        <f t="shared" si="1"/>
        <v>3195000</v>
      </c>
      <c r="AF23" s="1213">
        <f t="shared" si="2"/>
        <v>0</v>
      </c>
      <c r="AG23" s="1213">
        <f t="shared" si="3"/>
        <v>450000</v>
      </c>
      <c r="AH23" s="2919">
        <f t="shared" si="4"/>
        <v>0</v>
      </c>
      <c r="AI23" s="1831">
        <f t="shared" si="24"/>
        <v>1</v>
      </c>
      <c r="AJ23" s="417">
        <f t="shared" si="22"/>
        <v>0</v>
      </c>
      <c r="AK23" s="412"/>
    </row>
    <row r="24" spans="1:37" s="416" customFormat="1" ht="15">
      <c r="A24" s="2934"/>
      <c r="B24" s="1289" t="s">
        <v>198</v>
      </c>
      <c r="C24" s="1284" t="s">
        <v>186</v>
      </c>
      <c r="D24" s="1213">
        <v>0</v>
      </c>
      <c r="E24" s="2715">
        <v>0</v>
      </c>
      <c r="F24" s="1213">
        <v>0</v>
      </c>
      <c r="G24" s="1213">
        <f t="shared" ref="G24:G31" si="32">+F24</f>
        <v>0</v>
      </c>
      <c r="H24" s="1213">
        <f t="shared" ref="H24:H31" si="33">+G24</f>
        <v>0</v>
      </c>
      <c r="I24" s="1213">
        <f t="shared" ref="I24:I31" si="34">+H24</f>
        <v>0</v>
      </c>
      <c r="J24" s="1291">
        <f t="shared" ref="J24:J31" si="35">+I24</f>
        <v>0</v>
      </c>
      <c r="K24" s="3219">
        <f>0</f>
        <v>0</v>
      </c>
      <c r="L24" s="1213">
        <v>0</v>
      </c>
      <c r="M24" s="1213">
        <f t="shared" ref="M24:M31" si="36">+L24</f>
        <v>0</v>
      </c>
      <c r="N24" s="1213">
        <f t="shared" ref="N24:N31" si="37">+M24</f>
        <v>0</v>
      </c>
      <c r="O24" s="1213">
        <f t="shared" ref="O24:O31" si="38">+N24</f>
        <v>0</v>
      </c>
      <c r="P24" s="1213">
        <f t="shared" ref="P24:P31" si="39">+O24</f>
        <v>0</v>
      </c>
      <c r="Q24" s="1213">
        <v>0</v>
      </c>
      <c r="R24" s="1213">
        <v>0</v>
      </c>
      <c r="S24" s="1213">
        <f>+R24</f>
        <v>0</v>
      </c>
      <c r="T24" s="1213">
        <f t="shared" ref="T24:T31" si="40">+S24</f>
        <v>0</v>
      </c>
      <c r="U24" s="1213">
        <f t="shared" ref="U24:U31" si="41">+T24</f>
        <v>0</v>
      </c>
      <c r="V24" s="1291">
        <f t="shared" ref="V24:V31" si="42">+U24</f>
        <v>0</v>
      </c>
      <c r="W24" s="1291">
        <f t="shared" ref="W24:W31" si="43">+K24</f>
        <v>0</v>
      </c>
      <c r="X24" s="1291"/>
      <c r="Y24" s="1291">
        <f t="shared" ref="Y24:Y31" si="44">+X24</f>
        <v>0</v>
      </c>
      <c r="Z24" s="1291">
        <f t="shared" ref="Z24:Z31" si="45">+Y24</f>
        <v>0</v>
      </c>
      <c r="AA24" s="1291">
        <f t="shared" ref="AA24:AA31" si="46">+Z24</f>
        <v>0</v>
      </c>
      <c r="AB24" s="1291">
        <f t="shared" ref="AB24:AB31" si="47">+AA24</f>
        <v>0</v>
      </c>
      <c r="AC24" s="1291">
        <f t="shared" ref="AC24:AC31" si="48">+AB24</f>
        <v>0</v>
      </c>
      <c r="AD24" s="1284"/>
      <c r="AE24" s="1213">
        <f t="shared" si="1"/>
        <v>0</v>
      </c>
      <c r="AF24" s="1213">
        <f t="shared" si="2"/>
        <v>0</v>
      </c>
      <c r="AG24" s="1213">
        <f t="shared" si="3"/>
        <v>0</v>
      </c>
      <c r="AH24" s="2919">
        <f t="shared" si="4"/>
        <v>0</v>
      </c>
      <c r="AI24" s="1834"/>
      <c r="AJ24" s="417">
        <f t="shared" si="22"/>
        <v>0</v>
      </c>
      <c r="AK24" s="412"/>
    </row>
    <row r="25" spans="1:37" s="424" customFormat="1" ht="15">
      <c r="A25" s="2933"/>
      <c r="B25" s="1289" t="s">
        <v>200</v>
      </c>
      <c r="C25" s="1286" t="s">
        <v>148</v>
      </c>
      <c r="D25" s="1287">
        <v>0</v>
      </c>
      <c r="E25" s="2716">
        <v>1400000</v>
      </c>
      <c r="F25" s="1287">
        <v>0</v>
      </c>
      <c r="G25" s="1291">
        <f>+F25+3195000</f>
        <v>3195000</v>
      </c>
      <c r="H25" s="1291">
        <f t="shared" si="33"/>
        <v>3195000</v>
      </c>
      <c r="I25" s="1227">
        <f>+H25+450000</f>
        <v>3645000</v>
      </c>
      <c r="J25" s="1291">
        <f t="shared" si="35"/>
        <v>3645000</v>
      </c>
      <c r="K25" s="3219">
        <v>3645000</v>
      </c>
      <c r="L25" s="1287">
        <v>0</v>
      </c>
      <c r="M25" s="1287">
        <f t="shared" si="36"/>
        <v>0</v>
      </c>
      <c r="N25" s="1287">
        <f t="shared" si="37"/>
        <v>0</v>
      </c>
      <c r="O25" s="1287">
        <f t="shared" si="38"/>
        <v>0</v>
      </c>
      <c r="P25" s="1287">
        <f t="shared" si="39"/>
        <v>0</v>
      </c>
      <c r="Q25" s="1287">
        <v>0</v>
      </c>
      <c r="R25" s="1287">
        <v>0</v>
      </c>
      <c r="S25" s="1287">
        <f>+R25+3195000</f>
        <v>3195000</v>
      </c>
      <c r="T25" s="1287">
        <f t="shared" si="40"/>
        <v>3195000</v>
      </c>
      <c r="U25" s="1287">
        <f>+T25+450000</f>
        <v>3645000</v>
      </c>
      <c r="V25" s="1291">
        <f t="shared" si="42"/>
        <v>3645000</v>
      </c>
      <c r="W25" s="1291">
        <f t="shared" si="43"/>
        <v>3645000</v>
      </c>
      <c r="X25" s="1291"/>
      <c r="Y25" s="1291">
        <f t="shared" si="44"/>
        <v>0</v>
      </c>
      <c r="Z25" s="1291">
        <f t="shared" si="45"/>
        <v>0</v>
      </c>
      <c r="AA25" s="1291">
        <f t="shared" si="46"/>
        <v>0</v>
      </c>
      <c r="AB25" s="1291">
        <f t="shared" si="47"/>
        <v>0</v>
      </c>
      <c r="AC25" s="1291">
        <f t="shared" si="48"/>
        <v>0</v>
      </c>
      <c r="AD25" s="1284"/>
      <c r="AE25" s="1213">
        <f t="shared" si="1"/>
        <v>3195000</v>
      </c>
      <c r="AF25" s="1213">
        <f t="shared" si="2"/>
        <v>0</v>
      </c>
      <c r="AG25" s="1213">
        <f t="shared" si="3"/>
        <v>450000</v>
      </c>
      <c r="AH25" s="2919">
        <f t="shared" si="4"/>
        <v>0</v>
      </c>
      <c r="AI25" s="1834">
        <f t="shared" si="24"/>
        <v>1</v>
      </c>
      <c r="AJ25" s="417">
        <f t="shared" si="22"/>
        <v>0</v>
      </c>
      <c r="AK25" s="420"/>
    </row>
    <row r="26" spans="1:37" s="424" customFormat="1" ht="15">
      <c r="A26" s="2933"/>
      <c r="B26" s="1289" t="s">
        <v>202</v>
      </c>
      <c r="C26" s="1290" t="s">
        <v>1280</v>
      </c>
      <c r="D26" s="1287">
        <v>0</v>
      </c>
      <c r="E26" s="2716">
        <v>0</v>
      </c>
      <c r="F26" s="1287">
        <v>0</v>
      </c>
      <c r="G26" s="1291">
        <f t="shared" si="32"/>
        <v>0</v>
      </c>
      <c r="H26" s="1291">
        <f t="shared" si="33"/>
        <v>0</v>
      </c>
      <c r="I26" s="1227">
        <f t="shared" si="34"/>
        <v>0</v>
      </c>
      <c r="J26" s="1291">
        <f t="shared" si="35"/>
        <v>0</v>
      </c>
      <c r="K26" s="3219">
        <v>0</v>
      </c>
      <c r="L26" s="1287">
        <v>0</v>
      </c>
      <c r="M26" s="1287">
        <f t="shared" si="36"/>
        <v>0</v>
      </c>
      <c r="N26" s="1287">
        <f t="shared" si="37"/>
        <v>0</v>
      </c>
      <c r="O26" s="1287">
        <f t="shared" si="38"/>
        <v>0</v>
      </c>
      <c r="P26" s="1287">
        <f t="shared" si="39"/>
        <v>0</v>
      </c>
      <c r="Q26" s="1287">
        <v>0</v>
      </c>
      <c r="R26" s="1287">
        <v>0</v>
      </c>
      <c r="S26" s="1287">
        <f t="shared" ref="S26:S31" si="49">+R26</f>
        <v>0</v>
      </c>
      <c r="T26" s="1287">
        <f t="shared" si="40"/>
        <v>0</v>
      </c>
      <c r="U26" s="1287">
        <f t="shared" si="41"/>
        <v>0</v>
      </c>
      <c r="V26" s="1291">
        <f t="shared" si="42"/>
        <v>0</v>
      </c>
      <c r="W26" s="1291">
        <f t="shared" si="43"/>
        <v>0</v>
      </c>
      <c r="X26" s="1291"/>
      <c r="Y26" s="1291">
        <f t="shared" si="44"/>
        <v>0</v>
      </c>
      <c r="Z26" s="1291">
        <f t="shared" si="45"/>
        <v>0</v>
      </c>
      <c r="AA26" s="1291">
        <f t="shared" si="46"/>
        <v>0</v>
      </c>
      <c r="AB26" s="1291">
        <f t="shared" si="47"/>
        <v>0</v>
      </c>
      <c r="AC26" s="1291">
        <f t="shared" si="48"/>
        <v>0</v>
      </c>
      <c r="AD26" s="1284"/>
      <c r="AE26" s="1213">
        <f t="shared" si="1"/>
        <v>0</v>
      </c>
      <c r="AF26" s="1213">
        <f t="shared" si="2"/>
        <v>0</v>
      </c>
      <c r="AG26" s="1213">
        <f t="shared" si="3"/>
        <v>0</v>
      </c>
      <c r="AH26" s="2919">
        <f t="shared" si="4"/>
        <v>0</v>
      </c>
      <c r="AI26" s="1834"/>
      <c r="AJ26" s="417">
        <f t="shared" si="22"/>
        <v>0</v>
      </c>
      <c r="AK26" s="420"/>
    </row>
    <row r="27" spans="1:37" s="424" customFormat="1" ht="15">
      <c r="A27" s="2934" t="s">
        <v>15</v>
      </c>
      <c r="B27" s="1282" t="s">
        <v>15</v>
      </c>
      <c r="C27" s="1292" t="s">
        <v>150</v>
      </c>
      <c r="D27" s="1293">
        <v>0</v>
      </c>
      <c r="E27" s="2718">
        <v>620000</v>
      </c>
      <c r="F27" s="1293">
        <v>0</v>
      </c>
      <c r="G27" s="1293">
        <f t="shared" si="32"/>
        <v>0</v>
      </c>
      <c r="H27" s="1293">
        <f t="shared" si="33"/>
        <v>0</v>
      </c>
      <c r="I27" s="1293">
        <f t="shared" si="34"/>
        <v>0</v>
      </c>
      <c r="J27" s="1293">
        <f t="shared" si="35"/>
        <v>0</v>
      </c>
      <c r="K27" s="3219">
        <v>0</v>
      </c>
      <c r="L27" s="1293">
        <v>0</v>
      </c>
      <c r="M27" s="1293">
        <f t="shared" si="36"/>
        <v>0</v>
      </c>
      <c r="N27" s="1293">
        <f t="shared" si="37"/>
        <v>0</v>
      </c>
      <c r="O27" s="1293">
        <f t="shared" si="38"/>
        <v>0</v>
      </c>
      <c r="P27" s="1293">
        <f t="shared" si="39"/>
        <v>0</v>
      </c>
      <c r="Q27" s="1293">
        <v>0</v>
      </c>
      <c r="R27" s="1293">
        <v>0</v>
      </c>
      <c r="S27" s="1293">
        <f t="shared" si="49"/>
        <v>0</v>
      </c>
      <c r="T27" s="1293">
        <f t="shared" si="40"/>
        <v>0</v>
      </c>
      <c r="U27" s="1293">
        <f t="shared" si="41"/>
        <v>0</v>
      </c>
      <c r="V27" s="1293">
        <f t="shared" si="42"/>
        <v>0</v>
      </c>
      <c r="W27" s="1293">
        <f t="shared" si="43"/>
        <v>0</v>
      </c>
      <c r="X27" s="1291"/>
      <c r="Y27" s="1293">
        <f t="shared" si="44"/>
        <v>0</v>
      </c>
      <c r="Z27" s="1293">
        <f t="shared" si="45"/>
        <v>0</v>
      </c>
      <c r="AA27" s="1293">
        <f t="shared" si="46"/>
        <v>0</v>
      </c>
      <c r="AB27" s="1293">
        <f t="shared" si="47"/>
        <v>0</v>
      </c>
      <c r="AC27" s="1293">
        <f t="shared" si="48"/>
        <v>0</v>
      </c>
      <c r="AD27" s="1284"/>
      <c r="AE27" s="1213">
        <f t="shared" si="1"/>
        <v>0</v>
      </c>
      <c r="AF27" s="1213">
        <f t="shared" si="2"/>
        <v>0</v>
      </c>
      <c r="AG27" s="1213">
        <f t="shared" si="3"/>
        <v>0</v>
      </c>
      <c r="AH27" s="2919">
        <f t="shared" si="4"/>
        <v>0</v>
      </c>
      <c r="AI27" s="1834"/>
      <c r="AJ27" s="417">
        <f t="shared" si="22"/>
        <v>0</v>
      </c>
      <c r="AK27" s="427"/>
    </row>
    <row r="28" spans="1:37" s="424" customFormat="1" ht="15">
      <c r="A28" s="2933"/>
      <c r="B28" s="1289" t="s">
        <v>212</v>
      </c>
      <c r="C28" s="1290" t="s">
        <v>1280</v>
      </c>
      <c r="D28" s="1287">
        <v>0</v>
      </c>
      <c r="E28" s="2716">
        <v>0</v>
      </c>
      <c r="F28" s="1287">
        <v>0</v>
      </c>
      <c r="G28" s="1287">
        <f t="shared" si="32"/>
        <v>0</v>
      </c>
      <c r="H28" s="1287">
        <f t="shared" si="33"/>
        <v>0</v>
      </c>
      <c r="I28" s="1287">
        <f t="shared" si="34"/>
        <v>0</v>
      </c>
      <c r="J28" s="1287">
        <f t="shared" si="35"/>
        <v>0</v>
      </c>
      <c r="K28" s="3219">
        <v>0</v>
      </c>
      <c r="L28" s="1287">
        <v>0</v>
      </c>
      <c r="M28" s="1287">
        <f t="shared" si="36"/>
        <v>0</v>
      </c>
      <c r="N28" s="1287">
        <f t="shared" si="37"/>
        <v>0</v>
      </c>
      <c r="O28" s="1287">
        <f t="shared" si="38"/>
        <v>0</v>
      </c>
      <c r="P28" s="1287">
        <f t="shared" si="39"/>
        <v>0</v>
      </c>
      <c r="Q28" s="1287">
        <v>0</v>
      </c>
      <c r="R28" s="1287">
        <v>0</v>
      </c>
      <c r="S28" s="1287">
        <f t="shared" si="49"/>
        <v>0</v>
      </c>
      <c r="T28" s="1287">
        <f t="shared" si="40"/>
        <v>0</v>
      </c>
      <c r="U28" s="1287">
        <f t="shared" si="41"/>
        <v>0</v>
      </c>
      <c r="V28" s="1291">
        <f t="shared" si="42"/>
        <v>0</v>
      </c>
      <c r="W28" s="1291">
        <f t="shared" si="43"/>
        <v>0</v>
      </c>
      <c r="X28" s="1291"/>
      <c r="Y28" s="1291">
        <f t="shared" si="44"/>
        <v>0</v>
      </c>
      <c r="Z28" s="1291">
        <f t="shared" si="45"/>
        <v>0</v>
      </c>
      <c r="AA28" s="1291">
        <f t="shared" si="46"/>
        <v>0</v>
      </c>
      <c r="AB28" s="1291">
        <f t="shared" si="47"/>
        <v>0</v>
      </c>
      <c r="AC28" s="1291">
        <f t="shared" si="48"/>
        <v>0</v>
      </c>
      <c r="AD28" s="1284"/>
      <c r="AE28" s="1213">
        <f t="shared" si="1"/>
        <v>0</v>
      </c>
      <c r="AF28" s="1213">
        <f t="shared" si="2"/>
        <v>0</v>
      </c>
      <c r="AG28" s="1213">
        <f t="shared" si="3"/>
        <v>0</v>
      </c>
      <c r="AH28" s="2919">
        <f t="shared" si="4"/>
        <v>0</v>
      </c>
      <c r="AI28" s="1834"/>
      <c r="AJ28" s="417">
        <f t="shared" si="22"/>
        <v>0</v>
      </c>
      <c r="AK28" s="420"/>
    </row>
    <row r="29" spans="1:37" s="424" customFormat="1" ht="15">
      <c r="A29" s="2934" t="s">
        <v>17</v>
      </c>
      <c r="B29" s="1474" t="s">
        <v>17</v>
      </c>
      <c r="C29" s="1292" t="s">
        <v>153</v>
      </c>
      <c r="D29" s="1213">
        <v>0</v>
      </c>
      <c r="E29" s="2715">
        <v>0</v>
      </c>
      <c r="F29" s="1213">
        <v>0</v>
      </c>
      <c r="G29" s="1213">
        <f t="shared" si="32"/>
        <v>0</v>
      </c>
      <c r="H29" s="1213">
        <f>+G29</f>
        <v>0</v>
      </c>
      <c r="I29" s="1213">
        <f t="shared" si="34"/>
        <v>0</v>
      </c>
      <c r="J29" s="1213">
        <f t="shared" si="35"/>
        <v>0</v>
      </c>
      <c r="K29" s="3219">
        <v>0</v>
      </c>
      <c r="L29" s="1213">
        <v>0</v>
      </c>
      <c r="M29" s="1213">
        <f t="shared" si="36"/>
        <v>0</v>
      </c>
      <c r="N29" s="1213">
        <f t="shared" si="37"/>
        <v>0</v>
      </c>
      <c r="O29" s="1213">
        <f t="shared" si="38"/>
        <v>0</v>
      </c>
      <c r="P29" s="1213">
        <f t="shared" si="39"/>
        <v>0</v>
      </c>
      <c r="Q29" s="1213">
        <v>0</v>
      </c>
      <c r="R29" s="1213">
        <v>0</v>
      </c>
      <c r="S29" s="1213">
        <f t="shared" si="49"/>
        <v>0</v>
      </c>
      <c r="T29" s="1213">
        <f>+S29</f>
        <v>0</v>
      </c>
      <c r="U29" s="1213">
        <f t="shared" si="41"/>
        <v>0</v>
      </c>
      <c r="V29" s="1291">
        <f t="shared" si="42"/>
        <v>0</v>
      </c>
      <c r="W29" s="1291">
        <f t="shared" si="43"/>
        <v>0</v>
      </c>
      <c r="X29" s="1291"/>
      <c r="Y29" s="1291">
        <f t="shared" si="44"/>
        <v>0</v>
      </c>
      <c r="Z29" s="1291">
        <f t="shared" si="45"/>
        <v>0</v>
      </c>
      <c r="AA29" s="1291">
        <f t="shared" si="46"/>
        <v>0</v>
      </c>
      <c r="AB29" s="1291">
        <f t="shared" si="47"/>
        <v>0</v>
      </c>
      <c r="AC29" s="1291">
        <f t="shared" si="48"/>
        <v>0</v>
      </c>
      <c r="AD29" s="1284"/>
      <c r="AE29" s="1213">
        <f t="shared" si="1"/>
        <v>0</v>
      </c>
      <c r="AF29" s="1213">
        <f t="shared" si="2"/>
        <v>0</v>
      </c>
      <c r="AG29" s="1213">
        <f t="shared" si="3"/>
        <v>0</v>
      </c>
      <c r="AH29" s="2919">
        <f t="shared" si="4"/>
        <v>0</v>
      </c>
      <c r="AI29" s="1829"/>
      <c r="AJ29" s="417">
        <f t="shared" si="22"/>
        <v>0</v>
      </c>
      <c r="AK29" s="412"/>
    </row>
    <row r="30" spans="1:37" s="416" customFormat="1" ht="15">
      <c r="A30" s="2934" t="s">
        <v>19</v>
      </c>
      <c r="B30" s="1282" t="s">
        <v>19</v>
      </c>
      <c r="C30" s="1292" t="s">
        <v>1281</v>
      </c>
      <c r="D30" s="1293">
        <v>0</v>
      </c>
      <c r="E30" s="2718">
        <v>0</v>
      </c>
      <c r="F30" s="1293">
        <v>0</v>
      </c>
      <c r="G30" s="1293">
        <f t="shared" si="32"/>
        <v>0</v>
      </c>
      <c r="H30" s="1293">
        <f t="shared" si="33"/>
        <v>0</v>
      </c>
      <c r="I30" s="1293">
        <f t="shared" si="34"/>
        <v>0</v>
      </c>
      <c r="J30" s="1293">
        <f t="shared" si="35"/>
        <v>0</v>
      </c>
      <c r="K30" s="3219">
        <v>0</v>
      </c>
      <c r="L30" s="1293">
        <v>0</v>
      </c>
      <c r="M30" s="1293">
        <f t="shared" si="36"/>
        <v>0</v>
      </c>
      <c r="N30" s="1293">
        <f t="shared" si="37"/>
        <v>0</v>
      </c>
      <c r="O30" s="1293">
        <f t="shared" si="38"/>
        <v>0</v>
      </c>
      <c r="P30" s="1293">
        <f t="shared" si="39"/>
        <v>0</v>
      </c>
      <c r="Q30" s="1293">
        <v>0</v>
      </c>
      <c r="R30" s="1293">
        <v>0</v>
      </c>
      <c r="S30" s="1293">
        <f t="shared" si="49"/>
        <v>0</v>
      </c>
      <c r="T30" s="1293">
        <f t="shared" si="40"/>
        <v>0</v>
      </c>
      <c r="U30" s="1293">
        <f t="shared" si="41"/>
        <v>0</v>
      </c>
      <c r="V30" s="1213">
        <f t="shared" si="42"/>
        <v>0</v>
      </c>
      <c r="W30" s="1213">
        <f t="shared" si="43"/>
        <v>0</v>
      </c>
      <c r="X30" s="1213"/>
      <c r="Y30" s="1213">
        <f t="shared" si="44"/>
        <v>0</v>
      </c>
      <c r="Z30" s="1213">
        <f t="shared" si="45"/>
        <v>0</v>
      </c>
      <c r="AA30" s="1213">
        <f t="shared" si="46"/>
        <v>0</v>
      </c>
      <c r="AB30" s="1213">
        <f t="shared" si="47"/>
        <v>0</v>
      </c>
      <c r="AC30" s="1213">
        <f t="shared" si="48"/>
        <v>0</v>
      </c>
      <c r="AD30" s="1284"/>
      <c r="AE30" s="1213">
        <f t="shared" si="1"/>
        <v>0</v>
      </c>
      <c r="AF30" s="1213">
        <f t="shared" si="2"/>
        <v>0</v>
      </c>
      <c r="AG30" s="1213">
        <f t="shared" si="3"/>
        <v>0</v>
      </c>
      <c r="AH30" s="2919">
        <f t="shared" si="4"/>
        <v>0</v>
      </c>
      <c r="AI30" s="1834"/>
      <c r="AJ30" s="417">
        <f t="shared" si="22"/>
        <v>0</v>
      </c>
      <c r="AK30" s="427"/>
    </row>
    <row r="31" spans="1:37" s="416" customFormat="1" ht="15">
      <c r="A31" s="2934" t="s">
        <v>21</v>
      </c>
      <c r="B31" s="1282" t="s">
        <v>21</v>
      </c>
      <c r="C31" s="1292" t="s">
        <v>393</v>
      </c>
      <c r="D31" s="1227">
        <v>0</v>
      </c>
      <c r="E31" s="2719">
        <v>0</v>
      </c>
      <c r="F31" s="1227">
        <v>0</v>
      </c>
      <c r="G31" s="1227">
        <f t="shared" si="32"/>
        <v>0</v>
      </c>
      <c r="H31" s="1227">
        <f t="shared" si="33"/>
        <v>0</v>
      </c>
      <c r="I31" s="1227">
        <f t="shared" si="34"/>
        <v>0</v>
      </c>
      <c r="J31" s="1227">
        <f t="shared" si="35"/>
        <v>0</v>
      </c>
      <c r="K31" s="3219">
        <v>0</v>
      </c>
      <c r="L31" s="1227">
        <v>0</v>
      </c>
      <c r="M31" s="1227">
        <f t="shared" si="36"/>
        <v>0</v>
      </c>
      <c r="N31" s="1227">
        <f t="shared" si="37"/>
        <v>0</v>
      </c>
      <c r="O31" s="1227">
        <f t="shared" si="38"/>
        <v>0</v>
      </c>
      <c r="P31" s="1227">
        <f t="shared" si="39"/>
        <v>0</v>
      </c>
      <c r="Q31" s="1227">
        <v>0</v>
      </c>
      <c r="R31" s="1227">
        <v>0</v>
      </c>
      <c r="S31" s="1227">
        <f t="shared" si="49"/>
        <v>0</v>
      </c>
      <c r="T31" s="1227">
        <f t="shared" si="40"/>
        <v>0</v>
      </c>
      <c r="U31" s="1227">
        <f t="shared" si="41"/>
        <v>0</v>
      </c>
      <c r="V31" s="1291">
        <f t="shared" si="42"/>
        <v>0</v>
      </c>
      <c r="W31" s="1291">
        <f t="shared" si="43"/>
        <v>0</v>
      </c>
      <c r="X31" s="1291"/>
      <c r="Y31" s="1291">
        <f t="shared" si="44"/>
        <v>0</v>
      </c>
      <c r="Z31" s="1291">
        <f t="shared" si="45"/>
        <v>0</v>
      </c>
      <c r="AA31" s="1291">
        <f t="shared" si="46"/>
        <v>0</v>
      </c>
      <c r="AB31" s="1291">
        <f t="shared" si="47"/>
        <v>0</v>
      </c>
      <c r="AC31" s="1291">
        <f t="shared" si="48"/>
        <v>0</v>
      </c>
      <c r="AD31" s="1284"/>
      <c r="AE31" s="1213">
        <f t="shared" si="1"/>
        <v>0</v>
      </c>
      <c r="AF31" s="1213">
        <f t="shared" si="2"/>
        <v>0</v>
      </c>
      <c r="AG31" s="1213">
        <f t="shared" si="3"/>
        <v>0</v>
      </c>
      <c r="AH31" s="2919">
        <f t="shared" si="4"/>
        <v>0</v>
      </c>
      <c r="AI31" s="1834"/>
      <c r="AJ31" s="417">
        <f t="shared" si="22"/>
        <v>0</v>
      </c>
      <c r="AK31" s="430"/>
    </row>
    <row r="32" spans="1:37" s="416" customFormat="1" ht="15">
      <c r="A32" s="2934" t="s">
        <v>23</v>
      </c>
      <c r="B32" s="1474" t="s">
        <v>23</v>
      </c>
      <c r="C32" s="1292" t="s">
        <v>1282</v>
      </c>
      <c r="D32" s="1213">
        <f t="shared" ref="D32:AC32" si="50">+D8+D20+D23+D27+D29+D30+D31</f>
        <v>111575922</v>
      </c>
      <c r="E32" s="2715">
        <f>+E8+E20+E23+E27+E29+E30+E31</f>
        <v>185152251</v>
      </c>
      <c r="F32" s="1213">
        <f t="shared" si="50"/>
        <v>126319995</v>
      </c>
      <c r="G32" s="1213">
        <f t="shared" si="50"/>
        <v>135655032</v>
      </c>
      <c r="H32" s="1213">
        <f t="shared" si="50"/>
        <v>139300151</v>
      </c>
      <c r="I32" s="1213">
        <f t="shared" si="50"/>
        <v>169051134</v>
      </c>
      <c r="J32" s="1213">
        <f t="shared" si="50"/>
        <v>169051134</v>
      </c>
      <c r="K32" s="3208">
        <f t="shared" si="50"/>
        <v>169051134</v>
      </c>
      <c r="L32" s="1213">
        <f t="shared" si="50"/>
        <v>0</v>
      </c>
      <c r="M32" s="1213">
        <f t="shared" si="50"/>
        <v>0</v>
      </c>
      <c r="N32" s="1213">
        <f t="shared" si="50"/>
        <v>0</v>
      </c>
      <c r="O32" s="1213">
        <f t="shared" si="50"/>
        <v>0</v>
      </c>
      <c r="P32" s="1213">
        <f t="shared" si="50"/>
        <v>0</v>
      </c>
      <c r="Q32" s="1213">
        <f t="shared" si="50"/>
        <v>0</v>
      </c>
      <c r="R32" s="1213">
        <f t="shared" si="50"/>
        <v>126319995</v>
      </c>
      <c r="S32" s="1213">
        <f t="shared" si="50"/>
        <v>135655032</v>
      </c>
      <c r="T32" s="1213">
        <f t="shared" si="50"/>
        <v>139300151</v>
      </c>
      <c r="U32" s="1213">
        <f t="shared" si="50"/>
        <v>169051134</v>
      </c>
      <c r="V32" s="1213">
        <f t="shared" si="50"/>
        <v>169051134</v>
      </c>
      <c r="W32" s="1213">
        <f t="shared" si="50"/>
        <v>169051134</v>
      </c>
      <c r="X32" s="1213">
        <f t="shared" si="50"/>
        <v>0</v>
      </c>
      <c r="Y32" s="1213">
        <f t="shared" si="50"/>
        <v>0</v>
      </c>
      <c r="Z32" s="1213">
        <f t="shared" si="50"/>
        <v>0</v>
      </c>
      <c r="AA32" s="1213">
        <f t="shared" si="50"/>
        <v>0</v>
      </c>
      <c r="AB32" s="1213">
        <f t="shared" si="50"/>
        <v>0</v>
      </c>
      <c r="AC32" s="1213">
        <f t="shared" si="50"/>
        <v>0</v>
      </c>
      <c r="AD32" s="1283"/>
      <c r="AE32" s="1213">
        <f t="shared" si="1"/>
        <v>9335037</v>
      </c>
      <c r="AF32" s="1213">
        <f t="shared" si="2"/>
        <v>3645119</v>
      </c>
      <c r="AG32" s="1213">
        <f t="shared" si="3"/>
        <v>29750983</v>
      </c>
      <c r="AH32" s="2919">
        <f t="shared" si="4"/>
        <v>0</v>
      </c>
      <c r="AI32" s="1829">
        <f t="shared" si="24"/>
        <v>1</v>
      </c>
      <c r="AJ32" s="417">
        <f t="shared" si="22"/>
        <v>14744073</v>
      </c>
      <c r="AK32" s="412"/>
    </row>
    <row r="33" spans="1:38" s="424" customFormat="1" ht="15">
      <c r="A33" s="2975" t="s">
        <v>25</v>
      </c>
      <c r="B33" s="1282" t="s">
        <v>25</v>
      </c>
      <c r="C33" s="1292" t="s">
        <v>1305</v>
      </c>
      <c r="D33" s="1213">
        <f t="shared" ref="D33:AC33" si="51">SUM(D34:D36)</f>
        <v>483057466</v>
      </c>
      <c r="E33" s="2715">
        <f>SUM(E34:E36)</f>
        <v>553099446</v>
      </c>
      <c r="F33" s="1213">
        <f t="shared" si="51"/>
        <v>466042437</v>
      </c>
      <c r="G33" s="1213">
        <f t="shared" si="51"/>
        <v>571410342</v>
      </c>
      <c r="H33" s="1213">
        <f t="shared" si="51"/>
        <v>571755642</v>
      </c>
      <c r="I33" s="1213">
        <f t="shared" si="51"/>
        <v>571992942</v>
      </c>
      <c r="J33" s="1213">
        <f t="shared" si="51"/>
        <v>571992942</v>
      </c>
      <c r="K33" s="3208">
        <f>SUM(K34:K36)</f>
        <v>498122913</v>
      </c>
      <c r="L33" s="1213">
        <f t="shared" si="51"/>
        <v>0</v>
      </c>
      <c r="M33" s="1213">
        <f t="shared" si="51"/>
        <v>0</v>
      </c>
      <c r="N33" s="1213">
        <f t="shared" si="51"/>
        <v>0</v>
      </c>
      <c r="O33" s="1213">
        <f t="shared" si="51"/>
        <v>0</v>
      </c>
      <c r="P33" s="1213">
        <f t="shared" si="51"/>
        <v>0</v>
      </c>
      <c r="Q33" s="1213">
        <f t="shared" si="51"/>
        <v>0</v>
      </c>
      <c r="R33" s="1213">
        <f t="shared" si="51"/>
        <v>466042437</v>
      </c>
      <c r="S33" s="1213">
        <f t="shared" si="51"/>
        <v>571410342</v>
      </c>
      <c r="T33" s="1213">
        <f t="shared" si="51"/>
        <v>571755642</v>
      </c>
      <c r="U33" s="1213">
        <f t="shared" si="51"/>
        <v>571992942</v>
      </c>
      <c r="V33" s="1213">
        <f t="shared" si="51"/>
        <v>571992942</v>
      </c>
      <c r="W33" s="1213">
        <f t="shared" si="51"/>
        <v>498122913</v>
      </c>
      <c r="X33" s="1213">
        <f t="shared" si="51"/>
        <v>0</v>
      </c>
      <c r="Y33" s="1213">
        <f t="shared" si="51"/>
        <v>0</v>
      </c>
      <c r="Z33" s="1213">
        <f t="shared" si="51"/>
        <v>0</v>
      </c>
      <c r="AA33" s="1213">
        <f t="shared" si="51"/>
        <v>0</v>
      </c>
      <c r="AB33" s="1213">
        <f t="shared" si="51"/>
        <v>0</v>
      </c>
      <c r="AC33" s="1213">
        <f t="shared" si="51"/>
        <v>0</v>
      </c>
      <c r="AD33" s="1284"/>
      <c r="AE33" s="1213">
        <f t="shared" si="1"/>
        <v>105367905</v>
      </c>
      <c r="AF33" s="1213">
        <f t="shared" si="2"/>
        <v>345300</v>
      </c>
      <c r="AG33" s="1213">
        <f t="shared" si="3"/>
        <v>237300</v>
      </c>
      <c r="AH33" s="2919">
        <f t="shared" si="4"/>
        <v>0</v>
      </c>
      <c r="AI33" s="1829">
        <f t="shared" si="24"/>
        <v>0.87085499911640518</v>
      </c>
      <c r="AJ33" s="417">
        <f t="shared" si="22"/>
        <v>-17015029</v>
      </c>
      <c r="AK33" s="412"/>
    </row>
    <row r="34" spans="1:38" s="424" customFormat="1" ht="15">
      <c r="A34" s="2975"/>
      <c r="B34" s="1477" t="s">
        <v>1284</v>
      </c>
      <c r="C34" s="1286" t="s">
        <v>1285</v>
      </c>
      <c r="D34" s="1291">
        <v>0</v>
      </c>
      <c r="E34" s="2717">
        <v>97163623</v>
      </c>
      <c r="F34" s="1291">
        <v>0</v>
      </c>
      <c r="G34" s="1227">
        <f>+F34+104594705</f>
        <v>104594705</v>
      </c>
      <c r="H34" s="1227">
        <f t="shared" ref="G34:J35" si="52">+G34</f>
        <v>104594705</v>
      </c>
      <c r="I34" s="1227">
        <f t="shared" si="52"/>
        <v>104594705</v>
      </c>
      <c r="J34" s="1291">
        <f t="shared" si="52"/>
        <v>104594705</v>
      </c>
      <c r="K34" s="3220">
        <v>104594705</v>
      </c>
      <c r="L34" s="1291">
        <v>0</v>
      </c>
      <c r="M34" s="1227">
        <f t="shared" ref="M34:P36" si="53">+L34</f>
        <v>0</v>
      </c>
      <c r="N34" s="1227">
        <f t="shared" si="53"/>
        <v>0</v>
      </c>
      <c r="O34" s="1291">
        <f t="shared" si="53"/>
        <v>0</v>
      </c>
      <c r="P34" s="1291">
        <f t="shared" si="53"/>
        <v>0</v>
      </c>
      <c r="Q34" s="1291">
        <v>0</v>
      </c>
      <c r="R34" s="1291">
        <f>+F34</f>
        <v>0</v>
      </c>
      <c r="S34" s="1291">
        <f>+R34+104594705</f>
        <v>104594705</v>
      </c>
      <c r="T34" s="1291">
        <f t="shared" ref="S34:V36" si="54">+S34</f>
        <v>104594705</v>
      </c>
      <c r="U34" s="1291">
        <f t="shared" si="54"/>
        <v>104594705</v>
      </c>
      <c r="V34" s="1291">
        <f t="shared" si="54"/>
        <v>104594705</v>
      </c>
      <c r="W34" s="1291">
        <f>+K34</f>
        <v>104594705</v>
      </c>
      <c r="X34" s="1291"/>
      <c r="Y34" s="1291">
        <f t="shared" ref="Y34:AC36" si="55">+X34</f>
        <v>0</v>
      </c>
      <c r="Z34" s="1291">
        <f t="shared" si="55"/>
        <v>0</v>
      </c>
      <c r="AA34" s="1291">
        <f t="shared" si="55"/>
        <v>0</v>
      </c>
      <c r="AB34" s="1291">
        <f t="shared" si="55"/>
        <v>0</v>
      </c>
      <c r="AC34" s="1291">
        <f t="shared" si="55"/>
        <v>0</v>
      </c>
      <c r="AD34" s="2947"/>
      <c r="AE34" s="1213">
        <f t="shared" si="1"/>
        <v>104594705</v>
      </c>
      <c r="AF34" s="1213">
        <f t="shared" si="2"/>
        <v>0</v>
      </c>
      <c r="AG34" s="1213">
        <f t="shared" si="3"/>
        <v>0</v>
      </c>
      <c r="AH34" s="2919">
        <f t="shared" si="4"/>
        <v>0</v>
      </c>
      <c r="AI34" s="1834">
        <f t="shared" si="24"/>
        <v>1</v>
      </c>
      <c r="AJ34" s="417">
        <f t="shared" si="22"/>
        <v>0</v>
      </c>
      <c r="AK34" s="548"/>
    </row>
    <row r="35" spans="1:38" s="424" customFormat="1" ht="15">
      <c r="A35" s="2933"/>
      <c r="B35" s="1477" t="s">
        <v>1286</v>
      </c>
      <c r="C35" s="1286" t="s">
        <v>1287</v>
      </c>
      <c r="D35" s="1227">
        <v>0</v>
      </c>
      <c r="E35" s="2719">
        <v>0</v>
      </c>
      <c r="F35" s="1227">
        <v>0</v>
      </c>
      <c r="G35" s="1227">
        <f t="shared" si="52"/>
        <v>0</v>
      </c>
      <c r="H35" s="1227">
        <f t="shared" si="52"/>
        <v>0</v>
      </c>
      <c r="I35" s="1227">
        <f t="shared" si="52"/>
        <v>0</v>
      </c>
      <c r="J35" s="1227">
        <f t="shared" si="52"/>
        <v>0</v>
      </c>
      <c r="K35" s="3209">
        <v>0</v>
      </c>
      <c r="L35" s="1227">
        <v>0</v>
      </c>
      <c r="M35" s="1227">
        <f t="shared" si="53"/>
        <v>0</v>
      </c>
      <c r="N35" s="1227">
        <f t="shared" si="53"/>
        <v>0</v>
      </c>
      <c r="O35" s="1227">
        <f t="shared" si="53"/>
        <v>0</v>
      </c>
      <c r="P35" s="1227">
        <f t="shared" si="53"/>
        <v>0</v>
      </c>
      <c r="Q35" s="1227">
        <v>0</v>
      </c>
      <c r="R35" s="1291">
        <f>+F35</f>
        <v>0</v>
      </c>
      <c r="S35" s="1291">
        <f t="shared" si="54"/>
        <v>0</v>
      </c>
      <c r="T35" s="1291">
        <f t="shared" si="54"/>
        <v>0</v>
      </c>
      <c r="U35" s="1291">
        <f t="shared" si="54"/>
        <v>0</v>
      </c>
      <c r="V35" s="1291">
        <f t="shared" si="54"/>
        <v>0</v>
      </c>
      <c r="W35" s="1291">
        <f>+K35</f>
        <v>0</v>
      </c>
      <c r="X35" s="1291"/>
      <c r="Y35" s="1291">
        <f t="shared" si="55"/>
        <v>0</v>
      </c>
      <c r="Z35" s="1291">
        <f t="shared" si="55"/>
        <v>0</v>
      </c>
      <c r="AA35" s="1291">
        <f t="shared" si="55"/>
        <v>0</v>
      </c>
      <c r="AB35" s="1291">
        <f t="shared" si="55"/>
        <v>0</v>
      </c>
      <c r="AC35" s="1291">
        <f t="shared" si="55"/>
        <v>0</v>
      </c>
      <c r="AD35" s="1284"/>
      <c r="AE35" s="1213">
        <f t="shared" si="1"/>
        <v>0</v>
      </c>
      <c r="AF35" s="1213">
        <f t="shared" si="2"/>
        <v>0</v>
      </c>
      <c r="AG35" s="1213">
        <f t="shared" si="3"/>
        <v>0</v>
      </c>
      <c r="AH35" s="2919">
        <f t="shared" si="4"/>
        <v>0</v>
      </c>
      <c r="AI35" s="1834"/>
      <c r="AJ35" s="417">
        <f t="shared" si="22"/>
        <v>0</v>
      </c>
      <c r="AK35" s="430"/>
    </row>
    <row r="36" spans="1:38" s="424" customFormat="1" ht="15">
      <c r="A36" s="2976"/>
      <c r="B36" s="1477" t="s">
        <v>1288</v>
      </c>
      <c r="C36" s="1286" t="s">
        <v>1289</v>
      </c>
      <c r="D36" s="1227">
        <v>483057466</v>
      </c>
      <c r="E36" s="2719">
        <v>455935823</v>
      </c>
      <c r="F36" s="1227">
        <f>468832373-2789936</f>
        <v>466042437</v>
      </c>
      <c r="G36" s="1227">
        <f>+F36+479400+293800</f>
        <v>466815637</v>
      </c>
      <c r="H36" s="1227">
        <f>+G36+9000*12+237300</f>
        <v>467160937</v>
      </c>
      <c r="I36" s="1227">
        <f>+H36+237300</f>
        <v>467398237</v>
      </c>
      <c r="J36" s="1227">
        <f>+I36</f>
        <v>467398237</v>
      </c>
      <c r="K36" s="3209">
        <v>393528208</v>
      </c>
      <c r="L36" s="1227">
        <v>0</v>
      </c>
      <c r="M36" s="1227">
        <f t="shared" si="53"/>
        <v>0</v>
      </c>
      <c r="N36" s="1227">
        <f t="shared" si="53"/>
        <v>0</v>
      </c>
      <c r="O36" s="1227">
        <f t="shared" si="53"/>
        <v>0</v>
      </c>
      <c r="P36" s="1227">
        <f t="shared" si="53"/>
        <v>0</v>
      </c>
      <c r="Q36" s="1227">
        <v>0</v>
      </c>
      <c r="R36" s="1227">
        <f>+F36</f>
        <v>466042437</v>
      </c>
      <c r="S36" s="1291">
        <f>+R36+479400+293800</f>
        <v>466815637</v>
      </c>
      <c r="T36" s="1291">
        <f>+S36+9000*12+237300</f>
        <v>467160937</v>
      </c>
      <c r="U36" s="1291">
        <f>+T36+237300</f>
        <v>467398237</v>
      </c>
      <c r="V36" s="1291">
        <f t="shared" si="54"/>
        <v>467398237</v>
      </c>
      <c r="W36" s="1291">
        <f>+K36</f>
        <v>393528208</v>
      </c>
      <c r="X36" s="1291"/>
      <c r="Y36" s="1291">
        <f t="shared" si="55"/>
        <v>0</v>
      </c>
      <c r="Z36" s="1291">
        <f t="shared" si="55"/>
        <v>0</v>
      </c>
      <c r="AA36" s="1291">
        <f t="shared" si="55"/>
        <v>0</v>
      </c>
      <c r="AB36" s="1291">
        <f t="shared" si="55"/>
        <v>0</v>
      </c>
      <c r="AC36" s="1291">
        <f t="shared" si="55"/>
        <v>0</v>
      </c>
      <c r="AD36" s="1284"/>
      <c r="AE36" s="1213">
        <f t="shared" si="1"/>
        <v>773200</v>
      </c>
      <c r="AF36" s="1213">
        <f t="shared" si="2"/>
        <v>345300</v>
      </c>
      <c r="AG36" s="1213">
        <f t="shared" si="3"/>
        <v>237300</v>
      </c>
      <c r="AH36" s="2919">
        <f t="shared" si="4"/>
        <v>0</v>
      </c>
      <c r="AI36" s="1834">
        <f t="shared" si="24"/>
        <v>0.84195484032174472</v>
      </c>
      <c r="AJ36" s="417">
        <f t="shared" si="22"/>
        <v>-17015029</v>
      </c>
      <c r="AK36" s="430"/>
    </row>
    <row r="37" spans="1:38" s="405" customFormat="1" ht="15.75">
      <c r="A37" s="2975" t="s">
        <v>27</v>
      </c>
      <c r="B37" s="1475" t="s">
        <v>27</v>
      </c>
      <c r="C37" s="1297" t="s">
        <v>1290</v>
      </c>
      <c r="D37" s="1298">
        <f t="shared" ref="D37:AC37" si="56">+D32+D33</f>
        <v>594633388</v>
      </c>
      <c r="E37" s="2720">
        <f t="shared" si="56"/>
        <v>738251697</v>
      </c>
      <c r="F37" s="1298">
        <f t="shared" si="56"/>
        <v>592362432</v>
      </c>
      <c r="G37" s="1298">
        <f t="shared" si="56"/>
        <v>707065374</v>
      </c>
      <c r="H37" s="1298">
        <f t="shared" si="56"/>
        <v>711055793</v>
      </c>
      <c r="I37" s="1298">
        <f t="shared" si="56"/>
        <v>741044076</v>
      </c>
      <c r="J37" s="1298">
        <f t="shared" si="56"/>
        <v>741044076</v>
      </c>
      <c r="K37" s="3210">
        <f t="shared" si="56"/>
        <v>667174047</v>
      </c>
      <c r="L37" s="1298">
        <f t="shared" si="56"/>
        <v>0</v>
      </c>
      <c r="M37" s="1298">
        <f t="shared" si="56"/>
        <v>0</v>
      </c>
      <c r="N37" s="1298">
        <f t="shared" si="56"/>
        <v>0</v>
      </c>
      <c r="O37" s="1298">
        <f t="shared" si="56"/>
        <v>0</v>
      </c>
      <c r="P37" s="1298">
        <f t="shared" si="56"/>
        <v>0</v>
      </c>
      <c r="Q37" s="1298">
        <f t="shared" si="56"/>
        <v>0</v>
      </c>
      <c r="R37" s="1298">
        <f t="shared" si="56"/>
        <v>592362432</v>
      </c>
      <c r="S37" s="1298">
        <f t="shared" si="56"/>
        <v>707065374</v>
      </c>
      <c r="T37" s="1298">
        <f t="shared" si="56"/>
        <v>711055793</v>
      </c>
      <c r="U37" s="1298">
        <f t="shared" si="56"/>
        <v>741044076</v>
      </c>
      <c r="V37" s="1298">
        <f t="shared" si="56"/>
        <v>741044076</v>
      </c>
      <c r="W37" s="1298">
        <f t="shared" si="56"/>
        <v>667174047</v>
      </c>
      <c r="X37" s="1298">
        <f t="shared" si="56"/>
        <v>0</v>
      </c>
      <c r="Y37" s="1298">
        <f t="shared" si="56"/>
        <v>0</v>
      </c>
      <c r="Z37" s="1298">
        <f t="shared" si="56"/>
        <v>0</v>
      </c>
      <c r="AA37" s="1298">
        <f t="shared" si="56"/>
        <v>0</v>
      </c>
      <c r="AB37" s="1298">
        <f t="shared" si="56"/>
        <v>0</v>
      </c>
      <c r="AC37" s="1298">
        <f t="shared" si="56"/>
        <v>0</v>
      </c>
      <c r="AD37" s="1284"/>
      <c r="AE37" s="1213">
        <f t="shared" si="1"/>
        <v>114702942</v>
      </c>
      <c r="AF37" s="1213">
        <f t="shared" si="2"/>
        <v>3990419</v>
      </c>
      <c r="AG37" s="1213">
        <f t="shared" si="3"/>
        <v>29988283</v>
      </c>
      <c r="AH37" s="2919">
        <f t="shared" si="4"/>
        <v>0</v>
      </c>
      <c r="AI37" s="1829">
        <f t="shared" si="24"/>
        <v>0.90031628159186583</v>
      </c>
      <c r="AJ37" s="417">
        <f t="shared" si="22"/>
        <v>-2270956</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31"/>
      <c r="W38" s="2931"/>
      <c r="X38" s="2931"/>
      <c r="Y38" s="2931"/>
      <c r="Z38" s="2931"/>
      <c r="AA38" s="2931"/>
      <c r="AB38" s="2931"/>
      <c r="AC38" s="2931"/>
      <c r="AD38" s="2930"/>
      <c r="AE38" s="2928"/>
      <c r="AF38" s="2928"/>
      <c r="AG38" s="2928"/>
      <c r="AH38" s="2919">
        <f t="shared" si="4"/>
        <v>0</v>
      </c>
      <c r="AI38" s="1858"/>
      <c r="AJ38" s="417"/>
      <c r="AK38" s="436"/>
    </row>
    <row r="39" spans="1:38" ht="15">
      <c r="A39" s="2932"/>
      <c r="B39" s="1285"/>
      <c r="C39" s="1548" t="str">
        <f t="shared" ref="C39:T40" si="57">+C4</f>
        <v>A</v>
      </c>
      <c r="D39" s="1549" t="str">
        <f t="shared" si="57"/>
        <v>B</v>
      </c>
      <c r="E39" s="2960" t="str">
        <f t="shared" si="57"/>
        <v>B</v>
      </c>
      <c r="F39" s="1345" t="str">
        <f t="shared" si="57"/>
        <v>B</v>
      </c>
      <c r="G39" s="1345" t="str">
        <f t="shared" si="57"/>
        <v>D</v>
      </c>
      <c r="H39" s="1345" t="str">
        <f t="shared" si="57"/>
        <v>E</v>
      </c>
      <c r="I39" s="1345" t="str">
        <f t="shared" si="57"/>
        <v>C</v>
      </c>
      <c r="J39" s="1345" t="str">
        <f t="shared" si="57"/>
        <v>F</v>
      </c>
      <c r="K39" s="1345" t="str">
        <f t="shared" si="57"/>
        <v>D</v>
      </c>
      <c r="L39" s="1345" t="str">
        <f t="shared" si="57"/>
        <v>E</v>
      </c>
      <c r="M39" s="1345" t="str">
        <f t="shared" si="57"/>
        <v>F</v>
      </c>
      <c r="N39" s="1345" t="str">
        <f t="shared" si="57"/>
        <v>F</v>
      </c>
      <c r="O39" s="1345" t="str">
        <f t="shared" si="57"/>
        <v>E</v>
      </c>
      <c r="P39" s="1345">
        <f t="shared" si="57"/>
        <v>0</v>
      </c>
      <c r="Q39" s="1345" t="str">
        <f t="shared" si="57"/>
        <v>F</v>
      </c>
      <c r="R39" s="1345" t="str">
        <f t="shared" si="57"/>
        <v>E</v>
      </c>
      <c r="S39" s="1345" t="str">
        <f t="shared" si="57"/>
        <v>E</v>
      </c>
      <c r="T39" s="1345" t="str">
        <f t="shared" si="57"/>
        <v>G</v>
      </c>
      <c r="U39" s="1345" t="str">
        <f>+U4</f>
        <v>G</v>
      </c>
      <c r="V39" s="1345">
        <f>+V4</f>
        <v>0</v>
      </c>
      <c r="W39" s="1345" t="str">
        <f>+W4</f>
        <v>H</v>
      </c>
      <c r="X39" s="1291"/>
      <c r="Y39" s="1291"/>
      <c r="Z39" s="1291"/>
      <c r="AA39" s="1291"/>
      <c r="AB39" s="1291"/>
      <c r="AC39" s="1291"/>
      <c r="AD39" s="2962"/>
      <c r="AE39" s="1213"/>
      <c r="AF39" s="1345" t="str">
        <f>+AF4</f>
        <v>H</v>
      </c>
      <c r="AG39" s="1301" t="str">
        <f>+AG4</f>
        <v>I</v>
      </c>
      <c r="AH39" s="1551"/>
      <c r="AI39" s="1845" t="str">
        <f>+AI4</f>
        <v>I</v>
      </c>
      <c r="AJ39" s="417"/>
      <c r="AK39" s="1549"/>
      <c r="AL39" s="439"/>
    </row>
    <row r="40" spans="1:38" ht="73.5">
      <c r="A40" s="2933"/>
      <c r="B40" s="1278" t="s">
        <v>6</v>
      </c>
      <c r="C40" s="1276" t="str">
        <f t="shared" si="57"/>
        <v>Kiemelt előirányzat, előirányzat megnevezése</v>
      </c>
      <c r="D40" s="1278" t="str">
        <f t="shared" si="57"/>
        <v>2024. évi eredeti előirányzat
forintban</v>
      </c>
      <c r="E40" s="2596" t="str">
        <f>+E5</f>
        <v>2024. évi teljesítés forintban</v>
      </c>
      <c r="F40" s="1276" t="str">
        <f t="shared" si="57"/>
        <v>2025. évi eredeti előirányzat forintban</v>
      </c>
      <c r="G40" s="1276" t="str">
        <f t="shared" ref="G40:AJ40" si="58">+G5</f>
        <v>2025. évi I. számú módosított előirányzat
forintban</v>
      </c>
      <c r="H40" s="1276" t="str">
        <f t="shared" si="58"/>
        <v>2025. évi II. számú módosított előirányzat forintban</v>
      </c>
      <c r="I40" s="1276" t="str">
        <f t="shared" si="58"/>
        <v>2025. évi III. számú módosított előirányzat forintban</v>
      </c>
      <c r="J40" s="1276" t="str">
        <f t="shared" si="58"/>
        <v>2025. évi IV. számú módosított előirányzat forintban</v>
      </c>
      <c r="K40" s="3197" t="str">
        <f t="shared" si="58"/>
        <v>2025. évi
teljesítés forintban</v>
      </c>
      <c r="L40" s="1276" t="str">
        <f t="shared" si="58"/>
        <v>Önként vállalt feladat forintban</v>
      </c>
      <c r="M40" s="1276" t="str">
        <f t="shared" si="58"/>
        <v>Önként vállalt feladat I. módosítás
forintban</v>
      </c>
      <c r="N40" s="1276" t="str">
        <f t="shared" si="58"/>
        <v>Önként vállalt feladat II. módosítás forintban</v>
      </c>
      <c r="O40" s="1276" t="str">
        <f t="shared" si="58"/>
        <v>Önként vállalt feladat III. módosítás forintban</v>
      </c>
      <c r="P40" s="1276" t="str">
        <f t="shared" si="58"/>
        <v>Önként vállalt feladat IV. módosítás  forintban</v>
      </c>
      <c r="Q40" s="1276" t="str">
        <f t="shared" si="58"/>
        <v>Önként vállalt teljesítés  forintban</v>
      </c>
      <c r="R40" s="1276" t="str">
        <f t="shared" si="58"/>
        <v>Kötelező feladat forintban</v>
      </c>
      <c r="S40" s="1276" t="str">
        <f t="shared" si="58"/>
        <v>Kötelező feladat 
I. módosítás
forintban</v>
      </c>
      <c r="T40" s="1276" t="str">
        <f t="shared" si="58"/>
        <v>Kötelező feladat II. módosítás forintban</v>
      </c>
      <c r="U40" s="1276" t="str">
        <f t="shared" si="58"/>
        <v>Kötelező feladat III. módosítás  forintban</v>
      </c>
      <c r="V40" s="1278" t="str">
        <f t="shared" si="58"/>
        <v>Kötelező feladat IV. módosítás  forintban</v>
      </c>
      <c r="W40" s="1278" t="str">
        <f t="shared" si="58"/>
        <v>Kötelező teljesítés  forintban</v>
      </c>
      <c r="X40" s="1298">
        <f t="shared" si="58"/>
        <v>0</v>
      </c>
      <c r="Y40" s="1298">
        <f t="shared" si="58"/>
        <v>0</v>
      </c>
      <c r="Z40" s="1298">
        <f t="shared" si="58"/>
        <v>0</v>
      </c>
      <c r="AA40" s="1298">
        <f t="shared" si="58"/>
        <v>0</v>
      </c>
      <c r="AB40" s="1298">
        <f t="shared" si="58"/>
        <v>0</v>
      </c>
      <c r="AC40" s="1298">
        <f t="shared" si="58"/>
        <v>0</v>
      </c>
      <c r="AD40" s="1278"/>
      <c r="AE40" s="1278" t="str">
        <f t="shared" si="58"/>
        <v>I. változás</v>
      </c>
      <c r="AF40" s="1278" t="str">
        <f t="shared" si="58"/>
        <v>Előirányzat-módosítások, előirányzat-átcsoportosítások összegszerű változásai</v>
      </c>
      <c r="AG40" s="2916" t="str">
        <f t="shared" si="58"/>
        <v>Előirányzat-módosítások, előirányzat-átcsoportosítások összegszerű változásai a III. módosításnál</v>
      </c>
      <c r="AH40" s="1854" t="str">
        <f t="shared" si="58"/>
        <v>IV. változás</v>
      </c>
      <c r="AI40" s="1825" t="str">
        <f t="shared" si="58"/>
        <v xml:space="preserve"> 2025. évi teljesítés / 2025. évi III. számú módosított előirányzat</v>
      </c>
      <c r="AJ40" s="1854" t="str">
        <f t="shared" si="58"/>
        <v>Változás Eredeti előző évhez 
Ft-ban</v>
      </c>
      <c r="AK40" s="2595"/>
      <c r="AL40" s="439"/>
    </row>
    <row r="41" spans="1:38" ht="15">
      <c r="A41" s="2934" t="s">
        <v>6</v>
      </c>
      <c r="B41" s="2946" t="s">
        <v>3353</v>
      </c>
      <c r="C41" s="1292" t="s">
        <v>1291</v>
      </c>
      <c r="D41" s="1213">
        <f t="shared" ref="D41:AC41" si="59">SUM(D42:D46)</f>
        <v>592694358</v>
      </c>
      <c r="E41" s="2715">
        <f t="shared" si="59"/>
        <v>599020815</v>
      </c>
      <c r="F41" s="1213">
        <f t="shared" si="59"/>
        <v>588287391</v>
      </c>
      <c r="G41" s="1213">
        <f t="shared" si="59"/>
        <v>702803003</v>
      </c>
      <c r="H41" s="1213">
        <f t="shared" si="59"/>
        <v>705014802</v>
      </c>
      <c r="I41" s="1213">
        <f t="shared" si="59"/>
        <v>730955662</v>
      </c>
      <c r="J41" s="1213">
        <f t="shared" si="59"/>
        <v>730955662</v>
      </c>
      <c r="K41" s="3208">
        <f t="shared" si="59"/>
        <v>589241952</v>
      </c>
      <c r="L41" s="1213">
        <f t="shared" si="59"/>
        <v>0</v>
      </c>
      <c r="M41" s="1213">
        <f t="shared" si="59"/>
        <v>0</v>
      </c>
      <c r="N41" s="1213">
        <f t="shared" si="59"/>
        <v>0</v>
      </c>
      <c r="O41" s="1213">
        <f t="shared" si="59"/>
        <v>0</v>
      </c>
      <c r="P41" s="1213">
        <f t="shared" si="59"/>
        <v>0</v>
      </c>
      <c r="Q41" s="1213">
        <f t="shared" si="59"/>
        <v>0</v>
      </c>
      <c r="R41" s="1213">
        <f t="shared" si="59"/>
        <v>588287391</v>
      </c>
      <c r="S41" s="1213">
        <f t="shared" si="59"/>
        <v>702803003</v>
      </c>
      <c r="T41" s="1213">
        <f t="shared" si="59"/>
        <v>705014802</v>
      </c>
      <c r="U41" s="1213">
        <f t="shared" si="59"/>
        <v>730955662</v>
      </c>
      <c r="V41" s="1213">
        <f t="shared" si="59"/>
        <v>730955662</v>
      </c>
      <c r="W41" s="1213">
        <f t="shared" si="59"/>
        <v>589241952</v>
      </c>
      <c r="X41" s="1213">
        <f t="shared" si="59"/>
        <v>0</v>
      </c>
      <c r="Y41" s="1213">
        <f t="shared" si="59"/>
        <v>0</v>
      </c>
      <c r="Z41" s="1213">
        <f t="shared" si="59"/>
        <v>0</v>
      </c>
      <c r="AA41" s="1213">
        <f t="shared" si="59"/>
        <v>0</v>
      </c>
      <c r="AB41" s="1213">
        <f t="shared" si="59"/>
        <v>0</v>
      </c>
      <c r="AC41" s="1213">
        <f t="shared" si="59"/>
        <v>0</v>
      </c>
      <c r="AD41" s="1284"/>
      <c r="AE41" s="1213">
        <f t="shared" si="1"/>
        <v>114515612</v>
      </c>
      <c r="AF41" s="1213">
        <f t="shared" si="2"/>
        <v>2211799</v>
      </c>
      <c r="AG41" s="1213">
        <f t="shared" si="3"/>
        <v>25940860</v>
      </c>
      <c r="AH41" s="2919">
        <f t="shared" si="4"/>
        <v>0</v>
      </c>
      <c r="AI41" s="1829">
        <f t="shared" ref="AI41:AI54" si="60">+K41/I41</f>
        <v>0.80612543637427903</v>
      </c>
      <c r="AJ41" s="417">
        <f t="shared" ref="AJ41:AJ54" si="61">+F41-D41</f>
        <v>-4406967</v>
      </c>
      <c r="AK41" s="412"/>
      <c r="AL41" s="439"/>
    </row>
    <row r="42" spans="1:38" ht="15">
      <c r="A42" s="2934"/>
      <c r="B42" s="2948" t="s">
        <v>176</v>
      </c>
      <c r="C42" s="1290" t="s">
        <v>147</v>
      </c>
      <c r="D42" s="1227">
        <v>274171626</v>
      </c>
      <c r="E42" s="2719">
        <v>268852881</v>
      </c>
      <c r="F42" s="1227">
        <v>299628644</v>
      </c>
      <c r="G42" s="1227">
        <f>F42+429185+260000</f>
        <v>300317829</v>
      </c>
      <c r="H42" s="1227">
        <f>G42+9000*12+210000-429185</f>
        <v>300206644</v>
      </c>
      <c r="I42" s="1227">
        <f>H42+210000-101708+12766327</f>
        <v>313081263</v>
      </c>
      <c r="J42" s="1227">
        <f>I42</f>
        <v>313081263</v>
      </c>
      <c r="K42" s="3209">
        <v>290115037</v>
      </c>
      <c r="L42" s="1227">
        <v>0</v>
      </c>
      <c r="M42" s="1227">
        <f t="shared" ref="M42:P46" si="62">+L42</f>
        <v>0</v>
      </c>
      <c r="N42" s="1227">
        <f t="shared" si="62"/>
        <v>0</v>
      </c>
      <c r="O42" s="1227">
        <f t="shared" si="62"/>
        <v>0</v>
      </c>
      <c r="P42" s="1227">
        <f t="shared" si="62"/>
        <v>0</v>
      </c>
      <c r="Q42" s="1227">
        <v>0</v>
      </c>
      <c r="R42" s="1227">
        <f>+F42</f>
        <v>299628644</v>
      </c>
      <c r="S42" s="1227">
        <f>+R42+429185+260000</f>
        <v>300317829</v>
      </c>
      <c r="T42" s="1227">
        <f>+S42+9000*12+210000-429185</f>
        <v>300206644</v>
      </c>
      <c r="U42" s="1227">
        <f>+T42+210000-101708+12766327</f>
        <v>313081263</v>
      </c>
      <c r="V42" s="1227">
        <f>+U42</f>
        <v>313081263</v>
      </c>
      <c r="W42" s="1291">
        <f>+K42</f>
        <v>290115037</v>
      </c>
      <c r="X42" s="1291"/>
      <c r="Y42" s="1291">
        <f t="shared" ref="Y42:AC46" si="63">+X42</f>
        <v>0</v>
      </c>
      <c r="Z42" s="1291">
        <f t="shared" si="63"/>
        <v>0</v>
      </c>
      <c r="AA42" s="1291">
        <f t="shared" si="63"/>
        <v>0</v>
      </c>
      <c r="AB42" s="1291">
        <f t="shared" si="63"/>
        <v>0</v>
      </c>
      <c r="AC42" s="1291">
        <f t="shared" si="63"/>
        <v>0</v>
      </c>
      <c r="AD42" s="1284"/>
      <c r="AE42" s="1213">
        <f t="shared" si="1"/>
        <v>689185</v>
      </c>
      <c r="AF42" s="1213">
        <f t="shared" si="2"/>
        <v>-111185</v>
      </c>
      <c r="AG42" s="1213">
        <f t="shared" si="3"/>
        <v>12874619</v>
      </c>
      <c r="AH42" s="2919">
        <f t="shared" si="4"/>
        <v>0</v>
      </c>
      <c r="AI42" s="1834">
        <f t="shared" si="60"/>
        <v>0.92664452104244899</v>
      </c>
      <c r="AJ42" s="417">
        <f t="shared" si="61"/>
        <v>25457018</v>
      </c>
      <c r="AK42" s="430"/>
      <c r="AL42" s="439"/>
    </row>
    <row r="43" spans="1:38" ht="15">
      <c r="A43" s="2934"/>
      <c r="B43" s="2948" t="s">
        <v>178</v>
      </c>
      <c r="C43" s="1290" t="s">
        <v>8</v>
      </c>
      <c r="D43" s="1227">
        <v>42951262</v>
      </c>
      <c r="E43" s="2719">
        <v>43067961</v>
      </c>
      <c r="F43" s="1227">
        <f>46959289+1</f>
        <v>46959290</v>
      </c>
      <c r="G43" s="1227">
        <f>F43+50215+33800</f>
        <v>47043305</v>
      </c>
      <c r="H43" s="1227">
        <f>G43+27300-50215</f>
        <v>47020390</v>
      </c>
      <c r="I43" s="1227">
        <f>H43+27300+101708</f>
        <v>47149398</v>
      </c>
      <c r="J43" s="1227">
        <f>I43</f>
        <v>47149398</v>
      </c>
      <c r="K43" s="3209">
        <v>45313301</v>
      </c>
      <c r="L43" s="1227">
        <v>0</v>
      </c>
      <c r="M43" s="1227">
        <f t="shared" si="62"/>
        <v>0</v>
      </c>
      <c r="N43" s="1227">
        <f t="shared" si="62"/>
        <v>0</v>
      </c>
      <c r="O43" s="1227">
        <f t="shared" si="62"/>
        <v>0</v>
      </c>
      <c r="P43" s="1227">
        <f t="shared" si="62"/>
        <v>0</v>
      </c>
      <c r="Q43" s="1227">
        <v>0</v>
      </c>
      <c r="R43" s="1227">
        <f>+F43</f>
        <v>46959290</v>
      </c>
      <c r="S43" s="1227">
        <f>+R43+50215+33800</f>
        <v>47043305</v>
      </c>
      <c r="T43" s="1227">
        <f>+S43+27300-50215</f>
        <v>47020390</v>
      </c>
      <c r="U43" s="1227">
        <f>+T43+27300+101708</f>
        <v>47149398</v>
      </c>
      <c r="V43" s="1227">
        <f>+U43</f>
        <v>47149398</v>
      </c>
      <c r="W43" s="1291">
        <f>+K43</f>
        <v>45313301</v>
      </c>
      <c r="X43" s="1291"/>
      <c r="Y43" s="1291">
        <f t="shared" si="63"/>
        <v>0</v>
      </c>
      <c r="Z43" s="1291">
        <f t="shared" si="63"/>
        <v>0</v>
      </c>
      <c r="AA43" s="1291">
        <f t="shared" si="63"/>
        <v>0</v>
      </c>
      <c r="AB43" s="1291">
        <f t="shared" si="63"/>
        <v>0</v>
      </c>
      <c r="AC43" s="1291">
        <f t="shared" si="63"/>
        <v>0</v>
      </c>
      <c r="AD43" s="1665"/>
      <c r="AE43" s="1213">
        <f t="shared" si="1"/>
        <v>84015</v>
      </c>
      <c r="AF43" s="1213">
        <f t="shared" si="2"/>
        <v>-22915</v>
      </c>
      <c r="AG43" s="1213">
        <f t="shared" si="3"/>
        <v>129008</v>
      </c>
      <c r="AH43" s="2919">
        <f t="shared" si="4"/>
        <v>0</v>
      </c>
      <c r="AI43" s="1834">
        <f t="shared" si="60"/>
        <v>0.96105789091941318</v>
      </c>
      <c r="AJ43" s="417">
        <f t="shared" si="61"/>
        <v>4008028</v>
      </c>
      <c r="AK43" s="430"/>
      <c r="AL43" s="439"/>
    </row>
    <row r="44" spans="1:38" ht="15">
      <c r="A44" s="2934"/>
      <c r="B44" s="2948" t="s">
        <v>179</v>
      </c>
      <c r="C44" s="1290" t="s">
        <v>317</v>
      </c>
      <c r="D44" s="1227">
        <v>275571470</v>
      </c>
      <c r="E44" s="2719">
        <v>277552019</v>
      </c>
      <c r="F44" s="1227">
        <f>261615343-19915886</f>
        <v>241699457</v>
      </c>
      <c r="G44" s="1227">
        <f>F44+80761990+3195000+5952707</f>
        <v>331609154</v>
      </c>
      <c r="H44" s="1227">
        <f>G44+3645119+429185+50215-1778620</f>
        <v>333955053</v>
      </c>
      <c r="I44" s="1227">
        <f>H44+6380650-3597423+10154006</f>
        <v>346892286</v>
      </c>
      <c r="J44" s="1227">
        <f>I44</f>
        <v>346892286</v>
      </c>
      <c r="K44" s="3209">
        <v>229980899</v>
      </c>
      <c r="L44" s="1227">
        <v>0</v>
      </c>
      <c r="M44" s="1227">
        <f t="shared" si="62"/>
        <v>0</v>
      </c>
      <c r="N44" s="1227">
        <f t="shared" si="62"/>
        <v>0</v>
      </c>
      <c r="O44" s="1227">
        <f t="shared" si="62"/>
        <v>0</v>
      </c>
      <c r="P44" s="1227">
        <f t="shared" si="62"/>
        <v>0</v>
      </c>
      <c r="Q44" s="1227">
        <v>0</v>
      </c>
      <c r="R44" s="1227">
        <f>+F44</f>
        <v>241699457</v>
      </c>
      <c r="S44" s="1227">
        <f>+R44+80761990+3195000+5952707</f>
        <v>331609154</v>
      </c>
      <c r="T44" s="1227">
        <f>+S44+3645119+429185+50215-1778620</f>
        <v>333955053</v>
      </c>
      <c r="U44" s="1227">
        <f>+T44+6380650-3597423+10154006</f>
        <v>346892286</v>
      </c>
      <c r="V44" s="1227">
        <f>+U44</f>
        <v>346892286</v>
      </c>
      <c r="W44" s="1291">
        <f>+K44</f>
        <v>229980899</v>
      </c>
      <c r="X44" s="1291"/>
      <c r="Y44" s="1291">
        <f t="shared" si="63"/>
        <v>0</v>
      </c>
      <c r="Z44" s="1291">
        <f t="shared" si="63"/>
        <v>0</v>
      </c>
      <c r="AA44" s="1291">
        <f t="shared" si="63"/>
        <v>0</v>
      </c>
      <c r="AB44" s="1291">
        <f t="shared" si="63"/>
        <v>0</v>
      </c>
      <c r="AC44" s="1291">
        <f t="shared" si="63"/>
        <v>0</v>
      </c>
      <c r="AD44" s="2947"/>
      <c r="AE44" s="1213">
        <f t="shared" si="1"/>
        <v>89909697</v>
      </c>
      <c r="AF44" s="1213">
        <f t="shared" si="2"/>
        <v>2345899</v>
      </c>
      <c r="AG44" s="1213">
        <f t="shared" si="3"/>
        <v>12937233</v>
      </c>
      <c r="AH44" s="2919">
        <f t="shared" si="4"/>
        <v>0</v>
      </c>
      <c r="AI44" s="1834">
        <f t="shared" si="60"/>
        <v>0.66297495874555135</v>
      </c>
      <c r="AJ44" s="417">
        <f t="shared" si="61"/>
        <v>-33872013</v>
      </c>
      <c r="AK44" s="430"/>
    </row>
    <row r="45" spans="1:38" s="439" customFormat="1" ht="15">
      <c r="A45" s="2934"/>
      <c r="B45" s="2948" t="s">
        <v>180</v>
      </c>
      <c r="C45" s="1290" t="s">
        <v>318</v>
      </c>
      <c r="D45" s="1227">
        <v>0</v>
      </c>
      <c r="E45" s="2719">
        <v>0</v>
      </c>
      <c r="F45" s="1227">
        <v>0</v>
      </c>
      <c r="G45" s="1227">
        <f>F45</f>
        <v>0</v>
      </c>
      <c r="H45" s="1227">
        <f t="shared" ref="H45:J46" si="64">G45</f>
        <v>0</v>
      </c>
      <c r="I45" s="1227">
        <f t="shared" si="64"/>
        <v>0</v>
      </c>
      <c r="J45" s="1227">
        <f t="shared" si="64"/>
        <v>0</v>
      </c>
      <c r="K45" s="3209">
        <v>0</v>
      </c>
      <c r="L45" s="1227">
        <v>0</v>
      </c>
      <c r="M45" s="1227">
        <f t="shared" si="62"/>
        <v>0</v>
      </c>
      <c r="N45" s="1227">
        <f t="shared" si="62"/>
        <v>0</v>
      </c>
      <c r="O45" s="1227">
        <f t="shared" si="62"/>
        <v>0</v>
      </c>
      <c r="P45" s="1227">
        <f t="shared" si="62"/>
        <v>0</v>
      </c>
      <c r="Q45" s="1227">
        <v>0</v>
      </c>
      <c r="R45" s="1227">
        <v>0</v>
      </c>
      <c r="S45" s="1227">
        <f t="shared" ref="S45:U46" si="65">+R45</f>
        <v>0</v>
      </c>
      <c r="T45" s="1227">
        <f t="shared" si="65"/>
        <v>0</v>
      </c>
      <c r="U45" s="1227">
        <f t="shared" si="65"/>
        <v>0</v>
      </c>
      <c r="V45" s="1227">
        <f>+U45</f>
        <v>0</v>
      </c>
      <c r="W45" s="1291">
        <f>+K45</f>
        <v>0</v>
      </c>
      <c r="X45" s="1291"/>
      <c r="Y45" s="1291">
        <f t="shared" si="63"/>
        <v>0</v>
      </c>
      <c r="Z45" s="1291">
        <f t="shared" si="63"/>
        <v>0</v>
      </c>
      <c r="AA45" s="1291">
        <f t="shared" si="63"/>
        <v>0</v>
      </c>
      <c r="AB45" s="1291">
        <f t="shared" si="63"/>
        <v>0</v>
      </c>
      <c r="AC45" s="1291">
        <f t="shared" si="63"/>
        <v>0</v>
      </c>
      <c r="AD45" s="1284"/>
      <c r="AE45" s="1213">
        <f t="shared" si="1"/>
        <v>0</v>
      </c>
      <c r="AF45" s="1213">
        <f t="shared" si="2"/>
        <v>0</v>
      </c>
      <c r="AG45" s="1213">
        <f t="shared" si="3"/>
        <v>0</v>
      </c>
      <c r="AH45" s="2919">
        <f t="shared" si="4"/>
        <v>0</v>
      </c>
      <c r="AI45" s="1834"/>
      <c r="AJ45" s="417">
        <f t="shared" si="61"/>
        <v>0</v>
      </c>
      <c r="AK45" s="430"/>
    </row>
    <row r="46" spans="1:38" ht="15">
      <c r="A46" s="2934"/>
      <c r="B46" s="1477" t="s">
        <v>181</v>
      </c>
      <c r="C46" s="1286" t="s">
        <v>151</v>
      </c>
      <c r="D46" s="1227">
        <v>0</v>
      </c>
      <c r="E46" s="2719">
        <v>9547954</v>
      </c>
      <c r="F46" s="1227">
        <v>0</v>
      </c>
      <c r="G46" s="1227">
        <f>F46+23832715</f>
        <v>23832715</v>
      </c>
      <c r="H46" s="1227">
        <f t="shared" si="64"/>
        <v>23832715</v>
      </c>
      <c r="I46" s="1227">
        <f t="shared" si="64"/>
        <v>23832715</v>
      </c>
      <c r="J46" s="1227">
        <f t="shared" si="64"/>
        <v>23832715</v>
      </c>
      <c r="K46" s="3209">
        <v>23832715</v>
      </c>
      <c r="L46" s="1227">
        <v>0</v>
      </c>
      <c r="M46" s="1227">
        <f t="shared" si="62"/>
        <v>0</v>
      </c>
      <c r="N46" s="1227">
        <f t="shared" si="62"/>
        <v>0</v>
      </c>
      <c r="O46" s="1227">
        <f t="shared" si="62"/>
        <v>0</v>
      </c>
      <c r="P46" s="1227">
        <f t="shared" si="62"/>
        <v>0</v>
      </c>
      <c r="Q46" s="1227">
        <v>0</v>
      </c>
      <c r="R46" s="1227">
        <v>0</v>
      </c>
      <c r="S46" s="1227">
        <f>+R46+23832715</f>
        <v>23832715</v>
      </c>
      <c r="T46" s="1227">
        <f t="shared" si="65"/>
        <v>23832715</v>
      </c>
      <c r="U46" s="1227">
        <f t="shared" si="65"/>
        <v>23832715</v>
      </c>
      <c r="V46" s="1227">
        <f>+U46</f>
        <v>23832715</v>
      </c>
      <c r="W46" s="1291">
        <f>+K46</f>
        <v>23832715</v>
      </c>
      <c r="X46" s="1291"/>
      <c r="Y46" s="1291">
        <f t="shared" si="63"/>
        <v>0</v>
      </c>
      <c r="Z46" s="1291">
        <f t="shared" si="63"/>
        <v>0</v>
      </c>
      <c r="AA46" s="1291">
        <f t="shared" si="63"/>
        <v>0</v>
      </c>
      <c r="AB46" s="1291">
        <f t="shared" si="63"/>
        <v>0</v>
      </c>
      <c r="AC46" s="1291">
        <f t="shared" si="63"/>
        <v>0</v>
      </c>
      <c r="AD46" s="2966"/>
      <c r="AE46" s="1213">
        <f t="shared" si="1"/>
        <v>23832715</v>
      </c>
      <c r="AF46" s="1213">
        <f t="shared" si="2"/>
        <v>0</v>
      </c>
      <c r="AG46" s="1213">
        <f t="shared" si="3"/>
        <v>0</v>
      </c>
      <c r="AH46" s="2919">
        <f t="shared" si="4"/>
        <v>0</v>
      </c>
      <c r="AI46" s="1834">
        <f t="shared" si="60"/>
        <v>1</v>
      </c>
      <c r="AJ46" s="417">
        <f t="shared" si="61"/>
        <v>0</v>
      </c>
      <c r="AK46" s="430"/>
    </row>
    <row r="47" spans="1:38" ht="15">
      <c r="A47" s="2934" t="s">
        <v>12</v>
      </c>
      <c r="B47" s="2946" t="s">
        <v>12</v>
      </c>
      <c r="C47" s="1292" t="s">
        <v>1292</v>
      </c>
      <c r="D47" s="1213">
        <f t="shared" ref="D47:AC47" si="66">SUM(D48:D50)</f>
        <v>1939030</v>
      </c>
      <c r="E47" s="2715">
        <f t="shared" si="66"/>
        <v>34636177</v>
      </c>
      <c r="F47" s="1213">
        <f t="shared" si="66"/>
        <v>4075041</v>
      </c>
      <c r="G47" s="1213">
        <f t="shared" si="66"/>
        <v>4262371</v>
      </c>
      <c r="H47" s="1213">
        <f t="shared" si="66"/>
        <v>6040991</v>
      </c>
      <c r="I47" s="1213">
        <f t="shared" si="66"/>
        <v>10088414</v>
      </c>
      <c r="J47" s="1213">
        <f t="shared" si="66"/>
        <v>10088414</v>
      </c>
      <c r="K47" s="3208">
        <f>SUM(K48:K50)</f>
        <v>6981438</v>
      </c>
      <c r="L47" s="1213">
        <f t="shared" si="66"/>
        <v>0</v>
      </c>
      <c r="M47" s="1213">
        <f t="shared" si="66"/>
        <v>0</v>
      </c>
      <c r="N47" s="1213">
        <f t="shared" si="66"/>
        <v>0</v>
      </c>
      <c r="O47" s="1213">
        <f t="shared" si="66"/>
        <v>0</v>
      </c>
      <c r="P47" s="1213">
        <f t="shared" si="66"/>
        <v>0</v>
      </c>
      <c r="Q47" s="1213">
        <f t="shared" si="66"/>
        <v>0</v>
      </c>
      <c r="R47" s="1213">
        <f t="shared" si="66"/>
        <v>4075041</v>
      </c>
      <c r="S47" s="1213">
        <f t="shared" si="66"/>
        <v>4262371</v>
      </c>
      <c r="T47" s="1213">
        <f t="shared" si="66"/>
        <v>6040991</v>
      </c>
      <c r="U47" s="1213">
        <f t="shared" si="66"/>
        <v>10088414</v>
      </c>
      <c r="V47" s="1213">
        <f t="shared" si="66"/>
        <v>10088414</v>
      </c>
      <c r="W47" s="1213">
        <f t="shared" si="66"/>
        <v>6981438</v>
      </c>
      <c r="X47" s="1213">
        <f t="shared" si="66"/>
        <v>0</v>
      </c>
      <c r="Y47" s="1213">
        <f t="shared" si="66"/>
        <v>0</v>
      </c>
      <c r="Z47" s="1213">
        <f t="shared" si="66"/>
        <v>0</v>
      </c>
      <c r="AA47" s="1213">
        <f t="shared" si="66"/>
        <v>0</v>
      </c>
      <c r="AB47" s="1213">
        <f t="shared" si="66"/>
        <v>0</v>
      </c>
      <c r="AC47" s="1213">
        <f t="shared" si="66"/>
        <v>0</v>
      </c>
      <c r="AD47" s="1284"/>
      <c r="AE47" s="1213">
        <f t="shared" si="1"/>
        <v>187330</v>
      </c>
      <c r="AF47" s="1213">
        <f t="shared" si="2"/>
        <v>1778620</v>
      </c>
      <c r="AG47" s="1213">
        <f t="shared" si="3"/>
        <v>4047423</v>
      </c>
      <c r="AH47" s="2919">
        <f t="shared" si="4"/>
        <v>0</v>
      </c>
      <c r="AI47" s="1829">
        <f t="shared" si="60"/>
        <v>0.69202532727146204</v>
      </c>
      <c r="AJ47" s="417">
        <f t="shared" si="61"/>
        <v>2136011</v>
      </c>
      <c r="AK47" s="412"/>
    </row>
    <row r="48" spans="1:38" ht="15">
      <c r="A48" s="2934"/>
      <c r="B48" s="2948" t="s">
        <v>185</v>
      </c>
      <c r="C48" s="1290" t="s">
        <v>82</v>
      </c>
      <c r="D48" s="1227">
        <v>1939030</v>
      </c>
      <c r="E48" s="2719">
        <v>7054911</v>
      </c>
      <c r="F48" s="1227">
        <v>4075041</v>
      </c>
      <c r="G48" s="1227">
        <f>+F48+187330</f>
        <v>4262371</v>
      </c>
      <c r="H48" s="1227">
        <f>+G48+1778620</f>
        <v>6040991</v>
      </c>
      <c r="I48" s="1227">
        <f>+H48+450000+3597423</f>
        <v>10088414</v>
      </c>
      <c r="J48" s="1227">
        <f t="shared" ref="H48:J49" si="67">+I48</f>
        <v>10088414</v>
      </c>
      <c r="K48" s="3209">
        <v>6981438</v>
      </c>
      <c r="L48" s="1227">
        <v>0</v>
      </c>
      <c r="M48" s="1227">
        <f t="shared" ref="M48:P51" si="68">+L48</f>
        <v>0</v>
      </c>
      <c r="N48" s="1227">
        <f t="shared" si="68"/>
        <v>0</v>
      </c>
      <c r="O48" s="1227">
        <f t="shared" si="68"/>
        <v>0</v>
      </c>
      <c r="P48" s="1227">
        <f t="shared" si="68"/>
        <v>0</v>
      </c>
      <c r="Q48" s="1227">
        <v>0</v>
      </c>
      <c r="R48" s="1227">
        <f>+F48</f>
        <v>4075041</v>
      </c>
      <c r="S48" s="1227">
        <f>+R48+187330</f>
        <v>4262371</v>
      </c>
      <c r="T48" s="1227">
        <f>+S48+1778620</f>
        <v>6040991</v>
      </c>
      <c r="U48" s="1227">
        <f>+T48+450000+3597423</f>
        <v>10088414</v>
      </c>
      <c r="V48" s="1227">
        <f t="shared" ref="U48:V51" si="69">+U48</f>
        <v>10088414</v>
      </c>
      <c r="W48" s="1227">
        <f>+K48</f>
        <v>6981438</v>
      </c>
      <c r="X48" s="1291"/>
      <c r="Y48" s="1291">
        <f t="shared" ref="Y48:AC51" si="70">+X48</f>
        <v>0</v>
      </c>
      <c r="Z48" s="1291">
        <f t="shared" si="70"/>
        <v>0</v>
      </c>
      <c r="AA48" s="1291">
        <f t="shared" si="70"/>
        <v>0</v>
      </c>
      <c r="AB48" s="1291">
        <f t="shared" si="70"/>
        <v>0</v>
      </c>
      <c r="AC48" s="1291">
        <f t="shared" si="70"/>
        <v>0</v>
      </c>
      <c r="AD48" s="1290"/>
      <c r="AE48" s="1213">
        <f t="shared" si="1"/>
        <v>187330</v>
      </c>
      <c r="AF48" s="1213">
        <f t="shared" si="2"/>
        <v>1778620</v>
      </c>
      <c r="AG48" s="1213">
        <f t="shared" si="3"/>
        <v>4047423</v>
      </c>
      <c r="AH48" s="2919">
        <f t="shared" si="4"/>
        <v>0</v>
      </c>
      <c r="AI48" s="1834">
        <f t="shared" si="60"/>
        <v>0.69202532727146204</v>
      </c>
      <c r="AJ48" s="417">
        <f t="shared" si="61"/>
        <v>2136011</v>
      </c>
      <c r="AK48" s="430"/>
    </row>
    <row r="49" spans="1:37" ht="15">
      <c r="A49" s="2934"/>
      <c r="B49" s="2948" t="s">
        <v>187</v>
      </c>
      <c r="C49" s="1290" t="s">
        <v>344</v>
      </c>
      <c r="D49" s="1227">
        <v>0</v>
      </c>
      <c r="E49" s="2719">
        <v>27581266</v>
      </c>
      <c r="F49" s="1227">
        <v>0</v>
      </c>
      <c r="G49" s="1227">
        <f t="shared" ref="G49:J51" si="71">+F49</f>
        <v>0</v>
      </c>
      <c r="H49" s="1227">
        <f t="shared" si="67"/>
        <v>0</v>
      </c>
      <c r="I49" s="1227">
        <f t="shared" si="67"/>
        <v>0</v>
      </c>
      <c r="J49" s="1227">
        <f t="shared" si="67"/>
        <v>0</v>
      </c>
      <c r="K49" s="3209">
        <v>0</v>
      </c>
      <c r="L49" s="1227">
        <v>0</v>
      </c>
      <c r="M49" s="1227">
        <f t="shared" si="68"/>
        <v>0</v>
      </c>
      <c r="N49" s="1227">
        <f t="shared" si="68"/>
        <v>0</v>
      </c>
      <c r="O49" s="1227">
        <f t="shared" si="68"/>
        <v>0</v>
      </c>
      <c r="P49" s="1227">
        <f t="shared" si="68"/>
        <v>0</v>
      </c>
      <c r="Q49" s="1227">
        <v>0</v>
      </c>
      <c r="R49" s="1227">
        <f>+F49</f>
        <v>0</v>
      </c>
      <c r="S49" s="1227">
        <f t="shared" ref="S49:T51" si="72">+R49</f>
        <v>0</v>
      </c>
      <c r="T49" s="1227">
        <f>+S49</f>
        <v>0</v>
      </c>
      <c r="U49" s="1227">
        <f>+T49</f>
        <v>0</v>
      </c>
      <c r="V49" s="1227">
        <f t="shared" si="69"/>
        <v>0</v>
      </c>
      <c r="W49" s="1227">
        <f>+K49</f>
        <v>0</v>
      </c>
      <c r="X49" s="1291"/>
      <c r="Y49" s="1291">
        <f t="shared" si="70"/>
        <v>0</v>
      </c>
      <c r="Z49" s="1291">
        <f t="shared" si="70"/>
        <v>0</v>
      </c>
      <c r="AA49" s="1291">
        <f t="shared" si="70"/>
        <v>0</v>
      </c>
      <c r="AB49" s="1291">
        <f t="shared" si="70"/>
        <v>0</v>
      </c>
      <c r="AC49" s="1291">
        <f t="shared" si="70"/>
        <v>0</v>
      </c>
      <c r="AD49" s="1290"/>
      <c r="AE49" s="1213">
        <f t="shared" si="1"/>
        <v>0</v>
      </c>
      <c r="AF49" s="1213">
        <f t="shared" si="2"/>
        <v>0</v>
      </c>
      <c r="AG49" s="1213">
        <f t="shared" si="3"/>
        <v>0</v>
      </c>
      <c r="AH49" s="2919">
        <f t="shared" si="4"/>
        <v>0</v>
      </c>
      <c r="AI49" s="1834"/>
      <c r="AJ49" s="417">
        <f t="shared" si="61"/>
        <v>0</v>
      </c>
      <c r="AK49" s="430"/>
    </row>
    <row r="50" spans="1:37" ht="15">
      <c r="A50" s="2934"/>
      <c r="B50" s="1477" t="s">
        <v>189</v>
      </c>
      <c r="C50" s="1286" t="s">
        <v>1293</v>
      </c>
      <c r="D50" s="1227">
        <v>0</v>
      </c>
      <c r="E50" s="2719">
        <v>0</v>
      </c>
      <c r="F50" s="1227">
        <v>0</v>
      </c>
      <c r="G50" s="1227">
        <f t="shared" si="71"/>
        <v>0</v>
      </c>
      <c r="H50" s="1227">
        <f t="shared" si="71"/>
        <v>0</v>
      </c>
      <c r="I50" s="1227">
        <f t="shared" si="71"/>
        <v>0</v>
      </c>
      <c r="J50" s="1227">
        <f t="shared" si="71"/>
        <v>0</v>
      </c>
      <c r="K50" s="3209">
        <v>0</v>
      </c>
      <c r="L50" s="1227">
        <v>0</v>
      </c>
      <c r="M50" s="1227">
        <f t="shared" si="68"/>
        <v>0</v>
      </c>
      <c r="N50" s="1227">
        <f t="shared" si="68"/>
        <v>0</v>
      </c>
      <c r="O50" s="1227">
        <f t="shared" si="68"/>
        <v>0</v>
      </c>
      <c r="P50" s="1227">
        <f t="shared" si="68"/>
        <v>0</v>
      </c>
      <c r="Q50" s="1227">
        <v>0</v>
      </c>
      <c r="R50" s="1227">
        <v>0</v>
      </c>
      <c r="S50" s="1227">
        <f t="shared" si="72"/>
        <v>0</v>
      </c>
      <c r="T50" s="1227">
        <f t="shared" si="72"/>
        <v>0</v>
      </c>
      <c r="U50" s="1227">
        <f t="shared" si="69"/>
        <v>0</v>
      </c>
      <c r="V50" s="1227">
        <f t="shared" si="69"/>
        <v>0</v>
      </c>
      <c r="W50" s="1227">
        <f>+K50</f>
        <v>0</v>
      </c>
      <c r="X50" s="1291"/>
      <c r="Y50" s="1291">
        <f t="shared" si="70"/>
        <v>0</v>
      </c>
      <c r="Z50" s="1291">
        <f t="shared" si="70"/>
        <v>0</v>
      </c>
      <c r="AA50" s="1291">
        <f t="shared" si="70"/>
        <v>0</v>
      </c>
      <c r="AB50" s="1291">
        <f t="shared" si="70"/>
        <v>0</v>
      </c>
      <c r="AC50" s="1291">
        <f t="shared" si="70"/>
        <v>0</v>
      </c>
      <c r="AD50" s="1284"/>
      <c r="AE50" s="1213">
        <f t="shared" si="1"/>
        <v>0</v>
      </c>
      <c r="AF50" s="1213">
        <f t="shared" si="2"/>
        <v>0</v>
      </c>
      <c r="AG50" s="1213">
        <f t="shared" si="3"/>
        <v>0</v>
      </c>
      <c r="AH50" s="2919">
        <f t="shared" si="4"/>
        <v>0</v>
      </c>
      <c r="AI50" s="1834"/>
      <c r="AJ50" s="417">
        <f t="shared" si="61"/>
        <v>0</v>
      </c>
      <c r="AK50" s="430"/>
    </row>
    <row r="51" spans="1:37" ht="15">
      <c r="A51" s="2934"/>
      <c r="B51" s="1477" t="s">
        <v>191</v>
      </c>
      <c r="C51" s="1290" t="s">
        <v>1294</v>
      </c>
      <c r="D51" s="1227">
        <v>0</v>
      </c>
      <c r="E51" s="2719">
        <v>0</v>
      </c>
      <c r="F51" s="1227">
        <v>0</v>
      </c>
      <c r="G51" s="1227">
        <f t="shared" si="71"/>
        <v>0</v>
      </c>
      <c r="H51" s="1227">
        <f t="shared" si="71"/>
        <v>0</v>
      </c>
      <c r="I51" s="1227">
        <f t="shared" si="71"/>
        <v>0</v>
      </c>
      <c r="J51" s="1227">
        <f t="shared" si="71"/>
        <v>0</v>
      </c>
      <c r="K51" s="3209">
        <v>0</v>
      </c>
      <c r="L51" s="1227">
        <v>0</v>
      </c>
      <c r="M51" s="1227">
        <f t="shared" si="68"/>
        <v>0</v>
      </c>
      <c r="N51" s="1227">
        <f t="shared" si="68"/>
        <v>0</v>
      </c>
      <c r="O51" s="1227">
        <f t="shared" si="68"/>
        <v>0</v>
      </c>
      <c r="P51" s="1227">
        <f t="shared" si="68"/>
        <v>0</v>
      </c>
      <c r="Q51" s="1227">
        <v>0</v>
      </c>
      <c r="R51" s="1227">
        <v>0</v>
      </c>
      <c r="S51" s="1227">
        <f t="shared" si="72"/>
        <v>0</v>
      </c>
      <c r="T51" s="1227">
        <f t="shared" si="72"/>
        <v>0</v>
      </c>
      <c r="U51" s="1227">
        <f t="shared" si="69"/>
        <v>0</v>
      </c>
      <c r="V51" s="1227">
        <f t="shared" si="69"/>
        <v>0</v>
      </c>
      <c r="W51" s="1227">
        <f>+K51</f>
        <v>0</v>
      </c>
      <c r="X51" s="1291"/>
      <c r="Y51" s="1291">
        <f t="shared" si="70"/>
        <v>0</v>
      </c>
      <c r="Z51" s="1291">
        <f t="shared" si="70"/>
        <v>0</v>
      </c>
      <c r="AA51" s="1291">
        <f t="shared" si="70"/>
        <v>0</v>
      </c>
      <c r="AB51" s="1291">
        <f t="shared" si="70"/>
        <v>0</v>
      </c>
      <c r="AC51" s="1291">
        <f t="shared" si="70"/>
        <v>0</v>
      </c>
      <c r="AD51" s="1284"/>
      <c r="AE51" s="1213">
        <f t="shared" si="1"/>
        <v>0</v>
      </c>
      <c r="AF51" s="1213">
        <f t="shared" si="2"/>
        <v>0</v>
      </c>
      <c r="AG51" s="1213">
        <f t="shared" si="3"/>
        <v>0</v>
      </c>
      <c r="AH51" s="2919">
        <f t="shared" si="4"/>
        <v>0</v>
      </c>
      <c r="AI51" s="1834"/>
      <c r="AJ51" s="417">
        <f t="shared" si="61"/>
        <v>0</v>
      </c>
      <c r="AK51" s="430"/>
    </row>
    <row r="52" spans="1:37" ht="15">
      <c r="A52" s="2934" t="s">
        <v>14</v>
      </c>
      <c r="B52" s="1282" t="s">
        <v>14</v>
      </c>
      <c r="C52" s="2950" t="s">
        <v>1295</v>
      </c>
      <c r="D52" s="1298">
        <f t="shared" ref="D52:AC52" si="73">+D41+D47</f>
        <v>594633388</v>
      </c>
      <c r="E52" s="2720">
        <f t="shared" si="73"/>
        <v>633656992</v>
      </c>
      <c r="F52" s="1298">
        <f t="shared" si="73"/>
        <v>592362432</v>
      </c>
      <c r="G52" s="1298">
        <f t="shared" si="73"/>
        <v>707065374</v>
      </c>
      <c r="H52" s="1298">
        <f t="shared" si="73"/>
        <v>711055793</v>
      </c>
      <c r="I52" s="1298">
        <f t="shared" si="73"/>
        <v>741044076</v>
      </c>
      <c r="J52" s="1298">
        <f t="shared" si="73"/>
        <v>741044076</v>
      </c>
      <c r="K52" s="3210">
        <f t="shared" si="73"/>
        <v>596223390</v>
      </c>
      <c r="L52" s="1298">
        <f t="shared" si="73"/>
        <v>0</v>
      </c>
      <c r="M52" s="1298">
        <f t="shared" si="73"/>
        <v>0</v>
      </c>
      <c r="N52" s="1298">
        <f t="shared" si="73"/>
        <v>0</v>
      </c>
      <c r="O52" s="1298">
        <f t="shared" si="73"/>
        <v>0</v>
      </c>
      <c r="P52" s="1298">
        <f t="shared" si="73"/>
        <v>0</v>
      </c>
      <c r="Q52" s="1298">
        <f t="shared" si="73"/>
        <v>0</v>
      </c>
      <c r="R52" s="1298">
        <f t="shared" si="73"/>
        <v>592362432</v>
      </c>
      <c r="S52" s="1298">
        <f t="shared" si="73"/>
        <v>707065374</v>
      </c>
      <c r="T52" s="1298">
        <f t="shared" si="73"/>
        <v>711055793</v>
      </c>
      <c r="U52" s="1298">
        <f t="shared" si="73"/>
        <v>741044076</v>
      </c>
      <c r="V52" s="1298">
        <f t="shared" si="73"/>
        <v>741044076</v>
      </c>
      <c r="W52" s="1298">
        <f t="shared" si="73"/>
        <v>596223390</v>
      </c>
      <c r="X52" s="1298">
        <f t="shared" si="73"/>
        <v>0</v>
      </c>
      <c r="Y52" s="1298">
        <f t="shared" si="73"/>
        <v>0</v>
      </c>
      <c r="Z52" s="1298">
        <f t="shared" si="73"/>
        <v>0</v>
      </c>
      <c r="AA52" s="1298">
        <f t="shared" si="73"/>
        <v>0</v>
      </c>
      <c r="AB52" s="1298">
        <f t="shared" si="73"/>
        <v>0</v>
      </c>
      <c r="AC52" s="1298">
        <f t="shared" si="73"/>
        <v>0</v>
      </c>
      <c r="AD52" s="2968"/>
      <c r="AE52" s="1213">
        <f t="shared" si="1"/>
        <v>114702942</v>
      </c>
      <c r="AF52" s="1213">
        <f t="shared" si="2"/>
        <v>3990419</v>
      </c>
      <c r="AG52" s="1213">
        <f t="shared" si="3"/>
        <v>29988283</v>
      </c>
      <c r="AH52" s="2919">
        <f t="shared" si="4"/>
        <v>0</v>
      </c>
      <c r="AI52" s="1829">
        <f t="shared" si="60"/>
        <v>0.80457210213228936</v>
      </c>
      <c r="AJ52" s="417">
        <f t="shared" si="61"/>
        <v>-2270956</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291"/>
      <c r="W53" s="1291"/>
      <c r="X53" s="1291"/>
      <c r="Y53" s="1291"/>
      <c r="Z53" s="1291"/>
      <c r="AA53" s="1291"/>
      <c r="AB53" s="1291"/>
      <c r="AC53" s="1291"/>
      <c r="AD53" s="1284"/>
      <c r="AE53" s="1213">
        <f t="shared" si="1"/>
        <v>0</v>
      </c>
      <c r="AF53" s="1213">
        <f t="shared" si="2"/>
        <v>0</v>
      </c>
      <c r="AG53" s="1213">
        <f t="shared" si="3"/>
        <v>0</v>
      </c>
      <c r="AH53" s="2919">
        <f t="shared" si="4"/>
        <v>0</v>
      </c>
      <c r="AI53" s="1860" t="e">
        <f t="shared" si="60"/>
        <v>#DIV/0!</v>
      </c>
      <c r="AJ53" s="417">
        <f t="shared" si="61"/>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7">
        <v>31</v>
      </c>
      <c r="E54" s="2967">
        <v>32</v>
      </c>
      <c r="F54" s="2957">
        <v>31.5</v>
      </c>
      <c r="G54" s="2957">
        <f>+F54</f>
        <v>31.5</v>
      </c>
      <c r="H54" s="2957">
        <f>+G54</f>
        <v>31.5</v>
      </c>
      <c r="I54" s="2957">
        <f>+H54</f>
        <v>31.5</v>
      </c>
      <c r="J54" s="2957">
        <f>+I54</f>
        <v>31.5</v>
      </c>
      <c r="K54" s="3212">
        <v>33</v>
      </c>
      <c r="L54" s="2957">
        <v>0</v>
      </c>
      <c r="M54" s="2957">
        <f>+L54</f>
        <v>0</v>
      </c>
      <c r="N54" s="2957">
        <f>+M54</f>
        <v>0</v>
      </c>
      <c r="O54" s="2957">
        <f>+N54</f>
        <v>0</v>
      </c>
      <c r="P54" s="2957">
        <f>+O54</f>
        <v>0</v>
      </c>
      <c r="Q54" s="2957">
        <f>+P54</f>
        <v>0</v>
      </c>
      <c r="R54" s="2957">
        <f>+F54</f>
        <v>31.5</v>
      </c>
      <c r="S54" s="2957">
        <f>+R54</f>
        <v>31.5</v>
      </c>
      <c r="T54" s="2957">
        <f>+S54</f>
        <v>31.5</v>
      </c>
      <c r="U54" s="2957">
        <f>+T54</f>
        <v>31.5</v>
      </c>
      <c r="V54" s="2957">
        <f>+U54</f>
        <v>31.5</v>
      </c>
      <c r="W54" s="2957">
        <f>+V54</f>
        <v>31.5</v>
      </c>
      <c r="X54" s="2969"/>
      <c r="Y54" s="2969">
        <f>+X54</f>
        <v>0</v>
      </c>
      <c r="Z54" s="2969">
        <f>+Y54</f>
        <v>0</v>
      </c>
      <c r="AA54" s="2969">
        <f>+Z54</f>
        <v>0</v>
      </c>
      <c r="AB54" s="2969">
        <f>+AA54</f>
        <v>0</v>
      </c>
      <c r="AC54" s="2969">
        <f>+AB54</f>
        <v>0</v>
      </c>
      <c r="AD54" s="2965"/>
      <c r="AE54" s="2959">
        <f t="shared" si="1"/>
        <v>0</v>
      </c>
      <c r="AF54" s="1213">
        <f t="shared" si="2"/>
        <v>0</v>
      </c>
      <c r="AG54" s="1213">
        <f t="shared" si="3"/>
        <v>0</v>
      </c>
      <c r="AH54" s="2943">
        <f t="shared" si="4"/>
        <v>0</v>
      </c>
      <c r="AI54" s="1829">
        <f t="shared" si="60"/>
        <v>1.0476190476190477</v>
      </c>
      <c r="AJ54" s="417">
        <f t="shared" si="61"/>
        <v>0.5</v>
      </c>
      <c r="AK54" s="1853"/>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9">
        <f>+U55</f>
        <v>0</v>
      </c>
      <c r="W55" s="559"/>
      <c r="X55" s="559"/>
      <c r="Y55" s="559">
        <f t="shared" ref="Y55:AB56" si="74">+X55</f>
        <v>0</v>
      </c>
      <c r="Z55" s="559">
        <f t="shared" si="74"/>
        <v>0</v>
      </c>
      <c r="AA55" s="559">
        <f t="shared" si="74"/>
        <v>0</v>
      </c>
      <c r="AB55" s="559">
        <f t="shared" si="74"/>
        <v>0</v>
      </c>
      <c r="AC55" s="5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9">
        <f>+U56</f>
        <v>0</v>
      </c>
      <c r="W56" s="559"/>
      <c r="X56" s="559"/>
      <c r="Y56" s="559">
        <f t="shared" si="74"/>
        <v>0</v>
      </c>
      <c r="Z56" s="559">
        <f t="shared" si="74"/>
        <v>0</v>
      </c>
      <c r="AA56" s="559">
        <f t="shared" si="74"/>
        <v>0</v>
      </c>
      <c r="AB56" s="559">
        <f t="shared" si="74"/>
        <v>0</v>
      </c>
      <c r="AC56" s="559"/>
      <c r="AD56" s="557"/>
      <c r="AE56" s="555">
        <f t="shared" si="1"/>
        <v>0</v>
      </c>
      <c r="AF56" s="555"/>
      <c r="AG56" s="555"/>
      <c r="AH56" s="555"/>
      <c r="AJ56" s="417">
        <f>+F56-D56</f>
        <v>0</v>
      </c>
    </row>
    <row r="57" spans="1:37" ht="15.75">
      <c r="B57" s="3205" t="s">
        <v>17</v>
      </c>
      <c r="C57" s="3207" t="s">
        <v>4053</v>
      </c>
      <c r="D57" s="3206">
        <f t="shared" ref="D57:K57" si="75">+D37-D52</f>
        <v>0</v>
      </c>
      <c r="E57" s="3199">
        <f>+E37-E52</f>
        <v>104594705</v>
      </c>
      <c r="F57" s="3200">
        <f t="shared" si="75"/>
        <v>0</v>
      </c>
      <c r="G57" s="3201">
        <f t="shared" si="75"/>
        <v>0</v>
      </c>
      <c r="H57" s="3201">
        <f t="shared" si="75"/>
        <v>0</v>
      </c>
      <c r="I57" s="3201"/>
      <c r="J57" s="3201">
        <f t="shared" si="75"/>
        <v>0</v>
      </c>
      <c r="K57" s="2198">
        <f t="shared" si="75"/>
        <v>70950657</v>
      </c>
      <c r="L57" s="3202">
        <f>+L37-L52</f>
        <v>0</v>
      </c>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6">+D37-D52</f>
        <v>0</v>
      </c>
      <c r="E60" s="396">
        <f>+E37-E52</f>
        <v>104594705</v>
      </c>
      <c r="F60" s="396">
        <f t="shared" si="76"/>
        <v>0</v>
      </c>
      <c r="G60" s="396">
        <f t="shared" si="76"/>
        <v>0</v>
      </c>
      <c r="H60" s="396">
        <f t="shared" si="76"/>
        <v>0</v>
      </c>
      <c r="I60" s="396">
        <f t="shared" si="76"/>
        <v>0</v>
      </c>
      <c r="J60" s="460">
        <f t="shared" si="76"/>
        <v>0</v>
      </c>
      <c r="K60" s="460">
        <f t="shared" si="76"/>
        <v>70950657</v>
      </c>
      <c r="L60" s="460">
        <f t="shared" si="76"/>
        <v>0</v>
      </c>
      <c r="M60" s="460">
        <f t="shared" si="76"/>
        <v>0</v>
      </c>
      <c r="N60" s="460">
        <f t="shared" si="76"/>
        <v>0</v>
      </c>
      <c r="O60" s="460">
        <f t="shared" si="76"/>
        <v>0</v>
      </c>
      <c r="P60" s="460">
        <f t="shared" si="76"/>
        <v>0</v>
      </c>
      <c r="Q60" s="460">
        <f t="shared" si="76"/>
        <v>0</v>
      </c>
      <c r="R60" s="460">
        <f t="shared" si="76"/>
        <v>0</v>
      </c>
      <c r="S60" s="460">
        <f t="shared" si="76"/>
        <v>0</v>
      </c>
      <c r="T60" s="460">
        <f t="shared" si="76"/>
        <v>0</v>
      </c>
      <c r="U60" s="460">
        <f t="shared" si="76"/>
        <v>0</v>
      </c>
      <c r="V60" s="460">
        <f t="shared" si="76"/>
        <v>0</v>
      </c>
      <c r="W60" s="460">
        <f t="shared" si="76"/>
        <v>70950657</v>
      </c>
      <c r="X60" s="460">
        <f t="shared" si="76"/>
        <v>0</v>
      </c>
      <c r="Y60" s="460">
        <f t="shared" si="76"/>
        <v>0</v>
      </c>
      <c r="Z60" s="460">
        <f t="shared" si="76"/>
        <v>0</v>
      </c>
      <c r="AA60" s="460">
        <f t="shared" si="76"/>
        <v>0</v>
      </c>
      <c r="AB60" s="460">
        <f t="shared" si="76"/>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dyvZ39raf3ABsBULQaOOlPcJq0ujNf9vQ3TvRVLQT8COnWbP6aJqbOUkeY+163mXtKO2rXDaRBYKZEeuftsBVQ==" saltValue="b/tFeG2N8WAoKQ2yPgVYrw==" spinCount="100000" sheet="1" selectLockedCells="1" selectUnlockedCells="1"/>
  <mergeCells count="5">
    <mergeCell ref="A2:AI2"/>
    <mergeCell ref="A56:B56"/>
    <mergeCell ref="F59:G59"/>
    <mergeCell ref="A1:AI1"/>
    <mergeCell ref="A3:B3"/>
  </mergeCells>
  <phoneticPr fontId="143" type="noConversion"/>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E1DC1-40D6-4C70-8A8A-1CEA179B7CF7}">
  <sheetPr>
    <tabColor indexed="14"/>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1.8554687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3.5703125" style="396" hidden="1" customWidth="1"/>
    <col min="37" max="37" width="10.85546875" style="396" hidden="1" customWidth="1"/>
    <col min="38" max="16384" width="8" style="396"/>
  </cols>
  <sheetData>
    <row r="1" spans="1:37" s="397" customFormat="1" ht="21" customHeight="1">
      <c r="A1" s="3663" t="s">
        <v>4276</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row>
    <row r="2" spans="1:37" s="398" customFormat="1" ht="23.25" customHeight="1">
      <c r="A2" s="3661" t="s">
        <v>3424</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2"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AC8" si="0">SUM(D9:D19)</f>
        <v>57297388</v>
      </c>
      <c r="E8" s="2715">
        <f t="shared" si="0"/>
        <v>77653738</v>
      </c>
      <c r="F8" s="1213">
        <f t="shared" si="0"/>
        <v>88299530</v>
      </c>
      <c r="G8" s="1213">
        <f t="shared" si="0"/>
        <v>90262938</v>
      </c>
      <c r="H8" s="1213">
        <f t="shared" si="0"/>
        <v>93203919</v>
      </c>
      <c r="I8" s="1213">
        <f t="shared" si="0"/>
        <v>84925025</v>
      </c>
      <c r="J8" s="1213">
        <f t="shared" si="0"/>
        <v>84925025</v>
      </c>
      <c r="K8" s="3208">
        <f t="shared" si="0"/>
        <v>84925025</v>
      </c>
      <c r="L8" s="1213">
        <f t="shared" si="0"/>
        <v>0</v>
      </c>
      <c r="M8" s="1213">
        <f t="shared" si="0"/>
        <v>0</v>
      </c>
      <c r="N8" s="1213">
        <f t="shared" si="0"/>
        <v>0</v>
      </c>
      <c r="O8" s="1213">
        <f t="shared" si="0"/>
        <v>5610222</v>
      </c>
      <c r="P8" s="1213">
        <f t="shared" si="0"/>
        <v>5610222</v>
      </c>
      <c r="Q8" s="1213">
        <f t="shared" si="0"/>
        <v>5610222</v>
      </c>
      <c r="R8" s="1213">
        <f t="shared" si="0"/>
        <v>88299530</v>
      </c>
      <c r="S8" s="1213">
        <f t="shared" si="0"/>
        <v>90262938</v>
      </c>
      <c r="T8" s="1213">
        <f t="shared" si="0"/>
        <v>93203919</v>
      </c>
      <c r="U8" s="1213">
        <f t="shared" si="0"/>
        <v>79314803</v>
      </c>
      <c r="V8" s="1213">
        <f t="shared" si="0"/>
        <v>79314803</v>
      </c>
      <c r="W8" s="1213">
        <f t="shared" si="0"/>
        <v>79314803</v>
      </c>
      <c r="X8" s="1213">
        <f t="shared" si="0"/>
        <v>0</v>
      </c>
      <c r="Y8" s="1213">
        <f t="shared" si="0"/>
        <v>0</v>
      </c>
      <c r="Z8" s="1213">
        <f t="shared" si="0"/>
        <v>0</v>
      </c>
      <c r="AA8" s="1213">
        <f t="shared" si="0"/>
        <v>0</v>
      </c>
      <c r="AB8" s="1213">
        <f t="shared" si="0"/>
        <v>0</v>
      </c>
      <c r="AC8" s="1213">
        <f t="shared" si="0"/>
        <v>0</v>
      </c>
      <c r="AD8" s="1284"/>
      <c r="AE8" s="1213">
        <f t="shared" ref="AE8:AE56" si="1">+G8-F8</f>
        <v>1963408</v>
      </c>
      <c r="AF8" s="1213">
        <f t="shared" ref="AF8:AF55" si="2">+H8-G8</f>
        <v>2940981</v>
      </c>
      <c r="AG8" s="1213">
        <f t="shared" ref="AG8:AG55" si="3">+I8-H8</f>
        <v>-8278894</v>
      </c>
      <c r="AH8" s="2919">
        <f t="shared" ref="AH8:AH55" si="4">+J8-I8</f>
        <v>0</v>
      </c>
      <c r="AI8" s="1829">
        <f>+K8/I8</f>
        <v>1</v>
      </c>
      <c r="AJ8" s="417">
        <f>+F8-D8</f>
        <v>31002142</v>
      </c>
      <c r="AK8" s="412"/>
    </row>
    <row r="9" spans="1:37" s="416" customFormat="1" ht="15">
      <c r="A9" s="2933"/>
      <c r="B9" s="1285" t="s">
        <v>176</v>
      </c>
      <c r="C9" s="1286" t="s">
        <v>226</v>
      </c>
      <c r="D9" s="1287">
        <v>0</v>
      </c>
      <c r="E9" s="2716">
        <v>0</v>
      </c>
      <c r="F9" s="1287">
        <v>0</v>
      </c>
      <c r="G9" s="1287">
        <f t="shared" ref="G9:G14" si="5">+F9</f>
        <v>0</v>
      </c>
      <c r="H9" s="1287">
        <f t="shared" ref="H9:H19" si="6">+G9</f>
        <v>0</v>
      </c>
      <c r="I9" s="1287">
        <f>+H9</f>
        <v>0</v>
      </c>
      <c r="J9" s="1287">
        <f t="shared" ref="J9:J19" si="7">+I9</f>
        <v>0</v>
      </c>
      <c r="K9" s="3219">
        <v>0</v>
      </c>
      <c r="L9" s="1287">
        <v>0</v>
      </c>
      <c r="M9" s="1287">
        <f t="shared" ref="M9:M17" si="8">+L9</f>
        <v>0</v>
      </c>
      <c r="N9" s="1287">
        <f t="shared" ref="N9:N19" si="9">+M9</f>
        <v>0</v>
      </c>
      <c r="O9" s="1287">
        <f t="shared" ref="O9:O17" si="10">+N9</f>
        <v>0</v>
      </c>
      <c r="P9" s="1287">
        <f t="shared" ref="P9:P17" si="11">+O9</f>
        <v>0</v>
      </c>
      <c r="Q9" s="1287">
        <v>0</v>
      </c>
      <c r="R9" s="1287">
        <v>0</v>
      </c>
      <c r="S9" s="1287">
        <f t="shared" ref="S9:S14" si="12">+R9</f>
        <v>0</v>
      </c>
      <c r="T9" s="1287">
        <f t="shared" ref="T9:T19" si="13">+S9</f>
        <v>0</v>
      </c>
      <c r="U9" s="1287">
        <f>+T9</f>
        <v>0</v>
      </c>
      <c r="V9" s="1287">
        <f t="shared" ref="V9:V17" si="14">+U9</f>
        <v>0</v>
      </c>
      <c r="W9" s="1287">
        <f>+K9</f>
        <v>0</v>
      </c>
      <c r="X9" s="1287"/>
      <c r="Y9" s="1287">
        <f t="shared" ref="Y9:Y17" si="15">+X9</f>
        <v>0</v>
      </c>
      <c r="Z9" s="1287">
        <f t="shared" ref="Z9:Z17" si="16">+Y9</f>
        <v>0</v>
      </c>
      <c r="AA9" s="1287">
        <f t="shared" ref="AA9:AA17" si="17">+Z9</f>
        <v>0</v>
      </c>
      <c r="AB9" s="1287">
        <f t="shared" ref="AB9:AB17" si="18">+AA9</f>
        <v>0</v>
      </c>
      <c r="AC9" s="1287">
        <f t="shared" ref="AC9:AC17" si="19">+AB9</f>
        <v>0</v>
      </c>
      <c r="AD9" s="1284"/>
      <c r="AE9" s="1213">
        <f t="shared" si="1"/>
        <v>0</v>
      </c>
      <c r="AF9" s="1213">
        <f t="shared" si="2"/>
        <v>0</v>
      </c>
      <c r="AG9" s="1213">
        <f t="shared" si="3"/>
        <v>0</v>
      </c>
      <c r="AH9" s="2919">
        <f t="shared" si="4"/>
        <v>0</v>
      </c>
      <c r="AI9" s="1834"/>
      <c r="AJ9" s="417">
        <f t="shared" ref="AJ9:AJ37" si="20">+F9-D9</f>
        <v>0</v>
      </c>
      <c r="AK9" s="420"/>
    </row>
    <row r="10" spans="1:37" s="416" customFormat="1" ht="15">
      <c r="A10" s="2933"/>
      <c r="B10" s="1285" t="s">
        <v>178</v>
      </c>
      <c r="C10" s="1286" t="s">
        <v>228</v>
      </c>
      <c r="D10" s="1287">
        <v>21792400</v>
      </c>
      <c r="E10" s="2716">
        <v>23127807</v>
      </c>
      <c r="F10" s="1287">
        <v>45979760</v>
      </c>
      <c r="G10" s="1287">
        <f t="shared" si="5"/>
        <v>45979760</v>
      </c>
      <c r="H10" s="1287">
        <f t="shared" si="6"/>
        <v>45979760</v>
      </c>
      <c r="I10" s="1287">
        <f>+H10-9936360</f>
        <v>36043400</v>
      </c>
      <c r="J10" s="1287">
        <f t="shared" si="7"/>
        <v>36043400</v>
      </c>
      <c r="K10" s="3219">
        <v>36043400</v>
      </c>
      <c r="L10" s="1287">
        <v>0</v>
      </c>
      <c r="M10" s="1287">
        <f t="shared" si="8"/>
        <v>0</v>
      </c>
      <c r="N10" s="1287">
        <f t="shared" si="9"/>
        <v>0</v>
      </c>
      <c r="O10" s="1287">
        <f>+N10+5610222</f>
        <v>5610222</v>
      </c>
      <c r="P10" s="1287">
        <f t="shared" si="11"/>
        <v>5610222</v>
      </c>
      <c r="Q10" s="1287">
        <v>5610222</v>
      </c>
      <c r="R10" s="1287">
        <f>+F10-L10</f>
        <v>45979760</v>
      </c>
      <c r="S10" s="1287">
        <f t="shared" si="12"/>
        <v>45979760</v>
      </c>
      <c r="T10" s="1287">
        <f t="shared" si="13"/>
        <v>45979760</v>
      </c>
      <c r="U10" s="1287">
        <f>+T10-9936360-O10</f>
        <v>30433178</v>
      </c>
      <c r="V10" s="1287">
        <f t="shared" si="14"/>
        <v>30433178</v>
      </c>
      <c r="W10" s="1287">
        <f>+K10-Q10</f>
        <v>30433178</v>
      </c>
      <c r="X10" s="1287"/>
      <c r="Y10" s="1287">
        <f t="shared" si="15"/>
        <v>0</v>
      </c>
      <c r="Z10" s="1287">
        <f t="shared" si="16"/>
        <v>0</v>
      </c>
      <c r="AA10" s="1287">
        <f t="shared" si="17"/>
        <v>0</v>
      </c>
      <c r="AB10" s="1287">
        <f t="shared" si="18"/>
        <v>0</v>
      </c>
      <c r="AC10" s="1287">
        <f t="shared" si="19"/>
        <v>0</v>
      </c>
      <c r="AD10" s="1284"/>
      <c r="AE10" s="1213">
        <f t="shared" si="1"/>
        <v>0</v>
      </c>
      <c r="AF10" s="1213">
        <f t="shared" si="2"/>
        <v>0</v>
      </c>
      <c r="AG10" s="1213">
        <f t="shared" si="3"/>
        <v>-9936360</v>
      </c>
      <c r="AH10" s="2919">
        <f t="shared" si="4"/>
        <v>0</v>
      </c>
      <c r="AI10" s="1834">
        <f>+K10/I10</f>
        <v>1</v>
      </c>
      <c r="AJ10" s="417">
        <f t="shared" si="20"/>
        <v>24187360</v>
      </c>
      <c r="AK10" s="420"/>
    </row>
    <row r="11" spans="1:37" s="416" customFormat="1" ht="15">
      <c r="A11" s="2933"/>
      <c r="B11" s="1289" t="s">
        <v>179</v>
      </c>
      <c r="C11" s="1286" t="s">
        <v>460</v>
      </c>
      <c r="D11" s="1287">
        <v>2100000</v>
      </c>
      <c r="E11" s="2716">
        <v>2100000</v>
      </c>
      <c r="F11" s="1287">
        <v>2100000</v>
      </c>
      <c r="G11" s="1287">
        <f t="shared" si="5"/>
        <v>2100000</v>
      </c>
      <c r="H11" s="1287">
        <f t="shared" si="6"/>
        <v>2100000</v>
      </c>
      <c r="I11" s="1287">
        <f>+H11-2100000</f>
        <v>0</v>
      </c>
      <c r="J11" s="1287">
        <f t="shared" si="7"/>
        <v>0</v>
      </c>
      <c r="K11" s="3219">
        <v>0</v>
      </c>
      <c r="L11" s="1287">
        <v>0</v>
      </c>
      <c r="M11" s="1287">
        <f t="shared" si="8"/>
        <v>0</v>
      </c>
      <c r="N11" s="1287">
        <f t="shared" si="9"/>
        <v>0</v>
      </c>
      <c r="O11" s="1287">
        <f t="shared" si="10"/>
        <v>0</v>
      </c>
      <c r="P11" s="1287">
        <f t="shared" si="11"/>
        <v>0</v>
      </c>
      <c r="Q11" s="1287">
        <v>0</v>
      </c>
      <c r="R11" s="1287">
        <f>+F11-L11</f>
        <v>2100000</v>
      </c>
      <c r="S11" s="1287">
        <f t="shared" si="12"/>
        <v>2100000</v>
      </c>
      <c r="T11" s="1287">
        <f t="shared" si="13"/>
        <v>2100000</v>
      </c>
      <c r="U11" s="1287">
        <f>+T11-2100000</f>
        <v>0</v>
      </c>
      <c r="V11" s="1287">
        <f t="shared" si="14"/>
        <v>0</v>
      </c>
      <c r="W11" s="1287">
        <f t="shared" ref="W11:W19" si="21">+K11</f>
        <v>0</v>
      </c>
      <c r="X11" s="1287"/>
      <c r="Y11" s="1287">
        <f t="shared" si="15"/>
        <v>0</v>
      </c>
      <c r="Z11" s="1287">
        <f t="shared" si="16"/>
        <v>0</v>
      </c>
      <c r="AA11" s="1287">
        <f t="shared" si="17"/>
        <v>0</v>
      </c>
      <c r="AB11" s="1287">
        <f t="shared" si="18"/>
        <v>0</v>
      </c>
      <c r="AC11" s="1287">
        <f t="shared" si="19"/>
        <v>0</v>
      </c>
      <c r="AD11" s="1284"/>
      <c r="AE11" s="1213">
        <f t="shared" si="1"/>
        <v>0</v>
      </c>
      <c r="AF11" s="1213">
        <f t="shared" si="2"/>
        <v>0</v>
      </c>
      <c r="AG11" s="1213">
        <f t="shared" si="3"/>
        <v>-2100000</v>
      </c>
      <c r="AH11" s="2919">
        <f t="shared" si="4"/>
        <v>0</v>
      </c>
      <c r="AI11" s="1834"/>
      <c r="AJ11" s="417">
        <f t="shared" si="20"/>
        <v>0</v>
      </c>
      <c r="AK11" s="420"/>
    </row>
    <row r="12" spans="1:37" s="416" customFormat="1" ht="15">
      <c r="A12" s="2933"/>
      <c r="B12" s="1289" t="s">
        <v>180</v>
      </c>
      <c r="C12" s="1286" t="s">
        <v>232</v>
      </c>
      <c r="D12" s="1287">
        <v>0</v>
      </c>
      <c r="E12" s="2716">
        <v>0</v>
      </c>
      <c r="F12" s="1287">
        <v>0</v>
      </c>
      <c r="G12" s="1287">
        <f t="shared" si="5"/>
        <v>0</v>
      </c>
      <c r="H12" s="1287">
        <f t="shared" si="6"/>
        <v>0</v>
      </c>
      <c r="I12" s="1287">
        <f>+H12</f>
        <v>0</v>
      </c>
      <c r="J12" s="1287">
        <f t="shared" si="7"/>
        <v>0</v>
      </c>
      <c r="K12" s="3219">
        <v>0</v>
      </c>
      <c r="L12" s="1287">
        <v>0</v>
      </c>
      <c r="M12" s="1287">
        <f t="shared" si="8"/>
        <v>0</v>
      </c>
      <c r="N12" s="1287">
        <f t="shared" si="9"/>
        <v>0</v>
      </c>
      <c r="O12" s="1287">
        <f t="shared" si="10"/>
        <v>0</v>
      </c>
      <c r="P12" s="1287">
        <f t="shared" si="11"/>
        <v>0</v>
      </c>
      <c r="Q12" s="1287">
        <v>0</v>
      </c>
      <c r="R12" s="1287">
        <v>0</v>
      </c>
      <c r="S12" s="1287">
        <f t="shared" si="12"/>
        <v>0</v>
      </c>
      <c r="T12" s="1287">
        <f t="shared" si="13"/>
        <v>0</v>
      </c>
      <c r="U12" s="1287">
        <f>+T12</f>
        <v>0</v>
      </c>
      <c r="V12" s="1287">
        <f t="shared" si="14"/>
        <v>0</v>
      </c>
      <c r="W12" s="1287">
        <f t="shared" si="21"/>
        <v>0</v>
      </c>
      <c r="X12" s="1287"/>
      <c r="Y12" s="1287">
        <f t="shared" si="15"/>
        <v>0</v>
      </c>
      <c r="Z12" s="1287">
        <f t="shared" si="16"/>
        <v>0</v>
      </c>
      <c r="AA12" s="1287">
        <f t="shared" si="17"/>
        <v>0</v>
      </c>
      <c r="AB12" s="1287">
        <f t="shared" si="18"/>
        <v>0</v>
      </c>
      <c r="AC12" s="1287">
        <f t="shared" si="19"/>
        <v>0</v>
      </c>
      <c r="AD12" s="1284"/>
      <c r="AE12" s="1213">
        <f t="shared" si="1"/>
        <v>0</v>
      </c>
      <c r="AF12" s="1213">
        <f t="shared" si="2"/>
        <v>0</v>
      </c>
      <c r="AG12" s="1213">
        <f t="shared" si="3"/>
        <v>0</v>
      </c>
      <c r="AH12" s="2919">
        <f t="shared" si="4"/>
        <v>0</v>
      </c>
      <c r="AI12" s="1834"/>
      <c r="AJ12" s="417">
        <f t="shared" si="20"/>
        <v>0</v>
      </c>
      <c r="AK12" s="420"/>
    </row>
    <row r="13" spans="1:37" s="416" customFormat="1" ht="15">
      <c r="A13" s="2933"/>
      <c r="B13" s="1289" t="s">
        <v>181</v>
      </c>
      <c r="C13" s="1286" t="s">
        <v>234</v>
      </c>
      <c r="D13" s="1287">
        <v>23016070</v>
      </c>
      <c r="E13" s="2716">
        <v>24844615</v>
      </c>
      <c r="F13" s="1287">
        <v>29877651.999999996</v>
      </c>
      <c r="G13" s="1287">
        <f t="shared" si="5"/>
        <v>29877651.999999996</v>
      </c>
      <c r="H13" s="1287">
        <f t="shared" si="6"/>
        <v>29877651.999999996</v>
      </c>
      <c r="I13" s="1287">
        <f>+H13-735114</f>
        <v>29142537.999999996</v>
      </c>
      <c r="J13" s="1287">
        <f t="shared" si="7"/>
        <v>29142537.999999996</v>
      </c>
      <c r="K13" s="3219">
        <v>29142538</v>
      </c>
      <c r="L13" s="1287">
        <f>0</f>
        <v>0</v>
      </c>
      <c r="M13" s="1287">
        <f t="shared" si="8"/>
        <v>0</v>
      </c>
      <c r="N13" s="1287">
        <f t="shared" si="9"/>
        <v>0</v>
      </c>
      <c r="O13" s="1287">
        <f t="shared" si="10"/>
        <v>0</v>
      </c>
      <c r="P13" s="1287">
        <f t="shared" si="11"/>
        <v>0</v>
      </c>
      <c r="Q13" s="1287">
        <v>0</v>
      </c>
      <c r="R13" s="1287">
        <f>+F13-L13</f>
        <v>29877651.999999996</v>
      </c>
      <c r="S13" s="1287">
        <f t="shared" si="12"/>
        <v>29877651.999999996</v>
      </c>
      <c r="T13" s="1287">
        <f t="shared" si="13"/>
        <v>29877651.999999996</v>
      </c>
      <c r="U13" s="1287">
        <f>+T13-735114</f>
        <v>29142537.999999996</v>
      </c>
      <c r="V13" s="1287">
        <f t="shared" si="14"/>
        <v>29142537.999999996</v>
      </c>
      <c r="W13" s="1287">
        <f t="shared" si="21"/>
        <v>29142538</v>
      </c>
      <c r="X13" s="1287"/>
      <c r="Y13" s="1287">
        <f t="shared" si="15"/>
        <v>0</v>
      </c>
      <c r="Z13" s="1287">
        <f t="shared" si="16"/>
        <v>0</v>
      </c>
      <c r="AA13" s="1287">
        <f t="shared" si="17"/>
        <v>0</v>
      </c>
      <c r="AB13" s="1287">
        <f t="shared" si="18"/>
        <v>0</v>
      </c>
      <c r="AC13" s="1287">
        <f t="shared" si="19"/>
        <v>0</v>
      </c>
      <c r="AD13" s="1284"/>
      <c r="AE13" s="1213">
        <f t="shared" si="1"/>
        <v>0</v>
      </c>
      <c r="AF13" s="1213">
        <f t="shared" si="2"/>
        <v>0</v>
      </c>
      <c r="AG13" s="1213">
        <f t="shared" si="3"/>
        <v>-735114</v>
      </c>
      <c r="AH13" s="2919">
        <f t="shared" si="4"/>
        <v>0</v>
      </c>
      <c r="AI13" s="1834">
        <f>+K13/I13</f>
        <v>1.0000000000000002</v>
      </c>
      <c r="AJ13" s="417">
        <f t="shared" si="20"/>
        <v>6861581.9999999963</v>
      </c>
      <c r="AK13" s="420"/>
    </row>
    <row r="14" spans="1:37" s="416" customFormat="1" ht="15">
      <c r="A14" s="2933"/>
      <c r="B14" s="1289" t="s">
        <v>183</v>
      </c>
      <c r="C14" s="1286" t="s">
        <v>887</v>
      </c>
      <c r="D14" s="1287">
        <v>6781339</v>
      </c>
      <c r="E14" s="2716">
        <v>9299473</v>
      </c>
      <c r="F14" s="1287">
        <v>8633966</v>
      </c>
      <c r="G14" s="1287">
        <f t="shared" si="5"/>
        <v>8633966</v>
      </c>
      <c r="H14" s="1287">
        <f t="shared" si="6"/>
        <v>8633966</v>
      </c>
      <c r="I14" s="1287">
        <f>+H14-661484</f>
        <v>7972482</v>
      </c>
      <c r="J14" s="1287">
        <f t="shared" si="7"/>
        <v>7972482</v>
      </c>
      <c r="K14" s="3219">
        <v>7972482</v>
      </c>
      <c r="L14" s="1287">
        <v>0</v>
      </c>
      <c r="M14" s="1287">
        <f t="shared" si="8"/>
        <v>0</v>
      </c>
      <c r="N14" s="1287">
        <f t="shared" si="9"/>
        <v>0</v>
      </c>
      <c r="O14" s="1287">
        <f t="shared" si="10"/>
        <v>0</v>
      </c>
      <c r="P14" s="1287">
        <f t="shared" si="11"/>
        <v>0</v>
      </c>
      <c r="Q14" s="1287">
        <v>0</v>
      </c>
      <c r="R14" s="1287">
        <f>+F14-L14</f>
        <v>8633966</v>
      </c>
      <c r="S14" s="1287">
        <f t="shared" si="12"/>
        <v>8633966</v>
      </c>
      <c r="T14" s="1287">
        <f t="shared" si="13"/>
        <v>8633966</v>
      </c>
      <c r="U14" s="1287">
        <f>+T14-661484</f>
        <v>7972482</v>
      </c>
      <c r="V14" s="1287">
        <f t="shared" si="14"/>
        <v>7972482</v>
      </c>
      <c r="W14" s="1287">
        <f t="shared" si="21"/>
        <v>7972482</v>
      </c>
      <c r="X14" s="1287"/>
      <c r="Y14" s="1287">
        <f t="shared" si="15"/>
        <v>0</v>
      </c>
      <c r="Z14" s="1287">
        <f t="shared" si="16"/>
        <v>0</v>
      </c>
      <c r="AA14" s="1287">
        <f t="shared" si="17"/>
        <v>0</v>
      </c>
      <c r="AB14" s="1287">
        <f t="shared" si="18"/>
        <v>0</v>
      </c>
      <c r="AC14" s="1287">
        <f t="shared" si="19"/>
        <v>0</v>
      </c>
      <c r="AD14" s="1284"/>
      <c r="AE14" s="1213">
        <f t="shared" si="1"/>
        <v>0</v>
      </c>
      <c r="AF14" s="1213">
        <f t="shared" si="2"/>
        <v>0</v>
      </c>
      <c r="AG14" s="1213">
        <f t="shared" si="3"/>
        <v>-661484</v>
      </c>
      <c r="AH14" s="2919">
        <f t="shared" si="4"/>
        <v>0</v>
      </c>
      <c r="AI14" s="1834">
        <f>+K14/I14</f>
        <v>1</v>
      </c>
      <c r="AJ14" s="417">
        <f t="shared" si="20"/>
        <v>1852627</v>
      </c>
      <c r="AK14" s="420"/>
    </row>
    <row r="15" spans="1:37" s="416" customFormat="1" ht="15">
      <c r="A15" s="2933"/>
      <c r="B15" s="1289" t="s">
        <v>321</v>
      </c>
      <c r="C15" s="1290" t="s">
        <v>238</v>
      </c>
      <c r="D15" s="1287">
        <v>0</v>
      </c>
      <c r="E15" s="2716">
        <v>6526697</v>
      </c>
      <c r="F15" s="1287">
        <v>0</v>
      </c>
      <c r="G15" s="1287">
        <f>+F15+1963408</f>
        <v>1963408</v>
      </c>
      <c r="H15" s="1287">
        <f>+G15+2940981</f>
        <v>4904389</v>
      </c>
      <c r="I15" s="1287">
        <f>+H15+2861188-2320580</f>
        <v>5444997</v>
      </c>
      <c r="J15" s="1287">
        <f t="shared" si="7"/>
        <v>5444997</v>
      </c>
      <c r="K15" s="3219">
        <v>5444997</v>
      </c>
      <c r="L15" s="1287">
        <v>0</v>
      </c>
      <c r="M15" s="1287">
        <f t="shared" si="8"/>
        <v>0</v>
      </c>
      <c r="N15" s="1287">
        <f t="shared" si="9"/>
        <v>0</v>
      </c>
      <c r="O15" s="1287">
        <f t="shared" si="10"/>
        <v>0</v>
      </c>
      <c r="P15" s="1287">
        <f t="shared" si="11"/>
        <v>0</v>
      </c>
      <c r="Q15" s="1287">
        <v>0</v>
      </c>
      <c r="R15" s="1287">
        <f>+F15-L15</f>
        <v>0</v>
      </c>
      <c r="S15" s="1287">
        <f>+R15+1963408</f>
        <v>1963408</v>
      </c>
      <c r="T15" s="1287">
        <f>+S15+2940981</f>
        <v>4904389</v>
      </c>
      <c r="U15" s="1287">
        <f>+T15+2861188-2320580</f>
        <v>5444997</v>
      </c>
      <c r="V15" s="1287">
        <f t="shared" si="14"/>
        <v>5444997</v>
      </c>
      <c r="W15" s="1287">
        <f t="shared" si="21"/>
        <v>5444997</v>
      </c>
      <c r="X15" s="1287"/>
      <c r="Y15" s="1287">
        <f t="shared" si="15"/>
        <v>0</v>
      </c>
      <c r="Z15" s="1287">
        <f t="shared" si="16"/>
        <v>0</v>
      </c>
      <c r="AA15" s="1287">
        <f t="shared" si="17"/>
        <v>0</v>
      </c>
      <c r="AB15" s="1287">
        <f t="shared" si="18"/>
        <v>0</v>
      </c>
      <c r="AC15" s="1287">
        <f t="shared" si="19"/>
        <v>0</v>
      </c>
      <c r="AD15" s="1665"/>
      <c r="AE15" s="1213">
        <f t="shared" si="1"/>
        <v>1963408</v>
      </c>
      <c r="AF15" s="1213">
        <f t="shared" si="2"/>
        <v>2940981</v>
      </c>
      <c r="AG15" s="1213">
        <f t="shared" si="3"/>
        <v>540608</v>
      </c>
      <c r="AH15" s="2919">
        <f t="shared" si="4"/>
        <v>0</v>
      </c>
      <c r="AI15" s="1834">
        <f>+K15/I15</f>
        <v>1</v>
      </c>
      <c r="AJ15" s="417">
        <f t="shared" si="20"/>
        <v>0</v>
      </c>
      <c r="AK15" s="420"/>
    </row>
    <row r="16" spans="1:37" s="416" customFormat="1" ht="15">
      <c r="A16" s="2933"/>
      <c r="B16" s="1289" t="s">
        <v>323</v>
      </c>
      <c r="C16" s="1286" t="s">
        <v>1277</v>
      </c>
      <c r="D16" s="1287">
        <v>3607579</v>
      </c>
      <c r="E16" s="2716">
        <v>3060502</v>
      </c>
      <c r="F16" s="1287">
        <v>1708152</v>
      </c>
      <c r="G16" s="1287">
        <f>+F16</f>
        <v>1708152</v>
      </c>
      <c r="H16" s="1287">
        <f t="shared" si="6"/>
        <v>1708152</v>
      </c>
      <c r="I16" s="1287">
        <f>+H16-487699</f>
        <v>1220453</v>
      </c>
      <c r="J16" s="1287">
        <f t="shared" si="7"/>
        <v>1220453</v>
      </c>
      <c r="K16" s="3219">
        <v>1220453</v>
      </c>
      <c r="L16" s="1287">
        <v>0</v>
      </c>
      <c r="M16" s="1287">
        <f t="shared" si="8"/>
        <v>0</v>
      </c>
      <c r="N16" s="1287">
        <f t="shared" si="9"/>
        <v>0</v>
      </c>
      <c r="O16" s="1287">
        <f t="shared" si="10"/>
        <v>0</v>
      </c>
      <c r="P16" s="1287">
        <f t="shared" si="11"/>
        <v>0</v>
      </c>
      <c r="Q16" s="1287">
        <v>0</v>
      </c>
      <c r="R16" s="1287">
        <f>+F16</f>
        <v>1708152</v>
      </c>
      <c r="S16" s="1287">
        <f>+R16</f>
        <v>1708152</v>
      </c>
      <c r="T16" s="1287">
        <f t="shared" si="13"/>
        <v>1708152</v>
      </c>
      <c r="U16" s="1287">
        <f>+T16-487699</f>
        <v>1220453</v>
      </c>
      <c r="V16" s="1287">
        <f t="shared" si="14"/>
        <v>1220453</v>
      </c>
      <c r="W16" s="1287">
        <f t="shared" si="21"/>
        <v>1220453</v>
      </c>
      <c r="X16" s="1287"/>
      <c r="Y16" s="1287">
        <f t="shared" si="15"/>
        <v>0</v>
      </c>
      <c r="Z16" s="1287">
        <f t="shared" si="16"/>
        <v>0</v>
      </c>
      <c r="AA16" s="1287">
        <f t="shared" si="17"/>
        <v>0</v>
      </c>
      <c r="AB16" s="1287">
        <f t="shared" si="18"/>
        <v>0</v>
      </c>
      <c r="AC16" s="1287">
        <f t="shared" si="19"/>
        <v>0</v>
      </c>
      <c r="AD16" s="1284"/>
      <c r="AE16" s="1213">
        <f t="shared" si="1"/>
        <v>0</v>
      </c>
      <c r="AF16" s="1213">
        <f t="shared" si="2"/>
        <v>0</v>
      </c>
      <c r="AG16" s="1213">
        <f t="shared" si="3"/>
        <v>-487699</v>
      </c>
      <c r="AH16" s="2919">
        <f t="shared" si="4"/>
        <v>0</v>
      </c>
      <c r="AI16" s="1834">
        <f>+K16/I16</f>
        <v>1</v>
      </c>
      <c r="AJ16" s="417">
        <f t="shared" si="20"/>
        <v>-1899427</v>
      </c>
      <c r="AK16" s="420"/>
    </row>
    <row r="17" spans="1:37" s="416" customFormat="1" ht="15">
      <c r="A17" s="2933"/>
      <c r="B17" s="1289" t="s">
        <v>325</v>
      </c>
      <c r="C17" s="1286" t="s">
        <v>242</v>
      </c>
      <c r="D17" s="1287">
        <v>0</v>
      </c>
      <c r="E17" s="2716">
        <v>0</v>
      </c>
      <c r="F17" s="1287">
        <v>0</v>
      </c>
      <c r="G17" s="1287">
        <f>+F17</f>
        <v>0</v>
      </c>
      <c r="H17" s="1287">
        <f t="shared" si="6"/>
        <v>0</v>
      </c>
      <c r="I17" s="1287">
        <f>+H17</f>
        <v>0</v>
      </c>
      <c r="J17" s="1287">
        <f t="shared" si="7"/>
        <v>0</v>
      </c>
      <c r="K17" s="3219">
        <v>0</v>
      </c>
      <c r="L17" s="1287">
        <v>0</v>
      </c>
      <c r="M17" s="1287">
        <f t="shared" si="8"/>
        <v>0</v>
      </c>
      <c r="N17" s="1287">
        <f t="shared" si="9"/>
        <v>0</v>
      </c>
      <c r="O17" s="1287">
        <f t="shared" si="10"/>
        <v>0</v>
      </c>
      <c r="P17" s="1287">
        <f t="shared" si="11"/>
        <v>0</v>
      </c>
      <c r="Q17" s="1287">
        <v>0</v>
      </c>
      <c r="R17" s="1287">
        <v>0</v>
      </c>
      <c r="S17" s="1287">
        <f>+R17</f>
        <v>0</v>
      </c>
      <c r="T17" s="1287">
        <f t="shared" si="13"/>
        <v>0</v>
      </c>
      <c r="U17" s="1287">
        <f>+T17</f>
        <v>0</v>
      </c>
      <c r="V17" s="1287">
        <f t="shared" si="14"/>
        <v>0</v>
      </c>
      <c r="W17" s="1287">
        <f t="shared" si="21"/>
        <v>0</v>
      </c>
      <c r="X17" s="1287"/>
      <c r="Y17" s="1287">
        <f t="shared" si="15"/>
        <v>0</v>
      </c>
      <c r="Z17" s="1287">
        <f t="shared" si="16"/>
        <v>0</v>
      </c>
      <c r="AA17" s="1287">
        <f t="shared" si="17"/>
        <v>0</v>
      </c>
      <c r="AB17" s="1287">
        <f t="shared" si="18"/>
        <v>0</v>
      </c>
      <c r="AC17" s="1287">
        <f t="shared" si="19"/>
        <v>0</v>
      </c>
      <c r="AD17" s="1284"/>
      <c r="AE17" s="1213">
        <f t="shared" si="1"/>
        <v>0</v>
      </c>
      <c r="AF17" s="1213">
        <f t="shared" si="2"/>
        <v>0</v>
      </c>
      <c r="AG17" s="1213">
        <f t="shared" si="3"/>
        <v>0</v>
      </c>
      <c r="AH17" s="2919">
        <f t="shared" si="4"/>
        <v>0</v>
      </c>
      <c r="AI17" s="1834"/>
      <c r="AJ17" s="417">
        <f t="shared" si="20"/>
        <v>0</v>
      </c>
      <c r="AK17" s="420"/>
    </row>
    <row r="18" spans="1:37" s="416" customFormat="1" ht="15">
      <c r="A18" s="2933"/>
      <c r="B18" s="1289" t="s">
        <v>327</v>
      </c>
      <c r="C18" s="1286" t="s">
        <v>163</v>
      </c>
      <c r="D18" s="1287">
        <v>0</v>
      </c>
      <c r="E18" s="2716">
        <v>615730</v>
      </c>
      <c r="F18" s="1287">
        <v>0</v>
      </c>
      <c r="G18" s="1287">
        <f>+F18</f>
        <v>0</v>
      </c>
      <c r="H18" s="1287">
        <f t="shared" si="6"/>
        <v>0</v>
      </c>
      <c r="I18" s="1287">
        <v>0</v>
      </c>
      <c r="J18" s="1287">
        <f t="shared" si="7"/>
        <v>0</v>
      </c>
      <c r="K18" s="3219">
        <v>0</v>
      </c>
      <c r="L18" s="1287">
        <v>0</v>
      </c>
      <c r="M18" s="1287">
        <v>0</v>
      </c>
      <c r="N18" s="1287">
        <f t="shared" si="9"/>
        <v>0</v>
      </c>
      <c r="O18" s="1287">
        <v>0</v>
      </c>
      <c r="P18" s="1287"/>
      <c r="Q18" s="1287">
        <v>0</v>
      </c>
      <c r="R18" s="1287">
        <v>0</v>
      </c>
      <c r="S18" s="1287">
        <f>+R18</f>
        <v>0</v>
      </c>
      <c r="T18" s="1287">
        <f t="shared" si="13"/>
        <v>0</v>
      </c>
      <c r="U18" s="1287">
        <v>0</v>
      </c>
      <c r="V18" s="1287"/>
      <c r="W18" s="1287">
        <f t="shared" si="21"/>
        <v>0</v>
      </c>
      <c r="X18" s="1287"/>
      <c r="Y18" s="1287"/>
      <c r="Z18" s="1287"/>
      <c r="AA18" s="1287"/>
      <c r="AB18" s="1287"/>
      <c r="AC18" s="1287"/>
      <c r="AD18" s="1284"/>
      <c r="AE18" s="1213">
        <f t="shared" si="1"/>
        <v>0</v>
      </c>
      <c r="AF18" s="1213">
        <f t="shared" si="2"/>
        <v>0</v>
      </c>
      <c r="AG18" s="1213">
        <f t="shared" si="3"/>
        <v>0</v>
      </c>
      <c r="AH18" s="2919">
        <f t="shared" si="4"/>
        <v>0</v>
      </c>
      <c r="AI18" s="1834"/>
      <c r="AJ18" s="417">
        <f t="shared" si="20"/>
        <v>0</v>
      </c>
      <c r="AK18" s="420"/>
    </row>
    <row r="19" spans="1:37" s="424" customFormat="1" ht="15">
      <c r="A19" s="2933"/>
      <c r="B19" s="1289" t="s">
        <v>329</v>
      </c>
      <c r="C19" s="1286" t="s">
        <v>162</v>
      </c>
      <c r="D19" s="1287">
        <v>0</v>
      </c>
      <c r="E19" s="2716">
        <v>8078914</v>
      </c>
      <c r="F19" s="1287">
        <v>0</v>
      </c>
      <c r="G19" s="1287">
        <f>+F19</f>
        <v>0</v>
      </c>
      <c r="H19" s="1287">
        <f t="shared" si="6"/>
        <v>0</v>
      </c>
      <c r="I19" s="1287">
        <f>+H19+5101155</f>
        <v>5101155</v>
      </c>
      <c r="J19" s="1287">
        <f t="shared" si="7"/>
        <v>5101155</v>
      </c>
      <c r="K19" s="3219">
        <v>5101155</v>
      </c>
      <c r="L19" s="1287">
        <v>0</v>
      </c>
      <c r="M19" s="1287">
        <f>+L19</f>
        <v>0</v>
      </c>
      <c r="N19" s="1287">
        <f t="shared" si="9"/>
        <v>0</v>
      </c>
      <c r="O19" s="1287">
        <f>+N19</f>
        <v>0</v>
      </c>
      <c r="P19" s="1287">
        <f>+O19</f>
        <v>0</v>
      </c>
      <c r="Q19" s="1287">
        <v>0</v>
      </c>
      <c r="R19" s="1287">
        <v>0</v>
      </c>
      <c r="S19" s="1287">
        <f>+R19</f>
        <v>0</v>
      </c>
      <c r="T19" s="1287">
        <f t="shared" si="13"/>
        <v>0</v>
      </c>
      <c r="U19" s="1287">
        <f>+T19+5101155</f>
        <v>5101155</v>
      </c>
      <c r="V19" s="1287">
        <f>+U19</f>
        <v>5101155</v>
      </c>
      <c r="W19" s="1287">
        <f t="shared" si="21"/>
        <v>5101155</v>
      </c>
      <c r="X19" s="1287"/>
      <c r="Y19" s="1287">
        <f>+X19</f>
        <v>0</v>
      </c>
      <c r="Z19" s="1287">
        <f>+Y19</f>
        <v>0</v>
      </c>
      <c r="AA19" s="1287">
        <f>+Z19</f>
        <v>0</v>
      </c>
      <c r="AB19" s="1287">
        <f>+AA19</f>
        <v>0</v>
      </c>
      <c r="AC19" s="1287">
        <f>+AB19</f>
        <v>0</v>
      </c>
      <c r="AD19" s="1284"/>
      <c r="AE19" s="1213">
        <f t="shared" si="1"/>
        <v>0</v>
      </c>
      <c r="AF19" s="1213">
        <f t="shared" si="2"/>
        <v>0</v>
      </c>
      <c r="AG19" s="1213">
        <f t="shared" si="3"/>
        <v>5101155</v>
      </c>
      <c r="AH19" s="2919">
        <f t="shared" si="4"/>
        <v>0</v>
      </c>
      <c r="AI19" s="1834">
        <f>+K19/I19</f>
        <v>1</v>
      </c>
      <c r="AJ19" s="417">
        <f t="shared" si="20"/>
        <v>0</v>
      </c>
      <c r="AK19" s="420"/>
    </row>
    <row r="20" spans="1:37" s="424" customFormat="1" ht="15">
      <c r="A20" s="2934" t="s">
        <v>12</v>
      </c>
      <c r="B20" s="1282" t="s">
        <v>12</v>
      </c>
      <c r="C20" s="1283" t="s">
        <v>1278</v>
      </c>
      <c r="D20" s="1213">
        <f t="shared" ref="D20:V20" si="22">SUM(D21:D22)</f>
        <v>0</v>
      </c>
      <c r="E20" s="2715">
        <f t="shared" si="22"/>
        <v>0</v>
      </c>
      <c r="F20" s="1213">
        <f t="shared" si="22"/>
        <v>0</v>
      </c>
      <c r="G20" s="1213">
        <f t="shared" si="22"/>
        <v>0</v>
      </c>
      <c r="H20" s="1213">
        <f t="shared" si="22"/>
        <v>0</v>
      </c>
      <c r="I20" s="1213">
        <f t="shared" si="22"/>
        <v>0</v>
      </c>
      <c r="J20" s="1213">
        <f t="shared" si="22"/>
        <v>0</v>
      </c>
      <c r="K20" s="3208">
        <f>SUM(K21:K22)</f>
        <v>0</v>
      </c>
      <c r="L20" s="1213">
        <f t="shared" si="22"/>
        <v>0</v>
      </c>
      <c r="M20" s="1213">
        <f t="shared" si="22"/>
        <v>0</v>
      </c>
      <c r="N20" s="1213">
        <f t="shared" si="22"/>
        <v>0</v>
      </c>
      <c r="O20" s="1213">
        <f t="shared" si="22"/>
        <v>0</v>
      </c>
      <c r="P20" s="1213">
        <f t="shared" si="22"/>
        <v>0</v>
      </c>
      <c r="Q20" s="1213">
        <f t="shared" si="22"/>
        <v>0</v>
      </c>
      <c r="R20" s="1213">
        <f t="shared" si="22"/>
        <v>0</v>
      </c>
      <c r="S20" s="1213">
        <f t="shared" si="22"/>
        <v>0</v>
      </c>
      <c r="T20" s="1213">
        <f t="shared" si="22"/>
        <v>0</v>
      </c>
      <c r="U20" s="1213">
        <f t="shared" si="22"/>
        <v>0</v>
      </c>
      <c r="V20" s="1213">
        <f t="shared" si="22"/>
        <v>0</v>
      </c>
      <c r="W20" s="1213">
        <f>+K20-Q20</f>
        <v>0</v>
      </c>
      <c r="X20" s="1213">
        <f t="shared" ref="X20:AC20" si="23">SUM(X21:X22)</f>
        <v>0</v>
      </c>
      <c r="Y20" s="1213">
        <f t="shared" si="23"/>
        <v>0</v>
      </c>
      <c r="Z20" s="1213">
        <f t="shared" si="23"/>
        <v>0</v>
      </c>
      <c r="AA20" s="1213">
        <f t="shared" si="23"/>
        <v>0</v>
      </c>
      <c r="AB20" s="1213">
        <f t="shared" si="23"/>
        <v>0</v>
      </c>
      <c r="AC20" s="1213">
        <f t="shared" si="23"/>
        <v>0</v>
      </c>
      <c r="AD20" s="1284"/>
      <c r="AE20" s="1213">
        <f t="shared" si="1"/>
        <v>0</v>
      </c>
      <c r="AF20" s="1213">
        <f t="shared" si="2"/>
        <v>0</v>
      </c>
      <c r="AG20" s="1213">
        <f t="shared" si="3"/>
        <v>0</v>
      </c>
      <c r="AH20" s="2919">
        <f t="shared" si="4"/>
        <v>0</v>
      </c>
      <c r="AI20" s="1829"/>
      <c r="AJ20" s="417">
        <f t="shared" si="20"/>
        <v>0</v>
      </c>
      <c r="AK20" s="412"/>
    </row>
    <row r="21" spans="1:37" s="424" customFormat="1" ht="15">
      <c r="A21" s="2933"/>
      <c r="B21" s="1289" t="s">
        <v>185</v>
      </c>
      <c r="C21" s="1286" t="s">
        <v>247</v>
      </c>
      <c r="D21" s="1287">
        <v>0</v>
      </c>
      <c r="E21" s="2716">
        <v>0</v>
      </c>
      <c r="F21" s="1287">
        <v>0</v>
      </c>
      <c r="G21" s="1287">
        <f t="shared" ref="G21:J22" si="24">+F21</f>
        <v>0</v>
      </c>
      <c r="H21" s="1287">
        <f t="shared" si="24"/>
        <v>0</v>
      </c>
      <c r="I21" s="1287">
        <f t="shared" si="24"/>
        <v>0</v>
      </c>
      <c r="J21" s="1287">
        <f t="shared" si="24"/>
        <v>0</v>
      </c>
      <c r="K21" s="3219">
        <v>0</v>
      </c>
      <c r="L21" s="1287">
        <v>0</v>
      </c>
      <c r="M21" s="1287">
        <f t="shared" ref="M21:P22" si="25">+L21</f>
        <v>0</v>
      </c>
      <c r="N21" s="1287">
        <f t="shared" si="25"/>
        <v>0</v>
      </c>
      <c r="O21" s="1287">
        <f t="shared" si="25"/>
        <v>0</v>
      </c>
      <c r="P21" s="1287">
        <f t="shared" si="25"/>
        <v>0</v>
      </c>
      <c r="Q21" s="1287">
        <v>0</v>
      </c>
      <c r="R21" s="1287">
        <v>0</v>
      </c>
      <c r="S21" s="1287">
        <f t="shared" ref="S21:V22" si="26">+R21</f>
        <v>0</v>
      </c>
      <c r="T21" s="1287">
        <f t="shared" si="26"/>
        <v>0</v>
      </c>
      <c r="U21" s="1287">
        <f t="shared" si="26"/>
        <v>0</v>
      </c>
      <c r="V21" s="1287">
        <f t="shared" si="26"/>
        <v>0</v>
      </c>
      <c r="W21" s="1287">
        <f>+K21</f>
        <v>0</v>
      </c>
      <c r="X21" s="1287"/>
      <c r="Y21" s="1287">
        <f t="shared" ref="Y21:AC22" si="27">+X21</f>
        <v>0</v>
      </c>
      <c r="Z21" s="1287">
        <f t="shared" si="27"/>
        <v>0</v>
      </c>
      <c r="AA21" s="1287">
        <f t="shared" si="27"/>
        <v>0</v>
      </c>
      <c r="AB21" s="1287">
        <f t="shared" si="27"/>
        <v>0</v>
      </c>
      <c r="AC21" s="1287">
        <f t="shared" si="27"/>
        <v>0</v>
      </c>
      <c r="AD21" s="1284"/>
      <c r="AE21" s="1213">
        <f t="shared" si="1"/>
        <v>0</v>
      </c>
      <c r="AF21" s="1213">
        <f t="shared" si="2"/>
        <v>0</v>
      </c>
      <c r="AG21" s="1213">
        <f t="shared" si="3"/>
        <v>0</v>
      </c>
      <c r="AH21" s="2919">
        <f t="shared" si="4"/>
        <v>0</v>
      </c>
      <c r="AI21" s="1834"/>
      <c r="AJ21" s="417">
        <f t="shared" si="20"/>
        <v>0</v>
      </c>
      <c r="AK21" s="420"/>
    </row>
    <row r="22" spans="1:37" s="424" customFormat="1" ht="15">
      <c r="A22" s="2933"/>
      <c r="B22" s="1289" t="s">
        <v>187</v>
      </c>
      <c r="C22" s="1286" t="s">
        <v>155</v>
      </c>
      <c r="D22" s="1287">
        <v>0</v>
      </c>
      <c r="E22" s="2716">
        <v>0</v>
      </c>
      <c r="F22" s="1287">
        <v>0</v>
      </c>
      <c r="G22" s="1287">
        <f t="shared" si="24"/>
        <v>0</v>
      </c>
      <c r="H22" s="1287">
        <f t="shared" si="24"/>
        <v>0</v>
      </c>
      <c r="I22" s="1287">
        <f t="shared" si="24"/>
        <v>0</v>
      </c>
      <c r="J22" s="1287">
        <f t="shared" si="24"/>
        <v>0</v>
      </c>
      <c r="K22" s="3219">
        <v>0</v>
      </c>
      <c r="L22" s="1287">
        <v>0</v>
      </c>
      <c r="M22" s="1287">
        <f t="shared" si="25"/>
        <v>0</v>
      </c>
      <c r="N22" s="1287">
        <f t="shared" si="25"/>
        <v>0</v>
      </c>
      <c r="O22" s="1287">
        <f t="shared" si="25"/>
        <v>0</v>
      </c>
      <c r="P22" s="1287">
        <f t="shared" si="25"/>
        <v>0</v>
      </c>
      <c r="Q22" s="1287">
        <v>0</v>
      </c>
      <c r="R22" s="1287">
        <v>0</v>
      </c>
      <c r="S22" s="1287">
        <f t="shared" si="26"/>
        <v>0</v>
      </c>
      <c r="T22" s="1287">
        <f t="shared" si="26"/>
        <v>0</v>
      </c>
      <c r="U22" s="1287">
        <f t="shared" si="26"/>
        <v>0</v>
      </c>
      <c r="V22" s="1287">
        <f t="shared" si="26"/>
        <v>0</v>
      </c>
      <c r="W22" s="1287">
        <f>+K22</f>
        <v>0</v>
      </c>
      <c r="X22" s="1287"/>
      <c r="Y22" s="1287">
        <f t="shared" si="27"/>
        <v>0</v>
      </c>
      <c r="Z22" s="1287">
        <f t="shared" si="27"/>
        <v>0</v>
      </c>
      <c r="AA22" s="1287">
        <f t="shared" si="27"/>
        <v>0</v>
      </c>
      <c r="AB22" s="1287">
        <f t="shared" si="27"/>
        <v>0</v>
      </c>
      <c r="AC22" s="1287">
        <f t="shared" si="27"/>
        <v>0</v>
      </c>
      <c r="AD22" s="1284"/>
      <c r="AE22" s="1213">
        <f t="shared" si="1"/>
        <v>0</v>
      </c>
      <c r="AF22" s="1213">
        <f t="shared" si="2"/>
        <v>0</v>
      </c>
      <c r="AG22" s="1213">
        <f t="shared" si="3"/>
        <v>0</v>
      </c>
      <c r="AH22" s="2919">
        <f t="shared" si="4"/>
        <v>0</v>
      </c>
      <c r="AI22" s="1834"/>
      <c r="AJ22" s="417">
        <f t="shared" si="20"/>
        <v>0</v>
      </c>
      <c r="AK22" s="420"/>
    </row>
    <row r="23" spans="1:37" s="416" customFormat="1" ht="21">
      <c r="A23" s="2934" t="s">
        <v>14</v>
      </c>
      <c r="B23" s="1282" t="s">
        <v>14</v>
      </c>
      <c r="C23" s="1283" t="s">
        <v>1279</v>
      </c>
      <c r="D23" s="1213">
        <f t="shared" ref="D23:AC23" si="28">D24+D25</f>
        <v>0</v>
      </c>
      <c r="E23" s="2715">
        <f t="shared" si="28"/>
        <v>0</v>
      </c>
      <c r="F23" s="1213">
        <f t="shared" si="28"/>
        <v>0</v>
      </c>
      <c r="G23" s="1213">
        <f t="shared" si="28"/>
        <v>0</v>
      </c>
      <c r="H23" s="1213">
        <f t="shared" si="28"/>
        <v>0</v>
      </c>
      <c r="I23" s="1213">
        <f t="shared" si="28"/>
        <v>0</v>
      </c>
      <c r="J23" s="1213">
        <f t="shared" si="28"/>
        <v>0</v>
      </c>
      <c r="K23" s="3208">
        <f t="shared" si="28"/>
        <v>0</v>
      </c>
      <c r="L23" s="1213">
        <f t="shared" si="28"/>
        <v>0</v>
      </c>
      <c r="M23" s="1213">
        <f t="shared" si="28"/>
        <v>0</v>
      </c>
      <c r="N23" s="1213">
        <f t="shared" si="28"/>
        <v>0</v>
      </c>
      <c r="O23" s="1213">
        <f t="shared" si="28"/>
        <v>0</v>
      </c>
      <c r="P23" s="1213">
        <f t="shared" si="28"/>
        <v>0</v>
      </c>
      <c r="Q23" s="1213">
        <f t="shared" si="28"/>
        <v>0</v>
      </c>
      <c r="R23" s="1213">
        <f t="shared" si="28"/>
        <v>0</v>
      </c>
      <c r="S23" s="1213">
        <f t="shared" si="28"/>
        <v>0</v>
      </c>
      <c r="T23" s="1213">
        <f t="shared" si="28"/>
        <v>0</v>
      </c>
      <c r="U23" s="1213">
        <f t="shared" si="28"/>
        <v>0</v>
      </c>
      <c r="V23" s="1213">
        <f t="shared" si="28"/>
        <v>0</v>
      </c>
      <c r="W23" s="1213">
        <f t="shared" si="28"/>
        <v>0</v>
      </c>
      <c r="X23" s="1213">
        <f t="shared" si="28"/>
        <v>0</v>
      </c>
      <c r="Y23" s="1213">
        <f t="shared" si="28"/>
        <v>0</v>
      </c>
      <c r="Z23" s="1213">
        <f t="shared" si="28"/>
        <v>0</v>
      </c>
      <c r="AA23" s="1213">
        <f t="shared" si="28"/>
        <v>0</v>
      </c>
      <c r="AB23" s="1213">
        <f t="shared" si="28"/>
        <v>0</v>
      </c>
      <c r="AC23" s="1213">
        <f t="shared" si="28"/>
        <v>0</v>
      </c>
      <c r="AD23" s="1284"/>
      <c r="AE23" s="1213">
        <f t="shared" si="1"/>
        <v>0</v>
      </c>
      <c r="AF23" s="1213">
        <f t="shared" si="2"/>
        <v>0</v>
      </c>
      <c r="AG23" s="1213">
        <f t="shared" si="3"/>
        <v>0</v>
      </c>
      <c r="AH23" s="2919">
        <f t="shared" si="4"/>
        <v>0</v>
      </c>
      <c r="AI23" s="1829"/>
      <c r="AJ23" s="417">
        <f t="shared" si="20"/>
        <v>0</v>
      </c>
      <c r="AK23" s="412"/>
    </row>
    <row r="24" spans="1:37" s="416" customFormat="1" ht="15">
      <c r="A24" s="2934"/>
      <c r="B24" s="1289" t="s">
        <v>198</v>
      </c>
      <c r="C24" s="1284" t="s">
        <v>186</v>
      </c>
      <c r="D24" s="1291">
        <v>0</v>
      </c>
      <c r="E24" s="2717">
        <v>0</v>
      </c>
      <c r="F24" s="1291">
        <v>0</v>
      </c>
      <c r="G24" s="1291">
        <f t="shared" ref="G24:G31" si="29">+F24</f>
        <v>0</v>
      </c>
      <c r="H24" s="1291">
        <f t="shared" ref="H24:H31" si="30">+G24</f>
        <v>0</v>
      </c>
      <c r="I24" s="1291">
        <f t="shared" ref="I24:I31" si="31">+H24</f>
        <v>0</v>
      </c>
      <c r="J24" s="1291">
        <f t="shared" ref="J24:J31" si="32">+I24</f>
        <v>0</v>
      </c>
      <c r="K24" s="3219">
        <f>0</f>
        <v>0</v>
      </c>
      <c r="L24" s="1213">
        <v>0</v>
      </c>
      <c r="M24" s="1213">
        <f t="shared" ref="M24:M31" si="33">+L24</f>
        <v>0</v>
      </c>
      <c r="N24" s="1213">
        <f t="shared" ref="N24:N31" si="34">+M24</f>
        <v>0</v>
      </c>
      <c r="O24" s="1213">
        <f t="shared" ref="O24:O31" si="35">+N24</f>
        <v>0</v>
      </c>
      <c r="P24" s="1213">
        <f t="shared" ref="P24:P31" si="36">+O24</f>
        <v>0</v>
      </c>
      <c r="Q24" s="1213">
        <v>0</v>
      </c>
      <c r="R24" s="1291">
        <v>0</v>
      </c>
      <c r="S24" s="1291">
        <f t="shared" ref="S24:S31" si="37">+R24</f>
        <v>0</v>
      </c>
      <c r="T24" s="1291">
        <f t="shared" ref="T24:T31" si="38">+S24</f>
        <v>0</v>
      </c>
      <c r="U24" s="1291">
        <f t="shared" ref="U24:V27" si="39">+T24</f>
        <v>0</v>
      </c>
      <c r="V24" s="1291">
        <f t="shared" si="39"/>
        <v>0</v>
      </c>
      <c r="W24" s="1291">
        <f t="shared" ref="W24:W31" si="40">+K24</f>
        <v>0</v>
      </c>
      <c r="X24" s="1213"/>
      <c r="Y24" s="1213">
        <f t="shared" ref="Y24:Y31" si="41">+X24</f>
        <v>0</v>
      </c>
      <c r="Z24" s="1213">
        <f t="shared" ref="Z24:Z31" si="42">+Y24</f>
        <v>0</v>
      </c>
      <c r="AA24" s="1213">
        <f t="shared" ref="AA24:AA31" si="43">+Z24</f>
        <v>0</v>
      </c>
      <c r="AB24" s="1213">
        <f t="shared" ref="AB24:AB31" si="44">+AA24</f>
        <v>0</v>
      </c>
      <c r="AC24" s="1213">
        <f t="shared" ref="AC24:AC31" si="45">+AB24</f>
        <v>0</v>
      </c>
      <c r="AD24" s="1284"/>
      <c r="AE24" s="1213">
        <f t="shared" si="1"/>
        <v>0</v>
      </c>
      <c r="AF24" s="1213">
        <f t="shared" si="2"/>
        <v>0</v>
      </c>
      <c r="AG24" s="1213">
        <f t="shared" si="3"/>
        <v>0</v>
      </c>
      <c r="AH24" s="2919">
        <f t="shared" si="4"/>
        <v>0</v>
      </c>
      <c r="AI24" s="1829"/>
      <c r="AJ24" s="417">
        <f t="shared" si="20"/>
        <v>0</v>
      </c>
      <c r="AK24" s="548"/>
    </row>
    <row r="25" spans="1:37" s="424" customFormat="1" ht="15">
      <c r="A25" s="2933"/>
      <c r="B25" s="1289" t="s">
        <v>200</v>
      </c>
      <c r="C25" s="1286" t="s">
        <v>148</v>
      </c>
      <c r="D25" s="1287">
        <v>0</v>
      </c>
      <c r="E25" s="2716">
        <v>0</v>
      </c>
      <c r="F25" s="1287">
        <v>0</v>
      </c>
      <c r="G25" s="1291">
        <f t="shared" si="29"/>
        <v>0</v>
      </c>
      <c r="H25" s="1287">
        <f>G25</f>
        <v>0</v>
      </c>
      <c r="I25" s="1287">
        <f t="shared" si="31"/>
        <v>0</v>
      </c>
      <c r="J25" s="1291">
        <f t="shared" si="32"/>
        <v>0</v>
      </c>
      <c r="K25" s="3219">
        <v>0</v>
      </c>
      <c r="L25" s="1287">
        <v>0</v>
      </c>
      <c r="M25" s="1287">
        <f t="shared" si="33"/>
        <v>0</v>
      </c>
      <c r="N25" s="1287">
        <f t="shared" si="34"/>
        <v>0</v>
      </c>
      <c r="O25" s="1287">
        <f t="shared" si="35"/>
        <v>0</v>
      </c>
      <c r="P25" s="1287">
        <f t="shared" si="36"/>
        <v>0</v>
      </c>
      <c r="Q25" s="1287">
        <v>0</v>
      </c>
      <c r="R25" s="1287">
        <v>0</v>
      </c>
      <c r="S25" s="1291">
        <f t="shared" si="37"/>
        <v>0</v>
      </c>
      <c r="T25" s="1287">
        <f t="shared" si="38"/>
        <v>0</v>
      </c>
      <c r="U25" s="1287">
        <f t="shared" si="39"/>
        <v>0</v>
      </c>
      <c r="V25" s="1287">
        <f t="shared" si="39"/>
        <v>0</v>
      </c>
      <c r="W25" s="1291">
        <f t="shared" si="40"/>
        <v>0</v>
      </c>
      <c r="X25" s="1287"/>
      <c r="Y25" s="1287">
        <f t="shared" si="41"/>
        <v>0</v>
      </c>
      <c r="Z25" s="1287">
        <f t="shared" si="42"/>
        <v>0</v>
      </c>
      <c r="AA25" s="1287">
        <f t="shared" si="43"/>
        <v>0</v>
      </c>
      <c r="AB25" s="1287">
        <f t="shared" si="44"/>
        <v>0</v>
      </c>
      <c r="AC25" s="1287">
        <f t="shared" si="45"/>
        <v>0</v>
      </c>
      <c r="AD25" s="1284"/>
      <c r="AE25" s="1213">
        <f t="shared" si="1"/>
        <v>0</v>
      </c>
      <c r="AF25" s="1213">
        <f t="shared" si="2"/>
        <v>0</v>
      </c>
      <c r="AG25" s="1213">
        <f t="shared" si="3"/>
        <v>0</v>
      </c>
      <c r="AH25" s="2919">
        <f t="shared" si="4"/>
        <v>0</v>
      </c>
      <c r="AI25" s="1834"/>
      <c r="AJ25" s="417">
        <f t="shared" si="20"/>
        <v>0</v>
      </c>
      <c r="AK25" s="420"/>
    </row>
    <row r="26" spans="1:37" s="424" customFormat="1" ht="15">
      <c r="A26" s="2933"/>
      <c r="B26" s="1289" t="s">
        <v>202</v>
      </c>
      <c r="C26" s="1290" t="s">
        <v>1280</v>
      </c>
      <c r="D26" s="1287">
        <v>0</v>
      </c>
      <c r="E26" s="2716">
        <v>0</v>
      </c>
      <c r="F26" s="1287">
        <v>0</v>
      </c>
      <c r="G26" s="1213">
        <f t="shared" si="29"/>
        <v>0</v>
      </c>
      <c r="H26" s="1213">
        <f t="shared" si="30"/>
        <v>0</v>
      </c>
      <c r="I26" s="1287">
        <f t="shared" si="31"/>
        <v>0</v>
      </c>
      <c r="J26" s="1291">
        <f t="shared" si="32"/>
        <v>0</v>
      </c>
      <c r="K26" s="3219">
        <v>0</v>
      </c>
      <c r="L26" s="1287">
        <v>0</v>
      </c>
      <c r="M26" s="1287">
        <f t="shared" si="33"/>
        <v>0</v>
      </c>
      <c r="N26" s="1287">
        <f t="shared" si="34"/>
        <v>0</v>
      </c>
      <c r="O26" s="1287">
        <f t="shared" si="35"/>
        <v>0</v>
      </c>
      <c r="P26" s="1287">
        <f t="shared" si="36"/>
        <v>0</v>
      </c>
      <c r="Q26" s="1287">
        <v>0</v>
      </c>
      <c r="R26" s="1287">
        <v>0</v>
      </c>
      <c r="S26" s="1287">
        <f t="shared" si="37"/>
        <v>0</v>
      </c>
      <c r="T26" s="1287">
        <f t="shared" si="38"/>
        <v>0</v>
      </c>
      <c r="U26" s="1287">
        <f t="shared" si="39"/>
        <v>0</v>
      </c>
      <c r="V26" s="1287">
        <f t="shared" si="39"/>
        <v>0</v>
      </c>
      <c r="W26" s="1291">
        <f t="shared" si="40"/>
        <v>0</v>
      </c>
      <c r="X26" s="1287"/>
      <c r="Y26" s="1287">
        <f t="shared" si="41"/>
        <v>0</v>
      </c>
      <c r="Z26" s="1287">
        <f t="shared" si="42"/>
        <v>0</v>
      </c>
      <c r="AA26" s="1287">
        <f t="shared" si="43"/>
        <v>0</v>
      </c>
      <c r="AB26" s="1287">
        <f t="shared" si="44"/>
        <v>0</v>
      </c>
      <c r="AC26" s="1287">
        <f t="shared" si="45"/>
        <v>0</v>
      </c>
      <c r="AD26" s="1284"/>
      <c r="AE26" s="1213">
        <f t="shared" si="1"/>
        <v>0</v>
      </c>
      <c r="AF26" s="1213">
        <f t="shared" si="2"/>
        <v>0</v>
      </c>
      <c r="AG26" s="1213">
        <f t="shared" si="3"/>
        <v>0</v>
      </c>
      <c r="AH26" s="2919">
        <f t="shared" si="4"/>
        <v>0</v>
      </c>
      <c r="AI26" s="1834"/>
      <c r="AJ26" s="417">
        <f t="shared" si="20"/>
        <v>0</v>
      </c>
      <c r="AK26" s="420"/>
    </row>
    <row r="27" spans="1:37" s="424" customFormat="1" ht="15">
      <c r="A27" s="2934" t="s">
        <v>15</v>
      </c>
      <c r="B27" s="1282" t="s">
        <v>15</v>
      </c>
      <c r="C27" s="1292" t="s">
        <v>150</v>
      </c>
      <c r="D27" s="1293">
        <v>0</v>
      </c>
      <c r="E27" s="2718">
        <v>0</v>
      </c>
      <c r="F27" s="1293">
        <v>0</v>
      </c>
      <c r="G27" s="1293">
        <f t="shared" si="29"/>
        <v>0</v>
      </c>
      <c r="H27" s="1293">
        <f t="shared" si="30"/>
        <v>0</v>
      </c>
      <c r="I27" s="1293">
        <f t="shared" si="31"/>
        <v>0</v>
      </c>
      <c r="J27" s="1293">
        <f t="shared" si="32"/>
        <v>0</v>
      </c>
      <c r="K27" s="3219">
        <v>0</v>
      </c>
      <c r="L27" s="1293">
        <v>0</v>
      </c>
      <c r="M27" s="1293">
        <f t="shared" si="33"/>
        <v>0</v>
      </c>
      <c r="N27" s="1293">
        <f t="shared" si="34"/>
        <v>0</v>
      </c>
      <c r="O27" s="1293">
        <f t="shared" si="35"/>
        <v>0</v>
      </c>
      <c r="P27" s="1293">
        <f t="shared" si="36"/>
        <v>0</v>
      </c>
      <c r="Q27" s="1293">
        <v>0</v>
      </c>
      <c r="R27" s="1293">
        <v>0</v>
      </c>
      <c r="S27" s="1293">
        <f t="shared" si="37"/>
        <v>0</v>
      </c>
      <c r="T27" s="1293">
        <f t="shared" si="38"/>
        <v>0</v>
      </c>
      <c r="U27" s="1293">
        <f t="shared" si="39"/>
        <v>0</v>
      </c>
      <c r="V27" s="1293">
        <f t="shared" si="39"/>
        <v>0</v>
      </c>
      <c r="W27" s="1293">
        <f t="shared" si="40"/>
        <v>0</v>
      </c>
      <c r="X27" s="1293"/>
      <c r="Y27" s="1293">
        <f t="shared" si="41"/>
        <v>0</v>
      </c>
      <c r="Z27" s="1293">
        <f t="shared" si="42"/>
        <v>0</v>
      </c>
      <c r="AA27" s="1293">
        <f t="shared" si="43"/>
        <v>0</v>
      </c>
      <c r="AB27" s="1293">
        <f t="shared" si="44"/>
        <v>0</v>
      </c>
      <c r="AC27" s="1293">
        <f t="shared" si="45"/>
        <v>0</v>
      </c>
      <c r="AD27" s="1284"/>
      <c r="AE27" s="1213">
        <f t="shared" si="1"/>
        <v>0</v>
      </c>
      <c r="AF27" s="1213">
        <f t="shared" si="2"/>
        <v>0</v>
      </c>
      <c r="AG27" s="1213">
        <f t="shared" si="3"/>
        <v>0</v>
      </c>
      <c r="AH27" s="2919">
        <f t="shared" si="4"/>
        <v>0</v>
      </c>
      <c r="AI27" s="1834"/>
      <c r="AJ27" s="417">
        <f t="shared" si="20"/>
        <v>0</v>
      </c>
      <c r="AK27" s="427"/>
    </row>
    <row r="28" spans="1:37" s="424" customFormat="1" ht="15">
      <c r="A28" s="2933"/>
      <c r="B28" s="1289" t="s">
        <v>212</v>
      </c>
      <c r="C28" s="1290" t="s">
        <v>1280</v>
      </c>
      <c r="D28" s="1287">
        <v>0</v>
      </c>
      <c r="E28" s="2716">
        <v>0</v>
      </c>
      <c r="F28" s="1287">
        <v>0</v>
      </c>
      <c r="G28" s="1287">
        <f t="shared" si="29"/>
        <v>0</v>
      </c>
      <c r="H28" s="1287">
        <f t="shared" si="30"/>
        <v>0</v>
      </c>
      <c r="I28" s="1287">
        <f t="shared" si="31"/>
        <v>0</v>
      </c>
      <c r="J28" s="1287">
        <f t="shared" si="32"/>
        <v>0</v>
      </c>
      <c r="K28" s="3219">
        <v>0</v>
      </c>
      <c r="L28" s="1287">
        <v>0</v>
      </c>
      <c r="M28" s="1287">
        <f t="shared" si="33"/>
        <v>0</v>
      </c>
      <c r="N28" s="1287">
        <f t="shared" si="34"/>
        <v>0</v>
      </c>
      <c r="O28" s="1287">
        <f t="shared" si="35"/>
        <v>0</v>
      </c>
      <c r="P28" s="1287">
        <f t="shared" si="36"/>
        <v>0</v>
      </c>
      <c r="Q28" s="1287">
        <v>0</v>
      </c>
      <c r="R28" s="1287">
        <f>+P28</f>
        <v>0</v>
      </c>
      <c r="S28" s="1287">
        <f t="shared" si="37"/>
        <v>0</v>
      </c>
      <c r="T28" s="1287">
        <f t="shared" si="38"/>
        <v>0</v>
      </c>
      <c r="U28" s="1287">
        <v>0</v>
      </c>
      <c r="V28" s="1287"/>
      <c r="W28" s="1287">
        <f t="shared" si="40"/>
        <v>0</v>
      </c>
      <c r="X28" s="1287"/>
      <c r="Y28" s="1287">
        <f t="shared" si="41"/>
        <v>0</v>
      </c>
      <c r="Z28" s="1287">
        <f t="shared" si="42"/>
        <v>0</v>
      </c>
      <c r="AA28" s="1287">
        <f t="shared" si="43"/>
        <v>0</v>
      </c>
      <c r="AB28" s="1287">
        <f t="shared" si="44"/>
        <v>0</v>
      </c>
      <c r="AC28" s="1287">
        <f t="shared" si="45"/>
        <v>0</v>
      </c>
      <c r="AD28" s="1284"/>
      <c r="AE28" s="1213">
        <f t="shared" si="1"/>
        <v>0</v>
      </c>
      <c r="AF28" s="1213">
        <f t="shared" si="2"/>
        <v>0</v>
      </c>
      <c r="AG28" s="1213">
        <f t="shared" si="3"/>
        <v>0</v>
      </c>
      <c r="AH28" s="2919">
        <f t="shared" si="4"/>
        <v>0</v>
      </c>
      <c r="AI28" s="1834"/>
      <c r="AJ28" s="417">
        <f t="shared" si="20"/>
        <v>0</v>
      </c>
      <c r="AK28" s="420"/>
    </row>
    <row r="29" spans="1:37" s="424" customFormat="1" ht="15">
      <c r="A29" s="2934" t="s">
        <v>17</v>
      </c>
      <c r="B29" s="1474" t="s">
        <v>17</v>
      </c>
      <c r="C29" s="1292" t="s">
        <v>153</v>
      </c>
      <c r="D29" s="1213">
        <v>0</v>
      </c>
      <c r="E29" s="2715">
        <v>0</v>
      </c>
      <c r="F29" s="1213">
        <v>0</v>
      </c>
      <c r="G29" s="1213">
        <f t="shared" si="29"/>
        <v>0</v>
      </c>
      <c r="H29" s="1213">
        <f t="shared" si="30"/>
        <v>0</v>
      </c>
      <c r="I29" s="1213">
        <f t="shared" si="31"/>
        <v>0</v>
      </c>
      <c r="J29" s="1213">
        <f t="shared" si="32"/>
        <v>0</v>
      </c>
      <c r="K29" s="3219">
        <v>0</v>
      </c>
      <c r="L29" s="1213">
        <v>0</v>
      </c>
      <c r="M29" s="1213">
        <f t="shared" si="33"/>
        <v>0</v>
      </c>
      <c r="N29" s="1213">
        <f t="shared" si="34"/>
        <v>0</v>
      </c>
      <c r="O29" s="1213">
        <f t="shared" si="35"/>
        <v>0</v>
      </c>
      <c r="P29" s="1213">
        <f t="shared" si="36"/>
        <v>0</v>
      </c>
      <c r="Q29" s="1213">
        <v>0</v>
      </c>
      <c r="R29" s="1213">
        <v>0</v>
      </c>
      <c r="S29" s="1213">
        <f t="shared" si="37"/>
        <v>0</v>
      </c>
      <c r="T29" s="1213">
        <f t="shared" si="38"/>
        <v>0</v>
      </c>
      <c r="U29" s="1213">
        <f t="shared" ref="U29:V31" si="46">+T29</f>
        <v>0</v>
      </c>
      <c r="V29" s="1213">
        <f t="shared" si="46"/>
        <v>0</v>
      </c>
      <c r="W29" s="1213">
        <f t="shared" si="40"/>
        <v>0</v>
      </c>
      <c r="X29" s="1213"/>
      <c r="Y29" s="1213">
        <f t="shared" si="41"/>
        <v>0</v>
      </c>
      <c r="Z29" s="1213">
        <f t="shared" si="42"/>
        <v>0</v>
      </c>
      <c r="AA29" s="1213">
        <f t="shared" si="43"/>
        <v>0</v>
      </c>
      <c r="AB29" s="1213">
        <f t="shared" si="44"/>
        <v>0</v>
      </c>
      <c r="AC29" s="1213">
        <f t="shared" si="45"/>
        <v>0</v>
      </c>
      <c r="AD29" s="1284"/>
      <c r="AE29" s="1213">
        <f t="shared" si="1"/>
        <v>0</v>
      </c>
      <c r="AF29" s="1213">
        <f t="shared" si="2"/>
        <v>0</v>
      </c>
      <c r="AG29" s="1213">
        <f t="shared" si="3"/>
        <v>0</v>
      </c>
      <c r="AH29" s="2919">
        <f t="shared" si="4"/>
        <v>0</v>
      </c>
      <c r="AI29" s="1829"/>
      <c r="AJ29" s="417">
        <f t="shared" si="20"/>
        <v>0</v>
      </c>
      <c r="AK29" s="412"/>
    </row>
    <row r="30" spans="1:37" s="416" customFormat="1" ht="15">
      <c r="A30" s="2934" t="s">
        <v>19</v>
      </c>
      <c r="B30" s="1282" t="s">
        <v>19</v>
      </c>
      <c r="C30" s="1292" t="s">
        <v>1281</v>
      </c>
      <c r="D30" s="1293">
        <v>0</v>
      </c>
      <c r="E30" s="2718">
        <v>0</v>
      </c>
      <c r="F30" s="1293">
        <v>0</v>
      </c>
      <c r="G30" s="1293">
        <f t="shared" si="29"/>
        <v>0</v>
      </c>
      <c r="H30" s="1293">
        <f t="shared" si="30"/>
        <v>0</v>
      </c>
      <c r="I30" s="1293">
        <f t="shared" si="31"/>
        <v>0</v>
      </c>
      <c r="J30" s="1293">
        <f t="shared" si="32"/>
        <v>0</v>
      </c>
      <c r="K30" s="3219">
        <v>0</v>
      </c>
      <c r="L30" s="1293">
        <v>0</v>
      </c>
      <c r="M30" s="1293">
        <f t="shared" si="33"/>
        <v>0</v>
      </c>
      <c r="N30" s="1293">
        <f t="shared" si="34"/>
        <v>0</v>
      </c>
      <c r="O30" s="1293">
        <f t="shared" si="35"/>
        <v>0</v>
      </c>
      <c r="P30" s="1293">
        <f t="shared" si="36"/>
        <v>0</v>
      </c>
      <c r="Q30" s="1293">
        <v>0</v>
      </c>
      <c r="R30" s="1293">
        <v>0</v>
      </c>
      <c r="S30" s="1293">
        <f t="shared" si="37"/>
        <v>0</v>
      </c>
      <c r="T30" s="1293">
        <f t="shared" si="38"/>
        <v>0</v>
      </c>
      <c r="U30" s="1293">
        <f t="shared" si="46"/>
        <v>0</v>
      </c>
      <c r="V30" s="1293">
        <f t="shared" si="46"/>
        <v>0</v>
      </c>
      <c r="W30" s="1293">
        <f t="shared" si="40"/>
        <v>0</v>
      </c>
      <c r="X30" s="1293"/>
      <c r="Y30" s="1293">
        <f t="shared" si="41"/>
        <v>0</v>
      </c>
      <c r="Z30" s="1293">
        <f t="shared" si="42"/>
        <v>0</v>
      </c>
      <c r="AA30" s="1293">
        <f t="shared" si="43"/>
        <v>0</v>
      </c>
      <c r="AB30" s="1293">
        <f t="shared" si="44"/>
        <v>0</v>
      </c>
      <c r="AC30" s="1293">
        <f t="shared" si="45"/>
        <v>0</v>
      </c>
      <c r="AD30" s="1284"/>
      <c r="AE30" s="1213">
        <f t="shared" si="1"/>
        <v>0</v>
      </c>
      <c r="AF30" s="1213">
        <f t="shared" si="2"/>
        <v>0</v>
      </c>
      <c r="AG30" s="1213">
        <f t="shared" si="3"/>
        <v>0</v>
      </c>
      <c r="AH30" s="2919">
        <f t="shared" si="4"/>
        <v>0</v>
      </c>
      <c r="AI30" s="1834"/>
      <c r="AJ30" s="417">
        <f t="shared" si="20"/>
        <v>0</v>
      </c>
      <c r="AK30" s="427"/>
    </row>
    <row r="31" spans="1:37" s="416" customFormat="1" ht="15">
      <c r="A31" s="2934" t="s">
        <v>21</v>
      </c>
      <c r="B31" s="1282" t="s">
        <v>21</v>
      </c>
      <c r="C31" s="1292" t="s">
        <v>393</v>
      </c>
      <c r="D31" s="1227">
        <v>0</v>
      </c>
      <c r="E31" s="2719">
        <v>0</v>
      </c>
      <c r="F31" s="1227">
        <v>0</v>
      </c>
      <c r="G31" s="1227">
        <f t="shared" si="29"/>
        <v>0</v>
      </c>
      <c r="H31" s="1227">
        <f t="shared" si="30"/>
        <v>0</v>
      </c>
      <c r="I31" s="1227">
        <f t="shared" si="31"/>
        <v>0</v>
      </c>
      <c r="J31" s="1227">
        <f t="shared" si="32"/>
        <v>0</v>
      </c>
      <c r="K31" s="3219">
        <v>0</v>
      </c>
      <c r="L31" s="1227">
        <v>0</v>
      </c>
      <c r="M31" s="1227">
        <f t="shared" si="33"/>
        <v>0</v>
      </c>
      <c r="N31" s="1227">
        <f t="shared" si="34"/>
        <v>0</v>
      </c>
      <c r="O31" s="1227">
        <f t="shared" si="35"/>
        <v>0</v>
      </c>
      <c r="P31" s="1227">
        <f t="shared" si="36"/>
        <v>0</v>
      </c>
      <c r="Q31" s="1227">
        <v>0</v>
      </c>
      <c r="R31" s="1227">
        <v>0</v>
      </c>
      <c r="S31" s="1227">
        <f t="shared" si="37"/>
        <v>0</v>
      </c>
      <c r="T31" s="1227">
        <f t="shared" si="38"/>
        <v>0</v>
      </c>
      <c r="U31" s="1227">
        <f t="shared" si="46"/>
        <v>0</v>
      </c>
      <c r="V31" s="1227">
        <f t="shared" si="46"/>
        <v>0</v>
      </c>
      <c r="W31" s="1227">
        <f t="shared" si="40"/>
        <v>0</v>
      </c>
      <c r="X31" s="1227"/>
      <c r="Y31" s="1227">
        <f t="shared" si="41"/>
        <v>0</v>
      </c>
      <c r="Z31" s="1227">
        <f t="shared" si="42"/>
        <v>0</v>
      </c>
      <c r="AA31" s="1227">
        <f t="shared" si="43"/>
        <v>0</v>
      </c>
      <c r="AB31" s="1227">
        <f t="shared" si="44"/>
        <v>0</v>
      </c>
      <c r="AC31" s="1227">
        <f t="shared" si="45"/>
        <v>0</v>
      </c>
      <c r="AD31" s="1284"/>
      <c r="AE31" s="1213">
        <f t="shared" si="1"/>
        <v>0</v>
      </c>
      <c r="AF31" s="1213">
        <f t="shared" si="2"/>
        <v>0</v>
      </c>
      <c r="AG31" s="1213">
        <f t="shared" si="3"/>
        <v>0</v>
      </c>
      <c r="AH31" s="2919">
        <f t="shared" si="4"/>
        <v>0</v>
      </c>
      <c r="AI31" s="1834"/>
      <c r="AJ31" s="417">
        <f t="shared" si="20"/>
        <v>0</v>
      </c>
      <c r="AK31" s="430"/>
    </row>
    <row r="32" spans="1:37" s="416" customFormat="1" ht="15">
      <c r="A32" s="2934" t="s">
        <v>23</v>
      </c>
      <c r="B32" s="1474" t="s">
        <v>23</v>
      </c>
      <c r="C32" s="1292" t="s">
        <v>1282</v>
      </c>
      <c r="D32" s="1213">
        <f t="shared" ref="D32:AC32" si="47">+D8+D20+D23+D27+D29+D30+D31</f>
        <v>57297388</v>
      </c>
      <c r="E32" s="2715">
        <f>+E8+E20+E23+E27+E29+E30+E31</f>
        <v>77653738</v>
      </c>
      <c r="F32" s="1213">
        <f t="shared" si="47"/>
        <v>88299530</v>
      </c>
      <c r="G32" s="1213">
        <f t="shared" si="47"/>
        <v>90262938</v>
      </c>
      <c r="H32" s="1213">
        <f t="shared" si="47"/>
        <v>93203919</v>
      </c>
      <c r="I32" s="1213">
        <f t="shared" si="47"/>
        <v>84925025</v>
      </c>
      <c r="J32" s="1213">
        <f t="shared" si="47"/>
        <v>84925025</v>
      </c>
      <c r="K32" s="3208">
        <f t="shared" si="47"/>
        <v>84925025</v>
      </c>
      <c r="L32" s="1213">
        <f t="shared" si="47"/>
        <v>0</v>
      </c>
      <c r="M32" s="1213">
        <f t="shared" si="47"/>
        <v>0</v>
      </c>
      <c r="N32" s="1213">
        <f t="shared" si="47"/>
        <v>0</v>
      </c>
      <c r="O32" s="1213">
        <f t="shared" si="47"/>
        <v>5610222</v>
      </c>
      <c r="P32" s="1213">
        <f t="shared" si="47"/>
        <v>5610222</v>
      </c>
      <c r="Q32" s="1213">
        <f t="shared" si="47"/>
        <v>5610222</v>
      </c>
      <c r="R32" s="1213">
        <f t="shared" si="47"/>
        <v>88299530</v>
      </c>
      <c r="S32" s="1213">
        <f t="shared" si="47"/>
        <v>90262938</v>
      </c>
      <c r="T32" s="1213">
        <f t="shared" si="47"/>
        <v>93203919</v>
      </c>
      <c r="U32" s="1213">
        <f t="shared" si="47"/>
        <v>79314803</v>
      </c>
      <c r="V32" s="1213">
        <f t="shared" si="47"/>
        <v>79314803</v>
      </c>
      <c r="W32" s="1213">
        <f t="shared" si="47"/>
        <v>79314803</v>
      </c>
      <c r="X32" s="1213">
        <f t="shared" si="47"/>
        <v>0</v>
      </c>
      <c r="Y32" s="1213">
        <f t="shared" si="47"/>
        <v>0</v>
      </c>
      <c r="Z32" s="1213">
        <f t="shared" si="47"/>
        <v>0</v>
      </c>
      <c r="AA32" s="1213">
        <f t="shared" si="47"/>
        <v>0</v>
      </c>
      <c r="AB32" s="1213">
        <f t="shared" si="47"/>
        <v>0</v>
      </c>
      <c r="AC32" s="1213">
        <f t="shared" si="47"/>
        <v>0</v>
      </c>
      <c r="AD32" s="1283"/>
      <c r="AE32" s="1213">
        <f t="shared" si="1"/>
        <v>1963408</v>
      </c>
      <c r="AF32" s="1213">
        <f t="shared" si="2"/>
        <v>2940981</v>
      </c>
      <c r="AG32" s="1213">
        <f t="shared" si="3"/>
        <v>-8278894</v>
      </c>
      <c r="AH32" s="2919">
        <f t="shared" si="4"/>
        <v>0</v>
      </c>
      <c r="AI32" s="1829">
        <f>+K32/I32</f>
        <v>1</v>
      </c>
      <c r="AJ32" s="417">
        <f t="shared" si="20"/>
        <v>31002142</v>
      </c>
      <c r="AK32" s="412"/>
    </row>
    <row r="33" spans="1:38" s="424" customFormat="1" ht="15">
      <c r="A33" s="2975" t="s">
        <v>25</v>
      </c>
      <c r="B33" s="1282" t="s">
        <v>25</v>
      </c>
      <c r="C33" s="1292" t="s">
        <v>1305</v>
      </c>
      <c r="D33" s="1213">
        <f t="shared" ref="D33:AC33" si="48">SUM(D34:D36)</f>
        <v>1322743531</v>
      </c>
      <c r="E33" s="2715">
        <f>SUM(E34:E36)</f>
        <v>1293066642</v>
      </c>
      <c r="F33" s="1213">
        <f t="shared" si="48"/>
        <v>1524752683</v>
      </c>
      <c r="G33" s="1213">
        <f t="shared" si="48"/>
        <v>1557432951</v>
      </c>
      <c r="H33" s="1213">
        <f t="shared" si="48"/>
        <v>1561261815</v>
      </c>
      <c r="I33" s="1213">
        <f t="shared" si="48"/>
        <v>1561533015</v>
      </c>
      <c r="J33" s="1213">
        <f t="shared" si="48"/>
        <v>1561533015</v>
      </c>
      <c r="K33" s="3208">
        <f>SUM(K34:K36)</f>
        <v>1489211609</v>
      </c>
      <c r="L33" s="1213">
        <f t="shared" si="48"/>
        <v>0</v>
      </c>
      <c r="M33" s="1213">
        <f t="shared" si="48"/>
        <v>0</v>
      </c>
      <c r="N33" s="1213">
        <f t="shared" si="48"/>
        <v>0</v>
      </c>
      <c r="O33" s="1213">
        <f t="shared" si="48"/>
        <v>0</v>
      </c>
      <c r="P33" s="1213">
        <f t="shared" si="48"/>
        <v>0</v>
      </c>
      <c r="Q33" s="1213">
        <f t="shared" si="48"/>
        <v>0</v>
      </c>
      <c r="R33" s="1213">
        <f t="shared" si="48"/>
        <v>1524752683</v>
      </c>
      <c r="S33" s="1213">
        <f t="shared" si="48"/>
        <v>1557432951</v>
      </c>
      <c r="T33" s="1213">
        <f t="shared" si="48"/>
        <v>1561261815</v>
      </c>
      <c r="U33" s="1213">
        <f t="shared" si="48"/>
        <v>1561533015</v>
      </c>
      <c r="V33" s="1213">
        <f t="shared" si="48"/>
        <v>1561533015</v>
      </c>
      <c r="W33" s="1213">
        <f t="shared" si="48"/>
        <v>1489211609</v>
      </c>
      <c r="X33" s="1213">
        <f t="shared" si="48"/>
        <v>0</v>
      </c>
      <c r="Y33" s="1213">
        <f t="shared" si="48"/>
        <v>0</v>
      </c>
      <c r="Z33" s="1213">
        <f t="shared" si="48"/>
        <v>0</v>
      </c>
      <c r="AA33" s="1213">
        <f t="shared" si="48"/>
        <v>0</v>
      </c>
      <c r="AB33" s="1213">
        <f t="shared" si="48"/>
        <v>0</v>
      </c>
      <c r="AC33" s="1213">
        <f t="shared" si="48"/>
        <v>0</v>
      </c>
      <c r="AD33" s="1284"/>
      <c r="AE33" s="1213">
        <f t="shared" si="1"/>
        <v>32680268</v>
      </c>
      <c r="AF33" s="1213">
        <f t="shared" si="2"/>
        <v>3828864</v>
      </c>
      <c r="AG33" s="1213">
        <f t="shared" si="3"/>
        <v>271200</v>
      </c>
      <c r="AH33" s="2919">
        <f t="shared" si="4"/>
        <v>0</v>
      </c>
      <c r="AI33" s="1829">
        <f>+K33/I33</f>
        <v>0.95368563757199842</v>
      </c>
      <c r="AJ33" s="417">
        <f t="shared" si="20"/>
        <v>202009152</v>
      </c>
      <c r="AK33" s="412"/>
    </row>
    <row r="34" spans="1:38" s="424" customFormat="1" ht="15">
      <c r="A34" s="2975"/>
      <c r="B34" s="1477" t="s">
        <v>1284</v>
      </c>
      <c r="C34" s="1286" t="s">
        <v>1285</v>
      </c>
      <c r="D34" s="1291">
        <v>0</v>
      </c>
      <c r="E34" s="2717">
        <v>48730847</v>
      </c>
      <c r="F34" s="1291">
        <v>0</v>
      </c>
      <c r="G34" s="1227">
        <f>+F34+32639628</f>
        <v>32639628</v>
      </c>
      <c r="H34" s="1227">
        <f t="shared" ref="G34:J35" si="49">+G34</f>
        <v>32639628</v>
      </c>
      <c r="I34" s="1227">
        <f t="shared" si="49"/>
        <v>32639628</v>
      </c>
      <c r="J34" s="1291">
        <f t="shared" si="49"/>
        <v>32639628</v>
      </c>
      <c r="K34" s="3220">
        <v>32639628</v>
      </c>
      <c r="L34" s="1291">
        <v>0</v>
      </c>
      <c r="M34" s="1291">
        <f t="shared" ref="M34:P36" si="50">+L34</f>
        <v>0</v>
      </c>
      <c r="N34" s="1291">
        <f t="shared" si="50"/>
        <v>0</v>
      </c>
      <c r="O34" s="1291">
        <f t="shared" si="50"/>
        <v>0</v>
      </c>
      <c r="P34" s="1291">
        <f t="shared" si="50"/>
        <v>0</v>
      </c>
      <c r="Q34" s="1291">
        <v>0</v>
      </c>
      <c r="R34" s="1291">
        <v>0</v>
      </c>
      <c r="S34" s="1291">
        <f>+R34+32639628</f>
        <v>32639628</v>
      </c>
      <c r="T34" s="1291">
        <f t="shared" ref="S34:V35" si="51">+S34</f>
        <v>32639628</v>
      </c>
      <c r="U34" s="1291">
        <f t="shared" si="51"/>
        <v>32639628</v>
      </c>
      <c r="V34" s="1291">
        <f t="shared" si="51"/>
        <v>32639628</v>
      </c>
      <c r="W34" s="1291">
        <f>+K34</f>
        <v>32639628</v>
      </c>
      <c r="X34" s="1213"/>
      <c r="Y34" s="1213">
        <f t="shared" ref="Y34:AC36" si="52">+X34</f>
        <v>0</v>
      </c>
      <c r="Z34" s="1213">
        <f t="shared" si="52"/>
        <v>0</v>
      </c>
      <c r="AA34" s="1213">
        <f t="shared" si="52"/>
        <v>0</v>
      </c>
      <c r="AB34" s="1213">
        <f t="shared" si="52"/>
        <v>0</v>
      </c>
      <c r="AC34" s="1213">
        <f t="shared" si="52"/>
        <v>0</v>
      </c>
      <c r="AD34" s="2947"/>
      <c r="AE34" s="1213">
        <f t="shared" si="1"/>
        <v>32639628</v>
      </c>
      <c r="AF34" s="1213">
        <f t="shared" si="2"/>
        <v>0</v>
      </c>
      <c r="AG34" s="1213">
        <f t="shared" si="3"/>
        <v>0</v>
      </c>
      <c r="AH34" s="2919">
        <f t="shared" si="4"/>
        <v>0</v>
      </c>
      <c r="AI34" s="1834">
        <f>+K34/I34</f>
        <v>1</v>
      </c>
      <c r="AJ34" s="417">
        <f t="shared" si="20"/>
        <v>0</v>
      </c>
      <c r="AK34" s="548"/>
    </row>
    <row r="35" spans="1:38" s="424" customFormat="1" ht="15">
      <c r="A35" s="2933"/>
      <c r="B35" s="1477" t="s">
        <v>1286</v>
      </c>
      <c r="C35" s="1286" t="s">
        <v>1287</v>
      </c>
      <c r="D35" s="1227">
        <v>0</v>
      </c>
      <c r="E35" s="2719">
        <v>0</v>
      </c>
      <c r="F35" s="1227">
        <v>0</v>
      </c>
      <c r="G35" s="1227">
        <f t="shared" si="49"/>
        <v>0</v>
      </c>
      <c r="H35" s="1227">
        <f t="shared" si="49"/>
        <v>0</v>
      </c>
      <c r="I35" s="1227">
        <f t="shared" si="49"/>
        <v>0</v>
      </c>
      <c r="J35" s="1227">
        <f t="shared" si="49"/>
        <v>0</v>
      </c>
      <c r="K35" s="3209">
        <v>0</v>
      </c>
      <c r="L35" s="1227">
        <v>0</v>
      </c>
      <c r="M35" s="1227">
        <f t="shared" si="50"/>
        <v>0</v>
      </c>
      <c r="N35" s="1227">
        <f t="shared" si="50"/>
        <v>0</v>
      </c>
      <c r="O35" s="1227">
        <f t="shared" si="50"/>
        <v>0</v>
      </c>
      <c r="P35" s="1227">
        <f t="shared" si="50"/>
        <v>0</v>
      </c>
      <c r="Q35" s="1227">
        <v>0</v>
      </c>
      <c r="R35" s="1291">
        <v>0</v>
      </c>
      <c r="S35" s="1291">
        <f t="shared" si="51"/>
        <v>0</v>
      </c>
      <c r="T35" s="1291">
        <f t="shared" si="51"/>
        <v>0</v>
      </c>
      <c r="U35" s="1291">
        <f t="shared" si="51"/>
        <v>0</v>
      </c>
      <c r="V35" s="1291">
        <f t="shared" si="51"/>
        <v>0</v>
      </c>
      <c r="W35" s="1291">
        <f>+K35</f>
        <v>0</v>
      </c>
      <c r="X35" s="1227"/>
      <c r="Y35" s="1227">
        <f t="shared" si="52"/>
        <v>0</v>
      </c>
      <c r="Z35" s="1227">
        <f t="shared" si="52"/>
        <v>0</v>
      </c>
      <c r="AA35" s="1227">
        <f t="shared" si="52"/>
        <v>0</v>
      </c>
      <c r="AB35" s="1227">
        <f t="shared" si="52"/>
        <v>0</v>
      </c>
      <c r="AC35" s="1227">
        <f t="shared" si="52"/>
        <v>0</v>
      </c>
      <c r="AD35" s="1284"/>
      <c r="AE35" s="1213">
        <f t="shared" si="1"/>
        <v>0</v>
      </c>
      <c r="AF35" s="1213">
        <f t="shared" si="2"/>
        <v>0</v>
      </c>
      <c r="AG35" s="1213">
        <f t="shared" si="3"/>
        <v>0</v>
      </c>
      <c r="AH35" s="2919">
        <f t="shared" si="4"/>
        <v>0</v>
      </c>
      <c r="AI35" s="1834"/>
      <c r="AJ35" s="417">
        <f t="shared" si="20"/>
        <v>0</v>
      </c>
      <c r="AK35" s="430"/>
    </row>
    <row r="36" spans="1:38" s="424" customFormat="1" ht="15">
      <c r="A36" s="2976"/>
      <c r="B36" s="1477" t="s">
        <v>1288</v>
      </c>
      <c r="C36" s="1286" t="s">
        <v>1289</v>
      </c>
      <c r="D36" s="1227">
        <f>1317666947+5076583+1</f>
        <v>1322743531</v>
      </c>
      <c r="E36" s="2719">
        <v>1244335795</v>
      </c>
      <c r="F36" s="1227">
        <v>1524752683</v>
      </c>
      <c r="G36" s="1227">
        <f>+F36+40640</f>
        <v>1524793323</v>
      </c>
      <c r="H36" s="1227">
        <f>+G36+9000*12+271200+3449664</f>
        <v>1528622187</v>
      </c>
      <c r="I36" s="1227">
        <f>+H36+240000+31200</f>
        <v>1528893387</v>
      </c>
      <c r="J36" s="1227">
        <f>+I36</f>
        <v>1528893387</v>
      </c>
      <c r="K36" s="3209">
        <v>1456571981</v>
      </c>
      <c r="L36" s="1227">
        <v>0</v>
      </c>
      <c r="M36" s="1227">
        <f t="shared" si="50"/>
        <v>0</v>
      </c>
      <c r="N36" s="1227">
        <f t="shared" si="50"/>
        <v>0</v>
      </c>
      <c r="O36" s="1227">
        <f t="shared" si="50"/>
        <v>0</v>
      </c>
      <c r="P36" s="1227">
        <f t="shared" si="50"/>
        <v>0</v>
      </c>
      <c r="Q36" s="1227">
        <v>0</v>
      </c>
      <c r="R36" s="1227">
        <f>+F36-L36</f>
        <v>1524752683</v>
      </c>
      <c r="S36" s="1291">
        <f>+R36+40640</f>
        <v>1524793323</v>
      </c>
      <c r="T36" s="1291">
        <f>+S36+9000*12+271200+3449664</f>
        <v>1528622187</v>
      </c>
      <c r="U36" s="1291">
        <f>+T36+240000+31200</f>
        <v>1528893387</v>
      </c>
      <c r="V36" s="1291">
        <f>+U36</f>
        <v>1528893387</v>
      </c>
      <c r="W36" s="1291">
        <f>+K36</f>
        <v>1456571981</v>
      </c>
      <c r="X36" s="1227"/>
      <c r="Y36" s="1227">
        <f t="shared" si="52"/>
        <v>0</v>
      </c>
      <c r="Z36" s="1227">
        <f t="shared" si="52"/>
        <v>0</v>
      </c>
      <c r="AA36" s="1227">
        <f t="shared" si="52"/>
        <v>0</v>
      </c>
      <c r="AB36" s="1227">
        <f t="shared" si="52"/>
        <v>0</v>
      </c>
      <c r="AC36" s="1227">
        <f t="shared" si="52"/>
        <v>0</v>
      </c>
      <c r="AD36" s="2947"/>
      <c r="AE36" s="1213">
        <f t="shared" si="1"/>
        <v>40640</v>
      </c>
      <c r="AF36" s="1213">
        <f t="shared" si="2"/>
        <v>3828864</v>
      </c>
      <c r="AG36" s="1213">
        <f t="shared" si="3"/>
        <v>271200</v>
      </c>
      <c r="AH36" s="2919">
        <f t="shared" si="4"/>
        <v>0</v>
      </c>
      <c r="AI36" s="1834">
        <f>+K36/I36</f>
        <v>0.95269689396596235</v>
      </c>
      <c r="AJ36" s="417">
        <f t="shared" si="20"/>
        <v>202009152</v>
      </c>
      <c r="AK36" s="430"/>
    </row>
    <row r="37" spans="1:38" s="405" customFormat="1" ht="15.75">
      <c r="A37" s="2975" t="s">
        <v>27</v>
      </c>
      <c r="B37" s="1475" t="s">
        <v>27</v>
      </c>
      <c r="C37" s="1297" t="s">
        <v>1290</v>
      </c>
      <c r="D37" s="1298">
        <f t="shared" ref="D37:AC37" si="53">+D32+D33</f>
        <v>1380040919</v>
      </c>
      <c r="E37" s="2720">
        <f t="shared" si="53"/>
        <v>1370720380</v>
      </c>
      <c r="F37" s="1298">
        <f t="shared" si="53"/>
        <v>1613052213</v>
      </c>
      <c r="G37" s="1298">
        <f t="shared" si="53"/>
        <v>1647695889</v>
      </c>
      <c r="H37" s="1298">
        <f t="shared" si="53"/>
        <v>1654465734</v>
      </c>
      <c r="I37" s="1298">
        <f t="shared" si="53"/>
        <v>1646458040</v>
      </c>
      <c r="J37" s="1298">
        <f t="shared" si="53"/>
        <v>1646458040</v>
      </c>
      <c r="K37" s="3210">
        <f t="shared" si="53"/>
        <v>1574136634</v>
      </c>
      <c r="L37" s="1298">
        <f t="shared" si="53"/>
        <v>0</v>
      </c>
      <c r="M37" s="1298">
        <f t="shared" si="53"/>
        <v>0</v>
      </c>
      <c r="N37" s="1298">
        <f t="shared" si="53"/>
        <v>0</v>
      </c>
      <c r="O37" s="1298">
        <f t="shared" si="53"/>
        <v>5610222</v>
      </c>
      <c r="P37" s="1298">
        <f t="shared" si="53"/>
        <v>5610222</v>
      </c>
      <c r="Q37" s="1298">
        <f t="shared" si="53"/>
        <v>5610222</v>
      </c>
      <c r="R37" s="1298">
        <f t="shared" si="53"/>
        <v>1613052213</v>
      </c>
      <c r="S37" s="1298">
        <f t="shared" si="53"/>
        <v>1647695889</v>
      </c>
      <c r="T37" s="1298">
        <f t="shared" si="53"/>
        <v>1654465734</v>
      </c>
      <c r="U37" s="1298">
        <f t="shared" si="53"/>
        <v>1640847818</v>
      </c>
      <c r="V37" s="1298">
        <f t="shared" si="53"/>
        <v>1640847818</v>
      </c>
      <c r="W37" s="1298">
        <f t="shared" si="53"/>
        <v>1568526412</v>
      </c>
      <c r="X37" s="1298">
        <f t="shared" si="53"/>
        <v>0</v>
      </c>
      <c r="Y37" s="1298">
        <f t="shared" si="53"/>
        <v>0</v>
      </c>
      <c r="Z37" s="1298">
        <f t="shared" si="53"/>
        <v>0</v>
      </c>
      <c r="AA37" s="1298">
        <f t="shared" si="53"/>
        <v>0</v>
      </c>
      <c r="AB37" s="1298">
        <f t="shared" si="53"/>
        <v>0</v>
      </c>
      <c r="AC37" s="1298">
        <f t="shared" si="53"/>
        <v>0</v>
      </c>
      <c r="AD37" s="1284"/>
      <c r="AE37" s="1213">
        <f t="shared" si="1"/>
        <v>34643676</v>
      </c>
      <c r="AF37" s="1213">
        <f t="shared" si="2"/>
        <v>6769845</v>
      </c>
      <c r="AG37" s="1213">
        <f t="shared" si="3"/>
        <v>-8007694</v>
      </c>
      <c r="AH37" s="2919">
        <f t="shared" si="4"/>
        <v>0</v>
      </c>
      <c r="AI37" s="1829">
        <f>+K37/I37</f>
        <v>0.95607455261963437</v>
      </c>
      <c r="AJ37" s="417">
        <f t="shared" si="20"/>
        <v>233011294</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58"/>
      <c r="AJ38" s="417"/>
      <c r="AK38" s="436"/>
    </row>
    <row r="39" spans="1:38" ht="15">
      <c r="A39" s="2932"/>
      <c r="B39" s="1285"/>
      <c r="C39" s="1548" t="str">
        <f t="shared" ref="C39:T40" si="54">+C4</f>
        <v>A</v>
      </c>
      <c r="D39" s="1549" t="str">
        <f t="shared" si="54"/>
        <v>B</v>
      </c>
      <c r="E39" s="2960" t="str">
        <f t="shared" si="54"/>
        <v>B</v>
      </c>
      <c r="F39" s="1345" t="str">
        <f t="shared" si="54"/>
        <v>B</v>
      </c>
      <c r="G39" s="1345" t="str">
        <f t="shared" si="54"/>
        <v>D</v>
      </c>
      <c r="H39" s="1345" t="str">
        <f t="shared" si="54"/>
        <v>E</v>
      </c>
      <c r="I39" s="1345" t="str">
        <f t="shared" si="54"/>
        <v>C</v>
      </c>
      <c r="J39" s="1345" t="str">
        <f t="shared" si="54"/>
        <v>F</v>
      </c>
      <c r="K39" s="1345" t="str">
        <f t="shared" si="54"/>
        <v>D</v>
      </c>
      <c r="L39" s="1345" t="str">
        <f t="shared" si="54"/>
        <v>E</v>
      </c>
      <c r="M39" s="1345" t="str">
        <f t="shared" si="54"/>
        <v>F</v>
      </c>
      <c r="N39" s="1345" t="str">
        <f t="shared" si="54"/>
        <v>F</v>
      </c>
      <c r="O39" s="1345" t="str">
        <f t="shared" si="54"/>
        <v>E</v>
      </c>
      <c r="P39" s="1345">
        <f t="shared" si="54"/>
        <v>0</v>
      </c>
      <c r="Q39" s="1345" t="str">
        <f t="shared" si="54"/>
        <v>F</v>
      </c>
      <c r="R39" s="1345" t="str">
        <f t="shared" si="54"/>
        <v>E</v>
      </c>
      <c r="S39" s="1345" t="str">
        <f t="shared" si="54"/>
        <v>E</v>
      </c>
      <c r="T39" s="1345" t="str">
        <f t="shared" si="54"/>
        <v>G</v>
      </c>
      <c r="U39" s="1345" t="str">
        <f>+U4</f>
        <v>G</v>
      </c>
      <c r="V39" s="1345">
        <f>+V4</f>
        <v>0</v>
      </c>
      <c r="W39" s="1345" t="str">
        <f>+W4</f>
        <v>H</v>
      </c>
      <c r="X39" s="2961"/>
      <c r="Y39" s="2961"/>
      <c r="Z39" s="2961"/>
      <c r="AA39" s="2961"/>
      <c r="AB39" s="2961"/>
      <c r="AC39" s="2961"/>
      <c r="AD39" s="2962"/>
      <c r="AE39" s="1213"/>
      <c r="AF39" s="1345" t="str">
        <f>+AF4</f>
        <v>H</v>
      </c>
      <c r="AG39" s="1301" t="str">
        <f>+AG4</f>
        <v>I</v>
      </c>
      <c r="AH39" s="1551"/>
      <c r="AI39" s="1845" t="str">
        <f>+AI4</f>
        <v>I</v>
      </c>
      <c r="AJ39" s="417"/>
      <c r="AK39" s="1549"/>
      <c r="AL39" s="439"/>
    </row>
    <row r="40" spans="1:38" ht="73.5">
      <c r="A40" s="2933"/>
      <c r="B40" s="1278" t="s">
        <v>6</v>
      </c>
      <c r="C40" s="1276" t="str">
        <f t="shared" si="54"/>
        <v>Kiemelt előirányzat, előirányzat megnevezése</v>
      </c>
      <c r="D40" s="1278" t="str">
        <f t="shared" si="54"/>
        <v>2024. évi eredeti előirányzat
forintban</v>
      </c>
      <c r="E40" s="2596" t="str">
        <f>+E5</f>
        <v>2024. évi teljesítés forintban</v>
      </c>
      <c r="F40" s="1276" t="str">
        <f t="shared" si="54"/>
        <v>2025. évi eredeti előirányzat forintban</v>
      </c>
      <c r="G40" s="1276" t="str">
        <f t="shared" ref="G40:AJ40" si="55">+G5</f>
        <v>2025. évi I. számú módosított előirányzat
forintban</v>
      </c>
      <c r="H40" s="1276" t="str">
        <f t="shared" si="55"/>
        <v>2025. évi II. számú módosított előirányzat forintban</v>
      </c>
      <c r="I40" s="1276" t="str">
        <f t="shared" si="55"/>
        <v>2025. évi III. számú módosított előirányzat forintban</v>
      </c>
      <c r="J40" s="1276" t="str">
        <f t="shared" si="55"/>
        <v>2025. évi IV. számú módosított előirányzat forintban</v>
      </c>
      <c r="K40" s="3197" t="str">
        <f t="shared" si="55"/>
        <v>2025. évi
teljesítés forintban</v>
      </c>
      <c r="L40" s="1276" t="str">
        <f t="shared" si="55"/>
        <v>Önként vállalt feladat forintban</v>
      </c>
      <c r="M40" s="1276" t="str">
        <f t="shared" si="55"/>
        <v>Önként vállalt feladat I. módosítás
forintban</v>
      </c>
      <c r="N40" s="1276" t="str">
        <f t="shared" si="55"/>
        <v>Önként vállalt feladat II. módosítás forintban</v>
      </c>
      <c r="O40" s="1276" t="str">
        <f t="shared" si="55"/>
        <v>Önként vállalt feladat III. módosítás forintban</v>
      </c>
      <c r="P40" s="1276" t="str">
        <f t="shared" si="55"/>
        <v>Önként vállalt feladat IV. módosítás  forintban</v>
      </c>
      <c r="Q40" s="1276" t="str">
        <f t="shared" si="55"/>
        <v>Önként vállalt teljesítés  forintban</v>
      </c>
      <c r="R40" s="1276" t="str">
        <f t="shared" si="55"/>
        <v>Kötelező feladat forintban</v>
      </c>
      <c r="S40" s="1276" t="str">
        <f t="shared" si="55"/>
        <v>Kötelező feladat 
I. módosítás
forintban</v>
      </c>
      <c r="T40" s="1276" t="str">
        <f t="shared" si="55"/>
        <v>Kötelező feladat II. módosítás forintban</v>
      </c>
      <c r="U40" s="1276" t="str">
        <f t="shared" si="55"/>
        <v>Kötelező feladat III. módosítás  forintban</v>
      </c>
      <c r="V40" s="1278" t="str">
        <f t="shared" si="55"/>
        <v>Kötelező feladat IV. módosítás  forintban</v>
      </c>
      <c r="W40" s="1278" t="str">
        <f t="shared" si="55"/>
        <v>Kötelező teljesítés  forintban</v>
      </c>
      <c r="X40" s="1278">
        <f t="shared" si="55"/>
        <v>0</v>
      </c>
      <c r="Y40" s="1278">
        <f t="shared" si="55"/>
        <v>0</v>
      </c>
      <c r="Z40" s="1278">
        <f t="shared" si="55"/>
        <v>0</v>
      </c>
      <c r="AA40" s="1278">
        <f t="shared" si="55"/>
        <v>0</v>
      </c>
      <c r="AB40" s="1278">
        <f t="shared" si="55"/>
        <v>0</v>
      </c>
      <c r="AC40" s="1278">
        <f t="shared" si="55"/>
        <v>0</v>
      </c>
      <c r="AD40" s="1278"/>
      <c r="AE40" s="1278" t="str">
        <f t="shared" si="55"/>
        <v>I. változás</v>
      </c>
      <c r="AF40" s="1278" t="str">
        <f t="shared" si="55"/>
        <v>Előirányzat-módosítások, előirányzat-átcsoportosítások összegszerű változásai</v>
      </c>
      <c r="AG40" s="2916" t="str">
        <f t="shared" si="55"/>
        <v>Előirányzat-módosítások, előirányzat-átcsoportosítások összegszerű változásai a III. módosításnál</v>
      </c>
      <c r="AH40" s="1854" t="str">
        <f t="shared" si="55"/>
        <v>IV. változás</v>
      </c>
      <c r="AI40" s="1825" t="str">
        <f t="shared" si="55"/>
        <v xml:space="preserve"> 2025. évi teljesítés / 2025. évi III. számú módosított előirányzat</v>
      </c>
      <c r="AJ40" s="1854" t="str">
        <f t="shared" si="55"/>
        <v>Változás Eredeti előző évhez 
Ft-ban</v>
      </c>
      <c r="AK40" s="2595"/>
      <c r="AL40" s="439"/>
    </row>
    <row r="41" spans="1:38" ht="15">
      <c r="A41" s="2934" t="s">
        <v>6</v>
      </c>
      <c r="B41" s="2946" t="s">
        <v>3353</v>
      </c>
      <c r="C41" s="1292" t="s">
        <v>1291</v>
      </c>
      <c r="D41" s="1213">
        <f t="shared" ref="D41:AC41" si="56">SUM(D42:D46)</f>
        <v>1333678579</v>
      </c>
      <c r="E41" s="2715">
        <f t="shared" si="56"/>
        <v>1302034990</v>
      </c>
      <c r="F41" s="1213">
        <f t="shared" si="56"/>
        <v>1606962849</v>
      </c>
      <c r="G41" s="1213">
        <f t="shared" si="56"/>
        <v>1639485377</v>
      </c>
      <c r="H41" s="1213">
        <f t="shared" si="56"/>
        <v>1646255222</v>
      </c>
      <c r="I41" s="1213">
        <f t="shared" si="56"/>
        <v>1638247528</v>
      </c>
      <c r="J41" s="1213">
        <f t="shared" si="56"/>
        <v>1638247528</v>
      </c>
      <c r="K41" s="3208">
        <f t="shared" si="56"/>
        <v>1499867790</v>
      </c>
      <c r="L41" s="1213">
        <f t="shared" si="56"/>
        <v>0</v>
      </c>
      <c r="M41" s="1213">
        <f t="shared" si="56"/>
        <v>0</v>
      </c>
      <c r="N41" s="1213">
        <f t="shared" si="56"/>
        <v>0</v>
      </c>
      <c r="O41" s="1213">
        <f t="shared" si="56"/>
        <v>5610222</v>
      </c>
      <c r="P41" s="1213">
        <f t="shared" si="56"/>
        <v>5610222</v>
      </c>
      <c r="Q41" s="1213">
        <f t="shared" si="56"/>
        <v>5610222</v>
      </c>
      <c r="R41" s="1213">
        <f t="shared" si="56"/>
        <v>1606962849</v>
      </c>
      <c r="S41" s="1213">
        <f t="shared" si="56"/>
        <v>1639485377</v>
      </c>
      <c r="T41" s="1213">
        <f t="shared" si="56"/>
        <v>1646255222</v>
      </c>
      <c r="U41" s="1213">
        <f t="shared" si="56"/>
        <v>1632637306</v>
      </c>
      <c r="V41" s="1213">
        <f t="shared" si="56"/>
        <v>1632637306</v>
      </c>
      <c r="W41" s="1213">
        <f t="shared" si="56"/>
        <v>1494257568</v>
      </c>
      <c r="X41" s="1213">
        <f t="shared" si="56"/>
        <v>0</v>
      </c>
      <c r="Y41" s="1213">
        <f t="shared" si="56"/>
        <v>0</v>
      </c>
      <c r="Z41" s="1213">
        <f t="shared" si="56"/>
        <v>0</v>
      </c>
      <c r="AA41" s="1213">
        <f t="shared" si="56"/>
        <v>0</v>
      </c>
      <c r="AB41" s="1213">
        <f t="shared" si="56"/>
        <v>0</v>
      </c>
      <c r="AC41" s="1213">
        <f t="shared" si="56"/>
        <v>0</v>
      </c>
      <c r="AD41" s="1284"/>
      <c r="AE41" s="1213">
        <f t="shared" si="1"/>
        <v>32522528</v>
      </c>
      <c r="AF41" s="1213">
        <f t="shared" si="2"/>
        <v>6769845</v>
      </c>
      <c r="AG41" s="1213">
        <f t="shared" si="3"/>
        <v>-8007694</v>
      </c>
      <c r="AH41" s="2919">
        <f t="shared" si="4"/>
        <v>0</v>
      </c>
      <c r="AI41" s="1829">
        <f t="shared" ref="AI41:AI54" si="57">+K41/I41</f>
        <v>0.91553184995863457</v>
      </c>
      <c r="AJ41" s="417">
        <f t="shared" ref="AJ41:AJ54" si="58">+F41-D41</f>
        <v>273284270</v>
      </c>
      <c r="AK41" s="412"/>
      <c r="AL41" s="439"/>
    </row>
    <row r="42" spans="1:38" ht="15">
      <c r="A42" s="2934"/>
      <c r="B42" s="2948" t="s">
        <v>176</v>
      </c>
      <c r="C42" s="1290" t="s">
        <v>147</v>
      </c>
      <c r="D42" s="1227">
        <v>915694746</v>
      </c>
      <c r="E42" s="2719">
        <v>890446011</v>
      </c>
      <c r="F42" s="1227">
        <v>1152213105</v>
      </c>
      <c r="G42" s="1227">
        <f t="shared" ref="G42:J46" si="59">F42</f>
        <v>1152213105</v>
      </c>
      <c r="H42" s="1227">
        <f>G42+9000*12+240000+3052800</f>
        <v>1155613905</v>
      </c>
      <c r="I42" s="1227">
        <f>H42+240000+444500</f>
        <v>1156298405</v>
      </c>
      <c r="J42" s="1227">
        <f t="shared" si="59"/>
        <v>1156298405</v>
      </c>
      <c r="K42" s="3209">
        <v>1109060904</v>
      </c>
      <c r="L42" s="1227">
        <v>0</v>
      </c>
      <c r="M42" s="1227">
        <f t="shared" ref="M42:P46" si="60">+L42</f>
        <v>0</v>
      </c>
      <c r="N42" s="1227">
        <f t="shared" si="60"/>
        <v>0</v>
      </c>
      <c r="O42" s="1227">
        <f>+N42+3390910</f>
        <v>3390910</v>
      </c>
      <c r="P42" s="1227">
        <f t="shared" si="60"/>
        <v>3390910</v>
      </c>
      <c r="Q42" s="1227">
        <v>3390910</v>
      </c>
      <c r="R42" s="1227">
        <f>+F42-L42</f>
        <v>1152213105</v>
      </c>
      <c r="S42" s="1227">
        <f>+R42</f>
        <v>1152213105</v>
      </c>
      <c r="T42" s="1227">
        <f>+S42+9000*12+240000+3052800</f>
        <v>1155613905</v>
      </c>
      <c r="U42" s="1227">
        <f>+T42+240000+444500-O42</f>
        <v>1152907495</v>
      </c>
      <c r="V42" s="1227">
        <f t="shared" ref="S42:V46" si="61">+U42</f>
        <v>1152907495</v>
      </c>
      <c r="W42" s="1227">
        <f>+K42-Q42</f>
        <v>1105669994</v>
      </c>
      <c r="X42" s="1227"/>
      <c r="Y42" s="1227">
        <f t="shared" ref="Y42:AC46" si="62">+X42</f>
        <v>0</v>
      </c>
      <c r="Z42" s="1227">
        <f t="shared" si="62"/>
        <v>0</v>
      </c>
      <c r="AA42" s="1227">
        <f t="shared" si="62"/>
        <v>0</v>
      </c>
      <c r="AB42" s="1227">
        <f t="shared" si="62"/>
        <v>0</v>
      </c>
      <c r="AC42" s="1227">
        <f t="shared" si="62"/>
        <v>0</v>
      </c>
      <c r="AD42" s="1665"/>
      <c r="AE42" s="1213">
        <f t="shared" si="1"/>
        <v>0</v>
      </c>
      <c r="AF42" s="1213">
        <f t="shared" si="2"/>
        <v>3400800</v>
      </c>
      <c r="AG42" s="1213">
        <f t="shared" si="3"/>
        <v>684500</v>
      </c>
      <c r="AH42" s="2919">
        <f t="shared" si="4"/>
        <v>0</v>
      </c>
      <c r="AI42" s="1834">
        <f t="shared" si="57"/>
        <v>0.95914765531480606</v>
      </c>
      <c r="AJ42" s="417">
        <f t="shared" si="58"/>
        <v>236518359</v>
      </c>
      <c r="AK42" s="430"/>
      <c r="AL42" s="439"/>
    </row>
    <row r="43" spans="1:38" ht="15">
      <c r="A43" s="2934"/>
      <c r="B43" s="2948" t="s">
        <v>178</v>
      </c>
      <c r="C43" s="1290" t="s">
        <v>8</v>
      </c>
      <c r="D43" s="1227">
        <f>144835989+1</f>
        <v>144835990</v>
      </c>
      <c r="E43" s="2719">
        <v>130264712</v>
      </c>
      <c r="F43" s="1227">
        <v>178275444</v>
      </c>
      <c r="G43" s="1227">
        <f t="shared" si="59"/>
        <v>178275444</v>
      </c>
      <c r="H43" s="1227">
        <f>G43+31200+396864</f>
        <v>178703508</v>
      </c>
      <c r="I43" s="1227">
        <f>H43+31200</f>
        <v>178734708</v>
      </c>
      <c r="J43" s="1227">
        <f t="shared" si="59"/>
        <v>178734708</v>
      </c>
      <c r="K43" s="3209">
        <v>161975641</v>
      </c>
      <c r="L43" s="1227">
        <v>0</v>
      </c>
      <c r="M43" s="1227">
        <f t="shared" si="60"/>
        <v>0</v>
      </c>
      <c r="N43" s="1227">
        <f t="shared" si="60"/>
        <v>0</v>
      </c>
      <c r="O43" s="1227">
        <f>+N43+736230</f>
        <v>736230</v>
      </c>
      <c r="P43" s="1227">
        <f t="shared" si="60"/>
        <v>736230</v>
      </c>
      <c r="Q43" s="1227">
        <v>736230</v>
      </c>
      <c r="R43" s="1227">
        <f>+F43-L43</f>
        <v>178275444</v>
      </c>
      <c r="S43" s="1227">
        <f>+R43</f>
        <v>178275444</v>
      </c>
      <c r="T43" s="1227">
        <f>+S43+31200+396864</f>
        <v>178703508</v>
      </c>
      <c r="U43" s="1227">
        <f>+T43+31200-O43</f>
        <v>177998478</v>
      </c>
      <c r="V43" s="1227">
        <f t="shared" si="61"/>
        <v>177998478</v>
      </c>
      <c r="W43" s="1227">
        <f>+K43-Q43</f>
        <v>161239411</v>
      </c>
      <c r="X43" s="1227"/>
      <c r="Y43" s="1227">
        <f t="shared" si="62"/>
        <v>0</v>
      </c>
      <c r="Z43" s="1227">
        <f t="shared" si="62"/>
        <v>0</v>
      </c>
      <c r="AA43" s="1227">
        <f t="shared" si="62"/>
        <v>0</v>
      </c>
      <c r="AB43" s="1227">
        <f t="shared" si="62"/>
        <v>0</v>
      </c>
      <c r="AC43" s="1227">
        <f t="shared" si="62"/>
        <v>0</v>
      </c>
      <c r="AD43" s="1665"/>
      <c r="AE43" s="1213">
        <f t="shared" si="1"/>
        <v>0</v>
      </c>
      <c r="AF43" s="1213">
        <f t="shared" si="2"/>
        <v>428064</v>
      </c>
      <c r="AG43" s="1213">
        <f t="shared" si="3"/>
        <v>31200</v>
      </c>
      <c r="AH43" s="2919">
        <f t="shared" si="4"/>
        <v>0</v>
      </c>
      <c r="AI43" s="1834">
        <f t="shared" si="57"/>
        <v>0.90623496025181638</v>
      </c>
      <c r="AJ43" s="417">
        <f t="shared" si="58"/>
        <v>33439454</v>
      </c>
      <c r="AK43" s="430"/>
      <c r="AL43" s="439"/>
    </row>
    <row r="44" spans="1:38" ht="15">
      <c r="A44" s="2934"/>
      <c r="B44" s="2948" t="s">
        <v>179</v>
      </c>
      <c r="C44" s="1290" t="s">
        <v>317</v>
      </c>
      <c r="D44" s="1227">
        <v>273147843</v>
      </c>
      <c r="E44" s="2719">
        <v>253210500</v>
      </c>
      <c r="F44" s="1227">
        <v>276474300</v>
      </c>
      <c r="G44" s="1227">
        <f>F44+40640+10359424-76200+1963408</f>
        <v>288761572</v>
      </c>
      <c r="H44" s="1227">
        <f>G44+2940981</f>
        <v>291702553</v>
      </c>
      <c r="I44" s="1227">
        <f>H44-444500+2861188-11140082</f>
        <v>282979159</v>
      </c>
      <c r="J44" s="1227">
        <f t="shared" si="59"/>
        <v>282979159</v>
      </c>
      <c r="K44" s="3209">
        <v>208595989</v>
      </c>
      <c r="L44" s="1227">
        <v>0</v>
      </c>
      <c r="M44" s="1227">
        <f t="shared" si="60"/>
        <v>0</v>
      </c>
      <c r="N44" s="1227">
        <f t="shared" si="60"/>
        <v>0</v>
      </c>
      <c r="O44" s="1227">
        <f>+N44+1483082</f>
        <v>1483082</v>
      </c>
      <c r="P44" s="1227">
        <f t="shared" si="60"/>
        <v>1483082</v>
      </c>
      <c r="Q44" s="1227">
        <v>1483082</v>
      </c>
      <c r="R44" s="1227">
        <f>+F44-L44</f>
        <v>276474300</v>
      </c>
      <c r="S44" s="1227">
        <f>+R44+40640+10359424-76200+1963408</f>
        <v>288761572</v>
      </c>
      <c r="T44" s="1227">
        <f>+S44+2940981</f>
        <v>291702553</v>
      </c>
      <c r="U44" s="1227">
        <f>+T44-444500+2861188-11140082-O44</f>
        <v>281496077</v>
      </c>
      <c r="V44" s="1227">
        <f t="shared" si="61"/>
        <v>281496077</v>
      </c>
      <c r="W44" s="1227">
        <f>+K44-Q44</f>
        <v>207112907</v>
      </c>
      <c r="X44" s="1227"/>
      <c r="Y44" s="1227">
        <f t="shared" si="62"/>
        <v>0</v>
      </c>
      <c r="Z44" s="1227">
        <f t="shared" si="62"/>
        <v>0</v>
      </c>
      <c r="AA44" s="1227">
        <f t="shared" si="62"/>
        <v>0</v>
      </c>
      <c r="AB44" s="1227">
        <f t="shared" si="62"/>
        <v>0</v>
      </c>
      <c r="AC44" s="1227">
        <f t="shared" si="62"/>
        <v>0</v>
      </c>
      <c r="AD44" s="2947"/>
      <c r="AE44" s="1213">
        <f t="shared" si="1"/>
        <v>12287272</v>
      </c>
      <c r="AF44" s="1213">
        <f t="shared" si="2"/>
        <v>2940981</v>
      </c>
      <c r="AG44" s="1213">
        <f t="shared" si="3"/>
        <v>-8723394</v>
      </c>
      <c r="AH44" s="2919">
        <f t="shared" si="4"/>
        <v>0</v>
      </c>
      <c r="AI44" s="1834">
        <f t="shared" si="57"/>
        <v>0.73714258582555192</v>
      </c>
      <c r="AJ44" s="417">
        <f t="shared" si="58"/>
        <v>3326457</v>
      </c>
      <c r="AK44" s="430"/>
    </row>
    <row r="45" spans="1:38" s="439" customFormat="1" ht="15">
      <c r="A45" s="2934"/>
      <c r="B45" s="2948" t="s">
        <v>180</v>
      </c>
      <c r="C45" s="1290" t="s">
        <v>318</v>
      </c>
      <c r="D45" s="1227">
        <v>0</v>
      </c>
      <c r="E45" s="2719">
        <v>0</v>
      </c>
      <c r="F45" s="1227">
        <v>0</v>
      </c>
      <c r="G45" s="1227">
        <f t="shared" si="59"/>
        <v>0</v>
      </c>
      <c r="H45" s="1227">
        <f t="shared" si="59"/>
        <v>0</v>
      </c>
      <c r="I45" s="1227">
        <f t="shared" si="59"/>
        <v>0</v>
      </c>
      <c r="J45" s="1227">
        <f t="shared" si="59"/>
        <v>0</v>
      </c>
      <c r="K45" s="3209">
        <v>0</v>
      </c>
      <c r="L45" s="1227">
        <v>0</v>
      </c>
      <c r="M45" s="1227">
        <f t="shared" si="60"/>
        <v>0</v>
      </c>
      <c r="N45" s="1227">
        <f t="shared" si="60"/>
        <v>0</v>
      </c>
      <c r="O45" s="1227">
        <f t="shared" si="60"/>
        <v>0</v>
      </c>
      <c r="P45" s="1227">
        <f t="shared" si="60"/>
        <v>0</v>
      </c>
      <c r="Q45" s="1227">
        <v>0</v>
      </c>
      <c r="R45" s="1227">
        <v>0</v>
      </c>
      <c r="S45" s="1227">
        <f t="shared" si="61"/>
        <v>0</v>
      </c>
      <c r="T45" s="1227">
        <f t="shared" si="61"/>
        <v>0</v>
      </c>
      <c r="U45" s="1227">
        <f t="shared" si="61"/>
        <v>0</v>
      </c>
      <c r="V45" s="1227">
        <f t="shared" si="61"/>
        <v>0</v>
      </c>
      <c r="W45" s="1227">
        <f>+K45</f>
        <v>0</v>
      </c>
      <c r="X45" s="1227"/>
      <c r="Y45" s="1227">
        <f t="shared" si="62"/>
        <v>0</v>
      </c>
      <c r="Z45" s="1227">
        <f t="shared" si="62"/>
        <v>0</v>
      </c>
      <c r="AA45" s="1227">
        <f t="shared" si="62"/>
        <v>0</v>
      </c>
      <c r="AB45" s="1227">
        <f t="shared" si="62"/>
        <v>0</v>
      </c>
      <c r="AC45" s="1227">
        <f t="shared" si="62"/>
        <v>0</v>
      </c>
      <c r="AD45" s="1284"/>
      <c r="AE45" s="1213">
        <f t="shared" si="1"/>
        <v>0</v>
      </c>
      <c r="AF45" s="1213">
        <f t="shared" si="2"/>
        <v>0</v>
      </c>
      <c r="AG45" s="1213">
        <f t="shared" si="3"/>
        <v>0</v>
      </c>
      <c r="AH45" s="2919">
        <f t="shared" si="4"/>
        <v>0</v>
      </c>
      <c r="AI45" s="1834"/>
      <c r="AJ45" s="417">
        <f t="shared" si="58"/>
        <v>0</v>
      </c>
      <c r="AK45" s="430"/>
    </row>
    <row r="46" spans="1:38" ht="15">
      <c r="A46" s="2934"/>
      <c r="B46" s="1477" t="s">
        <v>181</v>
      </c>
      <c r="C46" s="1286" t="s">
        <v>3319</v>
      </c>
      <c r="D46" s="1227">
        <v>0</v>
      </c>
      <c r="E46" s="2719">
        <v>28113767</v>
      </c>
      <c r="F46" s="1227">
        <v>0</v>
      </c>
      <c r="G46" s="1227">
        <f>F46+20235256</f>
        <v>20235256</v>
      </c>
      <c r="H46" s="1227">
        <f t="shared" si="59"/>
        <v>20235256</v>
      </c>
      <c r="I46" s="1227">
        <f t="shared" si="59"/>
        <v>20235256</v>
      </c>
      <c r="J46" s="1227">
        <f t="shared" si="59"/>
        <v>20235256</v>
      </c>
      <c r="K46" s="3209">
        <v>20235256</v>
      </c>
      <c r="L46" s="1227">
        <v>0</v>
      </c>
      <c r="M46" s="1227">
        <f t="shared" si="60"/>
        <v>0</v>
      </c>
      <c r="N46" s="1227">
        <f t="shared" si="60"/>
        <v>0</v>
      </c>
      <c r="O46" s="1227">
        <f t="shared" si="60"/>
        <v>0</v>
      </c>
      <c r="P46" s="1227">
        <f t="shared" si="60"/>
        <v>0</v>
      </c>
      <c r="Q46" s="1227">
        <v>0</v>
      </c>
      <c r="R46" s="1227">
        <v>0</v>
      </c>
      <c r="S46" s="1227">
        <f>+R46+20235256</f>
        <v>20235256</v>
      </c>
      <c r="T46" s="1227">
        <f t="shared" si="61"/>
        <v>20235256</v>
      </c>
      <c r="U46" s="1227">
        <f t="shared" si="61"/>
        <v>20235256</v>
      </c>
      <c r="V46" s="1227">
        <f t="shared" si="61"/>
        <v>20235256</v>
      </c>
      <c r="W46" s="1227">
        <f>+K46</f>
        <v>20235256</v>
      </c>
      <c r="X46" s="1227"/>
      <c r="Y46" s="1227">
        <f t="shared" si="62"/>
        <v>0</v>
      </c>
      <c r="Z46" s="1227">
        <f t="shared" si="62"/>
        <v>0</v>
      </c>
      <c r="AA46" s="1227">
        <f t="shared" si="62"/>
        <v>0</v>
      </c>
      <c r="AB46" s="1227">
        <f t="shared" si="62"/>
        <v>0</v>
      </c>
      <c r="AC46" s="1227">
        <f t="shared" si="62"/>
        <v>0</v>
      </c>
      <c r="AD46" s="2966"/>
      <c r="AE46" s="1213">
        <f t="shared" si="1"/>
        <v>20235256</v>
      </c>
      <c r="AF46" s="1213">
        <f t="shared" si="2"/>
        <v>0</v>
      </c>
      <c r="AG46" s="1213">
        <f t="shared" si="3"/>
        <v>0</v>
      </c>
      <c r="AH46" s="2919">
        <f t="shared" si="4"/>
        <v>0</v>
      </c>
      <c r="AI46" s="1834">
        <f t="shared" si="57"/>
        <v>1</v>
      </c>
      <c r="AJ46" s="417">
        <f t="shared" si="58"/>
        <v>0</v>
      </c>
      <c r="AK46" s="430"/>
    </row>
    <row r="47" spans="1:38" ht="15">
      <c r="A47" s="2934" t="s">
        <v>12</v>
      </c>
      <c r="B47" s="2946" t="s">
        <v>12</v>
      </c>
      <c r="C47" s="1292" t="s">
        <v>1292</v>
      </c>
      <c r="D47" s="1213">
        <f t="shared" ref="D47:AC47" si="63">SUM(D48:D50)</f>
        <v>46362340</v>
      </c>
      <c r="E47" s="2715">
        <f t="shared" si="63"/>
        <v>36045762</v>
      </c>
      <c r="F47" s="1213">
        <f t="shared" si="63"/>
        <v>6089364</v>
      </c>
      <c r="G47" s="1213">
        <f t="shared" si="63"/>
        <v>8210512</v>
      </c>
      <c r="H47" s="1213">
        <f t="shared" si="63"/>
        <v>8210512</v>
      </c>
      <c r="I47" s="1213">
        <f t="shared" si="63"/>
        <v>8210512</v>
      </c>
      <c r="J47" s="1213">
        <f t="shared" si="63"/>
        <v>8210512</v>
      </c>
      <c r="K47" s="3208">
        <f>SUM(K48:K50)</f>
        <v>6716222</v>
      </c>
      <c r="L47" s="1213">
        <f t="shared" si="63"/>
        <v>0</v>
      </c>
      <c r="M47" s="1213">
        <f t="shared" si="63"/>
        <v>0</v>
      </c>
      <c r="N47" s="1213">
        <f t="shared" si="63"/>
        <v>0</v>
      </c>
      <c r="O47" s="1213">
        <f t="shared" si="63"/>
        <v>0</v>
      </c>
      <c r="P47" s="1213">
        <f t="shared" si="63"/>
        <v>0</v>
      </c>
      <c r="Q47" s="1213">
        <f t="shared" si="63"/>
        <v>0</v>
      </c>
      <c r="R47" s="1213">
        <f t="shared" si="63"/>
        <v>6089364</v>
      </c>
      <c r="S47" s="1213">
        <f t="shared" si="63"/>
        <v>8210512</v>
      </c>
      <c r="T47" s="1213">
        <f t="shared" si="63"/>
        <v>8210512</v>
      </c>
      <c r="U47" s="1213">
        <f t="shared" si="63"/>
        <v>8210512</v>
      </c>
      <c r="V47" s="1213">
        <f t="shared" si="63"/>
        <v>8210512</v>
      </c>
      <c r="W47" s="1213">
        <f t="shared" si="63"/>
        <v>6716222</v>
      </c>
      <c r="X47" s="1213">
        <f t="shared" si="63"/>
        <v>0</v>
      </c>
      <c r="Y47" s="1213">
        <f t="shared" si="63"/>
        <v>0</v>
      </c>
      <c r="Z47" s="1213">
        <f t="shared" si="63"/>
        <v>0</v>
      </c>
      <c r="AA47" s="1213">
        <f t="shared" si="63"/>
        <v>0</v>
      </c>
      <c r="AB47" s="1213">
        <f t="shared" si="63"/>
        <v>0</v>
      </c>
      <c r="AC47" s="1213">
        <f t="shared" si="63"/>
        <v>0</v>
      </c>
      <c r="AD47" s="1284"/>
      <c r="AE47" s="1213">
        <f t="shared" si="1"/>
        <v>2121148</v>
      </c>
      <c r="AF47" s="1213">
        <f t="shared" si="2"/>
        <v>0</v>
      </c>
      <c r="AG47" s="1213">
        <f t="shared" si="3"/>
        <v>0</v>
      </c>
      <c r="AH47" s="2919">
        <f t="shared" si="4"/>
        <v>0</v>
      </c>
      <c r="AI47" s="1829">
        <f t="shared" si="57"/>
        <v>0.8180028236972311</v>
      </c>
      <c r="AJ47" s="417">
        <f t="shared" si="58"/>
        <v>-40272976</v>
      </c>
      <c r="AK47" s="412"/>
    </row>
    <row r="48" spans="1:38" ht="15">
      <c r="A48" s="2934"/>
      <c r="B48" s="2948" t="s">
        <v>185</v>
      </c>
      <c r="C48" s="1290" t="s">
        <v>82</v>
      </c>
      <c r="D48" s="1227">
        <f>46362341-1</f>
        <v>46362340</v>
      </c>
      <c r="E48" s="2719">
        <v>36045762</v>
      </c>
      <c r="F48" s="1227">
        <v>6089364</v>
      </c>
      <c r="G48" s="1227">
        <f>+F48+453517+76200</f>
        <v>6619081</v>
      </c>
      <c r="H48" s="1227">
        <f t="shared" ref="G48:J51" si="64">+G48</f>
        <v>6619081</v>
      </c>
      <c r="I48" s="1227">
        <f t="shared" si="64"/>
        <v>6619081</v>
      </c>
      <c r="J48" s="1227">
        <f>+I48</f>
        <v>6619081</v>
      </c>
      <c r="K48" s="3209">
        <v>5124791</v>
      </c>
      <c r="L48" s="1227">
        <v>0</v>
      </c>
      <c r="M48" s="1227">
        <f t="shared" ref="M48:P51" si="65">+L48</f>
        <v>0</v>
      </c>
      <c r="N48" s="1227">
        <f t="shared" si="65"/>
        <v>0</v>
      </c>
      <c r="O48" s="1227">
        <f t="shared" si="65"/>
        <v>0</v>
      </c>
      <c r="P48" s="1227">
        <f t="shared" si="65"/>
        <v>0</v>
      </c>
      <c r="Q48" s="1227">
        <v>0</v>
      </c>
      <c r="R48" s="1227">
        <f>+F48-L48</f>
        <v>6089364</v>
      </c>
      <c r="S48" s="1227">
        <f>+R48+453517+76200</f>
        <v>6619081</v>
      </c>
      <c r="T48" s="1227">
        <f t="shared" ref="S48:V51" si="66">+S48</f>
        <v>6619081</v>
      </c>
      <c r="U48" s="1227">
        <f t="shared" si="66"/>
        <v>6619081</v>
      </c>
      <c r="V48" s="1227">
        <f t="shared" si="66"/>
        <v>6619081</v>
      </c>
      <c r="W48" s="1227">
        <f>+K48</f>
        <v>5124791</v>
      </c>
      <c r="X48" s="1227"/>
      <c r="Y48" s="1227">
        <f t="shared" ref="Y48:AC51" si="67">+X48</f>
        <v>0</v>
      </c>
      <c r="Z48" s="1227">
        <f t="shared" si="67"/>
        <v>0</v>
      </c>
      <c r="AA48" s="1227">
        <f t="shared" si="67"/>
        <v>0</v>
      </c>
      <c r="AB48" s="1227">
        <f t="shared" si="67"/>
        <v>0</v>
      </c>
      <c r="AC48" s="1227">
        <f t="shared" si="67"/>
        <v>0</v>
      </c>
      <c r="AD48" s="1290"/>
      <c r="AE48" s="1213">
        <f t="shared" si="1"/>
        <v>529717</v>
      </c>
      <c r="AF48" s="1213">
        <f t="shared" si="2"/>
        <v>0</v>
      </c>
      <c r="AG48" s="1213">
        <f t="shared" si="3"/>
        <v>0</v>
      </c>
      <c r="AH48" s="2919">
        <f t="shared" si="4"/>
        <v>0</v>
      </c>
      <c r="AI48" s="1834">
        <f t="shared" si="57"/>
        <v>0.77424509535387165</v>
      </c>
      <c r="AJ48" s="417">
        <f t="shared" si="58"/>
        <v>-40272976</v>
      </c>
      <c r="AK48" s="430"/>
    </row>
    <row r="49" spans="1:37" ht="15">
      <c r="A49" s="2934"/>
      <c r="B49" s="2948" t="s">
        <v>187</v>
      </c>
      <c r="C49" s="1290" t="s">
        <v>344</v>
      </c>
      <c r="D49" s="1227">
        <v>0</v>
      </c>
      <c r="E49" s="2719">
        <v>0</v>
      </c>
      <c r="F49" s="1227">
        <v>0</v>
      </c>
      <c r="G49" s="1227">
        <f>+F49+1591431</f>
        <v>1591431</v>
      </c>
      <c r="H49" s="1227">
        <f t="shared" si="64"/>
        <v>1591431</v>
      </c>
      <c r="I49" s="1227">
        <f t="shared" si="64"/>
        <v>1591431</v>
      </c>
      <c r="J49" s="1227">
        <f t="shared" si="64"/>
        <v>1591431</v>
      </c>
      <c r="K49" s="3209">
        <v>1591431</v>
      </c>
      <c r="L49" s="1227">
        <v>0</v>
      </c>
      <c r="M49" s="1227">
        <f t="shared" si="65"/>
        <v>0</v>
      </c>
      <c r="N49" s="1227">
        <f t="shared" si="65"/>
        <v>0</v>
      </c>
      <c r="O49" s="1227">
        <f t="shared" si="65"/>
        <v>0</v>
      </c>
      <c r="P49" s="1227">
        <f t="shared" si="65"/>
        <v>0</v>
      </c>
      <c r="Q49" s="1227">
        <v>0</v>
      </c>
      <c r="R49" s="1227">
        <f>+F49-L49</f>
        <v>0</v>
      </c>
      <c r="S49" s="1227">
        <f>+R49+1591431</f>
        <v>1591431</v>
      </c>
      <c r="T49" s="1227">
        <f t="shared" si="66"/>
        <v>1591431</v>
      </c>
      <c r="U49" s="1227">
        <f t="shared" si="66"/>
        <v>1591431</v>
      </c>
      <c r="V49" s="1227">
        <f t="shared" si="66"/>
        <v>1591431</v>
      </c>
      <c r="W49" s="1227">
        <f>+K49</f>
        <v>1591431</v>
      </c>
      <c r="X49" s="1227"/>
      <c r="Y49" s="1227">
        <f t="shared" si="67"/>
        <v>0</v>
      </c>
      <c r="Z49" s="1227">
        <f t="shared" si="67"/>
        <v>0</v>
      </c>
      <c r="AA49" s="1227">
        <f t="shared" si="67"/>
        <v>0</v>
      </c>
      <c r="AB49" s="1227">
        <f t="shared" si="67"/>
        <v>0</v>
      </c>
      <c r="AC49" s="1227">
        <f t="shared" si="67"/>
        <v>0</v>
      </c>
      <c r="AD49" s="1284"/>
      <c r="AE49" s="1213">
        <f t="shared" si="1"/>
        <v>1591431</v>
      </c>
      <c r="AF49" s="1213">
        <f t="shared" si="2"/>
        <v>0</v>
      </c>
      <c r="AG49" s="1213">
        <f t="shared" si="3"/>
        <v>0</v>
      </c>
      <c r="AH49" s="2919">
        <f t="shared" si="4"/>
        <v>0</v>
      </c>
      <c r="AI49" s="1834">
        <f t="shared" si="57"/>
        <v>1</v>
      </c>
      <c r="AJ49" s="417">
        <f t="shared" si="58"/>
        <v>0</v>
      </c>
      <c r="AK49" s="430"/>
    </row>
    <row r="50" spans="1:37" ht="15">
      <c r="A50" s="2934"/>
      <c r="B50" s="1477" t="s">
        <v>189</v>
      </c>
      <c r="C50" s="1286" t="s">
        <v>1293</v>
      </c>
      <c r="D50" s="1227">
        <f>0</f>
        <v>0</v>
      </c>
      <c r="E50" s="2719">
        <v>0</v>
      </c>
      <c r="F50" s="1227">
        <v>0</v>
      </c>
      <c r="G50" s="1227">
        <f t="shared" si="64"/>
        <v>0</v>
      </c>
      <c r="H50" s="1227">
        <f t="shared" si="64"/>
        <v>0</v>
      </c>
      <c r="I50" s="1227">
        <f t="shared" si="64"/>
        <v>0</v>
      </c>
      <c r="J50" s="1227">
        <f t="shared" si="64"/>
        <v>0</v>
      </c>
      <c r="K50" s="3209">
        <v>0</v>
      </c>
      <c r="L50" s="1227">
        <v>0</v>
      </c>
      <c r="M50" s="1227">
        <f t="shared" si="65"/>
        <v>0</v>
      </c>
      <c r="N50" s="1227">
        <f t="shared" si="65"/>
        <v>0</v>
      </c>
      <c r="O50" s="1227">
        <f t="shared" si="65"/>
        <v>0</v>
      </c>
      <c r="P50" s="1227">
        <f t="shared" si="65"/>
        <v>0</v>
      </c>
      <c r="Q50" s="1227">
        <v>0</v>
      </c>
      <c r="R50" s="1227">
        <v>0</v>
      </c>
      <c r="S50" s="1227">
        <f t="shared" si="66"/>
        <v>0</v>
      </c>
      <c r="T50" s="1227">
        <f t="shared" si="66"/>
        <v>0</v>
      </c>
      <c r="U50" s="1227">
        <f t="shared" si="66"/>
        <v>0</v>
      </c>
      <c r="V50" s="1227">
        <f t="shared" si="66"/>
        <v>0</v>
      </c>
      <c r="W50" s="1227">
        <f>+K50</f>
        <v>0</v>
      </c>
      <c r="X50" s="1227"/>
      <c r="Y50" s="1227">
        <f t="shared" si="67"/>
        <v>0</v>
      </c>
      <c r="Z50" s="1227">
        <f t="shared" si="67"/>
        <v>0</v>
      </c>
      <c r="AA50" s="1227">
        <f t="shared" si="67"/>
        <v>0</v>
      </c>
      <c r="AB50" s="1227">
        <f t="shared" si="67"/>
        <v>0</v>
      </c>
      <c r="AC50" s="1227">
        <f t="shared" si="67"/>
        <v>0</v>
      </c>
      <c r="AD50" s="1284"/>
      <c r="AE50" s="1213">
        <f t="shared" si="1"/>
        <v>0</v>
      </c>
      <c r="AF50" s="1213">
        <f t="shared" si="2"/>
        <v>0</v>
      </c>
      <c r="AG50" s="1213">
        <f t="shared" si="3"/>
        <v>0</v>
      </c>
      <c r="AH50" s="2919">
        <f t="shared" si="4"/>
        <v>0</v>
      </c>
      <c r="AI50" s="1834"/>
      <c r="AJ50" s="417">
        <f t="shared" si="58"/>
        <v>0</v>
      </c>
      <c r="AK50" s="430"/>
    </row>
    <row r="51" spans="1:37" ht="15">
      <c r="A51" s="2934"/>
      <c r="B51" s="1477" t="s">
        <v>191</v>
      </c>
      <c r="C51" s="1290" t="s">
        <v>1294</v>
      </c>
      <c r="D51" s="1227">
        <v>0</v>
      </c>
      <c r="E51" s="2719">
        <v>0</v>
      </c>
      <c r="F51" s="1227">
        <v>0</v>
      </c>
      <c r="G51" s="1227">
        <f t="shared" si="64"/>
        <v>0</v>
      </c>
      <c r="H51" s="1227">
        <f t="shared" si="64"/>
        <v>0</v>
      </c>
      <c r="I51" s="1227">
        <f t="shared" si="64"/>
        <v>0</v>
      </c>
      <c r="J51" s="1227">
        <f t="shared" si="64"/>
        <v>0</v>
      </c>
      <c r="K51" s="3209">
        <v>0</v>
      </c>
      <c r="L51" s="1227">
        <v>0</v>
      </c>
      <c r="M51" s="1227">
        <f t="shared" si="65"/>
        <v>0</v>
      </c>
      <c r="N51" s="1227">
        <f t="shared" si="65"/>
        <v>0</v>
      </c>
      <c r="O51" s="1227">
        <f t="shared" si="65"/>
        <v>0</v>
      </c>
      <c r="P51" s="1227">
        <f t="shared" si="65"/>
        <v>0</v>
      </c>
      <c r="Q51" s="1227">
        <v>0</v>
      </c>
      <c r="R51" s="1227">
        <v>0</v>
      </c>
      <c r="S51" s="1227">
        <f t="shared" si="66"/>
        <v>0</v>
      </c>
      <c r="T51" s="1227">
        <f t="shared" si="66"/>
        <v>0</v>
      </c>
      <c r="U51" s="1227">
        <f t="shared" si="66"/>
        <v>0</v>
      </c>
      <c r="V51" s="1227">
        <f t="shared" si="66"/>
        <v>0</v>
      </c>
      <c r="W51" s="1227">
        <f>+K51</f>
        <v>0</v>
      </c>
      <c r="X51" s="1227"/>
      <c r="Y51" s="1227">
        <f t="shared" si="67"/>
        <v>0</v>
      </c>
      <c r="Z51" s="1227">
        <f t="shared" si="67"/>
        <v>0</v>
      </c>
      <c r="AA51" s="1227">
        <f t="shared" si="67"/>
        <v>0</v>
      </c>
      <c r="AB51" s="1227">
        <f t="shared" si="67"/>
        <v>0</v>
      </c>
      <c r="AC51" s="1227">
        <f t="shared" si="67"/>
        <v>0</v>
      </c>
      <c r="AD51" s="1284"/>
      <c r="AE51" s="1213">
        <f t="shared" si="1"/>
        <v>0</v>
      </c>
      <c r="AF51" s="1213">
        <f t="shared" si="2"/>
        <v>0</v>
      </c>
      <c r="AG51" s="1213">
        <f t="shared" si="3"/>
        <v>0</v>
      </c>
      <c r="AH51" s="2919">
        <f t="shared" si="4"/>
        <v>0</v>
      </c>
      <c r="AI51" s="1834"/>
      <c r="AJ51" s="417">
        <f t="shared" si="58"/>
        <v>0</v>
      </c>
      <c r="AK51" s="430"/>
    </row>
    <row r="52" spans="1:37" ht="15">
      <c r="A52" s="2934" t="s">
        <v>14</v>
      </c>
      <c r="B52" s="1282" t="s">
        <v>14</v>
      </c>
      <c r="C52" s="2950" t="s">
        <v>1295</v>
      </c>
      <c r="D52" s="1298">
        <f t="shared" ref="D52:AC52" si="68">+D41+D47</f>
        <v>1380040919</v>
      </c>
      <c r="E52" s="2720">
        <f t="shared" si="68"/>
        <v>1338080752</v>
      </c>
      <c r="F52" s="1298">
        <f t="shared" si="68"/>
        <v>1613052213</v>
      </c>
      <c r="G52" s="1298">
        <f t="shared" si="68"/>
        <v>1647695889</v>
      </c>
      <c r="H52" s="1298">
        <f t="shared" si="68"/>
        <v>1654465734</v>
      </c>
      <c r="I52" s="1298">
        <f t="shared" si="68"/>
        <v>1646458040</v>
      </c>
      <c r="J52" s="1298">
        <f t="shared" si="68"/>
        <v>1646458040</v>
      </c>
      <c r="K52" s="3210">
        <f t="shared" si="68"/>
        <v>1506584012</v>
      </c>
      <c r="L52" s="1298">
        <f t="shared" si="68"/>
        <v>0</v>
      </c>
      <c r="M52" s="1298">
        <f t="shared" si="68"/>
        <v>0</v>
      </c>
      <c r="N52" s="1298">
        <f t="shared" si="68"/>
        <v>0</v>
      </c>
      <c r="O52" s="1298">
        <f t="shared" si="68"/>
        <v>5610222</v>
      </c>
      <c r="P52" s="1298">
        <f t="shared" si="68"/>
        <v>5610222</v>
      </c>
      <c r="Q52" s="1298">
        <f t="shared" si="68"/>
        <v>5610222</v>
      </c>
      <c r="R52" s="1298">
        <f t="shared" si="68"/>
        <v>1613052213</v>
      </c>
      <c r="S52" s="1298">
        <f t="shared" si="68"/>
        <v>1647695889</v>
      </c>
      <c r="T52" s="1298">
        <f t="shared" si="68"/>
        <v>1654465734</v>
      </c>
      <c r="U52" s="1298">
        <f t="shared" si="68"/>
        <v>1640847818</v>
      </c>
      <c r="V52" s="1298">
        <f t="shared" si="68"/>
        <v>1640847818</v>
      </c>
      <c r="W52" s="1298">
        <f t="shared" si="68"/>
        <v>1500973790</v>
      </c>
      <c r="X52" s="1298">
        <f t="shared" si="68"/>
        <v>0</v>
      </c>
      <c r="Y52" s="1298">
        <f t="shared" si="68"/>
        <v>0</v>
      </c>
      <c r="Z52" s="1298">
        <f t="shared" si="68"/>
        <v>0</v>
      </c>
      <c r="AA52" s="1298">
        <f t="shared" si="68"/>
        <v>0</v>
      </c>
      <c r="AB52" s="1298">
        <f t="shared" si="68"/>
        <v>0</v>
      </c>
      <c r="AC52" s="1298">
        <f t="shared" si="68"/>
        <v>0</v>
      </c>
      <c r="AD52" s="1284"/>
      <c r="AE52" s="1213">
        <f t="shared" si="1"/>
        <v>34643676</v>
      </c>
      <c r="AF52" s="1213">
        <f t="shared" si="2"/>
        <v>6769845</v>
      </c>
      <c r="AG52" s="1213">
        <f t="shared" si="3"/>
        <v>-8007694</v>
      </c>
      <c r="AH52" s="2919">
        <f t="shared" si="4"/>
        <v>0</v>
      </c>
      <c r="AI52" s="1829">
        <f t="shared" si="57"/>
        <v>0.91504549487334641</v>
      </c>
      <c r="AJ52" s="417">
        <f t="shared" si="58"/>
        <v>233011294</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7"/>
        <v>#DIV/0!</v>
      </c>
      <c r="AJ53" s="417">
        <f t="shared" si="58"/>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7">
        <v>142.5</v>
      </c>
      <c r="E54" s="2967">
        <v>145</v>
      </c>
      <c r="F54" s="2957">
        <v>142.5</v>
      </c>
      <c r="G54" s="2957">
        <f>+F54</f>
        <v>142.5</v>
      </c>
      <c r="H54" s="2957">
        <f>+G54+3</f>
        <v>145.5</v>
      </c>
      <c r="I54" s="2957">
        <f>+H54</f>
        <v>145.5</v>
      </c>
      <c r="J54" s="2957">
        <f>+I54</f>
        <v>145.5</v>
      </c>
      <c r="K54" s="3212">
        <v>153</v>
      </c>
      <c r="L54" s="2957">
        <v>0</v>
      </c>
      <c r="M54" s="2957">
        <f>+L54</f>
        <v>0</v>
      </c>
      <c r="N54" s="2957">
        <f>+M54</f>
        <v>0</v>
      </c>
      <c r="O54" s="2957">
        <f>+N54</f>
        <v>0</v>
      </c>
      <c r="P54" s="2957">
        <f>+O54</f>
        <v>0</v>
      </c>
      <c r="Q54" s="2957">
        <f>+P54</f>
        <v>0</v>
      </c>
      <c r="R54" s="2957">
        <f>+F54-L54</f>
        <v>142.5</v>
      </c>
      <c r="S54" s="2957">
        <f>+R54</f>
        <v>142.5</v>
      </c>
      <c r="T54" s="2957">
        <f>+S54+3</f>
        <v>145.5</v>
      </c>
      <c r="U54" s="2957">
        <f>+T54</f>
        <v>145.5</v>
      </c>
      <c r="V54" s="2957">
        <f>+U54</f>
        <v>145.5</v>
      </c>
      <c r="W54" s="2957">
        <f>+V54</f>
        <v>145.5</v>
      </c>
      <c r="X54" s="2957"/>
      <c r="Y54" s="2957">
        <f>+X54</f>
        <v>0</v>
      </c>
      <c r="Z54" s="2957">
        <f>+Y54</f>
        <v>0</v>
      </c>
      <c r="AA54" s="2957">
        <f>+Z54</f>
        <v>0</v>
      </c>
      <c r="AB54" s="2957">
        <f>+AA54</f>
        <v>0</v>
      </c>
      <c r="AC54" s="2957">
        <f>+AB54</f>
        <v>0</v>
      </c>
      <c r="AD54" s="2965"/>
      <c r="AE54" s="2959">
        <f t="shared" si="1"/>
        <v>0</v>
      </c>
      <c r="AF54" s="1213">
        <f t="shared" si="2"/>
        <v>3</v>
      </c>
      <c r="AG54" s="1213">
        <f t="shared" si="3"/>
        <v>0</v>
      </c>
      <c r="AH54" s="2943">
        <f t="shared" si="4"/>
        <v>0</v>
      </c>
      <c r="AI54" s="1829">
        <f t="shared" si="57"/>
        <v>1.0515463917525774</v>
      </c>
      <c r="AJ54" s="550">
        <f t="shared" si="58"/>
        <v>0</v>
      </c>
      <c r="AK54" s="1853"/>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69">+X55</f>
        <v>0</v>
      </c>
      <c r="Z55" s="459">
        <f t="shared" si="69"/>
        <v>0</v>
      </c>
      <c r="AA55" s="459">
        <f t="shared" si="69"/>
        <v>0</v>
      </c>
      <c r="AB55" s="459">
        <f t="shared" si="69"/>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69"/>
        <v>0</v>
      </c>
      <c r="Z56" s="459">
        <f t="shared" si="69"/>
        <v>0</v>
      </c>
      <c r="AA56" s="459">
        <f t="shared" si="69"/>
        <v>0</v>
      </c>
      <c r="AB56" s="459">
        <f t="shared" si="69"/>
        <v>0</v>
      </c>
      <c r="AC56" s="459"/>
      <c r="AD56" s="557"/>
      <c r="AE56" s="555">
        <f t="shared" si="1"/>
        <v>0</v>
      </c>
      <c r="AF56" s="555"/>
      <c r="AG56" s="555"/>
      <c r="AH56" s="555"/>
      <c r="AJ56" s="417">
        <f>+F56-D56</f>
        <v>0</v>
      </c>
    </row>
    <row r="57" spans="1:37" ht="15.75">
      <c r="B57" s="3205" t="s">
        <v>17</v>
      </c>
      <c r="C57" s="3207" t="s">
        <v>4053</v>
      </c>
      <c r="D57" s="3206">
        <f t="shared" ref="D57:K57" si="70">+D37-D52</f>
        <v>0</v>
      </c>
      <c r="E57" s="3199">
        <f t="shared" si="70"/>
        <v>32639628</v>
      </c>
      <c r="F57" s="3200">
        <f t="shared" si="70"/>
        <v>0</v>
      </c>
      <c r="G57" s="3201">
        <f t="shared" si="70"/>
        <v>0</v>
      </c>
      <c r="H57" s="3201">
        <f t="shared" si="70"/>
        <v>0</v>
      </c>
      <c r="I57" s="3201"/>
      <c r="J57" s="3201">
        <f t="shared" si="70"/>
        <v>0</v>
      </c>
      <c r="K57" s="2198">
        <f t="shared" si="70"/>
        <v>67552622</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f>453517+1591431</f>
        <v>2044948</v>
      </c>
      <c r="G58" s="396">
        <f>+F58</f>
        <v>2044948</v>
      </c>
      <c r="H58" s="396">
        <f>+G58</f>
        <v>2044948</v>
      </c>
      <c r="I58" s="396">
        <f>+H58</f>
        <v>2044948</v>
      </c>
      <c r="J58" s="460">
        <f>+I58</f>
        <v>2044948</v>
      </c>
      <c r="K58" s="460">
        <f>+J58</f>
        <v>2044948</v>
      </c>
    </row>
    <row r="59" spans="1:37" ht="12.75" hidden="1" customHeight="1">
      <c r="C59" s="461" t="s">
        <v>1300</v>
      </c>
      <c r="F59" s="3644" t="s">
        <v>1301</v>
      </c>
      <c r="G59" s="3644"/>
    </row>
    <row r="60" spans="1:37" hidden="1">
      <c r="C60" s="460" t="s">
        <v>1302</v>
      </c>
      <c r="D60" s="396">
        <f t="shared" ref="D60:AB60" si="71">+D37-D52</f>
        <v>0</v>
      </c>
      <c r="E60" s="396">
        <f t="shared" si="71"/>
        <v>32639628</v>
      </c>
      <c r="F60" s="396">
        <f t="shared" si="71"/>
        <v>0</v>
      </c>
      <c r="G60" s="396">
        <f t="shared" si="71"/>
        <v>0</v>
      </c>
      <c r="H60" s="396">
        <f t="shared" si="71"/>
        <v>0</v>
      </c>
      <c r="I60" s="396">
        <f t="shared" si="71"/>
        <v>0</v>
      </c>
      <c r="J60" s="460">
        <f t="shared" si="71"/>
        <v>0</v>
      </c>
      <c r="K60" s="460">
        <f t="shared" si="71"/>
        <v>67552622</v>
      </c>
      <c r="L60" s="460">
        <f t="shared" si="71"/>
        <v>0</v>
      </c>
      <c r="M60" s="460">
        <f t="shared" si="71"/>
        <v>0</v>
      </c>
      <c r="N60" s="460">
        <f t="shared" si="71"/>
        <v>0</v>
      </c>
      <c r="O60" s="460">
        <f t="shared" si="71"/>
        <v>0</v>
      </c>
      <c r="P60" s="460">
        <f t="shared" si="71"/>
        <v>0</v>
      </c>
      <c r="Q60" s="460">
        <f t="shared" si="71"/>
        <v>0</v>
      </c>
      <c r="R60" s="460">
        <f t="shared" si="71"/>
        <v>0</v>
      </c>
      <c r="S60" s="460">
        <f t="shared" si="71"/>
        <v>0</v>
      </c>
      <c r="T60" s="460">
        <f t="shared" si="71"/>
        <v>0</v>
      </c>
      <c r="U60" s="460">
        <f t="shared" si="71"/>
        <v>0</v>
      </c>
      <c r="V60" s="460">
        <f t="shared" si="71"/>
        <v>0</v>
      </c>
      <c r="W60" s="460">
        <f t="shared" si="71"/>
        <v>67552622</v>
      </c>
      <c r="X60" s="396">
        <f t="shared" si="71"/>
        <v>0</v>
      </c>
      <c r="Y60" s="396">
        <f t="shared" si="71"/>
        <v>0</v>
      </c>
      <c r="Z60" s="396">
        <f t="shared" si="71"/>
        <v>0</v>
      </c>
      <c r="AA60" s="396">
        <f t="shared" si="71"/>
        <v>0</v>
      </c>
      <c r="AB60" s="396">
        <f t="shared" si="71"/>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i3XKlEPjkwvUNWMskEFVC81I+BF6Mg5C1BxNEcA224WNR7uNJOw8CU6j/cy6dsuhDdRNK0bWvw7OVyhBQ7TFug==" saltValue="8SssJsNQaksVmGv1vIs8ZQ=="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D5CF-DC9F-4ECE-BE20-6C7DBB6ECE69}">
  <sheetPr>
    <tabColor indexed="14"/>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2.14062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3.5703125" style="396" hidden="1" customWidth="1"/>
    <col min="37" max="37" width="10.85546875" style="396" hidden="1" customWidth="1"/>
    <col min="38" max="38" width="9.42578125" style="396" bestFit="1" customWidth="1"/>
    <col min="39" max="16384" width="8" style="396"/>
  </cols>
  <sheetData>
    <row r="1" spans="1:37" s="397" customFormat="1" ht="21" customHeight="1">
      <c r="A1" s="3663" t="s">
        <v>4277</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row>
    <row r="2" spans="1:37" s="398" customFormat="1" ht="18.75" customHeight="1">
      <c r="A2" s="3661" t="s">
        <v>3425</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3.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2996">
        <f t="shared" ref="D8:AC8" si="0">SUM(D9:D19)</f>
        <v>156574371</v>
      </c>
      <c r="E8" s="2997">
        <f t="shared" si="0"/>
        <v>289982385</v>
      </c>
      <c r="F8" s="2996">
        <f t="shared" si="0"/>
        <v>175852754</v>
      </c>
      <c r="G8" s="2996">
        <f t="shared" si="0"/>
        <v>182764931</v>
      </c>
      <c r="H8" s="2996">
        <f t="shared" si="0"/>
        <v>197555087</v>
      </c>
      <c r="I8" s="2996">
        <f t="shared" si="0"/>
        <v>303232317</v>
      </c>
      <c r="J8" s="2996">
        <f t="shared" si="0"/>
        <v>303232317</v>
      </c>
      <c r="K8" s="3208">
        <f t="shared" si="0"/>
        <v>303232317</v>
      </c>
      <c r="L8" s="1213">
        <f t="shared" si="0"/>
        <v>0</v>
      </c>
      <c r="M8" s="1213">
        <f t="shared" si="0"/>
        <v>0</v>
      </c>
      <c r="N8" s="1213">
        <f t="shared" si="0"/>
        <v>0</v>
      </c>
      <c r="O8" s="1213">
        <f t="shared" si="0"/>
        <v>2291700</v>
      </c>
      <c r="P8" s="1213">
        <f t="shared" si="0"/>
        <v>2291700</v>
      </c>
      <c r="Q8" s="1213">
        <f t="shared" si="0"/>
        <v>2291700</v>
      </c>
      <c r="R8" s="1213">
        <f t="shared" si="0"/>
        <v>175852754</v>
      </c>
      <c r="S8" s="1213">
        <f t="shared" si="0"/>
        <v>182764931</v>
      </c>
      <c r="T8" s="1213">
        <f t="shared" si="0"/>
        <v>197555087</v>
      </c>
      <c r="U8" s="1213">
        <f t="shared" si="0"/>
        <v>300940617</v>
      </c>
      <c r="V8" s="1213">
        <f t="shared" si="0"/>
        <v>300940617</v>
      </c>
      <c r="W8" s="1213">
        <f t="shared" si="0"/>
        <v>300940617</v>
      </c>
      <c r="X8" s="1213">
        <f t="shared" si="0"/>
        <v>0</v>
      </c>
      <c r="Y8" s="1213">
        <f t="shared" si="0"/>
        <v>0</v>
      </c>
      <c r="Z8" s="1213">
        <f t="shared" si="0"/>
        <v>0</v>
      </c>
      <c r="AA8" s="1213">
        <f t="shared" si="0"/>
        <v>0</v>
      </c>
      <c r="AB8" s="1213">
        <f t="shared" si="0"/>
        <v>0</v>
      </c>
      <c r="AC8" s="1213">
        <f t="shared" si="0"/>
        <v>0</v>
      </c>
      <c r="AD8" s="1284"/>
      <c r="AE8" s="1213">
        <f t="shared" ref="AE8:AE56" si="1">+G8-F8</f>
        <v>6912177</v>
      </c>
      <c r="AF8" s="1213">
        <f t="shared" ref="AF8:AF55" si="2">+H8-G8</f>
        <v>14790156</v>
      </c>
      <c r="AG8" s="1213">
        <f t="shared" ref="AG8:AG55" si="3">+I8-H8</f>
        <v>105677230</v>
      </c>
      <c r="AH8" s="2919">
        <f t="shared" ref="AH8:AH55" si="4">+J8-I8</f>
        <v>0</v>
      </c>
      <c r="AI8" s="1829">
        <f>+K8/I8</f>
        <v>1</v>
      </c>
      <c r="AJ8" s="417">
        <f>+F8-D8</f>
        <v>19278383</v>
      </c>
      <c r="AK8" s="560"/>
    </row>
    <row r="9" spans="1:37" s="416" customFormat="1" ht="15">
      <c r="A9" s="2933"/>
      <c r="B9" s="1285" t="s">
        <v>176</v>
      </c>
      <c r="C9" s="1286" t="s">
        <v>226</v>
      </c>
      <c r="D9" s="1287">
        <v>0</v>
      </c>
      <c r="E9" s="2716">
        <v>0</v>
      </c>
      <c r="F9" s="1287">
        <v>0</v>
      </c>
      <c r="G9" s="1287">
        <f t="shared" ref="G9:G19" si="5">+F9</f>
        <v>0</v>
      </c>
      <c r="H9" s="1287">
        <f t="shared" ref="H9:H19" si="6">+G9</f>
        <v>0</v>
      </c>
      <c r="I9" s="1287">
        <f t="shared" ref="I9:I17" si="7">+H9</f>
        <v>0</v>
      </c>
      <c r="J9" s="1287">
        <f t="shared" ref="J9:J19" si="8">+I9</f>
        <v>0</v>
      </c>
      <c r="K9" s="3219">
        <v>0</v>
      </c>
      <c r="L9" s="1287">
        <v>0</v>
      </c>
      <c r="M9" s="1287">
        <f t="shared" ref="M9:M17" si="9">+L9</f>
        <v>0</v>
      </c>
      <c r="N9" s="1287">
        <f t="shared" ref="N9:N19" si="10">+M9</f>
        <v>0</v>
      </c>
      <c r="O9" s="1287">
        <f t="shared" ref="O9:O17" si="11">+N9</f>
        <v>0</v>
      </c>
      <c r="P9" s="1287">
        <f t="shared" ref="P9:P17" si="12">+O9</f>
        <v>0</v>
      </c>
      <c r="Q9" s="1287">
        <v>0</v>
      </c>
      <c r="R9" s="1287">
        <v>0</v>
      </c>
      <c r="S9" s="1287">
        <f t="shared" ref="S9:T19" si="13">+R9</f>
        <v>0</v>
      </c>
      <c r="T9" s="1287">
        <f t="shared" ref="T9:T19" si="14">+S9</f>
        <v>0</v>
      </c>
      <c r="U9" s="1287">
        <f t="shared" ref="U9:U17" si="15">+T9</f>
        <v>0</v>
      </c>
      <c r="V9" s="1287">
        <f t="shared" ref="V9:V17" si="16">+U9</f>
        <v>0</v>
      </c>
      <c r="W9" s="1287">
        <f>+K9</f>
        <v>0</v>
      </c>
      <c r="X9" s="1287"/>
      <c r="Y9" s="1287">
        <f t="shared" ref="Y9:Y17" si="17">+X9</f>
        <v>0</v>
      </c>
      <c r="Z9" s="1287">
        <f t="shared" ref="Z9:Z17" si="18">+Y9</f>
        <v>0</v>
      </c>
      <c r="AA9" s="1287">
        <f t="shared" ref="AA9:AA17" si="19">+Z9</f>
        <v>0</v>
      </c>
      <c r="AB9" s="1287">
        <f t="shared" ref="AB9:AB17" si="20">+AA9</f>
        <v>0</v>
      </c>
      <c r="AC9" s="1287">
        <f t="shared" ref="AC9:AC17" si="21">+AB9</f>
        <v>0</v>
      </c>
      <c r="AD9" s="1284"/>
      <c r="AE9" s="1213">
        <f t="shared" si="1"/>
        <v>0</v>
      </c>
      <c r="AF9" s="1213">
        <f t="shared" si="2"/>
        <v>0</v>
      </c>
      <c r="AG9" s="1213">
        <f t="shared" si="3"/>
        <v>0</v>
      </c>
      <c r="AH9" s="2919">
        <f t="shared" si="4"/>
        <v>0</v>
      </c>
      <c r="AI9" s="1834"/>
      <c r="AJ9" s="417">
        <f t="shared" ref="AJ9:AJ37" si="22">+F9-D9</f>
        <v>0</v>
      </c>
      <c r="AK9" s="420"/>
    </row>
    <row r="10" spans="1:37" s="416" customFormat="1" ht="15">
      <c r="A10" s="2933"/>
      <c r="B10" s="1285" t="s">
        <v>178</v>
      </c>
      <c r="C10" s="1286" t="s">
        <v>228</v>
      </c>
      <c r="D10" s="1287">
        <v>114025000</v>
      </c>
      <c r="E10" s="2716">
        <v>128768608</v>
      </c>
      <c r="F10" s="1287">
        <v>130000000</v>
      </c>
      <c r="G10" s="1287">
        <f t="shared" si="5"/>
        <v>130000000</v>
      </c>
      <c r="H10" s="1287">
        <f t="shared" si="6"/>
        <v>130000000</v>
      </c>
      <c r="I10" s="1287">
        <f>+H10+2705985</f>
        <v>132705985</v>
      </c>
      <c r="J10" s="1287">
        <f t="shared" si="8"/>
        <v>132705985</v>
      </c>
      <c r="K10" s="3219">
        <v>132705985</v>
      </c>
      <c r="L10" s="1287">
        <v>0</v>
      </c>
      <c r="M10" s="1287">
        <f t="shared" si="9"/>
        <v>0</v>
      </c>
      <c r="N10" s="1287">
        <f t="shared" si="10"/>
        <v>0</v>
      </c>
      <c r="O10" s="1287">
        <f>+N10+2291700</f>
        <v>2291700</v>
      </c>
      <c r="P10" s="1287">
        <f t="shared" si="12"/>
        <v>2291700</v>
      </c>
      <c r="Q10" s="1287">
        <f>2291700</f>
        <v>2291700</v>
      </c>
      <c r="R10" s="1287">
        <f>+F10</f>
        <v>130000000</v>
      </c>
      <c r="S10" s="1287">
        <f t="shared" si="13"/>
        <v>130000000</v>
      </c>
      <c r="T10" s="1287">
        <f t="shared" si="14"/>
        <v>130000000</v>
      </c>
      <c r="U10" s="1287">
        <f>+T10+2705985-O10</f>
        <v>130414285</v>
      </c>
      <c r="V10" s="1287">
        <f t="shared" si="16"/>
        <v>130414285</v>
      </c>
      <c r="W10" s="1287">
        <f>+K10-Q10</f>
        <v>130414285</v>
      </c>
      <c r="X10" s="1287"/>
      <c r="Y10" s="1287">
        <f t="shared" si="17"/>
        <v>0</v>
      </c>
      <c r="Z10" s="1287">
        <f t="shared" si="18"/>
        <v>0</v>
      </c>
      <c r="AA10" s="1287">
        <f t="shared" si="19"/>
        <v>0</v>
      </c>
      <c r="AB10" s="1287">
        <f t="shared" si="20"/>
        <v>0</v>
      </c>
      <c r="AC10" s="1287">
        <f t="shared" si="21"/>
        <v>0</v>
      </c>
      <c r="AD10" s="1284"/>
      <c r="AE10" s="1213">
        <f t="shared" si="1"/>
        <v>0</v>
      </c>
      <c r="AF10" s="1213">
        <f t="shared" si="2"/>
        <v>0</v>
      </c>
      <c r="AG10" s="1213">
        <f t="shared" si="3"/>
        <v>2705985</v>
      </c>
      <c r="AH10" s="2919">
        <f t="shared" si="4"/>
        <v>0</v>
      </c>
      <c r="AI10" s="1834">
        <f>+K10/I10</f>
        <v>1</v>
      </c>
      <c r="AJ10" s="417">
        <f t="shared" si="22"/>
        <v>15975000</v>
      </c>
      <c r="AK10" s="420"/>
    </row>
    <row r="11" spans="1:37" s="416" customFormat="1" ht="15">
      <c r="A11" s="2933"/>
      <c r="B11" s="1289" t="s">
        <v>179</v>
      </c>
      <c r="C11" s="1286" t="s">
        <v>460</v>
      </c>
      <c r="D11" s="1287">
        <v>12286880</v>
      </c>
      <c r="E11" s="2716">
        <v>12217167</v>
      </c>
      <c r="F11" s="1287">
        <v>12322721</v>
      </c>
      <c r="G11" s="1287">
        <f t="shared" si="5"/>
        <v>12322721</v>
      </c>
      <c r="H11" s="1287">
        <f t="shared" si="6"/>
        <v>12322721</v>
      </c>
      <c r="I11" s="1287">
        <f>+H11-5709784</f>
        <v>6612937</v>
      </c>
      <c r="J11" s="1287">
        <f t="shared" si="8"/>
        <v>6612937</v>
      </c>
      <c r="K11" s="3219">
        <v>6612937</v>
      </c>
      <c r="L11" s="1287">
        <v>0</v>
      </c>
      <c r="M11" s="1287">
        <f t="shared" si="9"/>
        <v>0</v>
      </c>
      <c r="N11" s="1287">
        <f t="shared" si="10"/>
        <v>0</v>
      </c>
      <c r="O11" s="1287">
        <f t="shared" si="11"/>
        <v>0</v>
      </c>
      <c r="P11" s="1287">
        <f t="shared" si="12"/>
        <v>0</v>
      </c>
      <c r="Q11" s="1287">
        <v>0</v>
      </c>
      <c r="R11" s="1287">
        <f>+F11</f>
        <v>12322721</v>
      </c>
      <c r="S11" s="1287">
        <f t="shared" si="13"/>
        <v>12322721</v>
      </c>
      <c r="T11" s="1287">
        <f t="shared" si="14"/>
        <v>12322721</v>
      </c>
      <c r="U11" s="1287">
        <f>+T11-5709784</f>
        <v>6612937</v>
      </c>
      <c r="V11" s="1287">
        <f t="shared" si="16"/>
        <v>6612937</v>
      </c>
      <c r="W11" s="1287">
        <f t="shared" ref="W11:W19" si="23">+K11</f>
        <v>6612937</v>
      </c>
      <c r="X11" s="1287"/>
      <c r="Y11" s="1287">
        <f t="shared" si="17"/>
        <v>0</v>
      </c>
      <c r="Z11" s="1287">
        <f t="shared" si="18"/>
        <v>0</v>
      </c>
      <c r="AA11" s="1287">
        <f t="shared" si="19"/>
        <v>0</v>
      </c>
      <c r="AB11" s="1287">
        <f t="shared" si="20"/>
        <v>0</v>
      </c>
      <c r="AC11" s="1287">
        <f t="shared" si="21"/>
        <v>0</v>
      </c>
      <c r="AD11" s="1284"/>
      <c r="AE11" s="1213">
        <f t="shared" si="1"/>
        <v>0</v>
      </c>
      <c r="AF11" s="1213">
        <f t="shared" si="2"/>
        <v>0</v>
      </c>
      <c r="AG11" s="1213">
        <f t="shared" si="3"/>
        <v>-5709784</v>
      </c>
      <c r="AH11" s="2919">
        <f t="shared" si="4"/>
        <v>0</v>
      </c>
      <c r="AI11" s="1834">
        <f>+K11/I11</f>
        <v>1</v>
      </c>
      <c r="AJ11" s="417">
        <f t="shared" si="22"/>
        <v>35841</v>
      </c>
      <c r="AK11" s="420"/>
    </row>
    <row r="12" spans="1:37" s="416" customFormat="1" ht="15">
      <c r="A12" s="2933"/>
      <c r="B12" s="1289" t="s">
        <v>180</v>
      </c>
      <c r="C12" s="1286" t="s">
        <v>232</v>
      </c>
      <c r="D12" s="1287">
        <v>0</v>
      </c>
      <c r="E12" s="2716">
        <v>0</v>
      </c>
      <c r="F12" s="1287">
        <v>0</v>
      </c>
      <c r="G12" s="1287">
        <f t="shared" si="5"/>
        <v>0</v>
      </c>
      <c r="H12" s="1287">
        <f t="shared" si="6"/>
        <v>0</v>
      </c>
      <c r="I12" s="1287">
        <f t="shared" si="7"/>
        <v>0</v>
      </c>
      <c r="J12" s="1287">
        <f t="shared" si="8"/>
        <v>0</v>
      </c>
      <c r="K12" s="3219">
        <v>0</v>
      </c>
      <c r="L12" s="1287">
        <v>0</v>
      </c>
      <c r="M12" s="1287">
        <f t="shared" si="9"/>
        <v>0</v>
      </c>
      <c r="N12" s="1287">
        <f t="shared" si="10"/>
        <v>0</v>
      </c>
      <c r="O12" s="1287">
        <f t="shared" si="11"/>
        <v>0</v>
      </c>
      <c r="P12" s="1287">
        <f t="shared" si="12"/>
        <v>0</v>
      </c>
      <c r="Q12" s="1287">
        <v>0</v>
      </c>
      <c r="R12" s="1287">
        <v>0</v>
      </c>
      <c r="S12" s="1287">
        <f t="shared" si="13"/>
        <v>0</v>
      </c>
      <c r="T12" s="1287">
        <f t="shared" si="14"/>
        <v>0</v>
      </c>
      <c r="U12" s="1287">
        <f t="shared" si="15"/>
        <v>0</v>
      </c>
      <c r="V12" s="1287">
        <f t="shared" si="16"/>
        <v>0</v>
      </c>
      <c r="W12" s="1287">
        <f t="shared" si="23"/>
        <v>0</v>
      </c>
      <c r="X12" s="1287"/>
      <c r="Y12" s="1287">
        <f t="shared" si="17"/>
        <v>0</v>
      </c>
      <c r="Z12" s="1287">
        <f t="shared" si="18"/>
        <v>0</v>
      </c>
      <c r="AA12" s="1287">
        <f t="shared" si="19"/>
        <v>0</v>
      </c>
      <c r="AB12" s="1287">
        <f t="shared" si="20"/>
        <v>0</v>
      </c>
      <c r="AC12" s="1287">
        <f t="shared" si="21"/>
        <v>0</v>
      </c>
      <c r="AD12" s="1284"/>
      <c r="AE12" s="1213">
        <f t="shared" si="1"/>
        <v>0</v>
      </c>
      <c r="AF12" s="1213">
        <f t="shared" si="2"/>
        <v>0</v>
      </c>
      <c r="AG12" s="1213">
        <f t="shared" si="3"/>
        <v>0</v>
      </c>
      <c r="AH12" s="2919">
        <f t="shared" si="4"/>
        <v>0</v>
      </c>
      <c r="AI12" s="1834"/>
      <c r="AJ12" s="417">
        <f t="shared" si="22"/>
        <v>0</v>
      </c>
      <c r="AK12" s="420"/>
    </row>
    <row r="13" spans="1:37" s="416" customFormat="1" ht="15">
      <c r="A13" s="2933"/>
      <c r="B13" s="1289" t="s">
        <v>181</v>
      </c>
      <c r="C13" s="1286" t="s">
        <v>234</v>
      </c>
      <c r="D13" s="1287">
        <v>0</v>
      </c>
      <c r="E13" s="2716">
        <v>0</v>
      </c>
      <c r="F13" s="1287">
        <v>0</v>
      </c>
      <c r="G13" s="1287">
        <f t="shared" si="5"/>
        <v>0</v>
      </c>
      <c r="H13" s="1287">
        <f t="shared" si="6"/>
        <v>0</v>
      </c>
      <c r="I13" s="1287">
        <f t="shared" si="7"/>
        <v>0</v>
      </c>
      <c r="J13" s="1287">
        <f t="shared" si="8"/>
        <v>0</v>
      </c>
      <c r="K13" s="3219">
        <v>0</v>
      </c>
      <c r="L13" s="1287">
        <v>0</v>
      </c>
      <c r="M13" s="1287">
        <f t="shared" si="9"/>
        <v>0</v>
      </c>
      <c r="N13" s="1287">
        <f t="shared" si="10"/>
        <v>0</v>
      </c>
      <c r="O13" s="1287">
        <f t="shared" si="11"/>
        <v>0</v>
      </c>
      <c r="P13" s="1287">
        <f t="shared" si="12"/>
        <v>0</v>
      </c>
      <c r="Q13" s="1287">
        <v>0</v>
      </c>
      <c r="R13" s="1287">
        <v>0</v>
      </c>
      <c r="S13" s="1287">
        <f t="shared" si="13"/>
        <v>0</v>
      </c>
      <c r="T13" s="1287">
        <f t="shared" si="14"/>
        <v>0</v>
      </c>
      <c r="U13" s="1287">
        <f t="shared" si="15"/>
        <v>0</v>
      </c>
      <c r="V13" s="1287">
        <f t="shared" si="16"/>
        <v>0</v>
      </c>
      <c r="W13" s="1287">
        <f t="shared" si="23"/>
        <v>0</v>
      </c>
      <c r="X13" s="1287"/>
      <c r="Y13" s="1287">
        <f t="shared" si="17"/>
        <v>0</v>
      </c>
      <c r="Z13" s="1287">
        <f t="shared" si="18"/>
        <v>0</v>
      </c>
      <c r="AA13" s="1287">
        <f t="shared" si="19"/>
        <v>0</v>
      </c>
      <c r="AB13" s="1287">
        <f t="shared" si="20"/>
        <v>0</v>
      </c>
      <c r="AC13" s="1287">
        <f t="shared" si="21"/>
        <v>0</v>
      </c>
      <c r="AD13" s="1284"/>
      <c r="AE13" s="1213">
        <f t="shared" si="1"/>
        <v>0</v>
      </c>
      <c r="AF13" s="1213">
        <f t="shared" si="2"/>
        <v>0</v>
      </c>
      <c r="AG13" s="1213">
        <f t="shared" si="3"/>
        <v>0</v>
      </c>
      <c r="AH13" s="2919">
        <f t="shared" si="4"/>
        <v>0</v>
      </c>
      <c r="AI13" s="1834"/>
      <c r="AJ13" s="417">
        <f t="shared" si="22"/>
        <v>0</v>
      </c>
      <c r="AK13" s="420"/>
    </row>
    <row r="14" spans="1:37" s="416" customFormat="1" ht="15">
      <c r="A14" s="2933"/>
      <c r="B14" s="1289" t="s">
        <v>183</v>
      </c>
      <c r="C14" s="1286" t="s">
        <v>887</v>
      </c>
      <c r="D14" s="1287">
        <v>26456458</v>
      </c>
      <c r="E14" s="2716">
        <v>29623414</v>
      </c>
      <c r="F14" s="1287">
        <v>30238035</v>
      </c>
      <c r="G14" s="1287">
        <f t="shared" si="5"/>
        <v>30238035</v>
      </c>
      <c r="H14" s="1287">
        <f t="shared" si="6"/>
        <v>30238035</v>
      </c>
      <c r="I14" s="1287">
        <f>+H14-1416243</f>
        <v>28821792</v>
      </c>
      <c r="J14" s="1287">
        <f t="shared" si="8"/>
        <v>28821792</v>
      </c>
      <c r="K14" s="3219">
        <v>28821792</v>
      </c>
      <c r="L14" s="1287">
        <v>0</v>
      </c>
      <c r="M14" s="1287">
        <f t="shared" si="9"/>
        <v>0</v>
      </c>
      <c r="N14" s="1287">
        <f t="shared" si="10"/>
        <v>0</v>
      </c>
      <c r="O14" s="1287">
        <f t="shared" si="11"/>
        <v>0</v>
      </c>
      <c r="P14" s="1287">
        <f t="shared" si="12"/>
        <v>0</v>
      </c>
      <c r="Q14" s="1287">
        <v>0</v>
      </c>
      <c r="R14" s="1287">
        <f>+F14</f>
        <v>30238035</v>
      </c>
      <c r="S14" s="1287">
        <f t="shared" si="13"/>
        <v>30238035</v>
      </c>
      <c r="T14" s="1287">
        <f t="shared" si="13"/>
        <v>30238035</v>
      </c>
      <c r="U14" s="1287">
        <f>+T14-1416243</f>
        <v>28821792</v>
      </c>
      <c r="V14" s="1287">
        <f t="shared" si="16"/>
        <v>28821792</v>
      </c>
      <c r="W14" s="1287">
        <f t="shared" si="23"/>
        <v>28821792</v>
      </c>
      <c r="X14" s="1287"/>
      <c r="Y14" s="1287">
        <f t="shared" si="17"/>
        <v>0</v>
      </c>
      <c r="Z14" s="1287">
        <f t="shared" si="18"/>
        <v>0</v>
      </c>
      <c r="AA14" s="1287">
        <f t="shared" si="19"/>
        <v>0</v>
      </c>
      <c r="AB14" s="1287">
        <f t="shared" si="20"/>
        <v>0</v>
      </c>
      <c r="AC14" s="1287">
        <f t="shared" si="21"/>
        <v>0</v>
      </c>
      <c r="AD14" s="1284"/>
      <c r="AE14" s="1213">
        <f t="shared" si="1"/>
        <v>0</v>
      </c>
      <c r="AF14" s="1213">
        <f t="shared" si="2"/>
        <v>0</v>
      </c>
      <c r="AG14" s="1213">
        <f t="shared" si="3"/>
        <v>-1416243</v>
      </c>
      <c r="AH14" s="2919">
        <f t="shared" si="4"/>
        <v>0</v>
      </c>
      <c r="AI14" s="1834">
        <f>+K14/I14</f>
        <v>1</v>
      </c>
      <c r="AJ14" s="417">
        <f t="shared" si="22"/>
        <v>3781577</v>
      </c>
      <c r="AK14" s="420"/>
    </row>
    <row r="15" spans="1:37" s="416" customFormat="1" ht="15">
      <c r="A15" s="2933"/>
      <c r="B15" s="1289" t="s">
        <v>321</v>
      </c>
      <c r="C15" s="1290" t="s">
        <v>238</v>
      </c>
      <c r="D15" s="1287">
        <v>0</v>
      </c>
      <c r="E15" s="2716">
        <v>113466424</v>
      </c>
      <c r="F15" s="1287">
        <v>0</v>
      </c>
      <c r="G15" s="1287">
        <f>+F15+6912177</f>
        <v>6912177</v>
      </c>
      <c r="H15" s="1287">
        <f>+G15+14790156</f>
        <v>21702333</v>
      </c>
      <c r="I15" s="1287">
        <f>+H15+6927609+104235000</f>
        <v>132864942</v>
      </c>
      <c r="J15" s="1287">
        <f t="shared" si="8"/>
        <v>132864942</v>
      </c>
      <c r="K15" s="3219">
        <v>132864942</v>
      </c>
      <c r="L15" s="1287">
        <v>0</v>
      </c>
      <c r="M15" s="1287">
        <f t="shared" si="9"/>
        <v>0</v>
      </c>
      <c r="N15" s="1287">
        <f t="shared" si="10"/>
        <v>0</v>
      </c>
      <c r="O15" s="1287">
        <f t="shared" si="11"/>
        <v>0</v>
      </c>
      <c r="P15" s="1287">
        <f t="shared" si="12"/>
        <v>0</v>
      </c>
      <c r="Q15" s="1287">
        <v>0</v>
      </c>
      <c r="R15" s="1287">
        <f>+F15</f>
        <v>0</v>
      </c>
      <c r="S15" s="1287">
        <f>+R15+6912177</f>
        <v>6912177</v>
      </c>
      <c r="T15" s="1287">
        <f>+S15+14790156</f>
        <v>21702333</v>
      </c>
      <c r="U15" s="1287">
        <f>+T15+6927609+104235000</f>
        <v>132864942</v>
      </c>
      <c r="V15" s="1287">
        <f t="shared" si="16"/>
        <v>132864942</v>
      </c>
      <c r="W15" s="1287">
        <f t="shared" si="23"/>
        <v>132864942</v>
      </c>
      <c r="X15" s="1287"/>
      <c r="Y15" s="1287">
        <f t="shared" si="17"/>
        <v>0</v>
      </c>
      <c r="Z15" s="1287">
        <f t="shared" si="18"/>
        <v>0</v>
      </c>
      <c r="AA15" s="1287">
        <f t="shared" si="19"/>
        <v>0</v>
      </c>
      <c r="AB15" s="1287">
        <f t="shared" si="20"/>
        <v>0</v>
      </c>
      <c r="AC15" s="1287">
        <f t="shared" si="21"/>
        <v>0</v>
      </c>
      <c r="AD15" s="1665"/>
      <c r="AE15" s="1213">
        <f t="shared" si="1"/>
        <v>6912177</v>
      </c>
      <c r="AF15" s="1213">
        <f t="shared" si="2"/>
        <v>14790156</v>
      </c>
      <c r="AG15" s="1213">
        <f t="shared" si="3"/>
        <v>111162609</v>
      </c>
      <c r="AH15" s="2919">
        <f t="shared" si="4"/>
        <v>0</v>
      </c>
      <c r="AI15" s="1834">
        <f>+K15/I15</f>
        <v>1</v>
      </c>
      <c r="AJ15" s="417">
        <f t="shared" si="22"/>
        <v>0</v>
      </c>
      <c r="AK15" s="420"/>
    </row>
    <row r="16" spans="1:37" s="416" customFormat="1" ht="15">
      <c r="A16" s="2933"/>
      <c r="B16" s="1289" t="s">
        <v>323</v>
      </c>
      <c r="C16" s="1286" t="s">
        <v>1277</v>
      </c>
      <c r="D16" s="1287">
        <v>3806033</v>
      </c>
      <c r="E16" s="2716">
        <v>5810762</v>
      </c>
      <c r="F16" s="1287">
        <v>3291998</v>
      </c>
      <c r="G16" s="1287">
        <f>+F16</f>
        <v>3291998</v>
      </c>
      <c r="H16" s="1287">
        <f>+G16</f>
        <v>3291998</v>
      </c>
      <c r="I16" s="1287">
        <f>+H16-1245202</f>
        <v>2046796</v>
      </c>
      <c r="J16" s="1287">
        <f t="shared" si="8"/>
        <v>2046796</v>
      </c>
      <c r="K16" s="3219">
        <v>2046796</v>
      </c>
      <c r="L16" s="1287">
        <v>0</v>
      </c>
      <c r="M16" s="1287">
        <f t="shared" si="9"/>
        <v>0</v>
      </c>
      <c r="N16" s="1287">
        <f t="shared" si="10"/>
        <v>0</v>
      </c>
      <c r="O16" s="1287">
        <f t="shared" si="11"/>
        <v>0</v>
      </c>
      <c r="P16" s="1287">
        <f t="shared" si="12"/>
        <v>0</v>
      </c>
      <c r="Q16" s="1287">
        <v>0</v>
      </c>
      <c r="R16" s="1287">
        <f>+F16</f>
        <v>3291998</v>
      </c>
      <c r="S16" s="1287">
        <f t="shared" si="13"/>
        <v>3291998</v>
      </c>
      <c r="T16" s="1287">
        <f t="shared" si="13"/>
        <v>3291998</v>
      </c>
      <c r="U16" s="1287">
        <f>+T16-1245202</f>
        <v>2046796</v>
      </c>
      <c r="V16" s="1287">
        <f t="shared" si="16"/>
        <v>2046796</v>
      </c>
      <c r="W16" s="1287">
        <f t="shared" si="23"/>
        <v>2046796</v>
      </c>
      <c r="X16" s="1287"/>
      <c r="Y16" s="1287">
        <f t="shared" si="17"/>
        <v>0</v>
      </c>
      <c r="Z16" s="1287">
        <f t="shared" si="18"/>
        <v>0</v>
      </c>
      <c r="AA16" s="1287">
        <f t="shared" si="19"/>
        <v>0</v>
      </c>
      <c r="AB16" s="1287">
        <f t="shared" si="20"/>
        <v>0</v>
      </c>
      <c r="AC16" s="1287">
        <f t="shared" si="21"/>
        <v>0</v>
      </c>
      <c r="AD16" s="1284"/>
      <c r="AE16" s="1213">
        <f t="shared" si="1"/>
        <v>0</v>
      </c>
      <c r="AF16" s="1213">
        <f t="shared" si="2"/>
        <v>0</v>
      </c>
      <c r="AG16" s="1213">
        <f t="shared" si="3"/>
        <v>-1245202</v>
      </c>
      <c r="AH16" s="2919">
        <f t="shared" si="4"/>
        <v>0</v>
      </c>
      <c r="AI16" s="1834">
        <f>+K16/I16</f>
        <v>1</v>
      </c>
      <c r="AJ16" s="417">
        <f t="shared" si="22"/>
        <v>-514035</v>
      </c>
      <c r="AK16" s="420"/>
    </row>
    <row r="17" spans="1:37" s="416" customFormat="1" ht="15">
      <c r="A17" s="2933"/>
      <c r="B17" s="1289" t="s">
        <v>325</v>
      </c>
      <c r="C17" s="1286" t="s">
        <v>242</v>
      </c>
      <c r="D17" s="1287">
        <v>0</v>
      </c>
      <c r="E17" s="2716">
        <v>0</v>
      </c>
      <c r="F17" s="1287">
        <v>0</v>
      </c>
      <c r="G17" s="1287">
        <f t="shared" si="5"/>
        <v>0</v>
      </c>
      <c r="H17" s="1287">
        <f t="shared" si="6"/>
        <v>0</v>
      </c>
      <c r="I17" s="1287">
        <f t="shared" si="7"/>
        <v>0</v>
      </c>
      <c r="J17" s="1287">
        <f t="shared" si="8"/>
        <v>0</v>
      </c>
      <c r="K17" s="3219">
        <v>0</v>
      </c>
      <c r="L17" s="1287">
        <v>0</v>
      </c>
      <c r="M17" s="1287">
        <f t="shared" si="9"/>
        <v>0</v>
      </c>
      <c r="N17" s="1287">
        <f t="shared" si="10"/>
        <v>0</v>
      </c>
      <c r="O17" s="1287">
        <f t="shared" si="11"/>
        <v>0</v>
      </c>
      <c r="P17" s="1287">
        <f t="shared" si="12"/>
        <v>0</v>
      </c>
      <c r="Q17" s="1287">
        <v>0</v>
      </c>
      <c r="R17" s="1287">
        <v>0</v>
      </c>
      <c r="S17" s="1287">
        <f t="shared" si="13"/>
        <v>0</v>
      </c>
      <c r="T17" s="1287">
        <f t="shared" si="14"/>
        <v>0</v>
      </c>
      <c r="U17" s="1287">
        <f t="shared" si="15"/>
        <v>0</v>
      </c>
      <c r="V17" s="1287">
        <f t="shared" si="16"/>
        <v>0</v>
      </c>
      <c r="W17" s="1287">
        <f t="shared" si="23"/>
        <v>0</v>
      </c>
      <c r="X17" s="1287"/>
      <c r="Y17" s="1287">
        <f t="shared" si="17"/>
        <v>0</v>
      </c>
      <c r="Z17" s="1287">
        <f t="shared" si="18"/>
        <v>0</v>
      </c>
      <c r="AA17" s="1287">
        <f t="shared" si="19"/>
        <v>0</v>
      </c>
      <c r="AB17" s="1287">
        <f t="shared" si="20"/>
        <v>0</v>
      </c>
      <c r="AC17" s="1287">
        <f t="shared" si="21"/>
        <v>0</v>
      </c>
      <c r="AD17" s="1284"/>
      <c r="AE17" s="1213">
        <f t="shared" si="1"/>
        <v>0</v>
      </c>
      <c r="AF17" s="1213">
        <f t="shared" si="2"/>
        <v>0</v>
      </c>
      <c r="AG17" s="1213">
        <f t="shared" si="3"/>
        <v>0</v>
      </c>
      <c r="AH17" s="2919">
        <f t="shared" si="4"/>
        <v>0</v>
      </c>
      <c r="AI17" s="1834"/>
      <c r="AJ17" s="417">
        <f t="shared" si="22"/>
        <v>0</v>
      </c>
      <c r="AK17" s="420"/>
    </row>
    <row r="18" spans="1:37" s="416" customFormat="1" ht="15">
      <c r="A18" s="2933"/>
      <c r="B18" s="1289" t="s">
        <v>327</v>
      </c>
      <c r="C18" s="1286" t="s">
        <v>163</v>
      </c>
      <c r="D18" s="1287">
        <v>0</v>
      </c>
      <c r="E18" s="2716">
        <v>0</v>
      </c>
      <c r="F18" s="1287">
        <v>0</v>
      </c>
      <c r="G18" s="1287">
        <f t="shared" si="5"/>
        <v>0</v>
      </c>
      <c r="H18" s="1287">
        <f t="shared" si="6"/>
        <v>0</v>
      </c>
      <c r="I18" s="1287">
        <v>0</v>
      </c>
      <c r="J18" s="1287">
        <f t="shared" si="8"/>
        <v>0</v>
      </c>
      <c r="K18" s="3219">
        <v>0</v>
      </c>
      <c r="L18" s="1287">
        <v>0</v>
      </c>
      <c r="M18" s="1287">
        <v>0</v>
      </c>
      <c r="N18" s="1287">
        <f t="shared" si="10"/>
        <v>0</v>
      </c>
      <c r="O18" s="1287">
        <v>0</v>
      </c>
      <c r="P18" s="1287"/>
      <c r="Q18" s="1287">
        <v>0</v>
      </c>
      <c r="R18" s="1287">
        <v>0</v>
      </c>
      <c r="S18" s="1287">
        <f t="shared" si="13"/>
        <v>0</v>
      </c>
      <c r="T18" s="1287">
        <f t="shared" si="14"/>
        <v>0</v>
      </c>
      <c r="U18" s="1287">
        <v>0</v>
      </c>
      <c r="V18" s="1287"/>
      <c r="W18" s="1287">
        <f t="shared" si="23"/>
        <v>0</v>
      </c>
      <c r="X18" s="1287"/>
      <c r="Y18" s="1287"/>
      <c r="Z18" s="1287"/>
      <c r="AA18" s="1287"/>
      <c r="AB18" s="1287"/>
      <c r="AC18" s="1287"/>
      <c r="AD18" s="1284"/>
      <c r="AE18" s="1213">
        <f t="shared" si="1"/>
        <v>0</v>
      </c>
      <c r="AF18" s="1213">
        <f t="shared" si="2"/>
        <v>0</v>
      </c>
      <c r="AG18" s="1213">
        <f t="shared" si="3"/>
        <v>0</v>
      </c>
      <c r="AH18" s="2919">
        <f t="shared" si="4"/>
        <v>0</v>
      </c>
      <c r="AI18" s="1834"/>
      <c r="AJ18" s="417">
        <f t="shared" si="22"/>
        <v>0</v>
      </c>
      <c r="AK18" s="420"/>
    </row>
    <row r="19" spans="1:37" s="424" customFormat="1" ht="15">
      <c r="A19" s="2933"/>
      <c r="B19" s="1289" t="s">
        <v>329</v>
      </c>
      <c r="C19" s="1286" t="s">
        <v>162</v>
      </c>
      <c r="D19" s="1287">
        <v>0</v>
      </c>
      <c r="E19" s="2716">
        <v>96010</v>
      </c>
      <c r="F19" s="1287">
        <v>0</v>
      </c>
      <c r="G19" s="1287">
        <f t="shared" si="5"/>
        <v>0</v>
      </c>
      <c r="H19" s="1287">
        <f t="shared" si="6"/>
        <v>0</v>
      </c>
      <c r="I19" s="1287">
        <f>+H19+179865</f>
        <v>179865</v>
      </c>
      <c r="J19" s="1287">
        <f t="shared" si="8"/>
        <v>179865</v>
      </c>
      <c r="K19" s="3219">
        <v>179865</v>
      </c>
      <c r="L19" s="1287">
        <v>0</v>
      </c>
      <c r="M19" s="1287">
        <f>+L19</f>
        <v>0</v>
      </c>
      <c r="N19" s="1287">
        <f t="shared" si="10"/>
        <v>0</v>
      </c>
      <c r="O19" s="1287">
        <f>+N19</f>
        <v>0</v>
      </c>
      <c r="P19" s="1287">
        <f>+O19</f>
        <v>0</v>
      </c>
      <c r="Q19" s="1287">
        <v>0</v>
      </c>
      <c r="R19" s="1287">
        <v>0</v>
      </c>
      <c r="S19" s="1287">
        <f t="shared" si="13"/>
        <v>0</v>
      </c>
      <c r="T19" s="1287">
        <f t="shared" si="14"/>
        <v>0</v>
      </c>
      <c r="U19" s="1287">
        <f>+T19+179865</f>
        <v>179865</v>
      </c>
      <c r="V19" s="1287">
        <f>+U19</f>
        <v>179865</v>
      </c>
      <c r="W19" s="1287">
        <f t="shared" si="23"/>
        <v>179865</v>
      </c>
      <c r="X19" s="1287"/>
      <c r="Y19" s="1287">
        <f>+X19</f>
        <v>0</v>
      </c>
      <c r="Z19" s="1287">
        <f>+Y19</f>
        <v>0</v>
      </c>
      <c r="AA19" s="1287">
        <f>+Z19</f>
        <v>0</v>
      </c>
      <c r="AB19" s="1287">
        <f>+AA19</f>
        <v>0</v>
      </c>
      <c r="AC19" s="1287">
        <f>+AB19</f>
        <v>0</v>
      </c>
      <c r="AD19" s="1284"/>
      <c r="AE19" s="1213">
        <f t="shared" si="1"/>
        <v>0</v>
      </c>
      <c r="AF19" s="1213">
        <f t="shared" si="2"/>
        <v>0</v>
      </c>
      <c r="AG19" s="1213">
        <f t="shared" si="3"/>
        <v>179865</v>
      </c>
      <c r="AH19" s="2919">
        <f t="shared" si="4"/>
        <v>0</v>
      </c>
      <c r="AI19" s="1834">
        <f>+K19/I19</f>
        <v>1</v>
      </c>
      <c r="AJ19" s="417">
        <f t="shared" si="22"/>
        <v>0</v>
      </c>
      <c r="AK19" s="420"/>
    </row>
    <row r="20" spans="1:37" s="424" customFormat="1" ht="15">
      <c r="A20" s="2934" t="s">
        <v>12</v>
      </c>
      <c r="B20" s="1282" t="s">
        <v>12</v>
      </c>
      <c r="C20" s="1283" t="s">
        <v>1278</v>
      </c>
      <c r="D20" s="1213">
        <f t="shared" ref="D20:AC20" si="24">SUM(D21:D22)</f>
        <v>0</v>
      </c>
      <c r="E20" s="2715">
        <f t="shared" si="24"/>
        <v>0</v>
      </c>
      <c r="F20" s="1213">
        <f t="shared" si="24"/>
        <v>0</v>
      </c>
      <c r="G20" s="1213">
        <f t="shared" si="24"/>
        <v>0</v>
      </c>
      <c r="H20" s="1213">
        <f t="shared" si="24"/>
        <v>0</v>
      </c>
      <c r="I20" s="1213">
        <f t="shared" si="24"/>
        <v>0</v>
      </c>
      <c r="J20" s="1213">
        <f t="shared" si="24"/>
        <v>0</v>
      </c>
      <c r="K20" s="3208">
        <f>SUM(K21:K22)</f>
        <v>0</v>
      </c>
      <c r="L20" s="1213">
        <f t="shared" si="24"/>
        <v>0</v>
      </c>
      <c r="M20" s="1213">
        <f t="shared" si="24"/>
        <v>0</v>
      </c>
      <c r="N20" s="1213">
        <f t="shared" si="24"/>
        <v>0</v>
      </c>
      <c r="O20" s="1213">
        <f t="shared" si="24"/>
        <v>0</v>
      </c>
      <c r="P20" s="1213">
        <f t="shared" si="24"/>
        <v>0</v>
      </c>
      <c r="Q20" s="1213">
        <f t="shared" si="24"/>
        <v>0</v>
      </c>
      <c r="R20" s="1213">
        <f t="shared" si="24"/>
        <v>0</v>
      </c>
      <c r="S20" s="1213">
        <f t="shared" si="24"/>
        <v>0</v>
      </c>
      <c r="T20" s="1213">
        <f t="shared" si="24"/>
        <v>0</v>
      </c>
      <c r="U20" s="1213">
        <f t="shared" si="24"/>
        <v>0</v>
      </c>
      <c r="V20" s="1213">
        <f t="shared" si="24"/>
        <v>0</v>
      </c>
      <c r="W20" s="1213">
        <f t="shared" si="24"/>
        <v>0</v>
      </c>
      <c r="X20" s="1213">
        <f t="shared" si="24"/>
        <v>0</v>
      </c>
      <c r="Y20" s="1213">
        <f t="shared" si="24"/>
        <v>0</v>
      </c>
      <c r="Z20" s="1213">
        <f t="shared" si="24"/>
        <v>0</v>
      </c>
      <c r="AA20" s="1213">
        <f t="shared" si="24"/>
        <v>0</v>
      </c>
      <c r="AB20" s="1213">
        <f t="shared" si="24"/>
        <v>0</v>
      </c>
      <c r="AC20" s="1213">
        <f t="shared" si="24"/>
        <v>0</v>
      </c>
      <c r="AD20" s="1284"/>
      <c r="AE20" s="1213">
        <f t="shared" si="1"/>
        <v>0</v>
      </c>
      <c r="AF20" s="1213">
        <f t="shared" si="2"/>
        <v>0</v>
      </c>
      <c r="AG20" s="1213">
        <f t="shared" si="3"/>
        <v>0</v>
      </c>
      <c r="AH20" s="2919">
        <f t="shared" si="4"/>
        <v>0</v>
      </c>
      <c r="AI20" s="1829"/>
      <c r="AJ20" s="417">
        <f t="shared" si="22"/>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3219">
        <v>0</v>
      </c>
      <c r="L21" s="1287">
        <v>0</v>
      </c>
      <c r="M21" s="1287">
        <f t="shared" ref="M21:P22" si="26">+L21</f>
        <v>0</v>
      </c>
      <c r="N21" s="1287">
        <f t="shared" si="26"/>
        <v>0</v>
      </c>
      <c r="O21" s="1287">
        <f t="shared" si="26"/>
        <v>0</v>
      </c>
      <c r="P21" s="1287">
        <f t="shared" si="26"/>
        <v>0</v>
      </c>
      <c r="Q21" s="1287">
        <v>0</v>
      </c>
      <c r="R21" s="1287">
        <v>0</v>
      </c>
      <c r="S21" s="1287">
        <f t="shared" ref="S21:V22" si="27">+R21</f>
        <v>0</v>
      </c>
      <c r="T21" s="1287">
        <f t="shared" si="27"/>
        <v>0</v>
      </c>
      <c r="U21" s="1287">
        <f t="shared" si="27"/>
        <v>0</v>
      </c>
      <c r="V21" s="1287">
        <f t="shared" si="27"/>
        <v>0</v>
      </c>
      <c r="W21" s="1287">
        <f>+K21</f>
        <v>0</v>
      </c>
      <c r="X21" s="1287"/>
      <c r="Y21" s="1287">
        <f t="shared" ref="Y21:AC22" si="28">+X21</f>
        <v>0</v>
      </c>
      <c r="Z21" s="1287">
        <f t="shared" si="28"/>
        <v>0</v>
      </c>
      <c r="AA21" s="1287">
        <f t="shared" si="28"/>
        <v>0</v>
      </c>
      <c r="AB21" s="1287">
        <f t="shared" si="28"/>
        <v>0</v>
      </c>
      <c r="AC21" s="1287">
        <f t="shared" si="28"/>
        <v>0</v>
      </c>
      <c r="AD21" s="1284"/>
      <c r="AE21" s="1213">
        <f t="shared" si="1"/>
        <v>0</v>
      </c>
      <c r="AF21" s="1213">
        <f t="shared" si="2"/>
        <v>0</v>
      </c>
      <c r="AG21" s="1213">
        <f t="shared" si="3"/>
        <v>0</v>
      </c>
      <c r="AH21" s="2919">
        <f t="shared" si="4"/>
        <v>0</v>
      </c>
      <c r="AI21" s="1834"/>
      <c r="AJ21" s="417">
        <f t="shared" si="22"/>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3219">
        <v>0</v>
      </c>
      <c r="L22" s="1287">
        <v>0</v>
      </c>
      <c r="M22" s="1287">
        <f t="shared" si="26"/>
        <v>0</v>
      </c>
      <c r="N22" s="1287">
        <f t="shared" si="26"/>
        <v>0</v>
      </c>
      <c r="O22" s="1287">
        <f t="shared" si="26"/>
        <v>0</v>
      </c>
      <c r="P22" s="1287">
        <f t="shared" si="26"/>
        <v>0</v>
      </c>
      <c r="Q22" s="1287">
        <v>0</v>
      </c>
      <c r="R22" s="1287">
        <v>0</v>
      </c>
      <c r="S22" s="1287">
        <f t="shared" si="27"/>
        <v>0</v>
      </c>
      <c r="T22" s="1287">
        <f t="shared" si="27"/>
        <v>0</v>
      </c>
      <c r="U22" s="1287">
        <f t="shared" si="27"/>
        <v>0</v>
      </c>
      <c r="V22" s="1287">
        <f t="shared" si="27"/>
        <v>0</v>
      </c>
      <c r="W22" s="1287">
        <f>+K22</f>
        <v>0</v>
      </c>
      <c r="X22" s="1287"/>
      <c r="Y22" s="1287">
        <f t="shared" si="28"/>
        <v>0</v>
      </c>
      <c r="Z22" s="1287">
        <f t="shared" si="28"/>
        <v>0</v>
      </c>
      <c r="AA22" s="1287">
        <f t="shared" si="28"/>
        <v>0</v>
      </c>
      <c r="AB22" s="1287">
        <f t="shared" si="28"/>
        <v>0</v>
      </c>
      <c r="AC22" s="1287">
        <f t="shared" si="28"/>
        <v>0</v>
      </c>
      <c r="AD22" s="1284"/>
      <c r="AE22" s="1213">
        <f t="shared" si="1"/>
        <v>0</v>
      </c>
      <c r="AF22" s="1213">
        <f t="shared" si="2"/>
        <v>0</v>
      </c>
      <c r="AG22" s="1213">
        <f t="shared" si="3"/>
        <v>0</v>
      </c>
      <c r="AH22" s="2919">
        <f t="shared" si="4"/>
        <v>0</v>
      </c>
      <c r="AI22" s="1834"/>
      <c r="AJ22" s="417">
        <f t="shared" si="22"/>
        <v>0</v>
      </c>
      <c r="AK22" s="420"/>
    </row>
    <row r="23" spans="1:37" s="416" customFormat="1" ht="21">
      <c r="A23" s="2934" t="s">
        <v>14</v>
      </c>
      <c r="B23" s="1282" t="s">
        <v>14</v>
      </c>
      <c r="C23" s="1283" t="s">
        <v>1279</v>
      </c>
      <c r="D23" s="1213">
        <f t="shared" ref="D23:AC23" si="29">D24+D25</f>
        <v>0</v>
      </c>
      <c r="E23" s="2715">
        <f t="shared" si="29"/>
        <v>2542545</v>
      </c>
      <c r="F23" s="1213">
        <f t="shared" si="29"/>
        <v>0</v>
      </c>
      <c r="G23" s="1213">
        <f t="shared" si="29"/>
        <v>0</v>
      </c>
      <c r="H23" s="1213">
        <f t="shared" si="29"/>
        <v>0</v>
      </c>
      <c r="I23" s="1213">
        <f t="shared" si="29"/>
        <v>2500000</v>
      </c>
      <c r="J23" s="1213">
        <f t="shared" si="29"/>
        <v>2500000</v>
      </c>
      <c r="K23" s="3208">
        <f t="shared" si="29"/>
        <v>2500000</v>
      </c>
      <c r="L23" s="1213">
        <f t="shared" si="29"/>
        <v>0</v>
      </c>
      <c r="M23" s="1213">
        <f t="shared" si="29"/>
        <v>0</v>
      </c>
      <c r="N23" s="1213">
        <f t="shared" si="29"/>
        <v>0</v>
      </c>
      <c r="O23" s="1213">
        <f t="shared" si="29"/>
        <v>0</v>
      </c>
      <c r="P23" s="1213">
        <f t="shared" si="29"/>
        <v>0</v>
      </c>
      <c r="Q23" s="1213">
        <f t="shared" si="29"/>
        <v>0</v>
      </c>
      <c r="R23" s="1213">
        <f t="shared" si="29"/>
        <v>0</v>
      </c>
      <c r="S23" s="1213">
        <f t="shared" si="29"/>
        <v>0</v>
      </c>
      <c r="T23" s="1213">
        <f t="shared" si="29"/>
        <v>0</v>
      </c>
      <c r="U23" s="1213">
        <f t="shared" si="29"/>
        <v>2500000</v>
      </c>
      <c r="V23" s="1213">
        <f t="shared" si="29"/>
        <v>2500000</v>
      </c>
      <c r="W23" s="1213">
        <f t="shared" si="29"/>
        <v>2500000</v>
      </c>
      <c r="X23" s="1213">
        <f t="shared" si="29"/>
        <v>0</v>
      </c>
      <c r="Y23" s="1213">
        <f t="shared" si="29"/>
        <v>0</v>
      </c>
      <c r="Z23" s="1213">
        <f t="shared" si="29"/>
        <v>0</v>
      </c>
      <c r="AA23" s="1213">
        <f t="shared" si="29"/>
        <v>0</v>
      </c>
      <c r="AB23" s="1213">
        <f t="shared" si="29"/>
        <v>0</v>
      </c>
      <c r="AC23" s="1213">
        <f t="shared" si="29"/>
        <v>0</v>
      </c>
      <c r="AD23" s="1284"/>
      <c r="AE23" s="1213">
        <f t="shared" si="1"/>
        <v>0</v>
      </c>
      <c r="AF23" s="1213">
        <f t="shared" si="2"/>
        <v>0</v>
      </c>
      <c r="AG23" s="1213">
        <f t="shared" si="3"/>
        <v>2500000</v>
      </c>
      <c r="AH23" s="2919">
        <f t="shared" si="4"/>
        <v>0</v>
      </c>
      <c r="AI23" s="1831">
        <f>+K23/I23</f>
        <v>1</v>
      </c>
      <c r="AJ23" s="417">
        <f t="shared" si="22"/>
        <v>0</v>
      </c>
      <c r="AK23" s="412"/>
    </row>
    <row r="24" spans="1:37" s="416" customFormat="1" ht="15">
      <c r="A24" s="2934"/>
      <c r="B24" s="1289" t="s">
        <v>198</v>
      </c>
      <c r="C24" s="1284" t="s">
        <v>186</v>
      </c>
      <c r="D24" s="1213">
        <v>0</v>
      </c>
      <c r="E24" s="2715">
        <v>0</v>
      </c>
      <c r="F24" s="1213">
        <v>0</v>
      </c>
      <c r="G24" s="1213">
        <f>+F24</f>
        <v>0</v>
      </c>
      <c r="H24" s="1213">
        <f t="shared" ref="H24:H31" si="30">+G24</f>
        <v>0</v>
      </c>
      <c r="I24" s="1213">
        <f t="shared" ref="I24:I31" si="31">+H24</f>
        <v>0</v>
      </c>
      <c r="J24" s="1291">
        <f t="shared" ref="J24:J31" si="32">+I24</f>
        <v>0</v>
      </c>
      <c r="K24" s="3219">
        <f>0</f>
        <v>0</v>
      </c>
      <c r="L24" s="1213">
        <v>0</v>
      </c>
      <c r="M24" s="1213">
        <f t="shared" ref="M24:M31" si="33">+L24</f>
        <v>0</v>
      </c>
      <c r="N24" s="1213">
        <f t="shared" ref="N24:N31" si="34">+M24</f>
        <v>0</v>
      </c>
      <c r="O24" s="1213">
        <f t="shared" ref="O24:O31" si="35">+N24</f>
        <v>0</v>
      </c>
      <c r="P24" s="1213">
        <f t="shared" ref="P24:P31" si="36">+O24</f>
        <v>0</v>
      </c>
      <c r="Q24" s="1213">
        <v>0</v>
      </c>
      <c r="R24" s="1213">
        <v>0</v>
      </c>
      <c r="S24" s="1213">
        <f t="shared" ref="S24:S31" si="37">+R24</f>
        <v>0</v>
      </c>
      <c r="T24" s="1213">
        <f t="shared" ref="T24:T31" si="38">+S24</f>
        <v>0</v>
      </c>
      <c r="U24" s="1213">
        <f t="shared" ref="U24:V27" si="39">+T24</f>
        <v>0</v>
      </c>
      <c r="V24" s="1213">
        <f t="shared" si="39"/>
        <v>0</v>
      </c>
      <c r="W24" s="1291">
        <f t="shared" ref="W24:W31" si="40">+K24</f>
        <v>0</v>
      </c>
      <c r="X24" s="1213"/>
      <c r="Y24" s="1213">
        <f t="shared" ref="Y24:Y31" si="41">+X24</f>
        <v>0</v>
      </c>
      <c r="Z24" s="1213">
        <f t="shared" ref="Z24:Z31" si="42">+Y24</f>
        <v>0</v>
      </c>
      <c r="AA24" s="1213">
        <f t="shared" ref="AA24:AA31" si="43">+Z24</f>
        <v>0</v>
      </c>
      <c r="AB24" s="1213">
        <f t="shared" ref="AB24:AB31" si="44">+AA24</f>
        <v>0</v>
      </c>
      <c r="AC24" s="1213">
        <f t="shared" ref="AC24:AC31" si="45">+AB24</f>
        <v>0</v>
      </c>
      <c r="AD24" s="1284"/>
      <c r="AE24" s="1213">
        <f t="shared" si="1"/>
        <v>0</v>
      </c>
      <c r="AF24" s="1213">
        <f t="shared" si="2"/>
        <v>0</v>
      </c>
      <c r="AG24" s="1213">
        <f t="shared" si="3"/>
        <v>0</v>
      </c>
      <c r="AH24" s="2919">
        <f t="shared" si="4"/>
        <v>0</v>
      </c>
      <c r="AI24" s="1834"/>
      <c r="AJ24" s="417">
        <f t="shared" si="22"/>
        <v>0</v>
      </c>
      <c r="AK24" s="412"/>
    </row>
    <row r="25" spans="1:37" s="424" customFormat="1" ht="15">
      <c r="A25" s="2933"/>
      <c r="B25" s="1289" t="s">
        <v>200</v>
      </c>
      <c r="C25" s="1286" t="s">
        <v>148</v>
      </c>
      <c r="D25" s="1287">
        <v>0</v>
      </c>
      <c r="E25" s="2716">
        <v>2542545</v>
      </c>
      <c r="F25" s="1287">
        <v>0</v>
      </c>
      <c r="G25" s="1287">
        <f>+F25</f>
        <v>0</v>
      </c>
      <c r="H25" s="1287">
        <f>G25</f>
        <v>0</v>
      </c>
      <c r="I25" s="1287">
        <f>+H25+2500000</f>
        <v>2500000</v>
      </c>
      <c r="J25" s="1291">
        <f t="shared" si="32"/>
        <v>2500000</v>
      </c>
      <c r="K25" s="3219">
        <v>2500000</v>
      </c>
      <c r="L25" s="1287">
        <v>0</v>
      </c>
      <c r="M25" s="1287">
        <f t="shared" si="33"/>
        <v>0</v>
      </c>
      <c r="N25" s="1287">
        <f t="shared" si="34"/>
        <v>0</v>
      </c>
      <c r="O25" s="1287">
        <f t="shared" si="35"/>
        <v>0</v>
      </c>
      <c r="P25" s="1287">
        <f t="shared" si="36"/>
        <v>0</v>
      </c>
      <c r="Q25" s="1287">
        <v>0</v>
      </c>
      <c r="R25" s="1287">
        <v>0</v>
      </c>
      <c r="S25" s="1287">
        <f t="shared" si="37"/>
        <v>0</v>
      </c>
      <c r="T25" s="1287">
        <f t="shared" si="38"/>
        <v>0</v>
      </c>
      <c r="U25" s="1287">
        <f>+T25+2500000</f>
        <v>2500000</v>
      </c>
      <c r="V25" s="1287">
        <f t="shared" si="39"/>
        <v>2500000</v>
      </c>
      <c r="W25" s="1291">
        <f t="shared" si="40"/>
        <v>2500000</v>
      </c>
      <c r="X25" s="1287"/>
      <c r="Y25" s="1287">
        <f t="shared" si="41"/>
        <v>0</v>
      </c>
      <c r="Z25" s="1287">
        <f t="shared" si="42"/>
        <v>0</v>
      </c>
      <c r="AA25" s="1287">
        <f t="shared" si="43"/>
        <v>0</v>
      </c>
      <c r="AB25" s="1287">
        <f t="shared" si="44"/>
        <v>0</v>
      </c>
      <c r="AC25" s="1287">
        <f t="shared" si="45"/>
        <v>0</v>
      </c>
      <c r="AD25" s="1284"/>
      <c r="AE25" s="1213">
        <f t="shared" si="1"/>
        <v>0</v>
      </c>
      <c r="AF25" s="1213">
        <f t="shared" si="2"/>
        <v>0</v>
      </c>
      <c r="AG25" s="1213">
        <f t="shared" si="3"/>
        <v>2500000</v>
      </c>
      <c r="AH25" s="2919">
        <f t="shared" si="4"/>
        <v>0</v>
      </c>
      <c r="AI25" s="1834">
        <f>+K25/I25</f>
        <v>1</v>
      </c>
      <c r="AJ25" s="417">
        <f t="shared" si="22"/>
        <v>0</v>
      </c>
      <c r="AK25" s="420"/>
    </row>
    <row r="26" spans="1:37" s="424" customFormat="1" ht="15">
      <c r="A26" s="2933"/>
      <c r="B26" s="1289" t="s">
        <v>202</v>
      </c>
      <c r="C26" s="1290" t="s">
        <v>1280</v>
      </c>
      <c r="D26" s="1287">
        <v>0</v>
      </c>
      <c r="E26" s="2716">
        <v>0</v>
      </c>
      <c r="F26" s="1287">
        <v>0</v>
      </c>
      <c r="G26" s="1213">
        <f t="shared" ref="G26:G31" si="46">+F26</f>
        <v>0</v>
      </c>
      <c r="H26" s="1213">
        <f t="shared" si="30"/>
        <v>0</v>
      </c>
      <c r="I26" s="1287">
        <f t="shared" si="31"/>
        <v>0</v>
      </c>
      <c r="J26" s="1291">
        <f t="shared" si="32"/>
        <v>0</v>
      </c>
      <c r="K26" s="3219">
        <v>0</v>
      </c>
      <c r="L26" s="1287">
        <v>0</v>
      </c>
      <c r="M26" s="1287">
        <f t="shared" si="33"/>
        <v>0</v>
      </c>
      <c r="N26" s="1287">
        <f t="shared" si="34"/>
        <v>0</v>
      </c>
      <c r="O26" s="1287">
        <f t="shared" si="35"/>
        <v>0</v>
      </c>
      <c r="P26" s="1287">
        <f t="shared" si="36"/>
        <v>0</v>
      </c>
      <c r="Q26" s="1287">
        <v>0</v>
      </c>
      <c r="R26" s="1287">
        <v>0</v>
      </c>
      <c r="S26" s="1287">
        <f t="shared" si="37"/>
        <v>0</v>
      </c>
      <c r="T26" s="1287">
        <f t="shared" si="38"/>
        <v>0</v>
      </c>
      <c r="U26" s="1287">
        <f t="shared" si="39"/>
        <v>0</v>
      </c>
      <c r="V26" s="1287">
        <f t="shared" si="39"/>
        <v>0</v>
      </c>
      <c r="W26" s="1291">
        <f t="shared" si="40"/>
        <v>0</v>
      </c>
      <c r="X26" s="1287"/>
      <c r="Y26" s="1287">
        <f t="shared" si="41"/>
        <v>0</v>
      </c>
      <c r="Z26" s="1287">
        <f t="shared" si="42"/>
        <v>0</v>
      </c>
      <c r="AA26" s="1287">
        <f t="shared" si="43"/>
        <v>0</v>
      </c>
      <c r="AB26" s="1287">
        <f t="shared" si="44"/>
        <v>0</v>
      </c>
      <c r="AC26" s="1287">
        <f t="shared" si="45"/>
        <v>0</v>
      </c>
      <c r="AD26" s="1284"/>
      <c r="AE26" s="1213">
        <f t="shared" si="1"/>
        <v>0</v>
      </c>
      <c r="AF26" s="1213">
        <f t="shared" si="2"/>
        <v>0</v>
      </c>
      <c r="AG26" s="1213">
        <f t="shared" si="3"/>
        <v>0</v>
      </c>
      <c r="AH26" s="2919">
        <f t="shared" si="4"/>
        <v>0</v>
      </c>
      <c r="AI26" s="1834"/>
      <c r="AJ26" s="417">
        <f t="shared" si="22"/>
        <v>0</v>
      </c>
      <c r="AK26" s="420"/>
    </row>
    <row r="27" spans="1:37" s="424" customFormat="1" ht="15">
      <c r="A27" s="2934" t="s">
        <v>15</v>
      </c>
      <c r="B27" s="1282" t="s">
        <v>15</v>
      </c>
      <c r="C27" s="1292" t="s">
        <v>150</v>
      </c>
      <c r="D27" s="1293">
        <v>0</v>
      </c>
      <c r="E27" s="2718">
        <v>0</v>
      </c>
      <c r="F27" s="1293">
        <v>0</v>
      </c>
      <c r="G27" s="1293">
        <f t="shared" si="46"/>
        <v>0</v>
      </c>
      <c r="H27" s="1293">
        <f t="shared" si="30"/>
        <v>0</v>
      </c>
      <c r="I27" s="1293">
        <f t="shared" si="31"/>
        <v>0</v>
      </c>
      <c r="J27" s="1293">
        <f t="shared" si="32"/>
        <v>0</v>
      </c>
      <c r="K27" s="3219">
        <v>0</v>
      </c>
      <c r="L27" s="1293">
        <v>0</v>
      </c>
      <c r="M27" s="1293">
        <f t="shared" si="33"/>
        <v>0</v>
      </c>
      <c r="N27" s="1293">
        <f t="shared" si="34"/>
        <v>0</v>
      </c>
      <c r="O27" s="1293">
        <f t="shared" si="35"/>
        <v>0</v>
      </c>
      <c r="P27" s="1293">
        <f t="shared" si="36"/>
        <v>0</v>
      </c>
      <c r="Q27" s="1293">
        <v>0</v>
      </c>
      <c r="R27" s="1293">
        <v>0</v>
      </c>
      <c r="S27" s="1293">
        <f t="shared" si="37"/>
        <v>0</v>
      </c>
      <c r="T27" s="1293">
        <f t="shared" si="38"/>
        <v>0</v>
      </c>
      <c r="U27" s="1293">
        <f t="shared" si="39"/>
        <v>0</v>
      </c>
      <c r="V27" s="1293">
        <f t="shared" si="39"/>
        <v>0</v>
      </c>
      <c r="W27" s="1293">
        <f t="shared" si="40"/>
        <v>0</v>
      </c>
      <c r="X27" s="1293">
        <f>+V27</f>
        <v>0</v>
      </c>
      <c r="Y27" s="1293">
        <f t="shared" si="41"/>
        <v>0</v>
      </c>
      <c r="Z27" s="1293">
        <f t="shared" si="42"/>
        <v>0</v>
      </c>
      <c r="AA27" s="1293">
        <f t="shared" si="43"/>
        <v>0</v>
      </c>
      <c r="AB27" s="1293">
        <f t="shared" si="44"/>
        <v>0</v>
      </c>
      <c r="AC27" s="1293">
        <f t="shared" si="45"/>
        <v>0</v>
      </c>
      <c r="AD27" s="1284"/>
      <c r="AE27" s="1213">
        <f t="shared" si="1"/>
        <v>0</v>
      </c>
      <c r="AF27" s="1213">
        <f t="shared" si="2"/>
        <v>0</v>
      </c>
      <c r="AG27" s="1213">
        <f t="shared" si="3"/>
        <v>0</v>
      </c>
      <c r="AH27" s="2919">
        <f t="shared" si="4"/>
        <v>0</v>
      </c>
      <c r="AI27" s="1834"/>
      <c r="AJ27" s="417">
        <f t="shared" si="22"/>
        <v>0</v>
      </c>
      <c r="AK27" s="427"/>
    </row>
    <row r="28" spans="1:37" s="424" customFormat="1" ht="15">
      <c r="A28" s="2933"/>
      <c r="B28" s="1289" t="s">
        <v>212</v>
      </c>
      <c r="C28" s="1290" t="s">
        <v>1280</v>
      </c>
      <c r="D28" s="1287">
        <v>0</v>
      </c>
      <c r="E28" s="2716">
        <v>0</v>
      </c>
      <c r="F28" s="1287">
        <v>0</v>
      </c>
      <c r="G28" s="1287">
        <f t="shared" si="46"/>
        <v>0</v>
      </c>
      <c r="H28" s="1287">
        <f t="shared" si="30"/>
        <v>0</v>
      </c>
      <c r="I28" s="1287">
        <f t="shared" si="31"/>
        <v>0</v>
      </c>
      <c r="J28" s="1287">
        <f t="shared" si="32"/>
        <v>0</v>
      </c>
      <c r="K28" s="3219">
        <v>0</v>
      </c>
      <c r="L28" s="1287">
        <v>0</v>
      </c>
      <c r="M28" s="1287">
        <f t="shared" si="33"/>
        <v>0</v>
      </c>
      <c r="N28" s="1287">
        <f t="shared" si="34"/>
        <v>0</v>
      </c>
      <c r="O28" s="1287">
        <f t="shared" si="35"/>
        <v>0</v>
      </c>
      <c r="P28" s="1287">
        <f t="shared" si="36"/>
        <v>0</v>
      </c>
      <c r="Q28" s="1287">
        <v>0</v>
      </c>
      <c r="R28" s="1287">
        <f>+P28</f>
        <v>0</v>
      </c>
      <c r="S28" s="1287">
        <f t="shared" si="37"/>
        <v>0</v>
      </c>
      <c r="T28" s="1287">
        <f t="shared" si="38"/>
        <v>0</v>
      </c>
      <c r="U28" s="1287">
        <v>0</v>
      </c>
      <c r="V28" s="1287"/>
      <c r="W28" s="1287">
        <f t="shared" si="40"/>
        <v>0</v>
      </c>
      <c r="X28" s="1287"/>
      <c r="Y28" s="1287">
        <f t="shared" si="41"/>
        <v>0</v>
      </c>
      <c r="Z28" s="1287">
        <f t="shared" si="42"/>
        <v>0</v>
      </c>
      <c r="AA28" s="1287">
        <f t="shared" si="43"/>
        <v>0</v>
      </c>
      <c r="AB28" s="1287">
        <f t="shared" si="44"/>
        <v>0</v>
      </c>
      <c r="AC28" s="1287">
        <f t="shared" si="45"/>
        <v>0</v>
      </c>
      <c r="AD28" s="1284"/>
      <c r="AE28" s="1213">
        <f t="shared" si="1"/>
        <v>0</v>
      </c>
      <c r="AF28" s="1213">
        <f t="shared" si="2"/>
        <v>0</v>
      </c>
      <c r="AG28" s="1213">
        <f t="shared" si="3"/>
        <v>0</v>
      </c>
      <c r="AH28" s="2919">
        <f t="shared" si="4"/>
        <v>0</v>
      </c>
      <c r="AI28" s="1834"/>
      <c r="AJ28" s="417">
        <f t="shared" si="22"/>
        <v>0</v>
      </c>
      <c r="AK28" s="420"/>
    </row>
    <row r="29" spans="1:37" s="424" customFormat="1" ht="15">
      <c r="A29" s="2934" t="s">
        <v>17</v>
      </c>
      <c r="B29" s="1474" t="s">
        <v>17</v>
      </c>
      <c r="C29" s="1292" t="s">
        <v>153</v>
      </c>
      <c r="D29" s="1213">
        <v>0</v>
      </c>
      <c r="E29" s="2715">
        <v>0</v>
      </c>
      <c r="F29" s="1213">
        <v>0</v>
      </c>
      <c r="G29" s="1213">
        <f t="shared" si="46"/>
        <v>0</v>
      </c>
      <c r="H29" s="1213">
        <f t="shared" si="30"/>
        <v>0</v>
      </c>
      <c r="I29" s="1213">
        <f t="shared" si="31"/>
        <v>0</v>
      </c>
      <c r="J29" s="1213">
        <f t="shared" si="32"/>
        <v>0</v>
      </c>
      <c r="K29" s="3219">
        <v>0</v>
      </c>
      <c r="L29" s="1213">
        <v>0</v>
      </c>
      <c r="M29" s="1213">
        <f t="shared" si="33"/>
        <v>0</v>
      </c>
      <c r="N29" s="1213">
        <f t="shared" si="34"/>
        <v>0</v>
      </c>
      <c r="O29" s="1213">
        <f t="shared" si="35"/>
        <v>0</v>
      </c>
      <c r="P29" s="1213">
        <f t="shared" si="36"/>
        <v>0</v>
      </c>
      <c r="Q29" s="1213">
        <v>0</v>
      </c>
      <c r="R29" s="1213">
        <v>0</v>
      </c>
      <c r="S29" s="1213">
        <f t="shared" si="37"/>
        <v>0</v>
      </c>
      <c r="T29" s="1213">
        <f t="shared" si="38"/>
        <v>0</v>
      </c>
      <c r="U29" s="1213">
        <f t="shared" ref="U29:V31" si="47">+T29</f>
        <v>0</v>
      </c>
      <c r="V29" s="1213">
        <f t="shared" si="47"/>
        <v>0</v>
      </c>
      <c r="W29" s="1213">
        <f t="shared" si="40"/>
        <v>0</v>
      </c>
      <c r="X29" s="1213"/>
      <c r="Y29" s="1213">
        <f t="shared" si="41"/>
        <v>0</v>
      </c>
      <c r="Z29" s="1213">
        <f t="shared" si="42"/>
        <v>0</v>
      </c>
      <c r="AA29" s="1213">
        <f t="shared" si="43"/>
        <v>0</v>
      </c>
      <c r="AB29" s="1213">
        <f t="shared" si="44"/>
        <v>0</v>
      </c>
      <c r="AC29" s="1213">
        <f t="shared" si="45"/>
        <v>0</v>
      </c>
      <c r="AD29" s="1284"/>
      <c r="AE29" s="1213">
        <f t="shared" si="1"/>
        <v>0</v>
      </c>
      <c r="AF29" s="1213">
        <f t="shared" si="2"/>
        <v>0</v>
      </c>
      <c r="AG29" s="1213">
        <f t="shared" si="3"/>
        <v>0</v>
      </c>
      <c r="AH29" s="2919">
        <f t="shared" si="4"/>
        <v>0</v>
      </c>
      <c r="AI29" s="1829"/>
      <c r="AJ29" s="417">
        <f t="shared" si="22"/>
        <v>0</v>
      </c>
      <c r="AK29" s="412"/>
    </row>
    <row r="30" spans="1:37" s="416" customFormat="1" ht="15">
      <c r="A30" s="2934" t="s">
        <v>19</v>
      </c>
      <c r="B30" s="1282" t="s">
        <v>19</v>
      </c>
      <c r="C30" s="1292" t="s">
        <v>1281</v>
      </c>
      <c r="D30" s="1293">
        <v>0</v>
      </c>
      <c r="E30" s="2718">
        <v>0</v>
      </c>
      <c r="F30" s="1293">
        <v>0</v>
      </c>
      <c r="G30" s="1293">
        <f t="shared" si="46"/>
        <v>0</v>
      </c>
      <c r="H30" s="1293">
        <f t="shared" si="30"/>
        <v>0</v>
      </c>
      <c r="I30" s="1293">
        <f t="shared" si="31"/>
        <v>0</v>
      </c>
      <c r="J30" s="1293">
        <f t="shared" si="32"/>
        <v>0</v>
      </c>
      <c r="K30" s="3219">
        <v>0</v>
      </c>
      <c r="L30" s="1293">
        <v>0</v>
      </c>
      <c r="M30" s="1293">
        <f t="shared" si="33"/>
        <v>0</v>
      </c>
      <c r="N30" s="1293">
        <f t="shared" si="34"/>
        <v>0</v>
      </c>
      <c r="O30" s="1293">
        <f t="shared" si="35"/>
        <v>0</v>
      </c>
      <c r="P30" s="1293">
        <f t="shared" si="36"/>
        <v>0</v>
      </c>
      <c r="Q30" s="1293">
        <v>0</v>
      </c>
      <c r="R30" s="1293">
        <v>0</v>
      </c>
      <c r="S30" s="1293">
        <f t="shared" si="37"/>
        <v>0</v>
      </c>
      <c r="T30" s="1293">
        <f t="shared" si="38"/>
        <v>0</v>
      </c>
      <c r="U30" s="1293">
        <f t="shared" si="47"/>
        <v>0</v>
      </c>
      <c r="V30" s="1293">
        <f t="shared" si="47"/>
        <v>0</v>
      </c>
      <c r="W30" s="1293">
        <f t="shared" si="40"/>
        <v>0</v>
      </c>
      <c r="X30" s="1293"/>
      <c r="Y30" s="1293">
        <f t="shared" si="41"/>
        <v>0</v>
      </c>
      <c r="Z30" s="1293">
        <f t="shared" si="42"/>
        <v>0</v>
      </c>
      <c r="AA30" s="1293">
        <f t="shared" si="43"/>
        <v>0</v>
      </c>
      <c r="AB30" s="1293">
        <f t="shared" si="44"/>
        <v>0</v>
      </c>
      <c r="AC30" s="1293">
        <f t="shared" si="45"/>
        <v>0</v>
      </c>
      <c r="AD30" s="1284"/>
      <c r="AE30" s="1213">
        <f t="shared" si="1"/>
        <v>0</v>
      </c>
      <c r="AF30" s="1213">
        <f t="shared" si="2"/>
        <v>0</v>
      </c>
      <c r="AG30" s="1213">
        <f t="shared" si="3"/>
        <v>0</v>
      </c>
      <c r="AH30" s="2919">
        <f t="shared" si="4"/>
        <v>0</v>
      </c>
      <c r="AI30" s="1834"/>
      <c r="AJ30" s="417">
        <f t="shared" si="22"/>
        <v>0</v>
      </c>
      <c r="AK30" s="427"/>
    </row>
    <row r="31" spans="1:37" s="416" customFormat="1" ht="15">
      <c r="A31" s="2934" t="s">
        <v>21</v>
      </c>
      <c r="B31" s="1282" t="s">
        <v>21</v>
      </c>
      <c r="C31" s="1292" t="s">
        <v>393</v>
      </c>
      <c r="D31" s="1227">
        <v>0</v>
      </c>
      <c r="E31" s="2719">
        <v>0</v>
      </c>
      <c r="F31" s="1227">
        <v>0</v>
      </c>
      <c r="G31" s="1227">
        <f t="shared" si="46"/>
        <v>0</v>
      </c>
      <c r="H31" s="1227">
        <f t="shared" si="30"/>
        <v>0</v>
      </c>
      <c r="I31" s="1227">
        <f t="shared" si="31"/>
        <v>0</v>
      </c>
      <c r="J31" s="1227">
        <f t="shared" si="32"/>
        <v>0</v>
      </c>
      <c r="K31" s="3219">
        <v>0</v>
      </c>
      <c r="L31" s="1227">
        <v>0</v>
      </c>
      <c r="M31" s="1227">
        <f t="shared" si="33"/>
        <v>0</v>
      </c>
      <c r="N31" s="1227">
        <f t="shared" si="34"/>
        <v>0</v>
      </c>
      <c r="O31" s="1227">
        <f t="shared" si="35"/>
        <v>0</v>
      </c>
      <c r="P31" s="1227">
        <f t="shared" si="36"/>
        <v>0</v>
      </c>
      <c r="Q31" s="1227">
        <v>0</v>
      </c>
      <c r="R31" s="1227">
        <v>0</v>
      </c>
      <c r="S31" s="1227">
        <f t="shared" si="37"/>
        <v>0</v>
      </c>
      <c r="T31" s="1227">
        <f t="shared" si="38"/>
        <v>0</v>
      </c>
      <c r="U31" s="1227">
        <f t="shared" si="47"/>
        <v>0</v>
      </c>
      <c r="V31" s="1227">
        <f t="shared" si="47"/>
        <v>0</v>
      </c>
      <c r="W31" s="1227">
        <f t="shared" si="40"/>
        <v>0</v>
      </c>
      <c r="X31" s="1227"/>
      <c r="Y31" s="1227">
        <f t="shared" si="41"/>
        <v>0</v>
      </c>
      <c r="Z31" s="1227">
        <f t="shared" si="42"/>
        <v>0</v>
      </c>
      <c r="AA31" s="1227">
        <f t="shared" si="43"/>
        <v>0</v>
      </c>
      <c r="AB31" s="1227">
        <f t="shared" si="44"/>
        <v>0</v>
      </c>
      <c r="AC31" s="1227">
        <f t="shared" si="45"/>
        <v>0</v>
      </c>
      <c r="AD31" s="1284"/>
      <c r="AE31" s="1213">
        <f t="shared" si="1"/>
        <v>0</v>
      </c>
      <c r="AF31" s="1213">
        <f t="shared" si="2"/>
        <v>0</v>
      </c>
      <c r="AG31" s="1213">
        <f t="shared" si="3"/>
        <v>0</v>
      </c>
      <c r="AH31" s="2919">
        <f t="shared" si="4"/>
        <v>0</v>
      </c>
      <c r="AI31" s="1834"/>
      <c r="AJ31" s="417">
        <f t="shared" si="22"/>
        <v>0</v>
      </c>
      <c r="AK31" s="430"/>
    </row>
    <row r="32" spans="1:37" s="416" customFormat="1" ht="15">
      <c r="A32" s="2934" t="s">
        <v>23</v>
      </c>
      <c r="B32" s="1474" t="s">
        <v>23</v>
      </c>
      <c r="C32" s="1292" t="s">
        <v>1282</v>
      </c>
      <c r="D32" s="1213">
        <f t="shared" ref="D32:AC32" si="48">+D8+D20+D23+D27+D29+D30+D31</f>
        <v>156574371</v>
      </c>
      <c r="E32" s="2715">
        <f>+E8+E20+E23+E27+E29+E30+E31</f>
        <v>292524930</v>
      </c>
      <c r="F32" s="1213">
        <f t="shared" si="48"/>
        <v>175852754</v>
      </c>
      <c r="G32" s="1213">
        <f t="shared" si="48"/>
        <v>182764931</v>
      </c>
      <c r="H32" s="1213">
        <f t="shared" si="48"/>
        <v>197555087</v>
      </c>
      <c r="I32" s="1213">
        <f t="shared" si="48"/>
        <v>305732317</v>
      </c>
      <c r="J32" s="1213">
        <f t="shared" si="48"/>
        <v>305732317</v>
      </c>
      <c r="K32" s="3208">
        <f t="shared" si="48"/>
        <v>305732317</v>
      </c>
      <c r="L32" s="1213">
        <f t="shared" si="48"/>
        <v>0</v>
      </c>
      <c r="M32" s="1213">
        <f t="shared" si="48"/>
        <v>0</v>
      </c>
      <c r="N32" s="1213">
        <f t="shared" si="48"/>
        <v>0</v>
      </c>
      <c r="O32" s="1213">
        <f t="shared" si="48"/>
        <v>2291700</v>
      </c>
      <c r="P32" s="1213">
        <f t="shared" si="48"/>
        <v>2291700</v>
      </c>
      <c r="Q32" s="1213">
        <f t="shared" si="48"/>
        <v>2291700</v>
      </c>
      <c r="R32" s="1213">
        <f t="shared" si="48"/>
        <v>175852754</v>
      </c>
      <c r="S32" s="1213">
        <f t="shared" si="48"/>
        <v>182764931</v>
      </c>
      <c r="T32" s="1213">
        <f t="shared" si="48"/>
        <v>197555087</v>
      </c>
      <c r="U32" s="1213">
        <f t="shared" si="48"/>
        <v>303440617</v>
      </c>
      <c r="V32" s="1213">
        <f t="shared" si="48"/>
        <v>303440617</v>
      </c>
      <c r="W32" s="1213">
        <f t="shared" si="48"/>
        <v>303440617</v>
      </c>
      <c r="X32" s="1213">
        <f t="shared" si="48"/>
        <v>0</v>
      </c>
      <c r="Y32" s="1213">
        <f t="shared" si="48"/>
        <v>0</v>
      </c>
      <c r="Z32" s="1213">
        <f t="shared" si="48"/>
        <v>0</v>
      </c>
      <c r="AA32" s="1213">
        <f t="shared" si="48"/>
        <v>0</v>
      </c>
      <c r="AB32" s="1213">
        <f t="shared" si="48"/>
        <v>0</v>
      </c>
      <c r="AC32" s="1213">
        <f t="shared" si="48"/>
        <v>0</v>
      </c>
      <c r="AD32" s="1283"/>
      <c r="AE32" s="1213">
        <f t="shared" si="1"/>
        <v>6912177</v>
      </c>
      <c r="AF32" s="1213">
        <f t="shared" si="2"/>
        <v>14790156</v>
      </c>
      <c r="AG32" s="1213">
        <f t="shared" si="3"/>
        <v>108177230</v>
      </c>
      <c r="AH32" s="2919">
        <f t="shared" si="4"/>
        <v>0</v>
      </c>
      <c r="AI32" s="1829">
        <f>+K32/I32</f>
        <v>1</v>
      </c>
      <c r="AJ32" s="417">
        <f t="shared" si="22"/>
        <v>19278383</v>
      </c>
      <c r="AK32" s="412"/>
    </row>
    <row r="33" spans="1:38" s="424" customFormat="1" ht="15">
      <c r="A33" s="2975" t="s">
        <v>25</v>
      </c>
      <c r="B33" s="1282" t="s">
        <v>25</v>
      </c>
      <c r="C33" s="1292" t="s">
        <v>1305</v>
      </c>
      <c r="D33" s="1213">
        <f t="shared" ref="D33:AC33" si="49">SUM(D34:D36)</f>
        <v>977259143</v>
      </c>
      <c r="E33" s="2715">
        <f>SUM(E34:E36)</f>
        <v>939103058</v>
      </c>
      <c r="F33" s="1213">
        <f t="shared" si="49"/>
        <v>1035884230</v>
      </c>
      <c r="G33" s="1213">
        <f t="shared" si="49"/>
        <v>1113562104</v>
      </c>
      <c r="H33" s="1213">
        <f t="shared" si="49"/>
        <v>1120120855</v>
      </c>
      <c r="I33" s="1213">
        <f t="shared" si="49"/>
        <v>1123561866</v>
      </c>
      <c r="J33" s="1213">
        <f t="shared" si="49"/>
        <v>1123561866</v>
      </c>
      <c r="K33" s="3208">
        <f>SUM(K34:K36)</f>
        <v>1021557273</v>
      </c>
      <c r="L33" s="1213">
        <f t="shared" si="49"/>
        <v>0</v>
      </c>
      <c r="M33" s="1213">
        <f t="shared" si="49"/>
        <v>0</v>
      </c>
      <c r="N33" s="1213">
        <f t="shared" si="49"/>
        <v>0</v>
      </c>
      <c r="O33" s="1213">
        <f t="shared" si="49"/>
        <v>38594054</v>
      </c>
      <c r="P33" s="1213">
        <f t="shared" si="49"/>
        <v>38594054</v>
      </c>
      <c r="Q33" s="1213">
        <f t="shared" si="49"/>
        <v>38594054</v>
      </c>
      <c r="R33" s="1213">
        <f t="shared" si="49"/>
        <v>1035884230</v>
      </c>
      <c r="S33" s="1213">
        <f t="shared" si="49"/>
        <v>1113562104</v>
      </c>
      <c r="T33" s="1213">
        <f t="shared" si="49"/>
        <v>1120120855</v>
      </c>
      <c r="U33" s="1213">
        <f t="shared" si="49"/>
        <v>1084967812</v>
      </c>
      <c r="V33" s="1213">
        <f t="shared" si="49"/>
        <v>1084967812</v>
      </c>
      <c r="W33" s="1213">
        <f t="shared" si="49"/>
        <v>982963219</v>
      </c>
      <c r="X33" s="1213">
        <f t="shared" si="49"/>
        <v>0</v>
      </c>
      <c r="Y33" s="1213">
        <f t="shared" si="49"/>
        <v>0</v>
      </c>
      <c r="Z33" s="1213">
        <f t="shared" si="49"/>
        <v>0</v>
      </c>
      <c r="AA33" s="1213">
        <f t="shared" si="49"/>
        <v>0</v>
      </c>
      <c r="AB33" s="1213">
        <f t="shared" si="49"/>
        <v>0</v>
      </c>
      <c r="AC33" s="1213">
        <f t="shared" si="49"/>
        <v>0</v>
      </c>
      <c r="AD33" s="1284"/>
      <c r="AE33" s="1213">
        <f t="shared" si="1"/>
        <v>77677874</v>
      </c>
      <c r="AF33" s="1213">
        <f t="shared" si="2"/>
        <v>6558751</v>
      </c>
      <c r="AG33" s="1213">
        <f t="shared" si="3"/>
        <v>3441011</v>
      </c>
      <c r="AH33" s="2919">
        <f t="shared" si="4"/>
        <v>0</v>
      </c>
      <c r="AI33" s="1829">
        <f>+K33/I33</f>
        <v>0.90921319414021484</v>
      </c>
      <c r="AJ33" s="417">
        <f t="shared" si="22"/>
        <v>58625087</v>
      </c>
      <c r="AK33" s="412"/>
    </row>
    <row r="34" spans="1:38" s="424" customFormat="1" ht="15">
      <c r="A34" s="2975"/>
      <c r="B34" s="1477" t="s">
        <v>1284</v>
      </c>
      <c r="C34" s="1286" t="s">
        <v>1285</v>
      </c>
      <c r="D34" s="1291">
        <v>0</v>
      </c>
      <c r="E34" s="2717">
        <v>30143168</v>
      </c>
      <c r="F34" s="1291">
        <v>0</v>
      </c>
      <c r="G34" s="1227">
        <f>+F34+72701723</f>
        <v>72701723</v>
      </c>
      <c r="H34" s="1227">
        <f t="shared" ref="G34:J35" si="50">+G34</f>
        <v>72701723</v>
      </c>
      <c r="I34" s="1291">
        <f t="shared" si="50"/>
        <v>72701723</v>
      </c>
      <c r="J34" s="1291">
        <f t="shared" si="50"/>
        <v>72701723</v>
      </c>
      <c r="K34" s="3220">
        <v>72701723</v>
      </c>
      <c r="L34" s="1291">
        <v>0</v>
      </c>
      <c r="M34" s="1291">
        <f t="shared" ref="M34:P36" si="51">+L34</f>
        <v>0</v>
      </c>
      <c r="N34" s="1291">
        <f t="shared" si="51"/>
        <v>0</v>
      </c>
      <c r="O34" s="1291">
        <f t="shared" si="51"/>
        <v>0</v>
      </c>
      <c r="P34" s="1291">
        <f t="shared" si="51"/>
        <v>0</v>
      </c>
      <c r="Q34" s="1291">
        <v>0</v>
      </c>
      <c r="R34" s="1291">
        <f>+F34</f>
        <v>0</v>
      </c>
      <c r="S34" s="1291">
        <f>+R34+72701723</f>
        <v>72701723</v>
      </c>
      <c r="T34" s="1291">
        <f t="shared" ref="S34:V35" si="52">+S34</f>
        <v>72701723</v>
      </c>
      <c r="U34" s="1291">
        <f t="shared" si="52"/>
        <v>72701723</v>
      </c>
      <c r="V34" s="1291">
        <f t="shared" si="52"/>
        <v>72701723</v>
      </c>
      <c r="W34" s="1291">
        <f>+K34</f>
        <v>72701723</v>
      </c>
      <c r="X34" s="1213"/>
      <c r="Y34" s="1213">
        <f t="shared" ref="Y34:AC36" si="53">+X34</f>
        <v>0</v>
      </c>
      <c r="Z34" s="1213">
        <f t="shared" si="53"/>
        <v>0</v>
      </c>
      <c r="AA34" s="1213">
        <f t="shared" si="53"/>
        <v>0</v>
      </c>
      <c r="AB34" s="1213">
        <f t="shared" si="53"/>
        <v>0</v>
      </c>
      <c r="AC34" s="1213">
        <f t="shared" si="53"/>
        <v>0</v>
      </c>
      <c r="AD34" s="2947"/>
      <c r="AE34" s="1213">
        <f t="shared" si="1"/>
        <v>72701723</v>
      </c>
      <c r="AF34" s="1213">
        <f t="shared" si="2"/>
        <v>0</v>
      </c>
      <c r="AG34" s="1213">
        <f t="shared" si="3"/>
        <v>0</v>
      </c>
      <c r="AH34" s="2919">
        <f t="shared" si="4"/>
        <v>0</v>
      </c>
      <c r="AI34" s="1834">
        <f>+K34/I34</f>
        <v>1</v>
      </c>
      <c r="AJ34" s="417">
        <f t="shared" si="22"/>
        <v>0</v>
      </c>
      <c r="AK34" s="548"/>
    </row>
    <row r="35" spans="1:38" s="424" customFormat="1" ht="15">
      <c r="A35" s="2933"/>
      <c r="B35" s="1477" t="s">
        <v>1286</v>
      </c>
      <c r="C35" s="1286" t="s">
        <v>1287</v>
      </c>
      <c r="D35" s="1227">
        <v>0</v>
      </c>
      <c r="E35" s="2719">
        <v>0</v>
      </c>
      <c r="F35" s="1227">
        <v>0</v>
      </c>
      <c r="G35" s="1227">
        <f t="shared" si="50"/>
        <v>0</v>
      </c>
      <c r="H35" s="1227">
        <f t="shared" si="50"/>
        <v>0</v>
      </c>
      <c r="I35" s="1227">
        <f t="shared" si="50"/>
        <v>0</v>
      </c>
      <c r="J35" s="1227">
        <f t="shared" si="50"/>
        <v>0</v>
      </c>
      <c r="K35" s="3209">
        <v>0</v>
      </c>
      <c r="L35" s="1227">
        <v>0</v>
      </c>
      <c r="M35" s="1227">
        <f t="shared" si="51"/>
        <v>0</v>
      </c>
      <c r="N35" s="1227">
        <f t="shared" si="51"/>
        <v>0</v>
      </c>
      <c r="O35" s="1227">
        <f t="shared" si="51"/>
        <v>0</v>
      </c>
      <c r="P35" s="1227">
        <f t="shared" si="51"/>
        <v>0</v>
      </c>
      <c r="Q35" s="1227">
        <v>0</v>
      </c>
      <c r="R35" s="1291">
        <v>0</v>
      </c>
      <c r="S35" s="1291">
        <f t="shared" si="52"/>
        <v>0</v>
      </c>
      <c r="T35" s="1291">
        <f t="shared" si="52"/>
        <v>0</v>
      </c>
      <c r="U35" s="1291">
        <f t="shared" si="52"/>
        <v>0</v>
      </c>
      <c r="V35" s="1291">
        <f t="shared" si="52"/>
        <v>0</v>
      </c>
      <c r="W35" s="1291">
        <f>+K35</f>
        <v>0</v>
      </c>
      <c r="X35" s="1227"/>
      <c r="Y35" s="1227">
        <f t="shared" si="53"/>
        <v>0</v>
      </c>
      <c r="Z35" s="1227">
        <f t="shared" si="53"/>
        <v>0</v>
      </c>
      <c r="AA35" s="1227">
        <f t="shared" si="53"/>
        <v>0</v>
      </c>
      <c r="AB35" s="1227">
        <f t="shared" si="53"/>
        <v>0</v>
      </c>
      <c r="AC35" s="1227">
        <f t="shared" si="53"/>
        <v>0</v>
      </c>
      <c r="AD35" s="1284"/>
      <c r="AE35" s="1213">
        <f t="shared" si="1"/>
        <v>0</v>
      </c>
      <c r="AF35" s="1213">
        <f t="shared" si="2"/>
        <v>0</v>
      </c>
      <c r="AG35" s="1213">
        <f t="shared" si="3"/>
        <v>0</v>
      </c>
      <c r="AH35" s="2919">
        <f t="shared" si="4"/>
        <v>0</v>
      </c>
      <c r="AI35" s="1834"/>
      <c r="AJ35" s="417">
        <f t="shared" si="22"/>
        <v>0</v>
      </c>
      <c r="AK35" s="430"/>
    </row>
    <row r="36" spans="1:38" s="424" customFormat="1" ht="15">
      <c r="A36" s="2976"/>
      <c r="B36" s="1477" t="s">
        <v>1288</v>
      </c>
      <c r="C36" s="1286" t="s">
        <v>1289</v>
      </c>
      <c r="D36" s="1227">
        <f>976150803+1108340</f>
        <v>977259143</v>
      </c>
      <c r="E36" s="2719">
        <v>908959890</v>
      </c>
      <c r="F36" s="1227">
        <v>1035884230</v>
      </c>
      <c r="G36" s="1227">
        <f>+F36+4976151</f>
        <v>1040860381</v>
      </c>
      <c r="H36" s="1227">
        <f>+G36+3116329+3097122+9000*12+237300</f>
        <v>1047419132</v>
      </c>
      <c r="I36" s="1227">
        <f>+H36+813261+293800+237300+2096650</f>
        <v>1050860143</v>
      </c>
      <c r="J36" s="1227">
        <f>+I36</f>
        <v>1050860143</v>
      </c>
      <c r="K36" s="3209">
        <v>948855550</v>
      </c>
      <c r="L36" s="1227">
        <v>0</v>
      </c>
      <c r="M36" s="1227">
        <f t="shared" si="51"/>
        <v>0</v>
      </c>
      <c r="N36" s="1227">
        <f t="shared" si="51"/>
        <v>0</v>
      </c>
      <c r="O36" s="1227">
        <f>+N36+38594054</f>
        <v>38594054</v>
      </c>
      <c r="P36" s="1227">
        <f t="shared" si="51"/>
        <v>38594054</v>
      </c>
      <c r="Q36" s="1227">
        <v>38594054</v>
      </c>
      <c r="R36" s="1227">
        <f>+F36-L36</f>
        <v>1035884230</v>
      </c>
      <c r="S36" s="1291">
        <f>+R36+4976151</f>
        <v>1040860381</v>
      </c>
      <c r="T36" s="1291">
        <f>+S36+3116329+3097122+9000*12+237300</f>
        <v>1047419132</v>
      </c>
      <c r="U36" s="1291">
        <f>+T36+813261+293800+237300+2096650-O36</f>
        <v>1012266089</v>
      </c>
      <c r="V36" s="1291">
        <f>+U36</f>
        <v>1012266089</v>
      </c>
      <c r="W36" s="1291">
        <f>+K36-Q36</f>
        <v>910261496</v>
      </c>
      <c r="X36" s="1227"/>
      <c r="Y36" s="1227">
        <f t="shared" si="53"/>
        <v>0</v>
      </c>
      <c r="Z36" s="1227">
        <f t="shared" si="53"/>
        <v>0</v>
      </c>
      <c r="AA36" s="1227">
        <f t="shared" si="53"/>
        <v>0</v>
      </c>
      <c r="AB36" s="1227">
        <f t="shared" si="53"/>
        <v>0</v>
      </c>
      <c r="AC36" s="1227">
        <f t="shared" si="53"/>
        <v>0</v>
      </c>
      <c r="AD36" s="1665"/>
      <c r="AE36" s="1213">
        <f t="shared" si="1"/>
        <v>4976151</v>
      </c>
      <c r="AF36" s="1213">
        <f t="shared" si="2"/>
        <v>6558751</v>
      </c>
      <c r="AG36" s="1213">
        <f t="shared" si="3"/>
        <v>3441011</v>
      </c>
      <c r="AH36" s="2919">
        <f t="shared" si="4"/>
        <v>0</v>
      </c>
      <c r="AI36" s="1834">
        <f>+K36/I36</f>
        <v>0.90293228487208888</v>
      </c>
      <c r="AJ36" s="417">
        <f t="shared" si="22"/>
        <v>58625087</v>
      </c>
      <c r="AK36" s="430"/>
    </row>
    <row r="37" spans="1:38" s="405" customFormat="1" ht="15.75">
      <c r="A37" s="2975" t="s">
        <v>27</v>
      </c>
      <c r="B37" s="1475" t="s">
        <v>27</v>
      </c>
      <c r="C37" s="1297" t="s">
        <v>1290</v>
      </c>
      <c r="D37" s="1298">
        <f t="shared" ref="D37:AC37" si="54">+D32+D33</f>
        <v>1133833514</v>
      </c>
      <c r="E37" s="2720">
        <f t="shared" si="54"/>
        <v>1231627988</v>
      </c>
      <c r="F37" s="1298">
        <f t="shared" si="54"/>
        <v>1211736984</v>
      </c>
      <c r="G37" s="1298">
        <f t="shared" si="54"/>
        <v>1296327035</v>
      </c>
      <c r="H37" s="1298">
        <f t="shared" si="54"/>
        <v>1317675942</v>
      </c>
      <c r="I37" s="1298">
        <f t="shared" si="54"/>
        <v>1429294183</v>
      </c>
      <c r="J37" s="1298">
        <f t="shared" si="54"/>
        <v>1429294183</v>
      </c>
      <c r="K37" s="3210">
        <f t="shared" si="54"/>
        <v>1327289590</v>
      </c>
      <c r="L37" s="1298">
        <f t="shared" si="54"/>
        <v>0</v>
      </c>
      <c r="M37" s="1298">
        <f t="shared" si="54"/>
        <v>0</v>
      </c>
      <c r="N37" s="1298">
        <f t="shared" si="54"/>
        <v>0</v>
      </c>
      <c r="O37" s="1298">
        <f t="shared" si="54"/>
        <v>40885754</v>
      </c>
      <c r="P37" s="1298">
        <f t="shared" si="54"/>
        <v>40885754</v>
      </c>
      <c r="Q37" s="1298">
        <f t="shared" si="54"/>
        <v>40885754</v>
      </c>
      <c r="R37" s="1298">
        <f t="shared" si="54"/>
        <v>1211736984</v>
      </c>
      <c r="S37" s="1298">
        <f t="shared" si="54"/>
        <v>1296327035</v>
      </c>
      <c r="T37" s="1298">
        <f t="shared" si="54"/>
        <v>1317675942</v>
      </c>
      <c r="U37" s="1298">
        <f t="shared" si="54"/>
        <v>1388408429</v>
      </c>
      <c r="V37" s="1298">
        <f t="shared" si="54"/>
        <v>1388408429</v>
      </c>
      <c r="W37" s="1298">
        <f t="shared" si="54"/>
        <v>1286403836</v>
      </c>
      <c r="X37" s="1298">
        <f t="shared" si="54"/>
        <v>0</v>
      </c>
      <c r="Y37" s="1298">
        <f t="shared" si="54"/>
        <v>0</v>
      </c>
      <c r="Z37" s="1298">
        <f t="shared" si="54"/>
        <v>0</v>
      </c>
      <c r="AA37" s="1298">
        <f t="shared" si="54"/>
        <v>0</v>
      </c>
      <c r="AB37" s="1298">
        <f t="shared" si="54"/>
        <v>0</v>
      </c>
      <c r="AC37" s="1298">
        <f t="shared" si="54"/>
        <v>0</v>
      </c>
      <c r="AD37" s="1284"/>
      <c r="AE37" s="1213">
        <f t="shared" si="1"/>
        <v>84590051</v>
      </c>
      <c r="AF37" s="1213">
        <f t="shared" si="2"/>
        <v>21348907</v>
      </c>
      <c r="AG37" s="1213">
        <f t="shared" si="3"/>
        <v>111618241</v>
      </c>
      <c r="AH37" s="2919">
        <f t="shared" si="4"/>
        <v>0</v>
      </c>
      <c r="AI37" s="1829">
        <f>+K37/I37</f>
        <v>0.92863289152559292</v>
      </c>
      <c r="AJ37" s="417">
        <f t="shared" si="22"/>
        <v>77903470</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58"/>
      <c r="AJ38" s="417"/>
      <c r="AK38" s="436"/>
    </row>
    <row r="39" spans="1:38" ht="15">
      <c r="A39" s="2932"/>
      <c r="B39" s="1285"/>
      <c r="C39" s="1548" t="str">
        <f t="shared" ref="C39:T40" si="55">+C4</f>
        <v>A</v>
      </c>
      <c r="D39" s="1549" t="str">
        <f t="shared" si="55"/>
        <v>B</v>
      </c>
      <c r="E39" s="2960" t="str">
        <f t="shared" si="55"/>
        <v>B</v>
      </c>
      <c r="F39" s="1345" t="str">
        <f t="shared" si="55"/>
        <v>B</v>
      </c>
      <c r="G39" s="1345" t="str">
        <f t="shared" si="55"/>
        <v>D</v>
      </c>
      <c r="H39" s="1345" t="str">
        <f t="shared" si="55"/>
        <v>E</v>
      </c>
      <c r="I39" s="1345" t="str">
        <f t="shared" si="55"/>
        <v>C</v>
      </c>
      <c r="J39" s="1345" t="str">
        <f t="shared" si="55"/>
        <v>F</v>
      </c>
      <c r="K39" s="1345" t="str">
        <f t="shared" si="55"/>
        <v>D</v>
      </c>
      <c r="L39" s="1345" t="str">
        <f t="shared" si="55"/>
        <v>E</v>
      </c>
      <c r="M39" s="1345" t="str">
        <f t="shared" si="55"/>
        <v>F</v>
      </c>
      <c r="N39" s="1345" t="str">
        <f t="shared" si="55"/>
        <v>F</v>
      </c>
      <c r="O39" s="1345" t="str">
        <f t="shared" si="55"/>
        <v>E</v>
      </c>
      <c r="P39" s="1345">
        <f t="shared" si="55"/>
        <v>0</v>
      </c>
      <c r="Q39" s="1345" t="str">
        <f t="shared" si="55"/>
        <v>F</v>
      </c>
      <c r="R39" s="1345" t="str">
        <f t="shared" si="55"/>
        <v>E</v>
      </c>
      <c r="S39" s="1345" t="str">
        <f t="shared" si="55"/>
        <v>E</v>
      </c>
      <c r="T39" s="1345" t="str">
        <f t="shared" si="55"/>
        <v>G</v>
      </c>
      <c r="U39" s="1345" t="str">
        <f t="shared" ref="U39:AI39" si="56">+U4</f>
        <v>G</v>
      </c>
      <c r="V39" s="1345">
        <f t="shared" si="56"/>
        <v>0</v>
      </c>
      <c r="W39" s="1345" t="str">
        <f t="shared" si="56"/>
        <v>H</v>
      </c>
      <c r="X39" s="1345">
        <f t="shared" si="56"/>
        <v>0</v>
      </c>
      <c r="Y39" s="1345">
        <f t="shared" si="56"/>
        <v>0</v>
      </c>
      <c r="Z39" s="1345">
        <f t="shared" si="56"/>
        <v>0</v>
      </c>
      <c r="AA39" s="1345">
        <f t="shared" si="56"/>
        <v>0</v>
      </c>
      <c r="AB39" s="1345">
        <f t="shared" si="56"/>
        <v>0</v>
      </c>
      <c r="AC39" s="1345">
        <f t="shared" si="56"/>
        <v>0</v>
      </c>
      <c r="AD39" s="2962"/>
      <c r="AE39" s="1345"/>
      <c r="AF39" s="1345" t="str">
        <f>+AF4</f>
        <v>H</v>
      </c>
      <c r="AG39" s="1301" t="str">
        <f>+AG4</f>
        <v>I</v>
      </c>
      <c r="AH39" s="2944">
        <f t="shared" si="56"/>
        <v>0</v>
      </c>
      <c r="AI39" s="1859" t="str">
        <f t="shared" si="56"/>
        <v>I</v>
      </c>
      <c r="AJ39" s="417"/>
      <c r="AK39" s="1549"/>
      <c r="AL39" s="439"/>
    </row>
    <row r="40" spans="1:38" ht="73.5">
      <c r="A40" s="2933"/>
      <c r="B40" s="1278" t="s">
        <v>6</v>
      </c>
      <c r="C40" s="1276" t="str">
        <f t="shared" si="55"/>
        <v>Kiemelt előirányzat, előirányzat megnevezése</v>
      </c>
      <c r="D40" s="1278" t="str">
        <f t="shared" si="55"/>
        <v>2024. évi eredeti előirányzat
forintban</v>
      </c>
      <c r="E40" s="2596" t="str">
        <f>+E5</f>
        <v>2024. évi teljesítés forintban</v>
      </c>
      <c r="F40" s="1276" t="str">
        <f t="shared" si="55"/>
        <v>2025. évi eredeti előirányzat forintban</v>
      </c>
      <c r="G40" s="1276" t="str">
        <f t="shared" ref="G40:AJ40" si="57">+G5</f>
        <v>2025. évi I. számú módosított előirányzat
forintban</v>
      </c>
      <c r="H40" s="1276" t="str">
        <f t="shared" si="57"/>
        <v>2025. évi II. számú módosított előirányzat forintban</v>
      </c>
      <c r="I40" s="1276" t="str">
        <f t="shared" si="57"/>
        <v>2025. évi III. számú módosított előirányzat forintban</v>
      </c>
      <c r="J40" s="1276" t="str">
        <f t="shared" si="57"/>
        <v>2025. évi IV. számú módosított előirányzat forintban</v>
      </c>
      <c r="K40" s="3197" t="str">
        <f t="shared" si="57"/>
        <v>2025. évi
teljesítés forintban</v>
      </c>
      <c r="L40" s="1276" t="str">
        <f t="shared" si="57"/>
        <v>Önként vállalt feladat forintban</v>
      </c>
      <c r="M40" s="1276" t="str">
        <f t="shared" si="57"/>
        <v>Önként vállalt feladat I. módosítás
forintban</v>
      </c>
      <c r="N40" s="1276" t="str">
        <f t="shared" si="57"/>
        <v>Önként vállalt feladat II. módosítás forintban</v>
      </c>
      <c r="O40" s="1276" t="str">
        <f t="shared" si="57"/>
        <v>Önként vállalt feladat III. módosítás forintban</v>
      </c>
      <c r="P40" s="1276" t="str">
        <f t="shared" si="57"/>
        <v>Önként vállalt feladat IV. módosítás  forintban</v>
      </c>
      <c r="Q40" s="1276" t="str">
        <f t="shared" si="57"/>
        <v>Önként vállalt teljesítés  forintban</v>
      </c>
      <c r="R40" s="1276" t="str">
        <f t="shared" si="57"/>
        <v>Kötelező feladat forintban</v>
      </c>
      <c r="S40" s="1276" t="str">
        <f t="shared" si="57"/>
        <v>Kötelező feladat 
I. módosítás
forintban</v>
      </c>
      <c r="T40" s="1276" t="str">
        <f t="shared" si="57"/>
        <v>Kötelező feladat II. módosítás forintban</v>
      </c>
      <c r="U40" s="1276" t="str">
        <f t="shared" si="57"/>
        <v>Kötelező feladat III. módosítás  forintban</v>
      </c>
      <c r="V40" s="1278" t="str">
        <f t="shared" si="57"/>
        <v>Kötelező feladat IV. módosítás  forintban</v>
      </c>
      <c r="W40" s="1278" t="str">
        <f t="shared" si="57"/>
        <v>Kötelező teljesítés  forintban</v>
      </c>
      <c r="X40" s="1278">
        <f t="shared" si="57"/>
        <v>0</v>
      </c>
      <c r="Y40" s="1278">
        <f t="shared" si="57"/>
        <v>0</v>
      </c>
      <c r="Z40" s="1278">
        <f t="shared" si="57"/>
        <v>0</v>
      </c>
      <c r="AA40" s="1278">
        <f t="shared" si="57"/>
        <v>0</v>
      </c>
      <c r="AB40" s="1278">
        <f t="shared" si="57"/>
        <v>0</v>
      </c>
      <c r="AC40" s="1278">
        <f t="shared" si="57"/>
        <v>0</v>
      </c>
      <c r="AD40" s="1278"/>
      <c r="AE40" s="1278" t="str">
        <f t="shared" si="57"/>
        <v>I. változás</v>
      </c>
      <c r="AF40" s="1278" t="str">
        <f t="shared" si="57"/>
        <v>Előirányzat-módosítások, előirányzat-átcsoportosítások összegszerű változásai</v>
      </c>
      <c r="AG40" s="2916" t="str">
        <f t="shared" si="57"/>
        <v>Előirányzat-módosítások, előirányzat-átcsoportosítások összegszerű változásai a III. módosításnál</v>
      </c>
      <c r="AH40" s="1854" t="str">
        <f t="shared" si="57"/>
        <v>IV. változás</v>
      </c>
      <c r="AI40" s="1825" t="str">
        <f t="shared" si="57"/>
        <v xml:space="preserve"> 2025. évi teljesítés / 2025. évi III. számú módosított előirányzat</v>
      </c>
      <c r="AJ40" s="1854" t="str">
        <f t="shared" si="57"/>
        <v>Változás Eredeti előző évhez 
Ft-ban</v>
      </c>
      <c r="AK40" s="2595"/>
      <c r="AL40" s="439"/>
    </row>
    <row r="41" spans="1:38" ht="15">
      <c r="A41" s="2934" t="s">
        <v>6</v>
      </c>
      <c r="B41" s="2946" t="s">
        <v>3353</v>
      </c>
      <c r="C41" s="1292" t="s">
        <v>1291</v>
      </c>
      <c r="D41" s="1213">
        <f t="shared" ref="D41:AC41" si="58">SUM(D42:D46)</f>
        <v>1113333359</v>
      </c>
      <c r="E41" s="2715">
        <f t="shared" si="58"/>
        <v>1141296278</v>
      </c>
      <c r="F41" s="1213">
        <f t="shared" si="58"/>
        <v>1210365384</v>
      </c>
      <c r="G41" s="1213">
        <f t="shared" si="58"/>
        <v>1295013535</v>
      </c>
      <c r="H41" s="1213">
        <f t="shared" si="58"/>
        <v>1316362442</v>
      </c>
      <c r="I41" s="1213">
        <f t="shared" si="58"/>
        <v>1427439793</v>
      </c>
      <c r="J41" s="1213">
        <f t="shared" si="58"/>
        <v>1427439793</v>
      </c>
      <c r="K41" s="3208">
        <f t="shared" si="58"/>
        <v>1262554304</v>
      </c>
      <c r="L41" s="1213">
        <f t="shared" si="58"/>
        <v>0</v>
      </c>
      <c r="M41" s="1213">
        <f t="shared" si="58"/>
        <v>0</v>
      </c>
      <c r="N41" s="1213">
        <f t="shared" si="58"/>
        <v>0</v>
      </c>
      <c r="O41" s="1213">
        <f t="shared" si="58"/>
        <v>40885754</v>
      </c>
      <c r="P41" s="1213">
        <f t="shared" si="58"/>
        <v>40885754</v>
      </c>
      <c r="Q41" s="1213">
        <f t="shared" si="58"/>
        <v>40885754</v>
      </c>
      <c r="R41" s="1213">
        <f t="shared" si="58"/>
        <v>1210365384</v>
      </c>
      <c r="S41" s="1213">
        <f t="shared" si="58"/>
        <v>1295013535</v>
      </c>
      <c r="T41" s="1213">
        <f t="shared" si="58"/>
        <v>1316362442</v>
      </c>
      <c r="U41" s="1213">
        <f t="shared" si="58"/>
        <v>1386554039</v>
      </c>
      <c r="V41" s="1213">
        <f t="shared" si="58"/>
        <v>1386554039</v>
      </c>
      <c r="W41" s="1213">
        <f t="shared" si="58"/>
        <v>1221668550</v>
      </c>
      <c r="X41" s="1213">
        <f t="shared" si="58"/>
        <v>0</v>
      </c>
      <c r="Y41" s="1213">
        <f t="shared" si="58"/>
        <v>0</v>
      </c>
      <c r="Z41" s="1213">
        <f t="shared" si="58"/>
        <v>0</v>
      </c>
      <c r="AA41" s="1213">
        <f t="shared" si="58"/>
        <v>0</v>
      </c>
      <c r="AB41" s="1213">
        <f t="shared" si="58"/>
        <v>0</v>
      </c>
      <c r="AC41" s="1213">
        <f t="shared" si="58"/>
        <v>0</v>
      </c>
      <c r="AD41" s="1284"/>
      <c r="AE41" s="1213">
        <f t="shared" si="1"/>
        <v>84648151</v>
      </c>
      <c r="AF41" s="1213">
        <f t="shared" si="2"/>
        <v>21348907</v>
      </c>
      <c r="AG41" s="1213">
        <f t="shared" si="3"/>
        <v>111077351</v>
      </c>
      <c r="AH41" s="2919">
        <f t="shared" si="4"/>
        <v>0</v>
      </c>
      <c r="AI41" s="1829">
        <f t="shared" ref="AI41:AI54" si="59">+K41/I41</f>
        <v>0.8844886559779408</v>
      </c>
      <c r="AJ41" s="417">
        <f t="shared" ref="AJ41:AJ54" si="60">+F41-D41</f>
        <v>97032025</v>
      </c>
      <c r="AK41" s="412"/>
      <c r="AL41" s="439"/>
    </row>
    <row r="42" spans="1:38" ht="15">
      <c r="A42" s="2934"/>
      <c r="B42" s="2948" t="s">
        <v>176</v>
      </c>
      <c r="C42" s="1290" t="s">
        <v>147</v>
      </c>
      <c r="D42" s="1227">
        <v>460503247</v>
      </c>
      <c r="E42" s="2719">
        <v>445701579</v>
      </c>
      <c r="F42" s="1227">
        <v>488012463</v>
      </c>
      <c r="G42" s="1227">
        <f>F42+4353818</f>
        <v>492366281</v>
      </c>
      <c r="H42" s="1227">
        <f>G42+9000*12+2773316+2757813+210000</f>
        <v>498215410</v>
      </c>
      <c r="I42" s="1227">
        <f>H42+719700+260000+210000+2096650-47529751+100936319</f>
        <v>554908328</v>
      </c>
      <c r="J42" s="1227">
        <f t="shared" ref="G42:J46" si="61">I42</f>
        <v>554908328</v>
      </c>
      <c r="K42" s="3209">
        <v>478897725</v>
      </c>
      <c r="L42" s="1227">
        <v>0</v>
      </c>
      <c r="M42" s="1227">
        <f t="shared" ref="M42:P46" si="62">+L42</f>
        <v>0</v>
      </c>
      <c r="N42" s="1227">
        <f t="shared" si="62"/>
        <v>0</v>
      </c>
      <c r="O42" s="1227">
        <f>+N42+25386125</f>
        <v>25386125</v>
      </c>
      <c r="P42" s="1227">
        <f t="shared" si="62"/>
        <v>25386125</v>
      </c>
      <c r="Q42" s="1227">
        <v>25386125</v>
      </c>
      <c r="R42" s="1227">
        <f>+F42-L42</f>
        <v>488012463</v>
      </c>
      <c r="S42" s="1227">
        <f>+R42+4353818</f>
        <v>492366281</v>
      </c>
      <c r="T42" s="1227">
        <f>+S42+9000*12+2773316+2757813+210000</f>
        <v>498215410</v>
      </c>
      <c r="U42" s="1227">
        <f>+T42+719700+260000+210000+2096650-47529751+100936319-O42</f>
        <v>529522203</v>
      </c>
      <c r="V42" s="1227">
        <f t="shared" ref="S42:V46" si="63">+U42</f>
        <v>529522203</v>
      </c>
      <c r="W42" s="1227">
        <f>+K42-Q42</f>
        <v>453511600</v>
      </c>
      <c r="X42" s="1227"/>
      <c r="Y42" s="1227">
        <f t="shared" ref="Y42:AC46" si="64">+X42</f>
        <v>0</v>
      </c>
      <c r="Z42" s="1227">
        <f t="shared" si="64"/>
        <v>0</v>
      </c>
      <c r="AA42" s="1227">
        <f t="shared" si="64"/>
        <v>0</v>
      </c>
      <c r="AB42" s="1227">
        <f t="shared" si="64"/>
        <v>0</v>
      </c>
      <c r="AC42" s="1227">
        <f t="shared" si="64"/>
        <v>0</v>
      </c>
      <c r="AD42" s="1284"/>
      <c r="AE42" s="1213">
        <f t="shared" si="1"/>
        <v>4353818</v>
      </c>
      <c r="AF42" s="1213">
        <f t="shared" si="2"/>
        <v>5849129</v>
      </c>
      <c r="AG42" s="1213">
        <f t="shared" si="3"/>
        <v>56692918</v>
      </c>
      <c r="AH42" s="2919">
        <f t="shared" si="4"/>
        <v>0</v>
      </c>
      <c r="AI42" s="1834">
        <f t="shared" si="59"/>
        <v>0.86302133313811069</v>
      </c>
      <c r="AJ42" s="417">
        <f t="shared" si="60"/>
        <v>27509216</v>
      </c>
      <c r="AK42" s="430"/>
      <c r="AL42" s="439"/>
    </row>
    <row r="43" spans="1:38" ht="15">
      <c r="A43" s="2934"/>
      <c r="B43" s="2948" t="s">
        <v>178</v>
      </c>
      <c r="C43" s="1290" t="s">
        <v>8</v>
      </c>
      <c r="D43" s="1227">
        <v>67619108</v>
      </c>
      <c r="E43" s="2719">
        <v>62607174</v>
      </c>
      <c r="F43" s="1227">
        <v>71539071</v>
      </c>
      <c r="G43" s="1227">
        <f>F43+622333</f>
        <v>72161404</v>
      </c>
      <c r="H43" s="1227">
        <f>G43+323806+358516+27300</f>
        <v>72871026</v>
      </c>
      <c r="I43" s="1227">
        <f>H43+93561+33800+27300+28698</f>
        <v>73054385</v>
      </c>
      <c r="J43" s="1227">
        <f t="shared" si="61"/>
        <v>73054385</v>
      </c>
      <c r="K43" s="3209">
        <v>68039051</v>
      </c>
      <c r="L43" s="1227">
        <v>0</v>
      </c>
      <c r="M43" s="1227">
        <f t="shared" si="62"/>
        <v>0</v>
      </c>
      <c r="N43" s="1227">
        <f t="shared" si="62"/>
        <v>0</v>
      </c>
      <c r="O43" s="1227">
        <f>+N43+2787223</f>
        <v>2787223</v>
      </c>
      <c r="P43" s="1227">
        <f t="shared" si="62"/>
        <v>2787223</v>
      </c>
      <c r="Q43" s="1227">
        <v>2787223</v>
      </c>
      <c r="R43" s="1227">
        <f>+F43-L43</f>
        <v>71539071</v>
      </c>
      <c r="S43" s="1227">
        <f>+R43+622333</f>
        <v>72161404</v>
      </c>
      <c r="T43" s="1227">
        <f>+S43+323806+358516+27300</f>
        <v>72871026</v>
      </c>
      <c r="U43" s="1227">
        <f>+T43+93561+33800+27300+28698-O43</f>
        <v>70267162</v>
      </c>
      <c r="V43" s="1227">
        <f t="shared" si="63"/>
        <v>70267162</v>
      </c>
      <c r="W43" s="1227">
        <f>+K43-Q43</f>
        <v>65251828</v>
      </c>
      <c r="X43" s="1227"/>
      <c r="Y43" s="1227">
        <f t="shared" si="64"/>
        <v>0</v>
      </c>
      <c r="Z43" s="1227">
        <f t="shared" si="64"/>
        <v>0</v>
      </c>
      <c r="AA43" s="1227">
        <f t="shared" si="64"/>
        <v>0</v>
      </c>
      <c r="AB43" s="1227">
        <f t="shared" si="64"/>
        <v>0</v>
      </c>
      <c r="AC43" s="1227">
        <f t="shared" si="64"/>
        <v>0</v>
      </c>
      <c r="AD43" s="1284"/>
      <c r="AE43" s="1213">
        <f t="shared" si="1"/>
        <v>622333</v>
      </c>
      <c r="AF43" s="1213">
        <f t="shared" si="2"/>
        <v>709622</v>
      </c>
      <c r="AG43" s="1213">
        <f t="shared" si="3"/>
        <v>183359</v>
      </c>
      <c r="AH43" s="2919">
        <f t="shared" si="4"/>
        <v>0</v>
      </c>
      <c r="AI43" s="1834">
        <f t="shared" si="59"/>
        <v>0.93134794030502066</v>
      </c>
      <c r="AJ43" s="417">
        <f t="shared" si="60"/>
        <v>3919963</v>
      </c>
      <c r="AK43" s="430"/>
      <c r="AL43" s="439"/>
    </row>
    <row r="44" spans="1:38" ht="15">
      <c r="A44" s="2934"/>
      <c r="B44" s="2948" t="s">
        <v>179</v>
      </c>
      <c r="C44" s="1290" t="s">
        <v>317</v>
      </c>
      <c r="D44" s="1227">
        <v>585211004</v>
      </c>
      <c r="E44" s="2719">
        <v>622772140</v>
      </c>
      <c r="F44" s="1227">
        <f>650813851-1</f>
        <v>650813850</v>
      </c>
      <c r="G44" s="1227">
        <f>F44+47626180+58100+6912177</f>
        <v>705410307</v>
      </c>
      <c r="H44" s="1227">
        <f>G44+14790156</f>
        <v>720200463</v>
      </c>
      <c r="I44" s="1227">
        <f>H44+6927609-434340+47529751+178054</f>
        <v>774401537</v>
      </c>
      <c r="J44" s="1227">
        <f t="shared" si="61"/>
        <v>774401537</v>
      </c>
      <c r="K44" s="3209">
        <v>690541985</v>
      </c>
      <c r="L44" s="1227">
        <v>0</v>
      </c>
      <c r="M44" s="1227">
        <f t="shared" si="62"/>
        <v>0</v>
      </c>
      <c r="N44" s="1227">
        <f t="shared" si="62"/>
        <v>0</v>
      </c>
      <c r="O44" s="1227">
        <f>+N44+12712406</f>
        <v>12712406</v>
      </c>
      <c r="P44" s="1227">
        <f t="shared" si="62"/>
        <v>12712406</v>
      </c>
      <c r="Q44" s="1227">
        <v>12712406</v>
      </c>
      <c r="R44" s="1227">
        <f>+F44-L44</f>
        <v>650813850</v>
      </c>
      <c r="S44" s="1227">
        <f>+R44+47626180+58100+6912177</f>
        <v>705410307</v>
      </c>
      <c r="T44" s="1227">
        <f>+S44+14790156</f>
        <v>720200463</v>
      </c>
      <c r="U44" s="1227">
        <f>+T44+6927609-434340+47529751+178054-O44</f>
        <v>761689131</v>
      </c>
      <c r="V44" s="1227">
        <f t="shared" si="63"/>
        <v>761689131</v>
      </c>
      <c r="W44" s="1227">
        <f>+K44-Q44</f>
        <v>677829579</v>
      </c>
      <c r="X44" s="1227"/>
      <c r="Y44" s="1227">
        <f t="shared" si="64"/>
        <v>0</v>
      </c>
      <c r="Z44" s="1227">
        <f t="shared" si="64"/>
        <v>0</v>
      </c>
      <c r="AA44" s="1227">
        <f t="shared" si="64"/>
        <v>0</v>
      </c>
      <c r="AB44" s="1227">
        <f t="shared" si="64"/>
        <v>0</v>
      </c>
      <c r="AC44" s="1227">
        <f t="shared" si="64"/>
        <v>0</v>
      </c>
      <c r="AD44" s="2949"/>
      <c r="AE44" s="1213">
        <f t="shared" si="1"/>
        <v>54596457</v>
      </c>
      <c r="AF44" s="1213">
        <f t="shared" si="2"/>
        <v>14790156</v>
      </c>
      <c r="AG44" s="1213">
        <f t="shared" si="3"/>
        <v>54201074</v>
      </c>
      <c r="AH44" s="2919">
        <f t="shared" si="4"/>
        <v>0</v>
      </c>
      <c r="AI44" s="1834">
        <f t="shared" si="59"/>
        <v>0.89171050418511755</v>
      </c>
      <c r="AJ44" s="417">
        <f t="shared" si="60"/>
        <v>65602846</v>
      </c>
      <c r="AK44" s="430"/>
    </row>
    <row r="45" spans="1:38" s="439" customFormat="1" ht="15">
      <c r="A45" s="2934"/>
      <c r="B45" s="2948" t="s">
        <v>180</v>
      </c>
      <c r="C45" s="1290" t="s">
        <v>318</v>
      </c>
      <c r="D45" s="1227">
        <v>0</v>
      </c>
      <c r="E45" s="2719">
        <v>0</v>
      </c>
      <c r="F45" s="1227">
        <v>0</v>
      </c>
      <c r="G45" s="1227">
        <f t="shared" si="61"/>
        <v>0</v>
      </c>
      <c r="H45" s="1227">
        <f t="shared" si="61"/>
        <v>0</v>
      </c>
      <c r="I45" s="1227">
        <f t="shared" si="61"/>
        <v>0</v>
      </c>
      <c r="J45" s="1227">
        <f t="shared" si="61"/>
        <v>0</v>
      </c>
      <c r="K45" s="3209">
        <v>0</v>
      </c>
      <c r="L45" s="1227">
        <v>0</v>
      </c>
      <c r="M45" s="1227">
        <f t="shared" si="62"/>
        <v>0</v>
      </c>
      <c r="N45" s="1227">
        <f t="shared" si="62"/>
        <v>0</v>
      </c>
      <c r="O45" s="1227">
        <f t="shared" si="62"/>
        <v>0</v>
      </c>
      <c r="P45" s="1227">
        <f t="shared" si="62"/>
        <v>0</v>
      </c>
      <c r="Q45" s="1227">
        <v>0</v>
      </c>
      <c r="R45" s="1227">
        <v>0</v>
      </c>
      <c r="S45" s="1227">
        <f t="shared" si="63"/>
        <v>0</v>
      </c>
      <c r="T45" s="1227">
        <f t="shared" si="63"/>
        <v>0</v>
      </c>
      <c r="U45" s="1227">
        <f t="shared" si="63"/>
        <v>0</v>
      </c>
      <c r="V45" s="1227">
        <f t="shared" si="63"/>
        <v>0</v>
      </c>
      <c r="W45" s="1227">
        <f>+K45</f>
        <v>0</v>
      </c>
      <c r="X45" s="1227"/>
      <c r="Y45" s="1227">
        <f t="shared" si="64"/>
        <v>0</v>
      </c>
      <c r="Z45" s="1227">
        <f t="shared" si="64"/>
        <v>0</v>
      </c>
      <c r="AA45" s="1227">
        <f t="shared" si="64"/>
        <v>0</v>
      </c>
      <c r="AB45" s="1227">
        <f t="shared" si="64"/>
        <v>0</v>
      </c>
      <c r="AC45" s="1227">
        <f t="shared" si="64"/>
        <v>0</v>
      </c>
      <c r="AD45" s="1284"/>
      <c r="AE45" s="1213">
        <f t="shared" si="1"/>
        <v>0</v>
      </c>
      <c r="AF45" s="1213">
        <f t="shared" si="2"/>
        <v>0</v>
      </c>
      <c r="AG45" s="1213">
        <f t="shared" si="3"/>
        <v>0</v>
      </c>
      <c r="AH45" s="2919">
        <f t="shared" si="4"/>
        <v>0</v>
      </c>
      <c r="AI45" s="1834"/>
      <c r="AJ45" s="417">
        <f t="shared" si="60"/>
        <v>0</v>
      </c>
      <c r="AK45" s="430"/>
    </row>
    <row r="46" spans="1:38" ht="15">
      <c r="A46" s="2934"/>
      <c r="B46" s="1477" t="s">
        <v>181</v>
      </c>
      <c r="C46" s="1286" t="s">
        <v>151</v>
      </c>
      <c r="D46" s="1227">
        <v>0</v>
      </c>
      <c r="E46" s="2719">
        <v>10215385</v>
      </c>
      <c r="F46" s="1227">
        <v>0</v>
      </c>
      <c r="G46" s="1227">
        <f>F46+25075543</f>
        <v>25075543</v>
      </c>
      <c r="H46" s="1227">
        <f t="shared" si="61"/>
        <v>25075543</v>
      </c>
      <c r="I46" s="1227">
        <f t="shared" si="61"/>
        <v>25075543</v>
      </c>
      <c r="J46" s="1227">
        <f t="shared" si="61"/>
        <v>25075543</v>
      </c>
      <c r="K46" s="3209">
        <v>25075543</v>
      </c>
      <c r="L46" s="1227">
        <v>0</v>
      </c>
      <c r="M46" s="1227">
        <f t="shared" si="62"/>
        <v>0</v>
      </c>
      <c r="N46" s="1227">
        <f t="shared" si="62"/>
        <v>0</v>
      </c>
      <c r="O46" s="1227">
        <f t="shared" si="62"/>
        <v>0</v>
      </c>
      <c r="P46" s="1227">
        <f t="shared" si="62"/>
        <v>0</v>
      </c>
      <c r="Q46" s="1227">
        <v>0</v>
      </c>
      <c r="R46" s="1227">
        <v>0</v>
      </c>
      <c r="S46" s="1227">
        <f>+R46+25075543</f>
        <v>25075543</v>
      </c>
      <c r="T46" s="1227">
        <f t="shared" si="63"/>
        <v>25075543</v>
      </c>
      <c r="U46" s="1227">
        <f t="shared" si="63"/>
        <v>25075543</v>
      </c>
      <c r="V46" s="1227">
        <f t="shared" si="63"/>
        <v>25075543</v>
      </c>
      <c r="W46" s="1227">
        <f>+K46</f>
        <v>25075543</v>
      </c>
      <c r="X46" s="1227"/>
      <c r="Y46" s="1227">
        <f t="shared" si="64"/>
        <v>0</v>
      </c>
      <c r="Z46" s="1227">
        <f t="shared" si="64"/>
        <v>0</v>
      </c>
      <c r="AA46" s="1227">
        <f t="shared" si="64"/>
        <v>0</v>
      </c>
      <c r="AB46" s="1227">
        <f t="shared" si="64"/>
        <v>0</v>
      </c>
      <c r="AC46" s="1227">
        <f t="shared" si="64"/>
        <v>0</v>
      </c>
      <c r="AD46" s="2947"/>
      <c r="AE46" s="1213">
        <f t="shared" si="1"/>
        <v>25075543</v>
      </c>
      <c r="AF46" s="1213">
        <f t="shared" si="2"/>
        <v>0</v>
      </c>
      <c r="AG46" s="1213">
        <f t="shared" si="3"/>
        <v>0</v>
      </c>
      <c r="AH46" s="2919">
        <f t="shared" si="4"/>
        <v>0</v>
      </c>
      <c r="AI46" s="1834">
        <f t="shared" si="59"/>
        <v>1</v>
      </c>
      <c r="AJ46" s="417">
        <f t="shared" si="60"/>
        <v>0</v>
      </c>
      <c r="AK46" s="430"/>
    </row>
    <row r="47" spans="1:38" ht="15">
      <c r="A47" s="2934" t="s">
        <v>12</v>
      </c>
      <c r="B47" s="2946" t="s">
        <v>12</v>
      </c>
      <c r="C47" s="1292" t="s">
        <v>1292</v>
      </c>
      <c r="D47" s="1213">
        <f t="shared" ref="D47:AC47" si="65">SUM(D48:D50)</f>
        <v>20500155</v>
      </c>
      <c r="E47" s="2715">
        <f t="shared" si="65"/>
        <v>17629987</v>
      </c>
      <c r="F47" s="1213">
        <f t="shared" si="65"/>
        <v>1371600</v>
      </c>
      <c r="G47" s="1213">
        <f t="shared" si="65"/>
        <v>1313500</v>
      </c>
      <c r="H47" s="1213">
        <f t="shared" si="65"/>
        <v>1313500</v>
      </c>
      <c r="I47" s="1213">
        <f t="shared" si="65"/>
        <v>1854390</v>
      </c>
      <c r="J47" s="1213">
        <f t="shared" si="65"/>
        <v>1854390</v>
      </c>
      <c r="K47" s="3208">
        <f>SUM(K48:K50)</f>
        <v>1517225</v>
      </c>
      <c r="L47" s="1213">
        <f t="shared" si="65"/>
        <v>0</v>
      </c>
      <c r="M47" s="1213">
        <f t="shared" si="65"/>
        <v>0</v>
      </c>
      <c r="N47" s="1213">
        <f t="shared" si="65"/>
        <v>0</v>
      </c>
      <c r="O47" s="1213">
        <f t="shared" si="65"/>
        <v>0</v>
      </c>
      <c r="P47" s="1213">
        <f t="shared" si="65"/>
        <v>0</v>
      </c>
      <c r="Q47" s="1213">
        <f t="shared" si="65"/>
        <v>0</v>
      </c>
      <c r="R47" s="1213">
        <f t="shared" si="65"/>
        <v>1371600</v>
      </c>
      <c r="S47" s="1213">
        <f t="shared" si="65"/>
        <v>1313500</v>
      </c>
      <c r="T47" s="1213">
        <f t="shared" si="65"/>
        <v>1313500</v>
      </c>
      <c r="U47" s="1213">
        <f t="shared" si="65"/>
        <v>1854390</v>
      </c>
      <c r="V47" s="1213">
        <f t="shared" si="65"/>
        <v>1854390</v>
      </c>
      <c r="W47" s="1213">
        <f t="shared" si="65"/>
        <v>1517225</v>
      </c>
      <c r="X47" s="1213">
        <f t="shared" si="65"/>
        <v>0</v>
      </c>
      <c r="Y47" s="1213">
        <f t="shared" si="65"/>
        <v>0</v>
      </c>
      <c r="Z47" s="1213">
        <f t="shared" si="65"/>
        <v>0</v>
      </c>
      <c r="AA47" s="1213">
        <f t="shared" si="65"/>
        <v>0</v>
      </c>
      <c r="AB47" s="1213">
        <f t="shared" si="65"/>
        <v>0</v>
      </c>
      <c r="AC47" s="1213">
        <f t="shared" si="65"/>
        <v>0</v>
      </c>
      <c r="AD47" s="2966"/>
      <c r="AE47" s="1213">
        <f t="shared" si="1"/>
        <v>-58100</v>
      </c>
      <c r="AF47" s="1213">
        <f t="shared" si="2"/>
        <v>0</v>
      </c>
      <c r="AG47" s="1213">
        <f t="shared" si="3"/>
        <v>540890</v>
      </c>
      <c r="AH47" s="2919">
        <f t="shared" si="4"/>
        <v>0</v>
      </c>
      <c r="AI47" s="1829">
        <f t="shared" si="59"/>
        <v>0.81818010235171679</v>
      </c>
      <c r="AJ47" s="417">
        <f t="shared" si="60"/>
        <v>-19128555</v>
      </c>
      <c r="AK47" s="412"/>
    </row>
    <row r="48" spans="1:38" ht="15">
      <c r="A48" s="2934"/>
      <c r="B48" s="2948" t="s">
        <v>185</v>
      </c>
      <c r="C48" s="1290" t="s">
        <v>82</v>
      </c>
      <c r="D48" s="1227">
        <v>20500155</v>
      </c>
      <c r="E48" s="2719">
        <v>17629987</v>
      </c>
      <c r="F48" s="1227">
        <v>1371600</v>
      </c>
      <c r="G48" s="1227">
        <f>+F48-58100</f>
        <v>1313500</v>
      </c>
      <c r="H48" s="1227">
        <f>+G48</f>
        <v>1313500</v>
      </c>
      <c r="I48" s="1227">
        <f>+H48+434340+106550</f>
        <v>1854390</v>
      </c>
      <c r="J48" s="1227">
        <f>+I48</f>
        <v>1854390</v>
      </c>
      <c r="K48" s="3209">
        <v>1517225</v>
      </c>
      <c r="L48" s="1227">
        <v>0</v>
      </c>
      <c r="M48" s="1227">
        <f t="shared" ref="M48:P51" si="66">+L48</f>
        <v>0</v>
      </c>
      <c r="N48" s="1227">
        <f t="shared" si="66"/>
        <v>0</v>
      </c>
      <c r="O48" s="1227">
        <f t="shared" si="66"/>
        <v>0</v>
      </c>
      <c r="P48" s="1227">
        <f t="shared" si="66"/>
        <v>0</v>
      </c>
      <c r="Q48" s="1227">
        <v>0</v>
      </c>
      <c r="R48" s="1227">
        <f>+F48-L48</f>
        <v>1371600</v>
      </c>
      <c r="S48" s="1227">
        <f>+R48-58100</f>
        <v>1313500</v>
      </c>
      <c r="T48" s="1227">
        <f t="shared" ref="S48:V51" si="67">+S48</f>
        <v>1313500</v>
      </c>
      <c r="U48" s="1227">
        <f>+T48+434340+106550</f>
        <v>1854390</v>
      </c>
      <c r="V48" s="1227">
        <f t="shared" si="67"/>
        <v>1854390</v>
      </c>
      <c r="W48" s="1227">
        <f>+K48</f>
        <v>1517225</v>
      </c>
      <c r="X48" s="1227"/>
      <c r="Y48" s="1227">
        <f t="shared" ref="Y48:AC51" si="68">+X48</f>
        <v>0</v>
      </c>
      <c r="Z48" s="1227">
        <f t="shared" si="68"/>
        <v>0</v>
      </c>
      <c r="AA48" s="1227">
        <f t="shared" si="68"/>
        <v>0</v>
      </c>
      <c r="AB48" s="1227">
        <f t="shared" si="68"/>
        <v>0</v>
      </c>
      <c r="AC48" s="1227">
        <f t="shared" si="68"/>
        <v>0</v>
      </c>
      <c r="AD48" s="2947"/>
      <c r="AE48" s="1213">
        <f t="shared" si="1"/>
        <v>-58100</v>
      </c>
      <c r="AF48" s="1213">
        <f t="shared" si="2"/>
        <v>0</v>
      </c>
      <c r="AG48" s="1213">
        <f t="shared" si="3"/>
        <v>540890</v>
      </c>
      <c r="AH48" s="2919">
        <f t="shared" si="4"/>
        <v>0</v>
      </c>
      <c r="AI48" s="1834">
        <f t="shared" si="59"/>
        <v>0.81818010235171679</v>
      </c>
      <c r="AJ48" s="417">
        <f t="shared" si="60"/>
        <v>-19128555</v>
      </c>
      <c r="AK48" s="430"/>
    </row>
    <row r="49" spans="1:37" ht="15">
      <c r="A49" s="2934"/>
      <c r="B49" s="2948" t="s">
        <v>187</v>
      </c>
      <c r="C49" s="1290" t="s">
        <v>344</v>
      </c>
      <c r="D49" s="1227">
        <f>0</f>
        <v>0</v>
      </c>
      <c r="E49" s="2719">
        <v>0</v>
      </c>
      <c r="F49" s="1227">
        <v>0</v>
      </c>
      <c r="G49" s="1227">
        <f t="shared" ref="G49:J51" si="69">+F49</f>
        <v>0</v>
      </c>
      <c r="H49" s="1227">
        <f t="shared" si="69"/>
        <v>0</v>
      </c>
      <c r="I49" s="1227">
        <f t="shared" si="69"/>
        <v>0</v>
      </c>
      <c r="J49" s="1227">
        <f t="shared" si="69"/>
        <v>0</v>
      </c>
      <c r="K49" s="3209">
        <v>0</v>
      </c>
      <c r="L49" s="1227">
        <v>0</v>
      </c>
      <c r="M49" s="1227">
        <f t="shared" si="66"/>
        <v>0</v>
      </c>
      <c r="N49" s="1227">
        <f t="shared" si="66"/>
        <v>0</v>
      </c>
      <c r="O49" s="1227">
        <f t="shared" si="66"/>
        <v>0</v>
      </c>
      <c r="P49" s="1227">
        <f t="shared" si="66"/>
        <v>0</v>
      </c>
      <c r="Q49" s="1227">
        <v>0</v>
      </c>
      <c r="R49" s="1227">
        <f>+F49-L49</f>
        <v>0</v>
      </c>
      <c r="S49" s="1227">
        <f t="shared" si="67"/>
        <v>0</v>
      </c>
      <c r="T49" s="1227">
        <f t="shared" si="67"/>
        <v>0</v>
      </c>
      <c r="U49" s="1227">
        <f t="shared" si="67"/>
        <v>0</v>
      </c>
      <c r="V49" s="1227">
        <f t="shared" si="67"/>
        <v>0</v>
      </c>
      <c r="W49" s="1227">
        <f>+K49</f>
        <v>0</v>
      </c>
      <c r="X49" s="1227"/>
      <c r="Y49" s="1227">
        <f t="shared" si="68"/>
        <v>0</v>
      </c>
      <c r="Z49" s="1227">
        <f t="shared" si="68"/>
        <v>0</v>
      </c>
      <c r="AA49" s="1227">
        <f t="shared" si="68"/>
        <v>0</v>
      </c>
      <c r="AB49" s="1227">
        <f t="shared" si="68"/>
        <v>0</v>
      </c>
      <c r="AC49" s="1227">
        <f t="shared" si="68"/>
        <v>0</v>
      </c>
      <c r="AD49" s="1284"/>
      <c r="AE49" s="1213">
        <f t="shared" si="1"/>
        <v>0</v>
      </c>
      <c r="AF49" s="1213">
        <f t="shared" si="2"/>
        <v>0</v>
      </c>
      <c r="AG49" s="1213">
        <f t="shared" si="3"/>
        <v>0</v>
      </c>
      <c r="AH49" s="2919">
        <f t="shared" si="4"/>
        <v>0</v>
      </c>
      <c r="AI49" s="1834"/>
      <c r="AJ49" s="417">
        <f t="shared" si="60"/>
        <v>0</v>
      </c>
      <c r="AK49" s="430"/>
    </row>
    <row r="50" spans="1:37" ht="15">
      <c r="A50" s="2934"/>
      <c r="B50" s="1477" t="s">
        <v>189</v>
      </c>
      <c r="C50" s="1286" t="s">
        <v>1293</v>
      </c>
      <c r="D50" s="1227">
        <v>0</v>
      </c>
      <c r="E50" s="2719">
        <v>0</v>
      </c>
      <c r="F50" s="1227">
        <v>0</v>
      </c>
      <c r="G50" s="1227">
        <f t="shared" si="69"/>
        <v>0</v>
      </c>
      <c r="H50" s="1227">
        <f t="shared" si="69"/>
        <v>0</v>
      </c>
      <c r="I50" s="1227">
        <f t="shared" si="69"/>
        <v>0</v>
      </c>
      <c r="J50" s="1227">
        <f t="shared" si="69"/>
        <v>0</v>
      </c>
      <c r="K50" s="3209">
        <v>0</v>
      </c>
      <c r="L50" s="1227">
        <v>0</v>
      </c>
      <c r="M50" s="1227">
        <f t="shared" si="66"/>
        <v>0</v>
      </c>
      <c r="N50" s="1227">
        <f t="shared" si="66"/>
        <v>0</v>
      </c>
      <c r="O50" s="1227">
        <f t="shared" si="66"/>
        <v>0</v>
      </c>
      <c r="P50" s="1227">
        <f t="shared" si="66"/>
        <v>0</v>
      </c>
      <c r="Q50" s="1227">
        <v>0</v>
      </c>
      <c r="R50" s="1227">
        <v>0</v>
      </c>
      <c r="S50" s="1227">
        <f t="shared" si="67"/>
        <v>0</v>
      </c>
      <c r="T50" s="1227">
        <f t="shared" si="67"/>
        <v>0</v>
      </c>
      <c r="U50" s="1227">
        <f t="shared" si="67"/>
        <v>0</v>
      </c>
      <c r="V50" s="1227">
        <f t="shared" si="67"/>
        <v>0</v>
      </c>
      <c r="W50" s="1227">
        <f>+K50</f>
        <v>0</v>
      </c>
      <c r="X50" s="1227"/>
      <c r="Y50" s="1227">
        <f t="shared" si="68"/>
        <v>0</v>
      </c>
      <c r="Z50" s="1227">
        <f t="shared" si="68"/>
        <v>0</v>
      </c>
      <c r="AA50" s="1227">
        <f t="shared" si="68"/>
        <v>0</v>
      </c>
      <c r="AB50" s="1227">
        <f t="shared" si="68"/>
        <v>0</v>
      </c>
      <c r="AC50" s="1227">
        <f t="shared" si="68"/>
        <v>0</v>
      </c>
      <c r="AD50" s="1284"/>
      <c r="AE50" s="1213">
        <f t="shared" si="1"/>
        <v>0</v>
      </c>
      <c r="AF50" s="1213">
        <f t="shared" si="2"/>
        <v>0</v>
      </c>
      <c r="AG50" s="1213">
        <f t="shared" si="3"/>
        <v>0</v>
      </c>
      <c r="AH50" s="2919">
        <f t="shared" si="4"/>
        <v>0</v>
      </c>
      <c r="AI50" s="1834"/>
      <c r="AJ50" s="417">
        <f t="shared" si="60"/>
        <v>0</v>
      </c>
      <c r="AK50" s="430"/>
    </row>
    <row r="51" spans="1:37" ht="15">
      <c r="A51" s="2934"/>
      <c r="B51" s="1477" t="s">
        <v>191</v>
      </c>
      <c r="C51" s="1290" t="s">
        <v>1294</v>
      </c>
      <c r="D51" s="1227">
        <v>0</v>
      </c>
      <c r="E51" s="2719">
        <v>0</v>
      </c>
      <c r="F51" s="1227">
        <v>0</v>
      </c>
      <c r="G51" s="1227">
        <f t="shared" si="69"/>
        <v>0</v>
      </c>
      <c r="H51" s="1227">
        <f t="shared" si="69"/>
        <v>0</v>
      </c>
      <c r="I51" s="1227">
        <f t="shared" si="69"/>
        <v>0</v>
      </c>
      <c r="J51" s="1227">
        <f t="shared" si="69"/>
        <v>0</v>
      </c>
      <c r="K51" s="3209">
        <v>0</v>
      </c>
      <c r="L51" s="1227">
        <v>0</v>
      </c>
      <c r="M51" s="1227">
        <f t="shared" si="66"/>
        <v>0</v>
      </c>
      <c r="N51" s="1227">
        <f t="shared" si="66"/>
        <v>0</v>
      </c>
      <c r="O51" s="1227">
        <f t="shared" si="66"/>
        <v>0</v>
      </c>
      <c r="P51" s="1227">
        <f t="shared" si="66"/>
        <v>0</v>
      </c>
      <c r="Q51" s="1227">
        <v>0</v>
      </c>
      <c r="R51" s="1227">
        <v>0</v>
      </c>
      <c r="S51" s="1227">
        <f t="shared" si="67"/>
        <v>0</v>
      </c>
      <c r="T51" s="1227">
        <f t="shared" si="67"/>
        <v>0</v>
      </c>
      <c r="U51" s="1227">
        <f t="shared" si="67"/>
        <v>0</v>
      </c>
      <c r="V51" s="1227">
        <f t="shared" si="67"/>
        <v>0</v>
      </c>
      <c r="W51" s="1227">
        <f>+K51</f>
        <v>0</v>
      </c>
      <c r="X51" s="1227"/>
      <c r="Y51" s="1227">
        <f t="shared" si="68"/>
        <v>0</v>
      </c>
      <c r="Z51" s="1227">
        <f t="shared" si="68"/>
        <v>0</v>
      </c>
      <c r="AA51" s="1227">
        <f t="shared" si="68"/>
        <v>0</v>
      </c>
      <c r="AB51" s="1227">
        <f t="shared" si="68"/>
        <v>0</v>
      </c>
      <c r="AC51" s="1227">
        <f t="shared" si="68"/>
        <v>0</v>
      </c>
      <c r="AD51" s="1284"/>
      <c r="AE51" s="1213">
        <f t="shared" si="1"/>
        <v>0</v>
      </c>
      <c r="AF51" s="1213">
        <f t="shared" si="2"/>
        <v>0</v>
      </c>
      <c r="AG51" s="1213">
        <f t="shared" si="3"/>
        <v>0</v>
      </c>
      <c r="AH51" s="2919">
        <f t="shared" si="4"/>
        <v>0</v>
      </c>
      <c r="AI51" s="1834"/>
      <c r="AJ51" s="417">
        <f t="shared" si="60"/>
        <v>0</v>
      </c>
      <c r="AK51" s="430"/>
    </row>
    <row r="52" spans="1:37" ht="15">
      <c r="A52" s="2934" t="s">
        <v>14</v>
      </c>
      <c r="B52" s="1282" t="s">
        <v>14</v>
      </c>
      <c r="C52" s="2950" t="s">
        <v>1295</v>
      </c>
      <c r="D52" s="1298">
        <f t="shared" ref="D52:AC52" si="70">+D41+D47</f>
        <v>1133833514</v>
      </c>
      <c r="E52" s="2720">
        <f t="shared" si="70"/>
        <v>1158926265</v>
      </c>
      <c r="F52" s="1298">
        <f t="shared" si="70"/>
        <v>1211736984</v>
      </c>
      <c r="G52" s="1298">
        <f t="shared" si="70"/>
        <v>1296327035</v>
      </c>
      <c r="H52" s="1298">
        <f t="shared" si="70"/>
        <v>1317675942</v>
      </c>
      <c r="I52" s="1298">
        <f t="shared" si="70"/>
        <v>1429294183</v>
      </c>
      <c r="J52" s="1298">
        <f t="shared" si="70"/>
        <v>1429294183</v>
      </c>
      <c r="K52" s="3210">
        <f t="shared" si="70"/>
        <v>1264071529</v>
      </c>
      <c r="L52" s="1298">
        <f t="shared" si="70"/>
        <v>0</v>
      </c>
      <c r="M52" s="1298">
        <f t="shared" si="70"/>
        <v>0</v>
      </c>
      <c r="N52" s="1298">
        <f t="shared" si="70"/>
        <v>0</v>
      </c>
      <c r="O52" s="1298">
        <f t="shared" si="70"/>
        <v>40885754</v>
      </c>
      <c r="P52" s="1298">
        <f t="shared" si="70"/>
        <v>40885754</v>
      </c>
      <c r="Q52" s="1298">
        <f t="shared" si="70"/>
        <v>40885754</v>
      </c>
      <c r="R52" s="1298">
        <f t="shared" si="70"/>
        <v>1211736984</v>
      </c>
      <c r="S52" s="1298">
        <f t="shared" si="70"/>
        <v>1296327035</v>
      </c>
      <c r="T52" s="1298">
        <f t="shared" si="70"/>
        <v>1317675942</v>
      </c>
      <c r="U52" s="1298">
        <f t="shared" si="70"/>
        <v>1388408429</v>
      </c>
      <c r="V52" s="1298">
        <f t="shared" si="70"/>
        <v>1388408429</v>
      </c>
      <c r="W52" s="1298">
        <f t="shared" si="70"/>
        <v>1223185775</v>
      </c>
      <c r="X52" s="1298">
        <f t="shared" si="70"/>
        <v>0</v>
      </c>
      <c r="Y52" s="1298">
        <f t="shared" si="70"/>
        <v>0</v>
      </c>
      <c r="Z52" s="1298">
        <f t="shared" si="70"/>
        <v>0</v>
      </c>
      <c r="AA52" s="1298">
        <f t="shared" si="70"/>
        <v>0</v>
      </c>
      <c r="AB52" s="1298">
        <f t="shared" si="70"/>
        <v>0</v>
      </c>
      <c r="AC52" s="1298">
        <f t="shared" si="70"/>
        <v>0</v>
      </c>
      <c r="AD52" s="1284"/>
      <c r="AE52" s="1213">
        <f t="shared" si="1"/>
        <v>84590051</v>
      </c>
      <c r="AF52" s="1213">
        <f t="shared" si="2"/>
        <v>21348907</v>
      </c>
      <c r="AG52" s="1213">
        <f t="shared" si="3"/>
        <v>111618241</v>
      </c>
      <c r="AH52" s="2919">
        <f t="shared" si="4"/>
        <v>0</v>
      </c>
      <c r="AI52" s="1829">
        <f t="shared" si="59"/>
        <v>0.88440262615971199</v>
      </c>
      <c r="AJ52" s="417">
        <f t="shared" si="60"/>
        <v>77903470</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9"/>
        <v>#DIV/0!</v>
      </c>
      <c r="AJ53" s="417">
        <f t="shared" si="60"/>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5">
        <v>69.5</v>
      </c>
      <c r="E54" s="2956">
        <v>65</v>
      </c>
      <c r="F54" s="2957">
        <v>69.5</v>
      </c>
      <c r="G54" s="2957">
        <f>+F54</f>
        <v>69.5</v>
      </c>
      <c r="H54" s="2957">
        <f>+G54</f>
        <v>69.5</v>
      </c>
      <c r="I54" s="2957">
        <f>+H54</f>
        <v>69.5</v>
      </c>
      <c r="J54" s="2957">
        <f>+I54</f>
        <v>69.5</v>
      </c>
      <c r="K54" s="3212">
        <v>71</v>
      </c>
      <c r="L54" s="2957">
        <v>0</v>
      </c>
      <c r="M54" s="2957">
        <f>+L54</f>
        <v>0</v>
      </c>
      <c r="N54" s="2957">
        <f>+M54</f>
        <v>0</v>
      </c>
      <c r="O54" s="2957">
        <f>+N54</f>
        <v>0</v>
      </c>
      <c r="P54" s="2957">
        <f>+O54</f>
        <v>0</v>
      </c>
      <c r="Q54" s="2957">
        <f>+P54</f>
        <v>0</v>
      </c>
      <c r="R54" s="2957">
        <f>+F54</f>
        <v>69.5</v>
      </c>
      <c r="S54" s="2957">
        <f>+R54</f>
        <v>69.5</v>
      </c>
      <c r="T54" s="2957">
        <f>+S54</f>
        <v>69.5</v>
      </c>
      <c r="U54" s="2957">
        <f>+T54</f>
        <v>69.5</v>
      </c>
      <c r="V54" s="2957">
        <f>+U54</f>
        <v>69.5</v>
      </c>
      <c r="W54" s="2957">
        <f>+V54</f>
        <v>69.5</v>
      </c>
      <c r="X54" s="2957"/>
      <c r="Y54" s="2957">
        <f>+X54</f>
        <v>0</v>
      </c>
      <c r="Z54" s="2957">
        <f>+Y54</f>
        <v>0</v>
      </c>
      <c r="AA54" s="2957">
        <f>+Z54</f>
        <v>0</v>
      </c>
      <c r="AB54" s="2957">
        <f>+AA54</f>
        <v>0</v>
      </c>
      <c r="AC54" s="2957">
        <f>+AB54</f>
        <v>0</v>
      </c>
      <c r="AD54" s="2965"/>
      <c r="AE54" s="2959">
        <f t="shared" si="1"/>
        <v>0</v>
      </c>
      <c r="AF54" s="1213">
        <f t="shared" si="2"/>
        <v>0</v>
      </c>
      <c r="AG54" s="1213">
        <f t="shared" si="3"/>
        <v>0</v>
      </c>
      <c r="AH54" s="2943">
        <f t="shared" si="4"/>
        <v>0</v>
      </c>
      <c r="AI54" s="1829">
        <f t="shared" si="59"/>
        <v>1.0215827338129497</v>
      </c>
      <c r="AJ54" s="550">
        <f t="shared" si="60"/>
        <v>0</v>
      </c>
      <c r="AK54" s="1852"/>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1">+X55</f>
        <v>0</v>
      </c>
      <c r="Z55" s="459">
        <f t="shared" si="71"/>
        <v>0</v>
      </c>
      <c r="AA55" s="459">
        <f t="shared" si="71"/>
        <v>0</v>
      </c>
      <c r="AB55" s="459">
        <f t="shared" si="71"/>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556"/>
      <c r="E56" s="556"/>
      <c r="F56" s="556"/>
      <c r="G56" s="461"/>
      <c r="H56" s="461"/>
      <c r="I56" s="461"/>
      <c r="J56" s="461"/>
      <c r="K56" s="3214"/>
      <c r="L56" s="460"/>
      <c r="M56" s="460"/>
      <c r="N56" s="460"/>
      <c r="O56" s="460"/>
      <c r="P56" s="460"/>
      <c r="Q56" s="460"/>
      <c r="R56" s="460"/>
      <c r="S56" s="553"/>
      <c r="T56" s="553"/>
      <c r="U56" s="553"/>
      <c r="V56" s="553">
        <f>+U56</f>
        <v>0</v>
      </c>
      <c r="W56" s="553"/>
      <c r="X56" s="460"/>
      <c r="Y56" s="459">
        <f t="shared" si="71"/>
        <v>0</v>
      </c>
      <c r="Z56" s="459">
        <f t="shared" si="71"/>
        <v>0</v>
      </c>
      <c r="AA56" s="459">
        <f t="shared" si="71"/>
        <v>0</v>
      </c>
      <c r="AB56" s="459">
        <f t="shared" si="71"/>
        <v>0</v>
      </c>
      <c r="AC56" s="459"/>
      <c r="AD56" s="557"/>
      <c r="AE56" s="555">
        <f t="shared" si="1"/>
        <v>0</v>
      </c>
      <c r="AF56" s="555"/>
      <c r="AG56" s="555"/>
      <c r="AH56" s="555"/>
      <c r="AJ56" s="417">
        <f>+F56-D56</f>
        <v>0</v>
      </c>
    </row>
    <row r="57" spans="1:37" ht="15.75">
      <c r="B57" s="3205" t="s">
        <v>17</v>
      </c>
      <c r="C57" s="3207" t="s">
        <v>4053</v>
      </c>
      <c r="D57" s="3206">
        <f t="shared" ref="D57:K57" si="72">+D37-D52</f>
        <v>0</v>
      </c>
      <c r="E57" s="3199">
        <f t="shared" si="72"/>
        <v>72701723</v>
      </c>
      <c r="F57" s="3200">
        <f t="shared" si="72"/>
        <v>0</v>
      </c>
      <c r="G57" s="3201">
        <f t="shared" si="72"/>
        <v>0</v>
      </c>
      <c r="H57" s="3201">
        <f t="shared" si="72"/>
        <v>0</v>
      </c>
      <c r="I57" s="3201"/>
      <c r="J57" s="3201">
        <f t="shared" si="72"/>
        <v>0</v>
      </c>
      <c r="K57" s="2198">
        <f t="shared" si="72"/>
        <v>63218061</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3">+D37-D52</f>
        <v>0</v>
      </c>
      <c r="E60" s="396">
        <f t="shared" si="73"/>
        <v>72701723</v>
      </c>
      <c r="F60" s="396">
        <f t="shared" si="73"/>
        <v>0</v>
      </c>
      <c r="G60" s="396">
        <f t="shared" si="73"/>
        <v>0</v>
      </c>
      <c r="H60" s="396">
        <f t="shared" si="73"/>
        <v>0</v>
      </c>
      <c r="I60" s="396">
        <f t="shared" si="73"/>
        <v>0</v>
      </c>
      <c r="J60" s="460">
        <f t="shared" si="73"/>
        <v>0</v>
      </c>
      <c r="K60" s="460">
        <f t="shared" si="73"/>
        <v>63218061</v>
      </c>
      <c r="L60" s="460">
        <f t="shared" si="73"/>
        <v>0</v>
      </c>
      <c r="M60" s="460">
        <f t="shared" si="73"/>
        <v>0</v>
      </c>
      <c r="N60" s="460">
        <f t="shared" si="73"/>
        <v>0</v>
      </c>
      <c r="O60" s="460">
        <f t="shared" si="73"/>
        <v>0</v>
      </c>
      <c r="P60" s="460">
        <f t="shared" si="73"/>
        <v>0</v>
      </c>
      <c r="Q60" s="460">
        <f t="shared" si="73"/>
        <v>0</v>
      </c>
      <c r="R60" s="460">
        <f t="shared" si="73"/>
        <v>0</v>
      </c>
      <c r="S60" s="460">
        <f t="shared" si="73"/>
        <v>0</v>
      </c>
      <c r="T60" s="460">
        <f t="shared" si="73"/>
        <v>0</v>
      </c>
      <c r="U60" s="460">
        <f t="shared" si="73"/>
        <v>0</v>
      </c>
      <c r="V60" s="460">
        <f t="shared" si="73"/>
        <v>0</v>
      </c>
      <c r="W60" s="460">
        <f t="shared" si="73"/>
        <v>63218061</v>
      </c>
      <c r="X60" s="396">
        <f t="shared" si="73"/>
        <v>0</v>
      </c>
      <c r="Y60" s="396">
        <f t="shared" si="73"/>
        <v>0</v>
      </c>
      <c r="Z60" s="396">
        <f t="shared" si="73"/>
        <v>0</v>
      </c>
      <c r="AA60" s="396">
        <f t="shared" si="73"/>
        <v>0</v>
      </c>
      <c r="AB60" s="396">
        <f t="shared" si="73"/>
        <v>0</v>
      </c>
    </row>
    <row r="61" spans="1:37" ht="25.5" hidden="1">
      <c r="C61" s="460" t="s">
        <v>1303</v>
      </c>
      <c r="F61" s="396">
        <f>+F37-L37-R37-X37</f>
        <v>0</v>
      </c>
      <c r="G61" s="396">
        <f>+G37-M37-S37-Y37</f>
        <v>0</v>
      </c>
      <c r="H61" s="396">
        <f>+H37-N37-T37-Z37</f>
        <v>0</v>
      </c>
      <c r="I61" s="396">
        <f>+I37-O37-U37-AA37</f>
        <v>0</v>
      </c>
      <c r="J61" s="460">
        <f>+J37-P37-V37-AB37</f>
        <v>0</v>
      </c>
      <c r="K61" s="460">
        <f>+Q60+W60</f>
        <v>63218061</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1mBdZTraRNApBt97mXn6e7bjyHRuHvB8ZkSVdNUhTREKZfcj42JBkiWfB0EQ1Jn7lMXyLpwLrJ+m9V5KsaKipA==" saltValue="N3Ij46cjDE2EWDFkhcFmqw=="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A67D1-DDEC-40E0-9238-C8E2158DF3B2}">
  <sheetPr>
    <tabColor indexed="14"/>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I1"/>
    </sheetView>
  </sheetViews>
  <sheetFormatPr defaultColWidth="8" defaultRowHeight="12.75"/>
  <cols>
    <col min="1" max="1" width="7.42578125" style="59" hidden="1" customWidth="1"/>
    <col min="2" max="2" width="7" style="547" customWidth="1"/>
    <col min="3" max="3" width="50.140625" style="396" customWidth="1"/>
    <col min="4" max="5" width="11.14062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396" hidden="1" customWidth="1"/>
    <col min="37" max="37" width="10.85546875" style="396" hidden="1" customWidth="1"/>
    <col min="38" max="16384" width="8" style="396"/>
  </cols>
  <sheetData>
    <row r="1" spans="1:37" s="397" customFormat="1" ht="21" customHeight="1">
      <c r="A1" s="3663" t="s">
        <v>4278</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row>
    <row r="2" spans="1:37" s="398" customFormat="1" ht="24.75" customHeight="1">
      <c r="A2" s="3661" t="s">
        <v>3426</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row>
    <row r="5" spans="1:37" ht="74.2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W8" si="0">SUM(D9:D19)</f>
        <v>2348959</v>
      </c>
      <c r="E8" s="2715">
        <f t="shared" si="0"/>
        <v>2232948</v>
      </c>
      <c r="F8" s="1213">
        <f t="shared" si="0"/>
        <v>2348959</v>
      </c>
      <c r="G8" s="1213">
        <f t="shared" si="0"/>
        <v>2354959</v>
      </c>
      <c r="H8" s="1213">
        <f t="shared" si="0"/>
        <v>2354959</v>
      </c>
      <c r="I8" s="1213">
        <f t="shared" si="0"/>
        <v>455801</v>
      </c>
      <c r="J8" s="1213">
        <f t="shared" si="0"/>
        <v>455801</v>
      </c>
      <c r="K8" s="3208">
        <f t="shared" si="0"/>
        <v>455801</v>
      </c>
      <c r="L8" s="1213">
        <f t="shared" si="0"/>
        <v>0</v>
      </c>
      <c r="M8" s="1213">
        <f t="shared" si="0"/>
        <v>0</v>
      </c>
      <c r="N8" s="1213">
        <f t="shared" si="0"/>
        <v>0</v>
      </c>
      <c r="O8" s="1213">
        <f t="shared" si="0"/>
        <v>0</v>
      </c>
      <c r="P8" s="1213">
        <f t="shared" si="0"/>
        <v>0</v>
      </c>
      <c r="Q8" s="1213">
        <f t="shared" si="0"/>
        <v>0</v>
      </c>
      <c r="R8" s="1213">
        <f t="shared" si="0"/>
        <v>2348959</v>
      </c>
      <c r="S8" s="1213">
        <f t="shared" si="0"/>
        <v>2354959</v>
      </c>
      <c r="T8" s="1213">
        <f t="shared" si="0"/>
        <v>2354959</v>
      </c>
      <c r="U8" s="1213">
        <f t="shared" si="0"/>
        <v>455801</v>
      </c>
      <c r="V8" s="1213">
        <f t="shared" si="0"/>
        <v>455801</v>
      </c>
      <c r="W8" s="1213">
        <f t="shared" si="0"/>
        <v>455801</v>
      </c>
      <c r="X8" s="1213"/>
      <c r="Y8" s="1213"/>
      <c r="Z8" s="1213"/>
      <c r="AA8" s="1213"/>
      <c r="AB8" s="1213"/>
      <c r="AC8" s="1213"/>
      <c r="AD8" s="1284"/>
      <c r="AE8" s="1213">
        <f t="shared" ref="AE8:AE56" si="1">+G8-F8</f>
        <v>6000</v>
      </c>
      <c r="AF8" s="1213">
        <f t="shared" ref="AF8:AF55" si="2">+H8-G8</f>
        <v>0</v>
      </c>
      <c r="AG8" s="1213">
        <f t="shared" ref="AG8:AG55" si="3">+I8-H8</f>
        <v>-1899158</v>
      </c>
      <c r="AH8" s="2919">
        <f t="shared" ref="AH8:AH55" si="4">+J8-I8</f>
        <v>0</v>
      </c>
      <c r="AI8" s="1831">
        <f>+K8/I8</f>
        <v>1</v>
      </c>
      <c r="AJ8" s="417">
        <f>+F8-D8</f>
        <v>0</v>
      </c>
      <c r="AK8" s="412"/>
    </row>
    <row r="9" spans="1:37" s="416" customFormat="1" ht="15">
      <c r="A9" s="2933"/>
      <c r="B9" s="1285" t="s">
        <v>176</v>
      </c>
      <c r="C9" s="1286" t="s">
        <v>226</v>
      </c>
      <c r="D9" s="1287">
        <v>0</v>
      </c>
      <c r="E9" s="2716">
        <v>0</v>
      </c>
      <c r="F9" s="1287">
        <v>0</v>
      </c>
      <c r="G9" s="1287">
        <f t="shared" ref="G9:G19" si="5">+F9</f>
        <v>0</v>
      </c>
      <c r="H9" s="1287">
        <f t="shared" ref="H9:H19" si="6">+G9</f>
        <v>0</v>
      </c>
      <c r="I9" s="1287">
        <f t="shared" ref="I9:I17" si="7">+H9</f>
        <v>0</v>
      </c>
      <c r="J9" s="1287">
        <f t="shared" ref="J9:J19" si="8">+I9</f>
        <v>0</v>
      </c>
      <c r="K9" s="3219">
        <v>0</v>
      </c>
      <c r="L9" s="1287">
        <v>0</v>
      </c>
      <c r="M9" s="1287">
        <f t="shared" ref="M9:M17" si="9">+L9</f>
        <v>0</v>
      </c>
      <c r="N9" s="1287">
        <f t="shared" ref="N9:N19" si="10">+M9</f>
        <v>0</v>
      </c>
      <c r="O9" s="1287">
        <f t="shared" ref="O9:O17" si="11">+N9</f>
        <v>0</v>
      </c>
      <c r="P9" s="1287">
        <f t="shared" ref="P9:P17" si="12">+O9</f>
        <v>0</v>
      </c>
      <c r="Q9" s="1287">
        <v>0</v>
      </c>
      <c r="R9" s="1287">
        <v>0</v>
      </c>
      <c r="S9" s="1287">
        <f t="shared" ref="S9:S19" si="13">+R9</f>
        <v>0</v>
      </c>
      <c r="T9" s="1287">
        <f t="shared" ref="T9:T19" si="14">+S9</f>
        <v>0</v>
      </c>
      <c r="U9" s="1287">
        <f t="shared" ref="U9:U17" si="15">+T9</f>
        <v>0</v>
      </c>
      <c r="V9" s="1287">
        <f t="shared" ref="V9:V17" si="16">+U9</f>
        <v>0</v>
      </c>
      <c r="W9" s="1287">
        <f>+K9</f>
        <v>0</v>
      </c>
      <c r="X9" s="1287"/>
      <c r="Y9" s="1287">
        <f t="shared" ref="Y9:Y17" si="17">+X9</f>
        <v>0</v>
      </c>
      <c r="Z9" s="1287">
        <f t="shared" ref="Z9:Z17" si="18">+Y9</f>
        <v>0</v>
      </c>
      <c r="AA9" s="1287">
        <f t="shared" ref="AA9:AA17" si="19">+Z9</f>
        <v>0</v>
      </c>
      <c r="AB9" s="1287">
        <f t="shared" ref="AB9:AB17" si="20">+AA9</f>
        <v>0</v>
      </c>
      <c r="AC9" s="1287">
        <f t="shared" ref="AC9:AC17" si="21">+AB9</f>
        <v>0</v>
      </c>
      <c r="AD9" s="1284"/>
      <c r="AE9" s="1213">
        <f t="shared" si="1"/>
        <v>0</v>
      </c>
      <c r="AF9" s="1213">
        <f t="shared" si="2"/>
        <v>0</v>
      </c>
      <c r="AG9" s="1213">
        <f t="shared" si="3"/>
        <v>0</v>
      </c>
      <c r="AH9" s="2919">
        <f t="shared" si="4"/>
        <v>0</v>
      </c>
      <c r="AI9" s="1834"/>
      <c r="AJ9" s="417">
        <f t="shared" ref="AJ9:AJ37" si="22">+F9-D9</f>
        <v>0</v>
      </c>
      <c r="AK9" s="420"/>
    </row>
    <row r="10" spans="1:37" s="416" customFormat="1" ht="15">
      <c r="A10" s="2933"/>
      <c r="B10" s="1285" t="s">
        <v>178</v>
      </c>
      <c r="C10" s="1286" t="s">
        <v>228</v>
      </c>
      <c r="D10" s="1287">
        <v>0</v>
      </c>
      <c r="E10" s="2716">
        <v>0</v>
      </c>
      <c r="F10" s="1287">
        <v>0</v>
      </c>
      <c r="G10" s="1287">
        <f t="shared" si="5"/>
        <v>0</v>
      </c>
      <c r="H10" s="1287">
        <f t="shared" si="6"/>
        <v>0</v>
      </c>
      <c r="I10" s="1287">
        <f t="shared" si="7"/>
        <v>0</v>
      </c>
      <c r="J10" s="1287">
        <f t="shared" si="8"/>
        <v>0</v>
      </c>
      <c r="K10" s="3219">
        <v>0</v>
      </c>
      <c r="L10" s="1287">
        <v>0</v>
      </c>
      <c r="M10" s="1287">
        <f t="shared" si="9"/>
        <v>0</v>
      </c>
      <c r="N10" s="1287">
        <f t="shared" si="10"/>
        <v>0</v>
      </c>
      <c r="O10" s="1287">
        <f t="shared" si="11"/>
        <v>0</v>
      </c>
      <c r="P10" s="1287">
        <f t="shared" si="12"/>
        <v>0</v>
      </c>
      <c r="Q10" s="1287">
        <v>0</v>
      </c>
      <c r="R10" s="1287">
        <v>0</v>
      </c>
      <c r="S10" s="1287">
        <f t="shared" si="13"/>
        <v>0</v>
      </c>
      <c r="T10" s="1287">
        <f t="shared" si="14"/>
        <v>0</v>
      </c>
      <c r="U10" s="1287">
        <f t="shared" si="15"/>
        <v>0</v>
      </c>
      <c r="V10" s="1287">
        <f t="shared" si="16"/>
        <v>0</v>
      </c>
      <c r="W10" s="1287">
        <f t="shared" ref="W10:W19" si="23">+K10</f>
        <v>0</v>
      </c>
      <c r="X10" s="1287"/>
      <c r="Y10" s="1287">
        <f t="shared" si="17"/>
        <v>0</v>
      </c>
      <c r="Z10" s="1287">
        <f t="shared" si="18"/>
        <v>0</v>
      </c>
      <c r="AA10" s="1287">
        <f t="shared" si="19"/>
        <v>0</v>
      </c>
      <c r="AB10" s="1287">
        <f t="shared" si="20"/>
        <v>0</v>
      </c>
      <c r="AC10" s="1287">
        <f t="shared" si="21"/>
        <v>0</v>
      </c>
      <c r="AD10" s="2995"/>
      <c r="AE10" s="1213">
        <f t="shared" si="1"/>
        <v>0</v>
      </c>
      <c r="AF10" s="1213">
        <f t="shared" si="2"/>
        <v>0</v>
      </c>
      <c r="AG10" s="1213">
        <f t="shared" si="3"/>
        <v>0</v>
      </c>
      <c r="AH10" s="2919">
        <f t="shared" si="4"/>
        <v>0</v>
      </c>
      <c r="AI10" s="1834"/>
      <c r="AJ10" s="417">
        <f t="shared" si="22"/>
        <v>0</v>
      </c>
      <c r="AK10" s="420"/>
    </row>
    <row r="11" spans="1:37" s="416" customFormat="1" ht="15">
      <c r="A11" s="2933"/>
      <c r="B11" s="1289" t="s">
        <v>179</v>
      </c>
      <c r="C11" s="1286" t="s">
        <v>460</v>
      </c>
      <c r="D11" s="1287">
        <v>0</v>
      </c>
      <c r="E11" s="2716">
        <v>3068</v>
      </c>
      <c r="F11" s="1287">
        <v>0</v>
      </c>
      <c r="G11" s="1287">
        <f t="shared" si="5"/>
        <v>0</v>
      </c>
      <c r="H11" s="1287">
        <f t="shared" si="6"/>
        <v>0</v>
      </c>
      <c r="I11" s="1287">
        <f t="shared" si="7"/>
        <v>0</v>
      </c>
      <c r="J11" s="1287">
        <f t="shared" si="8"/>
        <v>0</v>
      </c>
      <c r="K11" s="3219">
        <v>0</v>
      </c>
      <c r="L11" s="1287">
        <v>0</v>
      </c>
      <c r="M11" s="1287">
        <f t="shared" si="9"/>
        <v>0</v>
      </c>
      <c r="N11" s="1287">
        <f t="shared" si="10"/>
        <v>0</v>
      </c>
      <c r="O11" s="1287">
        <f t="shared" si="11"/>
        <v>0</v>
      </c>
      <c r="P11" s="1287">
        <f t="shared" si="12"/>
        <v>0</v>
      </c>
      <c r="Q11" s="1287">
        <v>0</v>
      </c>
      <c r="R11" s="1287">
        <v>0</v>
      </c>
      <c r="S11" s="1287">
        <f t="shared" si="13"/>
        <v>0</v>
      </c>
      <c r="T11" s="1287">
        <f t="shared" si="14"/>
        <v>0</v>
      </c>
      <c r="U11" s="1287">
        <f t="shared" si="15"/>
        <v>0</v>
      </c>
      <c r="V11" s="1287">
        <f t="shared" si="16"/>
        <v>0</v>
      </c>
      <c r="W11" s="1287">
        <f t="shared" si="23"/>
        <v>0</v>
      </c>
      <c r="X11" s="1287"/>
      <c r="Y11" s="1287">
        <f t="shared" si="17"/>
        <v>0</v>
      </c>
      <c r="Z11" s="1287">
        <f t="shared" si="18"/>
        <v>0</v>
      </c>
      <c r="AA11" s="1287">
        <f t="shared" si="19"/>
        <v>0</v>
      </c>
      <c r="AB11" s="1287">
        <f t="shared" si="20"/>
        <v>0</v>
      </c>
      <c r="AC11" s="1287">
        <f t="shared" si="21"/>
        <v>0</v>
      </c>
      <c r="AD11" s="2995"/>
      <c r="AE11" s="1213">
        <f t="shared" si="1"/>
        <v>0</v>
      </c>
      <c r="AF11" s="1213">
        <f t="shared" si="2"/>
        <v>0</v>
      </c>
      <c r="AG11" s="1213">
        <f t="shared" si="3"/>
        <v>0</v>
      </c>
      <c r="AH11" s="2919">
        <f t="shared" si="4"/>
        <v>0</v>
      </c>
      <c r="AI11" s="1834"/>
      <c r="AJ11" s="417">
        <f t="shared" si="22"/>
        <v>0</v>
      </c>
      <c r="AK11" s="420"/>
    </row>
    <row r="12" spans="1:37" s="416" customFormat="1" ht="15">
      <c r="A12" s="2933"/>
      <c r="B12" s="1289" t="s">
        <v>180</v>
      </c>
      <c r="C12" s="1286" t="s">
        <v>232</v>
      </c>
      <c r="D12" s="1287">
        <v>0</v>
      </c>
      <c r="E12" s="2716">
        <v>0</v>
      </c>
      <c r="F12" s="1287">
        <v>0</v>
      </c>
      <c r="G12" s="1287">
        <f t="shared" si="5"/>
        <v>0</v>
      </c>
      <c r="H12" s="1287">
        <f t="shared" si="6"/>
        <v>0</v>
      </c>
      <c r="I12" s="1287">
        <f t="shared" si="7"/>
        <v>0</v>
      </c>
      <c r="J12" s="1287">
        <f t="shared" si="8"/>
        <v>0</v>
      </c>
      <c r="K12" s="3219">
        <v>0</v>
      </c>
      <c r="L12" s="1287">
        <v>0</v>
      </c>
      <c r="M12" s="1287">
        <f t="shared" si="9"/>
        <v>0</v>
      </c>
      <c r="N12" s="1287">
        <f t="shared" si="10"/>
        <v>0</v>
      </c>
      <c r="O12" s="1287">
        <f t="shared" si="11"/>
        <v>0</v>
      </c>
      <c r="P12" s="1287">
        <f t="shared" si="12"/>
        <v>0</v>
      </c>
      <c r="Q12" s="1287">
        <v>0</v>
      </c>
      <c r="R12" s="1287">
        <v>0</v>
      </c>
      <c r="S12" s="1287">
        <f t="shared" si="13"/>
        <v>0</v>
      </c>
      <c r="T12" s="1287">
        <f t="shared" si="14"/>
        <v>0</v>
      </c>
      <c r="U12" s="1287">
        <f t="shared" si="15"/>
        <v>0</v>
      </c>
      <c r="V12" s="1287">
        <f t="shared" si="16"/>
        <v>0</v>
      </c>
      <c r="W12" s="1287">
        <f t="shared" si="23"/>
        <v>0</v>
      </c>
      <c r="X12" s="1287"/>
      <c r="Y12" s="1287">
        <f t="shared" si="17"/>
        <v>0</v>
      </c>
      <c r="Z12" s="1287">
        <f t="shared" si="18"/>
        <v>0</v>
      </c>
      <c r="AA12" s="1287">
        <f t="shared" si="19"/>
        <v>0</v>
      </c>
      <c r="AB12" s="1287">
        <f t="shared" si="20"/>
        <v>0</v>
      </c>
      <c r="AC12" s="1287">
        <f t="shared" si="21"/>
        <v>0</v>
      </c>
      <c r="AD12" s="1284"/>
      <c r="AE12" s="1213">
        <f t="shared" si="1"/>
        <v>0</v>
      </c>
      <c r="AF12" s="1213">
        <f t="shared" si="2"/>
        <v>0</v>
      </c>
      <c r="AG12" s="1213">
        <f t="shared" si="3"/>
        <v>0</v>
      </c>
      <c r="AH12" s="2919">
        <f t="shared" si="4"/>
        <v>0</v>
      </c>
      <c r="AI12" s="1834"/>
      <c r="AJ12" s="417">
        <f t="shared" si="22"/>
        <v>0</v>
      </c>
      <c r="AK12" s="420"/>
    </row>
    <row r="13" spans="1:37" s="416" customFormat="1" ht="15">
      <c r="A13" s="2933"/>
      <c r="B13" s="1289" t="s">
        <v>181</v>
      </c>
      <c r="C13" s="1286" t="s">
        <v>234</v>
      </c>
      <c r="D13" s="1287">
        <v>0</v>
      </c>
      <c r="E13" s="2716">
        <v>0</v>
      </c>
      <c r="F13" s="1287">
        <v>0</v>
      </c>
      <c r="G13" s="1287">
        <f t="shared" si="5"/>
        <v>0</v>
      </c>
      <c r="H13" s="1287">
        <f t="shared" si="6"/>
        <v>0</v>
      </c>
      <c r="I13" s="1287">
        <f>+H13+82171</f>
        <v>82171</v>
      </c>
      <c r="J13" s="1287">
        <f t="shared" si="8"/>
        <v>82171</v>
      </c>
      <c r="K13" s="3219">
        <v>82171</v>
      </c>
      <c r="L13" s="1287">
        <v>0</v>
      </c>
      <c r="M13" s="1287">
        <f t="shared" si="9"/>
        <v>0</v>
      </c>
      <c r="N13" s="1287">
        <f t="shared" si="10"/>
        <v>0</v>
      </c>
      <c r="O13" s="1287">
        <f t="shared" si="11"/>
        <v>0</v>
      </c>
      <c r="P13" s="1287">
        <f t="shared" si="12"/>
        <v>0</v>
      </c>
      <c r="Q13" s="1287">
        <v>0</v>
      </c>
      <c r="R13" s="1287">
        <v>0</v>
      </c>
      <c r="S13" s="1287">
        <f t="shared" si="13"/>
        <v>0</v>
      </c>
      <c r="T13" s="1287">
        <f t="shared" si="14"/>
        <v>0</v>
      </c>
      <c r="U13" s="1287">
        <f>+T13+82171</f>
        <v>82171</v>
      </c>
      <c r="V13" s="1287">
        <f t="shared" si="16"/>
        <v>82171</v>
      </c>
      <c r="W13" s="1287">
        <f t="shared" si="23"/>
        <v>82171</v>
      </c>
      <c r="X13" s="1287"/>
      <c r="Y13" s="1287">
        <f t="shared" si="17"/>
        <v>0</v>
      </c>
      <c r="Z13" s="1287">
        <f t="shared" si="18"/>
        <v>0</v>
      </c>
      <c r="AA13" s="1287">
        <f t="shared" si="19"/>
        <v>0</v>
      </c>
      <c r="AB13" s="1287">
        <f t="shared" si="20"/>
        <v>0</v>
      </c>
      <c r="AC13" s="1287">
        <f t="shared" si="21"/>
        <v>0</v>
      </c>
      <c r="AD13" s="1284"/>
      <c r="AE13" s="1213">
        <f t="shared" si="1"/>
        <v>0</v>
      </c>
      <c r="AF13" s="1213">
        <f t="shared" si="2"/>
        <v>0</v>
      </c>
      <c r="AG13" s="1213">
        <f t="shared" si="3"/>
        <v>82171</v>
      </c>
      <c r="AH13" s="2919">
        <f t="shared" si="4"/>
        <v>0</v>
      </c>
      <c r="AI13" s="1834">
        <f>+K13/I13</f>
        <v>1</v>
      </c>
      <c r="AJ13" s="417">
        <f t="shared" si="22"/>
        <v>0</v>
      </c>
      <c r="AK13" s="420"/>
    </row>
    <row r="14" spans="1:37" s="416" customFormat="1" ht="15">
      <c r="A14" s="2933"/>
      <c r="B14" s="1289" t="s">
        <v>183</v>
      </c>
      <c r="C14" s="1286" t="s">
        <v>887</v>
      </c>
      <c r="D14" s="1287">
        <v>0</v>
      </c>
      <c r="E14" s="2716">
        <v>0</v>
      </c>
      <c r="F14" s="1287">
        <v>0</v>
      </c>
      <c r="G14" s="1287">
        <f t="shared" si="5"/>
        <v>0</v>
      </c>
      <c r="H14" s="1287">
        <f t="shared" si="6"/>
        <v>0</v>
      </c>
      <c r="I14" s="1287">
        <f t="shared" si="7"/>
        <v>0</v>
      </c>
      <c r="J14" s="1287">
        <f t="shared" si="8"/>
        <v>0</v>
      </c>
      <c r="K14" s="3219">
        <v>0</v>
      </c>
      <c r="L14" s="1287">
        <v>0</v>
      </c>
      <c r="M14" s="1287">
        <f t="shared" si="9"/>
        <v>0</v>
      </c>
      <c r="N14" s="1287">
        <f t="shared" si="10"/>
        <v>0</v>
      </c>
      <c r="O14" s="1287">
        <f t="shared" si="11"/>
        <v>0</v>
      </c>
      <c r="P14" s="1287">
        <f t="shared" si="12"/>
        <v>0</v>
      </c>
      <c r="Q14" s="1287">
        <v>0</v>
      </c>
      <c r="R14" s="1287">
        <v>0</v>
      </c>
      <c r="S14" s="1287">
        <f t="shared" si="13"/>
        <v>0</v>
      </c>
      <c r="T14" s="1287">
        <f t="shared" si="14"/>
        <v>0</v>
      </c>
      <c r="U14" s="1287">
        <f t="shared" si="15"/>
        <v>0</v>
      </c>
      <c r="V14" s="1287">
        <f t="shared" si="16"/>
        <v>0</v>
      </c>
      <c r="W14" s="1287">
        <f t="shared" si="23"/>
        <v>0</v>
      </c>
      <c r="X14" s="1287"/>
      <c r="Y14" s="1287">
        <f t="shared" si="17"/>
        <v>0</v>
      </c>
      <c r="Z14" s="1287">
        <f t="shared" si="18"/>
        <v>0</v>
      </c>
      <c r="AA14" s="1287">
        <f t="shared" si="19"/>
        <v>0</v>
      </c>
      <c r="AB14" s="1287">
        <f t="shared" si="20"/>
        <v>0</v>
      </c>
      <c r="AC14" s="1287">
        <f t="shared" si="21"/>
        <v>0</v>
      </c>
      <c r="AD14" s="1284"/>
      <c r="AE14" s="1213">
        <f t="shared" si="1"/>
        <v>0</v>
      </c>
      <c r="AF14" s="1213">
        <f t="shared" si="2"/>
        <v>0</v>
      </c>
      <c r="AG14" s="1213">
        <f t="shared" si="3"/>
        <v>0</v>
      </c>
      <c r="AH14" s="2919">
        <f t="shared" si="4"/>
        <v>0</v>
      </c>
      <c r="AI14" s="1834"/>
      <c r="AJ14" s="417">
        <f t="shared" si="22"/>
        <v>0</v>
      </c>
      <c r="AK14" s="420"/>
    </row>
    <row r="15" spans="1:37" s="416" customFormat="1" ht="15">
      <c r="A15" s="2933"/>
      <c r="B15" s="1289" t="s">
        <v>321</v>
      </c>
      <c r="C15" s="1290" t="s">
        <v>238</v>
      </c>
      <c r="D15" s="1287">
        <v>0</v>
      </c>
      <c r="E15" s="2716">
        <v>0</v>
      </c>
      <c r="F15" s="1287">
        <v>0</v>
      </c>
      <c r="G15" s="1287">
        <f>+F15+6000</f>
        <v>6000</v>
      </c>
      <c r="H15" s="1287">
        <f t="shared" si="6"/>
        <v>6000</v>
      </c>
      <c r="I15" s="1287">
        <f>+H15-6000</f>
        <v>0</v>
      </c>
      <c r="J15" s="1287">
        <f t="shared" si="8"/>
        <v>0</v>
      </c>
      <c r="K15" s="3219">
        <v>0</v>
      </c>
      <c r="L15" s="1287">
        <v>0</v>
      </c>
      <c r="M15" s="1287">
        <f t="shared" si="9"/>
        <v>0</v>
      </c>
      <c r="N15" s="1287">
        <f t="shared" si="10"/>
        <v>0</v>
      </c>
      <c r="O15" s="1287">
        <f t="shared" si="11"/>
        <v>0</v>
      </c>
      <c r="P15" s="1287">
        <f t="shared" si="12"/>
        <v>0</v>
      </c>
      <c r="Q15" s="1287">
        <v>0</v>
      </c>
      <c r="R15" s="1287">
        <v>0</v>
      </c>
      <c r="S15" s="1287">
        <f>+R15+6000</f>
        <v>6000</v>
      </c>
      <c r="T15" s="1287">
        <f t="shared" si="14"/>
        <v>6000</v>
      </c>
      <c r="U15" s="1287">
        <f>+T15-6000</f>
        <v>0</v>
      </c>
      <c r="V15" s="1287">
        <f t="shared" si="16"/>
        <v>0</v>
      </c>
      <c r="W15" s="1287">
        <f t="shared" si="23"/>
        <v>0</v>
      </c>
      <c r="X15" s="1287"/>
      <c r="Y15" s="1287">
        <f t="shared" si="17"/>
        <v>0</v>
      </c>
      <c r="Z15" s="1287">
        <f t="shared" si="18"/>
        <v>0</v>
      </c>
      <c r="AA15" s="1287">
        <f t="shared" si="19"/>
        <v>0</v>
      </c>
      <c r="AB15" s="1287">
        <f t="shared" si="20"/>
        <v>0</v>
      </c>
      <c r="AC15" s="1287">
        <f t="shared" si="21"/>
        <v>0</v>
      </c>
      <c r="AD15" s="1284"/>
      <c r="AE15" s="1213">
        <f t="shared" si="1"/>
        <v>6000</v>
      </c>
      <c r="AF15" s="1213">
        <f t="shared" si="2"/>
        <v>0</v>
      </c>
      <c r="AG15" s="1213">
        <f t="shared" si="3"/>
        <v>-6000</v>
      </c>
      <c r="AH15" s="2919">
        <f t="shared" si="4"/>
        <v>0</v>
      </c>
      <c r="AI15" s="1834"/>
      <c r="AJ15" s="417">
        <f t="shared" si="22"/>
        <v>0</v>
      </c>
      <c r="AK15" s="420"/>
    </row>
    <row r="16" spans="1:37" s="416" customFormat="1" ht="15">
      <c r="A16" s="2933"/>
      <c r="B16" s="1289" t="s">
        <v>323</v>
      </c>
      <c r="C16" s="1286" t="s">
        <v>1277</v>
      </c>
      <c r="D16" s="1287">
        <v>2348959</v>
      </c>
      <c r="E16" s="2716">
        <v>627680</v>
      </c>
      <c r="F16" s="1287">
        <v>2348959</v>
      </c>
      <c r="G16" s="1287">
        <f t="shared" si="5"/>
        <v>2348959</v>
      </c>
      <c r="H16" s="1287">
        <f t="shared" si="6"/>
        <v>2348959</v>
      </c>
      <c r="I16" s="1287">
        <f>+H16-2008429</f>
        <v>340530</v>
      </c>
      <c r="J16" s="1287">
        <f t="shared" si="8"/>
        <v>340530</v>
      </c>
      <c r="K16" s="3219">
        <v>340530</v>
      </c>
      <c r="L16" s="1287">
        <v>0</v>
      </c>
      <c r="M16" s="1287">
        <f t="shared" si="9"/>
        <v>0</v>
      </c>
      <c r="N16" s="1287">
        <f t="shared" si="10"/>
        <v>0</v>
      </c>
      <c r="O16" s="1287">
        <f t="shared" si="11"/>
        <v>0</v>
      </c>
      <c r="P16" s="1287">
        <f t="shared" si="12"/>
        <v>0</v>
      </c>
      <c r="Q16" s="1287">
        <v>0</v>
      </c>
      <c r="R16" s="1287">
        <f>+F16</f>
        <v>2348959</v>
      </c>
      <c r="S16" s="1287">
        <f t="shared" si="13"/>
        <v>2348959</v>
      </c>
      <c r="T16" s="1287">
        <f t="shared" si="14"/>
        <v>2348959</v>
      </c>
      <c r="U16" s="1287">
        <f>+T16-2008429</f>
        <v>340530</v>
      </c>
      <c r="V16" s="1287">
        <f t="shared" si="16"/>
        <v>340530</v>
      </c>
      <c r="W16" s="1287">
        <f t="shared" si="23"/>
        <v>340530</v>
      </c>
      <c r="X16" s="1287"/>
      <c r="Y16" s="1287">
        <f t="shared" si="17"/>
        <v>0</v>
      </c>
      <c r="Z16" s="1287">
        <f t="shared" si="18"/>
        <v>0</v>
      </c>
      <c r="AA16" s="1287">
        <f t="shared" si="19"/>
        <v>0</v>
      </c>
      <c r="AB16" s="1287">
        <f t="shared" si="20"/>
        <v>0</v>
      </c>
      <c r="AC16" s="1287">
        <f t="shared" si="21"/>
        <v>0</v>
      </c>
      <c r="AD16" s="1665"/>
      <c r="AE16" s="1213">
        <f t="shared" si="1"/>
        <v>0</v>
      </c>
      <c r="AF16" s="1213">
        <f t="shared" si="2"/>
        <v>0</v>
      </c>
      <c r="AG16" s="1213">
        <f t="shared" si="3"/>
        <v>-2008429</v>
      </c>
      <c r="AH16" s="2919">
        <f t="shared" si="4"/>
        <v>0</v>
      </c>
      <c r="AI16" s="1834">
        <f>+K16/I16</f>
        <v>1</v>
      </c>
      <c r="AJ16" s="417">
        <f t="shared" si="22"/>
        <v>0</v>
      </c>
      <c r="AK16" s="420"/>
    </row>
    <row r="17" spans="1:37" s="416" customFormat="1" ht="15">
      <c r="A17" s="2933"/>
      <c r="B17" s="1289" t="s">
        <v>325</v>
      </c>
      <c r="C17" s="1286" t="s">
        <v>242</v>
      </c>
      <c r="D17" s="1287">
        <v>0</v>
      </c>
      <c r="E17" s="2716">
        <v>0</v>
      </c>
      <c r="F17" s="1287">
        <v>0</v>
      </c>
      <c r="G17" s="1287">
        <f t="shared" si="5"/>
        <v>0</v>
      </c>
      <c r="H17" s="1287">
        <f t="shared" si="6"/>
        <v>0</v>
      </c>
      <c r="I17" s="1287">
        <f t="shared" si="7"/>
        <v>0</v>
      </c>
      <c r="J17" s="1287">
        <f t="shared" si="8"/>
        <v>0</v>
      </c>
      <c r="K17" s="3219">
        <v>0</v>
      </c>
      <c r="L17" s="1287">
        <v>0</v>
      </c>
      <c r="M17" s="1287">
        <f t="shared" si="9"/>
        <v>0</v>
      </c>
      <c r="N17" s="1287">
        <f t="shared" si="10"/>
        <v>0</v>
      </c>
      <c r="O17" s="1287">
        <f t="shared" si="11"/>
        <v>0</v>
      </c>
      <c r="P17" s="1287">
        <f t="shared" si="12"/>
        <v>0</v>
      </c>
      <c r="Q17" s="1287">
        <v>0</v>
      </c>
      <c r="R17" s="1287">
        <v>0</v>
      </c>
      <c r="S17" s="1287">
        <f t="shared" si="13"/>
        <v>0</v>
      </c>
      <c r="T17" s="1287">
        <f t="shared" si="14"/>
        <v>0</v>
      </c>
      <c r="U17" s="1287">
        <f t="shared" si="15"/>
        <v>0</v>
      </c>
      <c r="V17" s="1287">
        <f t="shared" si="16"/>
        <v>0</v>
      </c>
      <c r="W17" s="1287">
        <f t="shared" si="23"/>
        <v>0</v>
      </c>
      <c r="X17" s="1287"/>
      <c r="Y17" s="1287">
        <f t="shared" si="17"/>
        <v>0</v>
      </c>
      <c r="Z17" s="1287">
        <f t="shared" si="18"/>
        <v>0</v>
      </c>
      <c r="AA17" s="1287">
        <f t="shared" si="19"/>
        <v>0</v>
      </c>
      <c r="AB17" s="1287">
        <f t="shared" si="20"/>
        <v>0</v>
      </c>
      <c r="AC17" s="1287">
        <f t="shared" si="21"/>
        <v>0</v>
      </c>
      <c r="AD17" s="1284"/>
      <c r="AE17" s="1213">
        <f t="shared" si="1"/>
        <v>0</v>
      </c>
      <c r="AF17" s="1213">
        <f t="shared" si="2"/>
        <v>0</v>
      </c>
      <c r="AG17" s="1213">
        <f t="shared" si="3"/>
        <v>0</v>
      </c>
      <c r="AH17" s="2919">
        <f t="shared" si="4"/>
        <v>0</v>
      </c>
      <c r="AI17" s="1834"/>
      <c r="AJ17" s="417">
        <f t="shared" si="22"/>
        <v>0</v>
      </c>
      <c r="AK17" s="420"/>
    </row>
    <row r="18" spans="1:37" s="416" customFormat="1" ht="15">
      <c r="A18" s="2933"/>
      <c r="B18" s="1289" t="s">
        <v>327</v>
      </c>
      <c r="C18" s="1286" t="s">
        <v>163</v>
      </c>
      <c r="D18" s="1287">
        <v>0</v>
      </c>
      <c r="E18" s="2716">
        <v>0</v>
      </c>
      <c r="F18" s="1287">
        <v>0</v>
      </c>
      <c r="G18" s="1287">
        <f t="shared" si="5"/>
        <v>0</v>
      </c>
      <c r="H18" s="1287">
        <f t="shared" si="6"/>
        <v>0</v>
      </c>
      <c r="I18" s="1287">
        <v>0</v>
      </c>
      <c r="J18" s="1287">
        <f t="shared" si="8"/>
        <v>0</v>
      </c>
      <c r="K18" s="3219">
        <v>0</v>
      </c>
      <c r="L18" s="1287">
        <v>0</v>
      </c>
      <c r="M18" s="1287">
        <v>0</v>
      </c>
      <c r="N18" s="1287">
        <f t="shared" si="10"/>
        <v>0</v>
      </c>
      <c r="O18" s="1287">
        <v>0</v>
      </c>
      <c r="P18" s="1287"/>
      <c r="Q18" s="1287">
        <v>0</v>
      </c>
      <c r="R18" s="1287">
        <v>0</v>
      </c>
      <c r="S18" s="1287">
        <f t="shared" si="13"/>
        <v>0</v>
      </c>
      <c r="T18" s="1287">
        <f t="shared" si="14"/>
        <v>0</v>
      </c>
      <c r="U18" s="1287">
        <v>0</v>
      </c>
      <c r="V18" s="1287"/>
      <c r="W18" s="1287">
        <f t="shared" si="23"/>
        <v>0</v>
      </c>
      <c r="X18" s="1287"/>
      <c r="Y18" s="1287"/>
      <c r="Z18" s="1287"/>
      <c r="AA18" s="1287"/>
      <c r="AB18" s="1287"/>
      <c r="AC18" s="1287"/>
      <c r="AD18" s="1284"/>
      <c r="AE18" s="1213">
        <f t="shared" si="1"/>
        <v>0</v>
      </c>
      <c r="AF18" s="1213">
        <f t="shared" si="2"/>
        <v>0</v>
      </c>
      <c r="AG18" s="1213">
        <f t="shared" si="3"/>
        <v>0</v>
      </c>
      <c r="AH18" s="2919">
        <f t="shared" si="4"/>
        <v>0</v>
      </c>
      <c r="AI18" s="1834"/>
      <c r="AJ18" s="417">
        <f t="shared" si="22"/>
        <v>0</v>
      </c>
      <c r="AK18" s="420"/>
    </row>
    <row r="19" spans="1:37" s="424" customFormat="1" ht="15">
      <c r="A19" s="2933"/>
      <c r="B19" s="1289" t="s">
        <v>329</v>
      </c>
      <c r="C19" s="1286" t="s">
        <v>162</v>
      </c>
      <c r="D19" s="1287">
        <v>0</v>
      </c>
      <c r="E19" s="2716">
        <v>1602200</v>
      </c>
      <c r="F19" s="1287">
        <v>0</v>
      </c>
      <c r="G19" s="1287">
        <f t="shared" si="5"/>
        <v>0</v>
      </c>
      <c r="H19" s="1287">
        <f t="shared" si="6"/>
        <v>0</v>
      </c>
      <c r="I19" s="1287">
        <f>+H19+33100</f>
        <v>33100</v>
      </c>
      <c r="J19" s="1287">
        <f t="shared" si="8"/>
        <v>33100</v>
      </c>
      <c r="K19" s="3219">
        <v>33100</v>
      </c>
      <c r="L19" s="1287">
        <v>0</v>
      </c>
      <c r="M19" s="1287">
        <f>+L19</f>
        <v>0</v>
      </c>
      <c r="N19" s="1287">
        <f t="shared" si="10"/>
        <v>0</v>
      </c>
      <c r="O19" s="1287">
        <f>+N19</f>
        <v>0</v>
      </c>
      <c r="P19" s="1287">
        <f>+O19</f>
        <v>0</v>
      </c>
      <c r="Q19" s="1287">
        <v>0</v>
      </c>
      <c r="R19" s="1287">
        <v>0</v>
      </c>
      <c r="S19" s="1287">
        <f t="shared" si="13"/>
        <v>0</v>
      </c>
      <c r="T19" s="1287">
        <f t="shared" si="14"/>
        <v>0</v>
      </c>
      <c r="U19" s="1287">
        <f>+T19+33100</f>
        <v>33100</v>
      </c>
      <c r="V19" s="1287">
        <f>+U19</f>
        <v>33100</v>
      </c>
      <c r="W19" s="1287">
        <f t="shared" si="23"/>
        <v>33100</v>
      </c>
      <c r="X19" s="1287"/>
      <c r="Y19" s="1287">
        <f>+X19</f>
        <v>0</v>
      </c>
      <c r="Z19" s="1287">
        <f>+Y19</f>
        <v>0</v>
      </c>
      <c r="AA19" s="1287">
        <f>+Z19</f>
        <v>0</v>
      </c>
      <c r="AB19" s="1287">
        <f>+AA19</f>
        <v>0</v>
      </c>
      <c r="AC19" s="1287">
        <f>+AB19</f>
        <v>0</v>
      </c>
      <c r="AD19" s="1284"/>
      <c r="AE19" s="1213">
        <f t="shared" si="1"/>
        <v>0</v>
      </c>
      <c r="AF19" s="1213">
        <f t="shared" si="2"/>
        <v>0</v>
      </c>
      <c r="AG19" s="1213">
        <f t="shared" si="3"/>
        <v>33100</v>
      </c>
      <c r="AH19" s="2919">
        <f t="shared" si="4"/>
        <v>0</v>
      </c>
      <c r="AI19" s="1834">
        <f>+K19/I19</f>
        <v>1</v>
      </c>
      <c r="AJ19" s="417">
        <f t="shared" si="22"/>
        <v>0</v>
      </c>
      <c r="AK19" s="420"/>
    </row>
    <row r="20" spans="1:37" s="424" customFormat="1" ht="15">
      <c r="A20" s="2934" t="s">
        <v>12</v>
      </c>
      <c r="B20" s="1282" t="s">
        <v>12</v>
      </c>
      <c r="C20" s="1283" t="s">
        <v>1278</v>
      </c>
      <c r="D20" s="1213">
        <f t="shared" ref="D20:AC20" si="24">SUM(D21:D22)</f>
        <v>0</v>
      </c>
      <c r="E20" s="2715">
        <f t="shared" si="24"/>
        <v>0</v>
      </c>
      <c r="F20" s="1213">
        <f t="shared" si="24"/>
        <v>0</v>
      </c>
      <c r="G20" s="1213">
        <f t="shared" si="24"/>
        <v>0</v>
      </c>
      <c r="H20" s="1213">
        <f t="shared" si="24"/>
        <v>0</v>
      </c>
      <c r="I20" s="1213">
        <f t="shared" si="24"/>
        <v>0</v>
      </c>
      <c r="J20" s="1213">
        <f t="shared" si="24"/>
        <v>0</v>
      </c>
      <c r="K20" s="3208">
        <f>SUM(K21:K22)</f>
        <v>0</v>
      </c>
      <c r="L20" s="1213">
        <f t="shared" si="24"/>
        <v>0</v>
      </c>
      <c r="M20" s="1213">
        <f t="shared" si="24"/>
        <v>0</v>
      </c>
      <c r="N20" s="1213">
        <f t="shared" si="24"/>
        <v>0</v>
      </c>
      <c r="O20" s="1213">
        <f t="shared" si="24"/>
        <v>0</v>
      </c>
      <c r="P20" s="1213">
        <f t="shared" si="24"/>
        <v>0</v>
      </c>
      <c r="Q20" s="1213">
        <f t="shared" si="24"/>
        <v>0</v>
      </c>
      <c r="R20" s="1213">
        <f t="shared" si="24"/>
        <v>0</v>
      </c>
      <c r="S20" s="1213">
        <f t="shared" si="24"/>
        <v>0</v>
      </c>
      <c r="T20" s="1213">
        <f t="shared" si="24"/>
        <v>0</v>
      </c>
      <c r="U20" s="1213">
        <f t="shared" si="24"/>
        <v>0</v>
      </c>
      <c r="V20" s="1213">
        <f t="shared" si="24"/>
        <v>0</v>
      </c>
      <c r="W20" s="1213">
        <f t="shared" si="24"/>
        <v>0</v>
      </c>
      <c r="X20" s="1213">
        <f t="shared" si="24"/>
        <v>0</v>
      </c>
      <c r="Y20" s="1213">
        <f t="shared" si="24"/>
        <v>0</v>
      </c>
      <c r="Z20" s="1213">
        <f t="shared" si="24"/>
        <v>0</v>
      </c>
      <c r="AA20" s="1213">
        <f t="shared" si="24"/>
        <v>0</v>
      </c>
      <c r="AB20" s="1213">
        <f t="shared" si="24"/>
        <v>0</v>
      </c>
      <c r="AC20" s="1213">
        <f t="shared" si="24"/>
        <v>0</v>
      </c>
      <c r="AD20" s="1284"/>
      <c r="AE20" s="1213">
        <f t="shared" si="1"/>
        <v>0</v>
      </c>
      <c r="AF20" s="1213">
        <f t="shared" si="2"/>
        <v>0</v>
      </c>
      <c r="AG20" s="1213">
        <f t="shared" si="3"/>
        <v>0</v>
      </c>
      <c r="AH20" s="2919">
        <f t="shared" si="4"/>
        <v>0</v>
      </c>
      <c r="AI20" s="1834"/>
      <c r="AJ20" s="417">
        <f t="shared" si="22"/>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3219">
        <v>0</v>
      </c>
      <c r="L21" s="1287">
        <v>0</v>
      </c>
      <c r="M21" s="1287">
        <f t="shared" ref="M21:P22" si="26">+L21</f>
        <v>0</v>
      </c>
      <c r="N21" s="1287">
        <f t="shared" si="26"/>
        <v>0</v>
      </c>
      <c r="O21" s="1287">
        <f t="shared" si="26"/>
        <v>0</v>
      </c>
      <c r="P21" s="1287">
        <f t="shared" si="26"/>
        <v>0</v>
      </c>
      <c r="Q21" s="1287">
        <v>0</v>
      </c>
      <c r="R21" s="1287">
        <v>0</v>
      </c>
      <c r="S21" s="1287">
        <f t="shared" ref="S21:V22" si="27">+R21</f>
        <v>0</v>
      </c>
      <c r="T21" s="1287">
        <f t="shared" si="27"/>
        <v>0</v>
      </c>
      <c r="U21" s="1287">
        <f t="shared" si="27"/>
        <v>0</v>
      </c>
      <c r="V21" s="1287">
        <f t="shared" si="27"/>
        <v>0</v>
      </c>
      <c r="W21" s="1287">
        <f>+K21</f>
        <v>0</v>
      </c>
      <c r="X21" s="1287"/>
      <c r="Y21" s="1287">
        <f t="shared" ref="Y21:AC22" si="28">+X21</f>
        <v>0</v>
      </c>
      <c r="Z21" s="1287">
        <f t="shared" si="28"/>
        <v>0</v>
      </c>
      <c r="AA21" s="1287">
        <f t="shared" si="28"/>
        <v>0</v>
      </c>
      <c r="AB21" s="1287">
        <f t="shared" si="28"/>
        <v>0</v>
      </c>
      <c r="AC21" s="1287">
        <f t="shared" si="28"/>
        <v>0</v>
      </c>
      <c r="AD21" s="1284"/>
      <c r="AE21" s="1213">
        <f t="shared" si="1"/>
        <v>0</v>
      </c>
      <c r="AF21" s="1213">
        <f t="shared" si="2"/>
        <v>0</v>
      </c>
      <c r="AG21" s="1213">
        <f t="shared" si="3"/>
        <v>0</v>
      </c>
      <c r="AH21" s="2919">
        <f t="shared" si="4"/>
        <v>0</v>
      </c>
      <c r="AI21" s="1834"/>
      <c r="AJ21" s="417">
        <f t="shared" si="22"/>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3219">
        <v>0</v>
      </c>
      <c r="L22" s="1287">
        <v>0</v>
      </c>
      <c r="M22" s="1287">
        <f t="shared" si="26"/>
        <v>0</v>
      </c>
      <c r="N22" s="1287">
        <f t="shared" si="26"/>
        <v>0</v>
      </c>
      <c r="O22" s="1287">
        <f t="shared" si="26"/>
        <v>0</v>
      </c>
      <c r="P22" s="1287">
        <f t="shared" si="26"/>
        <v>0</v>
      </c>
      <c r="Q22" s="1287">
        <v>0</v>
      </c>
      <c r="R22" s="1287">
        <v>0</v>
      </c>
      <c r="S22" s="1287">
        <f t="shared" si="27"/>
        <v>0</v>
      </c>
      <c r="T22" s="1287">
        <f t="shared" si="27"/>
        <v>0</v>
      </c>
      <c r="U22" s="1287">
        <f t="shared" si="27"/>
        <v>0</v>
      </c>
      <c r="V22" s="1287">
        <f t="shared" si="27"/>
        <v>0</v>
      </c>
      <c r="W22" s="1287">
        <f>+K22</f>
        <v>0</v>
      </c>
      <c r="X22" s="1287"/>
      <c r="Y22" s="1287">
        <f t="shared" si="28"/>
        <v>0</v>
      </c>
      <c r="Z22" s="1287">
        <f t="shared" si="28"/>
        <v>0</v>
      </c>
      <c r="AA22" s="1287">
        <f t="shared" si="28"/>
        <v>0</v>
      </c>
      <c r="AB22" s="1287">
        <f t="shared" si="28"/>
        <v>0</v>
      </c>
      <c r="AC22" s="1287">
        <f t="shared" si="28"/>
        <v>0</v>
      </c>
      <c r="AD22" s="1284"/>
      <c r="AE22" s="1213">
        <f t="shared" si="1"/>
        <v>0</v>
      </c>
      <c r="AF22" s="1213">
        <f t="shared" si="2"/>
        <v>0</v>
      </c>
      <c r="AG22" s="1213">
        <f t="shared" si="3"/>
        <v>0</v>
      </c>
      <c r="AH22" s="2919">
        <f t="shared" si="4"/>
        <v>0</v>
      </c>
      <c r="AI22" s="1834"/>
      <c r="AJ22" s="417">
        <f t="shared" si="22"/>
        <v>0</v>
      </c>
      <c r="AK22" s="420"/>
    </row>
    <row r="23" spans="1:37" s="416" customFormat="1" ht="21">
      <c r="A23" s="2934" t="s">
        <v>14</v>
      </c>
      <c r="B23" s="1282" t="s">
        <v>14</v>
      </c>
      <c r="C23" s="1283" t="s">
        <v>1279</v>
      </c>
      <c r="D23" s="1213">
        <f t="shared" ref="D23:Q23" si="29">D24+D25</f>
        <v>0</v>
      </c>
      <c r="E23" s="2715">
        <f t="shared" si="29"/>
        <v>0</v>
      </c>
      <c r="F23" s="1213">
        <f t="shared" si="29"/>
        <v>0</v>
      </c>
      <c r="G23" s="1213">
        <f t="shared" si="29"/>
        <v>0</v>
      </c>
      <c r="H23" s="1213">
        <f t="shared" si="29"/>
        <v>0</v>
      </c>
      <c r="I23" s="1213">
        <f t="shared" si="29"/>
        <v>0</v>
      </c>
      <c r="J23" s="1213">
        <f t="shared" si="29"/>
        <v>0</v>
      </c>
      <c r="K23" s="3208">
        <f t="shared" si="29"/>
        <v>0</v>
      </c>
      <c r="L23" s="1213">
        <f t="shared" si="29"/>
        <v>0</v>
      </c>
      <c r="M23" s="1213">
        <f t="shared" si="29"/>
        <v>0</v>
      </c>
      <c r="N23" s="1213">
        <f t="shared" si="29"/>
        <v>0</v>
      </c>
      <c r="O23" s="1213">
        <f t="shared" si="29"/>
        <v>0</v>
      </c>
      <c r="P23" s="1213">
        <f t="shared" si="29"/>
        <v>0</v>
      </c>
      <c r="Q23" s="1213">
        <f t="shared" si="29"/>
        <v>0</v>
      </c>
      <c r="R23" s="1213">
        <v>0</v>
      </c>
      <c r="S23" s="1213">
        <f t="shared" ref="S23:AC23" si="30">S24+S25</f>
        <v>0</v>
      </c>
      <c r="T23" s="1213">
        <f t="shared" si="30"/>
        <v>0</v>
      </c>
      <c r="U23" s="1213">
        <f t="shared" si="30"/>
        <v>0</v>
      </c>
      <c r="V23" s="1213">
        <f t="shared" si="30"/>
        <v>0</v>
      </c>
      <c r="W23" s="1213">
        <f t="shared" si="30"/>
        <v>0</v>
      </c>
      <c r="X23" s="1213">
        <f t="shared" si="30"/>
        <v>0</v>
      </c>
      <c r="Y23" s="1213">
        <f t="shared" si="30"/>
        <v>0</v>
      </c>
      <c r="Z23" s="1213">
        <f t="shared" si="30"/>
        <v>0</v>
      </c>
      <c r="AA23" s="1213">
        <f t="shared" si="30"/>
        <v>0</v>
      </c>
      <c r="AB23" s="1213">
        <f t="shared" si="30"/>
        <v>0</v>
      </c>
      <c r="AC23" s="1213">
        <f t="shared" si="30"/>
        <v>0</v>
      </c>
      <c r="AD23" s="1284"/>
      <c r="AE23" s="1213">
        <f t="shared" si="1"/>
        <v>0</v>
      </c>
      <c r="AF23" s="1213">
        <f t="shared" si="2"/>
        <v>0</v>
      </c>
      <c r="AG23" s="1213">
        <f t="shared" si="3"/>
        <v>0</v>
      </c>
      <c r="AH23" s="2919">
        <f t="shared" si="4"/>
        <v>0</v>
      </c>
      <c r="AI23" s="1829"/>
      <c r="AJ23" s="417">
        <f t="shared" si="22"/>
        <v>0</v>
      </c>
      <c r="AK23" s="412"/>
    </row>
    <row r="24" spans="1:37" s="416" customFormat="1" ht="15">
      <c r="A24" s="2934"/>
      <c r="B24" s="1289" t="s">
        <v>198</v>
      </c>
      <c r="C24" s="1284" t="s">
        <v>186</v>
      </c>
      <c r="D24" s="1291">
        <v>0</v>
      </c>
      <c r="E24" s="2717">
        <v>0</v>
      </c>
      <c r="F24" s="1291">
        <v>0</v>
      </c>
      <c r="G24" s="1291">
        <f t="shared" ref="G24:G31" si="31">+F24</f>
        <v>0</v>
      </c>
      <c r="H24" s="1291">
        <f t="shared" ref="H24:H31" si="32">+G24</f>
        <v>0</v>
      </c>
      <c r="I24" s="1287">
        <f t="shared" ref="I24:I31" si="33">+H24</f>
        <v>0</v>
      </c>
      <c r="J24" s="1291">
        <f t="shared" ref="J24:J31" si="34">+I24</f>
        <v>0</v>
      </c>
      <c r="K24" s="3219">
        <f>0</f>
        <v>0</v>
      </c>
      <c r="L24" s="1213">
        <v>0</v>
      </c>
      <c r="M24" s="1213">
        <f t="shared" ref="M24:M31" si="35">+L24</f>
        <v>0</v>
      </c>
      <c r="N24" s="1213">
        <f t="shared" ref="N24:N31" si="36">+M24</f>
        <v>0</v>
      </c>
      <c r="O24" s="1213">
        <f t="shared" ref="O24:O31" si="37">+N24</f>
        <v>0</v>
      </c>
      <c r="P24" s="1213">
        <f t="shared" ref="P24:P31" si="38">+O24</f>
        <v>0</v>
      </c>
      <c r="Q24" s="1213">
        <v>0</v>
      </c>
      <c r="R24" s="1213">
        <v>0</v>
      </c>
      <c r="S24" s="1213">
        <f t="shared" ref="S24:S31" si="39">+R24</f>
        <v>0</v>
      </c>
      <c r="T24" s="1213">
        <f t="shared" ref="T24:V27" si="40">+S24</f>
        <v>0</v>
      </c>
      <c r="U24" s="1213">
        <f t="shared" si="40"/>
        <v>0</v>
      </c>
      <c r="V24" s="1213">
        <f t="shared" si="40"/>
        <v>0</v>
      </c>
      <c r="W24" s="1291">
        <f t="shared" ref="W24:W31" si="41">+K24</f>
        <v>0</v>
      </c>
      <c r="X24" s="1213"/>
      <c r="Y24" s="1213">
        <f t="shared" ref="Y24:Y31" si="42">+X24</f>
        <v>0</v>
      </c>
      <c r="Z24" s="1213">
        <f t="shared" ref="Z24:Z31" si="43">+Y24</f>
        <v>0</v>
      </c>
      <c r="AA24" s="1213">
        <f t="shared" ref="AA24:AA31" si="44">+Z24</f>
        <v>0</v>
      </c>
      <c r="AB24" s="1213">
        <f t="shared" ref="AB24:AB31" si="45">+AA24</f>
        <v>0</v>
      </c>
      <c r="AC24" s="1213">
        <f t="shared" ref="AC24:AC31" si="46">+AB24</f>
        <v>0</v>
      </c>
      <c r="AD24" s="1284"/>
      <c r="AE24" s="1213">
        <f t="shared" si="1"/>
        <v>0</v>
      </c>
      <c r="AF24" s="1213">
        <f t="shared" si="2"/>
        <v>0</v>
      </c>
      <c r="AG24" s="1213">
        <f t="shared" si="3"/>
        <v>0</v>
      </c>
      <c r="AH24" s="2919">
        <f t="shared" si="4"/>
        <v>0</v>
      </c>
      <c r="AI24" s="1829"/>
      <c r="AJ24" s="417">
        <f t="shared" si="22"/>
        <v>0</v>
      </c>
      <c r="AK24" s="548"/>
    </row>
    <row r="25" spans="1:37" s="424" customFormat="1" ht="15">
      <c r="A25" s="2933"/>
      <c r="B25" s="1289" t="s">
        <v>200</v>
      </c>
      <c r="C25" s="1286" t="s">
        <v>148</v>
      </c>
      <c r="D25" s="1287">
        <v>0</v>
      </c>
      <c r="E25" s="2716">
        <v>0</v>
      </c>
      <c r="F25" s="1287">
        <v>0</v>
      </c>
      <c r="G25" s="1291">
        <f t="shared" si="31"/>
        <v>0</v>
      </c>
      <c r="H25" s="1287">
        <f>G25</f>
        <v>0</v>
      </c>
      <c r="I25" s="1287">
        <f t="shared" si="33"/>
        <v>0</v>
      </c>
      <c r="J25" s="1291">
        <f t="shared" si="34"/>
        <v>0</v>
      </c>
      <c r="K25" s="3219">
        <v>0</v>
      </c>
      <c r="L25" s="1287">
        <v>0</v>
      </c>
      <c r="M25" s="1287">
        <f t="shared" si="35"/>
        <v>0</v>
      </c>
      <c r="N25" s="1287">
        <f t="shared" si="36"/>
        <v>0</v>
      </c>
      <c r="O25" s="1287">
        <f t="shared" si="37"/>
        <v>0</v>
      </c>
      <c r="P25" s="1287">
        <f t="shared" si="38"/>
        <v>0</v>
      </c>
      <c r="Q25" s="1287">
        <v>0</v>
      </c>
      <c r="R25" s="1287">
        <v>0</v>
      </c>
      <c r="S25" s="1287">
        <f t="shared" si="39"/>
        <v>0</v>
      </c>
      <c r="T25" s="1287">
        <f t="shared" si="40"/>
        <v>0</v>
      </c>
      <c r="U25" s="1287">
        <f t="shared" si="40"/>
        <v>0</v>
      </c>
      <c r="V25" s="1287">
        <f t="shared" si="40"/>
        <v>0</v>
      </c>
      <c r="W25" s="1291">
        <f t="shared" si="41"/>
        <v>0</v>
      </c>
      <c r="X25" s="1287"/>
      <c r="Y25" s="1287">
        <f t="shared" si="42"/>
        <v>0</v>
      </c>
      <c r="Z25" s="1287">
        <f t="shared" si="43"/>
        <v>0</v>
      </c>
      <c r="AA25" s="1287">
        <f t="shared" si="44"/>
        <v>0</v>
      </c>
      <c r="AB25" s="1287">
        <f t="shared" si="45"/>
        <v>0</v>
      </c>
      <c r="AC25" s="1287">
        <f t="shared" si="46"/>
        <v>0</v>
      </c>
      <c r="AD25" s="1284"/>
      <c r="AE25" s="1213">
        <f t="shared" si="1"/>
        <v>0</v>
      </c>
      <c r="AF25" s="1213">
        <f t="shared" si="2"/>
        <v>0</v>
      </c>
      <c r="AG25" s="1213">
        <f t="shared" si="3"/>
        <v>0</v>
      </c>
      <c r="AH25" s="2919">
        <f t="shared" si="4"/>
        <v>0</v>
      </c>
      <c r="AI25" s="1834"/>
      <c r="AJ25" s="417">
        <f t="shared" si="22"/>
        <v>0</v>
      </c>
      <c r="AK25" s="420"/>
    </row>
    <row r="26" spans="1:37" s="424" customFormat="1" ht="15">
      <c r="A26" s="2933"/>
      <c r="B26" s="1289" t="s">
        <v>202</v>
      </c>
      <c r="C26" s="1290" t="s">
        <v>1280</v>
      </c>
      <c r="D26" s="1287">
        <v>0</v>
      </c>
      <c r="E26" s="2716">
        <v>0</v>
      </c>
      <c r="F26" s="1287">
        <v>0</v>
      </c>
      <c r="G26" s="1291">
        <f t="shared" si="31"/>
        <v>0</v>
      </c>
      <c r="H26" s="1291">
        <f t="shared" si="32"/>
        <v>0</v>
      </c>
      <c r="I26" s="1287">
        <f t="shared" si="33"/>
        <v>0</v>
      </c>
      <c r="J26" s="1291">
        <f t="shared" si="34"/>
        <v>0</v>
      </c>
      <c r="K26" s="3219">
        <v>0</v>
      </c>
      <c r="L26" s="1287">
        <v>0</v>
      </c>
      <c r="M26" s="1287">
        <f t="shared" si="35"/>
        <v>0</v>
      </c>
      <c r="N26" s="1287">
        <f t="shared" si="36"/>
        <v>0</v>
      </c>
      <c r="O26" s="1287">
        <f t="shared" si="37"/>
        <v>0</v>
      </c>
      <c r="P26" s="1287">
        <f t="shared" si="38"/>
        <v>0</v>
      </c>
      <c r="Q26" s="1287">
        <v>0</v>
      </c>
      <c r="R26" s="1287">
        <v>0</v>
      </c>
      <c r="S26" s="1287">
        <f t="shared" si="39"/>
        <v>0</v>
      </c>
      <c r="T26" s="1287">
        <f t="shared" si="40"/>
        <v>0</v>
      </c>
      <c r="U26" s="1287">
        <f t="shared" si="40"/>
        <v>0</v>
      </c>
      <c r="V26" s="1287">
        <f t="shared" si="40"/>
        <v>0</v>
      </c>
      <c r="W26" s="1291">
        <f t="shared" si="41"/>
        <v>0</v>
      </c>
      <c r="X26" s="1287"/>
      <c r="Y26" s="1287">
        <f t="shared" si="42"/>
        <v>0</v>
      </c>
      <c r="Z26" s="1287">
        <f t="shared" si="43"/>
        <v>0</v>
      </c>
      <c r="AA26" s="1287">
        <f t="shared" si="44"/>
        <v>0</v>
      </c>
      <c r="AB26" s="1287">
        <f t="shared" si="45"/>
        <v>0</v>
      </c>
      <c r="AC26" s="1287">
        <f t="shared" si="46"/>
        <v>0</v>
      </c>
      <c r="AD26" s="1284"/>
      <c r="AE26" s="1213">
        <f t="shared" si="1"/>
        <v>0</v>
      </c>
      <c r="AF26" s="1213">
        <f t="shared" si="2"/>
        <v>0</v>
      </c>
      <c r="AG26" s="1213">
        <f t="shared" si="3"/>
        <v>0</v>
      </c>
      <c r="AH26" s="2919">
        <f t="shared" si="4"/>
        <v>0</v>
      </c>
      <c r="AI26" s="1834"/>
      <c r="AJ26" s="417">
        <f t="shared" si="22"/>
        <v>0</v>
      </c>
      <c r="AK26" s="420"/>
    </row>
    <row r="27" spans="1:37" s="424" customFormat="1" ht="15">
      <c r="A27" s="2934" t="s">
        <v>15</v>
      </c>
      <c r="B27" s="1282" t="s">
        <v>15</v>
      </c>
      <c r="C27" s="1292" t="s">
        <v>150</v>
      </c>
      <c r="D27" s="1293">
        <v>0</v>
      </c>
      <c r="E27" s="2718">
        <v>0</v>
      </c>
      <c r="F27" s="1293">
        <v>0</v>
      </c>
      <c r="G27" s="1293">
        <f t="shared" si="31"/>
        <v>0</v>
      </c>
      <c r="H27" s="1293">
        <f t="shared" si="32"/>
        <v>0</v>
      </c>
      <c r="I27" s="1293">
        <f t="shared" si="33"/>
        <v>0</v>
      </c>
      <c r="J27" s="1293">
        <f t="shared" si="34"/>
        <v>0</v>
      </c>
      <c r="K27" s="3219">
        <v>0</v>
      </c>
      <c r="L27" s="1293">
        <v>0</v>
      </c>
      <c r="M27" s="1293">
        <f t="shared" si="35"/>
        <v>0</v>
      </c>
      <c r="N27" s="1293">
        <f t="shared" si="36"/>
        <v>0</v>
      </c>
      <c r="O27" s="1293">
        <f t="shared" si="37"/>
        <v>0</v>
      </c>
      <c r="P27" s="1293">
        <f t="shared" si="38"/>
        <v>0</v>
      </c>
      <c r="Q27" s="1293">
        <v>0</v>
      </c>
      <c r="R27" s="1293">
        <v>0</v>
      </c>
      <c r="S27" s="1293">
        <f t="shared" si="39"/>
        <v>0</v>
      </c>
      <c r="T27" s="1293">
        <f t="shared" si="40"/>
        <v>0</v>
      </c>
      <c r="U27" s="1293">
        <f t="shared" si="40"/>
        <v>0</v>
      </c>
      <c r="V27" s="1293">
        <f t="shared" si="40"/>
        <v>0</v>
      </c>
      <c r="W27" s="1293">
        <f t="shared" si="41"/>
        <v>0</v>
      </c>
      <c r="X27" s="1293">
        <f>+V27</f>
        <v>0</v>
      </c>
      <c r="Y27" s="1293">
        <f t="shared" si="42"/>
        <v>0</v>
      </c>
      <c r="Z27" s="1293">
        <f t="shared" si="43"/>
        <v>0</v>
      </c>
      <c r="AA27" s="1293">
        <f t="shared" si="44"/>
        <v>0</v>
      </c>
      <c r="AB27" s="1293">
        <f t="shared" si="45"/>
        <v>0</v>
      </c>
      <c r="AC27" s="1293">
        <f t="shared" si="46"/>
        <v>0</v>
      </c>
      <c r="AD27" s="1284"/>
      <c r="AE27" s="1213">
        <f t="shared" si="1"/>
        <v>0</v>
      </c>
      <c r="AF27" s="1213">
        <f t="shared" si="2"/>
        <v>0</v>
      </c>
      <c r="AG27" s="1213">
        <f t="shared" si="3"/>
        <v>0</v>
      </c>
      <c r="AH27" s="2919">
        <f t="shared" si="4"/>
        <v>0</v>
      </c>
      <c r="AI27" s="1834"/>
      <c r="AJ27" s="417">
        <f t="shared" si="22"/>
        <v>0</v>
      </c>
      <c r="AK27" s="427"/>
    </row>
    <row r="28" spans="1:37" s="424" customFormat="1" ht="15">
      <c r="A28" s="2933"/>
      <c r="B28" s="1289" t="s">
        <v>212</v>
      </c>
      <c r="C28" s="1290" t="s">
        <v>1280</v>
      </c>
      <c r="D28" s="1287">
        <v>0</v>
      </c>
      <c r="E28" s="2716">
        <v>0</v>
      </c>
      <c r="F28" s="1287">
        <v>0</v>
      </c>
      <c r="G28" s="1287">
        <f t="shared" si="31"/>
        <v>0</v>
      </c>
      <c r="H28" s="1287">
        <f t="shared" si="32"/>
        <v>0</v>
      </c>
      <c r="I28" s="1287">
        <f t="shared" si="33"/>
        <v>0</v>
      </c>
      <c r="J28" s="1287">
        <f t="shared" si="34"/>
        <v>0</v>
      </c>
      <c r="K28" s="3219">
        <v>0</v>
      </c>
      <c r="L28" s="1287">
        <v>0</v>
      </c>
      <c r="M28" s="1287">
        <f t="shared" si="35"/>
        <v>0</v>
      </c>
      <c r="N28" s="1287">
        <f t="shared" si="36"/>
        <v>0</v>
      </c>
      <c r="O28" s="1287">
        <f t="shared" si="37"/>
        <v>0</v>
      </c>
      <c r="P28" s="1287">
        <f t="shared" si="38"/>
        <v>0</v>
      </c>
      <c r="Q28" s="1287">
        <v>0</v>
      </c>
      <c r="R28" s="1287">
        <v>0</v>
      </c>
      <c r="S28" s="1287">
        <f t="shared" si="39"/>
        <v>0</v>
      </c>
      <c r="T28" s="1287">
        <v>0</v>
      </c>
      <c r="U28" s="1287">
        <v>0</v>
      </c>
      <c r="V28" s="1287"/>
      <c r="W28" s="1287">
        <f t="shared" si="41"/>
        <v>0</v>
      </c>
      <c r="X28" s="1287"/>
      <c r="Y28" s="1287">
        <f t="shared" si="42"/>
        <v>0</v>
      </c>
      <c r="Z28" s="1287">
        <f t="shared" si="43"/>
        <v>0</v>
      </c>
      <c r="AA28" s="1287">
        <f t="shared" si="44"/>
        <v>0</v>
      </c>
      <c r="AB28" s="1287">
        <f t="shared" si="45"/>
        <v>0</v>
      </c>
      <c r="AC28" s="1287">
        <f t="shared" si="46"/>
        <v>0</v>
      </c>
      <c r="AD28" s="1284"/>
      <c r="AE28" s="1213">
        <f t="shared" si="1"/>
        <v>0</v>
      </c>
      <c r="AF28" s="1213">
        <f t="shared" si="2"/>
        <v>0</v>
      </c>
      <c r="AG28" s="1213">
        <f t="shared" si="3"/>
        <v>0</v>
      </c>
      <c r="AH28" s="2919">
        <f t="shared" si="4"/>
        <v>0</v>
      </c>
      <c r="AI28" s="1834"/>
      <c r="AJ28" s="417">
        <f t="shared" si="22"/>
        <v>0</v>
      </c>
      <c r="AK28" s="420"/>
    </row>
    <row r="29" spans="1:37" s="424" customFormat="1" ht="15">
      <c r="A29" s="2934" t="s">
        <v>17</v>
      </c>
      <c r="B29" s="1474" t="s">
        <v>17</v>
      </c>
      <c r="C29" s="1292" t="s">
        <v>153</v>
      </c>
      <c r="D29" s="1213">
        <v>0</v>
      </c>
      <c r="E29" s="2715">
        <v>0</v>
      </c>
      <c r="F29" s="1213">
        <v>0</v>
      </c>
      <c r="G29" s="1293">
        <f t="shared" si="31"/>
        <v>0</v>
      </c>
      <c r="H29" s="1293">
        <f t="shared" si="32"/>
        <v>0</v>
      </c>
      <c r="I29" s="1213">
        <f t="shared" si="33"/>
        <v>0</v>
      </c>
      <c r="J29" s="1213">
        <f t="shared" si="34"/>
        <v>0</v>
      </c>
      <c r="K29" s="3219">
        <v>0</v>
      </c>
      <c r="L29" s="1213">
        <v>0</v>
      </c>
      <c r="M29" s="1213">
        <f t="shared" si="35"/>
        <v>0</v>
      </c>
      <c r="N29" s="1213">
        <f t="shared" si="36"/>
        <v>0</v>
      </c>
      <c r="O29" s="1213">
        <f t="shared" si="37"/>
        <v>0</v>
      </c>
      <c r="P29" s="1213">
        <f t="shared" si="38"/>
        <v>0</v>
      </c>
      <c r="Q29" s="1213">
        <v>0</v>
      </c>
      <c r="R29" s="1213">
        <v>0</v>
      </c>
      <c r="S29" s="1213">
        <f t="shared" si="39"/>
        <v>0</v>
      </c>
      <c r="T29" s="1213">
        <f t="shared" ref="T29:V31" si="47">+S29</f>
        <v>0</v>
      </c>
      <c r="U29" s="1213">
        <f t="shared" si="47"/>
        <v>0</v>
      </c>
      <c r="V29" s="1213">
        <f t="shared" si="47"/>
        <v>0</v>
      </c>
      <c r="W29" s="1213">
        <f t="shared" si="41"/>
        <v>0</v>
      </c>
      <c r="X29" s="1213"/>
      <c r="Y29" s="1213">
        <f t="shared" si="42"/>
        <v>0</v>
      </c>
      <c r="Z29" s="1213">
        <f t="shared" si="43"/>
        <v>0</v>
      </c>
      <c r="AA29" s="1213">
        <f t="shared" si="44"/>
        <v>0</v>
      </c>
      <c r="AB29" s="1213">
        <f t="shared" si="45"/>
        <v>0</v>
      </c>
      <c r="AC29" s="1213">
        <f t="shared" si="46"/>
        <v>0</v>
      </c>
      <c r="AD29" s="1284"/>
      <c r="AE29" s="1213">
        <f t="shared" si="1"/>
        <v>0</v>
      </c>
      <c r="AF29" s="1213">
        <f t="shared" si="2"/>
        <v>0</v>
      </c>
      <c r="AG29" s="1213">
        <f t="shared" si="3"/>
        <v>0</v>
      </c>
      <c r="AH29" s="2919">
        <f t="shared" si="4"/>
        <v>0</v>
      </c>
      <c r="AI29" s="1829"/>
      <c r="AJ29" s="417">
        <f t="shared" si="22"/>
        <v>0</v>
      </c>
      <c r="AK29" s="412"/>
    </row>
    <row r="30" spans="1:37" s="416" customFormat="1" ht="15">
      <c r="A30" s="2934" t="s">
        <v>19</v>
      </c>
      <c r="B30" s="1282" t="s">
        <v>19</v>
      </c>
      <c r="C30" s="1292" t="s">
        <v>1281</v>
      </c>
      <c r="D30" s="1293">
        <v>0</v>
      </c>
      <c r="E30" s="2718">
        <v>0</v>
      </c>
      <c r="F30" s="1293">
        <v>0</v>
      </c>
      <c r="G30" s="1293">
        <f t="shared" si="31"/>
        <v>0</v>
      </c>
      <c r="H30" s="1293">
        <f t="shared" si="32"/>
        <v>0</v>
      </c>
      <c r="I30" s="1293">
        <f t="shared" si="33"/>
        <v>0</v>
      </c>
      <c r="J30" s="1293">
        <f t="shared" si="34"/>
        <v>0</v>
      </c>
      <c r="K30" s="3219">
        <v>0</v>
      </c>
      <c r="L30" s="1293">
        <v>0</v>
      </c>
      <c r="M30" s="1293">
        <f t="shared" si="35"/>
        <v>0</v>
      </c>
      <c r="N30" s="1293">
        <f t="shared" si="36"/>
        <v>0</v>
      </c>
      <c r="O30" s="1293">
        <f t="shared" si="37"/>
        <v>0</v>
      </c>
      <c r="P30" s="1293">
        <f t="shared" si="38"/>
        <v>0</v>
      </c>
      <c r="Q30" s="1293">
        <v>0</v>
      </c>
      <c r="R30" s="1293">
        <v>0</v>
      </c>
      <c r="S30" s="1293">
        <f t="shared" si="39"/>
        <v>0</v>
      </c>
      <c r="T30" s="1293">
        <f t="shared" si="47"/>
        <v>0</v>
      </c>
      <c r="U30" s="1293">
        <f t="shared" si="47"/>
        <v>0</v>
      </c>
      <c r="V30" s="1293">
        <f t="shared" si="47"/>
        <v>0</v>
      </c>
      <c r="W30" s="1293">
        <f t="shared" si="41"/>
        <v>0</v>
      </c>
      <c r="X30" s="1293"/>
      <c r="Y30" s="1293">
        <f t="shared" si="42"/>
        <v>0</v>
      </c>
      <c r="Z30" s="1293">
        <f t="shared" si="43"/>
        <v>0</v>
      </c>
      <c r="AA30" s="1293">
        <f t="shared" si="44"/>
        <v>0</v>
      </c>
      <c r="AB30" s="1293">
        <f t="shared" si="45"/>
        <v>0</v>
      </c>
      <c r="AC30" s="1293">
        <f t="shared" si="46"/>
        <v>0</v>
      </c>
      <c r="AD30" s="1284"/>
      <c r="AE30" s="1213">
        <f t="shared" si="1"/>
        <v>0</v>
      </c>
      <c r="AF30" s="1213">
        <f t="shared" si="2"/>
        <v>0</v>
      </c>
      <c r="AG30" s="1213">
        <f t="shared" si="3"/>
        <v>0</v>
      </c>
      <c r="AH30" s="2919">
        <f t="shared" si="4"/>
        <v>0</v>
      </c>
      <c r="AI30" s="1834"/>
      <c r="AJ30" s="417">
        <f t="shared" si="22"/>
        <v>0</v>
      </c>
      <c r="AK30" s="427"/>
    </row>
    <row r="31" spans="1:37" s="416" customFormat="1" ht="15">
      <c r="A31" s="2934" t="s">
        <v>21</v>
      </c>
      <c r="B31" s="1282" t="s">
        <v>21</v>
      </c>
      <c r="C31" s="1292" t="s">
        <v>393</v>
      </c>
      <c r="D31" s="1293">
        <v>0</v>
      </c>
      <c r="E31" s="2718">
        <v>0</v>
      </c>
      <c r="F31" s="1293">
        <v>0</v>
      </c>
      <c r="G31" s="1293">
        <f t="shared" si="31"/>
        <v>0</v>
      </c>
      <c r="H31" s="1293">
        <f t="shared" si="32"/>
        <v>0</v>
      </c>
      <c r="I31" s="1293">
        <f t="shared" si="33"/>
        <v>0</v>
      </c>
      <c r="J31" s="1293">
        <f t="shared" si="34"/>
        <v>0</v>
      </c>
      <c r="K31" s="3219">
        <v>0</v>
      </c>
      <c r="L31" s="1227">
        <v>0</v>
      </c>
      <c r="M31" s="1227">
        <f t="shared" si="35"/>
        <v>0</v>
      </c>
      <c r="N31" s="1227">
        <f t="shared" si="36"/>
        <v>0</v>
      </c>
      <c r="O31" s="1227">
        <f t="shared" si="37"/>
        <v>0</v>
      </c>
      <c r="P31" s="1227">
        <f t="shared" si="38"/>
        <v>0</v>
      </c>
      <c r="Q31" s="1227">
        <v>0</v>
      </c>
      <c r="R31" s="1227">
        <v>0</v>
      </c>
      <c r="S31" s="1227">
        <f t="shared" si="39"/>
        <v>0</v>
      </c>
      <c r="T31" s="1227">
        <f t="shared" si="47"/>
        <v>0</v>
      </c>
      <c r="U31" s="1227">
        <f t="shared" si="47"/>
        <v>0</v>
      </c>
      <c r="V31" s="1227">
        <f t="shared" si="47"/>
        <v>0</v>
      </c>
      <c r="W31" s="1227">
        <f t="shared" si="41"/>
        <v>0</v>
      </c>
      <c r="X31" s="1227"/>
      <c r="Y31" s="1227">
        <f t="shared" si="42"/>
        <v>0</v>
      </c>
      <c r="Z31" s="1227">
        <f t="shared" si="43"/>
        <v>0</v>
      </c>
      <c r="AA31" s="1227">
        <f t="shared" si="44"/>
        <v>0</v>
      </c>
      <c r="AB31" s="1227">
        <f t="shared" si="45"/>
        <v>0</v>
      </c>
      <c r="AC31" s="1227">
        <f t="shared" si="46"/>
        <v>0</v>
      </c>
      <c r="AD31" s="1284"/>
      <c r="AE31" s="1213">
        <f t="shared" si="1"/>
        <v>0</v>
      </c>
      <c r="AF31" s="1213">
        <f t="shared" si="2"/>
        <v>0</v>
      </c>
      <c r="AG31" s="1213">
        <f t="shared" si="3"/>
        <v>0</v>
      </c>
      <c r="AH31" s="2919">
        <f t="shared" si="4"/>
        <v>0</v>
      </c>
      <c r="AI31" s="1834"/>
      <c r="AJ31" s="417">
        <f t="shared" si="22"/>
        <v>0</v>
      </c>
      <c r="AK31" s="427"/>
    </row>
    <row r="32" spans="1:37" s="416" customFormat="1" ht="15">
      <c r="A32" s="2934" t="s">
        <v>23</v>
      </c>
      <c r="B32" s="1474" t="s">
        <v>23</v>
      </c>
      <c r="C32" s="1292" t="s">
        <v>1282</v>
      </c>
      <c r="D32" s="1213">
        <f t="shared" ref="D32:AC32" si="48">+D8+D20+D23+D27+D29+D30+D31</f>
        <v>2348959</v>
      </c>
      <c r="E32" s="2715">
        <f>+E8+E20+E23+E27+E29+E30+E31</f>
        <v>2232948</v>
      </c>
      <c r="F32" s="1213">
        <f t="shared" si="48"/>
        <v>2348959</v>
      </c>
      <c r="G32" s="1213">
        <f t="shared" si="48"/>
        <v>2354959</v>
      </c>
      <c r="H32" s="1213">
        <f t="shared" si="48"/>
        <v>2354959</v>
      </c>
      <c r="I32" s="1213">
        <f t="shared" si="48"/>
        <v>455801</v>
      </c>
      <c r="J32" s="1213">
        <f t="shared" si="48"/>
        <v>455801</v>
      </c>
      <c r="K32" s="3208">
        <f t="shared" si="48"/>
        <v>455801</v>
      </c>
      <c r="L32" s="1213">
        <f t="shared" si="48"/>
        <v>0</v>
      </c>
      <c r="M32" s="1213">
        <f t="shared" si="48"/>
        <v>0</v>
      </c>
      <c r="N32" s="1213">
        <f t="shared" si="48"/>
        <v>0</v>
      </c>
      <c r="O32" s="1213">
        <f t="shared" si="48"/>
        <v>0</v>
      </c>
      <c r="P32" s="1213">
        <f t="shared" si="48"/>
        <v>0</v>
      </c>
      <c r="Q32" s="1213">
        <f t="shared" si="48"/>
        <v>0</v>
      </c>
      <c r="R32" s="1213">
        <f t="shared" si="48"/>
        <v>2348959</v>
      </c>
      <c r="S32" s="1213">
        <f t="shared" si="48"/>
        <v>2354959</v>
      </c>
      <c r="T32" s="1213">
        <f t="shared" si="48"/>
        <v>2354959</v>
      </c>
      <c r="U32" s="1213">
        <f t="shared" si="48"/>
        <v>455801</v>
      </c>
      <c r="V32" s="1213">
        <f t="shared" si="48"/>
        <v>455801</v>
      </c>
      <c r="W32" s="1213">
        <f t="shared" si="48"/>
        <v>455801</v>
      </c>
      <c r="X32" s="1213">
        <f t="shared" si="48"/>
        <v>0</v>
      </c>
      <c r="Y32" s="1213">
        <f t="shared" si="48"/>
        <v>0</v>
      </c>
      <c r="Z32" s="1213">
        <f t="shared" si="48"/>
        <v>0</v>
      </c>
      <c r="AA32" s="1213">
        <f t="shared" si="48"/>
        <v>0</v>
      </c>
      <c r="AB32" s="1213">
        <f t="shared" si="48"/>
        <v>0</v>
      </c>
      <c r="AC32" s="1213">
        <f t="shared" si="48"/>
        <v>0</v>
      </c>
      <c r="AD32" s="1283"/>
      <c r="AE32" s="1213">
        <f t="shared" si="1"/>
        <v>6000</v>
      </c>
      <c r="AF32" s="1213">
        <f t="shared" si="2"/>
        <v>0</v>
      </c>
      <c r="AG32" s="1213">
        <f t="shared" si="3"/>
        <v>-1899158</v>
      </c>
      <c r="AH32" s="2919">
        <f t="shared" si="4"/>
        <v>0</v>
      </c>
      <c r="AI32" s="1829">
        <f>+K32/I32</f>
        <v>1</v>
      </c>
      <c r="AJ32" s="417">
        <f t="shared" si="22"/>
        <v>0</v>
      </c>
      <c r="AK32" s="412"/>
    </row>
    <row r="33" spans="1:38" s="424" customFormat="1" ht="15">
      <c r="A33" s="2975" t="s">
        <v>25</v>
      </c>
      <c r="B33" s="1282" t="s">
        <v>25</v>
      </c>
      <c r="C33" s="1292" t="s">
        <v>1305</v>
      </c>
      <c r="D33" s="1213">
        <f t="shared" ref="D33:AC33" si="49">SUM(D34:D36)</f>
        <v>367003489</v>
      </c>
      <c r="E33" s="2715">
        <f>SUM(E34:E36)</f>
        <v>368102838</v>
      </c>
      <c r="F33" s="1213">
        <f t="shared" si="49"/>
        <v>389415122</v>
      </c>
      <c r="G33" s="1213">
        <f t="shared" si="49"/>
        <v>402984734</v>
      </c>
      <c r="H33" s="1213">
        <f t="shared" si="49"/>
        <v>403262234</v>
      </c>
      <c r="I33" s="1213">
        <f t="shared" si="49"/>
        <v>403431734</v>
      </c>
      <c r="J33" s="1213">
        <f t="shared" si="49"/>
        <v>403431734</v>
      </c>
      <c r="K33" s="3208">
        <f>SUM(K34:K36)</f>
        <v>371945627</v>
      </c>
      <c r="L33" s="1213">
        <f t="shared" si="49"/>
        <v>0</v>
      </c>
      <c r="M33" s="1213">
        <f t="shared" si="49"/>
        <v>0</v>
      </c>
      <c r="N33" s="1213">
        <f t="shared" si="49"/>
        <v>0</v>
      </c>
      <c r="O33" s="1213">
        <f t="shared" si="49"/>
        <v>0</v>
      </c>
      <c r="P33" s="1213">
        <f t="shared" si="49"/>
        <v>0</v>
      </c>
      <c r="Q33" s="1213">
        <f t="shared" si="49"/>
        <v>0</v>
      </c>
      <c r="R33" s="1213">
        <f t="shared" si="49"/>
        <v>389415122</v>
      </c>
      <c r="S33" s="1213">
        <f t="shared" si="49"/>
        <v>402984734</v>
      </c>
      <c r="T33" s="1213">
        <f t="shared" si="49"/>
        <v>403262234</v>
      </c>
      <c r="U33" s="1213">
        <f t="shared" si="49"/>
        <v>403431734</v>
      </c>
      <c r="V33" s="1213">
        <f t="shared" si="49"/>
        <v>403431734</v>
      </c>
      <c r="W33" s="1213">
        <f t="shared" si="49"/>
        <v>371945627</v>
      </c>
      <c r="X33" s="1213">
        <f t="shared" si="49"/>
        <v>0</v>
      </c>
      <c r="Y33" s="1213">
        <f t="shared" si="49"/>
        <v>0</v>
      </c>
      <c r="Z33" s="1213">
        <f t="shared" si="49"/>
        <v>0</v>
      </c>
      <c r="AA33" s="1213">
        <f t="shared" si="49"/>
        <v>0</v>
      </c>
      <c r="AB33" s="1213">
        <f t="shared" si="49"/>
        <v>0</v>
      </c>
      <c r="AC33" s="1213">
        <f t="shared" si="49"/>
        <v>0</v>
      </c>
      <c r="AD33" s="1284"/>
      <c r="AE33" s="1213">
        <f t="shared" si="1"/>
        <v>13569612</v>
      </c>
      <c r="AF33" s="1213">
        <f t="shared" si="2"/>
        <v>277500</v>
      </c>
      <c r="AG33" s="1213">
        <f t="shared" si="3"/>
        <v>169500</v>
      </c>
      <c r="AH33" s="2919">
        <f t="shared" si="4"/>
        <v>0</v>
      </c>
      <c r="AI33" s="1829">
        <f>+K33/I33</f>
        <v>0.92195431259753102</v>
      </c>
      <c r="AJ33" s="417">
        <f t="shared" si="22"/>
        <v>22411633</v>
      </c>
      <c r="AK33" s="412"/>
    </row>
    <row r="34" spans="1:38" s="424" customFormat="1" ht="15">
      <c r="A34" s="2975"/>
      <c r="B34" s="1477" t="s">
        <v>1284</v>
      </c>
      <c r="C34" s="1286" t="s">
        <v>1285</v>
      </c>
      <c r="D34" s="1291">
        <v>0</v>
      </c>
      <c r="E34" s="2717">
        <v>10789969</v>
      </c>
      <c r="F34" s="1291">
        <v>0</v>
      </c>
      <c r="G34" s="1227">
        <f>+F34+9101361</f>
        <v>9101361</v>
      </c>
      <c r="H34" s="1227">
        <f t="shared" ref="G34:J36" si="50">+G34</f>
        <v>9101361</v>
      </c>
      <c r="I34" s="1227">
        <f t="shared" si="50"/>
        <v>9101361</v>
      </c>
      <c r="J34" s="1291">
        <f t="shared" si="50"/>
        <v>9101361</v>
      </c>
      <c r="K34" s="3220">
        <v>9101361</v>
      </c>
      <c r="L34" s="1291">
        <v>0</v>
      </c>
      <c r="M34" s="1291">
        <f t="shared" ref="M34:P36" si="51">+L34</f>
        <v>0</v>
      </c>
      <c r="N34" s="1291">
        <f t="shared" si="51"/>
        <v>0</v>
      </c>
      <c r="O34" s="1291">
        <f t="shared" si="51"/>
        <v>0</v>
      </c>
      <c r="P34" s="1291">
        <f t="shared" si="51"/>
        <v>0</v>
      </c>
      <c r="Q34" s="1291">
        <v>0</v>
      </c>
      <c r="R34" s="1291">
        <v>0</v>
      </c>
      <c r="S34" s="1291">
        <f>+R34+9101361</f>
        <v>9101361</v>
      </c>
      <c r="T34" s="1291">
        <f t="shared" ref="S34:V36" si="52">+S34</f>
        <v>9101361</v>
      </c>
      <c r="U34" s="1291">
        <f t="shared" si="52"/>
        <v>9101361</v>
      </c>
      <c r="V34" s="1291">
        <f t="shared" si="52"/>
        <v>9101361</v>
      </c>
      <c r="W34" s="1291">
        <f>+K34</f>
        <v>9101361</v>
      </c>
      <c r="X34" s="1213"/>
      <c r="Y34" s="1213">
        <f t="shared" ref="Y34:AC36" si="53">+X34</f>
        <v>0</v>
      </c>
      <c r="Z34" s="1213">
        <f t="shared" si="53"/>
        <v>0</v>
      </c>
      <c r="AA34" s="1213">
        <f t="shared" si="53"/>
        <v>0</v>
      </c>
      <c r="AB34" s="1213">
        <f t="shared" si="53"/>
        <v>0</v>
      </c>
      <c r="AC34" s="1213">
        <f t="shared" si="53"/>
        <v>0</v>
      </c>
      <c r="AD34" s="2947"/>
      <c r="AE34" s="1213">
        <f t="shared" si="1"/>
        <v>9101361</v>
      </c>
      <c r="AF34" s="1213">
        <f t="shared" si="2"/>
        <v>0</v>
      </c>
      <c r="AG34" s="1213">
        <f t="shared" si="3"/>
        <v>0</v>
      </c>
      <c r="AH34" s="2919">
        <f t="shared" si="4"/>
        <v>0</v>
      </c>
      <c r="AI34" s="1834">
        <f>+K34/I34</f>
        <v>1</v>
      </c>
      <c r="AJ34" s="417">
        <f t="shared" si="22"/>
        <v>0</v>
      </c>
      <c r="AK34" s="548"/>
    </row>
    <row r="35" spans="1:38" s="424" customFormat="1" ht="15">
      <c r="A35" s="2933"/>
      <c r="B35" s="1477" t="s">
        <v>1286</v>
      </c>
      <c r="C35" s="1286" t="s">
        <v>1287</v>
      </c>
      <c r="D35" s="1227">
        <v>0</v>
      </c>
      <c r="E35" s="2719">
        <v>0</v>
      </c>
      <c r="F35" s="1227">
        <v>0</v>
      </c>
      <c r="G35" s="1227">
        <f t="shared" si="50"/>
        <v>0</v>
      </c>
      <c r="H35" s="1227">
        <f t="shared" si="50"/>
        <v>0</v>
      </c>
      <c r="I35" s="1227">
        <f t="shared" si="50"/>
        <v>0</v>
      </c>
      <c r="J35" s="1227">
        <f t="shared" si="50"/>
        <v>0</v>
      </c>
      <c r="K35" s="3209">
        <v>0</v>
      </c>
      <c r="L35" s="1227">
        <v>0</v>
      </c>
      <c r="M35" s="1227">
        <f t="shared" si="51"/>
        <v>0</v>
      </c>
      <c r="N35" s="1227">
        <f t="shared" si="51"/>
        <v>0</v>
      </c>
      <c r="O35" s="1227">
        <f t="shared" si="51"/>
        <v>0</v>
      </c>
      <c r="P35" s="1227">
        <f t="shared" si="51"/>
        <v>0</v>
      </c>
      <c r="Q35" s="1227">
        <v>0</v>
      </c>
      <c r="R35" s="1291">
        <v>0</v>
      </c>
      <c r="S35" s="1291">
        <f t="shared" si="52"/>
        <v>0</v>
      </c>
      <c r="T35" s="1291">
        <f t="shared" si="52"/>
        <v>0</v>
      </c>
      <c r="U35" s="1291">
        <f t="shared" si="52"/>
        <v>0</v>
      </c>
      <c r="V35" s="1291">
        <f t="shared" si="52"/>
        <v>0</v>
      </c>
      <c r="W35" s="1291">
        <f>+K35</f>
        <v>0</v>
      </c>
      <c r="X35" s="1227"/>
      <c r="Y35" s="1227">
        <f t="shared" si="53"/>
        <v>0</v>
      </c>
      <c r="Z35" s="1227">
        <f t="shared" si="53"/>
        <v>0</v>
      </c>
      <c r="AA35" s="1227">
        <f t="shared" si="53"/>
        <v>0</v>
      </c>
      <c r="AB35" s="1227">
        <f t="shared" si="53"/>
        <v>0</v>
      </c>
      <c r="AC35" s="1227">
        <f t="shared" si="53"/>
        <v>0</v>
      </c>
      <c r="AD35" s="1284"/>
      <c r="AE35" s="1213">
        <f t="shared" si="1"/>
        <v>0</v>
      </c>
      <c r="AF35" s="1213">
        <f t="shared" si="2"/>
        <v>0</v>
      </c>
      <c r="AG35" s="1213">
        <f t="shared" si="3"/>
        <v>0</v>
      </c>
      <c r="AH35" s="2919">
        <f t="shared" si="4"/>
        <v>0</v>
      </c>
      <c r="AI35" s="1834"/>
      <c r="AJ35" s="417">
        <f t="shared" si="22"/>
        <v>0</v>
      </c>
      <c r="AK35" s="430"/>
    </row>
    <row r="36" spans="1:38" s="424" customFormat="1" ht="15">
      <c r="A36" s="2976"/>
      <c r="B36" s="1477" t="s">
        <v>1288</v>
      </c>
      <c r="C36" s="1286" t="s">
        <v>1289</v>
      </c>
      <c r="D36" s="1227">
        <f>365895149+1108340</f>
        <v>367003489</v>
      </c>
      <c r="E36" s="2719">
        <v>357312869</v>
      </c>
      <c r="F36" s="1227">
        <v>389415122</v>
      </c>
      <c r="G36" s="1227">
        <f>+F36+200000+4268251</f>
        <v>393883373</v>
      </c>
      <c r="H36" s="1227">
        <f>+G36+9000*12+169500</f>
        <v>394160873</v>
      </c>
      <c r="I36" s="1227">
        <f>+H36+169500</f>
        <v>394330373</v>
      </c>
      <c r="J36" s="1227">
        <f t="shared" si="50"/>
        <v>394330373</v>
      </c>
      <c r="K36" s="3209">
        <v>362844266</v>
      </c>
      <c r="L36" s="1227">
        <v>0</v>
      </c>
      <c r="M36" s="1227">
        <f t="shared" si="51"/>
        <v>0</v>
      </c>
      <c r="N36" s="1227">
        <f t="shared" si="51"/>
        <v>0</v>
      </c>
      <c r="O36" s="1227">
        <f t="shared" si="51"/>
        <v>0</v>
      </c>
      <c r="P36" s="1227">
        <f t="shared" si="51"/>
        <v>0</v>
      </c>
      <c r="Q36" s="1227">
        <v>0</v>
      </c>
      <c r="R36" s="1227">
        <f>+F36</f>
        <v>389415122</v>
      </c>
      <c r="S36" s="1291">
        <f>+R36+200000+4268251</f>
        <v>393883373</v>
      </c>
      <c r="T36" s="1291">
        <f>+S36+9000*12+169500</f>
        <v>394160873</v>
      </c>
      <c r="U36" s="1291">
        <f>+T36+169500</f>
        <v>394330373</v>
      </c>
      <c r="V36" s="1291">
        <f t="shared" si="52"/>
        <v>394330373</v>
      </c>
      <c r="W36" s="1291">
        <f>+K36</f>
        <v>362844266</v>
      </c>
      <c r="X36" s="1227"/>
      <c r="Y36" s="1227">
        <f t="shared" si="53"/>
        <v>0</v>
      </c>
      <c r="Z36" s="1227">
        <f t="shared" si="53"/>
        <v>0</v>
      </c>
      <c r="AA36" s="1227">
        <f t="shared" si="53"/>
        <v>0</v>
      </c>
      <c r="AB36" s="1227">
        <f t="shared" si="53"/>
        <v>0</v>
      </c>
      <c r="AC36" s="1227">
        <f t="shared" si="53"/>
        <v>0</v>
      </c>
      <c r="AD36" s="1284"/>
      <c r="AE36" s="1213">
        <f t="shared" si="1"/>
        <v>4468251</v>
      </c>
      <c r="AF36" s="1213">
        <f t="shared" si="2"/>
        <v>277500</v>
      </c>
      <c r="AG36" s="1213">
        <f t="shared" si="3"/>
        <v>169500</v>
      </c>
      <c r="AH36" s="2919">
        <f t="shared" si="4"/>
        <v>0</v>
      </c>
      <c r="AI36" s="1834">
        <f>+K36/I36</f>
        <v>0.92015297538341034</v>
      </c>
      <c r="AJ36" s="417">
        <f t="shared" si="22"/>
        <v>22411633</v>
      </c>
      <c r="AK36" s="430"/>
    </row>
    <row r="37" spans="1:38" s="405" customFormat="1" ht="15.75">
      <c r="A37" s="2975" t="s">
        <v>27</v>
      </c>
      <c r="B37" s="1475" t="s">
        <v>27</v>
      </c>
      <c r="C37" s="1297" t="s">
        <v>1290</v>
      </c>
      <c r="D37" s="1298">
        <f t="shared" ref="D37:AC37" si="54">+D32+D33</f>
        <v>369352448</v>
      </c>
      <c r="E37" s="2720">
        <f t="shared" si="54"/>
        <v>370335786</v>
      </c>
      <c r="F37" s="1298">
        <f t="shared" si="54"/>
        <v>391764081</v>
      </c>
      <c r="G37" s="1298">
        <f t="shared" si="54"/>
        <v>405339693</v>
      </c>
      <c r="H37" s="1298">
        <f t="shared" si="54"/>
        <v>405617193</v>
      </c>
      <c r="I37" s="1298">
        <f t="shared" si="54"/>
        <v>403887535</v>
      </c>
      <c r="J37" s="1298">
        <f t="shared" si="54"/>
        <v>403887535</v>
      </c>
      <c r="K37" s="3210">
        <f t="shared" si="54"/>
        <v>372401428</v>
      </c>
      <c r="L37" s="1298">
        <f t="shared" si="54"/>
        <v>0</v>
      </c>
      <c r="M37" s="1298">
        <f t="shared" si="54"/>
        <v>0</v>
      </c>
      <c r="N37" s="1298">
        <f t="shared" si="54"/>
        <v>0</v>
      </c>
      <c r="O37" s="1298">
        <f t="shared" si="54"/>
        <v>0</v>
      </c>
      <c r="P37" s="1298">
        <f t="shared" si="54"/>
        <v>0</v>
      </c>
      <c r="Q37" s="1298">
        <f t="shared" si="54"/>
        <v>0</v>
      </c>
      <c r="R37" s="1298">
        <f t="shared" si="54"/>
        <v>391764081</v>
      </c>
      <c r="S37" s="1298">
        <f t="shared" si="54"/>
        <v>405339693</v>
      </c>
      <c r="T37" s="1298">
        <f t="shared" si="54"/>
        <v>405617193</v>
      </c>
      <c r="U37" s="1298">
        <f t="shared" si="54"/>
        <v>403887535</v>
      </c>
      <c r="V37" s="1298">
        <f t="shared" si="54"/>
        <v>403887535</v>
      </c>
      <c r="W37" s="1298">
        <f t="shared" si="54"/>
        <v>372401428</v>
      </c>
      <c r="X37" s="1298">
        <f t="shared" si="54"/>
        <v>0</v>
      </c>
      <c r="Y37" s="1298">
        <f t="shared" si="54"/>
        <v>0</v>
      </c>
      <c r="Z37" s="1298">
        <f t="shared" si="54"/>
        <v>0</v>
      </c>
      <c r="AA37" s="1298">
        <f t="shared" si="54"/>
        <v>0</v>
      </c>
      <c r="AB37" s="1298">
        <f t="shared" si="54"/>
        <v>0</v>
      </c>
      <c r="AC37" s="1298">
        <f t="shared" si="54"/>
        <v>0</v>
      </c>
      <c r="AD37" s="1284"/>
      <c r="AE37" s="1213">
        <f t="shared" si="1"/>
        <v>13575612</v>
      </c>
      <c r="AF37" s="1213">
        <f t="shared" si="2"/>
        <v>277500</v>
      </c>
      <c r="AG37" s="1213">
        <f t="shared" si="3"/>
        <v>-1729658</v>
      </c>
      <c r="AH37" s="2919">
        <f t="shared" si="4"/>
        <v>0</v>
      </c>
      <c r="AI37" s="1829">
        <f>+K37/I37</f>
        <v>0.92204238984498499</v>
      </c>
      <c r="AJ37" s="417">
        <f t="shared" si="22"/>
        <v>22411633</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58"/>
      <c r="AJ38" s="417"/>
      <c r="AK38" s="436"/>
    </row>
    <row r="39" spans="1:38" ht="15">
      <c r="A39" s="2932"/>
      <c r="B39" s="1285"/>
      <c r="C39" s="1548" t="str">
        <f t="shared" ref="C39:T40" si="55">+C4</f>
        <v>A</v>
      </c>
      <c r="D39" s="1549" t="str">
        <f t="shared" si="55"/>
        <v>B</v>
      </c>
      <c r="E39" s="2960" t="str">
        <f t="shared" si="55"/>
        <v>B</v>
      </c>
      <c r="F39" s="1345" t="str">
        <f t="shared" si="55"/>
        <v>B</v>
      </c>
      <c r="G39" s="1345" t="str">
        <f t="shared" si="55"/>
        <v>D</v>
      </c>
      <c r="H39" s="1345" t="str">
        <f t="shared" si="55"/>
        <v>E</v>
      </c>
      <c r="I39" s="1345" t="str">
        <f t="shared" si="55"/>
        <v>C</v>
      </c>
      <c r="J39" s="1345" t="str">
        <f t="shared" si="55"/>
        <v>F</v>
      </c>
      <c r="K39" s="1345" t="str">
        <f t="shared" si="55"/>
        <v>D</v>
      </c>
      <c r="L39" s="1345" t="str">
        <f t="shared" si="55"/>
        <v>E</v>
      </c>
      <c r="M39" s="1345" t="str">
        <f t="shared" si="55"/>
        <v>F</v>
      </c>
      <c r="N39" s="1345" t="str">
        <f t="shared" si="55"/>
        <v>F</v>
      </c>
      <c r="O39" s="1345" t="str">
        <f t="shared" si="55"/>
        <v>E</v>
      </c>
      <c r="P39" s="1345">
        <f t="shared" si="55"/>
        <v>0</v>
      </c>
      <c r="Q39" s="1345" t="str">
        <f t="shared" si="55"/>
        <v>F</v>
      </c>
      <c r="R39" s="1345" t="str">
        <f t="shared" si="55"/>
        <v>E</v>
      </c>
      <c r="S39" s="1345" t="str">
        <f t="shared" si="55"/>
        <v>E</v>
      </c>
      <c r="T39" s="1345" t="str">
        <f t="shared" si="55"/>
        <v>G</v>
      </c>
      <c r="U39" s="1345" t="str">
        <f>+U4</f>
        <v>G</v>
      </c>
      <c r="V39" s="1345">
        <f>+V4</f>
        <v>0</v>
      </c>
      <c r="W39" s="1345" t="str">
        <f>+W4</f>
        <v>H</v>
      </c>
      <c r="X39" s="2961"/>
      <c r="Y39" s="2961"/>
      <c r="Z39" s="2961"/>
      <c r="AA39" s="2961"/>
      <c r="AB39" s="2961"/>
      <c r="AC39" s="2961"/>
      <c r="AD39" s="1345"/>
      <c r="AE39" s="1213"/>
      <c r="AF39" s="1345" t="str">
        <f>+AF4</f>
        <v>H</v>
      </c>
      <c r="AG39" s="1301" t="str">
        <f>+AG4</f>
        <v>I</v>
      </c>
      <c r="AH39" s="1551"/>
      <c r="AI39" s="1845" t="str">
        <f>+AI4</f>
        <v>I</v>
      </c>
      <c r="AJ39" s="417"/>
      <c r="AK39" s="1549"/>
      <c r="AL39" s="439"/>
    </row>
    <row r="40" spans="1:38" ht="73.5">
      <c r="A40" s="2933"/>
      <c r="B40" s="1278" t="s">
        <v>6</v>
      </c>
      <c r="C40" s="1276" t="str">
        <f t="shared" si="55"/>
        <v>Kiemelt előirányzat, előirányzat megnevezése</v>
      </c>
      <c r="D40" s="1278" t="str">
        <f t="shared" si="55"/>
        <v>2024. évi eredeti előirányzat
forintban</v>
      </c>
      <c r="E40" s="2596" t="str">
        <f>+E5</f>
        <v>2024. évi teljesítés forintban</v>
      </c>
      <c r="F40" s="1276" t="str">
        <f t="shared" si="55"/>
        <v>2025. évi eredeti előirányzat forintban</v>
      </c>
      <c r="G40" s="1276" t="str">
        <f t="shared" ref="G40:AJ40" si="56">+G5</f>
        <v>2025. évi I. számú módosított előirányzat
forintban</v>
      </c>
      <c r="H40" s="1276" t="str">
        <f t="shared" si="56"/>
        <v>2025. évi II. számú módosított előirányzat forintban</v>
      </c>
      <c r="I40" s="1276" t="str">
        <f t="shared" si="56"/>
        <v>2025. évi III. számú módosított előirányzat forintban</v>
      </c>
      <c r="J40" s="1276" t="str">
        <f t="shared" si="56"/>
        <v>2025. évi IV. számú módosított előirányzat forintban</v>
      </c>
      <c r="K40" s="3197" t="str">
        <f t="shared" si="56"/>
        <v>2025. évi
teljesítés forintban</v>
      </c>
      <c r="L40" s="1276" t="str">
        <f t="shared" si="56"/>
        <v>Önként vállalt feladat forintban</v>
      </c>
      <c r="M40" s="1276" t="str">
        <f t="shared" si="56"/>
        <v>Önként vállalt feladat I. módosítás
forintban</v>
      </c>
      <c r="N40" s="1276" t="str">
        <f t="shared" si="56"/>
        <v>Önként vállalt feladat II. módosítás forintban</v>
      </c>
      <c r="O40" s="1276" t="str">
        <f t="shared" si="56"/>
        <v>Önként vállalt feladat III. módosítás forintban</v>
      </c>
      <c r="P40" s="1276" t="str">
        <f t="shared" si="56"/>
        <v>Önként vállalt feladat IV. módosítás  forintban</v>
      </c>
      <c r="Q40" s="1276" t="str">
        <f t="shared" si="56"/>
        <v>Önként vállalt teljesítés  forintban</v>
      </c>
      <c r="R40" s="1276" t="str">
        <f t="shared" si="56"/>
        <v>Kötelező feladat forintban</v>
      </c>
      <c r="S40" s="1276" t="str">
        <f t="shared" si="56"/>
        <v>Kötelező feladat 
I. módosítás
forintban</v>
      </c>
      <c r="T40" s="1276" t="str">
        <f t="shared" si="56"/>
        <v>Kötelező feladat II. módosítás forintban</v>
      </c>
      <c r="U40" s="1276" t="str">
        <f t="shared" si="56"/>
        <v>Kötelező feladat III. módosítás  forintban</v>
      </c>
      <c r="V40" s="1278" t="str">
        <f t="shared" si="56"/>
        <v>Kötelező feladat IV. módosítás  forintban</v>
      </c>
      <c r="W40" s="1278" t="str">
        <f t="shared" si="56"/>
        <v>Kötelező teljesítés  forintban</v>
      </c>
      <c r="X40" s="1278">
        <f t="shared" si="56"/>
        <v>0</v>
      </c>
      <c r="Y40" s="1278">
        <f t="shared" si="56"/>
        <v>0</v>
      </c>
      <c r="Z40" s="1278">
        <f t="shared" si="56"/>
        <v>0</v>
      </c>
      <c r="AA40" s="1278">
        <f t="shared" si="56"/>
        <v>0</v>
      </c>
      <c r="AB40" s="1278">
        <f t="shared" si="56"/>
        <v>0</v>
      </c>
      <c r="AC40" s="1278">
        <f t="shared" si="56"/>
        <v>0</v>
      </c>
      <c r="AD40" s="1278"/>
      <c r="AE40" s="1278" t="str">
        <f t="shared" si="56"/>
        <v>I. változás</v>
      </c>
      <c r="AF40" s="1278" t="str">
        <f t="shared" si="56"/>
        <v>Előirányzat-módosítások, előirányzat-átcsoportosítások összegszerű változásai</v>
      </c>
      <c r="AG40" s="2916" t="str">
        <f t="shared" si="56"/>
        <v>Előirányzat-módosítások, előirányzat-átcsoportosítások összegszerű változásai a III. módosításnál</v>
      </c>
      <c r="AH40" s="1854" t="str">
        <f t="shared" si="56"/>
        <v>IV. változás</v>
      </c>
      <c r="AI40" s="1825" t="str">
        <f t="shared" si="56"/>
        <v xml:space="preserve"> 2025. évi teljesítés / 2025. évi III. számú módosított előirányzat</v>
      </c>
      <c r="AJ40" s="1854" t="str">
        <f t="shared" si="56"/>
        <v>Változás Eredeti előző évhez 
Ft-ban</v>
      </c>
      <c r="AK40" s="2595"/>
      <c r="AL40" s="439"/>
    </row>
    <row r="41" spans="1:38" ht="15">
      <c r="A41" s="2934" t="s">
        <v>6</v>
      </c>
      <c r="B41" s="2946" t="s">
        <v>3353</v>
      </c>
      <c r="C41" s="1292" t="s">
        <v>1291</v>
      </c>
      <c r="D41" s="1213">
        <f t="shared" ref="D41:AC41" si="57">SUM(D42:D46)</f>
        <v>364984200</v>
      </c>
      <c r="E41" s="2715">
        <f t="shared" si="57"/>
        <v>355850965</v>
      </c>
      <c r="F41" s="1213">
        <f t="shared" si="57"/>
        <v>389103697</v>
      </c>
      <c r="G41" s="1213">
        <f t="shared" si="57"/>
        <v>402679309</v>
      </c>
      <c r="H41" s="1213">
        <f t="shared" si="57"/>
        <v>402956809</v>
      </c>
      <c r="I41" s="1213">
        <f t="shared" si="57"/>
        <v>400777151</v>
      </c>
      <c r="J41" s="1213">
        <f t="shared" si="57"/>
        <v>400777151</v>
      </c>
      <c r="K41" s="3208">
        <f t="shared" si="57"/>
        <v>350167703</v>
      </c>
      <c r="L41" s="1213">
        <f t="shared" si="57"/>
        <v>0</v>
      </c>
      <c r="M41" s="1213">
        <f t="shared" si="57"/>
        <v>0</v>
      </c>
      <c r="N41" s="1213">
        <f t="shared" si="57"/>
        <v>0</v>
      </c>
      <c r="O41" s="1213">
        <f t="shared" si="57"/>
        <v>0</v>
      </c>
      <c r="P41" s="1213">
        <f t="shared" si="57"/>
        <v>0</v>
      </c>
      <c r="Q41" s="1213">
        <f t="shared" si="57"/>
        <v>0</v>
      </c>
      <c r="R41" s="1213">
        <f t="shared" si="57"/>
        <v>389103697</v>
      </c>
      <c r="S41" s="1213">
        <f t="shared" si="57"/>
        <v>402679309</v>
      </c>
      <c r="T41" s="1213">
        <f t="shared" si="57"/>
        <v>402956809</v>
      </c>
      <c r="U41" s="1213">
        <f t="shared" si="57"/>
        <v>400777151</v>
      </c>
      <c r="V41" s="1213">
        <f t="shared" si="57"/>
        <v>400777151</v>
      </c>
      <c r="W41" s="1213">
        <f t="shared" si="57"/>
        <v>350167703</v>
      </c>
      <c r="X41" s="1213">
        <f t="shared" si="57"/>
        <v>0</v>
      </c>
      <c r="Y41" s="1213">
        <f t="shared" si="57"/>
        <v>0</v>
      </c>
      <c r="Z41" s="1213">
        <f t="shared" si="57"/>
        <v>0</v>
      </c>
      <c r="AA41" s="1213">
        <f t="shared" si="57"/>
        <v>0</v>
      </c>
      <c r="AB41" s="1213">
        <f t="shared" si="57"/>
        <v>0</v>
      </c>
      <c r="AC41" s="1213">
        <f t="shared" si="57"/>
        <v>0</v>
      </c>
      <c r="AD41" s="1284"/>
      <c r="AE41" s="1213">
        <f t="shared" si="1"/>
        <v>13575612</v>
      </c>
      <c r="AF41" s="1213">
        <f t="shared" si="2"/>
        <v>277500</v>
      </c>
      <c r="AG41" s="1213">
        <f t="shared" si="3"/>
        <v>-2179658</v>
      </c>
      <c r="AH41" s="2919">
        <f t="shared" si="4"/>
        <v>0</v>
      </c>
      <c r="AI41" s="1829">
        <f t="shared" ref="AI41:AI54" si="58">+K41/I41</f>
        <v>0.87372172322268937</v>
      </c>
      <c r="AJ41" s="417">
        <f t="shared" ref="AJ41:AJ54" si="59">+F41-D41</f>
        <v>24119497</v>
      </c>
      <c r="AK41" s="412"/>
      <c r="AL41" s="439"/>
    </row>
    <row r="42" spans="1:38" ht="15">
      <c r="A42" s="2934"/>
      <c r="B42" s="2948" t="s">
        <v>176</v>
      </c>
      <c r="C42" s="1290" t="s">
        <v>147</v>
      </c>
      <c r="D42" s="1227">
        <v>288125617</v>
      </c>
      <c r="E42" s="2719">
        <v>279019426</v>
      </c>
      <c r="F42" s="1227">
        <v>308145445</v>
      </c>
      <c r="G42" s="1227">
        <f>F42+200000+3777213-589000</f>
        <v>311533658</v>
      </c>
      <c r="H42" s="1227">
        <f>G42+9000*12+150000</f>
        <v>311791658</v>
      </c>
      <c r="I42" s="1227">
        <f>H42+150000-406611-1899158</f>
        <v>309635889</v>
      </c>
      <c r="J42" s="1227">
        <f t="shared" ref="G42:J46" si="60">I42</f>
        <v>309635889</v>
      </c>
      <c r="K42" s="3209">
        <v>275822673</v>
      </c>
      <c r="L42" s="1227">
        <v>0</v>
      </c>
      <c r="M42" s="1227">
        <f t="shared" ref="M42:P46" si="61">+L42</f>
        <v>0</v>
      </c>
      <c r="N42" s="1227">
        <f t="shared" si="61"/>
        <v>0</v>
      </c>
      <c r="O42" s="1227">
        <f t="shared" si="61"/>
        <v>0</v>
      </c>
      <c r="P42" s="1227">
        <f t="shared" si="61"/>
        <v>0</v>
      </c>
      <c r="Q42" s="1227">
        <v>0</v>
      </c>
      <c r="R42" s="1227">
        <f>+F42</f>
        <v>308145445</v>
      </c>
      <c r="S42" s="1227">
        <f>+R42+200000+3777213-589000</f>
        <v>311533658</v>
      </c>
      <c r="T42" s="1227">
        <f>+S42+9000*12+150000</f>
        <v>311791658</v>
      </c>
      <c r="U42" s="1227">
        <f>+T42+150000-406611-1899158</f>
        <v>309635889</v>
      </c>
      <c r="V42" s="1227">
        <f t="shared" ref="S42:V46" si="62">+U42</f>
        <v>309635889</v>
      </c>
      <c r="W42" s="1227">
        <f>+K42</f>
        <v>275822673</v>
      </c>
      <c r="X42" s="1227"/>
      <c r="Y42" s="1227">
        <f t="shared" ref="Y42:AC46" si="63">+X42</f>
        <v>0</v>
      </c>
      <c r="Z42" s="1227">
        <f t="shared" si="63"/>
        <v>0</v>
      </c>
      <c r="AA42" s="1227">
        <f t="shared" si="63"/>
        <v>0</v>
      </c>
      <c r="AB42" s="1227">
        <f t="shared" si="63"/>
        <v>0</v>
      </c>
      <c r="AC42" s="1227">
        <f t="shared" si="63"/>
        <v>0</v>
      </c>
      <c r="AD42" s="1665"/>
      <c r="AE42" s="1213">
        <f t="shared" si="1"/>
        <v>3388213</v>
      </c>
      <c r="AF42" s="1213">
        <f t="shared" si="2"/>
        <v>258000</v>
      </c>
      <c r="AG42" s="1213">
        <f t="shared" si="3"/>
        <v>-2155769</v>
      </c>
      <c r="AH42" s="2919">
        <f t="shared" si="4"/>
        <v>0</v>
      </c>
      <c r="AI42" s="1834">
        <f t="shared" si="58"/>
        <v>0.89079684493550426</v>
      </c>
      <c r="AJ42" s="417">
        <f t="shared" si="59"/>
        <v>20019828</v>
      </c>
      <c r="AK42" s="430"/>
      <c r="AL42" s="439"/>
    </row>
    <row r="43" spans="1:38" ht="15">
      <c r="A43" s="2934"/>
      <c r="B43" s="2948" t="s">
        <v>178</v>
      </c>
      <c r="C43" s="1290" t="s">
        <v>8</v>
      </c>
      <c r="D43" s="1227">
        <v>42016380</v>
      </c>
      <c r="E43" s="2719">
        <v>39121241</v>
      </c>
      <c r="F43" s="1227">
        <v>44920785</v>
      </c>
      <c r="G43" s="1227">
        <f>F43+491038</f>
        <v>45411823</v>
      </c>
      <c r="H43" s="1227">
        <f>G43+19500</f>
        <v>45431323</v>
      </c>
      <c r="I43" s="1227">
        <f>H43+19500</f>
        <v>45450823</v>
      </c>
      <c r="J43" s="1227">
        <f t="shared" si="60"/>
        <v>45450823</v>
      </c>
      <c r="K43" s="3209">
        <v>37200142</v>
      </c>
      <c r="L43" s="1227">
        <v>0</v>
      </c>
      <c r="M43" s="1227">
        <f t="shared" si="61"/>
        <v>0</v>
      </c>
      <c r="N43" s="1227">
        <f t="shared" si="61"/>
        <v>0</v>
      </c>
      <c r="O43" s="1227">
        <f t="shared" si="61"/>
        <v>0</v>
      </c>
      <c r="P43" s="1227">
        <f t="shared" si="61"/>
        <v>0</v>
      </c>
      <c r="Q43" s="1227">
        <v>0</v>
      </c>
      <c r="R43" s="1227">
        <f>+F43</f>
        <v>44920785</v>
      </c>
      <c r="S43" s="1227">
        <f>+R43+491038</f>
        <v>45411823</v>
      </c>
      <c r="T43" s="1227">
        <f>+S43+19500</f>
        <v>45431323</v>
      </c>
      <c r="U43" s="1227">
        <f>+T43+19500</f>
        <v>45450823</v>
      </c>
      <c r="V43" s="1227">
        <f t="shared" si="62"/>
        <v>45450823</v>
      </c>
      <c r="W43" s="1227">
        <f>+K43</f>
        <v>37200142</v>
      </c>
      <c r="X43" s="1227"/>
      <c r="Y43" s="1227">
        <f t="shared" si="63"/>
        <v>0</v>
      </c>
      <c r="Z43" s="1227">
        <f t="shared" si="63"/>
        <v>0</v>
      </c>
      <c r="AA43" s="1227">
        <f t="shared" si="63"/>
        <v>0</v>
      </c>
      <c r="AB43" s="1227">
        <f t="shared" si="63"/>
        <v>0</v>
      </c>
      <c r="AC43" s="1227">
        <f t="shared" si="63"/>
        <v>0</v>
      </c>
      <c r="AD43" s="1665"/>
      <c r="AE43" s="1213">
        <f t="shared" si="1"/>
        <v>491038</v>
      </c>
      <c r="AF43" s="1213">
        <f t="shared" si="2"/>
        <v>19500</v>
      </c>
      <c r="AG43" s="1213">
        <f t="shared" si="3"/>
        <v>19500</v>
      </c>
      <c r="AH43" s="2919">
        <f t="shared" si="4"/>
        <v>0</v>
      </c>
      <c r="AI43" s="1834">
        <f t="shared" si="58"/>
        <v>0.81847015179461102</v>
      </c>
      <c r="AJ43" s="417">
        <f t="shared" si="59"/>
        <v>2904405</v>
      </c>
      <c r="AK43" s="430"/>
      <c r="AL43" s="439"/>
    </row>
    <row r="44" spans="1:38" ht="15">
      <c r="A44" s="2934"/>
      <c r="B44" s="2948" t="s">
        <v>179</v>
      </c>
      <c r="C44" s="1290" t="s">
        <v>317</v>
      </c>
      <c r="D44" s="1227">
        <v>34842203</v>
      </c>
      <c r="E44" s="2719">
        <v>29114371</v>
      </c>
      <c r="F44" s="1227">
        <v>36037467</v>
      </c>
      <c r="G44" s="1227">
        <f>F44+552094+83376+6000+589000</f>
        <v>37267937</v>
      </c>
      <c r="H44" s="1227">
        <f>G44</f>
        <v>37267937</v>
      </c>
      <c r="I44" s="1227">
        <f>H44-450000+406611</f>
        <v>37224548</v>
      </c>
      <c r="J44" s="1227">
        <f t="shared" si="60"/>
        <v>37224548</v>
      </c>
      <c r="K44" s="3209">
        <v>28678997</v>
      </c>
      <c r="L44" s="1227">
        <v>0</v>
      </c>
      <c r="M44" s="1227">
        <f t="shared" si="61"/>
        <v>0</v>
      </c>
      <c r="N44" s="1227">
        <f t="shared" si="61"/>
        <v>0</v>
      </c>
      <c r="O44" s="1227">
        <f t="shared" si="61"/>
        <v>0</v>
      </c>
      <c r="P44" s="1227">
        <f t="shared" si="61"/>
        <v>0</v>
      </c>
      <c r="Q44" s="1227">
        <v>0</v>
      </c>
      <c r="R44" s="1227">
        <f>+F44</f>
        <v>36037467</v>
      </c>
      <c r="S44" s="1227">
        <f>+R44+552094+83376+6000+589000</f>
        <v>37267937</v>
      </c>
      <c r="T44" s="1227">
        <f>+S44</f>
        <v>37267937</v>
      </c>
      <c r="U44" s="1227">
        <f>+T44-450000+406611</f>
        <v>37224548</v>
      </c>
      <c r="V44" s="1227">
        <f t="shared" si="62"/>
        <v>37224548</v>
      </c>
      <c r="W44" s="1227">
        <f>+K44</f>
        <v>28678997</v>
      </c>
      <c r="X44" s="1227"/>
      <c r="Y44" s="1227">
        <f t="shared" si="63"/>
        <v>0</v>
      </c>
      <c r="Z44" s="1227">
        <f t="shared" si="63"/>
        <v>0</v>
      </c>
      <c r="AA44" s="1227">
        <f t="shared" si="63"/>
        <v>0</v>
      </c>
      <c r="AB44" s="1227">
        <f t="shared" si="63"/>
        <v>0</v>
      </c>
      <c r="AC44" s="1227">
        <f t="shared" si="63"/>
        <v>0</v>
      </c>
      <c r="AD44" s="2947"/>
      <c r="AE44" s="1213">
        <f t="shared" si="1"/>
        <v>1230470</v>
      </c>
      <c r="AF44" s="1213">
        <f t="shared" si="2"/>
        <v>0</v>
      </c>
      <c r="AG44" s="1213">
        <f t="shared" si="3"/>
        <v>-43389</v>
      </c>
      <c r="AH44" s="2919">
        <f t="shared" si="4"/>
        <v>0</v>
      </c>
      <c r="AI44" s="1834">
        <f t="shared" si="58"/>
        <v>0.77043237704323497</v>
      </c>
      <c r="AJ44" s="417">
        <f t="shared" si="59"/>
        <v>1195264</v>
      </c>
      <c r="AK44" s="430"/>
    </row>
    <row r="45" spans="1:38" s="439" customFormat="1" ht="15">
      <c r="A45" s="2934"/>
      <c r="B45" s="2948" t="s">
        <v>180</v>
      </c>
      <c r="C45" s="1290" t="s">
        <v>318</v>
      </c>
      <c r="D45" s="1227">
        <v>0</v>
      </c>
      <c r="E45" s="2719">
        <v>0</v>
      </c>
      <c r="F45" s="1227">
        <v>0</v>
      </c>
      <c r="G45" s="1227">
        <f t="shared" si="60"/>
        <v>0</v>
      </c>
      <c r="H45" s="1227">
        <f t="shared" si="60"/>
        <v>0</v>
      </c>
      <c r="I45" s="1227">
        <f t="shared" si="60"/>
        <v>0</v>
      </c>
      <c r="J45" s="1227">
        <f t="shared" si="60"/>
        <v>0</v>
      </c>
      <c r="K45" s="3209">
        <v>0</v>
      </c>
      <c r="L45" s="1227">
        <v>0</v>
      </c>
      <c r="M45" s="1227">
        <f t="shared" si="61"/>
        <v>0</v>
      </c>
      <c r="N45" s="1227">
        <f t="shared" si="61"/>
        <v>0</v>
      </c>
      <c r="O45" s="1227">
        <f t="shared" si="61"/>
        <v>0</v>
      </c>
      <c r="P45" s="1227">
        <f t="shared" si="61"/>
        <v>0</v>
      </c>
      <c r="Q45" s="1227">
        <v>0</v>
      </c>
      <c r="R45" s="1227">
        <v>0</v>
      </c>
      <c r="S45" s="1227">
        <f t="shared" si="62"/>
        <v>0</v>
      </c>
      <c r="T45" s="1227">
        <f t="shared" si="62"/>
        <v>0</v>
      </c>
      <c r="U45" s="1227">
        <f t="shared" si="62"/>
        <v>0</v>
      </c>
      <c r="V45" s="1227">
        <f t="shared" si="62"/>
        <v>0</v>
      </c>
      <c r="W45" s="1227">
        <f>+K45</f>
        <v>0</v>
      </c>
      <c r="X45" s="1227"/>
      <c r="Y45" s="1227">
        <f t="shared" si="63"/>
        <v>0</v>
      </c>
      <c r="Z45" s="1227">
        <f t="shared" si="63"/>
        <v>0</v>
      </c>
      <c r="AA45" s="1227">
        <f t="shared" si="63"/>
        <v>0</v>
      </c>
      <c r="AB45" s="1227">
        <f t="shared" si="63"/>
        <v>0</v>
      </c>
      <c r="AC45" s="1227">
        <f t="shared" si="63"/>
        <v>0</v>
      </c>
      <c r="AD45" s="1284"/>
      <c r="AE45" s="1213">
        <f t="shared" si="1"/>
        <v>0</v>
      </c>
      <c r="AF45" s="1213">
        <f t="shared" si="2"/>
        <v>0</v>
      </c>
      <c r="AG45" s="1213">
        <f t="shared" si="3"/>
        <v>0</v>
      </c>
      <c r="AH45" s="2919">
        <f t="shared" si="4"/>
        <v>0</v>
      </c>
      <c r="AI45" s="1834"/>
      <c r="AJ45" s="417">
        <f t="shared" si="59"/>
        <v>0</v>
      </c>
      <c r="AK45" s="430"/>
    </row>
    <row r="46" spans="1:38" ht="15">
      <c r="A46" s="2934"/>
      <c r="B46" s="1477" t="s">
        <v>181</v>
      </c>
      <c r="C46" s="1286" t="s">
        <v>3319</v>
      </c>
      <c r="D46" s="1227">
        <v>0</v>
      </c>
      <c r="E46" s="2719">
        <v>8595927</v>
      </c>
      <c r="F46" s="1227">
        <v>0</v>
      </c>
      <c r="G46" s="1227">
        <f>F46+8465891</f>
        <v>8465891</v>
      </c>
      <c r="H46" s="1227">
        <f t="shared" si="60"/>
        <v>8465891</v>
      </c>
      <c r="I46" s="1227">
        <f t="shared" si="60"/>
        <v>8465891</v>
      </c>
      <c r="J46" s="1227">
        <f t="shared" si="60"/>
        <v>8465891</v>
      </c>
      <c r="K46" s="3209">
        <v>8465891</v>
      </c>
      <c r="L46" s="1227">
        <v>0</v>
      </c>
      <c r="M46" s="1227">
        <f t="shared" si="61"/>
        <v>0</v>
      </c>
      <c r="N46" s="1227">
        <f t="shared" si="61"/>
        <v>0</v>
      </c>
      <c r="O46" s="1227">
        <f t="shared" si="61"/>
        <v>0</v>
      </c>
      <c r="P46" s="1227">
        <f t="shared" si="61"/>
        <v>0</v>
      </c>
      <c r="Q46" s="1227">
        <v>0</v>
      </c>
      <c r="R46" s="1227">
        <v>0</v>
      </c>
      <c r="S46" s="1227">
        <f>+R46+8465891</f>
        <v>8465891</v>
      </c>
      <c r="T46" s="1227">
        <f t="shared" si="62"/>
        <v>8465891</v>
      </c>
      <c r="U46" s="1227">
        <f t="shared" si="62"/>
        <v>8465891</v>
      </c>
      <c r="V46" s="1227">
        <f t="shared" si="62"/>
        <v>8465891</v>
      </c>
      <c r="W46" s="1227">
        <f>+K46</f>
        <v>8465891</v>
      </c>
      <c r="X46" s="1227"/>
      <c r="Y46" s="1227">
        <f t="shared" si="63"/>
        <v>0</v>
      </c>
      <c r="Z46" s="1227">
        <f t="shared" si="63"/>
        <v>0</v>
      </c>
      <c r="AA46" s="1227">
        <f t="shared" si="63"/>
        <v>0</v>
      </c>
      <c r="AB46" s="1227">
        <f t="shared" si="63"/>
        <v>0</v>
      </c>
      <c r="AC46" s="1227">
        <f t="shared" si="63"/>
        <v>0</v>
      </c>
      <c r="AD46" s="2947"/>
      <c r="AE46" s="1213">
        <f t="shared" si="1"/>
        <v>8465891</v>
      </c>
      <c r="AF46" s="1213">
        <f t="shared" si="2"/>
        <v>0</v>
      </c>
      <c r="AG46" s="1213">
        <f t="shared" si="3"/>
        <v>0</v>
      </c>
      <c r="AH46" s="2919">
        <f t="shared" si="4"/>
        <v>0</v>
      </c>
      <c r="AI46" s="1834">
        <f t="shared" si="58"/>
        <v>1</v>
      </c>
      <c r="AJ46" s="417">
        <f t="shared" si="59"/>
        <v>0</v>
      </c>
      <c r="AK46" s="430"/>
    </row>
    <row r="47" spans="1:38" ht="15">
      <c r="A47" s="2934" t="s">
        <v>12</v>
      </c>
      <c r="B47" s="2946" t="s">
        <v>12</v>
      </c>
      <c r="C47" s="1292" t="s">
        <v>1292</v>
      </c>
      <c r="D47" s="1213">
        <f t="shared" ref="D47:AC47" si="64">SUM(D48:D50)</f>
        <v>4368248</v>
      </c>
      <c r="E47" s="2715">
        <f t="shared" si="64"/>
        <v>5383460</v>
      </c>
      <c r="F47" s="1213">
        <f t="shared" si="64"/>
        <v>2660384</v>
      </c>
      <c r="G47" s="1213">
        <f t="shared" si="64"/>
        <v>2660384</v>
      </c>
      <c r="H47" s="1213">
        <f t="shared" si="64"/>
        <v>2660384</v>
      </c>
      <c r="I47" s="1213">
        <f t="shared" si="64"/>
        <v>3110384</v>
      </c>
      <c r="J47" s="1213">
        <f t="shared" si="64"/>
        <v>3110384</v>
      </c>
      <c r="K47" s="3208">
        <f>SUM(K48:K50)</f>
        <v>3006162</v>
      </c>
      <c r="L47" s="1213">
        <f t="shared" si="64"/>
        <v>0</v>
      </c>
      <c r="M47" s="1213">
        <f t="shared" si="64"/>
        <v>0</v>
      </c>
      <c r="N47" s="1213">
        <f t="shared" si="64"/>
        <v>0</v>
      </c>
      <c r="O47" s="1213">
        <f t="shared" si="64"/>
        <v>0</v>
      </c>
      <c r="P47" s="1213">
        <f t="shared" si="64"/>
        <v>0</v>
      </c>
      <c r="Q47" s="1213">
        <f t="shared" si="64"/>
        <v>0</v>
      </c>
      <c r="R47" s="1213">
        <f t="shared" si="64"/>
        <v>2660384</v>
      </c>
      <c r="S47" s="1213">
        <f t="shared" si="64"/>
        <v>2660384</v>
      </c>
      <c r="T47" s="1213">
        <f t="shared" si="64"/>
        <v>2660384</v>
      </c>
      <c r="U47" s="1213">
        <f t="shared" si="64"/>
        <v>3110384</v>
      </c>
      <c r="V47" s="1213">
        <f t="shared" si="64"/>
        <v>3110384</v>
      </c>
      <c r="W47" s="1213">
        <f t="shared" si="64"/>
        <v>3006162</v>
      </c>
      <c r="X47" s="1213">
        <f t="shared" si="64"/>
        <v>0</v>
      </c>
      <c r="Y47" s="1213">
        <f t="shared" si="64"/>
        <v>0</v>
      </c>
      <c r="Z47" s="1213">
        <f t="shared" si="64"/>
        <v>0</v>
      </c>
      <c r="AA47" s="1213">
        <f t="shared" si="64"/>
        <v>0</v>
      </c>
      <c r="AB47" s="1213">
        <f t="shared" si="64"/>
        <v>0</v>
      </c>
      <c r="AC47" s="1213">
        <f t="shared" si="64"/>
        <v>0</v>
      </c>
      <c r="AD47" s="1284"/>
      <c r="AE47" s="1213">
        <f t="shared" si="1"/>
        <v>0</v>
      </c>
      <c r="AF47" s="1213">
        <f t="shared" si="2"/>
        <v>0</v>
      </c>
      <c r="AG47" s="1213">
        <f t="shared" si="3"/>
        <v>450000</v>
      </c>
      <c r="AH47" s="2919">
        <f t="shared" si="4"/>
        <v>0</v>
      </c>
      <c r="AI47" s="1829">
        <f t="shared" si="58"/>
        <v>0.96649224018642066</v>
      </c>
      <c r="AJ47" s="417">
        <f t="shared" si="59"/>
        <v>-1707864</v>
      </c>
      <c r="AK47" s="412"/>
    </row>
    <row r="48" spans="1:38" ht="15">
      <c r="A48" s="2934"/>
      <c r="B48" s="2948" t="s">
        <v>185</v>
      </c>
      <c r="C48" s="1290" t="s">
        <v>82</v>
      </c>
      <c r="D48" s="1227">
        <v>4368248</v>
      </c>
      <c r="E48" s="2719">
        <v>5383460</v>
      </c>
      <c r="F48" s="1227">
        <f>2660383+1</f>
        <v>2660384</v>
      </c>
      <c r="G48" s="1227">
        <f t="shared" ref="G48:J51" si="65">+F48</f>
        <v>2660384</v>
      </c>
      <c r="H48" s="1227">
        <f>+G48</f>
        <v>2660384</v>
      </c>
      <c r="I48" s="1227">
        <f>+H48+450000</f>
        <v>3110384</v>
      </c>
      <c r="J48" s="1227">
        <f>+I48</f>
        <v>3110384</v>
      </c>
      <c r="K48" s="3209">
        <v>3006162</v>
      </c>
      <c r="L48" s="1227">
        <v>0</v>
      </c>
      <c r="M48" s="1227">
        <f t="shared" ref="M48:P51" si="66">+L48</f>
        <v>0</v>
      </c>
      <c r="N48" s="1227">
        <f t="shared" si="66"/>
        <v>0</v>
      </c>
      <c r="O48" s="1227">
        <f t="shared" si="66"/>
        <v>0</v>
      </c>
      <c r="P48" s="1227">
        <f t="shared" si="66"/>
        <v>0</v>
      </c>
      <c r="Q48" s="1227">
        <v>0</v>
      </c>
      <c r="R48" s="1227">
        <f>+F48</f>
        <v>2660384</v>
      </c>
      <c r="S48" s="1227">
        <f t="shared" ref="S48:V51" si="67">+R48</f>
        <v>2660384</v>
      </c>
      <c r="T48" s="1227">
        <f t="shared" si="67"/>
        <v>2660384</v>
      </c>
      <c r="U48" s="1227">
        <f>+T48+450000</f>
        <v>3110384</v>
      </c>
      <c r="V48" s="1227">
        <f t="shared" si="67"/>
        <v>3110384</v>
      </c>
      <c r="W48" s="1227">
        <f>+K48</f>
        <v>3006162</v>
      </c>
      <c r="X48" s="1227"/>
      <c r="Y48" s="1227">
        <f t="shared" ref="Y48:AC51" si="68">+X48</f>
        <v>0</v>
      </c>
      <c r="Z48" s="1227">
        <f t="shared" si="68"/>
        <v>0</v>
      </c>
      <c r="AA48" s="1227">
        <f t="shared" si="68"/>
        <v>0</v>
      </c>
      <c r="AB48" s="1227">
        <f t="shared" si="68"/>
        <v>0</v>
      </c>
      <c r="AC48" s="1227">
        <f t="shared" si="68"/>
        <v>0</v>
      </c>
      <c r="AD48" s="2949"/>
      <c r="AE48" s="1213">
        <f t="shared" si="1"/>
        <v>0</v>
      </c>
      <c r="AF48" s="1213">
        <f t="shared" si="2"/>
        <v>0</v>
      </c>
      <c r="AG48" s="1213">
        <f t="shared" si="3"/>
        <v>450000</v>
      </c>
      <c r="AH48" s="2919">
        <f t="shared" si="4"/>
        <v>0</v>
      </c>
      <c r="AI48" s="1834">
        <f t="shared" si="58"/>
        <v>0.96649224018642066</v>
      </c>
      <c r="AJ48" s="417">
        <f t="shared" si="59"/>
        <v>-1707864</v>
      </c>
      <c r="AK48" s="430"/>
    </row>
    <row r="49" spans="1:37" ht="15">
      <c r="A49" s="2934"/>
      <c r="B49" s="2948" t="s">
        <v>187</v>
      </c>
      <c r="C49" s="1290" t="s">
        <v>344</v>
      </c>
      <c r="D49" s="1227">
        <v>0</v>
      </c>
      <c r="E49" s="2719">
        <v>0</v>
      </c>
      <c r="F49" s="1227">
        <v>0</v>
      </c>
      <c r="G49" s="1227">
        <f t="shared" si="65"/>
        <v>0</v>
      </c>
      <c r="H49" s="1227">
        <f t="shared" si="65"/>
        <v>0</v>
      </c>
      <c r="I49" s="1227">
        <f t="shared" si="65"/>
        <v>0</v>
      </c>
      <c r="J49" s="1227">
        <f t="shared" si="65"/>
        <v>0</v>
      </c>
      <c r="K49" s="3209">
        <v>0</v>
      </c>
      <c r="L49" s="1227">
        <v>0</v>
      </c>
      <c r="M49" s="1227">
        <f t="shared" si="66"/>
        <v>0</v>
      </c>
      <c r="N49" s="1227">
        <f t="shared" si="66"/>
        <v>0</v>
      </c>
      <c r="O49" s="1227">
        <f t="shared" si="66"/>
        <v>0</v>
      </c>
      <c r="P49" s="1227">
        <f t="shared" si="66"/>
        <v>0</v>
      </c>
      <c r="Q49" s="1227">
        <v>0</v>
      </c>
      <c r="R49" s="1227">
        <v>0</v>
      </c>
      <c r="S49" s="1227">
        <f t="shared" si="67"/>
        <v>0</v>
      </c>
      <c r="T49" s="1227">
        <f t="shared" si="67"/>
        <v>0</v>
      </c>
      <c r="U49" s="1227">
        <f t="shared" si="67"/>
        <v>0</v>
      </c>
      <c r="V49" s="1227">
        <f t="shared" si="67"/>
        <v>0</v>
      </c>
      <c r="W49" s="1227">
        <f>+K49</f>
        <v>0</v>
      </c>
      <c r="X49" s="1227"/>
      <c r="Y49" s="1227">
        <f t="shared" si="68"/>
        <v>0</v>
      </c>
      <c r="Z49" s="1227">
        <f t="shared" si="68"/>
        <v>0</v>
      </c>
      <c r="AA49" s="1227">
        <f t="shared" si="68"/>
        <v>0</v>
      </c>
      <c r="AB49" s="1227">
        <f t="shared" si="68"/>
        <v>0</v>
      </c>
      <c r="AC49" s="1227">
        <f t="shared" si="68"/>
        <v>0</v>
      </c>
      <c r="AD49" s="1284"/>
      <c r="AE49" s="1213">
        <f t="shared" si="1"/>
        <v>0</v>
      </c>
      <c r="AF49" s="1213">
        <f t="shared" si="2"/>
        <v>0</v>
      </c>
      <c r="AG49" s="1213">
        <f t="shared" si="3"/>
        <v>0</v>
      </c>
      <c r="AH49" s="2919">
        <f t="shared" si="4"/>
        <v>0</v>
      </c>
      <c r="AI49" s="1834"/>
      <c r="AJ49" s="417">
        <f t="shared" si="59"/>
        <v>0</v>
      </c>
      <c r="AK49" s="430"/>
    </row>
    <row r="50" spans="1:37" ht="15">
      <c r="A50" s="2934"/>
      <c r="B50" s="1477" t="s">
        <v>189</v>
      </c>
      <c r="C50" s="1286" t="s">
        <v>1293</v>
      </c>
      <c r="D50" s="1227">
        <v>0</v>
      </c>
      <c r="E50" s="2719">
        <v>0</v>
      </c>
      <c r="F50" s="1227">
        <v>0</v>
      </c>
      <c r="G50" s="1227">
        <f t="shared" si="65"/>
        <v>0</v>
      </c>
      <c r="H50" s="1227">
        <f t="shared" si="65"/>
        <v>0</v>
      </c>
      <c r="I50" s="1227">
        <f t="shared" si="65"/>
        <v>0</v>
      </c>
      <c r="J50" s="1227">
        <f t="shared" si="65"/>
        <v>0</v>
      </c>
      <c r="K50" s="3209">
        <v>0</v>
      </c>
      <c r="L50" s="1227">
        <v>0</v>
      </c>
      <c r="M50" s="1227">
        <f t="shared" si="66"/>
        <v>0</v>
      </c>
      <c r="N50" s="1227">
        <f t="shared" si="66"/>
        <v>0</v>
      </c>
      <c r="O50" s="1227">
        <f t="shared" si="66"/>
        <v>0</v>
      </c>
      <c r="P50" s="1227">
        <f t="shared" si="66"/>
        <v>0</v>
      </c>
      <c r="Q50" s="1227">
        <v>0</v>
      </c>
      <c r="R50" s="1227">
        <v>0</v>
      </c>
      <c r="S50" s="1227">
        <f t="shared" si="67"/>
        <v>0</v>
      </c>
      <c r="T50" s="1227">
        <f t="shared" si="67"/>
        <v>0</v>
      </c>
      <c r="U50" s="1227">
        <f t="shared" si="67"/>
        <v>0</v>
      </c>
      <c r="V50" s="1227">
        <f t="shared" si="67"/>
        <v>0</v>
      </c>
      <c r="W50" s="1227">
        <f>+K50</f>
        <v>0</v>
      </c>
      <c r="X50" s="1227"/>
      <c r="Y50" s="1227">
        <f t="shared" si="68"/>
        <v>0</v>
      </c>
      <c r="Z50" s="1227">
        <f t="shared" si="68"/>
        <v>0</v>
      </c>
      <c r="AA50" s="1227">
        <f t="shared" si="68"/>
        <v>0</v>
      </c>
      <c r="AB50" s="1227">
        <f t="shared" si="68"/>
        <v>0</v>
      </c>
      <c r="AC50" s="1227">
        <f t="shared" si="68"/>
        <v>0</v>
      </c>
      <c r="AD50" s="1284"/>
      <c r="AE50" s="1213">
        <f t="shared" si="1"/>
        <v>0</v>
      </c>
      <c r="AF50" s="1213">
        <f t="shared" si="2"/>
        <v>0</v>
      </c>
      <c r="AG50" s="1213">
        <f t="shared" si="3"/>
        <v>0</v>
      </c>
      <c r="AH50" s="2919">
        <f t="shared" si="4"/>
        <v>0</v>
      </c>
      <c r="AI50" s="1834"/>
      <c r="AJ50" s="417">
        <f t="shared" si="59"/>
        <v>0</v>
      </c>
      <c r="AK50" s="430"/>
    </row>
    <row r="51" spans="1:37" ht="15">
      <c r="A51" s="2934"/>
      <c r="B51" s="1477" t="s">
        <v>191</v>
      </c>
      <c r="C51" s="1290" t="s">
        <v>1294</v>
      </c>
      <c r="D51" s="1227">
        <v>0</v>
      </c>
      <c r="E51" s="2719">
        <v>0</v>
      </c>
      <c r="F51" s="1227">
        <v>0</v>
      </c>
      <c r="G51" s="1227">
        <f t="shared" si="65"/>
        <v>0</v>
      </c>
      <c r="H51" s="1227">
        <f t="shared" si="65"/>
        <v>0</v>
      </c>
      <c r="I51" s="1227">
        <f t="shared" si="65"/>
        <v>0</v>
      </c>
      <c r="J51" s="1227">
        <f t="shared" si="65"/>
        <v>0</v>
      </c>
      <c r="K51" s="3209">
        <v>0</v>
      </c>
      <c r="L51" s="1227">
        <v>0</v>
      </c>
      <c r="M51" s="1227">
        <f t="shared" si="66"/>
        <v>0</v>
      </c>
      <c r="N51" s="1227">
        <f t="shared" si="66"/>
        <v>0</v>
      </c>
      <c r="O51" s="1227">
        <f t="shared" si="66"/>
        <v>0</v>
      </c>
      <c r="P51" s="1227">
        <f t="shared" si="66"/>
        <v>0</v>
      </c>
      <c r="Q51" s="1227">
        <v>0</v>
      </c>
      <c r="R51" s="1227">
        <v>0</v>
      </c>
      <c r="S51" s="1227">
        <f t="shared" si="67"/>
        <v>0</v>
      </c>
      <c r="T51" s="1227">
        <f t="shared" si="67"/>
        <v>0</v>
      </c>
      <c r="U51" s="1227">
        <f t="shared" si="67"/>
        <v>0</v>
      </c>
      <c r="V51" s="1227">
        <f t="shared" si="67"/>
        <v>0</v>
      </c>
      <c r="W51" s="1227">
        <f>+K51</f>
        <v>0</v>
      </c>
      <c r="X51" s="1227"/>
      <c r="Y51" s="1227">
        <f t="shared" si="68"/>
        <v>0</v>
      </c>
      <c r="Z51" s="1227">
        <f t="shared" si="68"/>
        <v>0</v>
      </c>
      <c r="AA51" s="1227">
        <f t="shared" si="68"/>
        <v>0</v>
      </c>
      <c r="AB51" s="1227">
        <f t="shared" si="68"/>
        <v>0</v>
      </c>
      <c r="AC51" s="1227">
        <f t="shared" si="68"/>
        <v>0</v>
      </c>
      <c r="AD51" s="1284"/>
      <c r="AE51" s="1213">
        <f t="shared" si="1"/>
        <v>0</v>
      </c>
      <c r="AF51" s="1213">
        <f t="shared" si="2"/>
        <v>0</v>
      </c>
      <c r="AG51" s="1213">
        <f t="shared" si="3"/>
        <v>0</v>
      </c>
      <c r="AH51" s="2919">
        <f t="shared" si="4"/>
        <v>0</v>
      </c>
      <c r="AI51" s="1834"/>
      <c r="AJ51" s="417">
        <f t="shared" si="59"/>
        <v>0</v>
      </c>
      <c r="AK51" s="430"/>
    </row>
    <row r="52" spans="1:37" ht="15">
      <c r="A52" s="2934" t="s">
        <v>14</v>
      </c>
      <c r="B52" s="1282" t="s">
        <v>14</v>
      </c>
      <c r="C52" s="2950" t="s">
        <v>1295</v>
      </c>
      <c r="D52" s="1298">
        <f t="shared" ref="D52:AC52" si="69">+D41+D47</f>
        <v>369352448</v>
      </c>
      <c r="E52" s="2720">
        <f t="shared" si="69"/>
        <v>361234425</v>
      </c>
      <c r="F52" s="1298">
        <f t="shared" si="69"/>
        <v>391764081</v>
      </c>
      <c r="G52" s="1298">
        <f t="shared" si="69"/>
        <v>405339693</v>
      </c>
      <c r="H52" s="1298">
        <f t="shared" si="69"/>
        <v>405617193</v>
      </c>
      <c r="I52" s="1298">
        <f t="shared" si="69"/>
        <v>403887535</v>
      </c>
      <c r="J52" s="1298">
        <f t="shared" si="69"/>
        <v>403887535</v>
      </c>
      <c r="K52" s="3210">
        <f t="shared" si="69"/>
        <v>353173865</v>
      </c>
      <c r="L52" s="1298">
        <f t="shared" si="69"/>
        <v>0</v>
      </c>
      <c r="M52" s="1298">
        <f t="shared" si="69"/>
        <v>0</v>
      </c>
      <c r="N52" s="1298">
        <f t="shared" si="69"/>
        <v>0</v>
      </c>
      <c r="O52" s="1298">
        <f t="shared" si="69"/>
        <v>0</v>
      </c>
      <c r="P52" s="1298">
        <f t="shared" si="69"/>
        <v>0</v>
      </c>
      <c r="Q52" s="1298">
        <f t="shared" si="69"/>
        <v>0</v>
      </c>
      <c r="R52" s="1298">
        <f t="shared" si="69"/>
        <v>391764081</v>
      </c>
      <c r="S52" s="1298">
        <f t="shared" si="69"/>
        <v>405339693</v>
      </c>
      <c r="T52" s="1298">
        <f t="shared" si="69"/>
        <v>405617193</v>
      </c>
      <c r="U52" s="1298">
        <f t="shared" si="69"/>
        <v>403887535</v>
      </c>
      <c r="V52" s="1298">
        <f t="shared" si="69"/>
        <v>403887535</v>
      </c>
      <c r="W52" s="1298">
        <f t="shared" si="69"/>
        <v>353173865</v>
      </c>
      <c r="X52" s="1298">
        <f t="shared" si="69"/>
        <v>0</v>
      </c>
      <c r="Y52" s="1298">
        <f t="shared" si="69"/>
        <v>0</v>
      </c>
      <c r="Z52" s="1298">
        <f t="shared" si="69"/>
        <v>0</v>
      </c>
      <c r="AA52" s="1298">
        <f t="shared" si="69"/>
        <v>0</v>
      </c>
      <c r="AB52" s="1298">
        <f t="shared" si="69"/>
        <v>0</v>
      </c>
      <c r="AC52" s="1298">
        <f t="shared" si="69"/>
        <v>0</v>
      </c>
      <c r="AD52" s="1284"/>
      <c r="AE52" s="1213">
        <f t="shared" si="1"/>
        <v>13575612</v>
      </c>
      <c r="AF52" s="1213">
        <f t="shared" si="2"/>
        <v>277500</v>
      </c>
      <c r="AG52" s="1213">
        <f t="shared" si="3"/>
        <v>-1729658</v>
      </c>
      <c r="AH52" s="2919">
        <f t="shared" si="4"/>
        <v>0</v>
      </c>
      <c r="AI52" s="1829">
        <f t="shared" si="58"/>
        <v>0.87443615956110154</v>
      </c>
      <c r="AJ52" s="417">
        <f t="shared" si="59"/>
        <v>22411633</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8"/>
        <v>#DIV/0!</v>
      </c>
      <c r="AJ53" s="417">
        <f t="shared" si="59"/>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5">
        <v>41.75</v>
      </c>
      <c r="E54" s="2956">
        <v>43</v>
      </c>
      <c r="F54" s="2957">
        <v>42.75</v>
      </c>
      <c r="G54" s="2957">
        <f>+F54</f>
        <v>42.75</v>
      </c>
      <c r="H54" s="2957">
        <f>+G54</f>
        <v>42.75</v>
      </c>
      <c r="I54" s="2957">
        <f>+H54</f>
        <v>42.75</v>
      </c>
      <c r="J54" s="2957">
        <f>+I54</f>
        <v>42.75</v>
      </c>
      <c r="K54" s="3212">
        <v>41</v>
      </c>
      <c r="L54" s="2957">
        <v>0</v>
      </c>
      <c r="M54" s="2957">
        <f>+L54</f>
        <v>0</v>
      </c>
      <c r="N54" s="2957">
        <f>+M54</f>
        <v>0</v>
      </c>
      <c r="O54" s="2957">
        <f>+N54</f>
        <v>0</v>
      </c>
      <c r="P54" s="2957">
        <f>+O54</f>
        <v>0</v>
      </c>
      <c r="Q54" s="2957">
        <f>+P54</f>
        <v>0</v>
      </c>
      <c r="R54" s="2957">
        <f>+F54</f>
        <v>42.75</v>
      </c>
      <c r="S54" s="2957">
        <f>+R54</f>
        <v>42.75</v>
      </c>
      <c r="T54" s="2957">
        <f>+S54</f>
        <v>42.75</v>
      </c>
      <c r="U54" s="2957">
        <f>+T54</f>
        <v>42.75</v>
      </c>
      <c r="V54" s="2957">
        <f>+U54</f>
        <v>42.75</v>
      </c>
      <c r="W54" s="2957">
        <f>+V54</f>
        <v>42.75</v>
      </c>
      <c r="X54" s="2957"/>
      <c r="Y54" s="2957"/>
      <c r="Z54" s="2957"/>
      <c r="AA54" s="2957"/>
      <c r="AB54" s="2957"/>
      <c r="AC54" s="2957"/>
      <c r="AD54" s="2965"/>
      <c r="AE54" s="2959">
        <f t="shared" si="1"/>
        <v>0</v>
      </c>
      <c r="AF54" s="1213">
        <f t="shared" si="2"/>
        <v>0</v>
      </c>
      <c r="AG54" s="1213">
        <f t="shared" si="3"/>
        <v>0</v>
      </c>
      <c r="AH54" s="2943">
        <f t="shared" si="4"/>
        <v>0</v>
      </c>
      <c r="AI54" s="1829">
        <f t="shared" si="58"/>
        <v>0.95906432748538006</v>
      </c>
      <c r="AJ54" s="550">
        <f t="shared" si="59"/>
        <v>1</v>
      </c>
      <c r="AK54" s="1852"/>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0">+X55</f>
        <v>0</v>
      </c>
      <c r="Z55" s="459">
        <f t="shared" si="70"/>
        <v>0</v>
      </c>
      <c r="AA55" s="459">
        <f t="shared" si="70"/>
        <v>0</v>
      </c>
      <c r="AB55" s="459">
        <f t="shared" si="70"/>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460"/>
      <c r="T56" s="460"/>
      <c r="U56" s="553"/>
      <c r="V56" s="553">
        <f>+U56</f>
        <v>0</v>
      </c>
      <c r="W56" s="553"/>
      <c r="X56" s="460"/>
      <c r="Y56" s="459">
        <f t="shared" si="70"/>
        <v>0</v>
      </c>
      <c r="Z56" s="459">
        <f t="shared" si="70"/>
        <v>0</v>
      </c>
      <c r="AA56" s="459">
        <f t="shared" si="70"/>
        <v>0</v>
      </c>
      <c r="AB56" s="459">
        <f t="shared" si="70"/>
        <v>0</v>
      </c>
      <c r="AC56" s="459"/>
      <c r="AD56" s="557"/>
      <c r="AE56" s="555">
        <f t="shared" si="1"/>
        <v>0</v>
      </c>
      <c r="AF56" s="555"/>
      <c r="AG56" s="555"/>
      <c r="AH56" s="555"/>
      <c r="AJ56" s="417">
        <f>+F56-D56</f>
        <v>0</v>
      </c>
    </row>
    <row r="57" spans="1:37" ht="15.75">
      <c r="B57" s="3205" t="s">
        <v>17</v>
      </c>
      <c r="C57" s="3207" t="s">
        <v>4053</v>
      </c>
      <c r="D57" s="3206">
        <f t="shared" ref="D57:K57" si="71">+D37-D52</f>
        <v>0</v>
      </c>
      <c r="E57" s="3199">
        <f t="shared" si="71"/>
        <v>9101361</v>
      </c>
      <c r="F57" s="3200">
        <f t="shared" si="71"/>
        <v>0</v>
      </c>
      <c r="G57" s="3201">
        <f t="shared" si="71"/>
        <v>0</v>
      </c>
      <c r="H57" s="3201">
        <f t="shared" si="71"/>
        <v>0</v>
      </c>
      <c r="I57" s="3201"/>
      <c r="J57" s="3201">
        <f t="shared" si="71"/>
        <v>0</v>
      </c>
      <c r="K57" s="2198">
        <f t="shared" si="71"/>
        <v>19227563</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2">+D37-D52</f>
        <v>0</v>
      </c>
      <c r="E60" s="396">
        <f t="shared" si="72"/>
        <v>9101361</v>
      </c>
      <c r="F60" s="396">
        <f t="shared" si="72"/>
        <v>0</v>
      </c>
      <c r="G60" s="396">
        <f t="shared" si="72"/>
        <v>0</v>
      </c>
      <c r="H60" s="396">
        <f t="shared" si="72"/>
        <v>0</v>
      </c>
      <c r="I60" s="396">
        <f t="shared" si="72"/>
        <v>0</v>
      </c>
      <c r="J60" s="460">
        <f t="shared" si="72"/>
        <v>0</v>
      </c>
      <c r="K60" s="460">
        <f t="shared" si="72"/>
        <v>19227563</v>
      </c>
      <c r="L60" s="460">
        <f t="shared" si="72"/>
        <v>0</v>
      </c>
      <c r="M60" s="460">
        <f t="shared" si="72"/>
        <v>0</v>
      </c>
      <c r="N60" s="460">
        <f t="shared" si="72"/>
        <v>0</v>
      </c>
      <c r="O60" s="460">
        <f t="shared" si="72"/>
        <v>0</v>
      </c>
      <c r="P60" s="460">
        <f t="shared" si="72"/>
        <v>0</v>
      </c>
      <c r="Q60" s="460">
        <f t="shared" si="72"/>
        <v>0</v>
      </c>
      <c r="R60" s="460">
        <f t="shared" si="72"/>
        <v>0</v>
      </c>
      <c r="S60" s="460">
        <f t="shared" si="72"/>
        <v>0</v>
      </c>
      <c r="T60" s="460">
        <f t="shared" si="72"/>
        <v>0</v>
      </c>
      <c r="U60" s="460">
        <f t="shared" si="72"/>
        <v>0</v>
      </c>
      <c r="V60" s="460">
        <f t="shared" si="72"/>
        <v>0</v>
      </c>
      <c r="W60" s="460">
        <f t="shared" si="72"/>
        <v>19227563</v>
      </c>
      <c r="X60" s="396">
        <f t="shared" si="72"/>
        <v>0</v>
      </c>
      <c r="Y60" s="396">
        <f t="shared" si="72"/>
        <v>0</v>
      </c>
      <c r="Z60" s="396">
        <f t="shared" si="72"/>
        <v>0</v>
      </c>
      <c r="AA60" s="396">
        <f t="shared" si="72"/>
        <v>0</v>
      </c>
      <c r="AB60" s="396">
        <f t="shared" si="72"/>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H8NM1b7fbtUxG6INKKfSOW2Ob570gbgSL8DY158Ww0rCeQAB+a1F4i7mfO3uRyfSp5JMSWMvl0wOjq1m5EzPdw==" saltValue="EDWNpbTYxpFy/6TxHYNUZA=="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colBreaks count="1" manualBreakCount="1">
    <brk id="2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B43A6-6329-499A-9385-CE8FF03DFD3A}">
  <sheetPr>
    <tabColor indexed="14"/>
    <pageSetUpPr fitToPage="1"/>
  </sheetPr>
  <dimension ref="A1:AL90"/>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I1"/>
    </sheetView>
  </sheetViews>
  <sheetFormatPr defaultColWidth="8" defaultRowHeight="12.75"/>
  <cols>
    <col min="1" max="1" width="7.42578125" style="59" hidden="1" customWidth="1"/>
    <col min="2" max="2" width="7" style="547" customWidth="1"/>
    <col min="3" max="3" width="50.140625" style="396" customWidth="1"/>
    <col min="4" max="5" width="11.2851562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3.5703125" style="396" hidden="1" customWidth="1"/>
    <col min="37" max="37" width="10.85546875" style="396" hidden="1" customWidth="1"/>
    <col min="38" max="38" width="9.42578125" style="396" bestFit="1" customWidth="1"/>
    <col min="39" max="16384" width="8" style="396"/>
  </cols>
  <sheetData>
    <row r="1" spans="1:37" s="397" customFormat="1" ht="21" customHeight="1">
      <c r="A1" s="3663" t="s">
        <v>4279</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row>
    <row r="2" spans="1:37" s="398" customFormat="1" ht="18" customHeight="1">
      <c r="A2" s="3661" t="s">
        <v>3427</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row>
    <row r="3" spans="1:37" s="398" customFormat="1" ht="15.75" hidden="1">
      <c r="A3" s="3669"/>
      <c r="B3" s="3670"/>
      <c r="C3" s="2185"/>
      <c r="D3" s="2185"/>
      <c r="E3" s="2185"/>
      <c r="F3" s="2186"/>
      <c r="G3" s="2186"/>
      <c r="H3" s="2186"/>
      <c r="I3" s="2186"/>
      <c r="J3" s="2186"/>
      <c r="K3" s="2186"/>
      <c r="L3" s="2186"/>
      <c r="M3" s="2186"/>
      <c r="N3" s="2186"/>
      <c r="O3" s="2186"/>
      <c r="P3" s="2186"/>
      <c r="Q3" s="2186"/>
      <c r="R3" s="2186"/>
      <c r="S3" s="2186"/>
      <c r="T3" s="2186"/>
      <c r="U3" s="2186"/>
      <c r="V3" s="2186"/>
      <c r="W3" s="2186"/>
      <c r="X3" s="2186"/>
      <c r="Y3" s="2186"/>
      <c r="Z3" s="2186"/>
      <c r="AA3" s="2186"/>
      <c r="AB3" s="2186"/>
      <c r="AC3" s="2186"/>
      <c r="AD3" s="2186"/>
      <c r="AE3" s="2186"/>
      <c r="AF3" s="2186"/>
      <c r="AG3" s="2186"/>
      <c r="AH3" s="2187"/>
      <c r="AI3" s="2188"/>
    </row>
    <row r="4" spans="1:37" s="400" customFormat="1" ht="15.95" customHeight="1">
      <c r="A4" s="21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2"/>
      <c r="AI4" s="1863" t="s">
        <v>3913</v>
      </c>
    </row>
    <row r="5" spans="1:37" ht="74.25" customHeight="1">
      <c r="A5" s="2973"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81" t="s">
        <v>1270</v>
      </c>
      <c r="AI5" s="1864" t="str">
        <f>+'1. mell.ÖSSZEVONT_MÉRLEG'!K5</f>
        <v xml:space="preserve"> 2025. évi teljesítés / 2025. évi III. számú módosított előirányzat</v>
      </c>
      <c r="AJ5" s="547" t="str">
        <f>+'9. mell. PMH'!AI5</f>
        <v>Változás Eredeti előző évhez 
Ft-ban</v>
      </c>
      <c r="AK5" s="2594"/>
    </row>
    <row r="6" spans="1:37" s="405" customFormat="1" ht="20.25" hidden="1" customHeight="1">
      <c r="A6" s="2938">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5"/>
      <c r="AI6" s="1865">
        <v>8</v>
      </c>
      <c r="AK6" s="1278"/>
    </row>
    <row r="7" spans="1:37" s="405" customFormat="1" ht="15.75" hidden="1">
      <c r="A7" s="2973"/>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2"/>
      <c r="AI7" s="1838"/>
      <c r="AK7" s="1276"/>
    </row>
    <row r="8" spans="1:37" s="416" customFormat="1" ht="15">
      <c r="A8" s="2938"/>
      <c r="B8" s="1282" t="s">
        <v>3353</v>
      </c>
      <c r="C8" s="1283" t="s">
        <v>1276</v>
      </c>
      <c r="D8" s="1213">
        <f t="shared" ref="D8:AC8" si="0">SUM(D9:D19)</f>
        <v>673970323</v>
      </c>
      <c r="E8" s="2715">
        <f t="shared" si="0"/>
        <v>950454654</v>
      </c>
      <c r="F8" s="1213">
        <f t="shared" si="0"/>
        <v>759705173</v>
      </c>
      <c r="G8" s="1213">
        <f t="shared" si="0"/>
        <v>802803066</v>
      </c>
      <c r="H8" s="1213">
        <f t="shared" si="0"/>
        <v>874350999</v>
      </c>
      <c r="I8" s="1213">
        <f t="shared" si="0"/>
        <v>1032878380</v>
      </c>
      <c r="J8" s="1213">
        <f t="shared" si="0"/>
        <v>1032878380</v>
      </c>
      <c r="K8" s="3208">
        <f t="shared" si="0"/>
        <v>1032878380</v>
      </c>
      <c r="L8" s="1213">
        <f t="shared" si="0"/>
        <v>0</v>
      </c>
      <c r="M8" s="1213">
        <f t="shared" si="0"/>
        <v>0</v>
      </c>
      <c r="N8" s="1213">
        <f t="shared" si="0"/>
        <v>0</v>
      </c>
      <c r="O8" s="1213">
        <f t="shared" si="0"/>
        <v>0</v>
      </c>
      <c r="P8" s="1213">
        <f t="shared" si="0"/>
        <v>0</v>
      </c>
      <c r="Q8" s="1213">
        <f t="shared" si="0"/>
        <v>0</v>
      </c>
      <c r="R8" s="1213">
        <f t="shared" si="0"/>
        <v>759705173</v>
      </c>
      <c r="S8" s="1213">
        <f t="shared" si="0"/>
        <v>802803066</v>
      </c>
      <c r="T8" s="1213">
        <f t="shared" si="0"/>
        <v>874350999</v>
      </c>
      <c r="U8" s="1213">
        <f t="shared" si="0"/>
        <v>1032878380</v>
      </c>
      <c r="V8" s="1213">
        <f t="shared" si="0"/>
        <v>1032878380</v>
      </c>
      <c r="W8" s="1213">
        <f t="shared" si="0"/>
        <v>1032878380</v>
      </c>
      <c r="X8" s="1213">
        <f t="shared" si="0"/>
        <v>0</v>
      </c>
      <c r="Y8" s="1213">
        <f t="shared" si="0"/>
        <v>0</v>
      </c>
      <c r="Z8" s="1213">
        <f t="shared" si="0"/>
        <v>0</v>
      </c>
      <c r="AA8" s="1213">
        <f t="shared" si="0"/>
        <v>0</v>
      </c>
      <c r="AB8" s="1213">
        <f t="shared" si="0"/>
        <v>0</v>
      </c>
      <c r="AC8" s="1213">
        <f t="shared" si="0"/>
        <v>0</v>
      </c>
      <c r="AD8" s="1284"/>
      <c r="AE8" s="1213">
        <f t="shared" ref="AE8:AE56" si="1">+G8-F8</f>
        <v>43097893</v>
      </c>
      <c r="AF8" s="1213">
        <f t="shared" ref="AF8:AF55" si="2">+H8-G8</f>
        <v>71547933</v>
      </c>
      <c r="AG8" s="1213">
        <f t="shared" ref="AG8:AG55" si="3">+I8-H8</f>
        <v>158527381</v>
      </c>
      <c r="AH8" s="2920">
        <f t="shared" ref="AH8:AH55" si="4">+J8-I8</f>
        <v>0</v>
      </c>
      <c r="AI8" s="1866">
        <f>+K8/I8</f>
        <v>1</v>
      </c>
      <c r="AJ8" s="417">
        <f>+F8-D8</f>
        <v>85734850</v>
      </c>
      <c r="AK8" s="1213"/>
    </row>
    <row r="9" spans="1:37" s="416" customFormat="1" ht="15">
      <c r="A9" s="2938"/>
      <c r="B9" s="1285" t="s">
        <v>176</v>
      </c>
      <c r="C9" s="1286" t="s">
        <v>226</v>
      </c>
      <c r="D9" s="1287">
        <v>0</v>
      </c>
      <c r="E9" s="2716">
        <v>0</v>
      </c>
      <c r="F9" s="1287">
        <v>0</v>
      </c>
      <c r="G9" s="1287">
        <f t="shared" ref="G9:G16" si="5">+F9</f>
        <v>0</v>
      </c>
      <c r="H9" s="1287">
        <f t="shared" ref="H9:H19" si="6">+G9</f>
        <v>0</v>
      </c>
      <c r="I9" s="1287">
        <f>+H9</f>
        <v>0</v>
      </c>
      <c r="J9" s="1287">
        <f t="shared" ref="J9:J19" si="7">+I9</f>
        <v>0</v>
      </c>
      <c r="K9" s="3219">
        <v>0</v>
      </c>
      <c r="L9" s="1287">
        <v>0</v>
      </c>
      <c r="M9" s="1287">
        <f t="shared" ref="M9:M19" si="8">+L9</f>
        <v>0</v>
      </c>
      <c r="N9" s="1287">
        <f t="shared" ref="N9:N19" si="9">+M9</f>
        <v>0</v>
      </c>
      <c r="O9" s="1287">
        <f t="shared" ref="O9:O17" si="10">+N9</f>
        <v>0</v>
      </c>
      <c r="P9" s="1287">
        <f t="shared" ref="P9:P17" si="11">+O9</f>
        <v>0</v>
      </c>
      <c r="Q9" s="1287">
        <v>0</v>
      </c>
      <c r="R9" s="1287">
        <v>0</v>
      </c>
      <c r="S9" s="1287">
        <f t="shared" ref="S9:S16" si="12">+R9</f>
        <v>0</v>
      </c>
      <c r="T9" s="1287">
        <f t="shared" ref="T9:T19" si="13">+S9</f>
        <v>0</v>
      </c>
      <c r="U9" s="1287">
        <f>+T9</f>
        <v>0</v>
      </c>
      <c r="V9" s="1287">
        <f t="shared" ref="V9:V17" si="14">+U9</f>
        <v>0</v>
      </c>
      <c r="W9" s="1287">
        <f>+K9</f>
        <v>0</v>
      </c>
      <c r="X9" s="1287"/>
      <c r="Y9" s="1287">
        <f t="shared" ref="Y9:Y17" si="15">+X9</f>
        <v>0</v>
      </c>
      <c r="Z9" s="1287">
        <f t="shared" ref="Z9:Z17" si="16">+Y9</f>
        <v>0</v>
      </c>
      <c r="AA9" s="1287">
        <f t="shared" ref="AA9:AA17" si="17">+Z9</f>
        <v>0</v>
      </c>
      <c r="AB9" s="1287">
        <f t="shared" ref="AB9:AB17" si="18">+AA9</f>
        <v>0</v>
      </c>
      <c r="AC9" s="1287">
        <f t="shared" ref="AC9:AC17" si="19">+AB9</f>
        <v>0</v>
      </c>
      <c r="AD9" s="1284"/>
      <c r="AE9" s="1213">
        <f t="shared" si="1"/>
        <v>0</v>
      </c>
      <c r="AF9" s="1213">
        <f t="shared" si="2"/>
        <v>0</v>
      </c>
      <c r="AG9" s="1213">
        <f t="shared" si="3"/>
        <v>0</v>
      </c>
      <c r="AH9" s="2920">
        <f t="shared" si="4"/>
        <v>0</v>
      </c>
      <c r="AI9" s="1867"/>
      <c r="AJ9" s="417">
        <f t="shared" ref="AJ9:AJ37" si="20">+F9-D9</f>
        <v>0</v>
      </c>
      <c r="AK9" s="1287"/>
    </row>
    <row r="10" spans="1:37" s="416" customFormat="1" ht="15">
      <c r="A10" s="2938"/>
      <c r="B10" s="1285" t="s">
        <v>178</v>
      </c>
      <c r="C10" s="1286" t="s">
        <v>228</v>
      </c>
      <c r="D10" s="1287">
        <v>55800666</v>
      </c>
      <c r="E10" s="2716">
        <v>49712337</v>
      </c>
      <c r="F10" s="1287">
        <v>63195390</v>
      </c>
      <c r="G10" s="1287">
        <f t="shared" si="5"/>
        <v>63195390</v>
      </c>
      <c r="H10" s="1287">
        <f t="shared" si="6"/>
        <v>63195390</v>
      </c>
      <c r="I10" s="1287">
        <f>+H10+1259802</f>
        <v>64455192</v>
      </c>
      <c r="J10" s="1287">
        <f t="shared" si="7"/>
        <v>64455192</v>
      </c>
      <c r="K10" s="3219">
        <v>64455192</v>
      </c>
      <c r="L10" s="1287">
        <v>0</v>
      </c>
      <c r="M10" s="1287">
        <f t="shared" si="8"/>
        <v>0</v>
      </c>
      <c r="N10" s="1287">
        <f t="shared" si="9"/>
        <v>0</v>
      </c>
      <c r="O10" s="1287">
        <f t="shared" si="10"/>
        <v>0</v>
      </c>
      <c r="P10" s="1287">
        <f t="shared" si="11"/>
        <v>0</v>
      </c>
      <c r="Q10" s="1287">
        <v>0</v>
      </c>
      <c r="R10" s="1287">
        <f>+F10</f>
        <v>63195390</v>
      </c>
      <c r="S10" s="1287">
        <f t="shared" si="12"/>
        <v>63195390</v>
      </c>
      <c r="T10" s="1287">
        <f t="shared" si="13"/>
        <v>63195390</v>
      </c>
      <c r="U10" s="1287">
        <f>+T10+1259802</f>
        <v>64455192</v>
      </c>
      <c r="V10" s="1287">
        <f t="shared" si="14"/>
        <v>64455192</v>
      </c>
      <c r="W10" s="1287">
        <f t="shared" ref="W10:W19" si="21">+K10</f>
        <v>64455192</v>
      </c>
      <c r="X10" s="1287"/>
      <c r="Y10" s="1287">
        <f t="shared" si="15"/>
        <v>0</v>
      </c>
      <c r="Z10" s="1287">
        <f t="shared" si="16"/>
        <v>0</v>
      </c>
      <c r="AA10" s="1287">
        <f t="shared" si="17"/>
        <v>0</v>
      </c>
      <c r="AB10" s="1287">
        <f t="shared" si="18"/>
        <v>0</v>
      </c>
      <c r="AC10" s="1287">
        <f t="shared" si="19"/>
        <v>0</v>
      </c>
      <c r="AD10" s="1284"/>
      <c r="AE10" s="1213">
        <f t="shared" si="1"/>
        <v>0</v>
      </c>
      <c r="AF10" s="1213">
        <f t="shared" si="2"/>
        <v>0</v>
      </c>
      <c r="AG10" s="1213">
        <f t="shared" si="3"/>
        <v>1259802</v>
      </c>
      <c r="AH10" s="2920">
        <f t="shared" si="4"/>
        <v>0</v>
      </c>
      <c r="AI10" s="1867">
        <f t="shared" ref="AI10:AI37" si="22">+K10/I10</f>
        <v>1</v>
      </c>
      <c r="AJ10" s="417">
        <f t="shared" si="20"/>
        <v>7394724</v>
      </c>
      <c r="AK10" s="1287"/>
    </row>
    <row r="11" spans="1:37" s="416" customFormat="1" ht="15">
      <c r="A11" s="2938"/>
      <c r="B11" s="1289" t="s">
        <v>179</v>
      </c>
      <c r="C11" s="1286" t="s">
        <v>460</v>
      </c>
      <c r="D11" s="1287">
        <f>4490667+2580000</f>
        <v>7070667</v>
      </c>
      <c r="E11" s="2716">
        <v>7765662</v>
      </c>
      <c r="F11" s="1287">
        <v>7070667</v>
      </c>
      <c r="G11" s="1287">
        <f t="shared" si="5"/>
        <v>7070667</v>
      </c>
      <c r="H11" s="1287">
        <f t="shared" si="6"/>
        <v>7070667</v>
      </c>
      <c r="I11" s="1287">
        <f>+H11-1051110</f>
        <v>6019557</v>
      </c>
      <c r="J11" s="1287">
        <f t="shared" si="7"/>
        <v>6019557</v>
      </c>
      <c r="K11" s="3219">
        <v>6019557</v>
      </c>
      <c r="L11" s="1287">
        <v>0</v>
      </c>
      <c r="M11" s="1287">
        <f t="shared" si="8"/>
        <v>0</v>
      </c>
      <c r="N11" s="1287">
        <f t="shared" si="9"/>
        <v>0</v>
      </c>
      <c r="O11" s="1287">
        <f t="shared" si="10"/>
        <v>0</v>
      </c>
      <c r="P11" s="1287">
        <f t="shared" si="11"/>
        <v>0</v>
      </c>
      <c r="Q11" s="1287">
        <v>0</v>
      </c>
      <c r="R11" s="1287">
        <f>+F11</f>
        <v>7070667</v>
      </c>
      <c r="S11" s="1287">
        <f t="shared" si="12"/>
        <v>7070667</v>
      </c>
      <c r="T11" s="1287">
        <f t="shared" si="13"/>
        <v>7070667</v>
      </c>
      <c r="U11" s="1287">
        <f>+T11-1051110</f>
        <v>6019557</v>
      </c>
      <c r="V11" s="1287">
        <f t="shared" si="14"/>
        <v>6019557</v>
      </c>
      <c r="W11" s="1287">
        <f t="shared" si="21"/>
        <v>6019557</v>
      </c>
      <c r="X11" s="1287"/>
      <c r="Y11" s="1287">
        <f t="shared" si="15"/>
        <v>0</v>
      </c>
      <c r="Z11" s="1287">
        <f t="shared" si="16"/>
        <v>0</v>
      </c>
      <c r="AA11" s="1287">
        <f t="shared" si="17"/>
        <v>0</v>
      </c>
      <c r="AB11" s="1287">
        <f t="shared" si="18"/>
        <v>0</v>
      </c>
      <c r="AC11" s="1287">
        <f t="shared" si="19"/>
        <v>0</v>
      </c>
      <c r="AD11" s="1284"/>
      <c r="AE11" s="1213">
        <f t="shared" si="1"/>
        <v>0</v>
      </c>
      <c r="AF11" s="1213">
        <f t="shared" si="2"/>
        <v>0</v>
      </c>
      <c r="AG11" s="1213">
        <f t="shared" si="3"/>
        <v>-1051110</v>
      </c>
      <c r="AH11" s="2920">
        <f t="shared" si="4"/>
        <v>0</v>
      </c>
      <c r="AI11" s="1867">
        <f t="shared" si="22"/>
        <v>1</v>
      </c>
      <c r="AJ11" s="417">
        <f t="shared" si="20"/>
        <v>0</v>
      </c>
      <c r="AK11" s="1287"/>
    </row>
    <row r="12" spans="1:37" s="416" customFormat="1" ht="15">
      <c r="A12" s="2938"/>
      <c r="B12" s="1289" t="s">
        <v>180</v>
      </c>
      <c r="C12" s="1286" t="s">
        <v>232</v>
      </c>
      <c r="D12" s="1287">
        <v>0</v>
      </c>
      <c r="E12" s="2716">
        <v>0</v>
      </c>
      <c r="F12" s="1287">
        <v>0</v>
      </c>
      <c r="G12" s="1287">
        <f t="shared" si="5"/>
        <v>0</v>
      </c>
      <c r="H12" s="1287">
        <f t="shared" si="6"/>
        <v>0</v>
      </c>
      <c r="I12" s="1287">
        <f>+H12</f>
        <v>0</v>
      </c>
      <c r="J12" s="1287">
        <f t="shared" si="7"/>
        <v>0</v>
      </c>
      <c r="K12" s="3219">
        <v>0</v>
      </c>
      <c r="L12" s="1287">
        <v>0</v>
      </c>
      <c r="M12" s="1287">
        <f t="shared" si="8"/>
        <v>0</v>
      </c>
      <c r="N12" s="1287">
        <f t="shared" si="9"/>
        <v>0</v>
      </c>
      <c r="O12" s="1287">
        <f t="shared" si="10"/>
        <v>0</v>
      </c>
      <c r="P12" s="1287">
        <f t="shared" si="11"/>
        <v>0</v>
      </c>
      <c r="Q12" s="1287">
        <v>0</v>
      </c>
      <c r="R12" s="1287">
        <v>0</v>
      </c>
      <c r="S12" s="1287">
        <f t="shared" si="12"/>
        <v>0</v>
      </c>
      <c r="T12" s="1287">
        <f t="shared" si="13"/>
        <v>0</v>
      </c>
      <c r="U12" s="1287">
        <f>+T12</f>
        <v>0</v>
      </c>
      <c r="V12" s="1287">
        <f t="shared" si="14"/>
        <v>0</v>
      </c>
      <c r="W12" s="1287">
        <f t="shared" si="21"/>
        <v>0</v>
      </c>
      <c r="X12" s="1287"/>
      <c r="Y12" s="1287">
        <f t="shared" si="15"/>
        <v>0</v>
      </c>
      <c r="Z12" s="1287">
        <f t="shared" si="16"/>
        <v>0</v>
      </c>
      <c r="AA12" s="1287">
        <f t="shared" si="17"/>
        <v>0</v>
      </c>
      <c r="AB12" s="1287">
        <f t="shared" si="18"/>
        <v>0</v>
      </c>
      <c r="AC12" s="1287">
        <f t="shared" si="19"/>
        <v>0</v>
      </c>
      <c r="AD12" s="1284"/>
      <c r="AE12" s="1213">
        <f t="shared" si="1"/>
        <v>0</v>
      </c>
      <c r="AF12" s="1213">
        <f t="shared" si="2"/>
        <v>0</v>
      </c>
      <c r="AG12" s="1213">
        <f t="shared" si="3"/>
        <v>0</v>
      </c>
      <c r="AH12" s="2920">
        <f t="shared" si="4"/>
        <v>0</v>
      </c>
      <c r="AI12" s="1867"/>
      <c r="AJ12" s="417">
        <f t="shared" si="20"/>
        <v>0</v>
      </c>
      <c r="AK12" s="1287"/>
    </row>
    <row r="13" spans="1:37" s="416" customFormat="1" ht="15">
      <c r="A13" s="2938"/>
      <c r="B13" s="1289" t="s">
        <v>181</v>
      </c>
      <c r="C13" s="1286" t="s">
        <v>234</v>
      </c>
      <c r="D13" s="1287">
        <v>462101694</v>
      </c>
      <c r="E13" s="2716">
        <v>487678059</v>
      </c>
      <c r="F13" s="1287">
        <v>522730311</v>
      </c>
      <c r="G13" s="1287">
        <f t="shared" si="5"/>
        <v>522730311</v>
      </c>
      <c r="H13" s="1287">
        <f t="shared" si="6"/>
        <v>522730311</v>
      </c>
      <c r="I13" s="1287">
        <f>+H13+27156295</f>
        <v>549886606</v>
      </c>
      <c r="J13" s="1287">
        <f t="shared" si="7"/>
        <v>549886606</v>
      </c>
      <c r="K13" s="3219">
        <v>549886606</v>
      </c>
      <c r="L13" s="1287">
        <v>0</v>
      </c>
      <c r="M13" s="1287">
        <f t="shared" si="8"/>
        <v>0</v>
      </c>
      <c r="N13" s="1287">
        <f t="shared" si="9"/>
        <v>0</v>
      </c>
      <c r="O13" s="1287">
        <f t="shared" si="10"/>
        <v>0</v>
      </c>
      <c r="P13" s="1287">
        <f t="shared" si="11"/>
        <v>0</v>
      </c>
      <c r="Q13" s="1287">
        <v>0</v>
      </c>
      <c r="R13" s="1287">
        <f>+F13</f>
        <v>522730311</v>
      </c>
      <c r="S13" s="1287">
        <f t="shared" si="12"/>
        <v>522730311</v>
      </c>
      <c r="T13" s="1287">
        <f t="shared" si="13"/>
        <v>522730311</v>
      </c>
      <c r="U13" s="1287">
        <f>+T13+27156295</f>
        <v>549886606</v>
      </c>
      <c r="V13" s="1287">
        <f t="shared" si="14"/>
        <v>549886606</v>
      </c>
      <c r="W13" s="1287">
        <f t="shared" si="21"/>
        <v>549886606</v>
      </c>
      <c r="X13" s="1287"/>
      <c r="Y13" s="1287">
        <f t="shared" si="15"/>
        <v>0</v>
      </c>
      <c r="Z13" s="1287">
        <f t="shared" si="16"/>
        <v>0</v>
      </c>
      <c r="AA13" s="1287">
        <f t="shared" si="17"/>
        <v>0</v>
      </c>
      <c r="AB13" s="1287">
        <f t="shared" si="18"/>
        <v>0</v>
      </c>
      <c r="AC13" s="1287">
        <f t="shared" si="19"/>
        <v>0</v>
      </c>
      <c r="AD13" s="1665"/>
      <c r="AE13" s="1213">
        <f t="shared" si="1"/>
        <v>0</v>
      </c>
      <c r="AF13" s="1213">
        <f t="shared" si="2"/>
        <v>0</v>
      </c>
      <c r="AG13" s="1213">
        <f t="shared" si="3"/>
        <v>27156295</v>
      </c>
      <c r="AH13" s="2920">
        <f t="shared" si="4"/>
        <v>0</v>
      </c>
      <c r="AI13" s="1867">
        <f t="shared" si="22"/>
        <v>1</v>
      </c>
      <c r="AJ13" s="417">
        <f t="shared" si="20"/>
        <v>60628617</v>
      </c>
      <c r="AK13" s="1287"/>
    </row>
    <row r="14" spans="1:37" s="416" customFormat="1" ht="15">
      <c r="A14" s="2938"/>
      <c r="B14" s="1289" t="s">
        <v>183</v>
      </c>
      <c r="C14" s="1286" t="s">
        <v>887</v>
      </c>
      <c r="D14" s="1287">
        <v>141742717</v>
      </c>
      <c r="E14" s="2716">
        <v>138642153</v>
      </c>
      <c r="F14" s="1287">
        <v>160109019</v>
      </c>
      <c r="G14" s="1287">
        <f t="shared" si="5"/>
        <v>160109019</v>
      </c>
      <c r="H14" s="1287">
        <f t="shared" si="6"/>
        <v>160109019</v>
      </c>
      <c r="I14" s="1287">
        <f>+H14-3319078</f>
        <v>156789941</v>
      </c>
      <c r="J14" s="1287">
        <f t="shared" si="7"/>
        <v>156789941</v>
      </c>
      <c r="K14" s="3219">
        <v>156789941</v>
      </c>
      <c r="L14" s="1287">
        <v>0</v>
      </c>
      <c r="M14" s="1287">
        <f t="shared" si="8"/>
        <v>0</v>
      </c>
      <c r="N14" s="1287">
        <f t="shared" si="9"/>
        <v>0</v>
      </c>
      <c r="O14" s="1287">
        <f t="shared" si="10"/>
        <v>0</v>
      </c>
      <c r="P14" s="1287">
        <f t="shared" si="11"/>
        <v>0</v>
      </c>
      <c r="Q14" s="1287">
        <v>0</v>
      </c>
      <c r="R14" s="1287">
        <f>+F14</f>
        <v>160109019</v>
      </c>
      <c r="S14" s="1287">
        <f t="shared" si="12"/>
        <v>160109019</v>
      </c>
      <c r="T14" s="1287">
        <f t="shared" si="13"/>
        <v>160109019</v>
      </c>
      <c r="U14" s="1287">
        <f>+T14-3319078</f>
        <v>156789941</v>
      </c>
      <c r="V14" s="1287">
        <f t="shared" si="14"/>
        <v>156789941</v>
      </c>
      <c r="W14" s="1287">
        <f t="shared" si="21"/>
        <v>156789941</v>
      </c>
      <c r="X14" s="1287"/>
      <c r="Y14" s="1287">
        <f t="shared" si="15"/>
        <v>0</v>
      </c>
      <c r="Z14" s="1287">
        <f t="shared" si="16"/>
        <v>0</v>
      </c>
      <c r="AA14" s="1287">
        <f t="shared" si="17"/>
        <v>0</v>
      </c>
      <c r="AB14" s="1287">
        <f t="shared" si="18"/>
        <v>0</v>
      </c>
      <c r="AC14" s="1287">
        <f t="shared" si="19"/>
        <v>0</v>
      </c>
      <c r="AD14" s="1284"/>
      <c r="AE14" s="1213">
        <f t="shared" si="1"/>
        <v>0</v>
      </c>
      <c r="AF14" s="1213">
        <f t="shared" si="2"/>
        <v>0</v>
      </c>
      <c r="AG14" s="1213">
        <f t="shared" si="3"/>
        <v>-3319078</v>
      </c>
      <c r="AH14" s="2920">
        <f t="shared" si="4"/>
        <v>0</v>
      </c>
      <c r="AI14" s="1867">
        <f t="shared" si="22"/>
        <v>1</v>
      </c>
      <c r="AJ14" s="417">
        <f t="shared" si="20"/>
        <v>18366302</v>
      </c>
      <c r="AK14" s="1287"/>
    </row>
    <row r="15" spans="1:37" s="416" customFormat="1" ht="15">
      <c r="A15" s="2938"/>
      <c r="B15" s="1289" t="s">
        <v>321</v>
      </c>
      <c r="C15" s="1290" t="s">
        <v>238</v>
      </c>
      <c r="D15" s="1287">
        <v>0</v>
      </c>
      <c r="E15" s="2716">
        <v>254221333</v>
      </c>
      <c r="F15" s="1287">
        <v>0</v>
      </c>
      <c r="G15" s="1287">
        <f>+F15+43097893</f>
        <v>43097893</v>
      </c>
      <c r="H15" s="1287">
        <f>+G15+71547933</f>
        <v>114645826</v>
      </c>
      <c r="I15" s="1287">
        <f>+H15+34966455+100429545</f>
        <v>250041826</v>
      </c>
      <c r="J15" s="1287">
        <f t="shared" si="7"/>
        <v>250041826</v>
      </c>
      <c r="K15" s="3219">
        <v>250041826</v>
      </c>
      <c r="L15" s="1287">
        <v>0</v>
      </c>
      <c r="M15" s="1287">
        <f t="shared" si="8"/>
        <v>0</v>
      </c>
      <c r="N15" s="1287">
        <f t="shared" si="9"/>
        <v>0</v>
      </c>
      <c r="O15" s="1287">
        <f t="shared" si="10"/>
        <v>0</v>
      </c>
      <c r="P15" s="1287">
        <f t="shared" si="11"/>
        <v>0</v>
      </c>
      <c r="Q15" s="1287">
        <v>0</v>
      </c>
      <c r="R15" s="1287">
        <f>+F15</f>
        <v>0</v>
      </c>
      <c r="S15" s="1287">
        <f>+R15+43097893</f>
        <v>43097893</v>
      </c>
      <c r="T15" s="1287">
        <f>+S15+71547933</f>
        <v>114645826</v>
      </c>
      <c r="U15" s="1287">
        <f>+T15+34966455+100429545</f>
        <v>250041826</v>
      </c>
      <c r="V15" s="1287">
        <f t="shared" si="14"/>
        <v>250041826</v>
      </c>
      <c r="W15" s="1287">
        <f t="shared" si="21"/>
        <v>250041826</v>
      </c>
      <c r="X15" s="1287"/>
      <c r="Y15" s="1287">
        <f t="shared" si="15"/>
        <v>0</v>
      </c>
      <c r="Z15" s="1287">
        <f t="shared" si="16"/>
        <v>0</v>
      </c>
      <c r="AA15" s="1287">
        <f t="shared" si="17"/>
        <v>0</v>
      </c>
      <c r="AB15" s="1287">
        <f t="shared" si="18"/>
        <v>0</v>
      </c>
      <c r="AC15" s="1287">
        <f t="shared" si="19"/>
        <v>0</v>
      </c>
      <c r="AD15" s="1665"/>
      <c r="AE15" s="1213">
        <f t="shared" si="1"/>
        <v>43097893</v>
      </c>
      <c r="AF15" s="1213">
        <f t="shared" si="2"/>
        <v>71547933</v>
      </c>
      <c r="AG15" s="1213">
        <f t="shared" si="3"/>
        <v>135396000</v>
      </c>
      <c r="AH15" s="2920">
        <f t="shared" si="4"/>
        <v>0</v>
      </c>
      <c r="AI15" s="1867">
        <f t="shared" si="22"/>
        <v>1</v>
      </c>
      <c r="AJ15" s="417">
        <f t="shared" si="20"/>
        <v>0</v>
      </c>
      <c r="AK15" s="1287"/>
    </row>
    <row r="16" spans="1:37" s="416" customFormat="1" ht="15">
      <c r="A16" s="2938"/>
      <c r="B16" s="1289" t="s">
        <v>323</v>
      </c>
      <c r="C16" s="1286" t="s">
        <v>1277</v>
      </c>
      <c r="D16" s="1287">
        <v>7254579</v>
      </c>
      <c r="E16" s="2716">
        <v>11646718</v>
      </c>
      <c r="F16" s="1287">
        <v>6599786</v>
      </c>
      <c r="G16" s="1287">
        <f t="shared" si="5"/>
        <v>6599786</v>
      </c>
      <c r="H16" s="1287">
        <f>+G16</f>
        <v>6599786</v>
      </c>
      <c r="I16" s="1287">
        <f>+H16-1143354</f>
        <v>5456432</v>
      </c>
      <c r="J16" s="1287">
        <f t="shared" si="7"/>
        <v>5456432</v>
      </c>
      <c r="K16" s="3219">
        <v>5456432</v>
      </c>
      <c r="L16" s="1287">
        <v>0</v>
      </c>
      <c r="M16" s="1287">
        <f t="shared" si="8"/>
        <v>0</v>
      </c>
      <c r="N16" s="1287">
        <f t="shared" si="9"/>
        <v>0</v>
      </c>
      <c r="O16" s="1287">
        <f t="shared" si="10"/>
        <v>0</v>
      </c>
      <c r="P16" s="1287">
        <f t="shared" si="11"/>
        <v>0</v>
      </c>
      <c r="Q16" s="1287">
        <v>0</v>
      </c>
      <c r="R16" s="1287">
        <f>+F16</f>
        <v>6599786</v>
      </c>
      <c r="S16" s="1287">
        <f t="shared" si="12"/>
        <v>6599786</v>
      </c>
      <c r="T16" s="1287">
        <f>+S16</f>
        <v>6599786</v>
      </c>
      <c r="U16" s="1287">
        <f>+T16-1143354</f>
        <v>5456432</v>
      </c>
      <c r="V16" s="1287">
        <f t="shared" si="14"/>
        <v>5456432</v>
      </c>
      <c r="W16" s="1287">
        <f t="shared" si="21"/>
        <v>5456432</v>
      </c>
      <c r="X16" s="1287"/>
      <c r="Y16" s="1287">
        <f t="shared" si="15"/>
        <v>0</v>
      </c>
      <c r="Z16" s="1287">
        <f t="shared" si="16"/>
        <v>0</v>
      </c>
      <c r="AA16" s="1287">
        <f t="shared" si="17"/>
        <v>0</v>
      </c>
      <c r="AB16" s="1287">
        <f t="shared" si="18"/>
        <v>0</v>
      </c>
      <c r="AC16" s="1287">
        <f t="shared" si="19"/>
        <v>0</v>
      </c>
      <c r="AD16" s="1284"/>
      <c r="AE16" s="1213">
        <f t="shared" si="1"/>
        <v>0</v>
      </c>
      <c r="AF16" s="1213">
        <f t="shared" si="2"/>
        <v>0</v>
      </c>
      <c r="AG16" s="1213">
        <f t="shared" si="3"/>
        <v>-1143354</v>
      </c>
      <c r="AH16" s="2920">
        <f t="shared" si="4"/>
        <v>0</v>
      </c>
      <c r="AI16" s="1867">
        <f t="shared" si="22"/>
        <v>1</v>
      </c>
      <c r="AJ16" s="417">
        <f t="shared" si="20"/>
        <v>-654793</v>
      </c>
      <c r="AK16" s="1287"/>
    </row>
    <row r="17" spans="1:37" s="416" customFormat="1" ht="15">
      <c r="A17" s="2938"/>
      <c r="B17" s="1289" t="s">
        <v>325</v>
      </c>
      <c r="C17" s="1286" t="s">
        <v>242</v>
      </c>
      <c r="D17" s="1287">
        <v>0</v>
      </c>
      <c r="E17" s="2716">
        <v>0</v>
      </c>
      <c r="F17" s="1287">
        <v>0</v>
      </c>
      <c r="G17" s="1287">
        <f>+F17</f>
        <v>0</v>
      </c>
      <c r="H17" s="1287">
        <f t="shared" si="6"/>
        <v>0</v>
      </c>
      <c r="I17" s="1287">
        <f>+H17</f>
        <v>0</v>
      </c>
      <c r="J17" s="1287">
        <f t="shared" si="7"/>
        <v>0</v>
      </c>
      <c r="K17" s="3219">
        <v>0</v>
      </c>
      <c r="L17" s="1287">
        <v>0</v>
      </c>
      <c r="M17" s="1287">
        <f t="shared" si="8"/>
        <v>0</v>
      </c>
      <c r="N17" s="1287">
        <f t="shared" si="9"/>
        <v>0</v>
      </c>
      <c r="O17" s="1287">
        <f t="shared" si="10"/>
        <v>0</v>
      </c>
      <c r="P17" s="1287">
        <f t="shared" si="11"/>
        <v>0</v>
      </c>
      <c r="Q17" s="1287">
        <v>0</v>
      </c>
      <c r="R17" s="1287">
        <v>0</v>
      </c>
      <c r="S17" s="1287">
        <f>+R17</f>
        <v>0</v>
      </c>
      <c r="T17" s="1287">
        <f t="shared" si="13"/>
        <v>0</v>
      </c>
      <c r="U17" s="1287">
        <f>+T17</f>
        <v>0</v>
      </c>
      <c r="V17" s="1287">
        <f t="shared" si="14"/>
        <v>0</v>
      </c>
      <c r="W17" s="1287">
        <f t="shared" si="21"/>
        <v>0</v>
      </c>
      <c r="X17" s="1287"/>
      <c r="Y17" s="1287">
        <f t="shared" si="15"/>
        <v>0</v>
      </c>
      <c r="Z17" s="1287">
        <f t="shared" si="16"/>
        <v>0</v>
      </c>
      <c r="AA17" s="1287">
        <f t="shared" si="17"/>
        <v>0</v>
      </c>
      <c r="AB17" s="1287">
        <f t="shared" si="18"/>
        <v>0</v>
      </c>
      <c r="AC17" s="1287">
        <f t="shared" si="19"/>
        <v>0</v>
      </c>
      <c r="AD17" s="1284"/>
      <c r="AE17" s="1213">
        <f t="shared" si="1"/>
        <v>0</v>
      </c>
      <c r="AF17" s="1213">
        <f t="shared" si="2"/>
        <v>0</v>
      </c>
      <c r="AG17" s="1213">
        <f t="shared" si="3"/>
        <v>0</v>
      </c>
      <c r="AH17" s="2920">
        <f t="shared" si="4"/>
        <v>0</v>
      </c>
      <c r="AI17" s="1867"/>
      <c r="AJ17" s="417">
        <f t="shared" si="20"/>
        <v>0</v>
      </c>
      <c r="AK17" s="1287"/>
    </row>
    <row r="18" spans="1:37" s="416" customFormat="1" ht="15">
      <c r="A18" s="2938"/>
      <c r="B18" s="1289" t="s">
        <v>327</v>
      </c>
      <c r="C18" s="1286" t="s">
        <v>163</v>
      </c>
      <c r="D18" s="1287">
        <v>0</v>
      </c>
      <c r="E18" s="2716">
        <v>492638</v>
      </c>
      <c r="F18" s="1287">
        <v>0</v>
      </c>
      <c r="G18" s="1287">
        <f>+F18</f>
        <v>0</v>
      </c>
      <c r="H18" s="1287">
        <f t="shared" si="6"/>
        <v>0</v>
      </c>
      <c r="I18" s="1287">
        <f>+H18+207112</f>
        <v>207112</v>
      </c>
      <c r="J18" s="1287">
        <f t="shared" si="7"/>
        <v>207112</v>
      </c>
      <c r="K18" s="3219">
        <v>207112</v>
      </c>
      <c r="L18" s="1287">
        <v>0</v>
      </c>
      <c r="M18" s="1287">
        <f t="shared" si="8"/>
        <v>0</v>
      </c>
      <c r="N18" s="1287">
        <f t="shared" si="9"/>
        <v>0</v>
      </c>
      <c r="O18" s="1287">
        <v>0</v>
      </c>
      <c r="P18" s="1287"/>
      <c r="Q18" s="1287">
        <v>0</v>
      </c>
      <c r="R18" s="1287">
        <v>0</v>
      </c>
      <c r="S18" s="1287">
        <f>+R18</f>
        <v>0</v>
      </c>
      <c r="T18" s="1287">
        <f t="shared" si="13"/>
        <v>0</v>
      </c>
      <c r="U18" s="1287">
        <f>+T18+207112</f>
        <v>207112</v>
      </c>
      <c r="V18" s="1287">
        <f>+U18</f>
        <v>207112</v>
      </c>
      <c r="W18" s="1287">
        <f t="shared" si="21"/>
        <v>207112</v>
      </c>
      <c r="X18" s="1287"/>
      <c r="Y18" s="1287"/>
      <c r="Z18" s="1287"/>
      <c r="AA18" s="1287"/>
      <c r="AB18" s="1287"/>
      <c r="AC18" s="1287"/>
      <c r="AD18" s="1284"/>
      <c r="AE18" s="1213">
        <f t="shared" si="1"/>
        <v>0</v>
      </c>
      <c r="AF18" s="1213">
        <f t="shared" si="2"/>
        <v>0</v>
      </c>
      <c r="AG18" s="1213">
        <f t="shared" si="3"/>
        <v>207112</v>
      </c>
      <c r="AH18" s="2920">
        <f t="shared" si="4"/>
        <v>0</v>
      </c>
      <c r="AI18" s="1867">
        <f t="shared" si="22"/>
        <v>1</v>
      </c>
      <c r="AJ18" s="417">
        <f t="shared" si="20"/>
        <v>0</v>
      </c>
      <c r="AK18" s="1287"/>
    </row>
    <row r="19" spans="1:37" s="424" customFormat="1" ht="15">
      <c r="A19" s="2938"/>
      <c r="B19" s="1289" t="s">
        <v>329</v>
      </c>
      <c r="C19" s="1286" t="s">
        <v>162</v>
      </c>
      <c r="D19" s="1287">
        <v>0</v>
      </c>
      <c r="E19" s="2716">
        <v>295754</v>
      </c>
      <c r="F19" s="1287">
        <v>0</v>
      </c>
      <c r="G19" s="1287">
        <f>+F19</f>
        <v>0</v>
      </c>
      <c r="H19" s="1287">
        <f t="shared" si="6"/>
        <v>0</v>
      </c>
      <c r="I19" s="1287">
        <f>+H19+21714</f>
        <v>21714</v>
      </c>
      <c r="J19" s="1287">
        <f t="shared" si="7"/>
        <v>21714</v>
      </c>
      <c r="K19" s="3219">
        <v>21714</v>
      </c>
      <c r="L19" s="1287">
        <v>0</v>
      </c>
      <c r="M19" s="1287">
        <f t="shared" si="8"/>
        <v>0</v>
      </c>
      <c r="N19" s="1287">
        <f t="shared" si="9"/>
        <v>0</v>
      </c>
      <c r="O19" s="1287">
        <f>+N19</f>
        <v>0</v>
      </c>
      <c r="P19" s="1287">
        <f>+O19</f>
        <v>0</v>
      </c>
      <c r="Q19" s="1287">
        <v>0</v>
      </c>
      <c r="R19" s="1287">
        <v>0</v>
      </c>
      <c r="S19" s="1287">
        <f>+R19</f>
        <v>0</v>
      </c>
      <c r="T19" s="1287">
        <f t="shared" si="13"/>
        <v>0</v>
      </c>
      <c r="U19" s="1287">
        <f>+T19+21714</f>
        <v>21714</v>
      </c>
      <c r="V19" s="1287">
        <f>+U19</f>
        <v>21714</v>
      </c>
      <c r="W19" s="1287">
        <f t="shared" si="21"/>
        <v>21714</v>
      </c>
      <c r="X19" s="1287"/>
      <c r="Y19" s="1287">
        <f>+X19</f>
        <v>0</v>
      </c>
      <c r="Z19" s="1287">
        <f>+Y19</f>
        <v>0</v>
      </c>
      <c r="AA19" s="1287">
        <f>+Z19</f>
        <v>0</v>
      </c>
      <c r="AB19" s="1287">
        <f>+AA19</f>
        <v>0</v>
      </c>
      <c r="AC19" s="1287">
        <f>+AB19</f>
        <v>0</v>
      </c>
      <c r="AD19" s="1284"/>
      <c r="AE19" s="1213">
        <f t="shared" si="1"/>
        <v>0</v>
      </c>
      <c r="AF19" s="1213">
        <f t="shared" si="2"/>
        <v>0</v>
      </c>
      <c r="AG19" s="1213">
        <f t="shared" si="3"/>
        <v>21714</v>
      </c>
      <c r="AH19" s="2920">
        <f t="shared" si="4"/>
        <v>0</v>
      </c>
      <c r="AI19" s="1867">
        <f t="shared" si="22"/>
        <v>1</v>
      </c>
      <c r="AJ19" s="417">
        <f t="shared" si="20"/>
        <v>0</v>
      </c>
      <c r="AK19" s="1287"/>
    </row>
    <row r="20" spans="1:37" s="424" customFormat="1" ht="15">
      <c r="A20" s="2939" t="s">
        <v>12</v>
      </c>
      <c r="B20" s="1282" t="s">
        <v>12</v>
      </c>
      <c r="C20" s="1283" t="s">
        <v>1278</v>
      </c>
      <c r="D20" s="1213">
        <f t="shared" ref="D20:AC20" si="23">SUM(D21:D22)</f>
        <v>0</v>
      </c>
      <c r="E20" s="2715">
        <f t="shared" si="23"/>
        <v>94488</v>
      </c>
      <c r="F20" s="1213">
        <f t="shared" si="23"/>
        <v>0</v>
      </c>
      <c r="G20" s="1213">
        <f t="shared" si="23"/>
        <v>0</v>
      </c>
      <c r="H20" s="1213">
        <f t="shared" si="23"/>
        <v>0</v>
      </c>
      <c r="I20" s="1213">
        <f t="shared" si="23"/>
        <v>0</v>
      </c>
      <c r="J20" s="1213">
        <f t="shared" si="23"/>
        <v>0</v>
      </c>
      <c r="K20" s="3208">
        <f>SUM(K21:K22)</f>
        <v>0</v>
      </c>
      <c r="L20" s="1213">
        <f t="shared" si="23"/>
        <v>0</v>
      </c>
      <c r="M20" s="1213">
        <f t="shared" si="23"/>
        <v>0</v>
      </c>
      <c r="N20" s="1213">
        <f t="shared" si="23"/>
        <v>0</v>
      </c>
      <c r="O20" s="1213">
        <f t="shared" si="23"/>
        <v>0</v>
      </c>
      <c r="P20" s="1213">
        <f t="shared" si="23"/>
        <v>0</v>
      </c>
      <c r="Q20" s="1213">
        <f t="shared" si="23"/>
        <v>0</v>
      </c>
      <c r="R20" s="1213">
        <f t="shared" si="23"/>
        <v>0</v>
      </c>
      <c r="S20" s="1213">
        <f t="shared" si="23"/>
        <v>0</v>
      </c>
      <c r="T20" s="1213">
        <f t="shared" si="23"/>
        <v>0</v>
      </c>
      <c r="U20" s="1213">
        <f t="shared" si="23"/>
        <v>0</v>
      </c>
      <c r="V20" s="1213">
        <f t="shared" si="23"/>
        <v>0</v>
      </c>
      <c r="W20" s="1213">
        <f t="shared" si="23"/>
        <v>0</v>
      </c>
      <c r="X20" s="1213">
        <f t="shared" si="23"/>
        <v>0</v>
      </c>
      <c r="Y20" s="1213">
        <f t="shared" si="23"/>
        <v>0</v>
      </c>
      <c r="Z20" s="1213">
        <f t="shared" si="23"/>
        <v>0</v>
      </c>
      <c r="AA20" s="1213">
        <f t="shared" si="23"/>
        <v>0</v>
      </c>
      <c r="AB20" s="1213">
        <f t="shared" si="23"/>
        <v>0</v>
      </c>
      <c r="AC20" s="1213">
        <f t="shared" si="23"/>
        <v>0</v>
      </c>
      <c r="AD20" s="1284"/>
      <c r="AE20" s="1213">
        <f t="shared" si="1"/>
        <v>0</v>
      </c>
      <c r="AF20" s="1213">
        <f t="shared" si="2"/>
        <v>0</v>
      </c>
      <c r="AG20" s="1213">
        <f t="shared" si="3"/>
        <v>0</v>
      </c>
      <c r="AH20" s="2920">
        <f t="shared" si="4"/>
        <v>0</v>
      </c>
      <c r="AI20" s="1866"/>
      <c r="AJ20" s="417">
        <f t="shared" si="20"/>
        <v>0</v>
      </c>
      <c r="AK20" s="1213"/>
    </row>
    <row r="21" spans="1:37" s="424" customFormat="1" ht="15">
      <c r="A21" s="2938"/>
      <c r="B21" s="1289" t="s">
        <v>185</v>
      </c>
      <c r="C21" s="1286" t="s">
        <v>247</v>
      </c>
      <c r="D21" s="1287">
        <v>0</v>
      </c>
      <c r="E21" s="2716">
        <v>0</v>
      </c>
      <c r="F21" s="1287">
        <v>0</v>
      </c>
      <c r="G21" s="1287">
        <f t="shared" ref="G21:J22" si="24">+F21</f>
        <v>0</v>
      </c>
      <c r="H21" s="1287">
        <f t="shared" si="24"/>
        <v>0</v>
      </c>
      <c r="I21" s="1287">
        <f t="shared" si="24"/>
        <v>0</v>
      </c>
      <c r="J21" s="1287">
        <f t="shared" si="24"/>
        <v>0</v>
      </c>
      <c r="K21" s="3219">
        <v>0</v>
      </c>
      <c r="L21" s="1287">
        <v>0</v>
      </c>
      <c r="M21" s="1287">
        <f t="shared" ref="M21:P22" si="25">+L21</f>
        <v>0</v>
      </c>
      <c r="N21" s="1287">
        <f t="shared" si="25"/>
        <v>0</v>
      </c>
      <c r="O21" s="1287">
        <f t="shared" si="25"/>
        <v>0</v>
      </c>
      <c r="P21" s="1287">
        <f t="shared" si="25"/>
        <v>0</v>
      </c>
      <c r="Q21" s="1287">
        <v>0</v>
      </c>
      <c r="R21" s="1287">
        <v>0</v>
      </c>
      <c r="S21" s="1287">
        <f t="shared" ref="S21:V22" si="26">+R21</f>
        <v>0</v>
      </c>
      <c r="T21" s="1287">
        <f t="shared" si="26"/>
        <v>0</v>
      </c>
      <c r="U21" s="1287">
        <f t="shared" si="26"/>
        <v>0</v>
      </c>
      <c r="V21" s="1287">
        <f t="shared" si="26"/>
        <v>0</v>
      </c>
      <c r="W21" s="1287">
        <f>+K21</f>
        <v>0</v>
      </c>
      <c r="X21" s="1287"/>
      <c r="Y21" s="1287">
        <f t="shared" ref="Y21:AC22" si="27">+X21</f>
        <v>0</v>
      </c>
      <c r="Z21" s="1287">
        <f t="shared" si="27"/>
        <v>0</v>
      </c>
      <c r="AA21" s="1287">
        <f t="shared" si="27"/>
        <v>0</v>
      </c>
      <c r="AB21" s="1287">
        <f t="shared" si="27"/>
        <v>0</v>
      </c>
      <c r="AC21" s="1287">
        <f t="shared" si="27"/>
        <v>0</v>
      </c>
      <c r="AD21" s="1284"/>
      <c r="AE21" s="1213">
        <f t="shared" si="1"/>
        <v>0</v>
      </c>
      <c r="AF21" s="1213">
        <f t="shared" si="2"/>
        <v>0</v>
      </c>
      <c r="AG21" s="1213">
        <f t="shared" si="3"/>
        <v>0</v>
      </c>
      <c r="AH21" s="2920">
        <f t="shared" si="4"/>
        <v>0</v>
      </c>
      <c r="AI21" s="1867"/>
      <c r="AJ21" s="417">
        <f t="shared" si="20"/>
        <v>0</v>
      </c>
      <c r="AK21" s="1287"/>
    </row>
    <row r="22" spans="1:37" s="424" customFormat="1" ht="15">
      <c r="A22" s="2938"/>
      <c r="B22" s="1289" t="s">
        <v>187</v>
      </c>
      <c r="C22" s="1286" t="s">
        <v>155</v>
      </c>
      <c r="D22" s="1287">
        <v>0</v>
      </c>
      <c r="E22" s="2716">
        <v>94488</v>
      </c>
      <c r="F22" s="1287">
        <v>0</v>
      </c>
      <c r="G22" s="1287">
        <f t="shared" si="24"/>
        <v>0</v>
      </c>
      <c r="H22" s="1287">
        <f t="shared" si="24"/>
        <v>0</v>
      </c>
      <c r="I22" s="1287">
        <f t="shared" si="24"/>
        <v>0</v>
      </c>
      <c r="J22" s="1287">
        <f t="shared" si="24"/>
        <v>0</v>
      </c>
      <c r="K22" s="3219">
        <v>0</v>
      </c>
      <c r="L22" s="1287">
        <v>0</v>
      </c>
      <c r="M22" s="1287">
        <f t="shared" si="25"/>
        <v>0</v>
      </c>
      <c r="N22" s="1287">
        <f t="shared" si="25"/>
        <v>0</v>
      </c>
      <c r="O22" s="1287">
        <f t="shared" si="25"/>
        <v>0</v>
      </c>
      <c r="P22" s="1287">
        <f t="shared" si="25"/>
        <v>0</v>
      </c>
      <c r="Q22" s="1287">
        <v>0</v>
      </c>
      <c r="R22" s="1287">
        <v>0</v>
      </c>
      <c r="S22" s="1287">
        <f t="shared" si="26"/>
        <v>0</v>
      </c>
      <c r="T22" s="1287">
        <f t="shared" si="26"/>
        <v>0</v>
      </c>
      <c r="U22" s="1287">
        <f t="shared" si="26"/>
        <v>0</v>
      </c>
      <c r="V22" s="1287">
        <f t="shared" si="26"/>
        <v>0</v>
      </c>
      <c r="W22" s="1287">
        <f>+K22</f>
        <v>0</v>
      </c>
      <c r="X22" s="1287"/>
      <c r="Y22" s="1287">
        <f t="shared" si="27"/>
        <v>0</v>
      </c>
      <c r="Z22" s="1287">
        <f t="shared" si="27"/>
        <v>0</v>
      </c>
      <c r="AA22" s="1287">
        <f t="shared" si="27"/>
        <v>0</v>
      </c>
      <c r="AB22" s="1287">
        <f t="shared" si="27"/>
        <v>0</v>
      </c>
      <c r="AC22" s="1287">
        <f t="shared" si="27"/>
        <v>0</v>
      </c>
      <c r="AD22" s="1284"/>
      <c r="AE22" s="1213">
        <f t="shared" si="1"/>
        <v>0</v>
      </c>
      <c r="AF22" s="1213">
        <f t="shared" si="2"/>
        <v>0</v>
      </c>
      <c r="AG22" s="1213">
        <f t="shared" si="3"/>
        <v>0</v>
      </c>
      <c r="AH22" s="2920">
        <f t="shared" si="4"/>
        <v>0</v>
      </c>
      <c r="AI22" s="1867"/>
      <c r="AJ22" s="417">
        <f t="shared" si="20"/>
        <v>0</v>
      </c>
      <c r="AK22" s="1287"/>
    </row>
    <row r="23" spans="1:37" s="416" customFormat="1" ht="21">
      <c r="A23" s="2939" t="s">
        <v>14</v>
      </c>
      <c r="B23" s="1282" t="s">
        <v>14</v>
      </c>
      <c r="C23" s="1283" t="s">
        <v>1279</v>
      </c>
      <c r="D23" s="1213">
        <f t="shared" ref="D23:AC23" si="28">D24+D25</f>
        <v>2657996</v>
      </c>
      <c r="E23" s="2715">
        <f t="shared" si="28"/>
        <v>6150228</v>
      </c>
      <c r="F23" s="1213">
        <f t="shared" si="28"/>
        <v>1704911</v>
      </c>
      <c r="G23" s="1213">
        <f t="shared" si="28"/>
        <v>5915495</v>
      </c>
      <c r="H23" s="1213">
        <f t="shared" si="28"/>
        <v>5915495</v>
      </c>
      <c r="I23" s="1213">
        <f t="shared" si="28"/>
        <v>5270867</v>
      </c>
      <c r="J23" s="1213">
        <f t="shared" si="28"/>
        <v>5270867</v>
      </c>
      <c r="K23" s="3208">
        <f t="shared" si="28"/>
        <v>5270867</v>
      </c>
      <c r="L23" s="1213">
        <f t="shared" si="28"/>
        <v>0</v>
      </c>
      <c r="M23" s="1213">
        <f t="shared" si="28"/>
        <v>0</v>
      </c>
      <c r="N23" s="1213">
        <f t="shared" si="28"/>
        <v>0</v>
      </c>
      <c r="O23" s="1213">
        <f t="shared" si="28"/>
        <v>0</v>
      </c>
      <c r="P23" s="1213">
        <f t="shared" si="28"/>
        <v>0</v>
      </c>
      <c r="Q23" s="1213">
        <f t="shared" si="28"/>
        <v>0</v>
      </c>
      <c r="R23" s="1213">
        <f t="shared" si="28"/>
        <v>1704911</v>
      </c>
      <c r="S23" s="1213">
        <f t="shared" si="28"/>
        <v>5915495</v>
      </c>
      <c r="T23" s="1213">
        <f t="shared" si="28"/>
        <v>5915495</v>
      </c>
      <c r="U23" s="1213">
        <f t="shared" si="28"/>
        <v>5270867</v>
      </c>
      <c r="V23" s="1213">
        <f t="shared" si="28"/>
        <v>5270867</v>
      </c>
      <c r="W23" s="1213">
        <f t="shared" si="28"/>
        <v>5270867</v>
      </c>
      <c r="X23" s="1213">
        <f t="shared" si="28"/>
        <v>0</v>
      </c>
      <c r="Y23" s="1213">
        <f t="shared" si="28"/>
        <v>0</v>
      </c>
      <c r="Z23" s="1213">
        <f t="shared" si="28"/>
        <v>0</v>
      </c>
      <c r="AA23" s="1213">
        <f t="shared" si="28"/>
        <v>0</v>
      </c>
      <c r="AB23" s="1213">
        <f t="shared" si="28"/>
        <v>0</v>
      </c>
      <c r="AC23" s="1213">
        <f t="shared" si="28"/>
        <v>0</v>
      </c>
      <c r="AD23" s="1284"/>
      <c r="AE23" s="1213">
        <f t="shared" si="1"/>
        <v>4210584</v>
      </c>
      <c r="AF23" s="1213">
        <f t="shared" si="2"/>
        <v>0</v>
      </c>
      <c r="AG23" s="1213">
        <f t="shared" si="3"/>
        <v>-644628</v>
      </c>
      <c r="AH23" s="2920">
        <f t="shared" si="4"/>
        <v>0</v>
      </c>
      <c r="AI23" s="1866">
        <f t="shared" si="22"/>
        <v>1</v>
      </c>
      <c r="AJ23" s="417">
        <f t="shared" si="20"/>
        <v>-953085</v>
      </c>
      <c r="AK23" s="1213"/>
    </row>
    <row r="24" spans="1:37" s="416" customFormat="1" ht="15">
      <c r="A24" s="2939"/>
      <c r="B24" s="1289" t="s">
        <v>198</v>
      </c>
      <c r="C24" s="1284" t="s">
        <v>186</v>
      </c>
      <c r="D24" s="1291">
        <v>0</v>
      </c>
      <c r="E24" s="2717">
        <v>0</v>
      </c>
      <c r="F24" s="1291">
        <v>0</v>
      </c>
      <c r="G24" s="1291">
        <f t="shared" ref="G24:G31" si="29">+F24</f>
        <v>0</v>
      </c>
      <c r="H24" s="1291">
        <f t="shared" ref="H24:H31" si="30">+G24</f>
        <v>0</v>
      </c>
      <c r="I24" s="1291">
        <f t="shared" ref="I24:I31" si="31">+H24</f>
        <v>0</v>
      </c>
      <c r="J24" s="1291">
        <f t="shared" ref="J24:J31" si="32">+I24</f>
        <v>0</v>
      </c>
      <c r="K24" s="3219">
        <f>0</f>
        <v>0</v>
      </c>
      <c r="L24" s="1213">
        <v>0</v>
      </c>
      <c r="M24" s="1213">
        <f t="shared" ref="M24:M31" si="33">+L24</f>
        <v>0</v>
      </c>
      <c r="N24" s="1213">
        <f t="shared" ref="N24:N31" si="34">+M24</f>
        <v>0</v>
      </c>
      <c r="O24" s="1213">
        <f t="shared" ref="O24:O31" si="35">+N24</f>
        <v>0</v>
      </c>
      <c r="P24" s="1213">
        <f t="shared" ref="P24:P31" si="36">+O24</f>
        <v>0</v>
      </c>
      <c r="Q24" s="1213">
        <v>0</v>
      </c>
      <c r="R24" s="1213">
        <v>0</v>
      </c>
      <c r="S24" s="1213">
        <f t="shared" ref="S24:V26" si="37">+R24</f>
        <v>0</v>
      </c>
      <c r="T24" s="1293">
        <f t="shared" si="37"/>
        <v>0</v>
      </c>
      <c r="U24" s="1213">
        <f t="shared" si="37"/>
        <v>0</v>
      </c>
      <c r="V24" s="1213">
        <f t="shared" si="37"/>
        <v>0</v>
      </c>
      <c r="W24" s="1291">
        <f t="shared" ref="W24:W31" si="38">+K24</f>
        <v>0</v>
      </c>
      <c r="X24" s="1213"/>
      <c r="Y24" s="1213">
        <f t="shared" ref="Y24:Y31" si="39">+X24</f>
        <v>0</v>
      </c>
      <c r="Z24" s="1213">
        <f t="shared" ref="Z24:Z31" si="40">+Y24</f>
        <v>0</v>
      </c>
      <c r="AA24" s="1213">
        <f t="shared" ref="AA24:AA31" si="41">+Z24</f>
        <v>0</v>
      </c>
      <c r="AB24" s="1213">
        <f t="shared" ref="AB24:AB31" si="42">+AA24</f>
        <v>0</v>
      </c>
      <c r="AC24" s="1213">
        <f t="shared" ref="AC24:AC31" si="43">+AB24</f>
        <v>0</v>
      </c>
      <c r="AD24" s="1284"/>
      <c r="AE24" s="1213">
        <f t="shared" si="1"/>
        <v>0</v>
      </c>
      <c r="AF24" s="1213">
        <f t="shared" si="2"/>
        <v>0</v>
      </c>
      <c r="AG24" s="1213">
        <f t="shared" si="3"/>
        <v>0</v>
      </c>
      <c r="AH24" s="2920">
        <f t="shared" si="4"/>
        <v>0</v>
      </c>
      <c r="AI24" s="1866"/>
      <c r="AJ24" s="417">
        <f t="shared" si="20"/>
        <v>0</v>
      </c>
      <c r="AK24" s="1291"/>
    </row>
    <row r="25" spans="1:37" s="424" customFormat="1" ht="15">
      <c r="A25" s="2938"/>
      <c r="B25" s="1289" t="s">
        <v>200</v>
      </c>
      <c r="C25" s="1286" t="s">
        <v>148</v>
      </c>
      <c r="D25" s="1287">
        <v>2657996</v>
      </c>
      <c r="E25" s="2716">
        <v>6150228</v>
      </c>
      <c r="F25" s="1287">
        <v>1704911</v>
      </c>
      <c r="G25" s="1287">
        <f>+F25+4210584</f>
        <v>5915495</v>
      </c>
      <c r="H25" s="1287">
        <f t="shared" si="30"/>
        <v>5915495</v>
      </c>
      <c r="I25" s="1291">
        <f>+H25-644628</f>
        <v>5270867</v>
      </c>
      <c r="J25" s="1291">
        <f t="shared" si="32"/>
        <v>5270867</v>
      </c>
      <c r="K25" s="3219">
        <v>5270867</v>
      </c>
      <c r="L25" s="1287">
        <v>0</v>
      </c>
      <c r="M25" s="1287">
        <f t="shared" si="33"/>
        <v>0</v>
      </c>
      <c r="N25" s="1287">
        <f t="shared" si="34"/>
        <v>0</v>
      </c>
      <c r="O25" s="1287">
        <f t="shared" si="35"/>
        <v>0</v>
      </c>
      <c r="P25" s="1287">
        <f t="shared" si="36"/>
        <v>0</v>
      </c>
      <c r="Q25" s="1287">
        <v>0</v>
      </c>
      <c r="R25" s="1287">
        <f>+F25-L25</f>
        <v>1704911</v>
      </c>
      <c r="S25" s="1287">
        <f>+R25+4210584</f>
        <v>5915495</v>
      </c>
      <c r="T25" s="1287">
        <f t="shared" si="37"/>
        <v>5915495</v>
      </c>
      <c r="U25" s="1287">
        <f>+T25-644628</f>
        <v>5270867</v>
      </c>
      <c r="V25" s="1287">
        <f t="shared" si="37"/>
        <v>5270867</v>
      </c>
      <c r="W25" s="1291">
        <f t="shared" si="38"/>
        <v>5270867</v>
      </c>
      <c r="X25" s="1287"/>
      <c r="Y25" s="1287">
        <f t="shared" si="39"/>
        <v>0</v>
      </c>
      <c r="Z25" s="1287">
        <f t="shared" si="40"/>
        <v>0</v>
      </c>
      <c r="AA25" s="1287">
        <f t="shared" si="41"/>
        <v>0</v>
      </c>
      <c r="AB25" s="1287">
        <f t="shared" si="42"/>
        <v>0</v>
      </c>
      <c r="AC25" s="1287">
        <f t="shared" si="43"/>
        <v>0</v>
      </c>
      <c r="AD25" s="1284"/>
      <c r="AE25" s="1213">
        <f t="shared" si="1"/>
        <v>4210584</v>
      </c>
      <c r="AF25" s="1213">
        <f t="shared" si="2"/>
        <v>0</v>
      </c>
      <c r="AG25" s="1213">
        <f t="shared" si="3"/>
        <v>-644628</v>
      </c>
      <c r="AH25" s="2920">
        <f t="shared" si="4"/>
        <v>0</v>
      </c>
      <c r="AI25" s="1867">
        <f t="shared" si="22"/>
        <v>1</v>
      </c>
      <c r="AJ25" s="417">
        <f t="shared" si="20"/>
        <v>-953085</v>
      </c>
      <c r="AK25" s="1287"/>
    </row>
    <row r="26" spans="1:37" s="424" customFormat="1" ht="15">
      <c r="A26" s="2938"/>
      <c r="B26" s="1289" t="s">
        <v>202</v>
      </c>
      <c r="C26" s="1290" t="s">
        <v>1280</v>
      </c>
      <c r="D26" s="1287">
        <v>0</v>
      </c>
      <c r="E26" s="2716">
        <v>0</v>
      </c>
      <c r="F26" s="1287">
        <v>0</v>
      </c>
      <c r="G26" s="1287">
        <f t="shared" si="29"/>
        <v>0</v>
      </c>
      <c r="H26" s="1287">
        <f t="shared" si="30"/>
        <v>0</v>
      </c>
      <c r="I26" s="1287">
        <f t="shared" si="31"/>
        <v>0</v>
      </c>
      <c r="J26" s="1291">
        <f t="shared" si="32"/>
        <v>0</v>
      </c>
      <c r="K26" s="3219">
        <v>0</v>
      </c>
      <c r="L26" s="1287">
        <v>0</v>
      </c>
      <c r="M26" s="1287">
        <f t="shared" si="33"/>
        <v>0</v>
      </c>
      <c r="N26" s="1287">
        <f t="shared" si="34"/>
        <v>0</v>
      </c>
      <c r="O26" s="1287">
        <f t="shared" si="35"/>
        <v>0</v>
      </c>
      <c r="P26" s="1287">
        <f t="shared" si="36"/>
        <v>0</v>
      </c>
      <c r="Q26" s="1287">
        <v>0</v>
      </c>
      <c r="R26" s="1287">
        <v>0</v>
      </c>
      <c r="S26" s="1287">
        <f t="shared" si="37"/>
        <v>0</v>
      </c>
      <c r="T26" s="1287">
        <f t="shared" si="37"/>
        <v>0</v>
      </c>
      <c r="U26" s="1287">
        <f t="shared" si="37"/>
        <v>0</v>
      </c>
      <c r="V26" s="1287">
        <f t="shared" si="37"/>
        <v>0</v>
      </c>
      <c r="W26" s="1291">
        <f t="shared" si="38"/>
        <v>0</v>
      </c>
      <c r="X26" s="1287"/>
      <c r="Y26" s="1287">
        <f t="shared" si="39"/>
        <v>0</v>
      </c>
      <c r="Z26" s="1287">
        <f t="shared" si="40"/>
        <v>0</v>
      </c>
      <c r="AA26" s="1287">
        <f t="shared" si="41"/>
        <v>0</v>
      </c>
      <c r="AB26" s="1287">
        <f t="shared" si="42"/>
        <v>0</v>
      </c>
      <c r="AC26" s="1287">
        <f t="shared" si="43"/>
        <v>0</v>
      </c>
      <c r="AD26" s="1284"/>
      <c r="AE26" s="1213">
        <f t="shared" si="1"/>
        <v>0</v>
      </c>
      <c r="AF26" s="1213">
        <f t="shared" si="2"/>
        <v>0</v>
      </c>
      <c r="AG26" s="1213">
        <f t="shared" si="3"/>
        <v>0</v>
      </c>
      <c r="AH26" s="2920">
        <f t="shared" si="4"/>
        <v>0</v>
      </c>
      <c r="AI26" s="1867"/>
      <c r="AJ26" s="417">
        <f t="shared" si="20"/>
        <v>0</v>
      </c>
      <c r="AK26" s="1287"/>
    </row>
    <row r="27" spans="1:37" s="424" customFormat="1" ht="15">
      <c r="A27" s="2939" t="s">
        <v>15</v>
      </c>
      <c r="B27" s="1282" t="s">
        <v>15</v>
      </c>
      <c r="C27" s="1292" t="s">
        <v>150</v>
      </c>
      <c r="D27" s="1293">
        <v>0</v>
      </c>
      <c r="E27" s="2718">
        <v>0</v>
      </c>
      <c r="F27" s="1293">
        <v>0</v>
      </c>
      <c r="G27" s="1293">
        <f t="shared" si="29"/>
        <v>0</v>
      </c>
      <c r="H27" s="1293">
        <f t="shared" si="30"/>
        <v>0</v>
      </c>
      <c r="I27" s="1293">
        <f t="shared" si="31"/>
        <v>0</v>
      </c>
      <c r="J27" s="1293">
        <f t="shared" si="32"/>
        <v>0</v>
      </c>
      <c r="K27" s="3219">
        <v>0</v>
      </c>
      <c r="L27" s="1293">
        <v>0</v>
      </c>
      <c r="M27" s="1293">
        <f t="shared" si="33"/>
        <v>0</v>
      </c>
      <c r="N27" s="1293">
        <f t="shared" si="34"/>
        <v>0</v>
      </c>
      <c r="O27" s="1293">
        <f t="shared" si="35"/>
        <v>0</v>
      </c>
      <c r="P27" s="1293">
        <f t="shared" si="36"/>
        <v>0</v>
      </c>
      <c r="Q27" s="1293">
        <v>0</v>
      </c>
      <c r="R27" s="1293">
        <v>0</v>
      </c>
      <c r="S27" s="1294"/>
      <c r="T27" s="1293">
        <f>+AD28</f>
        <v>0</v>
      </c>
      <c r="U27" s="1293">
        <f>+T27</f>
        <v>0</v>
      </c>
      <c r="V27" s="1293">
        <f>+U27</f>
        <v>0</v>
      </c>
      <c r="W27" s="1293">
        <f t="shared" si="38"/>
        <v>0</v>
      </c>
      <c r="X27" s="1293"/>
      <c r="Y27" s="1293">
        <f t="shared" si="39"/>
        <v>0</v>
      </c>
      <c r="Z27" s="1293">
        <f t="shared" si="40"/>
        <v>0</v>
      </c>
      <c r="AA27" s="1293">
        <f t="shared" si="41"/>
        <v>0</v>
      </c>
      <c r="AB27" s="1293">
        <f t="shared" si="42"/>
        <v>0</v>
      </c>
      <c r="AC27" s="1293">
        <f t="shared" si="43"/>
        <v>0</v>
      </c>
      <c r="AD27" s="1284"/>
      <c r="AE27" s="1213">
        <f t="shared" si="1"/>
        <v>0</v>
      </c>
      <c r="AF27" s="1213">
        <f t="shared" si="2"/>
        <v>0</v>
      </c>
      <c r="AG27" s="1213">
        <f t="shared" si="3"/>
        <v>0</v>
      </c>
      <c r="AH27" s="2920">
        <f t="shared" si="4"/>
        <v>0</v>
      </c>
      <c r="AI27" s="1867"/>
      <c r="AJ27" s="417">
        <f t="shared" si="20"/>
        <v>0</v>
      </c>
      <c r="AK27" s="1293"/>
    </row>
    <row r="28" spans="1:37" s="424" customFormat="1" ht="15">
      <c r="A28" s="2938"/>
      <c r="B28" s="1289" t="s">
        <v>212</v>
      </c>
      <c r="C28" s="1290" t="s">
        <v>1280</v>
      </c>
      <c r="D28" s="1287">
        <v>0</v>
      </c>
      <c r="E28" s="2716">
        <v>0</v>
      </c>
      <c r="F28" s="1287">
        <v>0</v>
      </c>
      <c r="G28" s="1287">
        <f t="shared" si="29"/>
        <v>0</v>
      </c>
      <c r="H28" s="1287">
        <f t="shared" si="30"/>
        <v>0</v>
      </c>
      <c r="I28" s="1287">
        <f t="shared" si="31"/>
        <v>0</v>
      </c>
      <c r="J28" s="1287">
        <f t="shared" si="32"/>
        <v>0</v>
      </c>
      <c r="K28" s="3219">
        <v>0</v>
      </c>
      <c r="L28" s="1287">
        <v>0</v>
      </c>
      <c r="M28" s="1287">
        <f t="shared" si="33"/>
        <v>0</v>
      </c>
      <c r="N28" s="1287">
        <f t="shared" si="34"/>
        <v>0</v>
      </c>
      <c r="O28" s="1287">
        <f t="shared" si="35"/>
        <v>0</v>
      </c>
      <c r="P28" s="1287">
        <f t="shared" si="36"/>
        <v>0</v>
      </c>
      <c r="Q28" s="1287">
        <v>0</v>
      </c>
      <c r="R28" s="1287">
        <f>+P28</f>
        <v>0</v>
      </c>
      <c r="S28" s="1287">
        <f t="shared" ref="S28:T31" si="44">+R28</f>
        <v>0</v>
      </c>
      <c r="T28" s="1287">
        <f t="shared" si="44"/>
        <v>0</v>
      </c>
      <c r="U28" s="1287">
        <v>0</v>
      </c>
      <c r="V28" s="1287"/>
      <c r="W28" s="1287">
        <f t="shared" si="38"/>
        <v>0</v>
      </c>
      <c r="X28" s="1287"/>
      <c r="Y28" s="1287">
        <f t="shared" si="39"/>
        <v>0</v>
      </c>
      <c r="Z28" s="1287">
        <f t="shared" si="40"/>
        <v>0</v>
      </c>
      <c r="AA28" s="1287">
        <f t="shared" si="41"/>
        <v>0</v>
      </c>
      <c r="AB28" s="1287">
        <f t="shared" si="42"/>
        <v>0</v>
      </c>
      <c r="AC28" s="1287">
        <f t="shared" si="43"/>
        <v>0</v>
      </c>
      <c r="AD28" s="1293"/>
      <c r="AE28" s="1213">
        <f t="shared" si="1"/>
        <v>0</v>
      </c>
      <c r="AF28" s="1213">
        <f t="shared" si="2"/>
        <v>0</v>
      </c>
      <c r="AG28" s="1213">
        <f t="shared" si="3"/>
        <v>0</v>
      </c>
      <c r="AH28" s="2920">
        <f t="shared" si="4"/>
        <v>0</v>
      </c>
      <c r="AI28" s="1867"/>
      <c r="AJ28" s="417">
        <f t="shared" si="20"/>
        <v>0</v>
      </c>
      <c r="AK28" s="1287"/>
    </row>
    <row r="29" spans="1:37" s="424" customFormat="1" ht="15">
      <c r="A29" s="2939" t="s">
        <v>17</v>
      </c>
      <c r="B29" s="1474" t="s">
        <v>17</v>
      </c>
      <c r="C29" s="1292" t="s">
        <v>153</v>
      </c>
      <c r="D29" s="1213">
        <v>0</v>
      </c>
      <c r="E29" s="2715">
        <v>0</v>
      </c>
      <c r="F29" s="1213">
        <v>0</v>
      </c>
      <c r="G29" s="1213">
        <f t="shared" si="29"/>
        <v>0</v>
      </c>
      <c r="H29" s="1213">
        <f t="shared" si="30"/>
        <v>0</v>
      </c>
      <c r="I29" s="1213">
        <f t="shared" si="31"/>
        <v>0</v>
      </c>
      <c r="J29" s="1213">
        <f t="shared" si="32"/>
        <v>0</v>
      </c>
      <c r="K29" s="3219">
        <v>0</v>
      </c>
      <c r="L29" s="1213">
        <v>0</v>
      </c>
      <c r="M29" s="1213">
        <f t="shared" si="33"/>
        <v>0</v>
      </c>
      <c r="N29" s="1213">
        <f t="shared" si="34"/>
        <v>0</v>
      </c>
      <c r="O29" s="1213">
        <f t="shared" si="35"/>
        <v>0</v>
      </c>
      <c r="P29" s="1213">
        <f t="shared" si="36"/>
        <v>0</v>
      </c>
      <c r="Q29" s="1213">
        <v>0</v>
      </c>
      <c r="R29" s="1213">
        <v>0</v>
      </c>
      <c r="S29" s="1213">
        <f t="shared" si="44"/>
        <v>0</v>
      </c>
      <c r="T29" s="1213">
        <f t="shared" si="44"/>
        <v>0</v>
      </c>
      <c r="U29" s="1213">
        <f t="shared" ref="U29:V31" si="45">+T29</f>
        <v>0</v>
      </c>
      <c r="V29" s="1213">
        <f t="shared" si="45"/>
        <v>0</v>
      </c>
      <c r="W29" s="1213">
        <f t="shared" si="38"/>
        <v>0</v>
      </c>
      <c r="X29" s="1213"/>
      <c r="Y29" s="1213">
        <f t="shared" si="39"/>
        <v>0</v>
      </c>
      <c r="Z29" s="1213">
        <f t="shared" si="40"/>
        <v>0</v>
      </c>
      <c r="AA29" s="1213">
        <f t="shared" si="41"/>
        <v>0</v>
      </c>
      <c r="AB29" s="1213">
        <f t="shared" si="42"/>
        <v>0</v>
      </c>
      <c r="AC29" s="1213">
        <f t="shared" si="43"/>
        <v>0</v>
      </c>
      <c r="AD29" s="1284"/>
      <c r="AE29" s="1213">
        <f t="shared" si="1"/>
        <v>0</v>
      </c>
      <c r="AF29" s="1213">
        <f t="shared" si="2"/>
        <v>0</v>
      </c>
      <c r="AG29" s="1213">
        <f t="shared" si="3"/>
        <v>0</v>
      </c>
      <c r="AH29" s="2920">
        <f t="shared" si="4"/>
        <v>0</v>
      </c>
      <c r="AI29" s="1866"/>
      <c r="AJ29" s="417">
        <f t="shared" si="20"/>
        <v>0</v>
      </c>
      <c r="AK29" s="1213"/>
    </row>
    <row r="30" spans="1:37" s="416" customFormat="1" ht="15">
      <c r="A30" s="2939" t="s">
        <v>19</v>
      </c>
      <c r="B30" s="1282" t="s">
        <v>19</v>
      </c>
      <c r="C30" s="1292" t="s">
        <v>1281</v>
      </c>
      <c r="D30" s="1293">
        <v>0</v>
      </c>
      <c r="E30" s="2718">
        <v>0</v>
      </c>
      <c r="F30" s="1293">
        <v>0</v>
      </c>
      <c r="G30" s="1293">
        <f t="shared" si="29"/>
        <v>0</v>
      </c>
      <c r="H30" s="1293">
        <f t="shared" si="30"/>
        <v>0</v>
      </c>
      <c r="I30" s="1293">
        <f t="shared" si="31"/>
        <v>0</v>
      </c>
      <c r="J30" s="1293">
        <f t="shared" si="32"/>
        <v>0</v>
      </c>
      <c r="K30" s="3219">
        <v>0</v>
      </c>
      <c r="L30" s="1293">
        <v>0</v>
      </c>
      <c r="M30" s="1293">
        <f t="shared" si="33"/>
        <v>0</v>
      </c>
      <c r="N30" s="1293">
        <f t="shared" si="34"/>
        <v>0</v>
      </c>
      <c r="O30" s="1293">
        <f t="shared" si="35"/>
        <v>0</v>
      </c>
      <c r="P30" s="1293">
        <f t="shared" si="36"/>
        <v>0</v>
      </c>
      <c r="Q30" s="1293">
        <v>0</v>
      </c>
      <c r="R30" s="1293">
        <v>0</v>
      </c>
      <c r="S30" s="1293">
        <f t="shared" si="44"/>
        <v>0</v>
      </c>
      <c r="T30" s="1293">
        <f t="shared" si="44"/>
        <v>0</v>
      </c>
      <c r="U30" s="1293">
        <f t="shared" si="45"/>
        <v>0</v>
      </c>
      <c r="V30" s="1293">
        <f t="shared" si="45"/>
        <v>0</v>
      </c>
      <c r="W30" s="1293">
        <f t="shared" si="38"/>
        <v>0</v>
      </c>
      <c r="X30" s="1293"/>
      <c r="Y30" s="1293">
        <f t="shared" si="39"/>
        <v>0</v>
      </c>
      <c r="Z30" s="1293">
        <f t="shared" si="40"/>
        <v>0</v>
      </c>
      <c r="AA30" s="1293">
        <f t="shared" si="41"/>
        <v>0</v>
      </c>
      <c r="AB30" s="1293">
        <f t="shared" si="42"/>
        <v>0</v>
      </c>
      <c r="AC30" s="1293">
        <f t="shared" si="43"/>
        <v>0</v>
      </c>
      <c r="AD30" s="1284"/>
      <c r="AE30" s="1213">
        <f t="shared" si="1"/>
        <v>0</v>
      </c>
      <c r="AF30" s="1213">
        <f t="shared" si="2"/>
        <v>0</v>
      </c>
      <c r="AG30" s="1213">
        <f t="shared" si="3"/>
        <v>0</v>
      </c>
      <c r="AH30" s="2920">
        <f t="shared" si="4"/>
        <v>0</v>
      </c>
      <c r="AI30" s="1867"/>
      <c r="AJ30" s="417">
        <f t="shared" si="20"/>
        <v>0</v>
      </c>
      <c r="AK30" s="1293"/>
    </row>
    <row r="31" spans="1:37" s="416" customFormat="1" ht="15">
      <c r="A31" s="2939" t="s">
        <v>21</v>
      </c>
      <c r="B31" s="1282" t="s">
        <v>21</v>
      </c>
      <c r="C31" s="1292" t="s">
        <v>393</v>
      </c>
      <c r="D31" s="1293">
        <v>0</v>
      </c>
      <c r="E31" s="2718">
        <v>0</v>
      </c>
      <c r="F31" s="1293">
        <v>0</v>
      </c>
      <c r="G31" s="1293">
        <f t="shared" si="29"/>
        <v>0</v>
      </c>
      <c r="H31" s="1293">
        <f t="shared" si="30"/>
        <v>0</v>
      </c>
      <c r="I31" s="1293">
        <f t="shared" si="31"/>
        <v>0</v>
      </c>
      <c r="J31" s="1293">
        <f t="shared" si="32"/>
        <v>0</v>
      </c>
      <c r="K31" s="3219">
        <v>0</v>
      </c>
      <c r="L31" s="1227">
        <v>0</v>
      </c>
      <c r="M31" s="1227">
        <f t="shared" si="33"/>
        <v>0</v>
      </c>
      <c r="N31" s="1227">
        <f t="shared" si="34"/>
        <v>0</v>
      </c>
      <c r="O31" s="1227">
        <f t="shared" si="35"/>
        <v>0</v>
      </c>
      <c r="P31" s="1227">
        <f t="shared" si="36"/>
        <v>0</v>
      </c>
      <c r="Q31" s="1227">
        <v>0</v>
      </c>
      <c r="R31" s="1227">
        <v>0</v>
      </c>
      <c r="S31" s="1227">
        <f t="shared" si="44"/>
        <v>0</v>
      </c>
      <c r="T31" s="1227">
        <f t="shared" si="44"/>
        <v>0</v>
      </c>
      <c r="U31" s="1227">
        <f t="shared" si="45"/>
        <v>0</v>
      </c>
      <c r="V31" s="1227">
        <f t="shared" si="45"/>
        <v>0</v>
      </c>
      <c r="W31" s="1227">
        <f t="shared" si="38"/>
        <v>0</v>
      </c>
      <c r="X31" s="1227"/>
      <c r="Y31" s="1227">
        <f t="shared" si="39"/>
        <v>0</v>
      </c>
      <c r="Z31" s="1227">
        <f t="shared" si="40"/>
        <v>0</v>
      </c>
      <c r="AA31" s="1227">
        <f t="shared" si="41"/>
        <v>0</v>
      </c>
      <c r="AB31" s="1227">
        <f t="shared" si="42"/>
        <v>0</v>
      </c>
      <c r="AC31" s="1227">
        <f t="shared" si="43"/>
        <v>0</v>
      </c>
      <c r="AD31" s="1284"/>
      <c r="AE31" s="1213">
        <f t="shared" si="1"/>
        <v>0</v>
      </c>
      <c r="AF31" s="1213">
        <f t="shared" si="2"/>
        <v>0</v>
      </c>
      <c r="AG31" s="1213">
        <f t="shared" si="3"/>
        <v>0</v>
      </c>
      <c r="AH31" s="2920">
        <f t="shared" si="4"/>
        <v>0</v>
      </c>
      <c r="AI31" s="1867"/>
      <c r="AJ31" s="417">
        <f t="shared" si="20"/>
        <v>0</v>
      </c>
      <c r="AK31" s="1293"/>
    </row>
    <row r="32" spans="1:37" s="416" customFormat="1" ht="15">
      <c r="A32" s="2939" t="s">
        <v>23</v>
      </c>
      <c r="B32" s="1474" t="s">
        <v>23</v>
      </c>
      <c r="C32" s="1292" t="s">
        <v>1282</v>
      </c>
      <c r="D32" s="1213">
        <f t="shared" ref="D32:R32" si="46">+D8+D20+D23+D27+D29+D30+D31</f>
        <v>676628319</v>
      </c>
      <c r="E32" s="2715">
        <f t="shared" si="46"/>
        <v>956699370</v>
      </c>
      <c r="F32" s="1213">
        <f t="shared" si="46"/>
        <v>761410084</v>
      </c>
      <c r="G32" s="1213">
        <f t="shared" si="46"/>
        <v>808718561</v>
      </c>
      <c r="H32" s="1213">
        <f t="shared" si="46"/>
        <v>880266494</v>
      </c>
      <c r="I32" s="1213">
        <f t="shared" si="46"/>
        <v>1038149247</v>
      </c>
      <c r="J32" s="1213">
        <f t="shared" si="46"/>
        <v>1038149247</v>
      </c>
      <c r="K32" s="3208">
        <f t="shared" si="46"/>
        <v>1038149247</v>
      </c>
      <c r="L32" s="1213">
        <f t="shared" si="46"/>
        <v>0</v>
      </c>
      <c r="M32" s="1213">
        <f t="shared" si="46"/>
        <v>0</v>
      </c>
      <c r="N32" s="1213">
        <f t="shared" si="46"/>
        <v>0</v>
      </c>
      <c r="O32" s="1213">
        <f t="shared" si="46"/>
        <v>0</v>
      </c>
      <c r="P32" s="1213">
        <f t="shared" si="46"/>
        <v>0</v>
      </c>
      <c r="Q32" s="1213">
        <f t="shared" si="46"/>
        <v>0</v>
      </c>
      <c r="R32" s="1213">
        <f t="shared" si="46"/>
        <v>761410084</v>
      </c>
      <c r="S32" s="1213">
        <f>+S8+S20+S23+AD28+S29+S30+S31</f>
        <v>808718561</v>
      </c>
      <c r="T32" s="1213">
        <f t="shared" ref="T32:AC32" si="47">+T8+T20+T23+T27+T29+T30+T31</f>
        <v>880266494</v>
      </c>
      <c r="U32" s="1213">
        <f t="shared" si="47"/>
        <v>1038149247</v>
      </c>
      <c r="V32" s="1213">
        <f t="shared" si="47"/>
        <v>1038149247</v>
      </c>
      <c r="W32" s="1213">
        <f t="shared" si="47"/>
        <v>1038149247</v>
      </c>
      <c r="X32" s="1213">
        <f t="shared" si="47"/>
        <v>0</v>
      </c>
      <c r="Y32" s="1213">
        <f t="shared" si="47"/>
        <v>0</v>
      </c>
      <c r="Z32" s="1213">
        <f t="shared" si="47"/>
        <v>0</v>
      </c>
      <c r="AA32" s="1213">
        <f t="shared" si="47"/>
        <v>0</v>
      </c>
      <c r="AB32" s="1213">
        <f t="shared" si="47"/>
        <v>0</v>
      </c>
      <c r="AC32" s="1213">
        <f t="shared" si="47"/>
        <v>0</v>
      </c>
      <c r="AD32" s="1283"/>
      <c r="AE32" s="1213">
        <f t="shared" si="1"/>
        <v>47308477</v>
      </c>
      <c r="AF32" s="1213">
        <f t="shared" si="2"/>
        <v>71547933</v>
      </c>
      <c r="AG32" s="1213">
        <f t="shared" si="3"/>
        <v>157882753</v>
      </c>
      <c r="AH32" s="2920">
        <f t="shared" si="4"/>
        <v>0</v>
      </c>
      <c r="AI32" s="1866">
        <f t="shared" si="22"/>
        <v>1</v>
      </c>
      <c r="AJ32" s="417">
        <f t="shared" si="20"/>
        <v>84781765</v>
      </c>
      <c r="AK32" s="1213"/>
    </row>
    <row r="33" spans="1:38" s="424" customFormat="1" ht="15">
      <c r="A33" s="2977" t="s">
        <v>25</v>
      </c>
      <c r="B33" s="1282" t="s">
        <v>25</v>
      </c>
      <c r="C33" s="1292" t="s">
        <v>1305</v>
      </c>
      <c r="D33" s="1213">
        <f t="shared" ref="D33:AC33" si="48">SUM(D34:D36)</f>
        <v>2033702704</v>
      </c>
      <c r="E33" s="2715">
        <f t="shared" si="48"/>
        <v>2117220563</v>
      </c>
      <c r="F33" s="1213">
        <f t="shared" si="48"/>
        <v>2159243657</v>
      </c>
      <c r="G33" s="1213">
        <f t="shared" si="48"/>
        <v>2345126442</v>
      </c>
      <c r="H33" s="1213">
        <f t="shared" si="48"/>
        <v>2387018073</v>
      </c>
      <c r="I33" s="1213">
        <f t="shared" si="48"/>
        <v>2431586718</v>
      </c>
      <c r="J33" s="1213">
        <f t="shared" si="48"/>
        <v>2431586718</v>
      </c>
      <c r="K33" s="3208">
        <f>SUM(K34:K36)</f>
        <v>2224981884</v>
      </c>
      <c r="L33" s="1213">
        <f t="shared" si="48"/>
        <v>0</v>
      </c>
      <c r="M33" s="1213">
        <f t="shared" si="48"/>
        <v>0</v>
      </c>
      <c r="N33" s="1213">
        <f t="shared" si="48"/>
        <v>0</v>
      </c>
      <c r="O33" s="1213">
        <f t="shared" si="48"/>
        <v>0</v>
      </c>
      <c r="P33" s="1213">
        <f t="shared" si="48"/>
        <v>0</v>
      </c>
      <c r="Q33" s="1213">
        <f t="shared" si="48"/>
        <v>0</v>
      </c>
      <c r="R33" s="1213">
        <f t="shared" si="48"/>
        <v>2159243657</v>
      </c>
      <c r="S33" s="1213">
        <f t="shared" si="48"/>
        <v>2345126442</v>
      </c>
      <c r="T33" s="1213">
        <f t="shared" si="48"/>
        <v>2387018073</v>
      </c>
      <c r="U33" s="1213">
        <f t="shared" si="48"/>
        <v>2431586718</v>
      </c>
      <c r="V33" s="1213">
        <f t="shared" si="48"/>
        <v>2431586718</v>
      </c>
      <c r="W33" s="1213">
        <f t="shared" si="48"/>
        <v>2224981884</v>
      </c>
      <c r="X33" s="1213">
        <f t="shared" si="48"/>
        <v>0</v>
      </c>
      <c r="Y33" s="1213">
        <f t="shared" si="48"/>
        <v>0</v>
      </c>
      <c r="Z33" s="1213">
        <f t="shared" si="48"/>
        <v>0</v>
      </c>
      <c r="AA33" s="1213">
        <f t="shared" si="48"/>
        <v>0</v>
      </c>
      <c r="AB33" s="1213">
        <f t="shared" si="48"/>
        <v>0</v>
      </c>
      <c r="AC33" s="1213">
        <f t="shared" si="48"/>
        <v>0</v>
      </c>
      <c r="AD33" s="1284"/>
      <c r="AE33" s="1213">
        <f t="shared" si="1"/>
        <v>185882785</v>
      </c>
      <c r="AF33" s="1213">
        <f t="shared" si="2"/>
        <v>41891631</v>
      </c>
      <c r="AG33" s="1213">
        <f t="shared" si="3"/>
        <v>44568645</v>
      </c>
      <c r="AH33" s="2920">
        <f t="shared" si="4"/>
        <v>0</v>
      </c>
      <c r="AI33" s="1866">
        <f t="shared" si="22"/>
        <v>0.91503291555649957</v>
      </c>
      <c r="AJ33" s="417">
        <f t="shared" si="20"/>
        <v>125540953</v>
      </c>
      <c r="AK33" s="1213"/>
    </row>
    <row r="34" spans="1:38" s="424" customFormat="1" ht="15">
      <c r="A34" s="2977"/>
      <c r="B34" s="1477" t="s">
        <v>1284</v>
      </c>
      <c r="C34" s="1286" t="s">
        <v>1285</v>
      </c>
      <c r="D34" s="1291">
        <v>0</v>
      </c>
      <c r="E34" s="2717">
        <v>44734669</v>
      </c>
      <c r="F34" s="1291">
        <v>0</v>
      </c>
      <c r="G34" s="1227">
        <f>+F34+178250386</f>
        <v>178250386</v>
      </c>
      <c r="H34" s="1227">
        <f t="shared" ref="G34:J35" si="49">+G34</f>
        <v>178250386</v>
      </c>
      <c r="I34" s="1227">
        <f t="shared" si="49"/>
        <v>178250386</v>
      </c>
      <c r="J34" s="1291">
        <f t="shared" si="49"/>
        <v>178250386</v>
      </c>
      <c r="K34" s="3220">
        <v>178250386</v>
      </c>
      <c r="L34" s="1291">
        <v>0</v>
      </c>
      <c r="M34" s="1291">
        <f t="shared" ref="M34:P36" si="50">+L34</f>
        <v>0</v>
      </c>
      <c r="N34" s="1291">
        <f t="shared" si="50"/>
        <v>0</v>
      </c>
      <c r="O34" s="1291">
        <f t="shared" si="50"/>
        <v>0</v>
      </c>
      <c r="P34" s="1291">
        <f t="shared" si="50"/>
        <v>0</v>
      </c>
      <c r="Q34" s="1291">
        <v>0</v>
      </c>
      <c r="R34" s="1291">
        <v>0</v>
      </c>
      <c r="S34" s="1291">
        <f>+R34+178250386</f>
        <v>178250386</v>
      </c>
      <c r="T34" s="1291">
        <f t="shared" ref="S34:V36" si="51">+S34</f>
        <v>178250386</v>
      </c>
      <c r="U34" s="1291">
        <f t="shared" si="51"/>
        <v>178250386</v>
      </c>
      <c r="V34" s="1227">
        <f t="shared" si="51"/>
        <v>178250386</v>
      </c>
      <c r="W34" s="1291">
        <f>+K34</f>
        <v>178250386</v>
      </c>
      <c r="X34" s="1213"/>
      <c r="Y34" s="1213">
        <f t="shared" ref="Y34:AC36" si="52">+X34</f>
        <v>0</v>
      </c>
      <c r="Z34" s="1213">
        <f t="shared" si="52"/>
        <v>0</v>
      </c>
      <c r="AA34" s="1213">
        <f t="shared" si="52"/>
        <v>0</v>
      </c>
      <c r="AB34" s="1213">
        <f t="shared" si="52"/>
        <v>0</v>
      </c>
      <c r="AC34" s="1213">
        <f t="shared" si="52"/>
        <v>0</v>
      </c>
      <c r="AD34" s="2947"/>
      <c r="AE34" s="1213">
        <f t="shared" si="1"/>
        <v>178250386</v>
      </c>
      <c r="AF34" s="1213">
        <f t="shared" si="2"/>
        <v>0</v>
      </c>
      <c r="AG34" s="1213">
        <f t="shared" si="3"/>
        <v>0</v>
      </c>
      <c r="AH34" s="2920">
        <f t="shared" si="4"/>
        <v>0</v>
      </c>
      <c r="AI34" s="1867">
        <f t="shared" si="22"/>
        <v>1</v>
      </c>
      <c r="AJ34" s="417">
        <f t="shared" si="20"/>
        <v>0</v>
      </c>
      <c r="AK34" s="1291"/>
    </row>
    <row r="35" spans="1:38" s="424" customFormat="1" ht="15">
      <c r="A35" s="2938"/>
      <c r="B35" s="1477" t="s">
        <v>1286</v>
      </c>
      <c r="C35" s="1286" t="s">
        <v>1287</v>
      </c>
      <c r="D35" s="1227">
        <v>0</v>
      </c>
      <c r="E35" s="2719">
        <v>0</v>
      </c>
      <c r="F35" s="1227">
        <v>0</v>
      </c>
      <c r="G35" s="1227">
        <f t="shared" si="49"/>
        <v>0</v>
      </c>
      <c r="H35" s="1227">
        <f t="shared" si="49"/>
        <v>0</v>
      </c>
      <c r="I35" s="1227">
        <f t="shared" si="49"/>
        <v>0</v>
      </c>
      <c r="J35" s="1227">
        <f t="shared" si="49"/>
        <v>0</v>
      </c>
      <c r="K35" s="3209">
        <v>0</v>
      </c>
      <c r="L35" s="1227">
        <v>0</v>
      </c>
      <c r="M35" s="1227">
        <f t="shared" si="50"/>
        <v>0</v>
      </c>
      <c r="N35" s="1227">
        <f t="shared" si="50"/>
        <v>0</v>
      </c>
      <c r="O35" s="1227">
        <f t="shared" si="50"/>
        <v>0</v>
      </c>
      <c r="P35" s="1227">
        <f t="shared" si="50"/>
        <v>0</v>
      </c>
      <c r="Q35" s="1227">
        <v>0</v>
      </c>
      <c r="R35" s="1291">
        <v>0</v>
      </c>
      <c r="S35" s="1291">
        <f t="shared" si="51"/>
        <v>0</v>
      </c>
      <c r="T35" s="1291">
        <f t="shared" si="51"/>
        <v>0</v>
      </c>
      <c r="U35" s="1291">
        <f t="shared" si="51"/>
        <v>0</v>
      </c>
      <c r="V35" s="1227">
        <f t="shared" si="51"/>
        <v>0</v>
      </c>
      <c r="W35" s="1227">
        <f>+K35</f>
        <v>0</v>
      </c>
      <c r="X35" s="1227"/>
      <c r="Y35" s="1227">
        <f t="shared" si="52"/>
        <v>0</v>
      </c>
      <c r="Z35" s="1227">
        <f t="shared" si="52"/>
        <v>0</v>
      </c>
      <c r="AA35" s="1227">
        <f t="shared" si="52"/>
        <v>0</v>
      </c>
      <c r="AB35" s="1227">
        <f t="shared" si="52"/>
        <v>0</v>
      </c>
      <c r="AC35" s="1227">
        <f t="shared" si="52"/>
        <v>0</v>
      </c>
      <c r="AD35" s="1296"/>
      <c r="AE35" s="1213">
        <f t="shared" si="1"/>
        <v>0</v>
      </c>
      <c r="AF35" s="1213">
        <f t="shared" si="2"/>
        <v>0</v>
      </c>
      <c r="AG35" s="1213">
        <f t="shared" si="3"/>
        <v>0</v>
      </c>
      <c r="AH35" s="2920">
        <f t="shared" si="4"/>
        <v>0</v>
      </c>
      <c r="AI35" s="1867"/>
      <c r="AJ35" s="417">
        <f t="shared" si="20"/>
        <v>0</v>
      </c>
      <c r="AK35" s="1227"/>
    </row>
    <row r="36" spans="1:38" s="424" customFormat="1" ht="15">
      <c r="A36" s="2978"/>
      <c r="B36" s="1477" t="s">
        <v>1288</v>
      </c>
      <c r="C36" s="1286" t="s">
        <v>1289</v>
      </c>
      <c r="D36" s="1227">
        <f>2031624567+2078138-1</f>
        <v>2033702704</v>
      </c>
      <c r="E36" s="2719">
        <v>2072485894</v>
      </c>
      <c r="F36" s="1227">
        <f>2194477267-35233610</f>
        <v>2159243657</v>
      </c>
      <c r="G36" s="1227">
        <f>+F36+7632399</f>
        <v>2166876056</v>
      </c>
      <c r="H36" s="1227">
        <f>+G36+9000*12+384200+3570800+2286000+31750000+1000000+498000+127000+2167631</f>
        <v>2208767687</v>
      </c>
      <c r="I36" s="1227">
        <f>+H36+384200+44184445</f>
        <v>2253336332</v>
      </c>
      <c r="J36" s="1227">
        <f>+I36</f>
        <v>2253336332</v>
      </c>
      <c r="K36" s="3209">
        <v>2046731498</v>
      </c>
      <c r="L36" s="1227">
        <v>0</v>
      </c>
      <c r="M36" s="1227">
        <f t="shared" si="50"/>
        <v>0</v>
      </c>
      <c r="N36" s="1227">
        <f t="shared" si="50"/>
        <v>0</v>
      </c>
      <c r="O36" s="1227">
        <f t="shared" si="50"/>
        <v>0</v>
      </c>
      <c r="P36" s="1227">
        <f t="shared" si="50"/>
        <v>0</v>
      </c>
      <c r="Q36" s="1227">
        <v>0</v>
      </c>
      <c r="R36" s="1227">
        <f>+F36</f>
        <v>2159243657</v>
      </c>
      <c r="S36" s="1291">
        <f>+R36+7632399</f>
        <v>2166876056</v>
      </c>
      <c r="T36" s="1291">
        <f>+S36+9000*12+384200+3570800+2286000+31750000+1000000+498000+127000+2167631</f>
        <v>2208767687</v>
      </c>
      <c r="U36" s="1291">
        <f>+T36+384200+44184445</f>
        <v>2253336332</v>
      </c>
      <c r="V36" s="1227">
        <f t="shared" si="51"/>
        <v>2253336332</v>
      </c>
      <c r="W36" s="1291">
        <f>+K36</f>
        <v>2046731498</v>
      </c>
      <c r="X36" s="1227"/>
      <c r="Y36" s="1227">
        <f t="shared" si="52"/>
        <v>0</v>
      </c>
      <c r="Z36" s="1227">
        <f t="shared" si="52"/>
        <v>0</v>
      </c>
      <c r="AA36" s="1227">
        <f t="shared" si="52"/>
        <v>0</v>
      </c>
      <c r="AB36" s="1227">
        <f t="shared" si="52"/>
        <v>0</v>
      </c>
      <c r="AC36" s="1227">
        <f t="shared" si="52"/>
        <v>0</v>
      </c>
      <c r="AD36" s="1284"/>
      <c r="AE36" s="1213">
        <f t="shared" si="1"/>
        <v>7632399</v>
      </c>
      <c r="AF36" s="1213">
        <f t="shared" si="2"/>
        <v>41891631</v>
      </c>
      <c r="AG36" s="1213">
        <f t="shared" si="3"/>
        <v>44568645</v>
      </c>
      <c r="AH36" s="2920">
        <f t="shared" si="4"/>
        <v>0</v>
      </c>
      <c r="AI36" s="1867">
        <f t="shared" si="22"/>
        <v>0.90831158621730335</v>
      </c>
      <c r="AJ36" s="417">
        <f t="shared" si="20"/>
        <v>125540953</v>
      </c>
      <c r="AK36" s="1227"/>
    </row>
    <row r="37" spans="1:38" s="405" customFormat="1" ht="15.75">
      <c r="A37" s="2977" t="s">
        <v>27</v>
      </c>
      <c r="B37" s="1475" t="s">
        <v>27</v>
      </c>
      <c r="C37" s="1297" t="s">
        <v>1290</v>
      </c>
      <c r="D37" s="1298">
        <f t="shared" ref="D37:AC37" si="53">+D32+D33</f>
        <v>2710331023</v>
      </c>
      <c r="E37" s="2720">
        <f t="shared" si="53"/>
        <v>3073919933</v>
      </c>
      <c r="F37" s="1298">
        <f t="shared" si="53"/>
        <v>2920653741</v>
      </c>
      <c r="G37" s="1298">
        <f t="shared" si="53"/>
        <v>3153845003</v>
      </c>
      <c r="H37" s="1298">
        <f t="shared" si="53"/>
        <v>3267284567</v>
      </c>
      <c r="I37" s="1298">
        <f t="shared" si="53"/>
        <v>3469735965</v>
      </c>
      <c r="J37" s="1298">
        <f t="shared" si="53"/>
        <v>3469735965</v>
      </c>
      <c r="K37" s="3210">
        <f t="shared" si="53"/>
        <v>3263131131</v>
      </c>
      <c r="L37" s="1298">
        <f t="shared" si="53"/>
        <v>0</v>
      </c>
      <c r="M37" s="1298">
        <f t="shared" si="53"/>
        <v>0</v>
      </c>
      <c r="N37" s="1298">
        <f t="shared" si="53"/>
        <v>0</v>
      </c>
      <c r="O37" s="1298">
        <f t="shared" si="53"/>
        <v>0</v>
      </c>
      <c r="P37" s="1298">
        <f t="shared" si="53"/>
        <v>0</v>
      </c>
      <c r="Q37" s="1298">
        <f t="shared" si="53"/>
        <v>0</v>
      </c>
      <c r="R37" s="1298">
        <f t="shared" si="53"/>
        <v>2920653741</v>
      </c>
      <c r="S37" s="1298">
        <f t="shared" si="53"/>
        <v>3153845003</v>
      </c>
      <c r="T37" s="1298">
        <f t="shared" si="53"/>
        <v>3267284567</v>
      </c>
      <c r="U37" s="1298">
        <f>+U32+U33</f>
        <v>3469735965</v>
      </c>
      <c r="V37" s="1298">
        <f t="shared" si="53"/>
        <v>3469735965</v>
      </c>
      <c r="W37" s="1298">
        <f t="shared" si="53"/>
        <v>3263131131</v>
      </c>
      <c r="X37" s="1298">
        <f t="shared" si="53"/>
        <v>0</v>
      </c>
      <c r="Y37" s="1298">
        <f t="shared" si="53"/>
        <v>0</v>
      </c>
      <c r="Z37" s="1298">
        <f t="shared" si="53"/>
        <v>0</v>
      </c>
      <c r="AA37" s="1298">
        <f t="shared" si="53"/>
        <v>0</v>
      </c>
      <c r="AB37" s="1298">
        <f t="shared" si="53"/>
        <v>0</v>
      </c>
      <c r="AC37" s="1298">
        <f t="shared" si="53"/>
        <v>0</v>
      </c>
      <c r="AD37" s="1284"/>
      <c r="AE37" s="1213">
        <f t="shared" si="1"/>
        <v>233191262</v>
      </c>
      <c r="AF37" s="1213">
        <f t="shared" si="2"/>
        <v>113439564</v>
      </c>
      <c r="AG37" s="1213">
        <f t="shared" si="3"/>
        <v>202451398</v>
      </c>
      <c r="AH37" s="2920">
        <f t="shared" si="4"/>
        <v>0</v>
      </c>
      <c r="AI37" s="1866">
        <f t="shared" si="22"/>
        <v>0.94045517120493638</v>
      </c>
      <c r="AJ37" s="417">
        <f t="shared" si="20"/>
        <v>210322718</v>
      </c>
      <c r="AK37" s="1298"/>
    </row>
    <row r="38" spans="1:38" s="439" customFormat="1" ht="15">
      <c r="A38" s="2918"/>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20">
        <f t="shared" si="4"/>
        <v>0</v>
      </c>
      <c r="AI38" s="1868"/>
      <c r="AJ38" s="417"/>
      <c r="AK38" s="1298"/>
    </row>
    <row r="39" spans="1:38" ht="15">
      <c r="A39" s="2937"/>
      <c r="B39" s="1285"/>
      <c r="C39" s="1548" t="str">
        <f t="shared" ref="C39:T40" si="54">+C4</f>
        <v>A</v>
      </c>
      <c r="D39" s="1549" t="str">
        <f t="shared" si="54"/>
        <v>B</v>
      </c>
      <c r="E39" s="2960" t="str">
        <f t="shared" si="54"/>
        <v>B</v>
      </c>
      <c r="F39" s="1345" t="str">
        <f t="shared" si="54"/>
        <v>B</v>
      </c>
      <c r="G39" s="1345" t="str">
        <f t="shared" si="54"/>
        <v>D</v>
      </c>
      <c r="H39" s="1345" t="str">
        <f t="shared" si="54"/>
        <v>E</v>
      </c>
      <c r="I39" s="1345" t="str">
        <f t="shared" si="54"/>
        <v>C</v>
      </c>
      <c r="J39" s="1345" t="str">
        <f t="shared" si="54"/>
        <v>F</v>
      </c>
      <c r="K39" s="1345" t="str">
        <f t="shared" si="54"/>
        <v>D</v>
      </c>
      <c r="L39" s="1345" t="str">
        <f t="shared" si="54"/>
        <v>E</v>
      </c>
      <c r="M39" s="1345" t="str">
        <f t="shared" si="54"/>
        <v>F</v>
      </c>
      <c r="N39" s="1345" t="str">
        <f t="shared" si="54"/>
        <v>F</v>
      </c>
      <c r="O39" s="1345" t="str">
        <f t="shared" si="54"/>
        <v>E</v>
      </c>
      <c r="P39" s="1345">
        <f t="shared" si="54"/>
        <v>0</v>
      </c>
      <c r="Q39" s="1345" t="str">
        <f t="shared" si="54"/>
        <v>F</v>
      </c>
      <c r="R39" s="1345" t="str">
        <f t="shared" si="54"/>
        <v>E</v>
      </c>
      <c r="S39" s="1345" t="str">
        <f t="shared" si="54"/>
        <v>E</v>
      </c>
      <c r="T39" s="1345" t="str">
        <f t="shared" si="54"/>
        <v>G</v>
      </c>
      <c r="U39" s="1345" t="str">
        <f>+U4</f>
        <v>G</v>
      </c>
      <c r="V39" s="1345">
        <f>+V4</f>
        <v>0</v>
      </c>
      <c r="W39" s="1345" t="str">
        <f>+W4</f>
        <v>H</v>
      </c>
      <c r="X39" s="2961"/>
      <c r="Y39" s="2961"/>
      <c r="Z39" s="2961"/>
      <c r="AA39" s="2961"/>
      <c r="AB39" s="2961"/>
      <c r="AC39" s="2961"/>
      <c r="AD39" s="2962"/>
      <c r="AE39" s="1213"/>
      <c r="AF39" s="1345" t="str">
        <f>+AF4</f>
        <v>H</v>
      </c>
      <c r="AG39" s="1301" t="str">
        <f>+AG4</f>
        <v>I</v>
      </c>
      <c r="AH39" s="1552"/>
      <c r="AI39" s="1863" t="str">
        <f>+AI4</f>
        <v>I</v>
      </c>
      <c r="AJ39" s="417"/>
      <c r="AK39" s="1549"/>
      <c r="AL39" s="439"/>
    </row>
    <row r="40" spans="1:38" ht="73.5">
      <c r="A40" s="2938"/>
      <c r="B40" s="1278" t="s">
        <v>6</v>
      </c>
      <c r="C40" s="1276" t="str">
        <f t="shared" si="54"/>
        <v>Kiemelt előirányzat, előirányzat megnevezése</v>
      </c>
      <c r="D40" s="1278" t="str">
        <f t="shared" si="54"/>
        <v>2024. évi eredeti előirányzat
forintban</v>
      </c>
      <c r="E40" s="2596" t="str">
        <f>+E5</f>
        <v>2024. évi teljesítés forintban</v>
      </c>
      <c r="F40" s="1276" t="str">
        <f t="shared" si="54"/>
        <v>2025. évi eredeti előirányzat forintban</v>
      </c>
      <c r="G40" s="1276" t="str">
        <f t="shared" ref="G40:AJ40" si="55">+G5</f>
        <v>2025. évi I. számú módosított előirányzat
forintban</v>
      </c>
      <c r="H40" s="1276" t="str">
        <f t="shared" si="55"/>
        <v>2025. évi II. számú módosított előirányzat forintban</v>
      </c>
      <c r="I40" s="1276" t="str">
        <f t="shared" si="55"/>
        <v>2025. évi III. számú módosított előirányzat forintban</v>
      </c>
      <c r="J40" s="1276" t="str">
        <f t="shared" si="55"/>
        <v>2025. évi IV. számú módosított előirányzat forintban</v>
      </c>
      <c r="K40" s="3197" t="str">
        <f t="shared" si="55"/>
        <v>2025. évi
teljesítés forintban</v>
      </c>
      <c r="L40" s="1276" t="str">
        <f t="shared" si="55"/>
        <v>Önként vállalt feladat forintban</v>
      </c>
      <c r="M40" s="1276" t="str">
        <f t="shared" si="55"/>
        <v>Önként vállalt feladat I. módosítás
forintban</v>
      </c>
      <c r="N40" s="1276" t="str">
        <f t="shared" si="55"/>
        <v>Önként vállalt feladat II. módosítás forintban</v>
      </c>
      <c r="O40" s="1276" t="str">
        <f t="shared" si="55"/>
        <v>Önként vállalt feladat III. módosítás forintban</v>
      </c>
      <c r="P40" s="1276" t="str">
        <f t="shared" si="55"/>
        <v>Önként vállalt feladat IV. módosítás  forintban</v>
      </c>
      <c r="Q40" s="1276" t="str">
        <f t="shared" si="55"/>
        <v>Önként vállalt teljesítés  forintban</v>
      </c>
      <c r="R40" s="1276" t="str">
        <f t="shared" si="55"/>
        <v>Kötelező feladat forintban</v>
      </c>
      <c r="S40" s="1276" t="str">
        <f t="shared" si="55"/>
        <v>Kötelező feladat 
I. módosítás
forintban</v>
      </c>
      <c r="T40" s="1276" t="str">
        <f t="shared" si="55"/>
        <v>Kötelező feladat II. módosítás forintban</v>
      </c>
      <c r="U40" s="1276" t="str">
        <f t="shared" si="55"/>
        <v>Kötelező feladat III. módosítás  forintban</v>
      </c>
      <c r="V40" s="1278" t="str">
        <f t="shared" si="55"/>
        <v>Kötelező feladat IV. módosítás  forintban</v>
      </c>
      <c r="W40" s="1278" t="str">
        <f t="shared" si="55"/>
        <v>Kötelező teljesítés  forintban</v>
      </c>
      <c r="X40" s="1278">
        <f t="shared" si="55"/>
        <v>0</v>
      </c>
      <c r="Y40" s="1278">
        <f t="shared" si="55"/>
        <v>0</v>
      </c>
      <c r="Z40" s="1278">
        <f t="shared" si="55"/>
        <v>0</v>
      </c>
      <c r="AA40" s="1278">
        <f t="shared" si="55"/>
        <v>0</v>
      </c>
      <c r="AB40" s="1278">
        <f t="shared" si="55"/>
        <v>0</v>
      </c>
      <c r="AC40" s="1278">
        <f t="shared" si="55"/>
        <v>0</v>
      </c>
      <c r="AD40" s="1278"/>
      <c r="AE40" s="1278" t="str">
        <f t="shared" si="55"/>
        <v>I. változás</v>
      </c>
      <c r="AF40" s="1278" t="str">
        <f t="shared" si="55"/>
        <v>Előirányzat-módosítások, előirányzat-átcsoportosítások összegszerű változásai</v>
      </c>
      <c r="AG40" s="2916" t="str">
        <f t="shared" si="55"/>
        <v>Előirányzat-módosítások, előirányzat-átcsoportosítások összegszerű változásai a III. módosításnál</v>
      </c>
      <c r="AH40" s="1855" t="str">
        <f t="shared" si="55"/>
        <v>IV. változás</v>
      </c>
      <c r="AI40" s="1865" t="str">
        <f t="shared" si="55"/>
        <v xml:space="preserve"> 2025. évi teljesítés / 2025. évi III. számú módosított előirányzat</v>
      </c>
      <c r="AJ40" s="1855" t="str">
        <f t="shared" si="55"/>
        <v>Változás Eredeti előző évhez 
Ft-ban</v>
      </c>
      <c r="AK40" s="2596"/>
      <c r="AL40" s="439"/>
    </row>
    <row r="41" spans="1:38" ht="15">
      <c r="A41" s="2939" t="s">
        <v>6</v>
      </c>
      <c r="B41" s="2946" t="s">
        <v>3353</v>
      </c>
      <c r="C41" s="1292" t="s">
        <v>1291</v>
      </c>
      <c r="D41" s="1213">
        <f t="shared" ref="D41:AC41" si="56">SUM(D42:D46)</f>
        <v>2572349000</v>
      </c>
      <c r="E41" s="2715">
        <f t="shared" si="56"/>
        <v>2750403272</v>
      </c>
      <c r="F41" s="1213">
        <f t="shared" si="56"/>
        <v>2898117098</v>
      </c>
      <c r="G41" s="1213">
        <f t="shared" si="56"/>
        <v>3129403360</v>
      </c>
      <c r="H41" s="1213">
        <f t="shared" si="56"/>
        <v>3242343224</v>
      </c>
      <c r="I41" s="1213">
        <f t="shared" si="56"/>
        <v>3443718702</v>
      </c>
      <c r="J41" s="1213">
        <f t="shared" si="56"/>
        <v>3443718702</v>
      </c>
      <c r="K41" s="3208">
        <f t="shared" si="56"/>
        <v>3136830321</v>
      </c>
      <c r="L41" s="1213">
        <f t="shared" si="56"/>
        <v>0</v>
      </c>
      <c r="M41" s="1213">
        <f t="shared" si="56"/>
        <v>0</v>
      </c>
      <c r="N41" s="1213">
        <f t="shared" si="56"/>
        <v>0</v>
      </c>
      <c r="O41" s="1213">
        <f t="shared" si="56"/>
        <v>0</v>
      </c>
      <c r="P41" s="1213">
        <f t="shared" si="56"/>
        <v>0</v>
      </c>
      <c r="Q41" s="1213">
        <f t="shared" si="56"/>
        <v>0</v>
      </c>
      <c r="R41" s="1213">
        <f t="shared" si="56"/>
        <v>2898117098</v>
      </c>
      <c r="S41" s="1213">
        <f t="shared" si="56"/>
        <v>3129403360</v>
      </c>
      <c r="T41" s="1213">
        <f t="shared" si="56"/>
        <v>3242343224</v>
      </c>
      <c r="U41" s="1213">
        <f t="shared" si="56"/>
        <v>3443718702</v>
      </c>
      <c r="V41" s="1213">
        <f t="shared" si="56"/>
        <v>3443718702</v>
      </c>
      <c r="W41" s="1213">
        <f t="shared" si="56"/>
        <v>3136830321</v>
      </c>
      <c r="X41" s="1213">
        <f t="shared" si="56"/>
        <v>0</v>
      </c>
      <c r="Y41" s="1213">
        <f t="shared" si="56"/>
        <v>0</v>
      </c>
      <c r="Z41" s="1213">
        <f t="shared" si="56"/>
        <v>0</v>
      </c>
      <c r="AA41" s="1213">
        <f t="shared" si="56"/>
        <v>0</v>
      </c>
      <c r="AB41" s="1213">
        <f t="shared" si="56"/>
        <v>0</v>
      </c>
      <c r="AC41" s="1213">
        <f t="shared" si="56"/>
        <v>0</v>
      </c>
      <c r="AD41" s="1284"/>
      <c r="AE41" s="1213">
        <f t="shared" si="1"/>
        <v>231286262</v>
      </c>
      <c r="AF41" s="1213">
        <f t="shared" si="2"/>
        <v>112939864</v>
      </c>
      <c r="AG41" s="1213">
        <f t="shared" si="3"/>
        <v>201375478</v>
      </c>
      <c r="AH41" s="2920">
        <f t="shared" si="4"/>
        <v>0</v>
      </c>
      <c r="AI41" s="1866">
        <f t="shared" ref="AI41:AI54" si="57">+K41/I41</f>
        <v>0.91088459669433242</v>
      </c>
      <c r="AJ41" s="417">
        <f t="shared" ref="AJ41:AJ54" si="58">+F41-D41</f>
        <v>325768098</v>
      </c>
      <c r="AK41" s="1213"/>
      <c r="AL41" s="439"/>
    </row>
    <row r="42" spans="1:38" ht="15">
      <c r="A42" s="2939"/>
      <c r="B42" s="2948" t="s">
        <v>176</v>
      </c>
      <c r="C42" s="1290" t="s">
        <v>147</v>
      </c>
      <c r="D42" s="1227">
        <v>878288267</v>
      </c>
      <c r="E42" s="2719">
        <v>957875746</v>
      </c>
      <c r="F42" s="1227">
        <v>1067913380</v>
      </c>
      <c r="G42" s="1227">
        <f>F42+673666+6754335+3953600</f>
        <v>1079294981</v>
      </c>
      <c r="H42" s="1227">
        <f>G42+9000*12+340000-29416+3160000</f>
        <v>1082873565</v>
      </c>
      <c r="I42" s="1227">
        <f>H42+340000+4424779+120023033</f>
        <v>1207661377</v>
      </c>
      <c r="J42" s="1227">
        <f t="shared" ref="G42:J46" si="59">I42</f>
        <v>1207661377</v>
      </c>
      <c r="K42" s="3209">
        <v>1058848328</v>
      </c>
      <c r="L42" s="1227">
        <v>0</v>
      </c>
      <c r="M42" s="1227">
        <f t="shared" ref="M42:P46" si="60">+L42</f>
        <v>0</v>
      </c>
      <c r="N42" s="1227">
        <f t="shared" si="60"/>
        <v>0</v>
      </c>
      <c r="O42" s="1227">
        <f t="shared" si="60"/>
        <v>0</v>
      </c>
      <c r="P42" s="1227">
        <f t="shared" si="60"/>
        <v>0</v>
      </c>
      <c r="Q42" s="1227">
        <v>0</v>
      </c>
      <c r="R42" s="1227">
        <f>+F42</f>
        <v>1067913380</v>
      </c>
      <c r="S42" s="1227">
        <f>+R42+673666+6754335+3953600</f>
        <v>1079294981</v>
      </c>
      <c r="T42" s="1227">
        <f>+S42+9000*12+340000-29416+3160000</f>
        <v>1082873565</v>
      </c>
      <c r="U42" s="1227">
        <f>+T42+340000+4424779+120023033</f>
        <v>1207661377</v>
      </c>
      <c r="V42" s="1227">
        <f t="shared" ref="S42:V46" si="61">+U42</f>
        <v>1207661377</v>
      </c>
      <c r="W42" s="1227">
        <f>+K42</f>
        <v>1058848328</v>
      </c>
      <c r="X42" s="1227"/>
      <c r="Y42" s="1227">
        <f t="shared" ref="Y42:AC46" si="62">+X42</f>
        <v>0</v>
      </c>
      <c r="Z42" s="1227">
        <f t="shared" si="62"/>
        <v>0</v>
      </c>
      <c r="AA42" s="1227">
        <f t="shared" si="62"/>
        <v>0</v>
      </c>
      <c r="AB42" s="1227">
        <f t="shared" si="62"/>
        <v>0</v>
      </c>
      <c r="AC42" s="1227">
        <f t="shared" si="62"/>
        <v>0</v>
      </c>
      <c r="AD42" s="1665"/>
      <c r="AE42" s="1213">
        <f t="shared" si="1"/>
        <v>11381601</v>
      </c>
      <c r="AF42" s="1213">
        <f t="shared" si="2"/>
        <v>3578584</v>
      </c>
      <c r="AG42" s="1213">
        <f t="shared" si="3"/>
        <v>124787812</v>
      </c>
      <c r="AH42" s="2920">
        <f t="shared" si="4"/>
        <v>0</v>
      </c>
      <c r="AI42" s="1867">
        <f t="shared" si="57"/>
        <v>0.87677584806953712</v>
      </c>
      <c r="AJ42" s="417">
        <f t="shared" si="58"/>
        <v>189625113</v>
      </c>
      <c r="AK42" s="1227"/>
      <c r="AL42" s="439"/>
    </row>
    <row r="43" spans="1:38" ht="15">
      <c r="A43" s="2939"/>
      <c r="B43" s="2948" t="s">
        <v>178</v>
      </c>
      <c r="C43" s="1290" t="s">
        <v>8</v>
      </c>
      <c r="D43" s="1227">
        <f>138756329-1</f>
        <v>138756328</v>
      </c>
      <c r="E43" s="2719">
        <v>144921712</v>
      </c>
      <c r="F43" s="1227">
        <v>163537352</v>
      </c>
      <c r="G43" s="1227">
        <f>F43+878064+256984</f>
        <v>164672400</v>
      </c>
      <c r="H43" s="1227">
        <f>G43+44200+29416+728003+410800</f>
        <v>165884819</v>
      </c>
      <c r="I43" s="1227">
        <f>H43+44200+575221+589338</f>
        <v>167093578</v>
      </c>
      <c r="J43" s="1227">
        <f t="shared" si="59"/>
        <v>167093578</v>
      </c>
      <c r="K43" s="3209">
        <v>160762558</v>
      </c>
      <c r="L43" s="1227">
        <v>0</v>
      </c>
      <c r="M43" s="1227">
        <f t="shared" si="60"/>
        <v>0</v>
      </c>
      <c r="N43" s="1227">
        <f t="shared" si="60"/>
        <v>0</v>
      </c>
      <c r="O43" s="1227">
        <f t="shared" si="60"/>
        <v>0</v>
      </c>
      <c r="P43" s="1227">
        <f t="shared" si="60"/>
        <v>0</v>
      </c>
      <c r="Q43" s="1227">
        <v>0</v>
      </c>
      <c r="R43" s="1227">
        <f>+F43</f>
        <v>163537352</v>
      </c>
      <c r="S43" s="1227">
        <f>+R43+878064+256984</f>
        <v>164672400</v>
      </c>
      <c r="T43" s="1227">
        <f>+S43+44200+29416+728003+410800</f>
        <v>165884819</v>
      </c>
      <c r="U43" s="1227">
        <f>+T43+44200+575221+589338</f>
        <v>167093578</v>
      </c>
      <c r="V43" s="1227">
        <f t="shared" si="61"/>
        <v>167093578</v>
      </c>
      <c r="W43" s="1227">
        <f>+K43</f>
        <v>160762558</v>
      </c>
      <c r="X43" s="1227"/>
      <c r="Y43" s="1227">
        <f t="shared" si="62"/>
        <v>0</v>
      </c>
      <c r="Z43" s="1227">
        <f t="shared" si="62"/>
        <v>0</v>
      </c>
      <c r="AA43" s="1227">
        <f t="shared" si="62"/>
        <v>0</v>
      </c>
      <c r="AB43" s="1227">
        <f t="shared" si="62"/>
        <v>0</v>
      </c>
      <c r="AC43" s="1227">
        <f t="shared" si="62"/>
        <v>0</v>
      </c>
      <c r="AD43" s="1665"/>
      <c r="AE43" s="1213">
        <f t="shared" si="1"/>
        <v>1135048</v>
      </c>
      <c r="AF43" s="1213">
        <f t="shared" si="2"/>
        <v>1212419</v>
      </c>
      <c r="AG43" s="1213">
        <f t="shared" si="3"/>
        <v>1208759</v>
      </c>
      <c r="AH43" s="2920">
        <f t="shared" si="4"/>
        <v>0</v>
      </c>
      <c r="AI43" s="1867">
        <f t="shared" si="57"/>
        <v>0.96211093163616379</v>
      </c>
      <c r="AJ43" s="417">
        <f t="shared" si="58"/>
        <v>24781024</v>
      </c>
      <c r="AK43" s="1227"/>
      <c r="AL43" s="439"/>
    </row>
    <row r="44" spans="1:38" ht="15">
      <c r="A44" s="2939"/>
      <c r="B44" s="2948" t="s">
        <v>179</v>
      </c>
      <c r="C44" s="1290" t="s">
        <v>317</v>
      </c>
      <c r="D44" s="1227">
        <v>1555304405</v>
      </c>
      <c r="E44" s="2719">
        <v>1642570130</v>
      </c>
      <c r="F44" s="1227">
        <v>1666666366</v>
      </c>
      <c r="G44" s="1227">
        <f>F44+16947221+43097893-1905000</f>
        <v>1724806480</v>
      </c>
      <c r="H44" s="1227">
        <f>G44+71547933-499700-728003+2286000+31750000+1000000+498000+127000+2167631</f>
        <v>1832955341</v>
      </c>
      <c r="I44" s="1227">
        <f>H44-1075920-5000000+34966455+44184445+2303927</f>
        <v>1908334248</v>
      </c>
      <c r="J44" s="1227">
        <f t="shared" si="59"/>
        <v>1908334248</v>
      </c>
      <c r="K44" s="3209">
        <v>1756589936</v>
      </c>
      <c r="L44" s="1227">
        <v>0</v>
      </c>
      <c r="M44" s="1227">
        <f t="shared" si="60"/>
        <v>0</v>
      </c>
      <c r="N44" s="1227">
        <f t="shared" si="60"/>
        <v>0</v>
      </c>
      <c r="O44" s="1227">
        <f t="shared" si="60"/>
        <v>0</v>
      </c>
      <c r="P44" s="1227">
        <f t="shared" si="60"/>
        <v>0</v>
      </c>
      <c r="Q44" s="1227">
        <v>0</v>
      </c>
      <c r="R44" s="1227">
        <f>+F44</f>
        <v>1666666366</v>
      </c>
      <c r="S44" s="1227">
        <f>+R44+16947221+43097893-1905000</f>
        <v>1724806480</v>
      </c>
      <c r="T44" s="1227">
        <f>+S44+71547933-499700-728003+2286000+31750000+1000000+498000+127000+2167631</f>
        <v>1832955341</v>
      </c>
      <c r="U44" s="1227">
        <f>+T44-1075920-5000000+34966455+44184445+2303927</f>
        <v>1908334248</v>
      </c>
      <c r="V44" s="1227">
        <f t="shared" si="61"/>
        <v>1908334248</v>
      </c>
      <c r="W44" s="1227">
        <f>+K44</f>
        <v>1756589936</v>
      </c>
      <c r="X44" s="1227"/>
      <c r="Y44" s="1227">
        <f t="shared" si="62"/>
        <v>0</v>
      </c>
      <c r="Z44" s="1227">
        <f t="shared" si="62"/>
        <v>0</v>
      </c>
      <c r="AA44" s="1227">
        <f t="shared" si="62"/>
        <v>0</v>
      </c>
      <c r="AB44" s="1227">
        <f t="shared" si="62"/>
        <v>0</v>
      </c>
      <c r="AC44" s="1227">
        <f t="shared" si="62"/>
        <v>0</v>
      </c>
      <c r="AD44" s="1284"/>
      <c r="AE44" s="1213">
        <f t="shared" si="1"/>
        <v>58140114</v>
      </c>
      <c r="AF44" s="1213">
        <f t="shared" si="2"/>
        <v>108148861</v>
      </c>
      <c r="AG44" s="1213">
        <f t="shared" si="3"/>
        <v>75378907</v>
      </c>
      <c r="AH44" s="2920">
        <f t="shared" si="4"/>
        <v>0</v>
      </c>
      <c r="AI44" s="1867">
        <f t="shared" si="57"/>
        <v>0.92048336806875775</v>
      </c>
      <c r="AJ44" s="417">
        <f t="shared" si="58"/>
        <v>111361961</v>
      </c>
      <c r="AK44" s="1227"/>
    </row>
    <row r="45" spans="1:38" s="439" customFormat="1" ht="15">
      <c r="A45" s="2939"/>
      <c r="B45" s="2948" t="s">
        <v>180</v>
      </c>
      <c r="C45" s="1290" t="s">
        <v>318</v>
      </c>
      <c r="D45" s="1227">
        <f>0</f>
        <v>0</v>
      </c>
      <c r="E45" s="2719">
        <v>0</v>
      </c>
      <c r="F45" s="1227">
        <v>0</v>
      </c>
      <c r="G45" s="1227">
        <f t="shared" si="59"/>
        <v>0</v>
      </c>
      <c r="H45" s="1227">
        <f t="shared" si="59"/>
        <v>0</v>
      </c>
      <c r="I45" s="1227">
        <f t="shared" si="59"/>
        <v>0</v>
      </c>
      <c r="J45" s="1227">
        <f t="shared" si="59"/>
        <v>0</v>
      </c>
      <c r="K45" s="3209">
        <v>0</v>
      </c>
      <c r="L45" s="1227">
        <v>0</v>
      </c>
      <c r="M45" s="1227">
        <f t="shared" si="60"/>
        <v>0</v>
      </c>
      <c r="N45" s="1227">
        <f t="shared" si="60"/>
        <v>0</v>
      </c>
      <c r="O45" s="1227">
        <f t="shared" si="60"/>
        <v>0</v>
      </c>
      <c r="P45" s="1227">
        <f t="shared" si="60"/>
        <v>0</v>
      </c>
      <c r="Q45" s="1227">
        <v>0</v>
      </c>
      <c r="R45" s="1227">
        <v>0</v>
      </c>
      <c r="S45" s="1227">
        <f t="shared" si="61"/>
        <v>0</v>
      </c>
      <c r="T45" s="1227">
        <f t="shared" si="61"/>
        <v>0</v>
      </c>
      <c r="U45" s="1227">
        <f t="shared" si="61"/>
        <v>0</v>
      </c>
      <c r="V45" s="1227">
        <f t="shared" si="61"/>
        <v>0</v>
      </c>
      <c r="W45" s="1227">
        <f>+K45</f>
        <v>0</v>
      </c>
      <c r="X45" s="1227"/>
      <c r="Y45" s="1227">
        <f t="shared" si="62"/>
        <v>0</v>
      </c>
      <c r="Z45" s="1227">
        <f t="shared" si="62"/>
        <v>0</v>
      </c>
      <c r="AA45" s="1227">
        <f t="shared" si="62"/>
        <v>0</v>
      </c>
      <c r="AB45" s="1227">
        <f t="shared" si="62"/>
        <v>0</v>
      </c>
      <c r="AC45" s="1227">
        <f t="shared" si="62"/>
        <v>0</v>
      </c>
      <c r="AD45" s="1284"/>
      <c r="AE45" s="1213">
        <f t="shared" si="1"/>
        <v>0</v>
      </c>
      <c r="AF45" s="1213">
        <f t="shared" si="2"/>
        <v>0</v>
      </c>
      <c r="AG45" s="1213">
        <f t="shared" si="3"/>
        <v>0</v>
      </c>
      <c r="AH45" s="2920">
        <f t="shared" si="4"/>
        <v>0</v>
      </c>
      <c r="AI45" s="1867"/>
      <c r="AJ45" s="417">
        <f t="shared" si="58"/>
        <v>0</v>
      </c>
      <c r="AK45" s="1227"/>
    </row>
    <row r="46" spans="1:38" ht="15">
      <c r="A46" s="2939"/>
      <c r="B46" s="1477" t="s">
        <v>181</v>
      </c>
      <c r="C46" s="1286" t="s">
        <v>3319</v>
      </c>
      <c r="D46" s="1227">
        <f>0</f>
        <v>0</v>
      </c>
      <c r="E46" s="2719">
        <v>5035684</v>
      </c>
      <c r="F46" s="1227">
        <v>0</v>
      </c>
      <c r="G46" s="1227">
        <f>F46+160629499</f>
        <v>160629499</v>
      </c>
      <c r="H46" s="1227">
        <f t="shared" si="59"/>
        <v>160629499</v>
      </c>
      <c r="I46" s="1227">
        <f t="shared" si="59"/>
        <v>160629499</v>
      </c>
      <c r="J46" s="1227">
        <f t="shared" si="59"/>
        <v>160629499</v>
      </c>
      <c r="K46" s="3209">
        <v>160629499</v>
      </c>
      <c r="L46" s="1227">
        <v>0</v>
      </c>
      <c r="M46" s="1227">
        <f t="shared" si="60"/>
        <v>0</v>
      </c>
      <c r="N46" s="1227">
        <f t="shared" si="60"/>
        <v>0</v>
      </c>
      <c r="O46" s="1227">
        <f t="shared" si="60"/>
        <v>0</v>
      </c>
      <c r="P46" s="1227">
        <f t="shared" si="60"/>
        <v>0</v>
      </c>
      <c r="Q46" s="1227">
        <v>0</v>
      </c>
      <c r="R46" s="1227">
        <v>0</v>
      </c>
      <c r="S46" s="1227">
        <f>+R46+160629499</f>
        <v>160629499</v>
      </c>
      <c r="T46" s="1227">
        <f t="shared" si="61"/>
        <v>160629499</v>
      </c>
      <c r="U46" s="1227">
        <f t="shared" si="61"/>
        <v>160629499</v>
      </c>
      <c r="V46" s="1227">
        <f t="shared" si="61"/>
        <v>160629499</v>
      </c>
      <c r="W46" s="1227">
        <f>+K46</f>
        <v>160629499</v>
      </c>
      <c r="X46" s="1227"/>
      <c r="Y46" s="1227">
        <f t="shared" si="62"/>
        <v>0</v>
      </c>
      <c r="Z46" s="1227">
        <f t="shared" si="62"/>
        <v>0</v>
      </c>
      <c r="AA46" s="1227">
        <f t="shared" si="62"/>
        <v>0</v>
      </c>
      <c r="AB46" s="1227">
        <f t="shared" si="62"/>
        <v>0</v>
      </c>
      <c r="AC46" s="1227">
        <f t="shared" si="62"/>
        <v>0</v>
      </c>
      <c r="AD46" s="2966"/>
      <c r="AE46" s="1213">
        <f t="shared" si="1"/>
        <v>160629499</v>
      </c>
      <c r="AF46" s="1213">
        <f t="shared" si="2"/>
        <v>0</v>
      </c>
      <c r="AG46" s="1213">
        <f t="shared" si="3"/>
        <v>0</v>
      </c>
      <c r="AH46" s="2920">
        <f t="shared" si="4"/>
        <v>0</v>
      </c>
      <c r="AI46" s="1867">
        <f t="shared" si="57"/>
        <v>1</v>
      </c>
      <c r="AJ46" s="417">
        <f t="shared" si="58"/>
        <v>0</v>
      </c>
      <c r="AK46" s="1227"/>
    </row>
    <row r="47" spans="1:38" ht="15">
      <c r="A47" s="2939" t="s">
        <v>12</v>
      </c>
      <c r="B47" s="2946" t="s">
        <v>12</v>
      </c>
      <c r="C47" s="1292" t="s">
        <v>1292</v>
      </c>
      <c r="D47" s="1213">
        <f t="shared" ref="D47:AC47" si="63">SUM(D48:D50)</f>
        <v>137982023</v>
      </c>
      <c r="E47" s="2715">
        <f t="shared" si="63"/>
        <v>145266275</v>
      </c>
      <c r="F47" s="1213">
        <f t="shared" si="63"/>
        <v>22536643</v>
      </c>
      <c r="G47" s="1213">
        <f t="shared" si="63"/>
        <v>24441643</v>
      </c>
      <c r="H47" s="1213">
        <f t="shared" si="63"/>
        <v>24941343</v>
      </c>
      <c r="I47" s="1213">
        <f t="shared" si="63"/>
        <v>26017263</v>
      </c>
      <c r="J47" s="1213">
        <f t="shared" si="63"/>
        <v>26017263</v>
      </c>
      <c r="K47" s="3208">
        <f>SUM(K48:K50)</f>
        <v>12031834</v>
      </c>
      <c r="L47" s="1213">
        <f t="shared" si="63"/>
        <v>0</v>
      </c>
      <c r="M47" s="1213">
        <f t="shared" si="63"/>
        <v>0</v>
      </c>
      <c r="N47" s="1213">
        <f t="shared" si="63"/>
        <v>0</v>
      </c>
      <c r="O47" s="1213">
        <f t="shared" si="63"/>
        <v>0</v>
      </c>
      <c r="P47" s="1213">
        <f t="shared" si="63"/>
        <v>0</v>
      </c>
      <c r="Q47" s="1213">
        <f t="shared" si="63"/>
        <v>0</v>
      </c>
      <c r="R47" s="1213">
        <f t="shared" si="63"/>
        <v>22536643</v>
      </c>
      <c r="S47" s="1213">
        <f t="shared" si="63"/>
        <v>24441643</v>
      </c>
      <c r="T47" s="1213">
        <f t="shared" si="63"/>
        <v>24941343</v>
      </c>
      <c r="U47" s="1213">
        <f t="shared" si="63"/>
        <v>26017263</v>
      </c>
      <c r="V47" s="1213">
        <f t="shared" si="63"/>
        <v>26017263</v>
      </c>
      <c r="W47" s="1213">
        <f t="shared" si="63"/>
        <v>12031834</v>
      </c>
      <c r="X47" s="1213">
        <f t="shared" si="63"/>
        <v>0</v>
      </c>
      <c r="Y47" s="1213">
        <f t="shared" si="63"/>
        <v>0</v>
      </c>
      <c r="Z47" s="1213">
        <f t="shared" si="63"/>
        <v>0</v>
      </c>
      <c r="AA47" s="1213">
        <f t="shared" si="63"/>
        <v>0</v>
      </c>
      <c r="AB47" s="1213">
        <f t="shared" si="63"/>
        <v>0</v>
      </c>
      <c r="AC47" s="1213">
        <f t="shared" si="63"/>
        <v>0</v>
      </c>
      <c r="AD47" s="1284"/>
      <c r="AE47" s="1213">
        <f t="shared" si="1"/>
        <v>1905000</v>
      </c>
      <c r="AF47" s="1213">
        <f t="shared" si="2"/>
        <v>499700</v>
      </c>
      <c r="AG47" s="1213">
        <f t="shared" si="3"/>
        <v>1075920</v>
      </c>
      <c r="AH47" s="2920">
        <f t="shared" si="4"/>
        <v>0</v>
      </c>
      <c r="AI47" s="1866">
        <f t="shared" si="57"/>
        <v>0.46245579329386033</v>
      </c>
      <c r="AJ47" s="417">
        <f t="shared" si="58"/>
        <v>-115445380</v>
      </c>
      <c r="AK47" s="1213"/>
    </row>
    <row r="48" spans="1:38" ht="15">
      <c r="A48" s="2939"/>
      <c r="B48" s="2948" t="s">
        <v>185</v>
      </c>
      <c r="C48" s="1290" t="s">
        <v>82</v>
      </c>
      <c r="D48" s="1227">
        <v>85475523</v>
      </c>
      <c r="E48" s="2719">
        <v>143923644</v>
      </c>
      <c r="F48" s="1227">
        <f>57770253-35233610</f>
        <v>22536643</v>
      </c>
      <c r="G48" s="1227">
        <f>+F48+1905000</f>
        <v>24441643</v>
      </c>
      <c r="H48" s="1227">
        <f>+G48+499700</f>
        <v>24941343</v>
      </c>
      <c r="I48" s="1227">
        <f>+H48+1075920</f>
        <v>26017263</v>
      </c>
      <c r="J48" s="1227">
        <f t="shared" ref="G48:J49" si="64">+I48</f>
        <v>26017263</v>
      </c>
      <c r="K48" s="3209">
        <v>12031834</v>
      </c>
      <c r="L48" s="1227">
        <v>0</v>
      </c>
      <c r="M48" s="1227">
        <f t="shared" ref="M48:P51" si="65">+L48</f>
        <v>0</v>
      </c>
      <c r="N48" s="1227">
        <f t="shared" si="65"/>
        <v>0</v>
      </c>
      <c r="O48" s="1227">
        <f t="shared" si="65"/>
        <v>0</v>
      </c>
      <c r="P48" s="1227">
        <f t="shared" si="65"/>
        <v>0</v>
      </c>
      <c r="Q48" s="1227">
        <v>0</v>
      </c>
      <c r="R48" s="1227">
        <f>+F48</f>
        <v>22536643</v>
      </c>
      <c r="S48" s="1227">
        <f>+R48+1905000</f>
        <v>24441643</v>
      </c>
      <c r="T48" s="1227">
        <f>+S48+499700</f>
        <v>24941343</v>
      </c>
      <c r="U48" s="1227">
        <f>+T48+1075920</f>
        <v>26017263</v>
      </c>
      <c r="V48" s="1227">
        <f t="shared" ref="S48:V49" si="66">+U48</f>
        <v>26017263</v>
      </c>
      <c r="W48" s="1227">
        <f>+K48</f>
        <v>12031834</v>
      </c>
      <c r="X48" s="1227"/>
      <c r="Y48" s="1227">
        <f t="shared" ref="Y48:AC51" si="67">+X48</f>
        <v>0</v>
      </c>
      <c r="Z48" s="1227">
        <f t="shared" si="67"/>
        <v>0</v>
      </c>
      <c r="AA48" s="1227">
        <f t="shared" si="67"/>
        <v>0</v>
      </c>
      <c r="AB48" s="1227">
        <f t="shared" si="67"/>
        <v>0</v>
      </c>
      <c r="AC48" s="1227">
        <f t="shared" si="67"/>
        <v>0</v>
      </c>
      <c r="AD48" s="1284"/>
      <c r="AE48" s="1213">
        <f t="shared" si="1"/>
        <v>1905000</v>
      </c>
      <c r="AF48" s="1213">
        <f t="shared" si="2"/>
        <v>499700</v>
      </c>
      <c r="AG48" s="1213">
        <f t="shared" si="3"/>
        <v>1075920</v>
      </c>
      <c r="AH48" s="2920">
        <f t="shared" si="4"/>
        <v>0</v>
      </c>
      <c r="AI48" s="1867">
        <f t="shared" si="57"/>
        <v>0.46245579329386033</v>
      </c>
      <c r="AJ48" s="417">
        <f t="shared" si="58"/>
        <v>-62938880</v>
      </c>
      <c r="AK48" s="1227"/>
    </row>
    <row r="49" spans="1:37" ht="15">
      <c r="A49" s="2939"/>
      <c r="B49" s="2948" t="s">
        <v>187</v>
      </c>
      <c r="C49" s="1290" t="s">
        <v>344</v>
      </c>
      <c r="D49" s="1227">
        <v>52506500</v>
      </c>
      <c r="E49" s="2719">
        <v>1342631</v>
      </c>
      <c r="F49" s="1227">
        <v>0</v>
      </c>
      <c r="G49" s="1227">
        <f t="shared" si="64"/>
        <v>0</v>
      </c>
      <c r="H49" s="1227">
        <f t="shared" si="64"/>
        <v>0</v>
      </c>
      <c r="I49" s="1227">
        <f t="shared" si="64"/>
        <v>0</v>
      </c>
      <c r="J49" s="1227">
        <f t="shared" si="64"/>
        <v>0</v>
      </c>
      <c r="K49" s="3209">
        <v>0</v>
      </c>
      <c r="L49" s="1227">
        <v>0</v>
      </c>
      <c r="M49" s="1227">
        <f t="shared" si="65"/>
        <v>0</v>
      </c>
      <c r="N49" s="1227">
        <f t="shared" si="65"/>
        <v>0</v>
      </c>
      <c r="O49" s="1227">
        <f t="shared" si="65"/>
        <v>0</v>
      </c>
      <c r="P49" s="1227">
        <f t="shared" si="65"/>
        <v>0</v>
      </c>
      <c r="Q49" s="1227">
        <v>0</v>
      </c>
      <c r="R49" s="1227">
        <f>+F49</f>
        <v>0</v>
      </c>
      <c r="S49" s="1227">
        <f t="shared" si="66"/>
        <v>0</v>
      </c>
      <c r="T49" s="1227">
        <f t="shared" si="66"/>
        <v>0</v>
      </c>
      <c r="U49" s="1227">
        <f t="shared" si="66"/>
        <v>0</v>
      </c>
      <c r="V49" s="1227">
        <f t="shared" si="66"/>
        <v>0</v>
      </c>
      <c r="W49" s="1227">
        <f>+K49</f>
        <v>0</v>
      </c>
      <c r="X49" s="1227"/>
      <c r="Y49" s="1227">
        <f t="shared" si="67"/>
        <v>0</v>
      </c>
      <c r="Z49" s="1227">
        <f t="shared" si="67"/>
        <v>0</v>
      </c>
      <c r="AA49" s="1227">
        <f t="shared" si="67"/>
        <v>0</v>
      </c>
      <c r="AB49" s="1227">
        <f t="shared" si="67"/>
        <v>0</v>
      </c>
      <c r="AC49" s="1227">
        <f t="shared" si="67"/>
        <v>0</v>
      </c>
      <c r="AD49" s="1284"/>
      <c r="AE49" s="1213">
        <f t="shared" si="1"/>
        <v>0</v>
      </c>
      <c r="AF49" s="1213">
        <f t="shared" si="2"/>
        <v>0</v>
      </c>
      <c r="AG49" s="1213">
        <f t="shared" si="3"/>
        <v>0</v>
      </c>
      <c r="AH49" s="2920">
        <f t="shared" si="4"/>
        <v>0</v>
      </c>
      <c r="AI49" s="1867"/>
      <c r="AJ49" s="417">
        <f t="shared" si="58"/>
        <v>-52506500</v>
      </c>
      <c r="AK49" s="1227"/>
    </row>
    <row r="50" spans="1:37" ht="15">
      <c r="A50" s="2939"/>
      <c r="B50" s="1477" t="s">
        <v>189</v>
      </c>
      <c r="C50" s="1286" t="s">
        <v>1293</v>
      </c>
      <c r="D50" s="1227">
        <v>0</v>
      </c>
      <c r="E50" s="2719">
        <v>0</v>
      </c>
      <c r="F50" s="1227">
        <v>0</v>
      </c>
      <c r="G50" s="1227">
        <f t="shared" ref="G50:J51" si="68">+F50</f>
        <v>0</v>
      </c>
      <c r="H50" s="1227">
        <f t="shared" si="68"/>
        <v>0</v>
      </c>
      <c r="I50" s="1227">
        <f t="shared" si="68"/>
        <v>0</v>
      </c>
      <c r="J50" s="1227">
        <f t="shared" si="68"/>
        <v>0</v>
      </c>
      <c r="K50" s="3209">
        <v>0</v>
      </c>
      <c r="L50" s="1227">
        <v>0</v>
      </c>
      <c r="M50" s="1227">
        <f t="shared" si="65"/>
        <v>0</v>
      </c>
      <c r="N50" s="1227">
        <f t="shared" si="65"/>
        <v>0</v>
      </c>
      <c r="O50" s="1227">
        <f t="shared" si="65"/>
        <v>0</v>
      </c>
      <c r="P50" s="1227">
        <f t="shared" si="65"/>
        <v>0</v>
      </c>
      <c r="Q50" s="1227">
        <v>0</v>
      </c>
      <c r="R50" s="1227">
        <v>0</v>
      </c>
      <c r="S50" s="1227">
        <f t="shared" ref="S50:V51" si="69">+R50</f>
        <v>0</v>
      </c>
      <c r="T50" s="1227">
        <f t="shared" si="69"/>
        <v>0</v>
      </c>
      <c r="U50" s="1227">
        <f t="shared" si="69"/>
        <v>0</v>
      </c>
      <c r="V50" s="1227">
        <f t="shared" si="69"/>
        <v>0</v>
      </c>
      <c r="W50" s="1227">
        <f>+K50</f>
        <v>0</v>
      </c>
      <c r="X50" s="1227"/>
      <c r="Y50" s="1227">
        <f t="shared" si="67"/>
        <v>0</v>
      </c>
      <c r="Z50" s="1227">
        <f t="shared" si="67"/>
        <v>0</v>
      </c>
      <c r="AA50" s="1227">
        <f t="shared" si="67"/>
        <v>0</v>
      </c>
      <c r="AB50" s="1227">
        <f t="shared" si="67"/>
        <v>0</v>
      </c>
      <c r="AC50" s="1227">
        <f t="shared" si="67"/>
        <v>0</v>
      </c>
      <c r="AD50" s="1284"/>
      <c r="AE50" s="1213">
        <f t="shared" si="1"/>
        <v>0</v>
      </c>
      <c r="AF50" s="1213">
        <f t="shared" si="2"/>
        <v>0</v>
      </c>
      <c r="AG50" s="1213">
        <f t="shared" si="3"/>
        <v>0</v>
      </c>
      <c r="AH50" s="2920">
        <f t="shared" si="4"/>
        <v>0</v>
      </c>
      <c r="AI50" s="1867"/>
      <c r="AJ50" s="417">
        <f t="shared" si="58"/>
        <v>0</v>
      </c>
      <c r="AK50" s="1227"/>
    </row>
    <row r="51" spans="1:37" ht="15">
      <c r="A51" s="2939"/>
      <c r="B51" s="1477" t="s">
        <v>191</v>
      </c>
      <c r="C51" s="1290" t="s">
        <v>1294</v>
      </c>
      <c r="D51" s="1227">
        <v>0</v>
      </c>
      <c r="E51" s="2719">
        <v>0</v>
      </c>
      <c r="F51" s="1227">
        <v>0</v>
      </c>
      <c r="G51" s="1227">
        <f t="shared" si="68"/>
        <v>0</v>
      </c>
      <c r="H51" s="1227">
        <f t="shared" si="68"/>
        <v>0</v>
      </c>
      <c r="I51" s="1227">
        <f t="shared" si="68"/>
        <v>0</v>
      </c>
      <c r="J51" s="1227">
        <f t="shared" si="68"/>
        <v>0</v>
      </c>
      <c r="K51" s="3209">
        <v>0</v>
      </c>
      <c r="L51" s="1227">
        <v>0</v>
      </c>
      <c r="M51" s="1227">
        <f t="shared" si="65"/>
        <v>0</v>
      </c>
      <c r="N51" s="1227">
        <f t="shared" si="65"/>
        <v>0</v>
      </c>
      <c r="O51" s="1227">
        <f t="shared" si="65"/>
        <v>0</v>
      </c>
      <c r="P51" s="1227">
        <f t="shared" si="65"/>
        <v>0</v>
      </c>
      <c r="Q51" s="1227">
        <v>0</v>
      </c>
      <c r="R51" s="1227">
        <v>0</v>
      </c>
      <c r="S51" s="1227">
        <f t="shared" si="69"/>
        <v>0</v>
      </c>
      <c r="T51" s="1227">
        <f t="shared" si="69"/>
        <v>0</v>
      </c>
      <c r="U51" s="1227">
        <f t="shared" si="69"/>
        <v>0</v>
      </c>
      <c r="V51" s="1227">
        <f t="shared" si="69"/>
        <v>0</v>
      </c>
      <c r="W51" s="1227">
        <f>+K51</f>
        <v>0</v>
      </c>
      <c r="X51" s="1227"/>
      <c r="Y51" s="1227">
        <f t="shared" si="67"/>
        <v>0</v>
      </c>
      <c r="Z51" s="1227">
        <f t="shared" si="67"/>
        <v>0</v>
      </c>
      <c r="AA51" s="1227">
        <f t="shared" si="67"/>
        <v>0</v>
      </c>
      <c r="AB51" s="1227">
        <f t="shared" si="67"/>
        <v>0</v>
      </c>
      <c r="AC51" s="1227">
        <f t="shared" si="67"/>
        <v>0</v>
      </c>
      <c r="AD51" s="1284"/>
      <c r="AE51" s="1213">
        <f t="shared" si="1"/>
        <v>0</v>
      </c>
      <c r="AF51" s="1213">
        <f t="shared" si="2"/>
        <v>0</v>
      </c>
      <c r="AG51" s="1213">
        <f t="shared" si="3"/>
        <v>0</v>
      </c>
      <c r="AH51" s="2920">
        <f t="shared" si="4"/>
        <v>0</v>
      </c>
      <c r="AI51" s="1867"/>
      <c r="AJ51" s="417">
        <f t="shared" si="58"/>
        <v>0</v>
      </c>
      <c r="AK51" s="1227"/>
    </row>
    <row r="52" spans="1:37" ht="15">
      <c r="A52" s="2939" t="s">
        <v>14</v>
      </c>
      <c r="B52" s="1282" t="s">
        <v>14</v>
      </c>
      <c r="C52" s="2950" t="s">
        <v>1295</v>
      </c>
      <c r="D52" s="1298">
        <f t="shared" ref="D52:AC52" si="70">+D41+D47</f>
        <v>2710331023</v>
      </c>
      <c r="E52" s="2720">
        <f t="shared" si="70"/>
        <v>2895669547</v>
      </c>
      <c r="F52" s="1298">
        <f t="shared" si="70"/>
        <v>2920653741</v>
      </c>
      <c r="G52" s="1298">
        <f t="shared" si="70"/>
        <v>3153845003</v>
      </c>
      <c r="H52" s="1298">
        <f t="shared" si="70"/>
        <v>3267284567</v>
      </c>
      <c r="I52" s="1298">
        <f t="shared" si="70"/>
        <v>3469735965</v>
      </c>
      <c r="J52" s="1298">
        <f t="shared" si="70"/>
        <v>3469735965</v>
      </c>
      <c r="K52" s="3210">
        <f t="shared" si="70"/>
        <v>3148862155</v>
      </c>
      <c r="L52" s="1298">
        <f t="shared" si="70"/>
        <v>0</v>
      </c>
      <c r="M52" s="1298">
        <f t="shared" si="70"/>
        <v>0</v>
      </c>
      <c r="N52" s="1298">
        <f t="shared" si="70"/>
        <v>0</v>
      </c>
      <c r="O52" s="1298">
        <f t="shared" si="70"/>
        <v>0</v>
      </c>
      <c r="P52" s="1298">
        <f t="shared" si="70"/>
        <v>0</v>
      </c>
      <c r="Q52" s="1298">
        <f t="shared" si="70"/>
        <v>0</v>
      </c>
      <c r="R52" s="1298">
        <f t="shared" si="70"/>
        <v>2920653741</v>
      </c>
      <c r="S52" s="1298">
        <f t="shared" si="70"/>
        <v>3153845003</v>
      </c>
      <c r="T52" s="1298">
        <f t="shared" si="70"/>
        <v>3267284567</v>
      </c>
      <c r="U52" s="1298">
        <f t="shared" si="70"/>
        <v>3469735965</v>
      </c>
      <c r="V52" s="1298">
        <f t="shared" si="70"/>
        <v>3469735965</v>
      </c>
      <c r="W52" s="1298">
        <f t="shared" si="70"/>
        <v>3148862155</v>
      </c>
      <c r="X52" s="1298">
        <f t="shared" si="70"/>
        <v>0</v>
      </c>
      <c r="Y52" s="1298">
        <f t="shared" si="70"/>
        <v>0</v>
      </c>
      <c r="Z52" s="1298">
        <f t="shared" si="70"/>
        <v>0</v>
      </c>
      <c r="AA52" s="1298">
        <f t="shared" si="70"/>
        <v>0</v>
      </c>
      <c r="AB52" s="1298">
        <f t="shared" si="70"/>
        <v>0</v>
      </c>
      <c r="AC52" s="1298">
        <f t="shared" si="70"/>
        <v>0</v>
      </c>
      <c r="AD52" s="1284"/>
      <c r="AE52" s="1213">
        <f t="shared" si="1"/>
        <v>233191262</v>
      </c>
      <c r="AF52" s="1213">
        <f t="shared" si="2"/>
        <v>113439564</v>
      </c>
      <c r="AG52" s="1213">
        <f t="shared" si="3"/>
        <v>202451398</v>
      </c>
      <c r="AH52" s="2920">
        <f t="shared" si="4"/>
        <v>0</v>
      </c>
      <c r="AI52" s="1866">
        <f t="shared" si="57"/>
        <v>0.90752212466979454</v>
      </c>
      <c r="AJ52" s="417">
        <f t="shared" si="58"/>
        <v>210322718</v>
      </c>
      <c r="AK52" s="1298"/>
    </row>
    <row r="53" spans="1:37" ht="15" hidden="1">
      <c r="A53" s="2940"/>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20">
        <f t="shared" si="4"/>
        <v>0</v>
      </c>
      <c r="AI53" s="1869" t="e">
        <f t="shared" si="57"/>
        <v>#DIV/0!</v>
      </c>
      <c r="AJ53" s="417">
        <f t="shared" si="58"/>
        <v>0</v>
      </c>
      <c r="AK53" s="1299"/>
    </row>
    <row r="54" spans="1:37" ht="32.25" thickBot="1">
      <c r="A54" s="2941"/>
      <c r="B54" s="2953" t="s">
        <v>15</v>
      </c>
      <c r="C54" s="2954" t="str">
        <f>+'8. mell. Intézmények összesen'!C54</f>
        <v>Létszám előirányzat (státusz) - Teljesítés: Munkajogi zárólétszám (az időszak végén munkaviszonyban állók létszáma)</v>
      </c>
      <c r="D54" s="2957">
        <v>121.5</v>
      </c>
      <c r="E54" s="2967">
        <v>119</v>
      </c>
      <c r="F54" s="2957">
        <v>121.5</v>
      </c>
      <c r="G54" s="2957">
        <f>+F54</f>
        <v>121.5</v>
      </c>
      <c r="H54" s="2957">
        <f>+G54</f>
        <v>121.5</v>
      </c>
      <c r="I54" s="2957">
        <f>+H54</f>
        <v>121.5</v>
      </c>
      <c r="J54" s="2957">
        <f>+I54</f>
        <v>121.5</v>
      </c>
      <c r="K54" s="3212">
        <v>118</v>
      </c>
      <c r="L54" s="2957">
        <v>0</v>
      </c>
      <c r="M54" s="2957">
        <f>+L54</f>
        <v>0</v>
      </c>
      <c r="N54" s="2957">
        <f>+M54</f>
        <v>0</v>
      </c>
      <c r="O54" s="2957">
        <f>+N54</f>
        <v>0</v>
      </c>
      <c r="P54" s="2957">
        <f>+O54</f>
        <v>0</v>
      </c>
      <c r="Q54" s="2957">
        <f>+P54</f>
        <v>0</v>
      </c>
      <c r="R54" s="2957">
        <f>+F54</f>
        <v>121.5</v>
      </c>
      <c r="S54" s="2957">
        <f>+R54</f>
        <v>121.5</v>
      </c>
      <c r="T54" s="2957">
        <f>+S54</f>
        <v>121.5</v>
      </c>
      <c r="U54" s="2957">
        <f>+T54</f>
        <v>121.5</v>
      </c>
      <c r="V54" s="2957">
        <f>+U54</f>
        <v>121.5</v>
      </c>
      <c r="W54" s="2957">
        <f>+V54</f>
        <v>121.5</v>
      </c>
      <c r="X54" s="2957"/>
      <c r="Y54" s="2957">
        <f>+X54</f>
        <v>0</v>
      </c>
      <c r="Z54" s="2957">
        <f>+Y54</f>
        <v>0</v>
      </c>
      <c r="AA54" s="2957">
        <f>+Z54</f>
        <v>0</v>
      </c>
      <c r="AB54" s="2957">
        <f>+AA54</f>
        <v>0</v>
      </c>
      <c r="AC54" s="2957">
        <f>+AB54</f>
        <v>0</v>
      </c>
      <c r="AD54" s="2965"/>
      <c r="AE54" s="2959">
        <f t="shared" si="1"/>
        <v>0</v>
      </c>
      <c r="AF54" s="1213">
        <f t="shared" si="2"/>
        <v>0</v>
      </c>
      <c r="AG54" s="1213">
        <f t="shared" si="3"/>
        <v>0</v>
      </c>
      <c r="AH54" s="2943">
        <f t="shared" si="4"/>
        <v>0</v>
      </c>
      <c r="AI54" s="1866">
        <f t="shared" si="57"/>
        <v>0.9711934156378601</v>
      </c>
      <c r="AJ54" s="550">
        <f t="shared" si="58"/>
        <v>0</v>
      </c>
      <c r="AK54" s="1853"/>
    </row>
    <row r="55" spans="1:37" ht="15" hidden="1">
      <c r="A55" s="551" t="s">
        <v>1296</v>
      </c>
      <c r="B55" s="1476"/>
      <c r="C55" s="552"/>
      <c r="D55" s="561"/>
      <c r="E55" s="561"/>
      <c r="F55" s="561"/>
      <c r="G55" s="561"/>
      <c r="H55" s="561"/>
      <c r="I55" s="561"/>
      <c r="J55" s="561"/>
      <c r="K55" s="3215"/>
      <c r="L55" s="561"/>
      <c r="M55" s="561"/>
      <c r="N55" s="561"/>
      <c r="O55" s="561"/>
      <c r="P55" s="561"/>
      <c r="Q55" s="561"/>
      <c r="R55" s="561"/>
      <c r="S55" s="561"/>
      <c r="T55" s="553"/>
      <c r="U55" s="553"/>
      <c r="V55" s="553">
        <f>+U55</f>
        <v>0</v>
      </c>
      <c r="W55" s="553"/>
      <c r="X55" s="553"/>
      <c r="Y55" s="459">
        <f t="shared" ref="Y55:AB56" si="71">+X55</f>
        <v>0</v>
      </c>
      <c r="Z55" s="459">
        <f t="shared" si="71"/>
        <v>0</v>
      </c>
      <c r="AA55" s="459">
        <f t="shared" si="71"/>
        <v>0</v>
      </c>
      <c r="AB55" s="459">
        <f t="shared" si="71"/>
        <v>0</v>
      </c>
      <c r="AC55" s="459"/>
      <c r="AD55" s="557"/>
      <c r="AE55" s="555">
        <f t="shared" si="1"/>
        <v>0</v>
      </c>
      <c r="AF55" s="555">
        <f t="shared" si="2"/>
        <v>0</v>
      </c>
      <c r="AG55" s="555">
        <f t="shared" si="3"/>
        <v>0</v>
      </c>
      <c r="AH55" s="555">
        <f t="shared" si="4"/>
        <v>0</v>
      </c>
      <c r="AI55" s="553"/>
      <c r="AJ55" s="417">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71"/>
        <v>0</v>
      </c>
      <c r="Z56" s="459">
        <f t="shared" si="71"/>
        <v>0</v>
      </c>
      <c r="AA56" s="459">
        <f t="shared" si="71"/>
        <v>0</v>
      </c>
      <c r="AB56" s="459">
        <f t="shared" si="71"/>
        <v>0</v>
      </c>
      <c r="AC56" s="459"/>
      <c r="AD56" s="557"/>
      <c r="AE56" s="555">
        <f t="shared" si="1"/>
        <v>0</v>
      </c>
      <c r="AF56" s="555"/>
      <c r="AG56" s="555"/>
      <c r="AH56" s="555"/>
      <c r="AJ56" s="417">
        <f>+F56-D56</f>
        <v>0</v>
      </c>
    </row>
    <row r="57" spans="1:37" ht="15.75">
      <c r="B57" s="3205" t="s">
        <v>17</v>
      </c>
      <c r="C57" s="3207" t="s">
        <v>4053</v>
      </c>
      <c r="D57" s="3206">
        <f t="shared" ref="D57:K57" si="72">+D37-D52</f>
        <v>0</v>
      </c>
      <c r="E57" s="3199">
        <f t="shared" si="72"/>
        <v>178250386</v>
      </c>
      <c r="F57" s="3200">
        <f t="shared" si="72"/>
        <v>0</v>
      </c>
      <c r="G57" s="3201">
        <f t="shared" si="72"/>
        <v>0</v>
      </c>
      <c r="H57" s="3201">
        <f t="shared" si="72"/>
        <v>0</v>
      </c>
      <c r="I57" s="3201"/>
      <c r="J57" s="3201">
        <f t="shared" si="72"/>
        <v>0</v>
      </c>
      <c r="K57" s="2198">
        <f t="shared" si="72"/>
        <v>114268976</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3">+D37-D52</f>
        <v>0</v>
      </c>
      <c r="E60" s="396">
        <f t="shared" si="73"/>
        <v>178250386</v>
      </c>
      <c r="F60" s="396">
        <f t="shared" si="73"/>
        <v>0</v>
      </c>
      <c r="G60" s="396">
        <f t="shared" si="73"/>
        <v>0</v>
      </c>
      <c r="H60" s="396">
        <f t="shared" si="73"/>
        <v>0</v>
      </c>
      <c r="I60" s="396">
        <f t="shared" si="73"/>
        <v>0</v>
      </c>
      <c r="J60" s="460">
        <f t="shared" si="73"/>
        <v>0</v>
      </c>
      <c r="K60" s="460">
        <f t="shared" si="73"/>
        <v>114268976</v>
      </c>
      <c r="L60" s="460">
        <f t="shared" si="73"/>
        <v>0</v>
      </c>
      <c r="M60" s="460">
        <f t="shared" si="73"/>
        <v>0</v>
      </c>
      <c r="N60" s="460">
        <f t="shared" si="73"/>
        <v>0</v>
      </c>
      <c r="O60" s="460">
        <f t="shared" si="73"/>
        <v>0</v>
      </c>
      <c r="P60" s="460">
        <f t="shared" si="73"/>
        <v>0</v>
      </c>
      <c r="Q60" s="460">
        <f t="shared" si="73"/>
        <v>0</v>
      </c>
      <c r="R60" s="460">
        <f t="shared" si="73"/>
        <v>0</v>
      </c>
      <c r="S60" s="460">
        <f t="shared" si="73"/>
        <v>0</v>
      </c>
      <c r="T60" s="460">
        <f t="shared" si="73"/>
        <v>0</v>
      </c>
      <c r="U60" s="460">
        <f t="shared" si="73"/>
        <v>0</v>
      </c>
      <c r="V60" s="460">
        <f t="shared" si="73"/>
        <v>0</v>
      </c>
      <c r="W60" s="460">
        <f t="shared" si="73"/>
        <v>114268976</v>
      </c>
      <c r="X60" s="396">
        <f t="shared" si="73"/>
        <v>0</v>
      </c>
      <c r="Y60" s="396">
        <f t="shared" si="73"/>
        <v>0</v>
      </c>
      <c r="Z60" s="396">
        <f t="shared" si="73"/>
        <v>0</v>
      </c>
      <c r="AA60" s="396">
        <f t="shared" si="73"/>
        <v>0</v>
      </c>
      <c r="AB60" s="396">
        <f t="shared" si="73"/>
        <v>0</v>
      </c>
    </row>
    <row r="61" spans="1:37" ht="25.5" hidden="1">
      <c r="C61" s="460" t="s">
        <v>1303</v>
      </c>
      <c r="F61" s="396">
        <f>+F37-L37-R37-X37</f>
        <v>0</v>
      </c>
      <c r="G61" s="396">
        <f>+G37-M37-S37-Y37</f>
        <v>0</v>
      </c>
      <c r="H61" s="396">
        <f>+H37-N37-T37-Z37</f>
        <v>0</v>
      </c>
      <c r="I61" s="396">
        <f>+I37-O37-U37-AA37</f>
        <v>0</v>
      </c>
      <c r="J61" s="460">
        <f>+J37-P37-V37-AB37</f>
        <v>0</v>
      </c>
    </row>
    <row r="62" spans="1:37" ht="26.25" hidden="1" thickBot="1">
      <c r="C62" s="460" t="s">
        <v>1304</v>
      </c>
      <c r="F62" s="396">
        <f>+F52-L52-R52-X52</f>
        <v>0</v>
      </c>
      <c r="G62" s="396">
        <f>+G52-M52-S52-Y52</f>
        <v>0</v>
      </c>
      <c r="H62" s="396">
        <f>+H52-N52-T52-Z52</f>
        <v>0</v>
      </c>
      <c r="I62" s="396">
        <f>+I52-O52-U52-AA52</f>
        <v>0</v>
      </c>
      <c r="J62" s="460">
        <f>+J52-P52-V52-AB52</f>
        <v>0</v>
      </c>
    </row>
    <row r="63" spans="1:37" ht="39" hidden="1" thickBot="1">
      <c r="F63" s="1192" t="s">
        <v>3874</v>
      </c>
      <c r="G63" s="1586"/>
      <c r="H63" s="460"/>
      <c r="I63" s="460"/>
      <c r="L63" s="460"/>
      <c r="M63" s="460"/>
      <c r="T63" s="1193"/>
    </row>
    <row r="64" spans="1:37" hidden="1">
      <c r="C64" s="460" t="s">
        <v>3660</v>
      </c>
      <c r="F64" s="460">
        <f>4210584</f>
        <v>4210584</v>
      </c>
      <c r="G64" s="460"/>
      <c r="H64" s="460"/>
      <c r="I64" s="460"/>
      <c r="L64" s="460"/>
      <c r="M64" s="460"/>
      <c r="T64" s="1193"/>
    </row>
    <row r="65" spans="3:30" ht="17.25" hidden="1" customHeight="1">
      <c r="C65" s="460" t="s">
        <v>3661</v>
      </c>
      <c r="F65" s="460">
        <f>+F64/1.065</f>
        <v>3953600</v>
      </c>
      <c r="G65" s="1586">
        <v>6.5</v>
      </c>
      <c r="H65" s="460"/>
      <c r="I65" s="460"/>
      <c r="L65" s="460"/>
      <c r="M65" s="460">
        <f>+F65*0.13/2</f>
        <v>256984</v>
      </c>
      <c r="T65" s="1193"/>
    </row>
    <row r="66" spans="3:30" hidden="1">
      <c r="C66" s="461" t="s">
        <v>3662</v>
      </c>
      <c r="D66" s="562"/>
      <c r="E66" s="562"/>
      <c r="F66" s="461">
        <f>+F64-F65</f>
        <v>256984</v>
      </c>
      <c r="G66" s="461"/>
      <c r="H66" s="461"/>
      <c r="I66" s="461"/>
      <c r="J66" s="461"/>
      <c r="K66" s="461"/>
      <c r="L66" s="461"/>
      <c r="M66" s="461"/>
      <c r="N66" s="562">
        <f>+N65/9</f>
        <v>0</v>
      </c>
      <c r="O66" s="562">
        <f>+O65/9</f>
        <v>0</v>
      </c>
      <c r="P66" s="562">
        <f>+P65/9</f>
        <v>0</v>
      </c>
      <c r="Q66" s="562">
        <f>+Q65/9</f>
        <v>0</v>
      </c>
      <c r="R66" s="562">
        <f>+R65/9</f>
        <v>0</v>
      </c>
      <c r="T66" s="1193"/>
    </row>
    <row r="67" spans="3:30" hidden="1">
      <c r="F67" s="460"/>
      <c r="G67" s="460"/>
      <c r="H67" s="460"/>
      <c r="I67" s="460"/>
      <c r="L67" s="460"/>
      <c r="M67" s="460"/>
    </row>
    <row r="68" spans="3:30">
      <c r="C68" s="3668"/>
      <c r="D68" s="3668"/>
      <c r="E68" s="3668"/>
      <c r="F68" s="3668"/>
      <c r="G68" s="3668"/>
      <c r="H68" s="3668"/>
    </row>
    <row r="69" spans="3:30">
      <c r="C69" s="296"/>
      <c r="D69" s="563"/>
      <c r="E69" s="563"/>
      <c r="F69" s="296"/>
      <c r="G69" s="564"/>
      <c r="H69" s="563"/>
    </row>
    <row r="70" spans="3:30">
      <c r="C70" s="296"/>
      <c r="D70" s="563"/>
      <c r="E70" s="563"/>
      <c r="F70" s="296"/>
      <c r="G70" s="296"/>
      <c r="H70" s="563"/>
    </row>
    <row r="71" spans="3:30">
      <c r="C71" s="296"/>
      <c r="D71" s="563"/>
      <c r="E71" s="563"/>
      <c r="F71" s="563"/>
      <c r="G71" s="565"/>
      <c r="H71" s="563"/>
      <c r="L71" s="563"/>
      <c r="AD71" s="566"/>
    </row>
    <row r="72" spans="3:30">
      <c r="C72" s="296"/>
      <c r="D72" s="563"/>
      <c r="E72" s="563"/>
      <c r="F72" s="563"/>
      <c r="G72" s="565"/>
      <c r="H72" s="563"/>
      <c r="L72" s="563"/>
      <c r="AD72" s="566"/>
    </row>
    <row r="73" spans="3:30">
      <c r="C73" s="567"/>
      <c r="D73" s="568"/>
      <c r="E73" s="568"/>
      <c r="F73" s="568"/>
      <c r="G73" s="569"/>
      <c r="H73" s="570"/>
      <c r="L73" s="571"/>
      <c r="AD73" s="572"/>
    </row>
    <row r="74" spans="3:30">
      <c r="C74" s="296"/>
      <c r="D74" s="563"/>
      <c r="E74" s="563"/>
      <c r="F74" s="563"/>
      <c r="G74" s="296"/>
      <c r="H74" s="570"/>
    </row>
    <row r="75" spans="3:30">
      <c r="C75" s="296"/>
      <c r="D75" s="563"/>
      <c r="E75" s="563"/>
      <c r="F75" s="563"/>
      <c r="G75" s="296"/>
      <c r="H75" s="563"/>
      <c r="AD75" s="566"/>
    </row>
    <row r="76" spans="3:30">
      <c r="C76" s="564"/>
      <c r="D76" s="563"/>
      <c r="E76" s="563"/>
      <c r="F76" s="563"/>
      <c r="G76" s="296"/>
      <c r="H76" s="563"/>
    </row>
    <row r="77" spans="3:30">
      <c r="C77" s="296"/>
      <c r="D77" s="573"/>
      <c r="E77" s="573"/>
      <c r="F77" s="573"/>
      <c r="G77" s="296"/>
      <c r="H77" s="563"/>
      <c r="AD77" s="574"/>
    </row>
    <row r="78" spans="3:30">
      <c r="G78" s="556"/>
      <c r="H78" s="556"/>
      <c r="I78" s="556"/>
      <c r="J78" s="461"/>
      <c r="K78" s="461"/>
      <c r="L78" s="556"/>
      <c r="M78" s="556"/>
      <c r="N78" s="556"/>
      <c r="O78" s="556"/>
      <c r="P78" s="556"/>
      <c r="Q78" s="556"/>
      <c r="R78" s="556"/>
      <c r="S78" s="556"/>
    </row>
    <row r="79" spans="3:30">
      <c r="C79" s="562"/>
      <c r="D79" s="562"/>
      <c r="E79" s="562"/>
      <c r="F79" s="562"/>
      <c r="G79" s="562"/>
      <c r="O79" s="556"/>
      <c r="P79" s="556"/>
      <c r="Q79" s="556"/>
      <c r="R79" s="556"/>
      <c r="S79" s="556"/>
    </row>
    <row r="80" spans="3:30">
      <c r="O80" s="556"/>
      <c r="P80" s="556"/>
      <c r="Q80" s="556"/>
      <c r="R80" s="556"/>
      <c r="S80" s="556"/>
    </row>
    <row r="81" spans="3:19">
      <c r="C81" s="3668"/>
      <c r="D81" s="3668"/>
      <c r="E81" s="3668"/>
      <c r="F81" s="3668"/>
      <c r="G81" s="3668"/>
      <c r="H81" s="3668"/>
      <c r="O81" s="556"/>
      <c r="P81" s="556"/>
      <c r="Q81" s="556"/>
      <c r="R81" s="556"/>
      <c r="S81" s="556"/>
    </row>
    <row r="82" spans="3:19">
      <c r="C82" s="296"/>
      <c r="D82" s="563"/>
      <c r="E82" s="563"/>
      <c r="F82" s="296"/>
      <c r="G82" s="564"/>
      <c r="H82" s="563"/>
    </row>
    <row r="83" spans="3:19">
      <c r="C83" s="296"/>
      <c r="D83" s="563"/>
      <c r="E83" s="563"/>
      <c r="F83" s="296"/>
      <c r="G83" s="296"/>
      <c r="H83" s="563"/>
    </row>
    <row r="84" spans="3:19">
      <c r="C84" s="296"/>
      <c r="D84" s="563"/>
      <c r="E84" s="563"/>
      <c r="F84" s="563"/>
      <c r="G84" s="565"/>
      <c r="H84" s="563"/>
      <c r="L84" s="563"/>
    </row>
    <row r="85" spans="3:19">
      <c r="C85" s="296"/>
      <c r="D85" s="563"/>
      <c r="E85" s="563"/>
      <c r="F85" s="563"/>
      <c r="G85" s="565"/>
      <c r="H85" s="563"/>
      <c r="L85" s="563"/>
    </row>
    <row r="86" spans="3:19">
      <c r="C86" s="567"/>
      <c r="D86" s="568"/>
      <c r="E86" s="568"/>
      <c r="F86" s="568"/>
      <c r="G86" s="569"/>
      <c r="H86" s="570"/>
      <c r="L86" s="571"/>
    </row>
    <row r="87" spans="3:19">
      <c r="C87" s="296"/>
      <c r="D87" s="563"/>
      <c r="E87" s="563"/>
      <c r="F87" s="563"/>
      <c r="G87" s="296"/>
      <c r="H87" s="570"/>
    </row>
    <row r="88" spans="3:19">
      <c r="C88" s="296"/>
      <c r="D88" s="563"/>
      <c r="E88" s="563"/>
      <c r="F88" s="563"/>
      <c r="G88" s="296"/>
      <c r="H88" s="563"/>
    </row>
    <row r="89" spans="3:19">
      <c r="C89" s="564"/>
      <c r="D89" s="563"/>
      <c r="E89" s="563"/>
      <c r="F89" s="563"/>
      <c r="G89" s="296"/>
      <c r="H89" s="563"/>
    </row>
    <row r="90" spans="3:19">
      <c r="C90" s="296"/>
      <c r="D90" s="573"/>
      <c r="E90" s="573"/>
      <c r="F90" s="573"/>
      <c r="G90" s="296"/>
      <c r="H90" s="563"/>
    </row>
  </sheetData>
  <sheetProtection algorithmName="SHA-512" hashValue="bg7hRCTpUTYaTe6H8JSVEjogUjEPM5j0k3i6UWLUluJmUy5ACdx/8nTcrW3N0oe9sSeK1gc1RWwXas66Jh3FpA==" saltValue="wGEpMah01RAAXMvA4dhV1Q==" spinCount="100000" sheet="1" selectLockedCells="1" selectUnlockedCells="1"/>
  <mergeCells count="7">
    <mergeCell ref="F59:G59"/>
    <mergeCell ref="C68:H68"/>
    <mergeCell ref="C81:H81"/>
    <mergeCell ref="A1:AI1"/>
    <mergeCell ref="A2:AI2"/>
    <mergeCell ref="A3:B3"/>
    <mergeCell ref="A56:B56"/>
  </mergeCells>
  <phoneticPr fontId="143" type="noConversion"/>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colBreaks count="1" manualBreakCount="1">
    <brk id="1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3B003-3495-499C-B524-651675E04792}">
  <sheetPr>
    <tabColor indexed="14"/>
    <pageSetUpPr fitToPage="1"/>
  </sheetPr>
  <dimension ref="A1:AL62"/>
  <sheetViews>
    <sheetView view="pageBreakPreview" zoomScaleSheetLayoutView="100" workbookViewId="0">
      <pane xSplit="3" ySplit="6" topLeftCell="F7" activePane="bottomRight" state="frozen"/>
      <selection sqref="A1:AC1"/>
      <selection pane="topRight" sqref="A1:AC1"/>
      <selection pane="bottomLeft" sqref="A1:AC1"/>
      <selection pane="bottomRight" activeCell="AI4" sqref="AI4"/>
    </sheetView>
  </sheetViews>
  <sheetFormatPr defaultColWidth="8" defaultRowHeight="12.75"/>
  <cols>
    <col min="1" max="1" width="7.42578125" style="59" hidden="1" customWidth="1"/>
    <col min="2" max="2" width="7" style="547" customWidth="1"/>
    <col min="3" max="3" width="50.140625" style="396" customWidth="1"/>
    <col min="4" max="4" width="11.28515625" style="396" hidden="1" customWidth="1"/>
    <col min="5" max="5" width="11.7109375" style="396" hidden="1" customWidth="1"/>
    <col min="6" max="6" width="10.85546875" style="396" customWidth="1"/>
    <col min="7" max="8" width="10.85546875" style="396" hidden="1" customWidth="1"/>
    <col min="9" max="9" width="10.85546875" style="396" customWidth="1"/>
    <col min="10" max="10" width="10.85546875" style="460" hidden="1" customWidth="1"/>
    <col min="11" max="11" width="10.85546875" style="460"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547" hidden="1" customWidth="1"/>
    <col min="37" max="37" width="10.85546875" style="396" hidden="1" customWidth="1"/>
    <col min="38" max="38" width="8.7109375" style="396" customWidth="1"/>
    <col min="39" max="16384" width="8" style="396"/>
  </cols>
  <sheetData>
    <row r="1" spans="1:37" s="397" customFormat="1" ht="21" customHeight="1">
      <c r="A1" s="3663" t="s">
        <v>4280</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c r="AJ1" s="575"/>
    </row>
    <row r="2" spans="1:37" s="398" customFormat="1" ht="17.25" customHeight="1">
      <c r="A2" s="3661" t="s">
        <v>3428</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c r="AJ2" s="576"/>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1"/>
      <c r="AI3" s="2182"/>
      <c r="AJ3" s="576"/>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
        <v>2731</v>
      </c>
      <c r="L4" s="1548" t="str">
        <f>+'12. mell. Szakrendelő'!L4</f>
        <v>E</v>
      </c>
      <c r="M4" s="1548" t="str">
        <f>+'12. mell. Szakrendelő'!M4</f>
        <v>F</v>
      </c>
      <c r="N4" s="1548" t="s">
        <v>2733</v>
      </c>
      <c r="O4" s="1548" t="s">
        <v>2732</v>
      </c>
      <c r="P4" s="1548">
        <f>+'12. mell. Szakrendelő'!P4</f>
        <v>0</v>
      </c>
      <c r="Q4" s="1548" t="s">
        <v>2733</v>
      </c>
      <c r="R4" s="1548" t="str">
        <f>+'12. mell. Szakrendelő'!R4</f>
        <v>E</v>
      </c>
      <c r="S4" s="1548" t="str">
        <f>+'12. mell. Szakrendelő'!S4</f>
        <v>E</v>
      </c>
      <c r="T4" s="1548" t="s">
        <v>3463</v>
      </c>
      <c r="U4" s="1548" t="s">
        <v>3463</v>
      </c>
      <c r="V4" s="1548">
        <f>+'12. mell. Szakrendelő'!V4</f>
        <v>0</v>
      </c>
      <c r="W4" s="1548" t="s">
        <v>3464</v>
      </c>
      <c r="X4" s="1343"/>
      <c r="Y4" s="1343"/>
      <c r="Z4" s="1343"/>
      <c r="AA4" s="1343"/>
      <c r="AB4" s="1343"/>
      <c r="AC4" s="1343"/>
      <c r="AD4" s="1343"/>
      <c r="AE4" s="1343"/>
      <c r="AF4" s="1301" t="s">
        <v>3464</v>
      </c>
      <c r="AG4" s="1301" t="s">
        <v>3913</v>
      </c>
      <c r="AH4" s="1551"/>
      <c r="AI4" s="1845" t="s">
        <v>3913</v>
      </c>
      <c r="AJ4" s="577"/>
    </row>
    <row r="5" spans="1:37" ht="72.7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84"/>
      <c r="AE6" s="1278"/>
      <c r="AF6" s="1278"/>
      <c r="AG6" s="1278"/>
      <c r="AH6" s="1854"/>
      <c r="AI6" s="1825">
        <v>8</v>
      </c>
      <c r="AJ6" s="578" t="s">
        <v>1271</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W8" si="0">SUM(D9:D19)</f>
        <v>5000000</v>
      </c>
      <c r="E8" s="2715">
        <f t="shared" si="0"/>
        <v>8471283</v>
      </c>
      <c r="F8" s="1213">
        <f t="shared" si="0"/>
        <v>3500000</v>
      </c>
      <c r="G8" s="1213">
        <f t="shared" si="0"/>
        <v>3500000</v>
      </c>
      <c r="H8" s="1213">
        <f t="shared" si="0"/>
        <v>4249700</v>
      </c>
      <c r="I8" s="1213">
        <f t="shared" si="0"/>
        <v>4562410</v>
      </c>
      <c r="J8" s="1213">
        <f t="shared" si="0"/>
        <v>4562410</v>
      </c>
      <c r="K8" s="3208">
        <f t="shared" si="0"/>
        <v>4562410</v>
      </c>
      <c r="L8" s="1213">
        <f t="shared" si="0"/>
        <v>3500000</v>
      </c>
      <c r="M8" s="1213">
        <f t="shared" si="0"/>
        <v>3500000</v>
      </c>
      <c r="N8" s="1213">
        <f t="shared" si="0"/>
        <v>4249700</v>
      </c>
      <c r="O8" s="1213">
        <f t="shared" si="0"/>
        <v>4562410</v>
      </c>
      <c r="P8" s="1213">
        <f t="shared" si="0"/>
        <v>4562410</v>
      </c>
      <c r="Q8" s="1213">
        <f t="shared" si="0"/>
        <v>4562410</v>
      </c>
      <c r="R8" s="1213">
        <f t="shared" si="0"/>
        <v>0</v>
      </c>
      <c r="S8" s="1213">
        <f t="shared" si="0"/>
        <v>0</v>
      </c>
      <c r="T8" s="1213">
        <f t="shared" si="0"/>
        <v>0</v>
      </c>
      <c r="U8" s="1213">
        <f t="shared" si="0"/>
        <v>0</v>
      </c>
      <c r="V8" s="1213">
        <f t="shared" si="0"/>
        <v>0</v>
      </c>
      <c r="W8" s="1213">
        <f t="shared" si="0"/>
        <v>0</v>
      </c>
      <c r="X8" s="1213"/>
      <c r="Y8" s="1213"/>
      <c r="Z8" s="1213"/>
      <c r="AA8" s="1213"/>
      <c r="AB8" s="1213"/>
      <c r="AC8" s="1213"/>
      <c r="AD8" s="1284"/>
      <c r="AE8" s="1213">
        <f t="shared" ref="AE8:AE56" si="1">+G8-F8</f>
        <v>0</v>
      </c>
      <c r="AF8" s="1213">
        <f t="shared" ref="AF8:AF55" si="2">+H8-G8</f>
        <v>749700</v>
      </c>
      <c r="AG8" s="1213">
        <f t="shared" ref="AG8:AG55" si="3">+I8-H8</f>
        <v>312710</v>
      </c>
      <c r="AH8" s="2919">
        <f t="shared" ref="AH8:AH55" si="4">+J8-I8</f>
        <v>0</v>
      </c>
      <c r="AI8" s="1829">
        <f>+K8/I8</f>
        <v>1</v>
      </c>
      <c r="AJ8" s="579">
        <f>+F8-D8</f>
        <v>-1500000</v>
      </c>
      <c r="AK8" s="412"/>
    </row>
    <row r="9" spans="1:37" s="416" customFormat="1" ht="15">
      <c r="A9" s="2933"/>
      <c r="B9" s="1285" t="s">
        <v>176</v>
      </c>
      <c r="C9" s="1286" t="s">
        <v>226</v>
      </c>
      <c r="D9" s="1287">
        <v>0</v>
      </c>
      <c r="E9" s="2716">
        <v>0</v>
      </c>
      <c r="F9" s="1287">
        <v>0</v>
      </c>
      <c r="G9" s="1287">
        <f t="shared" ref="G9:G19" si="5">+F9</f>
        <v>0</v>
      </c>
      <c r="H9" s="1287">
        <f>+G9+749700</f>
        <v>749700</v>
      </c>
      <c r="I9" s="1287">
        <f>+H9+25000</f>
        <v>774700</v>
      </c>
      <c r="J9" s="1287">
        <f t="shared" ref="J9:J19" si="6">+I9</f>
        <v>774700</v>
      </c>
      <c r="K9" s="3219">
        <v>774700</v>
      </c>
      <c r="L9" s="1287">
        <v>0</v>
      </c>
      <c r="M9" s="1287">
        <f t="shared" ref="M9:M19" si="7">+L9</f>
        <v>0</v>
      </c>
      <c r="N9" s="1287">
        <f>+M9+749700</f>
        <v>749700</v>
      </c>
      <c r="O9" s="1287">
        <f>+N9+25000</f>
        <v>774700</v>
      </c>
      <c r="P9" s="1287">
        <f t="shared" ref="P9:P19" si="8">+O9</f>
        <v>774700</v>
      </c>
      <c r="Q9" s="1287">
        <f t="shared" ref="Q9:Q19" si="9">+K9</f>
        <v>774700</v>
      </c>
      <c r="R9" s="1287">
        <v>0</v>
      </c>
      <c r="S9" s="1287">
        <f t="shared" ref="S9:S19" si="10">+R9</f>
        <v>0</v>
      </c>
      <c r="T9" s="1287">
        <f>+S9</f>
        <v>0</v>
      </c>
      <c r="U9" s="1287">
        <f t="shared" ref="U9:U17" si="11">+T9</f>
        <v>0</v>
      </c>
      <c r="V9" s="1287">
        <f t="shared" ref="V9:V17" si="12">+U9</f>
        <v>0</v>
      </c>
      <c r="W9" s="1287">
        <v>0</v>
      </c>
      <c r="X9" s="1287"/>
      <c r="Y9" s="1287">
        <f t="shared" ref="Y9:Y17" si="13">+X9</f>
        <v>0</v>
      </c>
      <c r="Z9" s="1287">
        <f t="shared" ref="Z9:Z17" si="14">+Y9</f>
        <v>0</v>
      </c>
      <c r="AA9" s="1287">
        <f t="shared" ref="AA9:AA17" si="15">+Z9</f>
        <v>0</v>
      </c>
      <c r="AB9" s="1287">
        <f t="shared" ref="AB9:AB17" si="16">+AA9</f>
        <v>0</v>
      </c>
      <c r="AC9" s="1287">
        <f t="shared" ref="AC9:AC17" si="17">+AB9</f>
        <v>0</v>
      </c>
      <c r="AD9" s="1284"/>
      <c r="AE9" s="1213">
        <f t="shared" si="1"/>
        <v>0</v>
      </c>
      <c r="AF9" s="1213">
        <f t="shared" si="2"/>
        <v>749700</v>
      </c>
      <c r="AG9" s="1213">
        <f t="shared" si="3"/>
        <v>25000</v>
      </c>
      <c r="AH9" s="2919">
        <f t="shared" si="4"/>
        <v>0</v>
      </c>
      <c r="AI9" s="1834">
        <f>+K9/I9</f>
        <v>1</v>
      </c>
      <c r="AJ9" s="579">
        <f t="shared" ref="AJ9:AJ37" si="18">+F9-D9</f>
        <v>0</v>
      </c>
      <c r="AK9" s="420"/>
    </row>
    <row r="10" spans="1:37" s="416" customFormat="1" ht="15">
      <c r="A10" s="2933"/>
      <c r="B10" s="1285" t="s">
        <v>178</v>
      </c>
      <c r="C10" s="1286" t="s">
        <v>228</v>
      </c>
      <c r="D10" s="1287">
        <v>5000000</v>
      </c>
      <c r="E10" s="2716">
        <v>4234500</v>
      </c>
      <c r="F10" s="1287">
        <v>3500000</v>
      </c>
      <c r="G10" s="1287">
        <f t="shared" si="5"/>
        <v>3500000</v>
      </c>
      <c r="H10" s="1287">
        <f t="shared" ref="H10:H19" si="19">+G10</f>
        <v>3500000</v>
      </c>
      <c r="I10" s="1287">
        <f>+H10-1155200</f>
        <v>2344800</v>
      </c>
      <c r="J10" s="1287">
        <f t="shared" si="6"/>
        <v>2344800</v>
      </c>
      <c r="K10" s="3219">
        <v>2344800</v>
      </c>
      <c r="L10" s="1287">
        <f>+F10</f>
        <v>3500000</v>
      </c>
      <c r="M10" s="1287">
        <f t="shared" si="7"/>
        <v>3500000</v>
      </c>
      <c r="N10" s="1287">
        <f t="shared" ref="N10:N19" si="20">+M10</f>
        <v>3500000</v>
      </c>
      <c r="O10" s="1287">
        <f>+N10-1155200</f>
        <v>2344800</v>
      </c>
      <c r="P10" s="1287">
        <f t="shared" si="8"/>
        <v>2344800</v>
      </c>
      <c r="Q10" s="1287">
        <f t="shared" si="9"/>
        <v>2344800</v>
      </c>
      <c r="R10" s="1287">
        <v>0</v>
      </c>
      <c r="S10" s="1287">
        <f t="shared" si="10"/>
        <v>0</v>
      </c>
      <c r="T10" s="1287">
        <f t="shared" ref="T10:T19" si="21">+S10</f>
        <v>0</v>
      </c>
      <c r="U10" s="1287">
        <f t="shared" si="11"/>
        <v>0</v>
      </c>
      <c r="V10" s="1287">
        <f t="shared" si="12"/>
        <v>0</v>
      </c>
      <c r="W10" s="1287">
        <v>0</v>
      </c>
      <c r="X10" s="1287"/>
      <c r="Y10" s="1287">
        <f t="shared" si="13"/>
        <v>0</v>
      </c>
      <c r="Z10" s="1287">
        <f t="shared" si="14"/>
        <v>0</v>
      </c>
      <c r="AA10" s="1287">
        <f t="shared" si="15"/>
        <v>0</v>
      </c>
      <c r="AB10" s="1287">
        <f t="shared" si="16"/>
        <v>0</v>
      </c>
      <c r="AC10" s="1287">
        <f t="shared" si="17"/>
        <v>0</v>
      </c>
      <c r="AD10" s="1284"/>
      <c r="AE10" s="1213">
        <f t="shared" si="1"/>
        <v>0</v>
      </c>
      <c r="AF10" s="1213">
        <f t="shared" si="2"/>
        <v>0</v>
      </c>
      <c r="AG10" s="1213">
        <f t="shared" si="3"/>
        <v>-1155200</v>
      </c>
      <c r="AH10" s="2919">
        <f t="shared" si="4"/>
        <v>0</v>
      </c>
      <c r="AI10" s="1834">
        <f>+K10/I10</f>
        <v>1</v>
      </c>
      <c r="AJ10" s="579">
        <f t="shared" si="18"/>
        <v>-1500000</v>
      </c>
      <c r="AK10" s="420"/>
    </row>
    <row r="11" spans="1:37" s="416" customFormat="1" ht="15">
      <c r="A11" s="2933"/>
      <c r="B11" s="1289" t="s">
        <v>179</v>
      </c>
      <c r="C11" s="1286" t="s">
        <v>460</v>
      </c>
      <c r="D11" s="1287">
        <v>0</v>
      </c>
      <c r="E11" s="2716">
        <v>78000</v>
      </c>
      <c r="F11" s="1287">
        <v>0</v>
      </c>
      <c r="G11" s="1287">
        <f t="shared" si="5"/>
        <v>0</v>
      </c>
      <c r="H11" s="1287">
        <f t="shared" si="19"/>
        <v>0</v>
      </c>
      <c r="I11" s="1287">
        <f t="shared" ref="I11:I17" si="22">+H11</f>
        <v>0</v>
      </c>
      <c r="J11" s="1287">
        <f t="shared" si="6"/>
        <v>0</v>
      </c>
      <c r="K11" s="3219">
        <v>0</v>
      </c>
      <c r="L11" s="1287">
        <v>0</v>
      </c>
      <c r="M11" s="1287">
        <f t="shared" si="7"/>
        <v>0</v>
      </c>
      <c r="N11" s="1287">
        <f t="shared" si="20"/>
        <v>0</v>
      </c>
      <c r="O11" s="1287">
        <f t="shared" ref="O11:O18" si="23">+N11</f>
        <v>0</v>
      </c>
      <c r="P11" s="1287">
        <f t="shared" si="8"/>
        <v>0</v>
      </c>
      <c r="Q11" s="1287">
        <f t="shared" si="9"/>
        <v>0</v>
      </c>
      <c r="R11" s="1287">
        <v>0</v>
      </c>
      <c r="S11" s="1287">
        <f t="shared" si="10"/>
        <v>0</v>
      </c>
      <c r="T11" s="1287">
        <f t="shared" si="21"/>
        <v>0</v>
      </c>
      <c r="U11" s="1287">
        <f t="shared" si="11"/>
        <v>0</v>
      </c>
      <c r="V11" s="1287">
        <f t="shared" si="12"/>
        <v>0</v>
      </c>
      <c r="W11" s="1287">
        <v>0</v>
      </c>
      <c r="X11" s="1287"/>
      <c r="Y11" s="1287">
        <f t="shared" si="13"/>
        <v>0</v>
      </c>
      <c r="Z11" s="1287">
        <f t="shared" si="14"/>
        <v>0</v>
      </c>
      <c r="AA11" s="1287">
        <f t="shared" si="15"/>
        <v>0</v>
      </c>
      <c r="AB11" s="1287">
        <f t="shared" si="16"/>
        <v>0</v>
      </c>
      <c r="AC11" s="1287">
        <f t="shared" si="17"/>
        <v>0</v>
      </c>
      <c r="AD11" s="1665"/>
      <c r="AE11" s="1213">
        <f t="shared" si="1"/>
        <v>0</v>
      </c>
      <c r="AF11" s="1213">
        <f t="shared" si="2"/>
        <v>0</v>
      </c>
      <c r="AG11" s="1213">
        <f t="shared" si="3"/>
        <v>0</v>
      </c>
      <c r="AH11" s="2919">
        <f t="shared" si="4"/>
        <v>0</v>
      </c>
      <c r="AI11" s="1834"/>
      <c r="AJ11" s="579">
        <f t="shared" si="18"/>
        <v>0</v>
      </c>
      <c r="AK11" s="420"/>
    </row>
    <row r="12" spans="1:37" s="416" customFormat="1" ht="15">
      <c r="A12" s="2933"/>
      <c r="B12" s="1289" t="s">
        <v>180</v>
      </c>
      <c r="C12" s="1286" t="s">
        <v>232</v>
      </c>
      <c r="D12" s="1287">
        <v>0</v>
      </c>
      <c r="E12" s="2716">
        <v>0</v>
      </c>
      <c r="F12" s="1287">
        <v>0</v>
      </c>
      <c r="G12" s="1287">
        <f t="shared" si="5"/>
        <v>0</v>
      </c>
      <c r="H12" s="1287">
        <f t="shared" si="19"/>
        <v>0</v>
      </c>
      <c r="I12" s="1287">
        <f t="shared" si="22"/>
        <v>0</v>
      </c>
      <c r="J12" s="1287">
        <f t="shared" si="6"/>
        <v>0</v>
      </c>
      <c r="K12" s="3219">
        <v>0</v>
      </c>
      <c r="L12" s="1287">
        <v>0</v>
      </c>
      <c r="M12" s="1287">
        <f t="shared" si="7"/>
        <v>0</v>
      </c>
      <c r="N12" s="1287">
        <f t="shared" si="20"/>
        <v>0</v>
      </c>
      <c r="O12" s="1287">
        <f t="shared" si="23"/>
        <v>0</v>
      </c>
      <c r="P12" s="1287">
        <f t="shared" si="8"/>
        <v>0</v>
      </c>
      <c r="Q12" s="1287">
        <f t="shared" si="9"/>
        <v>0</v>
      </c>
      <c r="R12" s="1287">
        <v>0</v>
      </c>
      <c r="S12" s="1287">
        <f t="shared" si="10"/>
        <v>0</v>
      </c>
      <c r="T12" s="1287">
        <f t="shared" si="21"/>
        <v>0</v>
      </c>
      <c r="U12" s="1287">
        <f t="shared" si="11"/>
        <v>0</v>
      </c>
      <c r="V12" s="1287">
        <f t="shared" si="12"/>
        <v>0</v>
      </c>
      <c r="W12" s="1287">
        <v>0</v>
      </c>
      <c r="X12" s="1287"/>
      <c r="Y12" s="1287">
        <f t="shared" si="13"/>
        <v>0</v>
      </c>
      <c r="Z12" s="1287">
        <f t="shared" si="14"/>
        <v>0</v>
      </c>
      <c r="AA12" s="1287">
        <f t="shared" si="15"/>
        <v>0</v>
      </c>
      <c r="AB12" s="1287">
        <f t="shared" si="16"/>
        <v>0</v>
      </c>
      <c r="AC12" s="1287">
        <f t="shared" si="17"/>
        <v>0</v>
      </c>
      <c r="AD12" s="1284"/>
      <c r="AE12" s="1213">
        <f t="shared" si="1"/>
        <v>0</v>
      </c>
      <c r="AF12" s="1213">
        <f t="shared" si="2"/>
        <v>0</v>
      </c>
      <c r="AG12" s="1213">
        <f t="shared" si="3"/>
        <v>0</v>
      </c>
      <c r="AH12" s="2919">
        <f t="shared" si="4"/>
        <v>0</v>
      </c>
      <c r="AI12" s="1834"/>
      <c r="AJ12" s="579">
        <f t="shared" si="18"/>
        <v>0</v>
      </c>
      <c r="AK12" s="420"/>
    </row>
    <row r="13" spans="1:37" s="416" customFormat="1" ht="15">
      <c r="A13" s="2933"/>
      <c r="B13" s="1289" t="s">
        <v>181</v>
      </c>
      <c r="C13" s="1286" t="s">
        <v>234</v>
      </c>
      <c r="D13" s="1287">
        <v>0</v>
      </c>
      <c r="E13" s="2716">
        <v>0</v>
      </c>
      <c r="F13" s="1287">
        <v>0</v>
      </c>
      <c r="G13" s="1287">
        <f t="shared" si="5"/>
        <v>0</v>
      </c>
      <c r="H13" s="1287">
        <f t="shared" si="19"/>
        <v>0</v>
      </c>
      <c r="I13" s="1287">
        <f t="shared" si="22"/>
        <v>0</v>
      </c>
      <c r="J13" s="1287">
        <f t="shared" si="6"/>
        <v>0</v>
      </c>
      <c r="K13" s="3219">
        <v>0</v>
      </c>
      <c r="L13" s="1287">
        <v>0</v>
      </c>
      <c r="M13" s="1287">
        <f t="shared" si="7"/>
        <v>0</v>
      </c>
      <c r="N13" s="1287">
        <f t="shared" si="20"/>
        <v>0</v>
      </c>
      <c r="O13" s="1287">
        <f t="shared" si="23"/>
        <v>0</v>
      </c>
      <c r="P13" s="1287">
        <f t="shared" si="8"/>
        <v>0</v>
      </c>
      <c r="Q13" s="1287">
        <f t="shared" si="9"/>
        <v>0</v>
      </c>
      <c r="R13" s="1287">
        <v>0</v>
      </c>
      <c r="S13" s="1287">
        <f t="shared" si="10"/>
        <v>0</v>
      </c>
      <c r="T13" s="1287">
        <f t="shared" si="21"/>
        <v>0</v>
      </c>
      <c r="U13" s="1287">
        <f t="shared" si="11"/>
        <v>0</v>
      </c>
      <c r="V13" s="1287">
        <f t="shared" si="12"/>
        <v>0</v>
      </c>
      <c r="W13" s="1287">
        <v>0</v>
      </c>
      <c r="X13" s="1287"/>
      <c r="Y13" s="1287">
        <f t="shared" si="13"/>
        <v>0</v>
      </c>
      <c r="Z13" s="1287">
        <f t="shared" si="14"/>
        <v>0</v>
      </c>
      <c r="AA13" s="1287">
        <f t="shared" si="15"/>
        <v>0</v>
      </c>
      <c r="AB13" s="1287">
        <f t="shared" si="16"/>
        <v>0</v>
      </c>
      <c r="AC13" s="1287">
        <f t="shared" si="17"/>
        <v>0</v>
      </c>
      <c r="AD13" s="1284"/>
      <c r="AE13" s="1213">
        <f t="shared" si="1"/>
        <v>0</v>
      </c>
      <c r="AF13" s="1213">
        <f t="shared" si="2"/>
        <v>0</v>
      </c>
      <c r="AG13" s="1213">
        <f t="shared" si="3"/>
        <v>0</v>
      </c>
      <c r="AH13" s="2919">
        <f t="shared" si="4"/>
        <v>0</v>
      </c>
      <c r="AI13" s="1834"/>
      <c r="AJ13" s="579">
        <f t="shared" si="18"/>
        <v>0</v>
      </c>
      <c r="AK13" s="420"/>
    </row>
    <row r="14" spans="1:37" s="416" customFormat="1" ht="15">
      <c r="A14" s="2933"/>
      <c r="B14" s="1289" t="s">
        <v>183</v>
      </c>
      <c r="C14" s="1286" t="s">
        <v>887</v>
      </c>
      <c r="D14" s="1287">
        <v>0</v>
      </c>
      <c r="E14" s="2716">
        <v>0</v>
      </c>
      <c r="F14" s="1287">
        <v>0</v>
      </c>
      <c r="G14" s="1287">
        <f t="shared" si="5"/>
        <v>0</v>
      </c>
      <c r="H14" s="1287">
        <f t="shared" si="19"/>
        <v>0</v>
      </c>
      <c r="I14" s="1287">
        <f t="shared" si="22"/>
        <v>0</v>
      </c>
      <c r="J14" s="1287">
        <f t="shared" si="6"/>
        <v>0</v>
      </c>
      <c r="K14" s="3219">
        <v>0</v>
      </c>
      <c r="L14" s="1287">
        <f>+F14</f>
        <v>0</v>
      </c>
      <c r="M14" s="1287">
        <f t="shared" si="7"/>
        <v>0</v>
      </c>
      <c r="N14" s="1287">
        <f t="shared" si="20"/>
        <v>0</v>
      </c>
      <c r="O14" s="1287">
        <f t="shared" si="23"/>
        <v>0</v>
      </c>
      <c r="P14" s="1287">
        <f t="shared" si="8"/>
        <v>0</v>
      </c>
      <c r="Q14" s="1287">
        <f t="shared" si="9"/>
        <v>0</v>
      </c>
      <c r="R14" s="1287">
        <v>0</v>
      </c>
      <c r="S14" s="1287">
        <f t="shared" si="10"/>
        <v>0</v>
      </c>
      <c r="T14" s="1287">
        <f t="shared" si="21"/>
        <v>0</v>
      </c>
      <c r="U14" s="1287">
        <f t="shared" si="11"/>
        <v>0</v>
      </c>
      <c r="V14" s="1287">
        <f t="shared" si="12"/>
        <v>0</v>
      </c>
      <c r="W14" s="1287">
        <v>0</v>
      </c>
      <c r="X14" s="1287"/>
      <c r="Y14" s="1287">
        <f t="shared" si="13"/>
        <v>0</v>
      </c>
      <c r="Z14" s="1287">
        <f t="shared" si="14"/>
        <v>0</v>
      </c>
      <c r="AA14" s="1287">
        <f t="shared" si="15"/>
        <v>0</v>
      </c>
      <c r="AB14" s="1287">
        <f t="shared" si="16"/>
        <v>0</v>
      </c>
      <c r="AC14" s="1287">
        <f t="shared" si="17"/>
        <v>0</v>
      </c>
      <c r="AD14" s="1284"/>
      <c r="AE14" s="1213">
        <f t="shared" si="1"/>
        <v>0</v>
      </c>
      <c r="AF14" s="1213">
        <f t="shared" si="2"/>
        <v>0</v>
      </c>
      <c r="AG14" s="1213">
        <f t="shared" si="3"/>
        <v>0</v>
      </c>
      <c r="AH14" s="2919">
        <f t="shared" si="4"/>
        <v>0</v>
      </c>
      <c r="AI14" s="1834"/>
      <c r="AJ14" s="579">
        <f t="shared" si="18"/>
        <v>0</v>
      </c>
      <c r="AK14" s="420"/>
    </row>
    <row r="15" spans="1:37" s="416" customFormat="1" ht="15">
      <c r="A15" s="2933"/>
      <c r="B15" s="1289" t="s">
        <v>321</v>
      </c>
      <c r="C15" s="1290" t="s">
        <v>238</v>
      </c>
      <c r="D15" s="1287">
        <v>0</v>
      </c>
      <c r="E15" s="2716">
        <v>0</v>
      </c>
      <c r="F15" s="1287">
        <v>0</v>
      </c>
      <c r="G15" s="1287">
        <f t="shared" si="5"/>
        <v>0</v>
      </c>
      <c r="H15" s="1287">
        <f t="shared" si="19"/>
        <v>0</v>
      </c>
      <c r="I15" s="1287">
        <f t="shared" si="22"/>
        <v>0</v>
      </c>
      <c r="J15" s="1287">
        <f t="shared" si="6"/>
        <v>0</v>
      </c>
      <c r="K15" s="3219">
        <v>0</v>
      </c>
      <c r="L15" s="1287">
        <v>0</v>
      </c>
      <c r="M15" s="1287">
        <f t="shared" si="7"/>
        <v>0</v>
      </c>
      <c r="N15" s="1287">
        <f t="shared" si="20"/>
        <v>0</v>
      </c>
      <c r="O15" s="1287">
        <f t="shared" si="23"/>
        <v>0</v>
      </c>
      <c r="P15" s="1287">
        <f t="shared" si="8"/>
        <v>0</v>
      </c>
      <c r="Q15" s="1287">
        <f t="shared" si="9"/>
        <v>0</v>
      </c>
      <c r="R15" s="1287">
        <v>0</v>
      </c>
      <c r="S15" s="1287">
        <f t="shared" si="10"/>
        <v>0</v>
      </c>
      <c r="T15" s="1287">
        <f t="shared" si="21"/>
        <v>0</v>
      </c>
      <c r="U15" s="1287">
        <f t="shared" si="11"/>
        <v>0</v>
      </c>
      <c r="V15" s="1287">
        <f t="shared" si="12"/>
        <v>0</v>
      </c>
      <c r="W15" s="1287">
        <v>0</v>
      </c>
      <c r="X15" s="1287"/>
      <c r="Y15" s="1287">
        <f t="shared" si="13"/>
        <v>0</v>
      </c>
      <c r="Z15" s="1287">
        <f t="shared" si="14"/>
        <v>0</v>
      </c>
      <c r="AA15" s="1287">
        <f t="shared" si="15"/>
        <v>0</v>
      </c>
      <c r="AB15" s="1287">
        <f t="shared" si="16"/>
        <v>0</v>
      </c>
      <c r="AC15" s="1287">
        <f t="shared" si="17"/>
        <v>0</v>
      </c>
      <c r="AD15" s="1284"/>
      <c r="AE15" s="1213">
        <f t="shared" si="1"/>
        <v>0</v>
      </c>
      <c r="AF15" s="1213">
        <f t="shared" si="2"/>
        <v>0</v>
      </c>
      <c r="AG15" s="1213">
        <f t="shared" si="3"/>
        <v>0</v>
      </c>
      <c r="AH15" s="2919">
        <f t="shared" si="4"/>
        <v>0</v>
      </c>
      <c r="AI15" s="1834"/>
      <c r="AJ15" s="579">
        <f t="shared" si="18"/>
        <v>0</v>
      </c>
      <c r="AK15" s="420"/>
    </row>
    <row r="16" spans="1:37" s="416" customFormat="1" ht="15">
      <c r="A16" s="2933"/>
      <c r="B16" s="1289" t="s">
        <v>323</v>
      </c>
      <c r="C16" s="1286" t="s">
        <v>1277</v>
      </c>
      <c r="D16" s="1287">
        <v>0</v>
      </c>
      <c r="E16" s="2716">
        <v>4103606</v>
      </c>
      <c r="F16" s="1287">
        <v>0</v>
      </c>
      <c r="G16" s="1287">
        <f t="shared" si="5"/>
        <v>0</v>
      </c>
      <c r="H16" s="1287">
        <f t="shared" si="19"/>
        <v>0</v>
      </c>
      <c r="I16" s="1287">
        <f>+H16+1295277</f>
        <v>1295277</v>
      </c>
      <c r="J16" s="1287">
        <f t="shared" si="6"/>
        <v>1295277</v>
      </c>
      <c r="K16" s="3219">
        <v>1295277</v>
      </c>
      <c r="L16" s="1287">
        <v>0</v>
      </c>
      <c r="M16" s="1287">
        <f t="shared" si="7"/>
        <v>0</v>
      </c>
      <c r="N16" s="1287">
        <f t="shared" si="20"/>
        <v>0</v>
      </c>
      <c r="O16" s="1287">
        <f>+N16+1295277</f>
        <v>1295277</v>
      </c>
      <c r="P16" s="1287">
        <f t="shared" si="8"/>
        <v>1295277</v>
      </c>
      <c r="Q16" s="1287">
        <f t="shared" si="9"/>
        <v>1295277</v>
      </c>
      <c r="R16" s="1287">
        <v>0</v>
      </c>
      <c r="S16" s="1287">
        <f t="shared" si="10"/>
        <v>0</v>
      </c>
      <c r="T16" s="1287">
        <f>+S16</f>
        <v>0</v>
      </c>
      <c r="U16" s="1287">
        <f t="shared" si="11"/>
        <v>0</v>
      </c>
      <c r="V16" s="1287">
        <f t="shared" si="12"/>
        <v>0</v>
      </c>
      <c r="W16" s="1287">
        <v>0</v>
      </c>
      <c r="X16" s="1287"/>
      <c r="Y16" s="1287">
        <f t="shared" si="13"/>
        <v>0</v>
      </c>
      <c r="Z16" s="1287">
        <f t="shared" si="14"/>
        <v>0</v>
      </c>
      <c r="AA16" s="1287">
        <f t="shared" si="15"/>
        <v>0</v>
      </c>
      <c r="AB16" s="1287">
        <f t="shared" si="16"/>
        <v>0</v>
      </c>
      <c r="AC16" s="1287">
        <f t="shared" si="17"/>
        <v>0</v>
      </c>
      <c r="AD16" s="1284"/>
      <c r="AE16" s="1213">
        <f t="shared" si="1"/>
        <v>0</v>
      </c>
      <c r="AF16" s="1213">
        <f t="shared" si="2"/>
        <v>0</v>
      </c>
      <c r="AG16" s="1213">
        <f t="shared" si="3"/>
        <v>1295277</v>
      </c>
      <c r="AH16" s="2919">
        <f t="shared" si="4"/>
        <v>0</v>
      </c>
      <c r="AI16" s="1834">
        <f>+K16/I16</f>
        <v>1</v>
      </c>
      <c r="AJ16" s="579">
        <f t="shared" si="18"/>
        <v>0</v>
      </c>
      <c r="AK16" s="420"/>
    </row>
    <row r="17" spans="1:37" s="416" customFormat="1" ht="15">
      <c r="A17" s="2933"/>
      <c r="B17" s="1289" t="s">
        <v>325</v>
      </c>
      <c r="C17" s="1286" t="s">
        <v>242</v>
      </c>
      <c r="D17" s="1287">
        <v>0</v>
      </c>
      <c r="E17" s="2716">
        <v>0</v>
      </c>
      <c r="F17" s="1287">
        <v>0</v>
      </c>
      <c r="G17" s="1287">
        <f t="shared" si="5"/>
        <v>0</v>
      </c>
      <c r="H17" s="1287">
        <f t="shared" si="19"/>
        <v>0</v>
      </c>
      <c r="I17" s="1287">
        <f t="shared" si="22"/>
        <v>0</v>
      </c>
      <c r="J17" s="1287">
        <f t="shared" si="6"/>
        <v>0</v>
      </c>
      <c r="K17" s="3219">
        <v>0</v>
      </c>
      <c r="L17" s="1287">
        <v>0</v>
      </c>
      <c r="M17" s="1287">
        <f t="shared" si="7"/>
        <v>0</v>
      </c>
      <c r="N17" s="1287">
        <f t="shared" si="20"/>
        <v>0</v>
      </c>
      <c r="O17" s="1287">
        <f t="shared" si="23"/>
        <v>0</v>
      </c>
      <c r="P17" s="1287">
        <f t="shared" si="8"/>
        <v>0</v>
      </c>
      <c r="Q17" s="1287">
        <f t="shared" si="9"/>
        <v>0</v>
      </c>
      <c r="R17" s="1287">
        <v>0</v>
      </c>
      <c r="S17" s="1287">
        <f t="shared" si="10"/>
        <v>0</v>
      </c>
      <c r="T17" s="1287">
        <f t="shared" si="21"/>
        <v>0</v>
      </c>
      <c r="U17" s="1287">
        <f t="shared" si="11"/>
        <v>0</v>
      </c>
      <c r="V17" s="1287">
        <f t="shared" si="12"/>
        <v>0</v>
      </c>
      <c r="W17" s="1287">
        <v>0</v>
      </c>
      <c r="X17" s="1287">
        <f>+V17</f>
        <v>0</v>
      </c>
      <c r="Y17" s="1287">
        <f t="shared" si="13"/>
        <v>0</v>
      </c>
      <c r="Z17" s="1287">
        <f t="shared" si="14"/>
        <v>0</v>
      </c>
      <c r="AA17" s="1287">
        <f t="shared" si="15"/>
        <v>0</v>
      </c>
      <c r="AB17" s="1287">
        <f t="shared" si="16"/>
        <v>0</v>
      </c>
      <c r="AC17" s="1287">
        <f t="shared" si="17"/>
        <v>0</v>
      </c>
      <c r="AD17" s="1284"/>
      <c r="AE17" s="1213">
        <f t="shared" si="1"/>
        <v>0</v>
      </c>
      <c r="AF17" s="1213">
        <f t="shared" si="2"/>
        <v>0</v>
      </c>
      <c r="AG17" s="1213">
        <f t="shared" si="3"/>
        <v>0</v>
      </c>
      <c r="AH17" s="2919">
        <f t="shared" si="4"/>
        <v>0</v>
      </c>
      <c r="AI17" s="1834"/>
      <c r="AJ17" s="579">
        <f t="shared" si="18"/>
        <v>0</v>
      </c>
      <c r="AK17" s="420"/>
    </row>
    <row r="18" spans="1:37" s="416" customFormat="1" ht="15">
      <c r="A18" s="2933"/>
      <c r="B18" s="1289" t="s">
        <v>327</v>
      </c>
      <c r="C18" s="1286" t="s">
        <v>163</v>
      </c>
      <c r="D18" s="1287">
        <v>0</v>
      </c>
      <c r="E18" s="2716">
        <v>0</v>
      </c>
      <c r="F18" s="1287">
        <v>0</v>
      </c>
      <c r="G18" s="1287">
        <f t="shared" si="5"/>
        <v>0</v>
      </c>
      <c r="H18" s="1287">
        <f t="shared" si="19"/>
        <v>0</v>
      </c>
      <c r="I18" s="1287">
        <v>0</v>
      </c>
      <c r="J18" s="1287">
        <f t="shared" si="6"/>
        <v>0</v>
      </c>
      <c r="K18" s="3219">
        <v>0</v>
      </c>
      <c r="L18" s="1287">
        <v>0</v>
      </c>
      <c r="M18" s="1287">
        <f t="shared" si="7"/>
        <v>0</v>
      </c>
      <c r="N18" s="1287">
        <f t="shared" si="20"/>
        <v>0</v>
      </c>
      <c r="O18" s="1287">
        <f t="shared" si="23"/>
        <v>0</v>
      </c>
      <c r="P18" s="1287">
        <f t="shared" si="8"/>
        <v>0</v>
      </c>
      <c r="Q18" s="1287">
        <f t="shared" si="9"/>
        <v>0</v>
      </c>
      <c r="R18" s="1287">
        <v>0</v>
      </c>
      <c r="S18" s="1287">
        <f t="shared" si="10"/>
        <v>0</v>
      </c>
      <c r="T18" s="1287">
        <f t="shared" si="21"/>
        <v>0</v>
      </c>
      <c r="U18" s="1287">
        <v>0</v>
      </c>
      <c r="V18" s="1287"/>
      <c r="W18" s="1287">
        <v>0</v>
      </c>
      <c r="X18" s="1287"/>
      <c r="Y18" s="1287"/>
      <c r="Z18" s="1287"/>
      <c r="AA18" s="1287"/>
      <c r="AB18" s="1287"/>
      <c r="AC18" s="1287"/>
      <c r="AD18" s="1284"/>
      <c r="AE18" s="1213">
        <f t="shared" si="1"/>
        <v>0</v>
      </c>
      <c r="AF18" s="1213">
        <f t="shared" si="2"/>
        <v>0</v>
      </c>
      <c r="AG18" s="1213">
        <f t="shared" si="3"/>
        <v>0</v>
      </c>
      <c r="AH18" s="2919">
        <f t="shared" si="4"/>
        <v>0</v>
      </c>
      <c r="AI18" s="1834"/>
      <c r="AJ18" s="579">
        <f t="shared" si="18"/>
        <v>0</v>
      </c>
      <c r="AK18" s="420"/>
    </row>
    <row r="19" spans="1:37" s="424" customFormat="1" ht="15">
      <c r="A19" s="2933"/>
      <c r="B19" s="1289" t="s">
        <v>329</v>
      </c>
      <c r="C19" s="1286" t="s">
        <v>162</v>
      </c>
      <c r="D19" s="1287">
        <v>0</v>
      </c>
      <c r="E19" s="2716">
        <v>55177</v>
      </c>
      <c r="F19" s="1287">
        <v>0</v>
      </c>
      <c r="G19" s="1287">
        <f t="shared" si="5"/>
        <v>0</v>
      </c>
      <c r="H19" s="1287">
        <f t="shared" si="19"/>
        <v>0</v>
      </c>
      <c r="I19" s="1287">
        <f>+H19+147633</f>
        <v>147633</v>
      </c>
      <c r="J19" s="1287">
        <f t="shared" si="6"/>
        <v>147633</v>
      </c>
      <c r="K19" s="3219">
        <v>147633</v>
      </c>
      <c r="L19" s="1287">
        <v>0</v>
      </c>
      <c r="M19" s="1287">
        <f t="shared" si="7"/>
        <v>0</v>
      </c>
      <c r="N19" s="1287">
        <f t="shared" si="20"/>
        <v>0</v>
      </c>
      <c r="O19" s="1287">
        <f>+N19+147633</f>
        <v>147633</v>
      </c>
      <c r="P19" s="1287">
        <f t="shared" si="8"/>
        <v>147633</v>
      </c>
      <c r="Q19" s="1287">
        <f t="shared" si="9"/>
        <v>147633</v>
      </c>
      <c r="R19" s="1287">
        <v>0</v>
      </c>
      <c r="S19" s="1287">
        <f t="shared" si="10"/>
        <v>0</v>
      </c>
      <c r="T19" s="1287">
        <f t="shared" si="21"/>
        <v>0</v>
      </c>
      <c r="U19" s="1287">
        <f>+T19</f>
        <v>0</v>
      </c>
      <c r="V19" s="1287">
        <f>+U19</f>
        <v>0</v>
      </c>
      <c r="W19" s="1287">
        <v>0</v>
      </c>
      <c r="X19" s="1287"/>
      <c r="Y19" s="1287">
        <f>+X19</f>
        <v>0</v>
      </c>
      <c r="Z19" s="1287">
        <f>+Y19</f>
        <v>0</v>
      </c>
      <c r="AA19" s="1287">
        <f>+Z19</f>
        <v>0</v>
      </c>
      <c r="AB19" s="1287">
        <f>+AA19</f>
        <v>0</v>
      </c>
      <c r="AC19" s="1287">
        <f>+AB19</f>
        <v>0</v>
      </c>
      <c r="AD19" s="1284"/>
      <c r="AE19" s="1213">
        <f t="shared" si="1"/>
        <v>0</v>
      </c>
      <c r="AF19" s="1213">
        <f t="shared" si="2"/>
        <v>0</v>
      </c>
      <c r="AG19" s="1213">
        <f t="shared" si="3"/>
        <v>147633</v>
      </c>
      <c r="AH19" s="2919">
        <f t="shared" si="4"/>
        <v>0</v>
      </c>
      <c r="AI19" s="1834">
        <f>+K19/I19</f>
        <v>1</v>
      </c>
      <c r="AJ19" s="579">
        <f t="shared" si="18"/>
        <v>0</v>
      </c>
      <c r="AK19" s="420"/>
    </row>
    <row r="20" spans="1:37" s="424" customFormat="1" ht="15">
      <c r="A20" s="2934" t="s">
        <v>12</v>
      </c>
      <c r="B20" s="1282" t="s">
        <v>12</v>
      </c>
      <c r="C20" s="1283" t="s">
        <v>1278</v>
      </c>
      <c r="D20" s="1213">
        <f t="shared" ref="D20:AC20" si="24">SUM(D21:D22)</f>
        <v>0</v>
      </c>
      <c r="E20" s="2715">
        <f t="shared" si="24"/>
        <v>0</v>
      </c>
      <c r="F20" s="1213">
        <f t="shared" si="24"/>
        <v>0</v>
      </c>
      <c r="G20" s="1213">
        <f t="shared" si="24"/>
        <v>0</v>
      </c>
      <c r="H20" s="1213">
        <f t="shared" si="24"/>
        <v>0</v>
      </c>
      <c r="I20" s="1213">
        <f t="shared" si="24"/>
        <v>0</v>
      </c>
      <c r="J20" s="1213">
        <f t="shared" si="24"/>
        <v>0</v>
      </c>
      <c r="K20" s="3208">
        <f>SUM(K21:K22)</f>
        <v>0</v>
      </c>
      <c r="L20" s="1213">
        <f t="shared" si="24"/>
        <v>0</v>
      </c>
      <c r="M20" s="1213">
        <f t="shared" si="24"/>
        <v>0</v>
      </c>
      <c r="N20" s="1213">
        <f t="shared" si="24"/>
        <v>0</v>
      </c>
      <c r="O20" s="1213">
        <f t="shared" si="24"/>
        <v>0</v>
      </c>
      <c r="P20" s="1213">
        <f t="shared" si="24"/>
        <v>0</v>
      </c>
      <c r="Q20" s="1213">
        <f t="shared" si="24"/>
        <v>0</v>
      </c>
      <c r="R20" s="1213">
        <f t="shared" si="24"/>
        <v>0</v>
      </c>
      <c r="S20" s="1213">
        <f t="shared" si="24"/>
        <v>0</v>
      </c>
      <c r="T20" s="1213">
        <f t="shared" si="24"/>
        <v>0</v>
      </c>
      <c r="U20" s="1213">
        <f t="shared" si="24"/>
        <v>0</v>
      </c>
      <c r="V20" s="1213">
        <f t="shared" si="24"/>
        <v>0</v>
      </c>
      <c r="W20" s="1213">
        <f t="shared" si="24"/>
        <v>0</v>
      </c>
      <c r="X20" s="1213">
        <f t="shared" si="24"/>
        <v>0</v>
      </c>
      <c r="Y20" s="1213">
        <f t="shared" si="24"/>
        <v>0</v>
      </c>
      <c r="Z20" s="1213">
        <f t="shared" si="24"/>
        <v>0</v>
      </c>
      <c r="AA20" s="1213">
        <f t="shared" si="24"/>
        <v>0</v>
      </c>
      <c r="AB20" s="1213">
        <f t="shared" si="24"/>
        <v>0</v>
      </c>
      <c r="AC20" s="1213">
        <f t="shared" si="24"/>
        <v>0</v>
      </c>
      <c r="AD20" s="1284"/>
      <c r="AE20" s="1213">
        <f t="shared" si="1"/>
        <v>0</v>
      </c>
      <c r="AF20" s="1213">
        <f t="shared" si="2"/>
        <v>0</v>
      </c>
      <c r="AG20" s="1213">
        <f t="shared" si="3"/>
        <v>0</v>
      </c>
      <c r="AH20" s="2919">
        <f t="shared" si="4"/>
        <v>0</v>
      </c>
      <c r="AI20" s="1829"/>
      <c r="AJ20" s="579">
        <f t="shared" si="18"/>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3219">
        <v>0</v>
      </c>
      <c r="L21" s="1287">
        <v>0</v>
      </c>
      <c r="M21" s="1287">
        <f t="shared" ref="M21:P22" si="26">+L21</f>
        <v>0</v>
      </c>
      <c r="N21" s="1287">
        <f t="shared" si="26"/>
        <v>0</v>
      </c>
      <c r="O21" s="1287">
        <f t="shared" si="26"/>
        <v>0</v>
      </c>
      <c r="P21" s="1287">
        <f t="shared" si="26"/>
        <v>0</v>
      </c>
      <c r="Q21" s="1287">
        <f>+K21</f>
        <v>0</v>
      </c>
      <c r="R21" s="1287">
        <v>0</v>
      </c>
      <c r="S21" s="1287">
        <f t="shared" ref="S21:V22" si="27">+R21</f>
        <v>0</v>
      </c>
      <c r="T21" s="1287">
        <f t="shared" si="27"/>
        <v>0</v>
      </c>
      <c r="U21" s="1287">
        <f t="shared" si="27"/>
        <v>0</v>
      </c>
      <c r="V21" s="1287">
        <f t="shared" si="27"/>
        <v>0</v>
      </c>
      <c r="W21" s="1287">
        <v>0</v>
      </c>
      <c r="X21" s="1287"/>
      <c r="Y21" s="1287">
        <f t="shared" ref="Y21:AC22" si="28">+X21</f>
        <v>0</v>
      </c>
      <c r="Z21" s="1287">
        <f t="shared" si="28"/>
        <v>0</v>
      </c>
      <c r="AA21" s="1287">
        <f t="shared" si="28"/>
        <v>0</v>
      </c>
      <c r="AB21" s="1287">
        <f t="shared" si="28"/>
        <v>0</v>
      </c>
      <c r="AC21" s="1287">
        <f t="shared" si="28"/>
        <v>0</v>
      </c>
      <c r="AD21" s="1284"/>
      <c r="AE21" s="1213">
        <f t="shared" si="1"/>
        <v>0</v>
      </c>
      <c r="AF21" s="1213">
        <f t="shared" si="2"/>
        <v>0</v>
      </c>
      <c r="AG21" s="1213">
        <f t="shared" si="3"/>
        <v>0</v>
      </c>
      <c r="AH21" s="2919">
        <f t="shared" si="4"/>
        <v>0</v>
      </c>
      <c r="AI21" s="1834"/>
      <c r="AJ21" s="579">
        <f t="shared" si="18"/>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3219">
        <v>0</v>
      </c>
      <c r="L22" s="1287">
        <v>0</v>
      </c>
      <c r="M22" s="1287">
        <f t="shared" si="26"/>
        <v>0</v>
      </c>
      <c r="N22" s="1287">
        <f t="shared" si="26"/>
        <v>0</v>
      </c>
      <c r="O22" s="1287">
        <f t="shared" si="26"/>
        <v>0</v>
      </c>
      <c r="P22" s="1287">
        <f t="shared" si="26"/>
        <v>0</v>
      </c>
      <c r="Q22" s="1287">
        <f>+K22</f>
        <v>0</v>
      </c>
      <c r="R22" s="1287">
        <v>0</v>
      </c>
      <c r="S22" s="1287">
        <f t="shared" si="27"/>
        <v>0</v>
      </c>
      <c r="T22" s="1287">
        <f t="shared" si="27"/>
        <v>0</v>
      </c>
      <c r="U22" s="1287">
        <f t="shared" si="27"/>
        <v>0</v>
      </c>
      <c r="V22" s="1287">
        <f t="shared" si="27"/>
        <v>0</v>
      </c>
      <c r="W22" s="1287">
        <v>0</v>
      </c>
      <c r="X22" s="1287"/>
      <c r="Y22" s="1287">
        <f t="shared" si="28"/>
        <v>0</v>
      </c>
      <c r="Z22" s="1287">
        <f t="shared" si="28"/>
        <v>0</v>
      </c>
      <c r="AA22" s="1287">
        <f t="shared" si="28"/>
        <v>0</v>
      </c>
      <c r="AB22" s="1287">
        <f t="shared" si="28"/>
        <v>0</v>
      </c>
      <c r="AC22" s="1287">
        <f t="shared" si="28"/>
        <v>0</v>
      </c>
      <c r="AD22" s="1284"/>
      <c r="AE22" s="1213">
        <f t="shared" si="1"/>
        <v>0</v>
      </c>
      <c r="AF22" s="1213">
        <f t="shared" si="2"/>
        <v>0</v>
      </c>
      <c r="AG22" s="1213">
        <f t="shared" si="3"/>
        <v>0</v>
      </c>
      <c r="AH22" s="2919">
        <f t="shared" si="4"/>
        <v>0</v>
      </c>
      <c r="AI22" s="1834"/>
      <c r="AJ22" s="579">
        <f t="shared" si="18"/>
        <v>0</v>
      </c>
      <c r="AK22" s="420"/>
    </row>
    <row r="23" spans="1:37" s="416" customFormat="1" ht="21">
      <c r="A23" s="2934" t="s">
        <v>14</v>
      </c>
      <c r="B23" s="1282" t="s">
        <v>14</v>
      </c>
      <c r="C23" s="1283" t="s">
        <v>1279</v>
      </c>
      <c r="D23" s="1213">
        <f t="shared" ref="D23:AC23" si="29">D24+D25</f>
        <v>99436114</v>
      </c>
      <c r="E23" s="2715">
        <f t="shared" si="29"/>
        <v>99620247</v>
      </c>
      <c r="F23" s="1213">
        <f t="shared" si="29"/>
        <v>110267785</v>
      </c>
      <c r="G23" s="1213">
        <f t="shared" si="29"/>
        <v>110267785</v>
      </c>
      <c r="H23" s="1213">
        <f t="shared" si="29"/>
        <v>110267785</v>
      </c>
      <c r="I23" s="1213">
        <f t="shared" si="29"/>
        <v>110474004</v>
      </c>
      <c r="J23" s="1213">
        <f t="shared" si="29"/>
        <v>110474004</v>
      </c>
      <c r="K23" s="3208">
        <f t="shared" si="29"/>
        <v>110474004</v>
      </c>
      <c r="L23" s="1213">
        <f t="shared" si="29"/>
        <v>110267785</v>
      </c>
      <c r="M23" s="1213">
        <f t="shared" si="29"/>
        <v>110267785</v>
      </c>
      <c r="N23" s="1213">
        <f t="shared" si="29"/>
        <v>110267785</v>
      </c>
      <c r="O23" s="1213">
        <f t="shared" si="29"/>
        <v>110474004</v>
      </c>
      <c r="P23" s="1213">
        <f t="shared" si="29"/>
        <v>110474004</v>
      </c>
      <c r="Q23" s="1213">
        <f t="shared" si="29"/>
        <v>110474004</v>
      </c>
      <c r="R23" s="1213">
        <f t="shared" si="29"/>
        <v>0</v>
      </c>
      <c r="S23" s="1213">
        <f t="shared" si="29"/>
        <v>0</v>
      </c>
      <c r="T23" s="1213">
        <f t="shared" si="29"/>
        <v>0</v>
      </c>
      <c r="U23" s="1213">
        <f t="shared" si="29"/>
        <v>0</v>
      </c>
      <c r="V23" s="1213">
        <f t="shared" si="29"/>
        <v>0</v>
      </c>
      <c r="W23" s="1213">
        <f t="shared" si="29"/>
        <v>0</v>
      </c>
      <c r="X23" s="1213">
        <f t="shared" si="29"/>
        <v>0</v>
      </c>
      <c r="Y23" s="1213">
        <f t="shared" si="29"/>
        <v>0</v>
      </c>
      <c r="Z23" s="1213">
        <f t="shared" si="29"/>
        <v>0</v>
      </c>
      <c r="AA23" s="1213">
        <f t="shared" si="29"/>
        <v>0</v>
      </c>
      <c r="AB23" s="1213">
        <f t="shared" si="29"/>
        <v>0</v>
      </c>
      <c r="AC23" s="1213">
        <f t="shared" si="29"/>
        <v>0</v>
      </c>
      <c r="AD23" s="1284"/>
      <c r="AE23" s="1213">
        <f t="shared" si="1"/>
        <v>0</v>
      </c>
      <c r="AF23" s="1213">
        <f t="shared" si="2"/>
        <v>0</v>
      </c>
      <c r="AG23" s="1213">
        <f t="shared" si="3"/>
        <v>206219</v>
      </c>
      <c r="AH23" s="2919">
        <f t="shared" si="4"/>
        <v>0</v>
      </c>
      <c r="AI23" s="1829">
        <f>+K23/I23</f>
        <v>1</v>
      </c>
      <c r="AJ23" s="579">
        <f t="shared" si="18"/>
        <v>10831671</v>
      </c>
      <c r="AK23" s="412"/>
    </row>
    <row r="24" spans="1:37" s="416" customFormat="1" ht="15">
      <c r="A24" s="2934"/>
      <c r="B24" s="1289" t="s">
        <v>198</v>
      </c>
      <c r="C24" s="1284" t="s">
        <v>186</v>
      </c>
      <c r="D24" s="1291">
        <v>0</v>
      </c>
      <c r="E24" s="2717">
        <v>0</v>
      </c>
      <c r="F24" s="1291">
        <v>0</v>
      </c>
      <c r="G24" s="1291">
        <f t="shared" ref="G24:G31" si="30">+F24</f>
        <v>0</v>
      </c>
      <c r="H24" s="1291">
        <f t="shared" ref="H24:H31" si="31">+G24</f>
        <v>0</v>
      </c>
      <c r="I24" s="1291">
        <f t="shared" ref="I24:I31" si="32">+H24</f>
        <v>0</v>
      </c>
      <c r="J24" s="1291">
        <f t="shared" ref="J24:J31" si="33">+I24</f>
        <v>0</v>
      </c>
      <c r="K24" s="3219">
        <f>0</f>
        <v>0</v>
      </c>
      <c r="L24" s="1213">
        <v>0</v>
      </c>
      <c r="M24" s="1213">
        <f t="shared" ref="M24:M31" si="34">+L24</f>
        <v>0</v>
      </c>
      <c r="N24" s="1213">
        <f t="shared" ref="N24:N31" si="35">+M24</f>
        <v>0</v>
      </c>
      <c r="O24" s="1291">
        <f t="shared" ref="O24:O31" si="36">+N24</f>
        <v>0</v>
      </c>
      <c r="P24" s="1291">
        <f t="shared" ref="P24:P31" si="37">+O24</f>
        <v>0</v>
      </c>
      <c r="Q24" s="1291">
        <f t="shared" ref="Q24:Q31" si="38">+K24</f>
        <v>0</v>
      </c>
      <c r="R24" s="1213">
        <v>0</v>
      </c>
      <c r="S24" s="1213">
        <f t="shared" ref="S24:S31" si="39">+R24</f>
        <v>0</v>
      </c>
      <c r="T24" s="1213">
        <f t="shared" ref="T24:T31" si="40">+S24</f>
        <v>0</v>
      </c>
      <c r="U24" s="1213">
        <f t="shared" ref="U24:U31" si="41">+T24</f>
        <v>0</v>
      </c>
      <c r="V24" s="1213">
        <f t="shared" ref="V24:V31" si="42">+U24</f>
        <v>0</v>
      </c>
      <c r="W24" s="1213">
        <v>0</v>
      </c>
      <c r="X24" s="1213"/>
      <c r="Y24" s="1213">
        <f t="shared" ref="Y24:Y31" si="43">+X24</f>
        <v>0</v>
      </c>
      <c r="Z24" s="1213">
        <f t="shared" ref="Z24:Z31" si="44">+Y24</f>
        <v>0</v>
      </c>
      <c r="AA24" s="1213">
        <f t="shared" ref="AA24:AA31" si="45">+Z24</f>
        <v>0</v>
      </c>
      <c r="AB24" s="1213">
        <f t="shared" ref="AB24:AB31" si="46">+AA24</f>
        <v>0</v>
      </c>
      <c r="AC24" s="1213">
        <f t="shared" ref="AC24:AC31" si="47">+AB24</f>
        <v>0</v>
      </c>
      <c r="AD24" s="1284"/>
      <c r="AE24" s="1213">
        <f t="shared" si="1"/>
        <v>0</v>
      </c>
      <c r="AF24" s="1213">
        <f t="shared" si="2"/>
        <v>0</v>
      </c>
      <c r="AG24" s="1213">
        <f t="shared" si="3"/>
        <v>0</v>
      </c>
      <c r="AH24" s="2919">
        <f t="shared" si="4"/>
        <v>0</v>
      </c>
      <c r="AI24" s="1829"/>
      <c r="AJ24" s="579">
        <f t="shared" si="18"/>
        <v>0</v>
      </c>
      <c r="AK24" s="548"/>
    </row>
    <row r="25" spans="1:37" s="424" customFormat="1" ht="15">
      <c r="A25" s="2933"/>
      <c r="B25" s="1289" t="s">
        <v>200</v>
      </c>
      <c r="C25" s="2994" t="s">
        <v>148</v>
      </c>
      <c r="D25" s="1227">
        <v>99436114</v>
      </c>
      <c r="E25" s="2719">
        <v>99620247</v>
      </c>
      <c r="F25" s="1227">
        <v>110267785</v>
      </c>
      <c r="G25" s="1291">
        <f t="shared" si="30"/>
        <v>110267785</v>
      </c>
      <c r="H25" s="1291">
        <f t="shared" si="31"/>
        <v>110267785</v>
      </c>
      <c r="I25" s="1227">
        <f>+H25+125996+80223</f>
        <v>110474004</v>
      </c>
      <c r="J25" s="1291">
        <f t="shared" si="33"/>
        <v>110474004</v>
      </c>
      <c r="K25" s="3219">
        <v>110474004</v>
      </c>
      <c r="L25" s="1227">
        <f>+F25</f>
        <v>110267785</v>
      </c>
      <c r="M25" s="1291">
        <f>+L25</f>
        <v>110267785</v>
      </c>
      <c r="N25" s="1287">
        <f t="shared" si="35"/>
        <v>110267785</v>
      </c>
      <c r="O25" s="1287">
        <f>+N25+125996+80223</f>
        <v>110474004</v>
      </c>
      <c r="P25" s="1287">
        <f t="shared" si="37"/>
        <v>110474004</v>
      </c>
      <c r="Q25" s="1287">
        <f t="shared" si="38"/>
        <v>110474004</v>
      </c>
      <c r="R25" s="1287">
        <v>0</v>
      </c>
      <c r="S25" s="1287">
        <f t="shared" si="39"/>
        <v>0</v>
      </c>
      <c r="T25" s="1287">
        <f t="shared" si="40"/>
        <v>0</v>
      </c>
      <c r="U25" s="1287">
        <f t="shared" si="41"/>
        <v>0</v>
      </c>
      <c r="V25" s="1287">
        <f t="shared" si="42"/>
        <v>0</v>
      </c>
      <c r="W25" s="1287">
        <v>0</v>
      </c>
      <c r="X25" s="1287"/>
      <c r="Y25" s="1287">
        <f t="shared" si="43"/>
        <v>0</v>
      </c>
      <c r="Z25" s="1287">
        <f t="shared" si="44"/>
        <v>0</v>
      </c>
      <c r="AA25" s="1287">
        <f t="shared" si="45"/>
        <v>0</v>
      </c>
      <c r="AB25" s="1287">
        <f t="shared" si="46"/>
        <v>0</v>
      </c>
      <c r="AC25" s="1287">
        <f t="shared" si="47"/>
        <v>0</v>
      </c>
      <c r="AD25" s="1284"/>
      <c r="AE25" s="1213">
        <f t="shared" si="1"/>
        <v>0</v>
      </c>
      <c r="AF25" s="1213">
        <f t="shared" si="2"/>
        <v>0</v>
      </c>
      <c r="AG25" s="1213">
        <f t="shared" si="3"/>
        <v>206219</v>
      </c>
      <c r="AH25" s="2919">
        <f t="shared" si="4"/>
        <v>0</v>
      </c>
      <c r="AI25" s="1834">
        <f>+K25/I25</f>
        <v>1</v>
      </c>
      <c r="AJ25" s="579">
        <f t="shared" si="18"/>
        <v>10831671</v>
      </c>
      <c r="AK25" s="430"/>
    </row>
    <row r="26" spans="1:37" s="424" customFormat="1" ht="15">
      <c r="A26" s="2933"/>
      <c r="B26" s="1289" t="s">
        <v>202</v>
      </c>
      <c r="C26" s="1290" t="s">
        <v>1280</v>
      </c>
      <c r="D26" s="1287">
        <v>0</v>
      </c>
      <c r="E26" s="2716">
        <v>0</v>
      </c>
      <c r="F26" s="1287">
        <v>0</v>
      </c>
      <c r="G26" s="1287">
        <f t="shared" si="30"/>
        <v>0</v>
      </c>
      <c r="H26" s="1287">
        <f t="shared" si="31"/>
        <v>0</v>
      </c>
      <c r="I26" s="1287">
        <f t="shared" si="32"/>
        <v>0</v>
      </c>
      <c r="J26" s="1291">
        <f t="shared" si="33"/>
        <v>0</v>
      </c>
      <c r="K26" s="3219">
        <v>0</v>
      </c>
      <c r="L26" s="1287">
        <v>0</v>
      </c>
      <c r="M26" s="1287">
        <f t="shared" si="34"/>
        <v>0</v>
      </c>
      <c r="N26" s="1287">
        <f t="shared" si="35"/>
        <v>0</v>
      </c>
      <c r="O26" s="1287">
        <f t="shared" si="36"/>
        <v>0</v>
      </c>
      <c r="P26" s="1287">
        <f t="shared" si="37"/>
        <v>0</v>
      </c>
      <c r="Q26" s="1287">
        <f t="shared" si="38"/>
        <v>0</v>
      </c>
      <c r="R26" s="1287">
        <v>0</v>
      </c>
      <c r="S26" s="1287">
        <f t="shared" si="39"/>
        <v>0</v>
      </c>
      <c r="T26" s="1287">
        <f t="shared" si="40"/>
        <v>0</v>
      </c>
      <c r="U26" s="1287">
        <f t="shared" si="41"/>
        <v>0</v>
      </c>
      <c r="V26" s="1287">
        <f t="shared" si="42"/>
        <v>0</v>
      </c>
      <c r="W26" s="1287">
        <v>0</v>
      </c>
      <c r="X26" s="1287"/>
      <c r="Y26" s="1287">
        <f t="shared" si="43"/>
        <v>0</v>
      </c>
      <c r="Z26" s="1287">
        <f t="shared" si="44"/>
        <v>0</v>
      </c>
      <c r="AA26" s="1287">
        <f t="shared" si="45"/>
        <v>0</v>
      </c>
      <c r="AB26" s="1287">
        <f t="shared" si="46"/>
        <v>0</v>
      </c>
      <c r="AC26" s="1287">
        <f t="shared" si="47"/>
        <v>0</v>
      </c>
      <c r="AD26" s="1284"/>
      <c r="AE26" s="1213">
        <f t="shared" si="1"/>
        <v>0</v>
      </c>
      <c r="AF26" s="1213">
        <f t="shared" si="2"/>
        <v>0</v>
      </c>
      <c r="AG26" s="1213">
        <f t="shared" si="3"/>
        <v>0</v>
      </c>
      <c r="AH26" s="2919">
        <f t="shared" si="4"/>
        <v>0</v>
      </c>
      <c r="AI26" s="1834"/>
      <c r="AJ26" s="579">
        <f t="shared" si="18"/>
        <v>0</v>
      </c>
      <c r="AK26" s="420"/>
    </row>
    <row r="27" spans="1:37" s="424" customFormat="1" ht="15">
      <c r="A27" s="2934" t="s">
        <v>15</v>
      </c>
      <c r="B27" s="1282" t="s">
        <v>15</v>
      </c>
      <c r="C27" s="1292" t="s">
        <v>150</v>
      </c>
      <c r="D27" s="1293">
        <v>0</v>
      </c>
      <c r="E27" s="2718">
        <v>0</v>
      </c>
      <c r="F27" s="1293">
        <v>0</v>
      </c>
      <c r="G27" s="1293">
        <f t="shared" si="30"/>
        <v>0</v>
      </c>
      <c r="H27" s="1293">
        <f t="shared" si="31"/>
        <v>0</v>
      </c>
      <c r="I27" s="1293">
        <f t="shared" si="32"/>
        <v>0</v>
      </c>
      <c r="J27" s="1293">
        <f t="shared" si="33"/>
        <v>0</v>
      </c>
      <c r="K27" s="3221">
        <v>0</v>
      </c>
      <c r="L27" s="1293">
        <v>0</v>
      </c>
      <c r="M27" s="1293">
        <f t="shared" si="34"/>
        <v>0</v>
      </c>
      <c r="N27" s="1293">
        <f t="shared" si="35"/>
        <v>0</v>
      </c>
      <c r="O27" s="1293">
        <f t="shared" si="36"/>
        <v>0</v>
      </c>
      <c r="P27" s="1293">
        <f t="shared" si="37"/>
        <v>0</v>
      </c>
      <c r="Q27" s="1293">
        <f t="shared" si="38"/>
        <v>0</v>
      </c>
      <c r="R27" s="1293">
        <v>0</v>
      </c>
      <c r="S27" s="1293">
        <f t="shared" si="39"/>
        <v>0</v>
      </c>
      <c r="T27" s="1293">
        <f t="shared" si="40"/>
        <v>0</v>
      </c>
      <c r="U27" s="1293">
        <f t="shared" si="41"/>
        <v>0</v>
      </c>
      <c r="V27" s="1293">
        <f t="shared" si="42"/>
        <v>0</v>
      </c>
      <c r="W27" s="1293">
        <v>0</v>
      </c>
      <c r="X27" s="1293">
        <f>+V27</f>
        <v>0</v>
      </c>
      <c r="Y27" s="1293">
        <f t="shared" si="43"/>
        <v>0</v>
      </c>
      <c r="Z27" s="1293">
        <f t="shared" si="44"/>
        <v>0</v>
      </c>
      <c r="AA27" s="1293">
        <f t="shared" si="45"/>
        <v>0</v>
      </c>
      <c r="AB27" s="1293">
        <f t="shared" si="46"/>
        <v>0</v>
      </c>
      <c r="AC27" s="1293">
        <f t="shared" si="47"/>
        <v>0</v>
      </c>
      <c r="AD27" s="1284"/>
      <c r="AE27" s="1213">
        <f t="shared" si="1"/>
        <v>0</v>
      </c>
      <c r="AF27" s="1213">
        <f t="shared" si="2"/>
        <v>0</v>
      </c>
      <c r="AG27" s="1213">
        <f t="shared" si="3"/>
        <v>0</v>
      </c>
      <c r="AH27" s="2919">
        <f t="shared" si="4"/>
        <v>0</v>
      </c>
      <c r="AI27" s="1834"/>
      <c r="AJ27" s="579">
        <f t="shared" si="18"/>
        <v>0</v>
      </c>
      <c r="AK27" s="427"/>
    </row>
    <row r="28" spans="1:37" s="424" customFormat="1" ht="15">
      <c r="A28" s="2933"/>
      <c r="B28" s="1289" t="s">
        <v>212</v>
      </c>
      <c r="C28" s="1290" t="s">
        <v>1280</v>
      </c>
      <c r="D28" s="1287">
        <v>0</v>
      </c>
      <c r="E28" s="2716">
        <v>0</v>
      </c>
      <c r="F28" s="1287">
        <v>0</v>
      </c>
      <c r="G28" s="1287">
        <f t="shared" si="30"/>
        <v>0</v>
      </c>
      <c r="H28" s="1287">
        <f t="shared" si="31"/>
        <v>0</v>
      </c>
      <c r="I28" s="1287">
        <f t="shared" si="32"/>
        <v>0</v>
      </c>
      <c r="J28" s="1287">
        <f t="shared" si="33"/>
        <v>0</v>
      </c>
      <c r="K28" s="3219">
        <v>0</v>
      </c>
      <c r="L28" s="1287">
        <v>0</v>
      </c>
      <c r="M28" s="1287">
        <f t="shared" si="34"/>
        <v>0</v>
      </c>
      <c r="N28" s="1287">
        <f t="shared" si="35"/>
        <v>0</v>
      </c>
      <c r="O28" s="1287">
        <f t="shared" si="36"/>
        <v>0</v>
      </c>
      <c r="P28" s="1287">
        <f t="shared" si="37"/>
        <v>0</v>
      </c>
      <c r="Q28" s="1287">
        <f t="shared" si="38"/>
        <v>0</v>
      </c>
      <c r="R28" s="1287">
        <v>0</v>
      </c>
      <c r="S28" s="1287">
        <f t="shared" si="39"/>
        <v>0</v>
      </c>
      <c r="T28" s="1287">
        <f t="shared" si="40"/>
        <v>0</v>
      </c>
      <c r="U28" s="1287">
        <f t="shared" si="41"/>
        <v>0</v>
      </c>
      <c r="V28" s="1287">
        <f t="shared" si="42"/>
        <v>0</v>
      </c>
      <c r="W28" s="1287">
        <f>+V28</f>
        <v>0</v>
      </c>
      <c r="X28" s="1287"/>
      <c r="Y28" s="1287">
        <f t="shared" si="43"/>
        <v>0</v>
      </c>
      <c r="Z28" s="1287">
        <f t="shared" si="44"/>
        <v>0</v>
      </c>
      <c r="AA28" s="1287">
        <f t="shared" si="45"/>
        <v>0</v>
      </c>
      <c r="AB28" s="1287">
        <f t="shared" si="46"/>
        <v>0</v>
      </c>
      <c r="AC28" s="1287">
        <f t="shared" si="47"/>
        <v>0</v>
      </c>
      <c r="AD28" s="1284"/>
      <c r="AE28" s="1213">
        <f t="shared" si="1"/>
        <v>0</v>
      </c>
      <c r="AF28" s="1213">
        <f t="shared" si="2"/>
        <v>0</v>
      </c>
      <c r="AG28" s="1213">
        <f t="shared" si="3"/>
        <v>0</v>
      </c>
      <c r="AH28" s="2919">
        <f t="shared" si="4"/>
        <v>0</v>
      </c>
      <c r="AI28" s="1834"/>
      <c r="AJ28" s="579">
        <f t="shared" si="18"/>
        <v>0</v>
      </c>
      <c r="AK28" s="420"/>
    </row>
    <row r="29" spans="1:37" s="424" customFormat="1" ht="15">
      <c r="A29" s="2934" t="s">
        <v>17</v>
      </c>
      <c r="B29" s="1474" t="s">
        <v>17</v>
      </c>
      <c r="C29" s="1292" t="s">
        <v>153</v>
      </c>
      <c r="D29" s="1213">
        <v>0</v>
      </c>
      <c r="E29" s="2715">
        <v>0</v>
      </c>
      <c r="F29" s="1213">
        <v>0</v>
      </c>
      <c r="G29" s="1213">
        <f t="shared" si="30"/>
        <v>0</v>
      </c>
      <c r="H29" s="1213">
        <f t="shared" si="31"/>
        <v>0</v>
      </c>
      <c r="I29" s="1213">
        <f t="shared" si="32"/>
        <v>0</v>
      </c>
      <c r="J29" s="1213">
        <f t="shared" si="33"/>
        <v>0</v>
      </c>
      <c r="K29" s="3221">
        <v>0</v>
      </c>
      <c r="L29" s="1213">
        <v>0</v>
      </c>
      <c r="M29" s="1213">
        <f t="shared" si="34"/>
        <v>0</v>
      </c>
      <c r="N29" s="1213">
        <f t="shared" si="35"/>
        <v>0</v>
      </c>
      <c r="O29" s="1213">
        <f t="shared" si="36"/>
        <v>0</v>
      </c>
      <c r="P29" s="1213">
        <f t="shared" si="37"/>
        <v>0</v>
      </c>
      <c r="Q29" s="1213">
        <f t="shared" si="38"/>
        <v>0</v>
      </c>
      <c r="R29" s="1213">
        <v>0</v>
      </c>
      <c r="S29" s="1213">
        <f t="shared" si="39"/>
        <v>0</v>
      </c>
      <c r="T29" s="1213">
        <f t="shared" si="40"/>
        <v>0</v>
      </c>
      <c r="U29" s="1213">
        <f t="shared" si="41"/>
        <v>0</v>
      </c>
      <c r="V29" s="1213">
        <f t="shared" si="42"/>
        <v>0</v>
      </c>
      <c r="W29" s="1213">
        <v>0</v>
      </c>
      <c r="X29" s="1213"/>
      <c r="Y29" s="1213">
        <f t="shared" si="43"/>
        <v>0</v>
      </c>
      <c r="Z29" s="1213">
        <f t="shared" si="44"/>
        <v>0</v>
      </c>
      <c r="AA29" s="1213">
        <f t="shared" si="45"/>
        <v>0</v>
      </c>
      <c r="AB29" s="1213">
        <f t="shared" si="46"/>
        <v>0</v>
      </c>
      <c r="AC29" s="1213">
        <f t="shared" si="47"/>
        <v>0</v>
      </c>
      <c r="AD29" s="1284"/>
      <c r="AE29" s="1213">
        <f t="shared" si="1"/>
        <v>0</v>
      </c>
      <c r="AF29" s="1213">
        <f t="shared" si="2"/>
        <v>0</v>
      </c>
      <c r="AG29" s="1213">
        <f t="shared" si="3"/>
        <v>0</v>
      </c>
      <c r="AH29" s="2919">
        <f t="shared" si="4"/>
        <v>0</v>
      </c>
      <c r="AI29" s="1829"/>
      <c r="AJ29" s="579">
        <f t="shared" si="18"/>
        <v>0</v>
      </c>
      <c r="AK29" s="412"/>
    </row>
    <row r="30" spans="1:37" s="416" customFormat="1" ht="15">
      <c r="A30" s="2934" t="s">
        <v>19</v>
      </c>
      <c r="B30" s="1282" t="s">
        <v>19</v>
      </c>
      <c r="C30" s="1292" t="s">
        <v>1281</v>
      </c>
      <c r="D30" s="1293">
        <v>0</v>
      </c>
      <c r="E30" s="2718">
        <v>0</v>
      </c>
      <c r="F30" s="1293">
        <v>0</v>
      </c>
      <c r="G30" s="1293">
        <f t="shared" si="30"/>
        <v>0</v>
      </c>
      <c r="H30" s="1293">
        <f t="shared" si="31"/>
        <v>0</v>
      </c>
      <c r="I30" s="1293">
        <f t="shared" si="32"/>
        <v>0</v>
      </c>
      <c r="J30" s="1293">
        <f t="shared" si="33"/>
        <v>0</v>
      </c>
      <c r="K30" s="3221">
        <v>0</v>
      </c>
      <c r="L30" s="1293">
        <v>0</v>
      </c>
      <c r="M30" s="1293">
        <f t="shared" si="34"/>
        <v>0</v>
      </c>
      <c r="N30" s="1293">
        <f t="shared" si="35"/>
        <v>0</v>
      </c>
      <c r="O30" s="1293">
        <f t="shared" si="36"/>
        <v>0</v>
      </c>
      <c r="P30" s="1293">
        <f t="shared" si="37"/>
        <v>0</v>
      </c>
      <c r="Q30" s="1293">
        <f t="shared" si="38"/>
        <v>0</v>
      </c>
      <c r="R30" s="1293">
        <v>0</v>
      </c>
      <c r="S30" s="1293">
        <f t="shared" si="39"/>
        <v>0</v>
      </c>
      <c r="T30" s="1293">
        <f t="shared" si="40"/>
        <v>0</v>
      </c>
      <c r="U30" s="1293">
        <f t="shared" si="41"/>
        <v>0</v>
      </c>
      <c r="V30" s="1293">
        <f t="shared" si="42"/>
        <v>0</v>
      </c>
      <c r="W30" s="1293">
        <v>0</v>
      </c>
      <c r="X30" s="1293"/>
      <c r="Y30" s="1293">
        <f t="shared" si="43"/>
        <v>0</v>
      </c>
      <c r="Z30" s="1293">
        <f t="shared" si="44"/>
        <v>0</v>
      </c>
      <c r="AA30" s="1293">
        <f t="shared" si="45"/>
        <v>0</v>
      </c>
      <c r="AB30" s="1293">
        <f t="shared" si="46"/>
        <v>0</v>
      </c>
      <c r="AC30" s="1293">
        <f t="shared" si="47"/>
        <v>0</v>
      </c>
      <c r="AD30" s="1284"/>
      <c r="AE30" s="1213">
        <f t="shared" si="1"/>
        <v>0</v>
      </c>
      <c r="AF30" s="1213">
        <f t="shared" si="2"/>
        <v>0</v>
      </c>
      <c r="AG30" s="1213">
        <f t="shared" si="3"/>
        <v>0</v>
      </c>
      <c r="AH30" s="2919">
        <f t="shared" si="4"/>
        <v>0</v>
      </c>
      <c r="AI30" s="1834"/>
      <c r="AJ30" s="579">
        <f t="shared" si="18"/>
        <v>0</v>
      </c>
      <c r="AK30" s="427"/>
    </row>
    <row r="31" spans="1:37" s="416" customFormat="1" ht="15">
      <c r="A31" s="2934" t="s">
        <v>21</v>
      </c>
      <c r="B31" s="1282" t="s">
        <v>21</v>
      </c>
      <c r="C31" s="1292" t="s">
        <v>393</v>
      </c>
      <c r="D31" s="1293">
        <v>0</v>
      </c>
      <c r="E31" s="2718">
        <v>0</v>
      </c>
      <c r="F31" s="1293">
        <v>0</v>
      </c>
      <c r="G31" s="1293">
        <f t="shared" si="30"/>
        <v>0</v>
      </c>
      <c r="H31" s="1293">
        <f t="shared" si="31"/>
        <v>0</v>
      </c>
      <c r="I31" s="1293">
        <f t="shared" si="32"/>
        <v>0</v>
      </c>
      <c r="J31" s="1293">
        <f t="shared" si="33"/>
        <v>0</v>
      </c>
      <c r="K31" s="3219">
        <v>0</v>
      </c>
      <c r="L31" s="1227">
        <v>0</v>
      </c>
      <c r="M31" s="1227">
        <f t="shared" si="34"/>
        <v>0</v>
      </c>
      <c r="N31" s="1227">
        <f t="shared" si="35"/>
        <v>0</v>
      </c>
      <c r="O31" s="1227">
        <f t="shared" si="36"/>
        <v>0</v>
      </c>
      <c r="P31" s="1227">
        <f t="shared" si="37"/>
        <v>0</v>
      </c>
      <c r="Q31" s="1227">
        <f t="shared" si="38"/>
        <v>0</v>
      </c>
      <c r="R31" s="1227">
        <v>0</v>
      </c>
      <c r="S31" s="1227">
        <f t="shared" si="39"/>
        <v>0</v>
      </c>
      <c r="T31" s="1227">
        <f t="shared" si="40"/>
        <v>0</v>
      </c>
      <c r="U31" s="1227">
        <f t="shared" si="41"/>
        <v>0</v>
      </c>
      <c r="V31" s="1227">
        <f t="shared" si="42"/>
        <v>0</v>
      </c>
      <c r="W31" s="1227">
        <v>0</v>
      </c>
      <c r="X31" s="1227"/>
      <c r="Y31" s="1227">
        <f t="shared" si="43"/>
        <v>0</v>
      </c>
      <c r="Z31" s="1227">
        <f t="shared" si="44"/>
        <v>0</v>
      </c>
      <c r="AA31" s="1227">
        <f t="shared" si="45"/>
        <v>0</v>
      </c>
      <c r="AB31" s="1227">
        <f t="shared" si="46"/>
        <v>0</v>
      </c>
      <c r="AC31" s="1227">
        <f t="shared" si="47"/>
        <v>0</v>
      </c>
      <c r="AD31" s="1284"/>
      <c r="AE31" s="1213">
        <f t="shared" si="1"/>
        <v>0</v>
      </c>
      <c r="AF31" s="1213">
        <f t="shared" si="2"/>
        <v>0</v>
      </c>
      <c r="AG31" s="1213">
        <f t="shared" si="3"/>
        <v>0</v>
      </c>
      <c r="AH31" s="2919">
        <f t="shared" si="4"/>
        <v>0</v>
      </c>
      <c r="AI31" s="1834"/>
      <c r="AJ31" s="579">
        <f t="shared" si="18"/>
        <v>0</v>
      </c>
      <c r="AK31" s="427"/>
    </row>
    <row r="32" spans="1:37" s="416" customFormat="1" ht="15">
      <c r="A32" s="2933" t="s">
        <v>23</v>
      </c>
      <c r="B32" s="1474" t="s">
        <v>23</v>
      </c>
      <c r="C32" s="1292" t="s">
        <v>1282</v>
      </c>
      <c r="D32" s="1213">
        <f t="shared" ref="D32:AC32" si="48">+D8+D20+D23+D27+D29+D30+D31</f>
        <v>104436114</v>
      </c>
      <c r="E32" s="2715">
        <f t="shared" si="48"/>
        <v>108091530</v>
      </c>
      <c r="F32" s="1213">
        <f t="shared" si="48"/>
        <v>113767785</v>
      </c>
      <c r="G32" s="1213">
        <f t="shared" si="48"/>
        <v>113767785</v>
      </c>
      <c r="H32" s="1213">
        <f t="shared" si="48"/>
        <v>114517485</v>
      </c>
      <c r="I32" s="1213">
        <f t="shared" si="48"/>
        <v>115036414</v>
      </c>
      <c r="J32" s="1213">
        <f t="shared" si="48"/>
        <v>115036414</v>
      </c>
      <c r="K32" s="3208">
        <f t="shared" si="48"/>
        <v>115036414</v>
      </c>
      <c r="L32" s="1213">
        <f t="shared" si="48"/>
        <v>113767785</v>
      </c>
      <c r="M32" s="1213">
        <f t="shared" si="48"/>
        <v>113767785</v>
      </c>
      <c r="N32" s="1213">
        <f t="shared" si="48"/>
        <v>114517485</v>
      </c>
      <c r="O32" s="1213">
        <f t="shared" si="48"/>
        <v>115036414</v>
      </c>
      <c r="P32" s="1213">
        <f t="shared" si="48"/>
        <v>115036414</v>
      </c>
      <c r="Q32" s="1213">
        <f t="shared" si="48"/>
        <v>115036414</v>
      </c>
      <c r="R32" s="1213">
        <f t="shared" si="48"/>
        <v>0</v>
      </c>
      <c r="S32" s="1213">
        <f t="shared" si="48"/>
        <v>0</v>
      </c>
      <c r="T32" s="1213">
        <f t="shared" si="48"/>
        <v>0</v>
      </c>
      <c r="U32" s="1213">
        <f t="shared" si="48"/>
        <v>0</v>
      </c>
      <c r="V32" s="1213">
        <f t="shared" si="48"/>
        <v>0</v>
      </c>
      <c r="W32" s="1213">
        <f t="shared" si="48"/>
        <v>0</v>
      </c>
      <c r="X32" s="1213">
        <f t="shared" si="48"/>
        <v>0</v>
      </c>
      <c r="Y32" s="1213">
        <f t="shared" si="48"/>
        <v>0</v>
      </c>
      <c r="Z32" s="1213">
        <f t="shared" si="48"/>
        <v>0</v>
      </c>
      <c r="AA32" s="1213">
        <f t="shared" si="48"/>
        <v>0</v>
      </c>
      <c r="AB32" s="1213">
        <f t="shared" si="48"/>
        <v>0</v>
      </c>
      <c r="AC32" s="1213">
        <f t="shared" si="48"/>
        <v>0</v>
      </c>
      <c r="AD32" s="1283"/>
      <c r="AE32" s="1213">
        <f t="shared" si="1"/>
        <v>0</v>
      </c>
      <c r="AF32" s="1213">
        <f t="shared" si="2"/>
        <v>749700</v>
      </c>
      <c r="AG32" s="1213">
        <f t="shared" si="3"/>
        <v>518929</v>
      </c>
      <c r="AH32" s="2919">
        <f t="shared" si="4"/>
        <v>0</v>
      </c>
      <c r="AI32" s="1829">
        <f>+K32/I32</f>
        <v>1</v>
      </c>
      <c r="AJ32" s="579">
        <f t="shared" si="18"/>
        <v>9331671</v>
      </c>
      <c r="AK32" s="412"/>
    </row>
    <row r="33" spans="1:38" s="424" customFormat="1" ht="15">
      <c r="A33" s="2975" t="s">
        <v>25</v>
      </c>
      <c r="B33" s="1282" t="s">
        <v>25</v>
      </c>
      <c r="C33" s="1292" t="s">
        <v>1305</v>
      </c>
      <c r="D33" s="1213">
        <f t="shared" ref="D33:AC33" si="49">SUM(D34:D36)</f>
        <v>113779469</v>
      </c>
      <c r="E33" s="2715">
        <f t="shared" si="49"/>
        <v>112907058</v>
      </c>
      <c r="F33" s="1213">
        <f t="shared" si="49"/>
        <v>124036091</v>
      </c>
      <c r="G33" s="1213">
        <f t="shared" si="49"/>
        <v>143381278</v>
      </c>
      <c r="H33" s="1213">
        <f t="shared" si="49"/>
        <v>144051308</v>
      </c>
      <c r="I33" s="1213">
        <f t="shared" si="49"/>
        <v>158162787</v>
      </c>
      <c r="J33" s="1213">
        <f t="shared" si="49"/>
        <v>158162787</v>
      </c>
      <c r="K33" s="3208">
        <f>SUM(K34:K36)</f>
        <v>158162787</v>
      </c>
      <c r="L33" s="1213">
        <f t="shared" si="49"/>
        <v>124036091</v>
      </c>
      <c r="M33" s="1213">
        <f t="shared" si="49"/>
        <v>143381278</v>
      </c>
      <c r="N33" s="1213">
        <f t="shared" si="49"/>
        <v>144051308</v>
      </c>
      <c r="O33" s="1213">
        <f t="shared" si="49"/>
        <v>158162787</v>
      </c>
      <c r="P33" s="1213">
        <f t="shared" si="49"/>
        <v>158162787</v>
      </c>
      <c r="Q33" s="1213">
        <f t="shared" si="49"/>
        <v>158162787</v>
      </c>
      <c r="R33" s="1213">
        <f t="shared" si="49"/>
        <v>0</v>
      </c>
      <c r="S33" s="1213">
        <f t="shared" si="49"/>
        <v>0</v>
      </c>
      <c r="T33" s="1213">
        <f t="shared" si="49"/>
        <v>0</v>
      </c>
      <c r="U33" s="1213">
        <f t="shared" si="49"/>
        <v>0</v>
      </c>
      <c r="V33" s="1213">
        <f t="shared" si="49"/>
        <v>0</v>
      </c>
      <c r="W33" s="1213">
        <f t="shared" si="49"/>
        <v>0</v>
      </c>
      <c r="X33" s="1213">
        <f t="shared" si="49"/>
        <v>0</v>
      </c>
      <c r="Y33" s="1213">
        <f t="shared" si="49"/>
        <v>0</v>
      </c>
      <c r="Z33" s="1213">
        <f t="shared" si="49"/>
        <v>0</v>
      </c>
      <c r="AA33" s="1213">
        <f t="shared" si="49"/>
        <v>0</v>
      </c>
      <c r="AB33" s="1213">
        <f t="shared" si="49"/>
        <v>0</v>
      </c>
      <c r="AC33" s="1213">
        <f t="shared" si="49"/>
        <v>0</v>
      </c>
      <c r="AD33" s="1284"/>
      <c r="AE33" s="1213">
        <f t="shared" si="1"/>
        <v>19345187</v>
      </c>
      <c r="AF33" s="1213">
        <f t="shared" si="2"/>
        <v>670030</v>
      </c>
      <c r="AG33" s="1213">
        <f t="shared" si="3"/>
        <v>14111479</v>
      </c>
      <c r="AH33" s="2919">
        <f t="shared" si="4"/>
        <v>0</v>
      </c>
      <c r="AI33" s="1829">
        <f>+K33/I33</f>
        <v>1</v>
      </c>
      <c r="AJ33" s="579">
        <f t="shared" si="18"/>
        <v>10256622</v>
      </c>
      <c r="AK33" s="412"/>
    </row>
    <row r="34" spans="1:38" s="424" customFormat="1" ht="15">
      <c r="A34" s="2975"/>
      <c r="B34" s="1477" t="s">
        <v>1284</v>
      </c>
      <c r="C34" s="1286" t="s">
        <v>1285</v>
      </c>
      <c r="D34" s="1291">
        <v>0</v>
      </c>
      <c r="E34" s="2717">
        <v>24716017</v>
      </c>
      <c r="F34" s="1291">
        <v>0</v>
      </c>
      <c r="G34" s="1227">
        <f>+F34+19345187</f>
        <v>19345187</v>
      </c>
      <c r="H34" s="1227">
        <f t="shared" ref="G34:J36" si="50">+G34</f>
        <v>19345187</v>
      </c>
      <c r="I34" s="1227">
        <f t="shared" si="50"/>
        <v>19345187</v>
      </c>
      <c r="J34" s="1227">
        <f t="shared" si="50"/>
        <v>19345187</v>
      </c>
      <c r="K34" s="3220">
        <v>19345187</v>
      </c>
      <c r="L34" s="1291">
        <v>0</v>
      </c>
      <c r="M34" s="1227">
        <f>+L34+19345187</f>
        <v>19345187</v>
      </c>
      <c r="N34" s="1227">
        <f t="shared" ref="M34:P36" si="51">+M34</f>
        <v>19345187</v>
      </c>
      <c r="O34" s="1227">
        <f t="shared" si="51"/>
        <v>19345187</v>
      </c>
      <c r="P34" s="1227">
        <f t="shared" si="51"/>
        <v>19345187</v>
      </c>
      <c r="Q34" s="1291">
        <f>+K34</f>
        <v>19345187</v>
      </c>
      <c r="R34" s="1291">
        <v>0</v>
      </c>
      <c r="S34" s="1291">
        <f t="shared" ref="S34:V36" si="52">+R34</f>
        <v>0</v>
      </c>
      <c r="T34" s="1213">
        <f t="shared" si="52"/>
        <v>0</v>
      </c>
      <c r="U34" s="1291">
        <f t="shared" si="52"/>
        <v>0</v>
      </c>
      <c r="V34" s="1291">
        <f t="shared" si="52"/>
        <v>0</v>
      </c>
      <c r="W34" s="1291">
        <v>0</v>
      </c>
      <c r="X34" s="1213"/>
      <c r="Y34" s="1213">
        <f t="shared" ref="Y34:AC36" si="53">+X34</f>
        <v>0</v>
      </c>
      <c r="Z34" s="1213">
        <f t="shared" si="53"/>
        <v>0</v>
      </c>
      <c r="AA34" s="1213">
        <f t="shared" si="53"/>
        <v>0</v>
      </c>
      <c r="AB34" s="1213">
        <f t="shared" si="53"/>
        <v>0</v>
      </c>
      <c r="AC34" s="1213">
        <f t="shared" si="53"/>
        <v>0</v>
      </c>
      <c r="AD34" s="2947"/>
      <c r="AE34" s="1213">
        <f t="shared" si="1"/>
        <v>19345187</v>
      </c>
      <c r="AF34" s="1213">
        <f t="shared" si="2"/>
        <v>0</v>
      </c>
      <c r="AG34" s="1213">
        <f t="shared" si="3"/>
        <v>0</v>
      </c>
      <c r="AH34" s="2919">
        <f t="shared" si="4"/>
        <v>0</v>
      </c>
      <c r="AI34" s="1834">
        <f>+K34/I34</f>
        <v>1</v>
      </c>
      <c r="AJ34" s="579">
        <f t="shared" si="18"/>
        <v>0</v>
      </c>
      <c r="AK34" s="548"/>
    </row>
    <row r="35" spans="1:38" s="424" customFormat="1" ht="15">
      <c r="A35" s="2933"/>
      <c r="B35" s="1477" t="s">
        <v>1286</v>
      </c>
      <c r="C35" s="1286" t="s">
        <v>1287</v>
      </c>
      <c r="D35" s="1227">
        <v>0</v>
      </c>
      <c r="E35" s="2719">
        <v>0</v>
      </c>
      <c r="F35" s="1227">
        <v>0</v>
      </c>
      <c r="G35" s="1227">
        <f t="shared" si="50"/>
        <v>0</v>
      </c>
      <c r="H35" s="1227">
        <f t="shared" si="50"/>
        <v>0</v>
      </c>
      <c r="I35" s="1227">
        <f t="shared" si="50"/>
        <v>0</v>
      </c>
      <c r="J35" s="1227">
        <f t="shared" si="50"/>
        <v>0</v>
      </c>
      <c r="K35" s="3209">
        <v>0</v>
      </c>
      <c r="L35" s="1227">
        <v>0</v>
      </c>
      <c r="M35" s="1227">
        <f t="shared" si="51"/>
        <v>0</v>
      </c>
      <c r="N35" s="1227">
        <f t="shared" si="51"/>
        <v>0</v>
      </c>
      <c r="O35" s="1227">
        <f t="shared" si="51"/>
        <v>0</v>
      </c>
      <c r="P35" s="1227">
        <f t="shared" si="51"/>
        <v>0</v>
      </c>
      <c r="Q35" s="1227">
        <f>+K35</f>
        <v>0</v>
      </c>
      <c r="R35" s="1227">
        <v>0</v>
      </c>
      <c r="S35" s="1227">
        <f t="shared" si="52"/>
        <v>0</v>
      </c>
      <c r="T35" s="1227">
        <f t="shared" si="52"/>
        <v>0</v>
      </c>
      <c r="U35" s="1227">
        <f t="shared" si="52"/>
        <v>0</v>
      </c>
      <c r="V35" s="1227">
        <f t="shared" si="52"/>
        <v>0</v>
      </c>
      <c r="W35" s="1227">
        <v>0</v>
      </c>
      <c r="X35" s="1227"/>
      <c r="Y35" s="1227">
        <f t="shared" si="53"/>
        <v>0</v>
      </c>
      <c r="Z35" s="1227">
        <f t="shared" si="53"/>
        <v>0</v>
      </c>
      <c r="AA35" s="1227">
        <f t="shared" si="53"/>
        <v>0</v>
      </c>
      <c r="AB35" s="1227">
        <f t="shared" si="53"/>
        <v>0</v>
      </c>
      <c r="AC35" s="1227">
        <f t="shared" si="53"/>
        <v>0</v>
      </c>
      <c r="AD35" s="1284"/>
      <c r="AE35" s="1213">
        <f t="shared" si="1"/>
        <v>0</v>
      </c>
      <c r="AF35" s="1213">
        <f t="shared" si="2"/>
        <v>0</v>
      </c>
      <c r="AG35" s="1213">
        <f t="shared" si="3"/>
        <v>0</v>
      </c>
      <c r="AH35" s="2919">
        <f t="shared" si="4"/>
        <v>0</v>
      </c>
      <c r="AI35" s="1834"/>
      <c r="AJ35" s="579">
        <f t="shared" si="18"/>
        <v>0</v>
      </c>
      <c r="AK35" s="430"/>
    </row>
    <row r="36" spans="1:38" s="424" customFormat="1" ht="15">
      <c r="A36" s="2976"/>
      <c r="B36" s="1477" t="s">
        <v>1288</v>
      </c>
      <c r="C36" s="1286" t="s">
        <v>1289</v>
      </c>
      <c r="D36" s="1227">
        <f>113389875+389594</f>
        <v>113779469</v>
      </c>
      <c r="E36" s="2719">
        <v>88191041</v>
      </c>
      <c r="F36" s="1227">
        <v>124036091</v>
      </c>
      <c r="G36" s="1227">
        <f t="shared" si="50"/>
        <v>124036091</v>
      </c>
      <c r="H36" s="1227">
        <f>+G36+9000*12+237300+324730</f>
        <v>124706121</v>
      </c>
      <c r="I36" s="1227">
        <f>+H36+237300+13874179</f>
        <v>138817600</v>
      </c>
      <c r="J36" s="1227">
        <f>+I36</f>
        <v>138817600</v>
      </c>
      <c r="K36" s="3209">
        <v>138817600</v>
      </c>
      <c r="L36" s="1227">
        <f>+F36</f>
        <v>124036091</v>
      </c>
      <c r="M36" s="1227">
        <f t="shared" si="51"/>
        <v>124036091</v>
      </c>
      <c r="N36" s="1227">
        <f>+M36+9000*12+237300+324730</f>
        <v>124706121</v>
      </c>
      <c r="O36" s="1227">
        <f>+N36+237300+13874179</f>
        <v>138817600</v>
      </c>
      <c r="P36" s="1227">
        <f t="shared" si="51"/>
        <v>138817600</v>
      </c>
      <c r="Q36" s="1227">
        <f>+K36</f>
        <v>138817600</v>
      </c>
      <c r="R36" s="1227">
        <v>0</v>
      </c>
      <c r="S36" s="1227">
        <f t="shared" si="52"/>
        <v>0</v>
      </c>
      <c r="T36" s="1227">
        <f t="shared" si="52"/>
        <v>0</v>
      </c>
      <c r="U36" s="1227">
        <f t="shared" si="52"/>
        <v>0</v>
      </c>
      <c r="V36" s="1227">
        <f t="shared" si="52"/>
        <v>0</v>
      </c>
      <c r="W36" s="1227">
        <v>0</v>
      </c>
      <c r="X36" s="1227"/>
      <c r="Y36" s="1227">
        <f t="shared" si="53"/>
        <v>0</v>
      </c>
      <c r="Z36" s="1227">
        <f t="shared" si="53"/>
        <v>0</v>
      </c>
      <c r="AA36" s="1227">
        <f t="shared" si="53"/>
        <v>0</v>
      </c>
      <c r="AB36" s="1227">
        <f t="shared" si="53"/>
        <v>0</v>
      </c>
      <c r="AC36" s="1227">
        <f t="shared" si="53"/>
        <v>0</v>
      </c>
      <c r="AD36" s="1284"/>
      <c r="AE36" s="1213">
        <f t="shared" si="1"/>
        <v>0</v>
      </c>
      <c r="AF36" s="1213">
        <f t="shared" si="2"/>
        <v>670030</v>
      </c>
      <c r="AG36" s="1213">
        <f t="shared" si="3"/>
        <v>14111479</v>
      </c>
      <c r="AH36" s="2919">
        <f t="shared" si="4"/>
        <v>0</v>
      </c>
      <c r="AI36" s="1834">
        <f>+K36/I36</f>
        <v>1</v>
      </c>
      <c r="AJ36" s="579">
        <f t="shared" si="18"/>
        <v>10256622</v>
      </c>
      <c r="AK36" s="430"/>
    </row>
    <row r="37" spans="1:38" s="405" customFormat="1" ht="15.75">
      <c r="A37" s="2975" t="s">
        <v>27</v>
      </c>
      <c r="B37" s="1475" t="s">
        <v>27</v>
      </c>
      <c r="C37" s="1297" t="s">
        <v>1290</v>
      </c>
      <c r="D37" s="1298">
        <f t="shared" ref="D37:AC37" si="54">+D32+D33</f>
        <v>218215583</v>
      </c>
      <c r="E37" s="2720">
        <f t="shared" si="54"/>
        <v>220998588</v>
      </c>
      <c r="F37" s="1298">
        <f t="shared" si="54"/>
        <v>237803876</v>
      </c>
      <c r="G37" s="1298">
        <f t="shared" si="54"/>
        <v>257149063</v>
      </c>
      <c r="H37" s="1298">
        <f t="shared" si="54"/>
        <v>258568793</v>
      </c>
      <c r="I37" s="1298">
        <f t="shared" si="54"/>
        <v>273199201</v>
      </c>
      <c r="J37" s="1298">
        <f t="shared" si="54"/>
        <v>273199201</v>
      </c>
      <c r="K37" s="3210">
        <f t="shared" si="54"/>
        <v>273199201</v>
      </c>
      <c r="L37" s="1298">
        <f t="shared" si="54"/>
        <v>237803876</v>
      </c>
      <c r="M37" s="1298">
        <f t="shared" si="54"/>
        <v>257149063</v>
      </c>
      <c r="N37" s="1298">
        <f t="shared" si="54"/>
        <v>258568793</v>
      </c>
      <c r="O37" s="1298">
        <f t="shared" si="54"/>
        <v>273199201</v>
      </c>
      <c r="P37" s="1298">
        <f t="shared" si="54"/>
        <v>273199201</v>
      </c>
      <c r="Q37" s="1298">
        <f t="shared" si="54"/>
        <v>273199201</v>
      </c>
      <c r="R37" s="1298">
        <f t="shared" si="54"/>
        <v>0</v>
      </c>
      <c r="S37" s="1298">
        <f t="shared" si="54"/>
        <v>0</v>
      </c>
      <c r="T37" s="1298">
        <f t="shared" si="54"/>
        <v>0</v>
      </c>
      <c r="U37" s="1298">
        <f t="shared" si="54"/>
        <v>0</v>
      </c>
      <c r="V37" s="1298">
        <f t="shared" si="54"/>
        <v>0</v>
      </c>
      <c r="W37" s="1298">
        <f t="shared" si="54"/>
        <v>0</v>
      </c>
      <c r="X37" s="1298">
        <f t="shared" si="54"/>
        <v>0</v>
      </c>
      <c r="Y37" s="1298">
        <f t="shared" si="54"/>
        <v>0</v>
      </c>
      <c r="Z37" s="1298">
        <f t="shared" si="54"/>
        <v>0</v>
      </c>
      <c r="AA37" s="1298">
        <f t="shared" si="54"/>
        <v>0</v>
      </c>
      <c r="AB37" s="1298">
        <f t="shared" si="54"/>
        <v>0</v>
      </c>
      <c r="AC37" s="1298">
        <f t="shared" si="54"/>
        <v>0</v>
      </c>
      <c r="AD37" s="1284"/>
      <c r="AE37" s="1213">
        <f t="shared" si="1"/>
        <v>19345187</v>
      </c>
      <c r="AF37" s="1213">
        <f t="shared" si="2"/>
        <v>1419730</v>
      </c>
      <c r="AG37" s="1213">
        <f t="shared" si="3"/>
        <v>14630408</v>
      </c>
      <c r="AH37" s="2919">
        <f t="shared" si="4"/>
        <v>0</v>
      </c>
      <c r="AI37" s="1829">
        <f>+K37/I37</f>
        <v>1</v>
      </c>
      <c r="AJ37" s="579">
        <f t="shared" si="18"/>
        <v>19588293</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62"/>
      <c r="AJ38" s="579"/>
      <c r="AK38" s="436"/>
    </row>
    <row r="39" spans="1:38" ht="15">
      <c r="A39" s="2932"/>
      <c r="B39" s="1285"/>
      <c r="C39" s="1548" t="str">
        <f t="shared" ref="C39:T40" si="55">+C4</f>
        <v>A</v>
      </c>
      <c r="D39" s="1549" t="str">
        <f t="shared" si="55"/>
        <v>B</v>
      </c>
      <c r="E39" s="2960" t="str">
        <f t="shared" si="55"/>
        <v>B</v>
      </c>
      <c r="F39" s="1345" t="str">
        <f t="shared" si="55"/>
        <v>B</v>
      </c>
      <c r="G39" s="1345" t="str">
        <f t="shared" si="55"/>
        <v>D</v>
      </c>
      <c r="H39" s="1345" t="str">
        <f t="shared" si="55"/>
        <v>E</v>
      </c>
      <c r="I39" s="1345" t="str">
        <f t="shared" si="55"/>
        <v>C</v>
      </c>
      <c r="J39" s="1345" t="str">
        <f t="shared" si="55"/>
        <v>F</v>
      </c>
      <c r="K39" s="1345" t="str">
        <f t="shared" si="55"/>
        <v>D</v>
      </c>
      <c r="L39" s="1345" t="str">
        <f t="shared" si="55"/>
        <v>E</v>
      </c>
      <c r="M39" s="1345" t="str">
        <f t="shared" si="55"/>
        <v>F</v>
      </c>
      <c r="N39" s="1345" t="str">
        <f t="shared" si="55"/>
        <v>F</v>
      </c>
      <c r="O39" s="1345" t="str">
        <f t="shared" si="55"/>
        <v>E</v>
      </c>
      <c r="P39" s="1345">
        <f t="shared" si="55"/>
        <v>0</v>
      </c>
      <c r="Q39" s="1345" t="str">
        <f t="shared" si="55"/>
        <v>F</v>
      </c>
      <c r="R39" s="1345" t="str">
        <f t="shared" si="55"/>
        <v>E</v>
      </c>
      <c r="S39" s="1345" t="str">
        <f t="shared" si="55"/>
        <v>E</v>
      </c>
      <c r="T39" s="1345" t="str">
        <f t="shared" si="55"/>
        <v>G</v>
      </c>
      <c r="U39" s="1345" t="str">
        <f>+U4</f>
        <v>G</v>
      </c>
      <c r="V39" s="1345">
        <f>+V4</f>
        <v>0</v>
      </c>
      <c r="W39" s="1345" t="str">
        <f>+W4</f>
        <v>H</v>
      </c>
      <c r="X39" s="2961"/>
      <c r="Y39" s="2961"/>
      <c r="Z39" s="2961"/>
      <c r="AA39" s="2961"/>
      <c r="AB39" s="2961"/>
      <c r="AC39" s="2961"/>
      <c r="AD39" s="2962"/>
      <c r="AE39" s="1213"/>
      <c r="AF39" s="1345" t="str">
        <f>+AF4</f>
        <v>H</v>
      </c>
      <c r="AG39" s="1301" t="str">
        <f>+AG4</f>
        <v>I</v>
      </c>
      <c r="AH39" s="1551"/>
      <c r="AI39" s="1845" t="str">
        <f>+AI4</f>
        <v>I</v>
      </c>
      <c r="AJ39" s="579"/>
      <c r="AK39" s="1549"/>
      <c r="AL39" s="439"/>
    </row>
    <row r="40" spans="1:38" ht="73.5">
      <c r="A40" s="2933"/>
      <c r="B40" s="1278" t="s">
        <v>6</v>
      </c>
      <c r="C40" s="1276" t="str">
        <f t="shared" si="55"/>
        <v>Kiemelt előirányzat, előirányzat megnevezése</v>
      </c>
      <c r="D40" s="1278" t="str">
        <f t="shared" si="55"/>
        <v>2024. évi eredeti előirányzat
forintban</v>
      </c>
      <c r="E40" s="2596" t="str">
        <f>+E5</f>
        <v>2024. évi teljesítés forintban</v>
      </c>
      <c r="F40" s="1276" t="str">
        <f t="shared" si="55"/>
        <v>2025. évi eredeti előirányzat forintban</v>
      </c>
      <c r="G40" s="1276" t="str">
        <f t="shared" ref="G40:AJ40" si="56">+G5</f>
        <v>2025. évi I. számú módosított előirányzat
forintban</v>
      </c>
      <c r="H40" s="1276" t="str">
        <f t="shared" si="56"/>
        <v>2025. évi II. számú módosított előirányzat forintban</v>
      </c>
      <c r="I40" s="1276" t="str">
        <f t="shared" si="56"/>
        <v>2025. évi III. számú módosított előirányzat forintban</v>
      </c>
      <c r="J40" s="1276" t="str">
        <f t="shared" si="56"/>
        <v>2025. évi IV. számú módosított előirányzat forintban</v>
      </c>
      <c r="K40" s="3197" t="str">
        <f t="shared" si="56"/>
        <v>2025. évi
teljesítés forintban</v>
      </c>
      <c r="L40" s="1276" t="str">
        <f t="shared" si="56"/>
        <v>Önként vállalt feladat forintban</v>
      </c>
      <c r="M40" s="1276" t="str">
        <f t="shared" si="56"/>
        <v>Önként vállalt feladat I. módosítás
forintban</v>
      </c>
      <c r="N40" s="1276" t="str">
        <f t="shared" si="56"/>
        <v>Önként vállalt feladat II. módosítás forintban</v>
      </c>
      <c r="O40" s="1276" t="str">
        <f t="shared" si="56"/>
        <v>Önként vállalt feladat III. módosítás forintban</v>
      </c>
      <c r="P40" s="1276" t="str">
        <f t="shared" si="56"/>
        <v>Önként vállalt feladat IV. módosítás  forintban</v>
      </c>
      <c r="Q40" s="1276" t="str">
        <f t="shared" si="56"/>
        <v>Önként vállalt teljesítés  forintban</v>
      </c>
      <c r="R40" s="1276" t="str">
        <f t="shared" si="56"/>
        <v>Kötelező feladat forintban</v>
      </c>
      <c r="S40" s="1276" t="str">
        <f t="shared" si="56"/>
        <v>Kötelező feladat 
I. módosítás
forintban</v>
      </c>
      <c r="T40" s="1276" t="str">
        <f t="shared" si="56"/>
        <v>Kötelező feladat II. módosítás forintban</v>
      </c>
      <c r="U40" s="1276" t="str">
        <f t="shared" si="56"/>
        <v>Kötelező feladat III. módosítás  forintban</v>
      </c>
      <c r="V40" s="1278" t="str">
        <f t="shared" si="56"/>
        <v>Kötelező feladat IV. módosítás  forintban</v>
      </c>
      <c r="W40" s="1278" t="str">
        <f t="shared" si="56"/>
        <v>Kötelező teljesítés  forintban</v>
      </c>
      <c r="X40" s="1278">
        <f t="shared" si="56"/>
        <v>0</v>
      </c>
      <c r="Y40" s="1278">
        <f t="shared" si="56"/>
        <v>0</v>
      </c>
      <c r="Z40" s="1278">
        <f t="shared" si="56"/>
        <v>0</v>
      </c>
      <c r="AA40" s="1278">
        <f t="shared" si="56"/>
        <v>0</v>
      </c>
      <c r="AB40" s="1278">
        <f t="shared" si="56"/>
        <v>0</v>
      </c>
      <c r="AC40" s="1278">
        <f t="shared" si="56"/>
        <v>0</v>
      </c>
      <c r="AD40" s="1278"/>
      <c r="AE40" s="1278" t="str">
        <f t="shared" si="56"/>
        <v>I. változás</v>
      </c>
      <c r="AF40" s="1278" t="str">
        <f t="shared" si="56"/>
        <v>Előirányzat-módosítások, előirányzat-átcsoportosítások összegszerű változásai</v>
      </c>
      <c r="AG40" s="2916" t="str">
        <f t="shared" si="56"/>
        <v>Előirányzat-módosítások, előirányzat-átcsoportosítások összegszerű változásai a III. módosításnál</v>
      </c>
      <c r="AH40" s="1854" t="str">
        <f t="shared" si="56"/>
        <v>IV. változás</v>
      </c>
      <c r="AI40" s="1825" t="str">
        <f t="shared" si="56"/>
        <v xml:space="preserve"> 2025. évi teljesítés / 2025. évi III. számú módosított előirányzat</v>
      </c>
      <c r="AJ40" s="1854" t="str">
        <f t="shared" si="56"/>
        <v>Változás Eredeti előző évhez 
Ft-ban</v>
      </c>
      <c r="AK40" s="2595"/>
      <c r="AL40" s="439"/>
    </row>
    <row r="41" spans="1:38" ht="15">
      <c r="A41" s="2934" t="s">
        <v>6</v>
      </c>
      <c r="B41" s="2946" t="s">
        <v>3353</v>
      </c>
      <c r="C41" s="1292" t="s">
        <v>1291</v>
      </c>
      <c r="D41" s="1213">
        <f t="shared" ref="D41:AC41" si="57">SUM(D42:D46)</f>
        <v>209945898</v>
      </c>
      <c r="E41" s="2715">
        <f t="shared" si="57"/>
        <v>195281085</v>
      </c>
      <c r="F41" s="1213">
        <f t="shared" si="57"/>
        <v>235877093</v>
      </c>
      <c r="G41" s="1213">
        <f t="shared" si="57"/>
        <v>255670942</v>
      </c>
      <c r="H41" s="1213">
        <f t="shared" si="57"/>
        <v>257090672</v>
      </c>
      <c r="I41" s="1213">
        <f t="shared" si="57"/>
        <v>271661080</v>
      </c>
      <c r="J41" s="1213">
        <f t="shared" si="57"/>
        <v>271661080</v>
      </c>
      <c r="K41" s="3208">
        <f t="shared" si="57"/>
        <v>215702481</v>
      </c>
      <c r="L41" s="1213">
        <f t="shared" si="57"/>
        <v>235877093</v>
      </c>
      <c r="M41" s="1213">
        <f t="shared" si="57"/>
        <v>255670942</v>
      </c>
      <c r="N41" s="1213">
        <f t="shared" si="57"/>
        <v>257090672</v>
      </c>
      <c r="O41" s="1213">
        <f t="shared" si="57"/>
        <v>271661080</v>
      </c>
      <c r="P41" s="1213">
        <f t="shared" si="57"/>
        <v>271661080</v>
      </c>
      <c r="Q41" s="1213">
        <f t="shared" si="57"/>
        <v>215702481</v>
      </c>
      <c r="R41" s="1213">
        <f t="shared" si="57"/>
        <v>0</v>
      </c>
      <c r="S41" s="1213">
        <f t="shared" si="57"/>
        <v>0</v>
      </c>
      <c r="T41" s="1213">
        <f t="shared" si="57"/>
        <v>0</v>
      </c>
      <c r="U41" s="1213">
        <f t="shared" si="57"/>
        <v>0</v>
      </c>
      <c r="V41" s="1213">
        <f t="shared" si="57"/>
        <v>0</v>
      </c>
      <c r="W41" s="1213">
        <f t="shared" si="57"/>
        <v>0</v>
      </c>
      <c r="X41" s="1213">
        <f t="shared" si="57"/>
        <v>0</v>
      </c>
      <c r="Y41" s="1213">
        <f t="shared" si="57"/>
        <v>0</v>
      </c>
      <c r="Z41" s="1213">
        <f t="shared" si="57"/>
        <v>0</v>
      </c>
      <c r="AA41" s="1213">
        <f t="shared" si="57"/>
        <v>0</v>
      </c>
      <c r="AB41" s="1213">
        <f t="shared" si="57"/>
        <v>0</v>
      </c>
      <c r="AC41" s="1213">
        <f t="shared" si="57"/>
        <v>0</v>
      </c>
      <c r="AD41" s="1284"/>
      <c r="AE41" s="1213">
        <f t="shared" si="1"/>
        <v>19793849</v>
      </c>
      <c r="AF41" s="1213">
        <f t="shared" si="2"/>
        <v>1419730</v>
      </c>
      <c r="AG41" s="1213">
        <f t="shared" si="3"/>
        <v>14570408</v>
      </c>
      <c r="AH41" s="2919">
        <f t="shared" si="4"/>
        <v>0</v>
      </c>
      <c r="AI41" s="1829">
        <f t="shared" ref="AI41:AI54" si="58">+K41/I41</f>
        <v>0.79401319099519152</v>
      </c>
      <c r="AJ41" s="579">
        <f t="shared" ref="AJ41:AJ54" si="59">+F41-D41</f>
        <v>25931195</v>
      </c>
      <c r="AK41" s="412"/>
      <c r="AL41" s="439"/>
    </row>
    <row r="42" spans="1:38" ht="15">
      <c r="A42" s="2934"/>
      <c r="B42" s="2948" t="s">
        <v>176</v>
      </c>
      <c r="C42" s="1290" t="s">
        <v>147</v>
      </c>
      <c r="D42" s="1227">
        <v>111803487</v>
      </c>
      <c r="E42" s="2719">
        <v>106866303</v>
      </c>
      <c r="F42" s="1227">
        <v>122168024</v>
      </c>
      <c r="G42" s="1227">
        <f>F42+4022032</f>
        <v>126190056</v>
      </c>
      <c r="H42" s="1227">
        <f>G42+9000*12+210000</f>
        <v>126508056</v>
      </c>
      <c r="I42" s="1227">
        <f>H42+210000+13874179</f>
        <v>140592235</v>
      </c>
      <c r="J42" s="1227">
        <f t="shared" ref="G42:J46" si="60">I42</f>
        <v>140592235</v>
      </c>
      <c r="K42" s="3209">
        <v>116589890</v>
      </c>
      <c r="L42" s="1227">
        <f>+F42</f>
        <v>122168024</v>
      </c>
      <c r="M42" s="1227">
        <f>+L42+4022032</f>
        <v>126190056</v>
      </c>
      <c r="N42" s="1227">
        <f>+M42+9000*12+210000</f>
        <v>126508056</v>
      </c>
      <c r="O42" s="1227">
        <f>+N42+210000+13874179</f>
        <v>140592235</v>
      </c>
      <c r="P42" s="1227">
        <f t="shared" ref="M42:P46" si="61">+O42</f>
        <v>140592235</v>
      </c>
      <c r="Q42" s="1227">
        <f>+K42</f>
        <v>116589890</v>
      </c>
      <c r="R42" s="1227">
        <v>0</v>
      </c>
      <c r="S42" s="1227">
        <f t="shared" ref="S42:V46" si="62">+R42</f>
        <v>0</v>
      </c>
      <c r="T42" s="1227">
        <f t="shared" si="62"/>
        <v>0</v>
      </c>
      <c r="U42" s="1227">
        <f t="shared" si="62"/>
        <v>0</v>
      </c>
      <c r="V42" s="1227">
        <f t="shared" si="62"/>
        <v>0</v>
      </c>
      <c r="W42" s="1227">
        <v>0</v>
      </c>
      <c r="X42" s="1227"/>
      <c r="Y42" s="1227">
        <f t="shared" ref="Y42:AC46" si="63">+X42</f>
        <v>0</v>
      </c>
      <c r="Z42" s="1227">
        <f t="shared" si="63"/>
        <v>0</v>
      </c>
      <c r="AA42" s="1227">
        <f t="shared" si="63"/>
        <v>0</v>
      </c>
      <c r="AB42" s="1227">
        <f t="shared" si="63"/>
        <v>0</v>
      </c>
      <c r="AC42" s="1227">
        <f t="shared" si="63"/>
        <v>0</v>
      </c>
      <c r="AD42" s="1284"/>
      <c r="AE42" s="1213">
        <f t="shared" si="1"/>
        <v>4022032</v>
      </c>
      <c r="AF42" s="1213">
        <f t="shared" si="2"/>
        <v>318000</v>
      </c>
      <c r="AG42" s="1213">
        <f t="shared" si="3"/>
        <v>14084179</v>
      </c>
      <c r="AH42" s="2919">
        <f t="shared" si="4"/>
        <v>0</v>
      </c>
      <c r="AI42" s="1834">
        <f t="shared" si="58"/>
        <v>0.82927688004959876</v>
      </c>
      <c r="AJ42" s="579">
        <f t="shared" si="59"/>
        <v>10364537</v>
      </c>
      <c r="AK42" s="430"/>
      <c r="AL42" s="439"/>
    </row>
    <row r="43" spans="1:38" ht="15">
      <c r="A43" s="2934"/>
      <c r="B43" s="2948" t="s">
        <v>178</v>
      </c>
      <c r="C43" s="1290" t="s">
        <v>8</v>
      </c>
      <c r="D43" s="1227">
        <f>15927450+1</f>
        <v>15927451</v>
      </c>
      <c r="E43" s="2719">
        <v>15585127</v>
      </c>
      <c r="F43" s="1227">
        <v>17372920</v>
      </c>
      <c r="G43" s="1227">
        <f>F43+567864</f>
        <v>17940784</v>
      </c>
      <c r="H43" s="1227">
        <f>G43+27300</f>
        <v>17968084</v>
      </c>
      <c r="I43" s="1227">
        <f>H43+27300</f>
        <v>17995384</v>
      </c>
      <c r="J43" s="1227">
        <f t="shared" si="60"/>
        <v>17995384</v>
      </c>
      <c r="K43" s="3209">
        <v>16417402</v>
      </c>
      <c r="L43" s="1227">
        <f>+F43</f>
        <v>17372920</v>
      </c>
      <c r="M43" s="1227">
        <f>+L43+567864</f>
        <v>17940784</v>
      </c>
      <c r="N43" s="1227">
        <f>+M43+27300</f>
        <v>17968084</v>
      </c>
      <c r="O43" s="1227">
        <f>+N43+27300</f>
        <v>17995384</v>
      </c>
      <c r="P43" s="1227">
        <f t="shared" si="61"/>
        <v>17995384</v>
      </c>
      <c r="Q43" s="1227">
        <f>+K43</f>
        <v>16417402</v>
      </c>
      <c r="R43" s="1227">
        <v>0</v>
      </c>
      <c r="S43" s="1227">
        <f t="shared" si="62"/>
        <v>0</v>
      </c>
      <c r="T43" s="1227">
        <f t="shared" si="62"/>
        <v>0</v>
      </c>
      <c r="U43" s="1227">
        <f t="shared" si="62"/>
        <v>0</v>
      </c>
      <c r="V43" s="1227">
        <f t="shared" si="62"/>
        <v>0</v>
      </c>
      <c r="W43" s="1227">
        <v>0</v>
      </c>
      <c r="X43" s="1227"/>
      <c r="Y43" s="1227">
        <f t="shared" si="63"/>
        <v>0</v>
      </c>
      <c r="Z43" s="1227">
        <f t="shared" si="63"/>
        <v>0</v>
      </c>
      <c r="AA43" s="1227">
        <f t="shared" si="63"/>
        <v>0</v>
      </c>
      <c r="AB43" s="1227">
        <f t="shared" si="63"/>
        <v>0</v>
      </c>
      <c r="AC43" s="1227">
        <f t="shared" si="63"/>
        <v>0</v>
      </c>
      <c r="AD43" s="1665"/>
      <c r="AE43" s="1213">
        <f t="shared" si="1"/>
        <v>567864</v>
      </c>
      <c r="AF43" s="1213">
        <f t="shared" si="2"/>
        <v>27300</v>
      </c>
      <c r="AG43" s="1213">
        <f t="shared" si="3"/>
        <v>27300</v>
      </c>
      <c r="AH43" s="2919">
        <f t="shared" si="4"/>
        <v>0</v>
      </c>
      <c r="AI43" s="1834">
        <f t="shared" si="58"/>
        <v>0.91231184619344607</v>
      </c>
      <c r="AJ43" s="579">
        <f t="shared" si="59"/>
        <v>1445469</v>
      </c>
      <c r="AK43" s="430"/>
      <c r="AL43" s="439"/>
    </row>
    <row r="44" spans="1:38" ht="15">
      <c r="A44" s="2934"/>
      <c r="B44" s="2948" t="s">
        <v>179</v>
      </c>
      <c r="C44" s="1290" t="s">
        <v>317</v>
      </c>
      <c r="D44" s="1227">
        <v>82214960</v>
      </c>
      <c r="E44" s="2719">
        <v>72829655</v>
      </c>
      <c r="F44" s="1227">
        <f>96336150-1</f>
        <v>96336149</v>
      </c>
      <c r="G44" s="1227">
        <f>F44+2669728+16675459-4589896+448662</f>
        <v>111540102</v>
      </c>
      <c r="H44" s="1227">
        <f>G44+749700+280000+44730</f>
        <v>112614532</v>
      </c>
      <c r="I44" s="1227">
        <f>H44+125996-60000+392933</f>
        <v>113073461</v>
      </c>
      <c r="J44" s="1227">
        <f t="shared" si="60"/>
        <v>113073461</v>
      </c>
      <c r="K44" s="3209">
        <v>82695189</v>
      </c>
      <c r="L44" s="1227">
        <f>+F44</f>
        <v>96336149</v>
      </c>
      <c r="M44" s="1227">
        <f>+L44+2669728+16675459-4589896+448662</f>
        <v>111540102</v>
      </c>
      <c r="N44" s="1227">
        <f>+M44+749700+280000+44730</f>
        <v>112614532</v>
      </c>
      <c r="O44" s="1227">
        <f>+N44+125996-60000+392933</f>
        <v>113073461</v>
      </c>
      <c r="P44" s="1227">
        <f t="shared" si="61"/>
        <v>113073461</v>
      </c>
      <c r="Q44" s="1227">
        <f>+K44</f>
        <v>82695189</v>
      </c>
      <c r="R44" s="1227">
        <v>0</v>
      </c>
      <c r="S44" s="1227">
        <f t="shared" si="62"/>
        <v>0</v>
      </c>
      <c r="T44" s="1227">
        <f t="shared" si="62"/>
        <v>0</v>
      </c>
      <c r="U44" s="1227">
        <f t="shared" si="62"/>
        <v>0</v>
      </c>
      <c r="V44" s="1227">
        <f t="shared" si="62"/>
        <v>0</v>
      </c>
      <c r="W44" s="1227">
        <v>0</v>
      </c>
      <c r="X44" s="1227"/>
      <c r="Y44" s="1227">
        <f t="shared" si="63"/>
        <v>0</v>
      </c>
      <c r="Z44" s="1227">
        <f t="shared" si="63"/>
        <v>0</v>
      </c>
      <c r="AA44" s="1227">
        <f t="shared" si="63"/>
        <v>0</v>
      </c>
      <c r="AB44" s="1227">
        <f t="shared" si="63"/>
        <v>0</v>
      </c>
      <c r="AC44" s="1227">
        <f t="shared" si="63"/>
        <v>0</v>
      </c>
      <c r="AD44" s="1284"/>
      <c r="AE44" s="1213">
        <f t="shared" si="1"/>
        <v>15203953</v>
      </c>
      <c r="AF44" s="1213">
        <f t="shared" si="2"/>
        <v>1074430</v>
      </c>
      <c r="AG44" s="1213">
        <f t="shared" si="3"/>
        <v>458929</v>
      </c>
      <c r="AH44" s="2919">
        <f t="shared" si="4"/>
        <v>0</v>
      </c>
      <c r="AI44" s="1834">
        <f t="shared" si="58"/>
        <v>0.73134038941286139</v>
      </c>
      <c r="AJ44" s="579">
        <f t="shared" si="59"/>
        <v>14121189</v>
      </c>
      <c r="AK44" s="430"/>
    </row>
    <row r="45" spans="1:38" s="439" customFormat="1" ht="15">
      <c r="A45" s="2934"/>
      <c r="B45" s="2948" t="s">
        <v>180</v>
      </c>
      <c r="C45" s="1290" t="s">
        <v>318</v>
      </c>
      <c r="D45" s="1227">
        <v>0</v>
      </c>
      <c r="E45" s="2719">
        <v>0</v>
      </c>
      <c r="F45" s="1227">
        <v>0</v>
      </c>
      <c r="G45" s="1227">
        <f t="shared" si="60"/>
        <v>0</v>
      </c>
      <c r="H45" s="1227">
        <f t="shared" si="60"/>
        <v>0</v>
      </c>
      <c r="I45" s="1227">
        <f t="shared" si="60"/>
        <v>0</v>
      </c>
      <c r="J45" s="1227">
        <f t="shared" si="60"/>
        <v>0</v>
      </c>
      <c r="K45" s="3209">
        <v>0</v>
      </c>
      <c r="L45" s="1227">
        <v>0</v>
      </c>
      <c r="M45" s="1227">
        <f t="shared" si="61"/>
        <v>0</v>
      </c>
      <c r="N45" s="1227">
        <f t="shared" si="61"/>
        <v>0</v>
      </c>
      <c r="O45" s="1227">
        <f t="shared" si="61"/>
        <v>0</v>
      </c>
      <c r="P45" s="1227">
        <f t="shared" si="61"/>
        <v>0</v>
      </c>
      <c r="Q45" s="1227">
        <f>+K45</f>
        <v>0</v>
      </c>
      <c r="R45" s="1227">
        <v>0</v>
      </c>
      <c r="S45" s="1227">
        <f t="shared" si="62"/>
        <v>0</v>
      </c>
      <c r="T45" s="1227">
        <f t="shared" si="62"/>
        <v>0</v>
      </c>
      <c r="U45" s="1227">
        <f t="shared" si="62"/>
        <v>0</v>
      </c>
      <c r="V45" s="1227">
        <f t="shared" si="62"/>
        <v>0</v>
      </c>
      <c r="W45" s="1227">
        <v>0</v>
      </c>
      <c r="X45" s="1227"/>
      <c r="Y45" s="1227">
        <f t="shared" si="63"/>
        <v>0</v>
      </c>
      <c r="Z45" s="1227">
        <f t="shared" si="63"/>
        <v>0</v>
      </c>
      <c r="AA45" s="1227">
        <f t="shared" si="63"/>
        <v>0</v>
      </c>
      <c r="AB45" s="1227">
        <f t="shared" si="63"/>
        <v>0</v>
      </c>
      <c r="AC45" s="1227">
        <f t="shared" si="63"/>
        <v>0</v>
      </c>
      <c r="AD45" s="1284"/>
      <c r="AE45" s="1213">
        <f t="shared" si="1"/>
        <v>0</v>
      </c>
      <c r="AF45" s="1213">
        <f t="shared" si="2"/>
        <v>0</v>
      </c>
      <c r="AG45" s="1213">
        <f t="shared" si="3"/>
        <v>0</v>
      </c>
      <c r="AH45" s="2919">
        <f t="shared" si="4"/>
        <v>0</v>
      </c>
      <c r="AI45" s="1834"/>
      <c r="AJ45" s="579">
        <f t="shared" si="59"/>
        <v>0</v>
      </c>
      <c r="AK45" s="430"/>
    </row>
    <row r="46" spans="1:38" ht="15">
      <c r="A46" s="2934"/>
      <c r="B46" s="1477" t="s">
        <v>181</v>
      </c>
      <c r="C46" s="1286" t="s">
        <v>151</v>
      </c>
      <c r="D46" s="1227">
        <v>0</v>
      </c>
      <c r="E46" s="2719">
        <v>0</v>
      </c>
      <c r="F46" s="1227">
        <v>0</v>
      </c>
      <c r="G46" s="1227">
        <f t="shared" si="60"/>
        <v>0</v>
      </c>
      <c r="H46" s="1227">
        <f t="shared" si="60"/>
        <v>0</v>
      </c>
      <c r="I46" s="1227">
        <f t="shared" si="60"/>
        <v>0</v>
      </c>
      <c r="J46" s="1227">
        <f t="shared" si="60"/>
        <v>0</v>
      </c>
      <c r="K46" s="3209">
        <v>0</v>
      </c>
      <c r="L46" s="1227">
        <v>0</v>
      </c>
      <c r="M46" s="1227">
        <f t="shared" si="61"/>
        <v>0</v>
      </c>
      <c r="N46" s="1227">
        <f t="shared" si="61"/>
        <v>0</v>
      </c>
      <c r="O46" s="1227">
        <f t="shared" si="61"/>
        <v>0</v>
      </c>
      <c r="P46" s="1227">
        <f t="shared" si="61"/>
        <v>0</v>
      </c>
      <c r="Q46" s="1227">
        <f>+K46</f>
        <v>0</v>
      </c>
      <c r="R46" s="1227">
        <v>0</v>
      </c>
      <c r="S46" s="1227">
        <f t="shared" si="62"/>
        <v>0</v>
      </c>
      <c r="T46" s="1227">
        <f t="shared" si="62"/>
        <v>0</v>
      </c>
      <c r="U46" s="1227">
        <f t="shared" si="62"/>
        <v>0</v>
      </c>
      <c r="V46" s="1227">
        <f t="shared" si="62"/>
        <v>0</v>
      </c>
      <c r="W46" s="1227">
        <v>0</v>
      </c>
      <c r="X46" s="1227"/>
      <c r="Y46" s="1227">
        <f t="shared" si="63"/>
        <v>0</v>
      </c>
      <c r="Z46" s="1227">
        <f t="shared" si="63"/>
        <v>0</v>
      </c>
      <c r="AA46" s="1227">
        <f t="shared" si="63"/>
        <v>0</v>
      </c>
      <c r="AB46" s="1227">
        <f t="shared" si="63"/>
        <v>0</v>
      </c>
      <c r="AC46" s="1227">
        <f t="shared" si="63"/>
        <v>0</v>
      </c>
      <c r="AD46" s="2966"/>
      <c r="AE46" s="1213">
        <f t="shared" si="1"/>
        <v>0</v>
      </c>
      <c r="AF46" s="1213">
        <f t="shared" si="2"/>
        <v>0</v>
      </c>
      <c r="AG46" s="1213">
        <f t="shared" si="3"/>
        <v>0</v>
      </c>
      <c r="AH46" s="2919">
        <f t="shared" si="4"/>
        <v>0</v>
      </c>
      <c r="AI46" s="1834"/>
      <c r="AJ46" s="579">
        <f t="shared" si="59"/>
        <v>0</v>
      </c>
      <c r="AK46" s="430"/>
    </row>
    <row r="47" spans="1:38" ht="15">
      <c r="A47" s="2934" t="s">
        <v>12</v>
      </c>
      <c r="B47" s="2946" t="s">
        <v>12</v>
      </c>
      <c r="C47" s="1292" t="s">
        <v>1292</v>
      </c>
      <c r="D47" s="1213">
        <f t="shared" ref="D47:AC47" si="64">SUM(D48:D50)</f>
        <v>8269685</v>
      </c>
      <c r="E47" s="2715">
        <f t="shared" si="64"/>
        <v>6372316</v>
      </c>
      <c r="F47" s="1213">
        <f t="shared" si="64"/>
        <v>1926783</v>
      </c>
      <c r="G47" s="1213">
        <f t="shared" si="64"/>
        <v>1478121</v>
      </c>
      <c r="H47" s="1213">
        <f t="shared" si="64"/>
        <v>1478121</v>
      </c>
      <c r="I47" s="1213">
        <f t="shared" si="64"/>
        <v>1538121</v>
      </c>
      <c r="J47" s="1213">
        <f t="shared" si="64"/>
        <v>1538121</v>
      </c>
      <c r="K47" s="3208">
        <f>SUM(K48:K50)</f>
        <v>589607</v>
      </c>
      <c r="L47" s="1213">
        <f t="shared" si="64"/>
        <v>1926783</v>
      </c>
      <c r="M47" s="1213">
        <f t="shared" si="64"/>
        <v>1478121</v>
      </c>
      <c r="N47" s="1213">
        <f t="shared" si="64"/>
        <v>1478121</v>
      </c>
      <c r="O47" s="1213">
        <f t="shared" si="64"/>
        <v>1538121</v>
      </c>
      <c r="P47" s="1213">
        <f t="shared" si="64"/>
        <v>1538121</v>
      </c>
      <c r="Q47" s="1213">
        <f t="shared" si="64"/>
        <v>589607</v>
      </c>
      <c r="R47" s="1213">
        <f t="shared" si="64"/>
        <v>0</v>
      </c>
      <c r="S47" s="1213">
        <f t="shared" si="64"/>
        <v>0</v>
      </c>
      <c r="T47" s="1213">
        <f t="shared" si="64"/>
        <v>0</v>
      </c>
      <c r="U47" s="1213">
        <f t="shared" si="64"/>
        <v>0</v>
      </c>
      <c r="V47" s="1213">
        <f t="shared" si="64"/>
        <v>0</v>
      </c>
      <c r="W47" s="1213">
        <f t="shared" si="64"/>
        <v>0</v>
      </c>
      <c r="X47" s="1213">
        <f t="shared" si="64"/>
        <v>0</v>
      </c>
      <c r="Y47" s="1213">
        <f t="shared" si="64"/>
        <v>0</v>
      </c>
      <c r="Z47" s="1213">
        <f t="shared" si="64"/>
        <v>0</v>
      </c>
      <c r="AA47" s="1213">
        <f t="shared" si="64"/>
        <v>0</v>
      </c>
      <c r="AB47" s="1213">
        <f t="shared" si="64"/>
        <v>0</v>
      </c>
      <c r="AC47" s="1213">
        <f t="shared" si="64"/>
        <v>0</v>
      </c>
      <c r="AD47" s="1284"/>
      <c r="AE47" s="1213">
        <f t="shared" si="1"/>
        <v>-448662</v>
      </c>
      <c r="AF47" s="1213">
        <f t="shared" si="2"/>
        <v>0</v>
      </c>
      <c r="AG47" s="1213">
        <f t="shared" si="3"/>
        <v>60000</v>
      </c>
      <c r="AH47" s="2919">
        <f t="shared" si="4"/>
        <v>0</v>
      </c>
      <c r="AI47" s="1829">
        <f t="shared" si="58"/>
        <v>0.38332939996268173</v>
      </c>
      <c r="AJ47" s="579">
        <f t="shared" si="59"/>
        <v>-6342902</v>
      </c>
      <c r="AK47" s="412"/>
    </row>
    <row r="48" spans="1:38" ht="15">
      <c r="A48" s="2934"/>
      <c r="B48" s="2948" t="s">
        <v>185</v>
      </c>
      <c r="C48" s="1290" t="s">
        <v>82</v>
      </c>
      <c r="D48" s="1227">
        <v>5919685</v>
      </c>
      <c r="E48" s="2719">
        <v>4042571</v>
      </c>
      <c r="F48" s="1227">
        <v>1926783</v>
      </c>
      <c r="G48" s="1227">
        <f>+F48-448662</f>
        <v>1478121</v>
      </c>
      <c r="H48" s="1227">
        <f>+G48</f>
        <v>1478121</v>
      </c>
      <c r="I48" s="1227">
        <f>+H48+60000</f>
        <v>1538121</v>
      </c>
      <c r="J48" s="1227">
        <f>+I48</f>
        <v>1538121</v>
      </c>
      <c r="K48" s="3209">
        <v>589607</v>
      </c>
      <c r="L48" s="1227">
        <f>+F48</f>
        <v>1926783</v>
      </c>
      <c r="M48" s="1227">
        <f>+L48-448662</f>
        <v>1478121</v>
      </c>
      <c r="N48" s="1227">
        <f>+M48</f>
        <v>1478121</v>
      </c>
      <c r="O48" s="1227">
        <f>+N48+60000</f>
        <v>1538121</v>
      </c>
      <c r="P48" s="1227">
        <f t="shared" ref="M48:P51" si="65">+O48</f>
        <v>1538121</v>
      </c>
      <c r="Q48" s="1227">
        <f>+K48</f>
        <v>589607</v>
      </c>
      <c r="R48" s="1227">
        <v>0</v>
      </c>
      <c r="S48" s="1227">
        <f t="shared" ref="S48:V51" si="66">+R48</f>
        <v>0</v>
      </c>
      <c r="T48" s="1227">
        <f t="shared" si="66"/>
        <v>0</v>
      </c>
      <c r="U48" s="1227">
        <f t="shared" si="66"/>
        <v>0</v>
      </c>
      <c r="V48" s="1227">
        <f t="shared" si="66"/>
        <v>0</v>
      </c>
      <c r="W48" s="1227">
        <v>0</v>
      </c>
      <c r="X48" s="1227"/>
      <c r="Y48" s="1227">
        <f t="shared" ref="Y48:AC51" si="67">+X48</f>
        <v>0</v>
      </c>
      <c r="Z48" s="1227">
        <f t="shared" si="67"/>
        <v>0</v>
      </c>
      <c r="AA48" s="1227">
        <f t="shared" si="67"/>
        <v>0</v>
      </c>
      <c r="AB48" s="1227">
        <f t="shared" si="67"/>
        <v>0</v>
      </c>
      <c r="AC48" s="1227">
        <f t="shared" si="67"/>
        <v>0</v>
      </c>
      <c r="AD48" s="1284"/>
      <c r="AE48" s="1213">
        <f t="shared" si="1"/>
        <v>-448662</v>
      </c>
      <c r="AF48" s="1213">
        <f t="shared" si="2"/>
        <v>0</v>
      </c>
      <c r="AG48" s="1213">
        <f t="shared" si="3"/>
        <v>60000</v>
      </c>
      <c r="AH48" s="2919">
        <f t="shared" si="4"/>
        <v>0</v>
      </c>
      <c r="AI48" s="1834">
        <f t="shared" si="58"/>
        <v>0.38332939996268173</v>
      </c>
      <c r="AJ48" s="579">
        <f t="shared" si="59"/>
        <v>-3992902</v>
      </c>
      <c r="AK48" s="430"/>
    </row>
    <row r="49" spans="1:37" ht="15">
      <c r="A49" s="2934"/>
      <c r="B49" s="2948" t="s">
        <v>187</v>
      </c>
      <c r="C49" s="1290" t="s">
        <v>344</v>
      </c>
      <c r="D49" s="1227">
        <v>2350000</v>
      </c>
      <c r="E49" s="2719">
        <v>2329745</v>
      </c>
      <c r="F49" s="1227">
        <v>0</v>
      </c>
      <c r="G49" s="1227">
        <f t="shared" ref="G49:J51" si="68">+F49</f>
        <v>0</v>
      </c>
      <c r="H49" s="1227">
        <f t="shared" si="68"/>
        <v>0</v>
      </c>
      <c r="I49" s="1227">
        <f t="shared" si="68"/>
        <v>0</v>
      </c>
      <c r="J49" s="1227">
        <f t="shared" si="68"/>
        <v>0</v>
      </c>
      <c r="K49" s="3209">
        <v>0</v>
      </c>
      <c r="L49" s="1227">
        <f>+F49</f>
        <v>0</v>
      </c>
      <c r="M49" s="1227">
        <f t="shared" si="65"/>
        <v>0</v>
      </c>
      <c r="N49" s="1227">
        <f t="shared" si="65"/>
        <v>0</v>
      </c>
      <c r="O49" s="1227">
        <f t="shared" si="65"/>
        <v>0</v>
      </c>
      <c r="P49" s="1227">
        <f t="shared" si="65"/>
        <v>0</v>
      </c>
      <c r="Q49" s="1227">
        <f>+K49</f>
        <v>0</v>
      </c>
      <c r="R49" s="1227">
        <v>0</v>
      </c>
      <c r="S49" s="1227">
        <f t="shared" si="66"/>
        <v>0</v>
      </c>
      <c r="T49" s="1227">
        <f t="shared" si="66"/>
        <v>0</v>
      </c>
      <c r="U49" s="1227">
        <f t="shared" si="66"/>
        <v>0</v>
      </c>
      <c r="V49" s="1227">
        <f t="shared" si="66"/>
        <v>0</v>
      </c>
      <c r="W49" s="1227">
        <v>0</v>
      </c>
      <c r="X49" s="1227"/>
      <c r="Y49" s="1227">
        <f t="shared" si="67"/>
        <v>0</v>
      </c>
      <c r="Z49" s="1227">
        <f t="shared" si="67"/>
        <v>0</v>
      </c>
      <c r="AA49" s="1227">
        <f t="shared" si="67"/>
        <v>0</v>
      </c>
      <c r="AB49" s="1227">
        <f t="shared" si="67"/>
        <v>0</v>
      </c>
      <c r="AC49" s="1227">
        <f t="shared" si="67"/>
        <v>0</v>
      </c>
      <c r="AD49" s="1284"/>
      <c r="AE49" s="1213">
        <f t="shared" si="1"/>
        <v>0</v>
      </c>
      <c r="AF49" s="1213">
        <f t="shared" si="2"/>
        <v>0</v>
      </c>
      <c r="AG49" s="1213">
        <f t="shared" si="3"/>
        <v>0</v>
      </c>
      <c r="AH49" s="2919">
        <f t="shared" si="4"/>
        <v>0</v>
      </c>
      <c r="AI49" s="1834"/>
      <c r="AJ49" s="579">
        <f t="shared" si="59"/>
        <v>-2350000</v>
      </c>
      <c r="AK49" s="430"/>
    </row>
    <row r="50" spans="1:37" ht="15">
      <c r="A50" s="2934"/>
      <c r="B50" s="1477" t="s">
        <v>189</v>
      </c>
      <c r="C50" s="1286" t="s">
        <v>1293</v>
      </c>
      <c r="D50" s="1227">
        <v>0</v>
      </c>
      <c r="E50" s="2719">
        <v>0</v>
      </c>
      <c r="F50" s="1227">
        <v>0</v>
      </c>
      <c r="G50" s="1227">
        <f t="shared" si="68"/>
        <v>0</v>
      </c>
      <c r="H50" s="1227">
        <f t="shared" si="68"/>
        <v>0</v>
      </c>
      <c r="I50" s="1227">
        <f t="shared" si="68"/>
        <v>0</v>
      </c>
      <c r="J50" s="1227">
        <f t="shared" si="68"/>
        <v>0</v>
      </c>
      <c r="K50" s="3209">
        <v>0</v>
      </c>
      <c r="L50" s="1227">
        <v>0</v>
      </c>
      <c r="M50" s="1227">
        <f t="shared" si="65"/>
        <v>0</v>
      </c>
      <c r="N50" s="1227">
        <f t="shared" si="65"/>
        <v>0</v>
      </c>
      <c r="O50" s="1227">
        <f t="shared" si="65"/>
        <v>0</v>
      </c>
      <c r="P50" s="1227">
        <f t="shared" si="65"/>
        <v>0</v>
      </c>
      <c r="Q50" s="1227">
        <f>+K50</f>
        <v>0</v>
      </c>
      <c r="R50" s="1227">
        <v>0</v>
      </c>
      <c r="S50" s="1227">
        <f t="shared" si="66"/>
        <v>0</v>
      </c>
      <c r="T50" s="1227">
        <f t="shared" si="66"/>
        <v>0</v>
      </c>
      <c r="U50" s="1227">
        <f t="shared" si="66"/>
        <v>0</v>
      </c>
      <c r="V50" s="1227">
        <f t="shared" si="66"/>
        <v>0</v>
      </c>
      <c r="W50" s="1227">
        <v>0</v>
      </c>
      <c r="X50" s="1227"/>
      <c r="Y50" s="1227">
        <f t="shared" si="67"/>
        <v>0</v>
      </c>
      <c r="Z50" s="1227">
        <f t="shared" si="67"/>
        <v>0</v>
      </c>
      <c r="AA50" s="1227">
        <f t="shared" si="67"/>
        <v>0</v>
      </c>
      <c r="AB50" s="1227">
        <f t="shared" si="67"/>
        <v>0</v>
      </c>
      <c r="AC50" s="1227">
        <f t="shared" si="67"/>
        <v>0</v>
      </c>
      <c r="AD50" s="1284"/>
      <c r="AE50" s="1213">
        <f t="shared" si="1"/>
        <v>0</v>
      </c>
      <c r="AF50" s="1213">
        <f t="shared" si="2"/>
        <v>0</v>
      </c>
      <c r="AG50" s="1213">
        <f t="shared" si="3"/>
        <v>0</v>
      </c>
      <c r="AH50" s="2919">
        <f t="shared" si="4"/>
        <v>0</v>
      </c>
      <c r="AI50" s="1834"/>
      <c r="AJ50" s="579">
        <f t="shared" si="59"/>
        <v>0</v>
      </c>
      <c r="AK50" s="430"/>
    </row>
    <row r="51" spans="1:37" ht="15">
      <c r="A51" s="2934"/>
      <c r="B51" s="1477" t="s">
        <v>191</v>
      </c>
      <c r="C51" s="1290" t="s">
        <v>1294</v>
      </c>
      <c r="D51" s="1227">
        <v>0</v>
      </c>
      <c r="E51" s="2719">
        <v>0</v>
      </c>
      <c r="F51" s="1227">
        <v>0</v>
      </c>
      <c r="G51" s="1227">
        <f t="shared" si="68"/>
        <v>0</v>
      </c>
      <c r="H51" s="1227">
        <f t="shared" si="68"/>
        <v>0</v>
      </c>
      <c r="I51" s="1227">
        <f t="shared" si="68"/>
        <v>0</v>
      </c>
      <c r="J51" s="1227">
        <f t="shared" si="68"/>
        <v>0</v>
      </c>
      <c r="K51" s="3209">
        <v>0</v>
      </c>
      <c r="L51" s="1227">
        <v>0</v>
      </c>
      <c r="M51" s="1227">
        <f t="shared" si="65"/>
        <v>0</v>
      </c>
      <c r="N51" s="1227">
        <f t="shared" si="65"/>
        <v>0</v>
      </c>
      <c r="O51" s="1227">
        <f t="shared" si="65"/>
        <v>0</v>
      </c>
      <c r="P51" s="1227">
        <f t="shared" si="65"/>
        <v>0</v>
      </c>
      <c r="Q51" s="1227">
        <f>+K51</f>
        <v>0</v>
      </c>
      <c r="R51" s="1227">
        <v>0</v>
      </c>
      <c r="S51" s="1227">
        <f t="shared" si="66"/>
        <v>0</v>
      </c>
      <c r="T51" s="1227">
        <f t="shared" si="66"/>
        <v>0</v>
      </c>
      <c r="U51" s="1227">
        <f t="shared" si="66"/>
        <v>0</v>
      </c>
      <c r="V51" s="1227">
        <f t="shared" si="66"/>
        <v>0</v>
      </c>
      <c r="W51" s="1227">
        <v>0</v>
      </c>
      <c r="X51" s="1227"/>
      <c r="Y51" s="1227">
        <f t="shared" si="67"/>
        <v>0</v>
      </c>
      <c r="Z51" s="1227">
        <f t="shared" si="67"/>
        <v>0</v>
      </c>
      <c r="AA51" s="1227">
        <f t="shared" si="67"/>
        <v>0</v>
      </c>
      <c r="AB51" s="1227">
        <f t="shared" si="67"/>
        <v>0</v>
      </c>
      <c r="AC51" s="1227">
        <f t="shared" si="67"/>
        <v>0</v>
      </c>
      <c r="AD51" s="1284"/>
      <c r="AE51" s="1213">
        <f t="shared" si="1"/>
        <v>0</v>
      </c>
      <c r="AF51" s="1213">
        <f t="shared" si="2"/>
        <v>0</v>
      </c>
      <c r="AG51" s="1213">
        <f t="shared" si="3"/>
        <v>0</v>
      </c>
      <c r="AH51" s="2919">
        <f t="shared" si="4"/>
        <v>0</v>
      </c>
      <c r="AI51" s="1834"/>
      <c r="AJ51" s="579">
        <f t="shared" si="59"/>
        <v>0</v>
      </c>
      <c r="AK51" s="430"/>
    </row>
    <row r="52" spans="1:37" ht="15">
      <c r="A52" s="2934" t="s">
        <v>14</v>
      </c>
      <c r="B52" s="1282" t="s">
        <v>14</v>
      </c>
      <c r="C52" s="2950" t="s">
        <v>1295</v>
      </c>
      <c r="D52" s="1298">
        <f t="shared" ref="D52:AC52" si="69">+D41+D47</f>
        <v>218215583</v>
      </c>
      <c r="E52" s="2720">
        <f t="shared" si="69"/>
        <v>201653401</v>
      </c>
      <c r="F52" s="1298">
        <f t="shared" si="69"/>
        <v>237803876</v>
      </c>
      <c r="G52" s="1298">
        <f t="shared" si="69"/>
        <v>257149063</v>
      </c>
      <c r="H52" s="1298">
        <f t="shared" si="69"/>
        <v>258568793</v>
      </c>
      <c r="I52" s="1298">
        <f t="shared" si="69"/>
        <v>273199201</v>
      </c>
      <c r="J52" s="1298">
        <f t="shared" si="69"/>
        <v>273199201</v>
      </c>
      <c r="K52" s="3210">
        <f t="shared" si="69"/>
        <v>216292088</v>
      </c>
      <c r="L52" s="1298">
        <f t="shared" si="69"/>
        <v>237803876</v>
      </c>
      <c r="M52" s="1298">
        <f t="shared" si="69"/>
        <v>257149063</v>
      </c>
      <c r="N52" s="1298">
        <f t="shared" si="69"/>
        <v>258568793</v>
      </c>
      <c r="O52" s="1298">
        <f t="shared" si="69"/>
        <v>273199201</v>
      </c>
      <c r="P52" s="1298">
        <f t="shared" si="69"/>
        <v>273199201</v>
      </c>
      <c r="Q52" s="1298">
        <f t="shared" si="69"/>
        <v>216292088</v>
      </c>
      <c r="R52" s="1298">
        <f t="shared" si="69"/>
        <v>0</v>
      </c>
      <c r="S52" s="1298">
        <f t="shared" si="69"/>
        <v>0</v>
      </c>
      <c r="T52" s="1298">
        <f t="shared" si="69"/>
        <v>0</v>
      </c>
      <c r="U52" s="1298">
        <f t="shared" si="69"/>
        <v>0</v>
      </c>
      <c r="V52" s="1298">
        <f t="shared" si="69"/>
        <v>0</v>
      </c>
      <c r="W52" s="1298">
        <f t="shared" si="69"/>
        <v>0</v>
      </c>
      <c r="X52" s="1298">
        <f t="shared" si="69"/>
        <v>0</v>
      </c>
      <c r="Y52" s="1298">
        <f t="shared" si="69"/>
        <v>0</v>
      </c>
      <c r="Z52" s="1298">
        <f t="shared" si="69"/>
        <v>0</v>
      </c>
      <c r="AA52" s="1298">
        <f t="shared" si="69"/>
        <v>0</v>
      </c>
      <c r="AB52" s="1298">
        <f t="shared" si="69"/>
        <v>0</v>
      </c>
      <c r="AC52" s="1298">
        <f t="shared" si="69"/>
        <v>0</v>
      </c>
      <c r="AD52" s="1284"/>
      <c r="AE52" s="1213">
        <f t="shared" si="1"/>
        <v>19345187</v>
      </c>
      <c r="AF52" s="1213">
        <f t="shared" si="2"/>
        <v>1419730</v>
      </c>
      <c r="AG52" s="1213">
        <f t="shared" si="3"/>
        <v>14630408</v>
      </c>
      <c r="AH52" s="2919">
        <f t="shared" si="4"/>
        <v>0</v>
      </c>
      <c r="AI52" s="1829">
        <f t="shared" si="58"/>
        <v>0.79170102697335487</v>
      </c>
      <c r="AJ52" s="579">
        <f t="shared" si="59"/>
        <v>19588293</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8"/>
        <v>#DIV/0!</v>
      </c>
      <c r="AJ53" s="579">
        <f t="shared" si="59"/>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55">
        <v>19</v>
      </c>
      <c r="E54" s="2956">
        <v>18</v>
      </c>
      <c r="F54" s="2955">
        <v>20</v>
      </c>
      <c r="G54" s="2957">
        <f>+F54</f>
        <v>20</v>
      </c>
      <c r="H54" s="2957">
        <f>+G54</f>
        <v>20</v>
      </c>
      <c r="I54" s="2957">
        <f>+H54</f>
        <v>20</v>
      </c>
      <c r="J54" s="2957">
        <f>+I54</f>
        <v>20</v>
      </c>
      <c r="K54" s="3212">
        <v>18</v>
      </c>
      <c r="L54" s="2957">
        <f>+F54</f>
        <v>20</v>
      </c>
      <c r="M54" s="2957">
        <f>+L54</f>
        <v>20</v>
      </c>
      <c r="N54" s="2957">
        <f>+M54</f>
        <v>20</v>
      </c>
      <c r="O54" s="2957">
        <f>+N54</f>
        <v>20</v>
      </c>
      <c r="P54" s="2957">
        <f>+O54</f>
        <v>20</v>
      </c>
      <c r="Q54" s="2957">
        <f>+P54</f>
        <v>20</v>
      </c>
      <c r="R54" s="2957">
        <v>0</v>
      </c>
      <c r="S54" s="2957">
        <f>+R54</f>
        <v>0</v>
      </c>
      <c r="T54" s="2957">
        <f>+S54</f>
        <v>0</v>
      </c>
      <c r="U54" s="2957">
        <f>+T54</f>
        <v>0</v>
      </c>
      <c r="V54" s="2957">
        <f>+U54</f>
        <v>0</v>
      </c>
      <c r="W54" s="2957">
        <f>+V54</f>
        <v>0</v>
      </c>
      <c r="X54" s="2957"/>
      <c r="Y54" s="2957">
        <f>+X54</f>
        <v>0</v>
      </c>
      <c r="Z54" s="2957">
        <f>+Y54</f>
        <v>0</v>
      </c>
      <c r="AA54" s="2957">
        <f>+Z54</f>
        <v>0</v>
      </c>
      <c r="AB54" s="2957">
        <f>+AA54</f>
        <v>0</v>
      </c>
      <c r="AC54" s="2957">
        <f>+AB54</f>
        <v>0</v>
      </c>
      <c r="AD54" s="2965"/>
      <c r="AE54" s="2959">
        <f t="shared" si="1"/>
        <v>0</v>
      </c>
      <c r="AF54" s="1213">
        <f t="shared" si="2"/>
        <v>0</v>
      </c>
      <c r="AG54" s="1213">
        <f t="shared" si="3"/>
        <v>0</v>
      </c>
      <c r="AH54" s="2943">
        <f t="shared" si="4"/>
        <v>0</v>
      </c>
      <c r="AI54" s="1829">
        <f t="shared" si="58"/>
        <v>0.9</v>
      </c>
      <c r="AJ54" s="580">
        <f t="shared" si="59"/>
        <v>1</v>
      </c>
      <c r="AK54" s="1852"/>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0">+X55</f>
        <v>0</v>
      </c>
      <c r="Z55" s="459">
        <f t="shared" si="70"/>
        <v>0</v>
      </c>
      <c r="AA55" s="459">
        <f t="shared" si="70"/>
        <v>0</v>
      </c>
      <c r="AB55" s="459">
        <f t="shared" si="70"/>
        <v>0</v>
      </c>
      <c r="AC55" s="459"/>
      <c r="AD55" s="557"/>
      <c r="AE55" s="555">
        <f t="shared" si="1"/>
        <v>0</v>
      </c>
      <c r="AF55" s="555">
        <f t="shared" si="2"/>
        <v>0</v>
      </c>
      <c r="AG55" s="555">
        <f t="shared" si="3"/>
        <v>0</v>
      </c>
      <c r="AH55" s="555">
        <f t="shared" si="4"/>
        <v>0</v>
      </c>
      <c r="AI55" s="553"/>
      <c r="AJ55" s="579">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70"/>
        <v>0</v>
      </c>
      <c r="Z56" s="459">
        <f t="shared" si="70"/>
        <v>0</v>
      </c>
      <c r="AA56" s="459">
        <f t="shared" si="70"/>
        <v>0</v>
      </c>
      <c r="AB56" s="459">
        <f t="shared" si="70"/>
        <v>0</v>
      </c>
      <c r="AC56" s="459"/>
      <c r="AD56" s="557"/>
      <c r="AE56" s="555">
        <f t="shared" si="1"/>
        <v>0</v>
      </c>
      <c r="AF56" s="555"/>
      <c r="AG56" s="555"/>
      <c r="AH56" s="555"/>
      <c r="AJ56" s="579">
        <f>+F56-D56</f>
        <v>0</v>
      </c>
    </row>
    <row r="57" spans="1:37" ht="16.5" thickBot="1">
      <c r="A57" s="2936"/>
      <c r="B57" s="3205" t="s">
        <v>17</v>
      </c>
      <c r="C57" s="3207" t="s">
        <v>4053</v>
      </c>
      <c r="D57" s="3206">
        <f t="shared" ref="D57:K57" si="71">+D37-D52</f>
        <v>0</v>
      </c>
      <c r="E57" s="3199">
        <f t="shared" si="71"/>
        <v>19345187</v>
      </c>
      <c r="F57" s="3200"/>
      <c r="G57" s="3201"/>
      <c r="H57" s="3201"/>
      <c r="I57" s="3201"/>
      <c r="J57" s="3201">
        <f t="shared" si="71"/>
        <v>0</v>
      </c>
      <c r="K57" s="2198">
        <f t="shared" si="71"/>
        <v>56907113</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c r="AJ57" s="580"/>
      <c r="AK57" s="1852"/>
    </row>
    <row r="58" spans="1:37" hidden="1">
      <c r="C58" s="396" t="s">
        <v>3696</v>
      </c>
      <c r="F58" s="396">
        <v>0</v>
      </c>
      <c r="G58" s="396">
        <f>+F58</f>
        <v>0</v>
      </c>
      <c r="H58" s="396">
        <f>+G58</f>
        <v>0</v>
      </c>
      <c r="I58" s="396">
        <f>+H58</f>
        <v>0</v>
      </c>
      <c r="J58" s="460">
        <f>+I58</f>
        <v>0</v>
      </c>
      <c r="K58" s="460">
        <f>+J58</f>
        <v>0</v>
      </c>
    </row>
    <row r="59" spans="1:37" ht="12.75" hidden="1" customHeight="1">
      <c r="C59" s="461" t="s">
        <v>1300</v>
      </c>
      <c r="F59" s="3644" t="s">
        <v>1301</v>
      </c>
      <c r="G59" s="3644"/>
    </row>
    <row r="60" spans="1:37" hidden="1">
      <c r="C60" s="460" t="s">
        <v>1302</v>
      </c>
      <c r="D60" s="396">
        <f t="shared" ref="D60:AB60" si="72">+D37-D52</f>
        <v>0</v>
      </c>
      <c r="E60" s="396">
        <f t="shared" si="72"/>
        <v>19345187</v>
      </c>
      <c r="F60" s="396">
        <f t="shared" si="72"/>
        <v>0</v>
      </c>
      <c r="G60" s="396">
        <f t="shared" si="72"/>
        <v>0</v>
      </c>
      <c r="H60" s="396">
        <f t="shared" si="72"/>
        <v>0</v>
      </c>
      <c r="I60" s="396">
        <f t="shared" si="72"/>
        <v>0</v>
      </c>
      <c r="J60" s="460">
        <f t="shared" si="72"/>
        <v>0</v>
      </c>
      <c r="K60" s="460">
        <f t="shared" si="72"/>
        <v>56907113</v>
      </c>
      <c r="L60" s="460">
        <f t="shared" si="72"/>
        <v>0</v>
      </c>
      <c r="M60" s="460">
        <f t="shared" si="72"/>
        <v>0</v>
      </c>
      <c r="N60" s="460">
        <f t="shared" si="72"/>
        <v>0</v>
      </c>
      <c r="O60" s="460">
        <f t="shared" si="72"/>
        <v>0</v>
      </c>
      <c r="P60" s="460">
        <f t="shared" si="72"/>
        <v>0</v>
      </c>
      <c r="Q60" s="460">
        <f t="shared" si="72"/>
        <v>56907113</v>
      </c>
      <c r="R60" s="460">
        <f t="shared" si="72"/>
        <v>0</v>
      </c>
      <c r="S60" s="460">
        <f t="shared" si="72"/>
        <v>0</v>
      </c>
      <c r="T60" s="460">
        <f t="shared" si="72"/>
        <v>0</v>
      </c>
      <c r="U60" s="460">
        <f t="shared" si="72"/>
        <v>0</v>
      </c>
      <c r="V60" s="460">
        <f t="shared" si="72"/>
        <v>0</v>
      </c>
      <c r="W60" s="460">
        <f t="shared" si="72"/>
        <v>0</v>
      </c>
      <c r="X60" s="396">
        <f t="shared" si="72"/>
        <v>0</v>
      </c>
      <c r="Y60" s="396">
        <f t="shared" si="72"/>
        <v>0</v>
      </c>
      <c r="Z60" s="396">
        <f t="shared" si="72"/>
        <v>0</v>
      </c>
      <c r="AA60" s="396">
        <f t="shared" si="72"/>
        <v>0</v>
      </c>
      <c r="AB60" s="396">
        <f t="shared" si="72"/>
        <v>0</v>
      </c>
    </row>
    <row r="61" spans="1:37" ht="25.5" hidden="1">
      <c r="C61" s="460" t="s">
        <v>1303</v>
      </c>
      <c r="F61" s="396">
        <f>+F37-L37-R37-X37</f>
        <v>0</v>
      </c>
      <c r="G61" s="396">
        <f>+G37-M37-S37-Y37</f>
        <v>0</v>
      </c>
      <c r="H61" s="396">
        <f>+H37-N37-T37-Z37</f>
        <v>0</v>
      </c>
      <c r="I61" s="396">
        <f>+I37-O37-U37-AA37</f>
        <v>0</v>
      </c>
      <c r="J61" s="460">
        <f>+J37-P37-V37-AB37</f>
        <v>0</v>
      </c>
    </row>
    <row r="62" spans="1:37" ht="25.5" hidden="1">
      <c r="C62" s="460" t="s">
        <v>1304</v>
      </c>
      <c r="F62" s="396">
        <f>+F52-L52-R52-X52</f>
        <v>0</v>
      </c>
      <c r="G62" s="396">
        <f>+G52-M52-S52-Y52</f>
        <v>0</v>
      </c>
      <c r="H62" s="396">
        <f>+H52-N52-T52-Z52</f>
        <v>0</v>
      </c>
      <c r="I62" s="396">
        <f>+I52-O52-U52-AA52</f>
        <v>0</v>
      </c>
      <c r="J62" s="460">
        <f>+J52-P52-V52-AB52</f>
        <v>0</v>
      </c>
    </row>
  </sheetData>
  <sheetProtection algorithmName="SHA-512" hashValue="vKvWeLo6OmpvrSHA99DLCG/S3bohzTfEWfFg14OGIBOq5xJIT+8rgn+vG3X2eRtpAg13+rjOsFuNxs9Za0qQXw==" saltValue="4lMChwH8WHtyOqgBn+3k4g==" spinCount="100000" sheet="1" selectLockedCells="1" selectUnlockedCells="1"/>
  <mergeCells count="5">
    <mergeCell ref="A2:AI2"/>
    <mergeCell ref="A56:B56"/>
    <mergeCell ref="F59:G59"/>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8B506-4D9C-4E09-B464-70D6FBE78F54}">
  <sheetPr>
    <tabColor indexed="14"/>
    <pageSetUpPr fitToPage="1"/>
  </sheetPr>
  <dimension ref="A1:AL81"/>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0.140625" style="396" customWidth="1"/>
    <col min="4" max="5" width="11.28515625" style="396" hidden="1" customWidth="1"/>
    <col min="6" max="6" width="10.85546875" style="396" customWidth="1"/>
    <col min="7" max="8" width="10.85546875" style="396" hidden="1" customWidth="1"/>
    <col min="9" max="9" width="10.85546875" style="396" customWidth="1"/>
    <col min="10" max="10" width="10.85546875" style="396" hidden="1" customWidth="1"/>
    <col min="11" max="11" width="10.85546875" style="396"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547" hidden="1" customWidth="1"/>
    <col min="37" max="37" width="10.85546875" style="396" hidden="1" customWidth="1"/>
    <col min="38" max="38" width="11.28515625" style="396" customWidth="1"/>
    <col min="39" max="16384" width="8" style="396"/>
  </cols>
  <sheetData>
    <row r="1" spans="1:37" s="397" customFormat="1" ht="21" customHeight="1">
      <c r="A1" s="3663" t="s">
        <v>4281</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c r="AJ1" s="575"/>
    </row>
    <row r="2" spans="1:37" s="398" customFormat="1" ht="22.5" customHeight="1">
      <c r="A2" s="3661" t="s">
        <v>3429</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c r="AJ2" s="576"/>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90"/>
      <c r="U3" s="2190"/>
      <c r="V3" s="2190"/>
      <c r="W3" s="2190"/>
      <c r="X3" s="2190"/>
      <c r="Y3" s="2190"/>
      <c r="Z3" s="2190"/>
      <c r="AA3" s="2190"/>
      <c r="AB3" s="2190"/>
      <c r="AC3" s="2190"/>
      <c r="AD3" s="2190"/>
      <c r="AE3" s="2191"/>
      <c r="AF3" s="2191"/>
      <c r="AG3" s="2191"/>
      <c r="AH3" s="2183"/>
      <c r="AI3" s="2184"/>
      <c r="AJ3" s="576"/>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c r="AJ4" s="577"/>
    </row>
    <row r="5" spans="1:37" ht="74.2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593"/>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J6" s="578" t="s">
        <v>1271</v>
      </c>
      <c r="AK6" s="401"/>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406"/>
    </row>
    <row r="8" spans="1:37" s="416" customFormat="1" ht="15">
      <c r="A8" s="2933"/>
      <c r="B8" s="1282" t="s">
        <v>3353</v>
      </c>
      <c r="C8" s="1283" t="s">
        <v>1276</v>
      </c>
      <c r="D8" s="1213">
        <f t="shared" ref="D8:W8" si="0">SUM(D9:D19)</f>
        <v>8288789</v>
      </c>
      <c r="E8" s="2715">
        <f t="shared" si="0"/>
        <v>8372194</v>
      </c>
      <c r="F8" s="1213">
        <f t="shared" si="0"/>
        <v>11027660</v>
      </c>
      <c r="G8" s="1213">
        <f t="shared" si="0"/>
        <v>11355268</v>
      </c>
      <c r="H8" s="1213">
        <f t="shared" si="0"/>
        <v>11439765</v>
      </c>
      <c r="I8" s="1213">
        <f t="shared" si="0"/>
        <v>9022209</v>
      </c>
      <c r="J8" s="1213">
        <f t="shared" si="0"/>
        <v>9022209</v>
      </c>
      <c r="K8" s="3208">
        <f t="shared" si="0"/>
        <v>9022209</v>
      </c>
      <c r="L8" s="1213">
        <f t="shared" si="0"/>
        <v>11027660</v>
      </c>
      <c r="M8" s="1213">
        <f t="shared" si="0"/>
        <v>11355268</v>
      </c>
      <c r="N8" s="1213">
        <f t="shared" si="0"/>
        <v>11439765</v>
      </c>
      <c r="O8" s="1213">
        <f t="shared" si="0"/>
        <v>9022209</v>
      </c>
      <c r="P8" s="1213">
        <f t="shared" si="0"/>
        <v>9022209</v>
      </c>
      <c r="Q8" s="1213">
        <f t="shared" si="0"/>
        <v>9022209</v>
      </c>
      <c r="R8" s="1213">
        <f t="shared" si="0"/>
        <v>0</v>
      </c>
      <c r="S8" s="1213">
        <f t="shared" si="0"/>
        <v>0</v>
      </c>
      <c r="T8" s="1213">
        <f t="shared" si="0"/>
        <v>0</v>
      </c>
      <c r="U8" s="1213">
        <f t="shared" si="0"/>
        <v>0</v>
      </c>
      <c r="V8" s="1213">
        <f t="shared" si="0"/>
        <v>0</v>
      </c>
      <c r="W8" s="1213">
        <f t="shared" si="0"/>
        <v>0</v>
      </c>
      <c r="X8" s="1213"/>
      <c r="Y8" s="1213"/>
      <c r="Z8" s="1213"/>
      <c r="AA8" s="1213"/>
      <c r="AB8" s="1213"/>
      <c r="AC8" s="1213"/>
      <c r="AD8" s="1284"/>
      <c r="AE8" s="1213">
        <f t="shared" ref="AE8:AE56" si="1">+G8-F8</f>
        <v>327608</v>
      </c>
      <c r="AF8" s="1213">
        <f t="shared" ref="AF8:AF55" si="2">+H8-G8</f>
        <v>84497</v>
      </c>
      <c r="AG8" s="1213">
        <f t="shared" ref="AG8:AG55" si="3">+I8-H8</f>
        <v>-2417556</v>
      </c>
      <c r="AH8" s="2919">
        <f t="shared" ref="AH8:AH55" si="4">+J8-I8</f>
        <v>0</v>
      </c>
      <c r="AI8" s="1829">
        <f>+K8/I8</f>
        <v>1</v>
      </c>
      <c r="AJ8" s="579">
        <f>+F8-D8</f>
        <v>2738871</v>
      </c>
      <c r="AK8" s="412"/>
    </row>
    <row r="9" spans="1:37" s="416" customFormat="1" ht="15">
      <c r="A9" s="2933"/>
      <c r="B9" s="1285" t="s">
        <v>176</v>
      </c>
      <c r="C9" s="1286" t="s">
        <v>226</v>
      </c>
      <c r="D9" s="1287">
        <v>970330</v>
      </c>
      <c r="E9" s="2716">
        <v>1186724</v>
      </c>
      <c r="F9" s="1287">
        <v>1250000</v>
      </c>
      <c r="G9" s="1287">
        <f t="shared" ref="G9:G14" si="5">+F9</f>
        <v>1250000</v>
      </c>
      <c r="H9" s="1287">
        <f t="shared" ref="H9:H19" si="6">+G9</f>
        <v>1250000</v>
      </c>
      <c r="I9" s="1287">
        <f>+H9-44092</f>
        <v>1205908</v>
      </c>
      <c r="J9" s="1287">
        <f t="shared" ref="J9:J19" si="7">+I9</f>
        <v>1205908</v>
      </c>
      <c r="K9" s="3219">
        <v>1205908</v>
      </c>
      <c r="L9" s="1287">
        <f>+F9</f>
        <v>1250000</v>
      </c>
      <c r="M9" s="1287">
        <f t="shared" ref="M9:M14" si="8">+L9</f>
        <v>1250000</v>
      </c>
      <c r="N9" s="1287">
        <f t="shared" ref="N9:N19" si="9">+M9</f>
        <v>1250000</v>
      </c>
      <c r="O9" s="1287">
        <f>+N9-44092</f>
        <v>1205908</v>
      </c>
      <c r="P9" s="1287">
        <f t="shared" ref="P9:P17" si="10">+O9</f>
        <v>1205908</v>
      </c>
      <c r="Q9" s="1287">
        <f t="shared" ref="Q9:Q19" si="11">+K9</f>
        <v>1205908</v>
      </c>
      <c r="R9" s="1287">
        <v>0</v>
      </c>
      <c r="S9" s="1287">
        <f t="shared" ref="S9:S19" si="12">+R9</f>
        <v>0</v>
      </c>
      <c r="T9" s="1287">
        <f t="shared" ref="T9:T19" si="13">+S9</f>
        <v>0</v>
      </c>
      <c r="U9" s="1287">
        <f t="shared" ref="U9:U17" si="14">+T9</f>
        <v>0</v>
      </c>
      <c r="V9" s="1287">
        <f t="shared" ref="V9:V17" si="15">+U9</f>
        <v>0</v>
      </c>
      <c r="W9" s="1287">
        <v>0</v>
      </c>
      <c r="X9" s="1287"/>
      <c r="Y9" s="1287">
        <f t="shared" ref="Y9:Y17" si="16">+X9</f>
        <v>0</v>
      </c>
      <c r="Z9" s="1287">
        <f t="shared" ref="Z9:Z17" si="17">+Y9</f>
        <v>0</v>
      </c>
      <c r="AA9" s="1287">
        <f t="shared" ref="AA9:AA17" si="18">+Z9</f>
        <v>0</v>
      </c>
      <c r="AB9" s="1287">
        <f t="shared" ref="AB9:AB17" si="19">+AA9</f>
        <v>0</v>
      </c>
      <c r="AC9" s="1287">
        <f t="shared" ref="AC9:AC17" si="20">+AB9</f>
        <v>0</v>
      </c>
      <c r="AD9" s="1284"/>
      <c r="AE9" s="1213">
        <f t="shared" si="1"/>
        <v>0</v>
      </c>
      <c r="AF9" s="1213">
        <f t="shared" si="2"/>
        <v>0</v>
      </c>
      <c r="AG9" s="1213">
        <f t="shared" si="3"/>
        <v>-44092</v>
      </c>
      <c r="AH9" s="2919">
        <f t="shared" si="4"/>
        <v>0</v>
      </c>
      <c r="AI9" s="1834">
        <f>+K9/I9</f>
        <v>1</v>
      </c>
      <c r="AJ9" s="579">
        <f t="shared" ref="AJ9:AJ37" si="21">+F9-D9</f>
        <v>279670</v>
      </c>
      <c r="AK9" s="420"/>
    </row>
    <row r="10" spans="1:37" s="416" customFormat="1" ht="15">
      <c r="A10" s="2933"/>
      <c r="B10" s="1285" t="s">
        <v>178</v>
      </c>
      <c r="C10" s="1286" t="s">
        <v>228</v>
      </c>
      <c r="D10" s="1287">
        <v>4668727</v>
      </c>
      <c r="E10" s="2716">
        <v>5023258</v>
      </c>
      <c r="F10" s="1287">
        <v>6738013</v>
      </c>
      <c r="G10" s="1287">
        <f t="shared" si="5"/>
        <v>6738013</v>
      </c>
      <c r="H10" s="1287">
        <f t="shared" si="6"/>
        <v>6738013</v>
      </c>
      <c r="I10" s="1287">
        <f>+H10-1131066</f>
        <v>5606947</v>
      </c>
      <c r="J10" s="1287">
        <f t="shared" si="7"/>
        <v>5606947</v>
      </c>
      <c r="K10" s="3219">
        <v>5606947</v>
      </c>
      <c r="L10" s="1287">
        <f>+F10</f>
        <v>6738013</v>
      </c>
      <c r="M10" s="1287">
        <f t="shared" si="8"/>
        <v>6738013</v>
      </c>
      <c r="N10" s="1287">
        <f t="shared" si="9"/>
        <v>6738013</v>
      </c>
      <c r="O10" s="1287">
        <f>+N10-1131066</f>
        <v>5606947</v>
      </c>
      <c r="P10" s="1287">
        <f t="shared" si="10"/>
        <v>5606947</v>
      </c>
      <c r="Q10" s="1287">
        <f t="shared" si="11"/>
        <v>5606947</v>
      </c>
      <c r="R10" s="1287">
        <v>0</v>
      </c>
      <c r="S10" s="1287">
        <f t="shared" si="12"/>
        <v>0</v>
      </c>
      <c r="T10" s="1287">
        <f t="shared" si="13"/>
        <v>0</v>
      </c>
      <c r="U10" s="1287">
        <f t="shared" si="14"/>
        <v>0</v>
      </c>
      <c r="V10" s="1287">
        <f t="shared" si="15"/>
        <v>0</v>
      </c>
      <c r="W10" s="1287">
        <v>0</v>
      </c>
      <c r="X10" s="1287"/>
      <c r="Y10" s="1287">
        <f t="shared" si="16"/>
        <v>0</v>
      </c>
      <c r="Z10" s="1287">
        <f t="shared" si="17"/>
        <v>0</v>
      </c>
      <c r="AA10" s="1287">
        <f t="shared" si="18"/>
        <v>0</v>
      </c>
      <c r="AB10" s="1287">
        <f t="shared" si="19"/>
        <v>0</v>
      </c>
      <c r="AC10" s="1287">
        <f t="shared" si="20"/>
        <v>0</v>
      </c>
      <c r="AD10" s="1284"/>
      <c r="AE10" s="1213">
        <f t="shared" si="1"/>
        <v>0</v>
      </c>
      <c r="AF10" s="1213">
        <f t="shared" si="2"/>
        <v>0</v>
      </c>
      <c r="AG10" s="1213">
        <f t="shared" si="3"/>
        <v>-1131066</v>
      </c>
      <c r="AH10" s="2919">
        <f t="shared" si="4"/>
        <v>0</v>
      </c>
      <c r="AI10" s="1834">
        <f>+K10/I10</f>
        <v>1</v>
      </c>
      <c r="AJ10" s="579">
        <f t="shared" si="21"/>
        <v>2069286</v>
      </c>
      <c r="AK10" s="420"/>
    </row>
    <row r="11" spans="1:37" s="416" customFormat="1" ht="15">
      <c r="A11" s="2933"/>
      <c r="B11" s="1289" t="s">
        <v>179</v>
      </c>
      <c r="C11" s="1286" t="s">
        <v>460</v>
      </c>
      <c r="D11" s="1287">
        <v>0</v>
      </c>
      <c r="E11" s="2716">
        <v>32312</v>
      </c>
      <c r="F11" s="1287">
        <v>0</v>
      </c>
      <c r="G11" s="1287">
        <f t="shared" si="5"/>
        <v>0</v>
      </c>
      <c r="H11" s="1287">
        <f t="shared" si="6"/>
        <v>0</v>
      </c>
      <c r="I11" s="1287">
        <f>+H11+1044049</f>
        <v>1044049</v>
      </c>
      <c r="J11" s="1287">
        <f t="shared" si="7"/>
        <v>1044049</v>
      </c>
      <c r="K11" s="3219">
        <v>1044049</v>
      </c>
      <c r="L11" s="1287">
        <v>0</v>
      </c>
      <c r="M11" s="1287">
        <f t="shared" si="8"/>
        <v>0</v>
      </c>
      <c r="N11" s="1287">
        <f t="shared" si="9"/>
        <v>0</v>
      </c>
      <c r="O11" s="1287">
        <f>+N11+1044049</f>
        <v>1044049</v>
      </c>
      <c r="P11" s="1287">
        <f t="shared" si="10"/>
        <v>1044049</v>
      </c>
      <c r="Q11" s="1287">
        <f t="shared" si="11"/>
        <v>1044049</v>
      </c>
      <c r="R11" s="1287">
        <v>0</v>
      </c>
      <c r="S11" s="1287">
        <f t="shared" si="12"/>
        <v>0</v>
      </c>
      <c r="T11" s="1287">
        <f t="shared" si="13"/>
        <v>0</v>
      </c>
      <c r="U11" s="1287">
        <f t="shared" si="14"/>
        <v>0</v>
      </c>
      <c r="V11" s="1287">
        <f t="shared" si="15"/>
        <v>0</v>
      </c>
      <c r="W11" s="1287">
        <v>0</v>
      </c>
      <c r="X11" s="1287"/>
      <c r="Y11" s="1287">
        <f t="shared" si="16"/>
        <v>0</v>
      </c>
      <c r="Z11" s="1287">
        <f t="shared" si="17"/>
        <v>0</v>
      </c>
      <c r="AA11" s="1287">
        <f t="shared" si="18"/>
        <v>0</v>
      </c>
      <c r="AB11" s="1287">
        <f t="shared" si="19"/>
        <v>0</v>
      </c>
      <c r="AC11" s="1287">
        <f t="shared" si="20"/>
        <v>0</v>
      </c>
      <c r="AD11" s="1284"/>
      <c r="AE11" s="1213">
        <f t="shared" si="1"/>
        <v>0</v>
      </c>
      <c r="AF11" s="1213">
        <f t="shared" si="2"/>
        <v>0</v>
      </c>
      <c r="AG11" s="1213">
        <f t="shared" si="3"/>
        <v>1044049</v>
      </c>
      <c r="AH11" s="2919">
        <f t="shared" si="4"/>
        <v>0</v>
      </c>
      <c r="AI11" s="1834">
        <f>+K11/I11</f>
        <v>1</v>
      </c>
      <c r="AJ11" s="579">
        <f t="shared" si="21"/>
        <v>0</v>
      </c>
      <c r="AK11" s="420"/>
    </row>
    <row r="12" spans="1:37" s="416" customFormat="1" ht="15">
      <c r="A12" s="2933"/>
      <c r="B12" s="1289" t="s">
        <v>180</v>
      </c>
      <c r="C12" s="1286" t="s">
        <v>232</v>
      </c>
      <c r="D12" s="1287">
        <v>0</v>
      </c>
      <c r="E12" s="2716">
        <v>0</v>
      </c>
      <c r="F12" s="1287">
        <v>0</v>
      </c>
      <c r="G12" s="1287">
        <f t="shared" si="5"/>
        <v>0</v>
      </c>
      <c r="H12" s="1287">
        <f t="shared" si="6"/>
        <v>0</v>
      </c>
      <c r="I12" s="1287">
        <f t="shared" ref="I12:I17" si="22">+H12</f>
        <v>0</v>
      </c>
      <c r="J12" s="1287">
        <f t="shared" si="7"/>
        <v>0</v>
      </c>
      <c r="K12" s="3219">
        <v>0</v>
      </c>
      <c r="L12" s="1287">
        <v>0</v>
      </c>
      <c r="M12" s="1287">
        <f t="shared" si="8"/>
        <v>0</v>
      </c>
      <c r="N12" s="1287">
        <f t="shared" si="9"/>
        <v>0</v>
      </c>
      <c r="O12" s="1287">
        <f t="shared" ref="O12:O17" si="23">+N12</f>
        <v>0</v>
      </c>
      <c r="P12" s="1287">
        <f t="shared" si="10"/>
        <v>0</v>
      </c>
      <c r="Q12" s="1287">
        <f t="shared" si="11"/>
        <v>0</v>
      </c>
      <c r="R12" s="1287">
        <v>0</v>
      </c>
      <c r="S12" s="1287">
        <f t="shared" si="12"/>
        <v>0</v>
      </c>
      <c r="T12" s="1287">
        <f t="shared" si="13"/>
        <v>0</v>
      </c>
      <c r="U12" s="1287">
        <f t="shared" si="14"/>
        <v>0</v>
      </c>
      <c r="V12" s="1287">
        <f t="shared" si="15"/>
        <v>0</v>
      </c>
      <c r="W12" s="1287">
        <v>0</v>
      </c>
      <c r="X12" s="1287"/>
      <c r="Y12" s="1287">
        <f t="shared" si="16"/>
        <v>0</v>
      </c>
      <c r="Z12" s="1287">
        <f t="shared" si="17"/>
        <v>0</v>
      </c>
      <c r="AA12" s="1287">
        <f t="shared" si="18"/>
        <v>0</v>
      </c>
      <c r="AB12" s="1287">
        <f t="shared" si="19"/>
        <v>0</v>
      </c>
      <c r="AC12" s="1287">
        <f t="shared" si="20"/>
        <v>0</v>
      </c>
      <c r="AD12" s="1284"/>
      <c r="AE12" s="1213">
        <f t="shared" si="1"/>
        <v>0</v>
      </c>
      <c r="AF12" s="1213">
        <f t="shared" si="2"/>
        <v>0</v>
      </c>
      <c r="AG12" s="1213">
        <f t="shared" si="3"/>
        <v>0</v>
      </c>
      <c r="AH12" s="2919">
        <f t="shared" si="4"/>
        <v>0</v>
      </c>
      <c r="AI12" s="1834"/>
      <c r="AJ12" s="579">
        <f t="shared" si="21"/>
        <v>0</v>
      </c>
      <c r="AK12" s="420"/>
    </row>
    <row r="13" spans="1:37" s="416" customFormat="1" ht="15">
      <c r="A13" s="2933"/>
      <c r="B13" s="1289" t="s">
        <v>181</v>
      </c>
      <c r="C13" s="1286" t="s">
        <v>234</v>
      </c>
      <c r="D13" s="1287">
        <v>0</v>
      </c>
      <c r="E13" s="2716">
        <v>0</v>
      </c>
      <c r="F13" s="1287">
        <v>0</v>
      </c>
      <c r="G13" s="1287">
        <f t="shared" si="5"/>
        <v>0</v>
      </c>
      <c r="H13" s="1287">
        <f t="shared" si="6"/>
        <v>0</v>
      </c>
      <c r="I13" s="1287">
        <f t="shared" si="22"/>
        <v>0</v>
      </c>
      <c r="J13" s="1287">
        <f t="shared" si="7"/>
        <v>0</v>
      </c>
      <c r="K13" s="3219">
        <v>0</v>
      </c>
      <c r="L13" s="1287">
        <v>0</v>
      </c>
      <c r="M13" s="1287">
        <f t="shared" si="8"/>
        <v>0</v>
      </c>
      <c r="N13" s="1287">
        <f t="shared" si="9"/>
        <v>0</v>
      </c>
      <c r="O13" s="1287">
        <f t="shared" si="23"/>
        <v>0</v>
      </c>
      <c r="P13" s="1287">
        <f t="shared" si="10"/>
        <v>0</v>
      </c>
      <c r="Q13" s="1287">
        <f t="shared" si="11"/>
        <v>0</v>
      </c>
      <c r="R13" s="1287">
        <v>0</v>
      </c>
      <c r="S13" s="1287">
        <f t="shared" si="12"/>
        <v>0</v>
      </c>
      <c r="T13" s="1287">
        <f t="shared" si="13"/>
        <v>0</v>
      </c>
      <c r="U13" s="1287">
        <f t="shared" si="14"/>
        <v>0</v>
      </c>
      <c r="V13" s="1287">
        <f t="shared" si="15"/>
        <v>0</v>
      </c>
      <c r="W13" s="1287">
        <v>0</v>
      </c>
      <c r="X13" s="1287"/>
      <c r="Y13" s="1287">
        <f t="shared" si="16"/>
        <v>0</v>
      </c>
      <c r="Z13" s="1287">
        <f t="shared" si="17"/>
        <v>0</v>
      </c>
      <c r="AA13" s="1287">
        <f t="shared" si="18"/>
        <v>0</v>
      </c>
      <c r="AB13" s="1287">
        <f t="shared" si="19"/>
        <v>0</v>
      </c>
      <c r="AC13" s="1287">
        <f t="shared" si="20"/>
        <v>0</v>
      </c>
      <c r="AD13" s="1284"/>
      <c r="AE13" s="1213">
        <f t="shared" si="1"/>
        <v>0</v>
      </c>
      <c r="AF13" s="1213">
        <f t="shared" si="2"/>
        <v>0</v>
      </c>
      <c r="AG13" s="1213">
        <f t="shared" si="3"/>
        <v>0</v>
      </c>
      <c r="AH13" s="2919">
        <f t="shared" si="4"/>
        <v>0</v>
      </c>
      <c r="AI13" s="1834"/>
      <c r="AJ13" s="579">
        <f t="shared" si="21"/>
        <v>0</v>
      </c>
      <c r="AK13" s="420"/>
    </row>
    <row r="14" spans="1:37" s="416" customFormat="1" ht="15">
      <c r="A14" s="2933"/>
      <c r="B14" s="1289" t="s">
        <v>183</v>
      </c>
      <c r="C14" s="1286" t="s">
        <v>887</v>
      </c>
      <c r="D14" s="1287">
        <v>1522545</v>
      </c>
      <c r="E14" s="2716">
        <v>261274</v>
      </c>
      <c r="F14" s="1287">
        <v>2156763</v>
      </c>
      <c r="G14" s="1287">
        <f t="shared" si="5"/>
        <v>2156763</v>
      </c>
      <c r="H14" s="1287">
        <f t="shared" si="6"/>
        <v>2156763</v>
      </c>
      <c r="I14" s="1287">
        <f>+H14-1665958</f>
        <v>490805</v>
      </c>
      <c r="J14" s="1287">
        <f t="shared" si="7"/>
        <v>490805</v>
      </c>
      <c r="K14" s="3219">
        <v>490805</v>
      </c>
      <c r="L14" s="1287">
        <f>+F14</f>
        <v>2156763</v>
      </c>
      <c r="M14" s="1287">
        <f t="shared" si="8"/>
        <v>2156763</v>
      </c>
      <c r="N14" s="1287">
        <f t="shared" si="9"/>
        <v>2156763</v>
      </c>
      <c r="O14" s="1287">
        <f>+N14-1665958</f>
        <v>490805</v>
      </c>
      <c r="P14" s="1287">
        <f t="shared" si="10"/>
        <v>490805</v>
      </c>
      <c r="Q14" s="1287">
        <f t="shared" si="11"/>
        <v>490805</v>
      </c>
      <c r="R14" s="1287">
        <v>0</v>
      </c>
      <c r="S14" s="1287">
        <f t="shared" si="12"/>
        <v>0</v>
      </c>
      <c r="T14" s="1287">
        <f t="shared" si="13"/>
        <v>0</v>
      </c>
      <c r="U14" s="1287">
        <f t="shared" si="14"/>
        <v>0</v>
      </c>
      <c r="V14" s="1287">
        <f t="shared" si="15"/>
        <v>0</v>
      </c>
      <c r="W14" s="1287">
        <v>0</v>
      </c>
      <c r="X14" s="1287"/>
      <c r="Y14" s="1287">
        <f t="shared" si="16"/>
        <v>0</v>
      </c>
      <c r="Z14" s="1287">
        <f t="shared" si="17"/>
        <v>0</v>
      </c>
      <c r="AA14" s="1287">
        <f t="shared" si="18"/>
        <v>0</v>
      </c>
      <c r="AB14" s="1287">
        <f t="shared" si="19"/>
        <v>0</v>
      </c>
      <c r="AC14" s="1287">
        <f t="shared" si="20"/>
        <v>0</v>
      </c>
      <c r="AD14" s="1284"/>
      <c r="AE14" s="1213">
        <f t="shared" si="1"/>
        <v>0</v>
      </c>
      <c r="AF14" s="1213">
        <f t="shared" si="2"/>
        <v>0</v>
      </c>
      <c r="AG14" s="1213">
        <f t="shared" si="3"/>
        <v>-1665958</v>
      </c>
      <c r="AH14" s="2919">
        <f t="shared" si="4"/>
        <v>0</v>
      </c>
      <c r="AI14" s="1834">
        <f>+K14/I14</f>
        <v>1</v>
      </c>
      <c r="AJ14" s="579">
        <f t="shared" si="21"/>
        <v>634218</v>
      </c>
      <c r="AK14" s="420"/>
    </row>
    <row r="15" spans="1:37" s="416" customFormat="1" ht="15">
      <c r="A15" s="2933"/>
      <c r="B15" s="1289" t="s">
        <v>321</v>
      </c>
      <c r="C15" s="1290" t="s">
        <v>238</v>
      </c>
      <c r="D15" s="1287">
        <v>0</v>
      </c>
      <c r="E15" s="2716">
        <v>0</v>
      </c>
      <c r="F15" s="1287">
        <v>0</v>
      </c>
      <c r="G15" s="1287">
        <f>+F15+327608</f>
        <v>327608</v>
      </c>
      <c r="H15" s="1287">
        <f>+G15+84497</f>
        <v>412105</v>
      </c>
      <c r="I15" s="1287">
        <f>+H15+64942-196053</f>
        <v>280994</v>
      </c>
      <c r="J15" s="1287">
        <f t="shared" si="7"/>
        <v>280994</v>
      </c>
      <c r="K15" s="3219">
        <v>280994</v>
      </c>
      <c r="L15" s="1287">
        <v>0</v>
      </c>
      <c r="M15" s="1287">
        <f>+L15+327608</f>
        <v>327608</v>
      </c>
      <c r="N15" s="1287">
        <f>+M15+84497</f>
        <v>412105</v>
      </c>
      <c r="O15" s="1287">
        <f>+N15+64942-196053</f>
        <v>280994</v>
      </c>
      <c r="P15" s="1287">
        <f t="shared" si="10"/>
        <v>280994</v>
      </c>
      <c r="Q15" s="1287">
        <f t="shared" si="11"/>
        <v>280994</v>
      </c>
      <c r="R15" s="1287">
        <v>0</v>
      </c>
      <c r="S15" s="1287">
        <f t="shared" si="12"/>
        <v>0</v>
      </c>
      <c r="T15" s="1287">
        <f t="shared" si="13"/>
        <v>0</v>
      </c>
      <c r="U15" s="1287">
        <f t="shared" si="14"/>
        <v>0</v>
      </c>
      <c r="V15" s="1287">
        <f t="shared" si="15"/>
        <v>0</v>
      </c>
      <c r="W15" s="1287">
        <v>0</v>
      </c>
      <c r="X15" s="1287"/>
      <c r="Y15" s="1287">
        <f t="shared" si="16"/>
        <v>0</v>
      </c>
      <c r="Z15" s="1287">
        <f t="shared" si="17"/>
        <v>0</v>
      </c>
      <c r="AA15" s="1287">
        <f t="shared" si="18"/>
        <v>0</v>
      </c>
      <c r="AB15" s="1287">
        <f t="shared" si="19"/>
        <v>0</v>
      </c>
      <c r="AC15" s="1287">
        <f t="shared" si="20"/>
        <v>0</v>
      </c>
      <c r="AD15" s="1665"/>
      <c r="AE15" s="1213">
        <f t="shared" si="1"/>
        <v>327608</v>
      </c>
      <c r="AF15" s="1213">
        <f t="shared" si="2"/>
        <v>84497</v>
      </c>
      <c r="AG15" s="1213">
        <f t="shared" si="3"/>
        <v>-131111</v>
      </c>
      <c r="AH15" s="2919">
        <f t="shared" si="4"/>
        <v>0</v>
      </c>
      <c r="AI15" s="1834">
        <f>+K15/I15</f>
        <v>1</v>
      </c>
      <c r="AJ15" s="579">
        <f t="shared" si="21"/>
        <v>0</v>
      </c>
      <c r="AK15" s="420"/>
    </row>
    <row r="16" spans="1:37" s="416" customFormat="1" ht="15">
      <c r="A16" s="2933"/>
      <c r="B16" s="1289" t="s">
        <v>323</v>
      </c>
      <c r="C16" s="1286" t="s">
        <v>1277</v>
      </c>
      <c r="D16" s="1287">
        <v>1127187</v>
      </c>
      <c r="E16" s="2716">
        <v>1348851</v>
      </c>
      <c r="F16" s="1287">
        <v>882884</v>
      </c>
      <c r="G16" s="1287">
        <f>+F16</f>
        <v>882884</v>
      </c>
      <c r="H16" s="1287">
        <f t="shared" si="6"/>
        <v>882884</v>
      </c>
      <c r="I16" s="1287">
        <f>+H16-489768</f>
        <v>393116</v>
      </c>
      <c r="J16" s="1287">
        <f t="shared" si="7"/>
        <v>393116</v>
      </c>
      <c r="K16" s="3219">
        <v>393116</v>
      </c>
      <c r="L16" s="1287">
        <f>+F16</f>
        <v>882884</v>
      </c>
      <c r="M16" s="1287">
        <f>+L16</f>
        <v>882884</v>
      </c>
      <c r="N16" s="1287">
        <f t="shared" si="9"/>
        <v>882884</v>
      </c>
      <c r="O16" s="1287">
        <f>+N16-489768</f>
        <v>393116</v>
      </c>
      <c r="P16" s="1287">
        <f t="shared" si="10"/>
        <v>393116</v>
      </c>
      <c r="Q16" s="1287">
        <f t="shared" si="11"/>
        <v>393116</v>
      </c>
      <c r="R16" s="1287">
        <v>0</v>
      </c>
      <c r="S16" s="1287">
        <f t="shared" si="12"/>
        <v>0</v>
      </c>
      <c r="T16" s="1287">
        <f t="shared" si="13"/>
        <v>0</v>
      </c>
      <c r="U16" s="1287">
        <f t="shared" si="14"/>
        <v>0</v>
      </c>
      <c r="V16" s="1287">
        <f t="shared" si="15"/>
        <v>0</v>
      </c>
      <c r="W16" s="1287">
        <v>0</v>
      </c>
      <c r="X16" s="1287"/>
      <c r="Y16" s="1287">
        <f t="shared" si="16"/>
        <v>0</v>
      </c>
      <c r="Z16" s="1287">
        <f t="shared" si="17"/>
        <v>0</v>
      </c>
      <c r="AA16" s="1287">
        <f t="shared" si="18"/>
        <v>0</v>
      </c>
      <c r="AB16" s="1287">
        <f t="shared" si="19"/>
        <v>0</v>
      </c>
      <c r="AC16" s="1287">
        <f t="shared" si="20"/>
        <v>0</v>
      </c>
      <c r="AD16" s="1284"/>
      <c r="AE16" s="1213">
        <f t="shared" si="1"/>
        <v>0</v>
      </c>
      <c r="AF16" s="1213">
        <f t="shared" si="2"/>
        <v>0</v>
      </c>
      <c r="AG16" s="1213">
        <f t="shared" si="3"/>
        <v>-489768</v>
      </c>
      <c r="AH16" s="2919">
        <f t="shared" si="4"/>
        <v>0</v>
      </c>
      <c r="AI16" s="1834">
        <f>+K16/I16</f>
        <v>1</v>
      </c>
      <c r="AJ16" s="579">
        <f t="shared" si="21"/>
        <v>-244303</v>
      </c>
      <c r="AK16" s="420"/>
    </row>
    <row r="17" spans="1:37" s="416" customFormat="1" ht="15">
      <c r="A17" s="2933"/>
      <c r="B17" s="1289" t="s">
        <v>325</v>
      </c>
      <c r="C17" s="1286" t="s">
        <v>242</v>
      </c>
      <c r="D17" s="1287">
        <v>0</v>
      </c>
      <c r="E17" s="2716">
        <v>0</v>
      </c>
      <c r="F17" s="1287">
        <v>0</v>
      </c>
      <c r="G17" s="1287">
        <f>+F17</f>
        <v>0</v>
      </c>
      <c r="H17" s="1287">
        <f t="shared" si="6"/>
        <v>0</v>
      </c>
      <c r="I17" s="1287">
        <f t="shared" si="22"/>
        <v>0</v>
      </c>
      <c r="J17" s="1287">
        <f t="shared" si="7"/>
        <v>0</v>
      </c>
      <c r="K17" s="3219">
        <v>0</v>
      </c>
      <c r="L17" s="1287">
        <v>0</v>
      </c>
      <c r="M17" s="1287">
        <f>+L17</f>
        <v>0</v>
      </c>
      <c r="N17" s="1287">
        <f t="shared" si="9"/>
        <v>0</v>
      </c>
      <c r="O17" s="1287">
        <f t="shared" si="23"/>
        <v>0</v>
      </c>
      <c r="P17" s="1287">
        <f t="shared" si="10"/>
        <v>0</v>
      </c>
      <c r="Q17" s="1287">
        <f t="shared" si="11"/>
        <v>0</v>
      </c>
      <c r="R17" s="1287">
        <v>0</v>
      </c>
      <c r="S17" s="1287">
        <f t="shared" si="12"/>
        <v>0</v>
      </c>
      <c r="T17" s="1287">
        <f t="shared" si="13"/>
        <v>0</v>
      </c>
      <c r="U17" s="1287">
        <f t="shared" si="14"/>
        <v>0</v>
      </c>
      <c r="V17" s="1287">
        <f t="shared" si="15"/>
        <v>0</v>
      </c>
      <c r="W17" s="1287">
        <v>0</v>
      </c>
      <c r="X17" s="1287">
        <f>+V17</f>
        <v>0</v>
      </c>
      <c r="Y17" s="1287">
        <f t="shared" si="16"/>
        <v>0</v>
      </c>
      <c r="Z17" s="1287">
        <f t="shared" si="17"/>
        <v>0</v>
      </c>
      <c r="AA17" s="1287">
        <f t="shared" si="18"/>
        <v>0</v>
      </c>
      <c r="AB17" s="1287">
        <f t="shared" si="19"/>
        <v>0</v>
      </c>
      <c r="AC17" s="1287">
        <f t="shared" si="20"/>
        <v>0</v>
      </c>
      <c r="AD17" s="1284"/>
      <c r="AE17" s="1213">
        <f t="shared" si="1"/>
        <v>0</v>
      </c>
      <c r="AF17" s="1213">
        <f t="shared" si="2"/>
        <v>0</v>
      </c>
      <c r="AG17" s="1213">
        <f t="shared" si="3"/>
        <v>0</v>
      </c>
      <c r="AH17" s="2919">
        <f t="shared" si="4"/>
        <v>0</v>
      </c>
      <c r="AI17" s="1834"/>
      <c r="AJ17" s="579">
        <f t="shared" si="21"/>
        <v>0</v>
      </c>
      <c r="AK17" s="420"/>
    </row>
    <row r="18" spans="1:37" s="416" customFormat="1" ht="15">
      <c r="A18" s="2933"/>
      <c r="B18" s="1289" t="s">
        <v>327</v>
      </c>
      <c r="C18" s="1286" t="s">
        <v>163</v>
      </c>
      <c r="D18" s="1287">
        <v>0</v>
      </c>
      <c r="E18" s="2716">
        <v>23250</v>
      </c>
      <c r="F18" s="1287">
        <v>0</v>
      </c>
      <c r="G18" s="1287">
        <f>+F18</f>
        <v>0</v>
      </c>
      <c r="H18" s="1287">
        <f t="shared" si="6"/>
        <v>0</v>
      </c>
      <c r="I18" s="1287">
        <v>0</v>
      </c>
      <c r="J18" s="1287">
        <f t="shared" si="7"/>
        <v>0</v>
      </c>
      <c r="K18" s="3219">
        <v>0</v>
      </c>
      <c r="L18" s="1287">
        <v>0</v>
      </c>
      <c r="M18" s="1287">
        <f>+L18</f>
        <v>0</v>
      </c>
      <c r="N18" s="1287">
        <f t="shared" si="9"/>
        <v>0</v>
      </c>
      <c r="O18" s="1287">
        <v>0</v>
      </c>
      <c r="P18" s="1287"/>
      <c r="Q18" s="1287">
        <f t="shared" si="11"/>
        <v>0</v>
      </c>
      <c r="R18" s="1287">
        <v>0</v>
      </c>
      <c r="S18" s="1287">
        <f t="shared" si="12"/>
        <v>0</v>
      </c>
      <c r="T18" s="1287">
        <f t="shared" si="13"/>
        <v>0</v>
      </c>
      <c r="U18" s="1287">
        <v>0</v>
      </c>
      <c r="V18" s="1287"/>
      <c r="W18" s="1287">
        <v>0</v>
      </c>
      <c r="X18" s="1287"/>
      <c r="Y18" s="1287"/>
      <c r="Z18" s="1287"/>
      <c r="AA18" s="1287"/>
      <c r="AB18" s="1287"/>
      <c r="AC18" s="1287"/>
      <c r="AD18" s="1284"/>
      <c r="AE18" s="1213">
        <f t="shared" si="1"/>
        <v>0</v>
      </c>
      <c r="AF18" s="1213">
        <f t="shared" si="2"/>
        <v>0</v>
      </c>
      <c r="AG18" s="1213">
        <f t="shared" si="3"/>
        <v>0</v>
      </c>
      <c r="AH18" s="2919">
        <f t="shared" si="4"/>
        <v>0</v>
      </c>
      <c r="AI18" s="1834"/>
      <c r="AJ18" s="579">
        <f t="shared" si="21"/>
        <v>0</v>
      </c>
      <c r="AK18" s="420"/>
    </row>
    <row r="19" spans="1:37" s="424" customFormat="1" ht="15">
      <c r="A19" s="2933"/>
      <c r="B19" s="1289" t="s">
        <v>329</v>
      </c>
      <c r="C19" s="1286" t="s">
        <v>162</v>
      </c>
      <c r="D19" s="1287">
        <v>0</v>
      </c>
      <c r="E19" s="2716">
        <v>496525</v>
      </c>
      <c r="F19" s="1287">
        <v>0</v>
      </c>
      <c r="G19" s="1287">
        <f>+F19</f>
        <v>0</v>
      </c>
      <c r="H19" s="1287">
        <f t="shared" si="6"/>
        <v>0</v>
      </c>
      <c r="I19" s="1287">
        <f>+H19+390</f>
        <v>390</v>
      </c>
      <c r="J19" s="1287">
        <f t="shared" si="7"/>
        <v>390</v>
      </c>
      <c r="K19" s="3219">
        <v>390</v>
      </c>
      <c r="L19" s="1287">
        <v>0</v>
      </c>
      <c r="M19" s="1287">
        <f>+L19</f>
        <v>0</v>
      </c>
      <c r="N19" s="1287">
        <f t="shared" si="9"/>
        <v>0</v>
      </c>
      <c r="O19" s="1287">
        <f>+N19+390</f>
        <v>390</v>
      </c>
      <c r="P19" s="1287">
        <f>+O19</f>
        <v>390</v>
      </c>
      <c r="Q19" s="1287">
        <f t="shared" si="11"/>
        <v>390</v>
      </c>
      <c r="R19" s="1287">
        <v>0</v>
      </c>
      <c r="S19" s="1287">
        <f t="shared" si="12"/>
        <v>0</v>
      </c>
      <c r="T19" s="1287">
        <f t="shared" si="13"/>
        <v>0</v>
      </c>
      <c r="U19" s="1287">
        <f>+T19</f>
        <v>0</v>
      </c>
      <c r="V19" s="1287">
        <f>+U19</f>
        <v>0</v>
      </c>
      <c r="W19" s="1287">
        <v>0</v>
      </c>
      <c r="X19" s="1287"/>
      <c r="Y19" s="1287">
        <f>+X19</f>
        <v>0</v>
      </c>
      <c r="Z19" s="1287">
        <f>+Y19</f>
        <v>0</v>
      </c>
      <c r="AA19" s="1287">
        <f>+Z19</f>
        <v>0</v>
      </c>
      <c r="AB19" s="1287">
        <f>+AA19</f>
        <v>0</v>
      </c>
      <c r="AC19" s="1287">
        <f>+AB19</f>
        <v>0</v>
      </c>
      <c r="AD19" s="1284"/>
      <c r="AE19" s="1213">
        <f t="shared" si="1"/>
        <v>0</v>
      </c>
      <c r="AF19" s="1213">
        <f t="shared" si="2"/>
        <v>0</v>
      </c>
      <c r="AG19" s="1213">
        <f t="shared" si="3"/>
        <v>390</v>
      </c>
      <c r="AH19" s="2919">
        <f t="shared" si="4"/>
        <v>0</v>
      </c>
      <c r="AI19" s="1834">
        <f>+K19/I19</f>
        <v>1</v>
      </c>
      <c r="AJ19" s="579">
        <f t="shared" si="21"/>
        <v>0</v>
      </c>
      <c r="AK19" s="420"/>
    </row>
    <row r="20" spans="1:37" s="424" customFormat="1" ht="15">
      <c r="A20" s="2934" t="s">
        <v>12</v>
      </c>
      <c r="B20" s="1282" t="s">
        <v>12</v>
      </c>
      <c r="C20" s="1283" t="s">
        <v>1278</v>
      </c>
      <c r="D20" s="1213">
        <f t="shared" ref="D20:AC20" si="24">SUM(D21:D22)</f>
        <v>0</v>
      </c>
      <c r="E20" s="2715">
        <f t="shared" si="24"/>
        <v>0</v>
      </c>
      <c r="F20" s="1213">
        <f t="shared" si="24"/>
        <v>0</v>
      </c>
      <c r="G20" s="1213">
        <f t="shared" si="24"/>
        <v>0</v>
      </c>
      <c r="H20" s="1213">
        <f t="shared" si="24"/>
        <v>0</v>
      </c>
      <c r="I20" s="1213">
        <f t="shared" si="24"/>
        <v>0</v>
      </c>
      <c r="J20" s="1213">
        <f t="shared" si="24"/>
        <v>0</v>
      </c>
      <c r="K20" s="3208">
        <f>SUM(K21:K22)</f>
        <v>0</v>
      </c>
      <c r="L20" s="1213">
        <f t="shared" si="24"/>
        <v>0</v>
      </c>
      <c r="M20" s="1213">
        <f t="shared" si="24"/>
        <v>0</v>
      </c>
      <c r="N20" s="1213">
        <f t="shared" si="24"/>
        <v>0</v>
      </c>
      <c r="O20" s="1213">
        <f t="shared" si="24"/>
        <v>0</v>
      </c>
      <c r="P20" s="1213">
        <f t="shared" si="24"/>
        <v>0</v>
      </c>
      <c r="Q20" s="1213">
        <f t="shared" si="24"/>
        <v>0</v>
      </c>
      <c r="R20" s="1213">
        <f t="shared" si="24"/>
        <v>0</v>
      </c>
      <c r="S20" s="1213">
        <f t="shared" si="24"/>
        <v>0</v>
      </c>
      <c r="T20" s="1213">
        <f t="shared" si="24"/>
        <v>0</v>
      </c>
      <c r="U20" s="1213">
        <f t="shared" si="24"/>
        <v>0</v>
      </c>
      <c r="V20" s="1213">
        <f t="shared" si="24"/>
        <v>0</v>
      </c>
      <c r="W20" s="1213">
        <f t="shared" si="24"/>
        <v>0</v>
      </c>
      <c r="X20" s="1213">
        <f t="shared" si="24"/>
        <v>0</v>
      </c>
      <c r="Y20" s="1213">
        <f t="shared" si="24"/>
        <v>0</v>
      </c>
      <c r="Z20" s="1213">
        <f t="shared" si="24"/>
        <v>0</v>
      </c>
      <c r="AA20" s="1213">
        <f t="shared" si="24"/>
        <v>0</v>
      </c>
      <c r="AB20" s="1213">
        <f t="shared" si="24"/>
        <v>0</v>
      </c>
      <c r="AC20" s="1213">
        <f t="shared" si="24"/>
        <v>0</v>
      </c>
      <c r="AD20" s="1284"/>
      <c r="AE20" s="1213">
        <f t="shared" si="1"/>
        <v>0</v>
      </c>
      <c r="AF20" s="1213">
        <f t="shared" si="2"/>
        <v>0</v>
      </c>
      <c r="AG20" s="1213">
        <f t="shared" si="3"/>
        <v>0</v>
      </c>
      <c r="AH20" s="2919">
        <f t="shared" si="4"/>
        <v>0</v>
      </c>
      <c r="AI20" s="1829"/>
      <c r="AJ20" s="579">
        <f t="shared" si="21"/>
        <v>0</v>
      </c>
      <c r="AK20" s="412"/>
    </row>
    <row r="21" spans="1:37" s="424" customFormat="1" ht="15">
      <c r="A21" s="2933"/>
      <c r="B21" s="1289" t="s">
        <v>185</v>
      </c>
      <c r="C21" s="1286" t="s">
        <v>247</v>
      </c>
      <c r="D21" s="1287">
        <v>0</v>
      </c>
      <c r="E21" s="2716">
        <v>0</v>
      </c>
      <c r="F21" s="1287">
        <v>0</v>
      </c>
      <c r="G21" s="1287">
        <f t="shared" ref="G21:J22" si="25">+F21</f>
        <v>0</v>
      </c>
      <c r="H21" s="1287">
        <f t="shared" si="25"/>
        <v>0</v>
      </c>
      <c r="I21" s="1287">
        <f t="shared" si="25"/>
        <v>0</v>
      </c>
      <c r="J21" s="1287">
        <f t="shared" si="25"/>
        <v>0</v>
      </c>
      <c r="K21" s="3219">
        <v>0</v>
      </c>
      <c r="L21" s="1287">
        <v>0</v>
      </c>
      <c r="M21" s="1287">
        <f t="shared" ref="M21:P22" si="26">+L21</f>
        <v>0</v>
      </c>
      <c r="N21" s="1287">
        <f t="shared" si="26"/>
        <v>0</v>
      </c>
      <c r="O21" s="1287">
        <f t="shared" si="26"/>
        <v>0</v>
      </c>
      <c r="P21" s="1287">
        <f t="shared" si="26"/>
        <v>0</v>
      </c>
      <c r="Q21" s="1287">
        <f>+K21</f>
        <v>0</v>
      </c>
      <c r="R21" s="1287">
        <v>0</v>
      </c>
      <c r="S21" s="1287">
        <f t="shared" ref="S21:V22" si="27">+R21</f>
        <v>0</v>
      </c>
      <c r="T21" s="1287">
        <f t="shared" si="27"/>
        <v>0</v>
      </c>
      <c r="U21" s="1287">
        <f t="shared" si="27"/>
        <v>0</v>
      </c>
      <c r="V21" s="1287">
        <f t="shared" si="27"/>
        <v>0</v>
      </c>
      <c r="W21" s="1287">
        <v>0</v>
      </c>
      <c r="X21" s="1287"/>
      <c r="Y21" s="1287">
        <f t="shared" ref="Y21:AC22" si="28">+X21</f>
        <v>0</v>
      </c>
      <c r="Z21" s="1287">
        <f t="shared" si="28"/>
        <v>0</v>
      </c>
      <c r="AA21" s="1287">
        <f t="shared" si="28"/>
        <v>0</v>
      </c>
      <c r="AB21" s="1287">
        <f t="shared" si="28"/>
        <v>0</v>
      </c>
      <c r="AC21" s="1287">
        <f t="shared" si="28"/>
        <v>0</v>
      </c>
      <c r="AD21" s="1284"/>
      <c r="AE21" s="1213">
        <f t="shared" si="1"/>
        <v>0</v>
      </c>
      <c r="AF21" s="1213">
        <f t="shared" si="2"/>
        <v>0</v>
      </c>
      <c r="AG21" s="1213">
        <f t="shared" si="3"/>
        <v>0</v>
      </c>
      <c r="AH21" s="2919">
        <f t="shared" si="4"/>
        <v>0</v>
      </c>
      <c r="AI21" s="1834"/>
      <c r="AJ21" s="579">
        <f t="shared" si="21"/>
        <v>0</v>
      </c>
      <c r="AK21" s="420"/>
    </row>
    <row r="22" spans="1:37" s="424" customFormat="1" ht="15">
      <c r="A22" s="2933"/>
      <c r="B22" s="1289" t="s">
        <v>187</v>
      </c>
      <c r="C22" s="1286" t="s">
        <v>155</v>
      </c>
      <c r="D22" s="1287">
        <v>0</v>
      </c>
      <c r="E22" s="2716">
        <v>0</v>
      </c>
      <c r="F22" s="1287">
        <v>0</v>
      </c>
      <c r="G22" s="1287">
        <f t="shared" si="25"/>
        <v>0</v>
      </c>
      <c r="H22" s="1287">
        <f t="shared" si="25"/>
        <v>0</v>
      </c>
      <c r="I22" s="1287">
        <f t="shared" si="25"/>
        <v>0</v>
      </c>
      <c r="J22" s="1287">
        <f t="shared" si="25"/>
        <v>0</v>
      </c>
      <c r="K22" s="3219">
        <v>0</v>
      </c>
      <c r="L22" s="1287">
        <v>0</v>
      </c>
      <c r="M22" s="1287">
        <f t="shared" si="26"/>
        <v>0</v>
      </c>
      <c r="N22" s="1287">
        <f t="shared" si="26"/>
        <v>0</v>
      </c>
      <c r="O22" s="1287">
        <f t="shared" si="26"/>
        <v>0</v>
      </c>
      <c r="P22" s="1287">
        <f t="shared" si="26"/>
        <v>0</v>
      </c>
      <c r="Q22" s="1287">
        <f>+K22</f>
        <v>0</v>
      </c>
      <c r="R22" s="1287">
        <v>0</v>
      </c>
      <c r="S22" s="1287">
        <f t="shared" si="27"/>
        <v>0</v>
      </c>
      <c r="T22" s="1287">
        <f t="shared" si="27"/>
        <v>0</v>
      </c>
      <c r="U22" s="1287">
        <f t="shared" si="27"/>
        <v>0</v>
      </c>
      <c r="V22" s="1287">
        <f t="shared" si="27"/>
        <v>0</v>
      </c>
      <c r="W22" s="1287">
        <v>0</v>
      </c>
      <c r="X22" s="1287"/>
      <c r="Y22" s="1287">
        <f t="shared" si="28"/>
        <v>0</v>
      </c>
      <c r="Z22" s="1287">
        <f t="shared" si="28"/>
        <v>0</v>
      </c>
      <c r="AA22" s="1287">
        <f t="shared" si="28"/>
        <v>0</v>
      </c>
      <c r="AB22" s="1287">
        <f t="shared" si="28"/>
        <v>0</v>
      </c>
      <c r="AC22" s="1287">
        <f t="shared" si="28"/>
        <v>0</v>
      </c>
      <c r="AD22" s="1284"/>
      <c r="AE22" s="1213">
        <f t="shared" si="1"/>
        <v>0</v>
      </c>
      <c r="AF22" s="1213">
        <f t="shared" si="2"/>
        <v>0</v>
      </c>
      <c r="AG22" s="1213">
        <f t="shared" si="3"/>
        <v>0</v>
      </c>
      <c r="AH22" s="2919">
        <f t="shared" si="4"/>
        <v>0</v>
      </c>
      <c r="AI22" s="1834"/>
      <c r="AJ22" s="579">
        <f t="shared" si="21"/>
        <v>0</v>
      </c>
      <c r="AK22" s="420"/>
    </row>
    <row r="23" spans="1:37" s="416" customFormat="1" ht="21">
      <c r="A23" s="2934" t="s">
        <v>14</v>
      </c>
      <c r="B23" s="1282" t="s">
        <v>14</v>
      </c>
      <c r="C23" s="1283" t="s">
        <v>1279</v>
      </c>
      <c r="D23" s="1213">
        <f t="shared" ref="D23:AC23" si="29">D24+D25</f>
        <v>0</v>
      </c>
      <c r="E23" s="2715">
        <f t="shared" si="29"/>
        <v>0</v>
      </c>
      <c r="F23" s="1213">
        <f t="shared" si="29"/>
        <v>0</v>
      </c>
      <c r="G23" s="1213">
        <f t="shared" si="29"/>
        <v>0</v>
      </c>
      <c r="H23" s="1213">
        <f t="shared" si="29"/>
        <v>0</v>
      </c>
      <c r="I23" s="1213">
        <f t="shared" si="29"/>
        <v>0</v>
      </c>
      <c r="J23" s="1213">
        <f t="shared" si="29"/>
        <v>0</v>
      </c>
      <c r="K23" s="3208">
        <f t="shared" si="29"/>
        <v>0</v>
      </c>
      <c r="L23" s="1213">
        <f t="shared" si="29"/>
        <v>0</v>
      </c>
      <c r="M23" s="1213">
        <f t="shared" si="29"/>
        <v>0</v>
      </c>
      <c r="N23" s="1213">
        <f t="shared" si="29"/>
        <v>0</v>
      </c>
      <c r="O23" s="1213">
        <f t="shared" si="29"/>
        <v>0</v>
      </c>
      <c r="P23" s="1213">
        <f t="shared" si="29"/>
        <v>0</v>
      </c>
      <c r="Q23" s="1213">
        <f t="shared" si="29"/>
        <v>0</v>
      </c>
      <c r="R23" s="1213">
        <f t="shared" si="29"/>
        <v>0</v>
      </c>
      <c r="S23" s="1213">
        <f t="shared" si="29"/>
        <v>0</v>
      </c>
      <c r="T23" s="1213">
        <f t="shared" si="29"/>
        <v>0</v>
      </c>
      <c r="U23" s="1213">
        <f t="shared" si="29"/>
        <v>0</v>
      </c>
      <c r="V23" s="1213">
        <f t="shared" si="29"/>
        <v>0</v>
      </c>
      <c r="W23" s="1213">
        <f t="shared" si="29"/>
        <v>0</v>
      </c>
      <c r="X23" s="1213">
        <f t="shared" si="29"/>
        <v>0</v>
      </c>
      <c r="Y23" s="1213">
        <f t="shared" si="29"/>
        <v>0</v>
      </c>
      <c r="Z23" s="1213">
        <f t="shared" si="29"/>
        <v>0</v>
      </c>
      <c r="AA23" s="1213">
        <f t="shared" si="29"/>
        <v>0</v>
      </c>
      <c r="AB23" s="1213">
        <f t="shared" si="29"/>
        <v>0</v>
      </c>
      <c r="AC23" s="1213">
        <f t="shared" si="29"/>
        <v>0</v>
      </c>
      <c r="AD23" s="1284"/>
      <c r="AE23" s="1213">
        <f t="shared" si="1"/>
        <v>0</v>
      </c>
      <c r="AF23" s="1213">
        <f t="shared" si="2"/>
        <v>0</v>
      </c>
      <c r="AG23" s="1213">
        <f t="shared" si="3"/>
        <v>0</v>
      </c>
      <c r="AH23" s="2919">
        <f t="shared" si="4"/>
        <v>0</v>
      </c>
      <c r="AI23" s="1829"/>
      <c r="AJ23" s="579">
        <f t="shared" si="21"/>
        <v>0</v>
      </c>
      <c r="AK23" s="412"/>
    </row>
    <row r="24" spans="1:37" s="416" customFormat="1" ht="15">
      <c r="A24" s="2934"/>
      <c r="B24" s="1289" t="s">
        <v>198</v>
      </c>
      <c r="C24" s="1284" t="s">
        <v>186</v>
      </c>
      <c r="D24" s="1291">
        <v>0</v>
      </c>
      <c r="E24" s="2717">
        <v>0</v>
      </c>
      <c r="F24" s="1291">
        <v>0</v>
      </c>
      <c r="G24" s="1291">
        <f t="shared" ref="G24:G31" si="30">+F24</f>
        <v>0</v>
      </c>
      <c r="H24" s="1291">
        <f t="shared" ref="H24:H31" si="31">+G24</f>
        <v>0</v>
      </c>
      <c r="I24" s="1291">
        <f t="shared" ref="I24:I31" si="32">+H24</f>
        <v>0</v>
      </c>
      <c r="J24" s="1291">
        <f t="shared" ref="J24:J31" si="33">+I24</f>
        <v>0</v>
      </c>
      <c r="K24" s="3219">
        <f>0</f>
        <v>0</v>
      </c>
      <c r="L24" s="1213">
        <v>0</v>
      </c>
      <c r="M24" s="1213">
        <f t="shared" ref="M24:M31" si="34">+L24</f>
        <v>0</v>
      </c>
      <c r="N24" s="1213">
        <f t="shared" ref="N24:N31" si="35">+M24</f>
        <v>0</v>
      </c>
      <c r="O24" s="1291">
        <f t="shared" ref="O24:O31" si="36">+N24</f>
        <v>0</v>
      </c>
      <c r="P24" s="1291">
        <f t="shared" ref="P24:P31" si="37">+O24</f>
        <v>0</v>
      </c>
      <c r="Q24" s="1291">
        <f t="shared" ref="Q24:Q31" si="38">+K24</f>
        <v>0</v>
      </c>
      <c r="R24" s="1213">
        <v>0</v>
      </c>
      <c r="S24" s="1213">
        <f t="shared" ref="S24:S31" si="39">+R24</f>
        <v>0</v>
      </c>
      <c r="T24" s="1213">
        <f t="shared" ref="T24:T31" si="40">+S24</f>
        <v>0</v>
      </c>
      <c r="U24" s="1213">
        <f t="shared" ref="U24:U31" si="41">+T24</f>
        <v>0</v>
      </c>
      <c r="V24" s="1213">
        <f t="shared" ref="V24:V31" si="42">+U24</f>
        <v>0</v>
      </c>
      <c r="W24" s="1213">
        <v>0</v>
      </c>
      <c r="X24" s="1213"/>
      <c r="Y24" s="1213">
        <f t="shared" ref="Y24:Y31" si="43">+X24</f>
        <v>0</v>
      </c>
      <c r="Z24" s="1213">
        <f t="shared" ref="Z24:Z31" si="44">+Y24</f>
        <v>0</v>
      </c>
      <c r="AA24" s="1213">
        <f t="shared" ref="AA24:AA31" si="45">+Z24</f>
        <v>0</v>
      </c>
      <c r="AB24" s="1213">
        <f t="shared" ref="AB24:AB31" si="46">+AA24</f>
        <v>0</v>
      </c>
      <c r="AC24" s="1213">
        <f t="shared" ref="AC24:AC31" si="47">+AB24</f>
        <v>0</v>
      </c>
      <c r="AD24" s="1284"/>
      <c r="AE24" s="1213">
        <f t="shared" si="1"/>
        <v>0</v>
      </c>
      <c r="AF24" s="1213">
        <f t="shared" si="2"/>
        <v>0</v>
      </c>
      <c r="AG24" s="1213">
        <f t="shared" si="3"/>
        <v>0</v>
      </c>
      <c r="AH24" s="2919">
        <f t="shared" si="4"/>
        <v>0</v>
      </c>
      <c r="AI24" s="1829"/>
      <c r="AJ24" s="579">
        <f t="shared" si="21"/>
        <v>0</v>
      </c>
      <c r="AK24" s="548"/>
    </row>
    <row r="25" spans="1:37" s="424" customFormat="1" ht="15">
      <c r="A25" s="2933"/>
      <c r="B25" s="1289" t="s">
        <v>200</v>
      </c>
      <c r="C25" s="2994" t="s">
        <v>148</v>
      </c>
      <c r="D25" s="1227">
        <v>0</v>
      </c>
      <c r="E25" s="2719">
        <v>0</v>
      </c>
      <c r="F25" s="1227">
        <v>0</v>
      </c>
      <c r="G25" s="1291">
        <f t="shared" si="30"/>
        <v>0</v>
      </c>
      <c r="H25" s="1291">
        <f>G25</f>
        <v>0</v>
      </c>
      <c r="I25" s="1227">
        <f t="shared" si="32"/>
        <v>0</v>
      </c>
      <c r="J25" s="1291">
        <f t="shared" si="33"/>
        <v>0</v>
      </c>
      <c r="K25" s="3219">
        <v>0</v>
      </c>
      <c r="L25" s="1287">
        <v>0</v>
      </c>
      <c r="M25" s="1287">
        <f t="shared" si="34"/>
        <v>0</v>
      </c>
      <c r="N25" s="1287">
        <f t="shared" si="35"/>
        <v>0</v>
      </c>
      <c r="O25" s="1287">
        <f t="shared" si="36"/>
        <v>0</v>
      </c>
      <c r="P25" s="1287">
        <f t="shared" si="37"/>
        <v>0</v>
      </c>
      <c r="Q25" s="1287">
        <f t="shared" si="38"/>
        <v>0</v>
      </c>
      <c r="R25" s="1287">
        <v>0</v>
      </c>
      <c r="S25" s="1287">
        <f>+R25</f>
        <v>0</v>
      </c>
      <c r="T25" s="1287">
        <f t="shared" si="40"/>
        <v>0</v>
      </c>
      <c r="U25" s="1287">
        <f t="shared" si="41"/>
        <v>0</v>
      </c>
      <c r="V25" s="1287">
        <f t="shared" si="42"/>
        <v>0</v>
      </c>
      <c r="W25" s="1287">
        <v>0</v>
      </c>
      <c r="X25" s="1287"/>
      <c r="Y25" s="1287">
        <f t="shared" si="43"/>
        <v>0</v>
      </c>
      <c r="Z25" s="1287">
        <f t="shared" si="44"/>
        <v>0</v>
      </c>
      <c r="AA25" s="1287">
        <f t="shared" si="45"/>
        <v>0</v>
      </c>
      <c r="AB25" s="1287">
        <f t="shared" si="46"/>
        <v>0</v>
      </c>
      <c r="AC25" s="1287">
        <f t="shared" si="47"/>
        <v>0</v>
      </c>
      <c r="AD25" s="1284"/>
      <c r="AE25" s="1213">
        <f t="shared" si="1"/>
        <v>0</v>
      </c>
      <c r="AF25" s="1213">
        <f t="shared" si="2"/>
        <v>0</v>
      </c>
      <c r="AG25" s="1213">
        <f t="shared" si="3"/>
        <v>0</v>
      </c>
      <c r="AH25" s="2919">
        <f t="shared" si="4"/>
        <v>0</v>
      </c>
      <c r="AI25" s="1834"/>
      <c r="AJ25" s="579">
        <f t="shared" si="21"/>
        <v>0</v>
      </c>
      <c r="AK25" s="430"/>
    </row>
    <row r="26" spans="1:37" s="424" customFormat="1" ht="15">
      <c r="A26" s="2933"/>
      <c r="B26" s="1289" t="s">
        <v>202</v>
      </c>
      <c r="C26" s="1290" t="s">
        <v>1280</v>
      </c>
      <c r="D26" s="1287">
        <v>0</v>
      </c>
      <c r="E26" s="2716">
        <v>0</v>
      </c>
      <c r="F26" s="1287">
        <v>0</v>
      </c>
      <c r="G26" s="1287">
        <f t="shared" si="30"/>
        <v>0</v>
      </c>
      <c r="H26" s="1287">
        <f t="shared" si="31"/>
        <v>0</v>
      </c>
      <c r="I26" s="1287">
        <f t="shared" si="32"/>
        <v>0</v>
      </c>
      <c r="J26" s="1291">
        <f t="shared" si="33"/>
        <v>0</v>
      </c>
      <c r="K26" s="3219">
        <v>0</v>
      </c>
      <c r="L26" s="1287">
        <v>0</v>
      </c>
      <c r="M26" s="1287">
        <f t="shared" si="34"/>
        <v>0</v>
      </c>
      <c r="N26" s="1287">
        <f t="shared" si="35"/>
        <v>0</v>
      </c>
      <c r="O26" s="1287">
        <f t="shared" si="36"/>
        <v>0</v>
      </c>
      <c r="P26" s="1287">
        <f t="shared" si="37"/>
        <v>0</v>
      </c>
      <c r="Q26" s="1287">
        <f t="shared" si="38"/>
        <v>0</v>
      </c>
      <c r="R26" s="1287">
        <v>0</v>
      </c>
      <c r="S26" s="1287">
        <f t="shared" si="39"/>
        <v>0</v>
      </c>
      <c r="T26" s="1287">
        <f t="shared" si="40"/>
        <v>0</v>
      </c>
      <c r="U26" s="1287">
        <f t="shared" si="41"/>
        <v>0</v>
      </c>
      <c r="V26" s="1287">
        <f t="shared" si="42"/>
        <v>0</v>
      </c>
      <c r="W26" s="1287">
        <v>0</v>
      </c>
      <c r="X26" s="1287"/>
      <c r="Y26" s="1287">
        <f t="shared" si="43"/>
        <v>0</v>
      </c>
      <c r="Z26" s="1287">
        <f t="shared" si="44"/>
        <v>0</v>
      </c>
      <c r="AA26" s="1287">
        <f t="shared" si="45"/>
        <v>0</v>
      </c>
      <c r="AB26" s="1287">
        <f t="shared" si="46"/>
        <v>0</v>
      </c>
      <c r="AC26" s="1287">
        <f t="shared" si="47"/>
        <v>0</v>
      </c>
      <c r="AD26" s="1284"/>
      <c r="AE26" s="1213">
        <f t="shared" si="1"/>
        <v>0</v>
      </c>
      <c r="AF26" s="1213">
        <f t="shared" si="2"/>
        <v>0</v>
      </c>
      <c r="AG26" s="1213">
        <f t="shared" si="3"/>
        <v>0</v>
      </c>
      <c r="AH26" s="2919">
        <f t="shared" si="4"/>
        <v>0</v>
      </c>
      <c r="AI26" s="1834"/>
      <c r="AJ26" s="579">
        <f t="shared" si="21"/>
        <v>0</v>
      </c>
      <c r="AK26" s="420"/>
    </row>
    <row r="27" spans="1:37" s="424" customFormat="1" ht="15">
      <c r="A27" s="2934" t="s">
        <v>15</v>
      </c>
      <c r="B27" s="1282" t="s">
        <v>15</v>
      </c>
      <c r="C27" s="1292" t="s">
        <v>150</v>
      </c>
      <c r="D27" s="1293">
        <v>0</v>
      </c>
      <c r="E27" s="2718">
        <v>0</v>
      </c>
      <c r="F27" s="1293">
        <v>0</v>
      </c>
      <c r="G27" s="1293">
        <f t="shared" si="30"/>
        <v>0</v>
      </c>
      <c r="H27" s="1293">
        <f t="shared" si="31"/>
        <v>0</v>
      </c>
      <c r="I27" s="1293">
        <f t="shared" si="32"/>
        <v>0</v>
      </c>
      <c r="J27" s="1293">
        <f t="shared" si="33"/>
        <v>0</v>
      </c>
      <c r="K27" s="3221">
        <v>0</v>
      </c>
      <c r="L27" s="1293">
        <v>0</v>
      </c>
      <c r="M27" s="1293">
        <f t="shared" si="34"/>
        <v>0</v>
      </c>
      <c r="N27" s="1293">
        <f t="shared" si="35"/>
        <v>0</v>
      </c>
      <c r="O27" s="1293">
        <f t="shared" si="36"/>
        <v>0</v>
      </c>
      <c r="P27" s="1293">
        <f t="shared" si="37"/>
        <v>0</v>
      </c>
      <c r="Q27" s="1293">
        <f t="shared" si="38"/>
        <v>0</v>
      </c>
      <c r="R27" s="1293">
        <v>0</v>
      </c>
      <c r="S27" s="1293">
        <f t="shared" si="39"/>
        <v>0</v>
      </c>
      <c r="T27" s="1293">
        <f t="shared" si="40"/>
        <v>0</v>
      </c>
      <c r="U27" s="1293">
        <f t="shared" si="41"/>
        <v>0</v>
      </c>
      <c r="V27" s="1293">
        <f t="shared" si="42"/>
        <v>0</v>
      </c>
      <c r="W27" s="1293">
        <v>0</v>
      </c>
      <c r="X27" s="1293">
        <f>+V27</f>
        <v>0</v>
      </c>
      <c r="Y27" s="1293">
        <f t="shared" si="43"/>
        <v>0</v>
      </c>
      <c r="Z27" s="1293">
        <f t="shared" si="44"/>
        <v>0</v>
      </c>
      <c r="AA27" s="1293">
        <f t="shared" si="45"/>
        <v>0</v>
      </c>
      <c r="AB27" s="1293">
        <f t="shared" si="46"/>
        <v>0</v>
      </c>
      <c r="AC27" s="1293">
        <f t="shared" si="47"/>
        <v>0</v>
      </c>
      <c r="AD27" s="1284"/>
      <c r="AE27" s="1213">
        <f t="shared" si="1"/>
        <v>0</v>
      </c>
      <c r="AF27" s="1213">
        <f t="shared" si="2"/>
        <v>0</v>
      </c>
      <c r="AG27" s="1213">
        <f t="shared" si="3"/>
        <v>0</v>
      </c>
      <c r="AH27" s="2919">
        <f t="shared" si="4"/>
        <v>0</v>
      </c>
      <c r="AI27" s="1834"/>
      <c r="AJ27" s="579">
        <f t="shared" si="21"/>
        <v>0</v>
      </c>
      <c r="AK27" s="427"/>
    </row>
    <row r="28" spans="1:37" s="424" customFormat="1" ht="15">
      <c r="A28" s="2933"/>
      <c r="B28" s="1289" t="s">
        <v>212</v>
      </c>
      <c r="C28" s="1290" t="s">
        <v>1280</v>
      </c>
      <c r="D28" s="1287">
        <v>0</v>
      </c>
      <c r="E28" s="2716">
        <v>0</v>
      </c>
      <c r="F28" s="1287">
        <v>0</v>
      </c>
      <c r="G28" s="1287">
        <f t="shared" si="30"/>
        <v>0</v>
      </c>
      <c r="H28" s="1287">
        <f t="shared" si="31"/>
        <v>0</v>
      </c>
      <c r="I28" s="1287">
        <f t="shared" si="32"/>
        <v>0</v>
      </c>
      <c r="J28" s="1287">
        <f t="shared" si="33"/>
        <v>0</v>
      </c>
      <c r="K28" s="3219">
        <v>0</v>
      </c>
      <c r="L28" s="1287">
        <v>0</v>
      </c>
      <c r="M28" s="1287">
        <f t="shared" si="34"/>
        <v>0</v>
      </c>
      <c r="N28" s="1287">
        <f t="shared" si="35"/>
        <v>0</v>
      </c>
      <c r="O28" s="1287">
        <f t="shared" si="36"/>
        <v>0</v>
      </c>
      <c r="P28" s="1287">
        <f t="shared" si="37"/>
        <v>0</v>
      </c>
      <c r="Q28" s="1287">
        <f t="shared" si="38"/>
        <v>0</v>
      </c>
      <c r="R28" s="1287">
        <v>0</v>
      </c>
      <c r="S28" s="1287">
        <f t="shared" si="39"/>
        <v>0</v>
      </c>
      <c r="T28" s="1287">
        <f t="shared" si="40"/>
        <v>0</v>
      </c>
      <c r="U28" s="1287">
        <f t="shared" si="41"/>
        <v>0</v>
      </c>
      <c r="V28" s="1287">
        <f t="shared" si="42"/>
        <v>0</v>
      </c>
      <c r="W28" s="1287">
        <f>+V28</f>
        <v>0</v>
      </c>
      <c r="X28" s="1287"/>
      <c r="Y28" s="1287">
        <f t="shared" si="43"/>
        <v>0</v>
      </c>
      <c r="Z28" s="1287">
        <f t="shared" si="44"/>
        <v>0</v>
      </c>
      <c r="AA28" s="1287">
        <f t="shared" si="45"/>
        <v>0</v>
      </c>
      <c r="AB28" s="1287">
        <f t="shared" si="46"/>
        <v>0</v>
      </c>
      <c r="AC28" s="1287">
        <f t="shared" si="47"/>
        <v>0</v>
      </c>
      <c r="AD28" s="1284"/>
      <c r="AE28" s="1213">
        <f t="shared" si="1"/>
        <v>0</v>
      </c>
      <c r="AF28" s="1213">
        <f t="shared" si="2"/>
        <v>0</v>
      </c>
      <c r="AG28" s="1213">
        <f t="shared" si="3"/>
        <v>0</v>
      </c>
      <c r="AH28" s="2919">
        <f t="shared" si="4"/>
        <v>0</v>
      </c>
      <c r="AI28" s="1834"/>
      <c r="AJ28" s="579">
        <f t="shared" si="21"/>
        <v>0</v>
      </c>
      <c r="AK28" s="420"/>
    </row>
    <row r="29" spans="1:37" s="424" customFormat="1" ht="15">
      <c r="A29" s="2934" t="s">
        <v>17</v>
      </c>
      <c r="B29" s="1474" t="s">
        <v>17</v>
      </c>
      <c r="C29" s="1292" t="s">
        <v>153</v>
      </c>
      <c r="D29" s="1213">
        <v>0</v>
      </c>
      <c r="E29" s="2715">
        <v>0</v>
      </c>
      <c r="F29" s="1213">
        <v>0</v>
      </c>
      <c r="G29" s="1213">
        <f t="shared" si="30"/>
        <v>0</v>
      </c>
      <c r="H29" s="1213">
        <f t="shared" si="31"/>
        <v>0</v>
      </c>
      <c r="I29" s="1213">
        <f t="shared" si="32"/>
        <v>0</v>
      </c>
      <c r="J29" s="1213">
        <f t="shared" si="33"/>
        <v>0</v>
      </c>
      <c r="K29" s="3221">
        <v>0</v>
      </c>
      <c r="L29" s="1213">
        <v>0</v>
      </c>
      <c r="M29" s="1213">
        <f t="shared" si="34"/>
        <v>0</v>
      </c>
      <c r="N29" s="1213">
        <f t="shared" si="35"/>
        <v>0</v>
      </c>
      <c r="O29" s="1213">
        <f t="shared" si="36"/>
        <v>0</v>
      </c>
      <c r="P29" s="1213">
        <f t="shared" si="37"/>
        <v>0</v>
      </c>
      <c r="Q29" s="1213">
        <f t="shared" si="38"/>
        <v>0</v>
      </c>
      <c r="R29" s="1213">
        <v>0</v>
      </c>
      <c r="S29" s="1213">
        <f t="shared" si="39"/>
        <v>0</v>
      </c>
      <c r="T29" s="1213">
        <f t="shared" si="40"/>
        <v>0</v>
      </c>
      <c r="U29" s="1213">
        <f t="shared" si="41"/>
        <v>0</v>
      </c>
      <c r="V29" s="1213">
        <f t="shared" si="42"/>
        <v>0</v>
      </c>
      <c r="W29" s="1213">
        <v>0</v>
      </c>
      <c r="X29" s="1213"/>
      <c r="Y29" s="1213">
        <f t="shared" si="43"/>
        <v>0</v>
      </c>
      <c r="Z29" s="1213">
        <f t="shared" si="44"/>
        <v>0</v>
      </c>
      <c r="AA29" s="1213">
        <f t="shared" si="45"/>
        <v>0</v>
      </c>
      <c r="AB29" s="1213">
        <f t="shared" si="46"/>
        <v>0</v>
      </c>
      <c r="AC29" s="1213">
        <f t="shared" si="47"/>
        <v>0</v>
      </c>
      <c r="AD29" s="1284"/>
      <c r="AE29" s="1213">
        <f t="shared" si="1"/>
        <v>0</v>
      </c>
      <c r="AF29" s="1213">
        <f t="shared" si="2"/>
        <v>0</v>
      </c>
      <c r="AG29" s="1213">
        <f t="shared" si="3"/>
        <v>0</v>
      </c>
      <c r="AH29" s="2919">
        <f t="shared" si="4"/>
        <v>0</v>
      </c>
      <c r="AI29" s="1829"/>
      <c r="AJ29" s="579">
        <f t="shared" si="21"/>
        <v>0</v>
      </c>
      <c r="AK29" s="412"/>
    </row>
    <row r="30" spans="1:37" s="416" customFormat="1" ht="15">
      <c r="A30" s="2934" t="s">
        <v>19</v>
      </c>
      <c r="B30" s="1282" t="s">
        <v>19</v>
      </c>
      <c r="C30" s="1292" t="s">
        <v>1281</v>
      </c>
      <c r="D30" s="1293">
        <v>0</v>
      </c>
      <c r="E30" s="2718">
        <v>0</v>
      </c>
      <c r="F30" s="1293">
        <v>0</v>
      </c>
      <c r="G30" s="1293">
        <f t="shared" si="30"/>
        <v>0</v>
      </c>
      <c r="H30" s="1293">
        <f t="shared" si="31"/>
        <v>0</v>
      </c>
      <c r="I30" s="1293">
        <f t="shared" si="32"/>
        <v>0</v>
      </c>
      <c r="J30" s="1293">
        <f t="shared" si="33"/>
        <v>0</v>
      </c>
      <c r="K30" s="3221">
        <v>0</v>
      </c>
      <c r="L30" s="1293">
        <v>0</v>
      </c>
      <c r="M30" s="1293">
        <f t="shared" si="34"/>
        <v>0</v>
      </c>
      <c r="N30" s="1293">
        <f t="shared" si="35"/>
        <v>0</v>
      </c>
      <c r="O30" s="1293">
        <f t="shared" si="36"/>
        <v>0</v>
      </c>
      <c r="P30" s="1293">
        <f t="shared" si="37"/>
        <v>0</v>
      </c>
      <c r="Q30" s="1293">
        <f t="shared" si="38"/>
        <v>0</v>
      </c>
      <c r="R30" s="1293">
        <v>0</v>
      </c>
      <c r="S30" s="1293">
        <f t="shared" si="39"/>
        <v>0</v>
      </c>
      <c r="T30" s="1293">
        <f t="shared" si="40"/>
        <v>0</v>
      </c>
      <c r="U30" s="1293">
        <f t="shared" si="41"/>
        <v>0</v>
      </c>
      <c r="V30" s="1293">
        <f t="shared" si="42"/>
        <v>0</v>
      </c>
      <c r="W30" s="1293">
        <v>0</v>
      </c>
      <c r="X30" s="1293"/>
      <c r="Y30" s="1293">
        <f t="shared" si="43"/>
        <v>0</v>
      </c>
      <c r="Z30" s="1293">
        <f t="shared" si="44"/>
        <v>0</v>
      </c>
      <c r="AA30" s="1293">
        <f t="shared" si="45"/>
        <v>0</v>
      </c>
      <c r="AB30" s="1293">
        <f t="shared" si="46"/>
        <v>0</v>
      </c>
      <c r="AC30" s="1293">
        <f t="shared" si="47"/>
        <v>0</v>
      </c>
      <c r="AD30" s="1284"/>
      <c r="AE30" s="1213">
        <f t="shared" si="1"/>
        <v>0</v>
      </c>
      <c r="AF30" s="1213">
        <f t="shared" si="2"/>
        <v>0</v>
      </c>
      <c r="AG30" s="1213">
        <f t="shared" si="3"/>
        <v>0</v>
      </c>
      <c r="AH30" s="2919">
        <f t="shared" si="4"/>
        <v>0</v>
      </c>
      <c r="AI30" s="1834"/>
      <c r="AJ30" s="579">
        <f t="shared" si="21"/>
        <v>0</v>
      </c>
      <c r="AK30" s="427"/>
    </row>
    <row r="31" spans="1:37" s="416" customFormat="1" ht="15">
      <c r="A31" s="2934" t="s">
        <v>21</v>
      </c>
      <c r="B31" s="1282" t="s">
        <v>21</v>
      </c>
      <c r="C31" s="1292" t="s">
        <v>393</v>
      </c>
      <c r="D31" s="1293">
        <v>0</v>
      </c>
      <c r="E31" s="2718">
        <v>0</v>
      </c>
      <c r="F31" s="1293">
        <v>0</v>
      </c>
      <c r="G31" s="1293">
        <f t="shared" si="30"/>
        <v>0</v>
      </c>
      <c r="H31" s="1293">
        <f t="shared" si="31"/>
        <v>0</v>
      </c>
      <c r="I31" s="1293">
        <f t="shared" si="32"/>
        <v>0</v>
      </c>
      <c r="J31" s="1293">
        <f t="shared" si="33"/>
        <v>0</v>
      </c>
      <c r="K31" s="3219">
        <v>0</v>
      </c>
      <c r="L31" s="1227">
        <v>0</v>
      </c>
      <c r="M31" s="1227">
        <f t="shared" si="34"/>
        <v>0</v>
      </c>
      <c r="N31" s="1227">
        <f t="shared" si="35"/>
        <v>0</v>
      </c>
      <c r="O31" s="1227">
        <f t="shared" si="36"/>
        <v>0</v>
      </c>
      <c r="P31" s="1227">
        <f t="shared" si="37"/>
        <v>0</v>
      </c>
      <c r="Q31" s="1227">
        <f t="shared" si="38"/>
        <v>0</v>
      </c>
      <c r="R31" s="1227">
        <v>0</v>
      </c>
      <c r="S31" s="1227">
        <f t="shared" si="39"/>
        <v>0</v>
      </c>
      <c r="T31" s="1227">
        <f t="shared" si="40"/>
        <v>0</v>
      </c>
      <c r="U31" s="1227">
        <f t="shared" si="41"/>
        <v>0</v>
      </c>
      <c r="V31" s="1227">
        <f t="shared" si="42"/>
        <v>0</v>
      </c>
      <c r="W31" s="1227">
        <v>0</v>
      </c>
      <c r="X31" s="1227"/>
      <c r="Y31" s="1227">
        <f t="shared" si="43"/>
        <v>0</v>
      </c>
      <c r="Z31" s="1227">
        <f t="shared" si="44"/>
        <v>0</v>
      </c>
      <c r="AA31" s="1227">
        <f t="shared" si="45"/>
        <v>0</v>
      </c>
      <c r="AB31" s="1227">
        <f t="shared" si="46"/>
        <v>0</v>
      </c>
      <c r="AC31" s="1227">
        <f t="shared" si="47"/>
        <v>0</v>
      </c>
      <c r="AD31" s="1284"/>
      <c r="AE31" s="1213">
        <f t="shared" si="1"/>
        <v>0</v>
      </c>
      <c r="AF31" s="1213">
        <f t="shared" si="2"/>
        <v>0</v>
      </c>
      <c r="AG31" s="1213">
        <f t="shared" si="3"/>
        <v>0</v>
      </c>
      <c r="AH31" s="2919">
        <f t="shared" si="4"/>
        <v>0</v>
      </c>
      <c r="AI31" s="1834"/>
      <c r="AJ31" s="579">
        <f t="shared" si="21"/>
        <v>0</v>
      </c>
      <c r="AK31" s="427"/>
    </row>
    <row r="32" spans="1:37" s="416" customFormat="1" ht="15">
      <c r="A32" s="2933" t="s">
        <v>23</v>
      </c>
      <c r="B32" s="1474" t="s">
        <v>23</v>
      </c>
      <c r="C32" s="1292" t="s">
        <v>1282</v>
      </c>
      <c r="D32" s="1213">
        <f t="shared" ref="D32:AC32" si="48">+D8+D20+D23+D27+D29+D30+D31</f>
        <v>8288789</v>
      </c>
      <c r="E32" s="2715">
        <f>+E8+E20+E23+E27+E29+E30+E31</f>
        <v>8372194</v>
      </c>
      <c r="F32" s="1213">
        <f t="shared" si="48"/>
        <v>11027660</v>
      </c>
      <c r="G32" s="1213">
        <f t="shared" si="48"/>
        <v>11355268</v>
      </c>
      <c r="H32" s="1213">
        <f t="shared" si="48"/>
        <v>11439765</v>
      </c>
      <c r="I32" s="1213">
        <f t="shared" si="48"/>
        <v>9022209</v>
      </c>
      <c r="J32" s="1213">
        <f t="shared" si="48"/>
        <v>9022209</v>
      </c>
      <c r="K32" s="3208">
        <f t="shared" si="48"/>
        <v>9022209</v>
      </c>
      <c r="L32" s="1213">
        <f t="shared" si="48"/>
        <v>11027660</v>
      </c>
      <c r="M32" s="1213">
        <f t="shared" si="48"/>
        <v>11355268</v>
      </c>
      <c r="N32" s="1213">
        <f t="shared" si="48"/>
        <v>11439765</v>
      </c>
      <c r="O32" s="1213">
        <f t="shared" si="48"/>
        <v>9022209</v>
      </c>
      <c r="P32" s="1213">
        <f t="shared" si="48"/>
        <v>9022209</v>
      </c>
      <c r="Q32" s="1213">
        <f t="shared" si="48"/>
        <v>9022209</v>
      </c>
      <c r="R32" s="1213">
        <f t="shared" si="48"/>
        <v>0</v>
      </c>
      <c r="S32" s="1213">
        <f t="shared" si="48"/>
        <v>0</v>
      </c>
      <c r="T32" s="1213">
        <f t="shared" si="48"/>
        <v>0</v>
      </c>
      <c r="U32" s="1213">
        <f t="shared" si="48"/>
        <v>0</v>
      </c>
      <c r="V32" s="1213">
        <f t="shared" si="48"/>
        <v>0</v>
      </c>
      <c r="W32" s="1213">
        <f t="shared" si="48"/>
        <v>0</v>
      </c>
      <c r="X32" s="1213">
        <f t="shared" si="48"/>
        <v>0</v>
      </c>
      <c r="Y32" s="1213">
        <f t="shared" si="48"/>
        <v>0</v>
      </c>
      <c r="Z32" s="1213">
        <f t="shared" si="48"/>
        <v>0</v>
      </c>
      <c r="AA32" s="1213">
        <f t="shared" si="48"/>
        <v>0</v>
      </c>
      <c r="AB32" s="1213">
        <f t="shared" si="48"/>
        <v>0</v>
      </c>
      <c r="AC32" s="1213">
        <f t="shared" si="48"/>
        <v>0</v>
      </c>
      <c r="AD32" s="1283"/>
      <c r="AE32" s="1213">
        <f t="shared" si="1"/>
        <v>327608</v>
      </c>
      <c r="AF32" s="1213">
        <f t="shared" si="2"/>
        <v>84497</v>
      </c>
      <c r="AG32" s="1213">
        <f t="shared" si="3"/>
        <v>-2417556</v>
      </c>
      <c r="AH32" s="2919">
        <f t="shared" si="4"/>
        <v>0</v>
      </c>
      <c r="AI32" s="1829">
        <f t="shared" ref="AI32:AI37" si="49">+K32/I32</f>
        <v>1</v>
      </c>
      <c r="AJ32" s="579">
        <f t="shared" si="21"/>
        <v>2738871</v>
      </c>
      <c r="AK32" s="412"/>
    </row>
    <row r="33" spans="1:38" s="424" customFormat="1" ht="15">
      <c r="A33" s="2975" t="s">
        <v>25</v>
      </c>
      <c r="B33" s="1282" t="s">
        <v>25</v>
      </c>
      <c r="C33" s="1292" t="s">
        <v>1305</v>
      </c>
      <c r="D33" s="1213">
        <f t="shared" ref="D33:AC33" si="50">SUM(D34:D36)</f>
        <v>115770438</v>
      </c>
      <c r="E33" s="2715">
        <f>SUM(E34:E36)</f>
        <v>128568964</v>
      </c>
      <c r="F33" s="1213">
        <f t="shared" si="50"/>
        <v>97653429</v>
      </c>
      <c r="G33" s="1213">
        <f t="shared" si="50"/>
        <v>108945398</v>
      </c>
      <c r="H33" s="1213">
        <f t="shared" si="50"/>
        <v>110160798</v>
      </c>
      <c r="I33" s="1213">
        <f t="shared" si="50"/>
        <v>111746317</v>
      </c>
      <c r="J33" s="1213">
        <f t="shared" si="50"/>
        <v>111746317</v>
      </c>
      <c r="K33" s="3208">
        <f>SUM(K34:K36)</f>
        <v>104545498</v>
      </c>
      <c r="L33" s="1213">
        <f t="shared" si="50"/>
        <v>97653429</v>
      </c>
      <c r="M33" s="1213">
        <f t="shared" si="50"/>
        <v>108945398</v>
      </c>
      <c r="N33" s="1213">
        <f t="shared" si="50"/>
        <v>110160798</v>
      </c>
      <c r="O33" s="1213">
        <f t="shared" si="50"/>
        <v>111746317</v>
      </c>
      <c r="P33" s="1213">
        <f t="shared" si="50"/>
        <v>111746317</v>
      </c>
      <c r="Q33" s="1213">
        <f t="shared" si="50"/>
        <v>104545498</v>
      </c>
      <c r="R33" s="1213">
        <f t="shared" si="50"/>
        <v>0</v>
      </c>
      <c r="S33" s="1213">
        <f t="shared" si="50"/>
        <v>0</v>
      </c>
      <c r="T33" s="1213">
        <f t="shared" si="50"/>
        <v>0</v>
      </c>
      <c r="U33" s="1213">
        <f t="shared" si="50"/>
        <v>0</v>
      </c>
      <c r="V33" s="1213">
        <f t="shared" si="50"/>
        <v>0</v>
      </c>
      <c r="W33" s="1213">
        <f t="shared" si="50"/>
        <v>0</v>
      </c>
      <c r="X33" s="1213">
        <f t="shared" si="50"/>
        <v>0</v>
      </c>
      <c r="Y33" s="1213">
        <f t="shared" si="50"/>
        <v>0</v>
      </c>
      <c r="Z33" s="1213">
        <f t="shared" si="50"/>
        <v>0</v>
      </c>
      <c r="AA33" s="1213">
        <f t="shared" si="50"/>
        <v>0</v>
      </c>
      <c r="AB33" s="1213">
        <f t="shared" si="50"/>
        <v>0</v>
      </c>
      <c r="AC33" s="1213">
        <f t="shared" si="50"/>
        <v>0</v>
      </c>
      <c r="AD33" s="1284"/>
      <c r="AE33" s="1213">
        <f t="shared" si="1"/>
        <v>11291969</v>
      </c>
      <c r="AF33" s="1213">
        <f t="shared" si="2"/>
        <v>1215400</v>
      </c>
      <c r="AG33" s="1213">
        <f t="shared" si="3"/>
        <v>1585519</v>
      </c>
      <c r="AH33" s="2919">
        <f t="shared" si="4"/>
        <v>0</v>
      </c>
      <c r="AI33" s="1829">
        <f t="shared" si="49"/>
        <v>0.93556101719218188</v>
      </c>
      <c r="AJ33" s="579">
        <f t="shared" si="21"/>
        <v>-18117009</v>
      </c>
      <c r="AK33" s="412"/>
    </row>
    <row r="34" spans="1:38" s="424" customFormat="1" ht="15">
      <c r="A34" s="2975"/>
      <c r="B34" s="1477" t="s">
        <v>1284</v>
      </c>
      <c r="C34" s="1286" t="s">
        <v>1285</v>
      </c>
      <c r="D34" s="1291">
        <v>0</v>
      </c>
      <c r="E34" s="2717">
        <v>22632544</v>
      </c>
      <c r="F34" s="1291">
        <v>0</v>
      </c>
      <c r="G34" s="1227">
        <f>+F34+8810022</f>
        <v>8810022</v>
      </c>
      <c r="H34" s="1227">
        <f t="shared" ref="H34:J36" si="51">+G34</f>
        <v>8810022</v>
      </c>
      <c r="I34" s="1227">
        <f t="shared" si="51"/>
        <v>8810022</v>
      </c>
      <c r="J34" s="1291">
        <f t="shared" si="51"/>
        <v>8810022</v>
      </c>
      <c r="K34" s="3219">
        <v>8810022</v>
      </c>
      <c r="L34" s="1291">
        <v>0</v>
      </c>
      <c r="M34" s="1227">
        <f>+L34+8810022</f>
        <v>8810022</v>
      </c>
      <c r="N34" s="1227">
        <f t="shared" ref="N34:P35" si="52">+M34</f>
        <v>8810022</v>
      </c>
      <c r="O34" s="1227">
        <f t="shared" si="52"/>
        <v>8810022</v>
      </c>
      <c r="P34" s="1227">
        <f t="shared" si="52"/>
        <v>8810022</v>
      </c>
      <c r="Q34" s="1291">
        <f>+K34</f>
        <v>8810022</v>
      </c>
      <c r="R34" s="1291">
        <v>0</v>
      </c>
      <c r="S34" s="1291">
        <f t="shared" ref="S34:V36" si="53">+R34</f>
        <v>0</v>
      </c>
      <c r="T34" s="1213">
        <f t="shared" si="53"/>
        <v>0</v>
      </c>
      <c r="U34" s="1291">
        <f t="shared" si="53"/>
        <v>0</v>
      </c>
      <c r="V34" s="1291">
        <f t="shared" si="53"/>
        <v>0</v>
      </c>
      <c r="W34" s="1291">
        <v>0</v>
      </c>
      <c r="X34" s="1213"/>
      <c r="Y34" s="1213">
        <f t="shared" ref="Y34:AC36" si="54">+X34</f>
        <v>0</v>
      </c>
      <c r="Z34" s="1213">
        <f t="shared" si="54"/>
        <v>0</v>
      </c>
      <c r="AA34" s="1213">
        <f t="shared" si="54"/>
        <v>0</v>
      </c>
      <c r="AB34" s="1213">
        <f t="shared" si="54"/>
        <v>0</v>
      </c>
      <c r="AC34" s="1213">
        <f t="shared" si="54"/>
        <v>0</v>
      </c>
      <c r="AD34" s="2947"/>
      <c r="AE34" s="1213">
        <f t="shared" si="1"/>
        <v>8810022</v>
      </c>
      <c r="AF34" s="1213">
        <f t="shared" si="2"/>
        <v>0</v>
      </c>
      <c r="AG34" s="1213">
        <f t="shared" si="3"/>
        <v>0</v>
      </c>
      <c r="AH34" s="2919">
        <f t="shared" si="4"/>
        <v>0</v>
      </c>
      <c r="AI34" s="1860">
        <f t="shared" si="49"/>
        <v>1</v>
      </c>
      <c r="AJ34" s="579">
        <f t="shared" si="21"/>
        <v>0</v>
      </c>
      <c r="AK34" s="548"/>
    </row>
    <row r="35" spans="1:38" s="424" customFormat="1" ht="15">
      <c r="A35" s="2933"/>
      <c r="B35" s="1477" t="s">
        <v>1286</v>
      </c>
      <c r="C35" s="1286" t="s">
        <v>1287</v>
      </c>
      <c r="D35" s="1227">
        <v>0</v>
      </c>
      <c r="E35" s="2719">
        <v>0</v>
      </c>
      <c r="F35" s="1227">
        <v>0</v>
      </c>
      <c r="G35" s="1227">
        <f>+F35+1760160</f>
        <v>1760160</v>
      </c>
      <c r="H35" s="1227">
        <f t="shared" si="51"/>
        <v>1760160</v>
      </c>
      <c r="I35" s="1227">
        <f t="shared" si="51"/>
        <v>1760160</v>
      </c>
      <c r="J35" s="1227">
        <f t="shared" si="51"/>
        <v>1760160</v>
      </c>
      <c r="K35" s="3209">
        <v>1760160</v>
      </c>
      <c r="L35" s="1227">
        <v>0</v>
      </c>
      <c r="M35" s="1227">
        <f>+L35+1760160</f>
        <v>1760160</v>
      </c>
      <c r="N35" s="1227">
        <f t="shared" si="52"/>
        <v>1760160</v>
      </c>
      <c r="O35" s="1227">
        <f t="shared" si="52"/>
        <v>1760160</v>
      </c>
      <c r="P35" s="1227">
        <f t="shared" si="52"/>
        <v>1760160</v>
      </c>
      <c r="Q35" s="1227">
        <f>+K35</f>
        <v>1760160</v>
      </c>
      <c r="R35" s="1227">
        <v>0</v>
      </c>
      <c r="S35" s="1227">
        <f t="shared" si="53"/>
        <v>0</v>
      </c>
      <c r="T35" s="1227">
        <f t="shared" si="53"/>
        <v>0</v>
      </c>
      <c r="U35" s="1227">
        <f t="shared" si="53"/>
        <v>0</v>
      </c>
      <c r="V35" s="1227">
        <f t="shared" si="53"/>
        <v>0</v>
      </c>
      <c r="W35" s="1227">
        <v>0</v>
      </c>
      <c r="X35" s="1227"/>
      <c r="Y35" s="1227">
        <f t="shared" si="54"/>
        <v>0</v>
      </c>
      <c r="Z35" s="1227">
        <f t="shared" si="54"/>
        <v>0</v>
      </c>
      <c r="AA35" s="1227">
        <f t="shared" si="54"/>
        <v>0</v>
      </c>
      <c r="AB35" s="1227">
        <f t="shared" si="54"/>
        <v>0</v>
      </c>
      <c r="AC35" s="1227">
        <f t="shared" si="54"/>
        <v>0</v>
      </c>
      <c r="AD35" s="1284"/>
      <c r="AE35" s="1213">
        <f t="shared" si="1"/>
        <v>1760160</v>
      </c>
      <c r="AF35" s="1213">
        <f t="shared" si="2"/>
        <v>0</v>
      </c>
      <c r="AG35" s="1213">
        <f t="shared" si="3"/>
        <v>0</v>
      </c>
      <c r="AH35" s="2919">
        <f t="shared" si="4"/>
        <v>0</v>
      </c>
      <c r="AI35" s="1860">
        <f t="shared" si="49"/>
        <v>1</v>
      </c>
      <c r="AJ35" s="579">
        <f t="shared" si="21"/>
        <v>0</v>
      </c>
      <c r="AK35" s="430"/>
    </row>
    <row r="36" spans="1:38" s="424" customFormat="1" ht="15">
      <c r="A36" s="2976"/>
      <c r="B36" s="1477" t="s">
        <v>1288</v>
      </c>
      <c r="C36" s="1286" t="s">
        <v>1289</v>
      </c>
      <c r="D36" s="1227">
        <v>115770438</v>
      </c>
      <c r="E36" s="2719">
        <v>105936420</v>
      </c>
      <c r="F36" s="1227">
        <v>97653429</v>
      </c>
      <c r="G36" s="1227">
        <f>+F36+206319+469468+46000</f>
        <v>98375216</v>
      </c>
      <c r="H36" s="1227">
        <f>+G36+870100+9000*12+237300</f>
        <v>99590616</v>
      </c>
      <c r="I36" s="1227">
        <f>+H36+1193114+155105+237300</f>
        <v>101176135</v>
      </c>
      <c r="J36" s="1227">
        <f t="shared" si="51"/>
        <v>101176135</v>
      </c>
      <c r="K36" s="3209">
        <v>93975316</v>
      </c>
      <c r="L36" s="1227">
        <f>+F36</f>
        <v>97653429</v>
      </c>
      <c r="M36" s="1227">
        <f>+L36+206319+469468+46000</f>
        <v>98375216</v>
      </c>
      <c r="N36" s="1227">
        <f>+M36+870100+9000*12+237300</f>
        <v>99590616</v>
      </c>
      <c r="O36" s="1227">
        <f>+N36+1348219+237300</f>
        <v>101176135</v>
      </c>
      <c r="P36" s="1227">
        <f>+O36</f>
        <v>101176135</v>
      </c>
      <c r="Q36" s="1227">
        <f>+K36</f>
        <v>93975316</v>
      </c>
      <c r="R36" s="1227">
        <v>0</v>
      </c>
      <c r="S36" s="1227">
        <f>+R36</f>
        <v>0</v>
      </c>
      <c r="T36" s="1227">
        <f t="shared" si="53"/>
        <v>0</v>
      </c>
      <c r="U36" s="1227">
        <f t="shared" si="53"/>
        <v>0</v>
      </c>
      <c r="V36" s="1227">
        <f t="shared" si="53"/>
        <v>0</v>
      </c>
      <c r="W36" s="1227">
        <v>0</v>
      </c>
      <c r="X36" s="1227"/>
      <c r="Y36" s="1227">
        <f t="shared" si="54"/>
        <v>0</v>
      </c>
      <c r="Z36" s="1227">
        <f t="shared" si="54"/>
        <v>0</v>
      </c>
      <c r="AA36" s="1227">
        <f t="shared" si="54"/>
        <v>0</v>
      </c>
      <c r="AB36" s="1227">
        <f t="shared" si="54"/>
        <v>0</v>
      </c>
      <c r="AC36" s="1227">
        <f t="shared" si="54"/>
        <v>0</v>
      </c>
      <c r="AD36" s="1284"/>
      <c r="AE36" s="1213">
        <f t="shared" si="1"/>
        <v>721787</v>
      </c>
      <c r="AF36" s="1213">
        <f t="shared" si="2"/>
        <v>1215400</v>
      </c>
      <c r="AG36" s="1213">
        <f t="shared" si="3"/>
        <v>1585519</v>
      </c>
      <c r="AH36" s="2919">
        <f t="shared" si="4"/>
        <v>0</v>
      </c>
      <c r="AI36" s="1860">
        <f t="shared" si="49"/>
        <v>0.92882887847020446</v>
      </c>
      <c r="AJ36" s="579">
        <f t="shared" si="21"/>
        <v>-18117009</v>
      </c>
      <c r="AK36" s="430"/>
    </row>
    <row r="37" spans="1:38" s="405" customFormat="1" ht="15.75">
      <c r="A37" s="2975" t="s">
        <v>27</v>
      </c>
      <c r="B37" s="1475" t="s">
        <v>27</v>
      </c>
      <c r="C37" s="1297" t="s">
        <v>1290</v>
      </c>
      <c r="D37" s="1298">
        <f t="shared" ref="D37:AC37" si="55">+D32+D33</f>
        <v>124059227</v>
      </c>
      <c r="E37" s="2720">
        <f t="shared" si="55"/>
        <v>136941158</v>
      </c>
      <c r="F37" s="1298">
        <f t="shared" si="55"/>
        <v>108681089</v>
      </c>
      <c r="G37" s="1298">
        <f t="shared" si="55"/>
        <v>120300666</v>
      </c>
      <c r="H37" s="1298">
        <f t="shared" si="55"/>
        <v>121600563</v>
      </c>
      <c r="I37" s="1298">
        <f t="shared" si="55"/>
        <v>120768526</v>
      </c>
      <c r="J37" s="1298">
        <f t="shared" si="55"/>
        <v>120768526</v>
      </c>
      <c r="K37" s="3210">
        <f t="shared" si="55"/>
        <v>113567707</v>
      </c>
      <c r="L37" s="1298">
        <f t="shared" si="55"/>
        <v>108681089</v>
      </c>
      <c r="M37" s="1298">
        <f t="shared" si="55"/>
        <v>120300666</v>
      </c>
      <c r="N37" s="1298">
        <f t="shared" si="55"/>
        <v>121600563</v>
      </c>
      <c r="O37" s="1298">
        <f t="shared" si="55"/>
        <v>120768526</v>
      </c>
      <c r="P37" s="1298">
        <f t="shared" si="55"/>
        <v>120768526</v>
      </c>
      <c r="Q37" s="1298">
        <f t="shared" si="55"/>
        <v>113567707</v>
      </c>
      <c r="R37" s="1298">
        <f t="shared" si="55"/>
        <v>0</v>
      </c>
      <c r="S37" s="1298">
        <f t="shared" si="55"/>
        <v>0</v>
      </c>
      <c r="T37" s="1298">
        <f t="shared" si="55"/>
        <v>0</v>
      </c>
      <c r="U37" s="1298">
        <f t="shared" si="55"/>
        <v>0</v>
      </c>
      <c r="V37" s="1298">
        <f t="shared" si="55"/>
        <v>0</v>
      </c>
      <c r="W37" s="1298">
        <f t="shared" si="55"/>
        <v>0</v>
      </c>
      <c r="X37" s="1298">
        <f t="shared" si="55"/>
        <v>0</v>
      </c>
      <c r="Y37" s="1298">
        <f t="shared" si="55"/>
        <v>0</v>
      </c>
      <c r="Z37" s="1298">
        <f t="shared" si="55"/>
        <v>0</v>
      </c>
      <c r="AA37" s="1298">
        <f t="shared" si="55"/>
        <v>0</v>
      </c>
      <c r="AB37" s="1298">
        <f t="shared" si="55"/>
        <v>0</v>
      </c>
      <c r="AC37" s="1298">
        <f t="shared" si="55"/>
        <v>0</v>
      </c>
      <c r="AD37" s="1284"/>
      <c r="AE37" s="1213">
        <f t="shared" si="1"/>
        <v>11619577</v>
      </c>
      <c r="AF37" s="1213">
        <f t="shared" si="2"/>
        <v>1299897</v>
      </c>
      <c r="AG37" s="1213">
        <f t="shared" si="3"/>
        <v>-832037</v>
      </c>
      <c r="AH37" s="2919">
        <f t="shared" si="4"/>
        <v>0</v>
      </c>
      <c r="AI37" s="1829">
        <f t="shared" si="49"/>
        <v>0.94037503612489237</v>
      </c>
      <c r="AJ37" s="579">
        <f t="shared" si="21"/>
        <v>-15378138</v>
      </c>
      <c r="AK37" s="436"/>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4"/>
        <v>0</v>
      </c>
      <c r="AI38" s="1862"/>
      <c r="AJ38" s="579"/>
      <c r="AK38" s="436"/>
    </row>
    <row r="39" spans="1:38" ht="15">
      <c r="A39" s="2932"/>
      <c r="B39" s="1285"/>
      <c r="C39" s="1548" t="str">
        <f t="shared" ref="C39:T40" si="56">+C4</f>
        <v>A</v>
      </c>
      <c r="D39" s="1549" t="str">
        <f t="shared" si="56"/>
        <v>B</v>
      </c>
      <c r="E39" s="2960" t="str">
        <f t="shared" si="56"/>
        <v>B</v>
      </c>
      <c r="F39" s="1345" t="str">
        <f t="shared" si="56"/>
        <v>B</v>
      </c>
      <c r="G39" s="1345" t="str">
        <f t="shared" si="56"/>
        <v>D</v>
      </c>
      <c r="H39" s="1345" t="str">
        <f t="shared" si="56"/>
        <v>E</v>
      </c>
      <c r="I39" s="1345" t="str">
        <f t="shared" si="56"/>
        <v>C</v>
      </c>
      <c r="J39" s="1345" t="str">
        <f t="shared" si="56"/>
        <v>F</v>
      </c>
      <c r="K39" s="1345" t="str">
        <f t="shared" si="56"/>
        <v>D</v>
      </c>
      <c r="L39" s="1345" t="str">
        <f t="shared" si="56"/>
        <v>E</v>
      </c>
      <c r="M39" s="1345" t="str">
        <f t="shared" si="56"/>
        <v>F</v>
      </c>
      <c r="N39" s="1345" t="str">
        <f t="shared" si="56"/>
        <v>F</v>
      </c>
      <c r="O39" s="1345" t="str">
        <f t="shared" si="56"/>
        <v>E</v>
      </c>
      <c r="P39" s="1345">
        <f t="shared" si="56"/>
        <v>0</v>
      </c>
      <c r="Q39" s="1345" t="str">
        <f t="shared" si="56"/>
        <v>F</v>
      </c>
      <c r="R39" s="1345" t="str">
        <f t="shared" si="56"/>
        <v>E</v>
      </c>
      <c r="S39" s="1345" t="str">
        <f t="shared" si="56"/>
        <v>E</v>
      </c>
      <c r="T39" s="1345" t="str">
        <f t="shared" si="56"/>
        <v>G</v>
      </c>
      <c r="U39" s="1345" t="str">
        <f>+U4</f>
        <v>G</v>
      </c>
      <c r="V39" s="1345">
        <f>+V4</f>
        <v>0</v>
      </c>
      <c r="W39" s="1345" t="str">
        <f>+W4</f>
        <v>H</v>
      </c>
      <c r="X39" s="2961"/>
      <c r="Y39" s="2961"/>
      <c r="Z39" s="2961"/>
      <c r="AA39" s="2961"/>
      <c r="AB39" s="2961"/>
      <c r="AC39" s="2961"/>
      <c r="AD39" s="2962"/>
      <c r="AE39" s="1213"/>
      <c r="AF39" s="1345" t="str">
        <f>+AF4</f>
        <v>H</v>
      </c>
      <c r="AG39" s="1301" t="str">
        <f>+AG4</f>
        <v>I</v>
      </c>
      <c r="AH39" s="1551"/>
      <c r="AI39" s="1845" t="str">
        <f>+AI4</f>
        <v>I</v>
      </c>
      <c r="AJ39" s="579"/>
      <c r="AK39" s="1549"/>
      <c r="AL39" s="439"/>
    </row>
    <row r="40" spans="1:38" ht="73.5">
      <c r="A40" s="2933"/>
      <c r="B40" s="1278" t="s">
        <v>6</v>
      </c>
      <c r="C40" s="1276" t="str">
        <f t="shared" si="56"/>
        <v>Kiemelt előirányzat, előirányzat megnevezése</v>
      </c>
      <c r="D40" s="1278" t="str">
        <f t="shared" si="56"/>
        <v>2024. évi eredeti előirányzat
forintban</v>
      </c>
      <c r="E40" s="2596" t="str">
        <f>+E5</f>
        <v>2024. évi teljesítés forintban</v>
      </c>
      <c r="F40" s="1276" t="str">
        <f t="shared" si="56"/>
        <v>2025. évi eredeti előirányzat forintban</v>
      </c>
      <c r="G40" s="1276" t="str">
        <f t="shared" ref="G40:AJ40" si="57">+G5</f>
        <v>2025. évi I. számú módosított előirányzat
forintban</v>
      </c>
      <c r="H40" s="1276" t="str">
        <f t="shared" si="57"/>
        <v>2025. évi II. számú módosított előirányzat forintban</v>
      </c>
      <c r="I40" s="1276" t="str">
        <f t="shared" si="57"/>
        <v>2025. évi III. számú módosított előirányzat forintban</v>
      </c>
      <c r="J40" s="1276" t="str">
        <f t="shared" si="57"/>
        <v>2025. évi IV. számú módosított előirányzat forintban</v>
      </c>
      <c r="K40" s="3197" t="str">
        <f t="shared" si="57"/>
        <v>2025. évi
teljesítés forintban</v>
      </c>
      <c r="L40" s="1276" t="str">
        <f t="shared" si="57"/>
        <v>Önként vállalt feladat forintban</v>
      </c>
      <c r="M40" s="1276" t="str">
        <f t="shared" si="57"/>
        <v>Önként vállalt feladat I. módosítás
forintban</v>
      </c>
      <c r="N40" s="1276" t="str">
        <f t="shared" si="57"/>
        <v>Önként vállalt feladat II. módosítás forintban</v>
      </c>
      <c r="O40" s="1276" t="str">
        <f t="shared" si="57"/>
        <v>Önként vállalt feladat III. módosítás forintban</v>
      </c>
      <c r="P40" s="1276" t="str">
        <f t="shared" si="57"/>
        <v>Önként vállalt feladat IV. módosítás  forintban</v>
      </c>
      <c r="Q40" s="1276" t="str">
        <f t="shared" si="57"/>
        <v>Önként vállalt teljesítés  forintban</v>
      </c>
      <c r="R40" s="1276" t="str">
        <f t="shared" si="57"/>
        <v>Kötelező feladat forintban</v>
      </c>
      <c r="S40" s="1276" t="str">
        <f t="shared" si="57"/>
        <v>Kötelező feladat 
I. módosítás
forintban</v>
      </c>
      <c r="T40" s="1276" t="str">
        <f t="shared" si="57"/>
        <v>Kötelező feladat II. módosítás forintban</v>
      </c>
      <c r="U40" s="1276" t="str">
        <f t="shared" si="57"/>
        <v>Kötelező feladat III. módosítás  forintban</v>
      </c>
      <c r="V40" s="1278" t="str">
        <f t="shared" si="57"/>
        <v>Kötelező feladat IV. módosítás  forintban</v>
      </c>
      <c r="W40" s="1278" t="str">
        <f t="shared" si="57"/>
        <v>Kötelező teljesítés  forintban</v>
      </c>
      <c r="X40" s="1278">
        <f t="shared" si="57"/>
        <v>0</v>
      </c>
      <c r="Y40" s="1278">
        <f t="shared" si="57"/>
        <v>0</v>
      </c>
      <c r="Z40" s="1278">
        <f t="shared" si="57"/>
        <v>0</v>
      </c>
      <c r="AA40" s="1278">
        <f t="shared" si="57"/>
        <v>0</v>
      </c>
      <c r="AB40" s="1278">
        <f t="shared" si="57"/>
        <v>0</v>
      </c>
      <c r="AC40" s="1278">
        <f t="shared" si="57"/>
        <v>0</v>
      </c>
      <c r="AD40" s="1278"/>
      <c r="AE40" s="1278" t="str">
        <f t="shared" si="57"/>
        <v>I. változás</v>
      </c>
      <c r="AF40" s="1278" t="str">
        <f t="shared" si="57"/>
        <v>Előirányzat-módosítások, előirányzat-átcsoportosítások összegszerű változásai</v>
      </c>
      <c r="AG40" s="2916" t="str">
        <f t="shared" si="57"/>
        <v>Előirányzat-módosítások, előirányzat-átcsoportosítások összegszerű változásai a III. módosításnál</v>
      </c>
      <c r="AH40" s="1854" t="str">
        <f t="shared" si="57"/>
        <v>IV. változás</v>
      </c>
      <c r="AI40" s="1825" t="str">
        <f t="shared" si="57"/>
        <v xml:space="preserve"> 2025. évi teljesítés / 2025. évi III. számú módosított előirányzat</v>
      </c>
      <c r="AJ40" s="1854" t="str">
        <f t="shared" si="57"/>
        <v>Változás Eredeti előző évhez 
Ft-ban</v>
      </c>
      <c r="AK40" s="2595"/>
      <c r="AL40" s="439"/>
    </row>
    <row r="41" spans="1:38" ht="15">
      <c r="A41" s="2934" t="s">
        <v>6</v>
      </c>
      <c r="B41" s="2946" t="s">
        <v>3353</v>
      </c>
      <c r="C41" s="1292" t="s">
        <v>1291</v>
      </c>
      <c r="D41" s="1213">
        <f t="shared" ref="D41:AC41" si="58">SUM(D42:D46)</f>
        <v>124059227</v>
      </c>
      <c r="E41" s="2715">
        <f t="shared" si="58"/>
        <v>123238243</v>
      </c>
      <c r="F41" s="1213">
        <f t="shared" si="58"/>
        <v>107755967</v>
      </c>
      <c r="G41" s="1213">
        <f t="shared" si="58"/>
        <v>118906076</v>
      </c>
      <c r="H41" s="1213">
        <f t="shared" si="58"/>
        <v>120205973</v>
      </c>
      <c r="I41" s="1213">
        <f t="shared" si="58"/>
        <v>119368386</v>
      </c>
      <c r="J41" s="1213">
        <f t="shared" si="58"/>
        <v>119368386</v>
      </c>
      <c r="K41" s="3208">
        <f t="shared" si="58"/>
        <v>101047890</v>
      </c>
      <c r="L41" s="1213">
        <f t="shared" si="58"/>
        <v>107755967</v>
      </c>
      <c r="M41" s="1213">
        <f t="shared" si="58"/>
        <v>118906076</v>
      </c>
      <c r="N41" s="1213">
        <f t="shared" si="58"/>
        <v>120205973</v>
      </c>
      <c r="O41" s="1213">
        <f t="shared" si="58"/>
        <v>119368386</v>
      </c>
      <c r="P41" s="1213">
        <f t="shared" si="58"/>
        <v>119368386</v>
      </c>
      <c r="Q41" s="1213">
        <f t="shared" si="58"/>
        <v>101047890</v>
      </c>
      <c r="R41" s="1213">
        <f t="shared" si="58"/>
        <v>0</v>
      </c>
      <c r="S41" s="1213">
        <f t="shared" si="58"/>
        <v>0</v>
      </c>
      <c r="T41" s="1213">
        <f t="shared" si="58"/>
        <v>0</v>
      </c>
      <c r="U41" s="1213">
        <f t="shared" si="58"/>
        <v>0</v>
      </c>
      <c r="V41" s="1213">
        <f t="shared" si="58"/>
        <v>0</v>
      </c>
      <c r="W41" s="1213">
        <f t="shared" si="58"/>
        <v>0</v>
      </c>
      <c r="X41" s="1213">
        <f t="shared" si="58"/>
        <v>0</v>
      </c>
      <c r="Y41" s="1213">
        <f t="shared" si="58"/>
        <v>0</v>
      </c>
      <c r="Z41" s="1213">
        <f t="shared" si="58"/>
        <v>0</v>
      </c>
      <c r="AA41" s="1213">
        <f t="shared" si="58"/>
        <v>0</v>
      </c>
      <c r="AB41" s="1213">
        <f t="shared" si="58"/>
        <v>0</v>
      </c>
      <c r="AC41" s="1213">
        <f t="shared" si="58"/>
        <v>0</v>
      </c>
      <c r="AD41" s="1284"/>
      <c r="AE41" s="1213">
        <f t="shared" si="1"/>
        <v>11150109</v>
      </c>
      <c r="AF41" s="1213">
        <f t="shared" si="2"/>
        <v>1299897</v>
      </c>
      <c r="AG41" s="1213">
        <f t="shared" si="3"/>
        <v>-837587</v>
      </c>
      <c r="AH41" s="2919">
        <f t="shared" si="4"/>
        <v>0</v>
      </c>
      <c r="AI41" s="1829">
        <f t="shared" ref="AI41:AI54" si="59">+K41/I41</f>
        <v>0.84652137292029739</v>
      </c>
      <c r="AJ41" s="579">
        <f t="shared" ref="AJ41:AJ54" si="60">+F41-D41</f>
        <v>-16303260</v>
      </c>
      <c r="AK41" s="412"/>
      <c r="AL41" s="439"/>
    </row>
    <row r="42" spans="1:38" ht="15">
      <c r="A42" s="2934"/>
      <c r="B42" s="2948" t="s">
        <v>176</v>
      </c>
      <c r="C42" s="1290" t="s">
        <v>147</v>
      </c>
      <c r="D42" s="1227">
        <v>76072159</v>
      </c>
      <c r="E42" s="2719">
        <v>61683557</v>
      </c>
      <c r="F42" s="1227">
        <v>61131785</v>
      </c>
      <c r="G42" s="1227">
        <f>F42+118000</f>
        <v>61249785</v>
      </c>
      <c r="H42" s="1227">
        <f>G42+9000*12+770000+210000+44370</f>
        <v>62382155</v>
      </c>
      <c r="I42" s="1227">
        <f>H42+1193114+210000</f>
        <v>63785269</v>
      </c>
      <c r="J42" s="1227">
        <f t="shared" ref="G42:J46" si="61">I42</f>
        <v>63785269</v>
      </c>
      <c r="K42" s="3209">
        <v>58072481</v>
      </c>
      <c r="L42" s="1227">
        <f>+F42</f>
        <v>61131785</v>
      </c>
      <c r="M42" s="1227">
        <f>+L42+118000</f>
        <v>61249785</v>
      </c>
      <c r="N42" s="1227">
        <f>+M42+9000*12+770000+210000+44370</f>
        <v>62382155</v>
      </c>
      <c r="O42" s="1227">
        <f>+N42+1193114+210000</f>
        <v>63785269</v>
      </c>
      <c r="P42" s="1227">
        <f t="shared" ref="M42:P46" si="62">+O42</f>
        <v>63785269</v>
      </c>
      <c r="Q42" s="1227">
        <f>+K42</f>
        <v>58072481</v>
      </c>
      <c r="R42" s="1227">
        <v>0</v>
      </c>
      <c r="S42" s="1227">
        <f t="shared" ref="S42:V46" si="63">+R42</f>
        <v>0</v>
      </c>
      <c r="T42" s="1227">
        <f t="shared" si="63"/>
        <v>0</v>
      </c>
      <c r="U42" s="1227">
        <f t="shared" si="63"/>
        <v>0</v>
      </c>
      <c r="V42" s="1227">
        <f t="shared" si="63"/>
        <v>0</v>
      </c>
      <c r="W42" s="1227">
        <v>0</v>
      </c>
      <c r="X42" s="1227"/>
      <c r="Y42" s="1227">
        <f t="shared" ref="Y42:AC46" si="64">+X42</f>
        <v>0</v>
      </c>
      <c r="Z42" s="1227">
        <f t="shared" si="64"/>
        <v>0</v>
      </c>
      <c r="AA42" s="1227">
        <f t="shared" si="64"/>
        <v>0</v>
      </c>
      <c r="AB42" s="1227">
        <f t="shared" si="64"/>
        <v>0</v>
      </c>
      <c r="AC42" s="1227">
        <f t="shared" si="64"/>
        <v>0</v>
      </c>
      <c r="AD42" s="1665"/>
      <c r="AE42" s="1213">
        <f t="shared" si="1"/>
        <v>118000</v>
      </c>
      <c r="AF42" s="1213">
        <f t="shared" si="2"/>
        <v>1132370</v>
      </c>
      <c r="AG42" s="1213">
        <f t="shared" si="3"/>
        <v>1403114</v>
      </c>
      <c r="AH42" s="2919">
        <f t="shared" si="4"/>
        <v>0</v>
      </c>
      <c r="AI42" s="1834">
        <f t="shared" si="59"/>
        <v>0.91043718887506764</v>
      </c>
      <c r="AJ42" s="579">
        <f t="shared" si="60"/>
        <v>-14940374</v>
      </c>
      <c r="AK42" s="430"/>
      <c r="AL42" s="439"/>
    </row>
    <row r="43" spans="1:38" ht="15">
      <c r="A43" s="2934"/>
      <c r="B43" s="2948" t="s">
        <v>178</v>
      </c>
      <c r="C43" s="1290" t="s">
        <v>8</v>
      </c>
      <c r="D43" s="1227">
        <v>10496907</v>
      </c>
      <c r="E43" s="2719">
        <v>8506271</v>
      </c>
      <c r="F43" s="1227">
        <v>8561736</v>
      </c>
      <c r="G43" s="1227">
        <f t="shared" si="61"/>
        <v>8561736</v>
      </c>
      <c r="H43" s="1227">
        <f>G43+100100+27300</f>
        <v>8689136</v>
      </c>
      <c r="I43" s="1227">
        <f>H43+155105+27300</f>
        <v>8871541</v>
      </c>
      <c r="J43" s="1227">
        <f t="shared" si="61"/>
        <v>8871541</v>
      </c>
      <c r="K43" s="3209">
        <v>7958638</v>
      </c>
      <c r="L43" s="1227">
        <f>+F43</f>
        <v>8561736</v>
      </c>
      <c r="M43" s="1227">
        <f t="shared" si="62"/>
        <v>8561736</v>
      </c>
      <c r="N43" s="1227">
        <f>+M43+100100+27300</f>
        <v>8689136</v>
      </c>
      <c r="O43" s="1227">
        <f>+N43+155105+27300</f>
        <v>8871541</v>
      </c>
      <c r="P43" s="1227">
        <f t="shared" si="62"/>
        <v>8871541</v>
      </c>
      <c r="Q43" s="1227">
        <f>+K43</f>
        <v>7958638</v>
      </c>
      <c r="R43" s="1227">
        <v>0</v>
      </c>
      <c r="S43" s="1227">
        <f t="shared" si="63"/>
        <v>0</v>
      </c>
      <c r="T43" s="1227">
        <f t="shared" si="63"/>
        <v>0</v>
      </c>
      <c r="U43" s="1227">
        <f t="shared" si="63"/>
        <v>0</v>
      </c>
      <c r="V43" s="1227">
        <f t="shared" si="63"/>
        <v>0</v>
      </c>
      <c r="W43" s="1227">
        <v>0</v>
      </c>
      <c r="X43" s="1227"/>
      <c r="Y43" s="1227">
        <f t="shared" si="64"/>
        <v>0</v>
      </c>
      <c r="Z43" s="1227">
        <f t="shared" si="64"/>
        <v>0</v>
      </c>
      <c r="AA43" s="1227">
        <f t="shared" si="64"/>
        <v>0</v>
      </c>
      <c r="AB43" s="1227">
        <f t="shared" si="64"/>
        <v>0</v>
      </c>
      <c r="AC43" s="1227">
        <f t="shared" si="64"/>
        <v>0</v>
      </c>
      <c r="AD43" s="1284"/>
      <c r="AE43" s="1213">
        <f t="shared" si="1"/>
        <v>0</v>
      </c>
      <c r="AF43" s="1213">
        <f t="shared" si="2"/>
        <v>127400</v>
      </c>
      <c r="AG43" s="1213">
        <f t="shared" si="3"/>
        <v>182405</v>
      </c>
      <c r="AH43" s="2919">
        <f t="shared" si="4"/>
        <v>0</v>
      </c>
      <c r="AI43" s="1834">
        <f t="shared" si="59"/>
        <v>0.8970975842866532</v>
      </c>
      <c r="AJ43" s="579">
        <f t="shared" si="60"/>
        <v>-1935171</v>
      </c>
      <c r="AK43" s="430"/>
      <c r="AL43" s="439"/>
    </row>
    <row r="44" spans="1:38" ht="15">
      <c r="A44" s="2934"/>
      <c r="B44" s="2948" t="s">
        <v>179</v>
      </c>
      <c r="C44" s="1290" t="s">
        <v>317</v>
      </c>
      <c r="D44" s="1227">
        <f>37934661-444500</f>
        <v>37490161</v>
      </c>
      <c r="E44" s="2719">
        <v>35921213</v>
      </c>
      <c r="F44" s="1227">
        <v>38062446</v>
      </c>
      <c r="G44" s="1227">
        <f>F44+956179+206319+46000+327608-118000</f>
        <v>39480552</v>
      </c>
      <c r="H44" s="1227">
        <f>G44+84497-44370</f>
        <v>39520679</v>
      </c>
      <c r="I44" s="1227">
        <f>H44+64942-2482498-5550</f>
        <v>37097573</v>
      </c>
      <c r="J44" s="1227">
        <f t="shared" si="61"/>
        <v>37097573</v>
      </c>
      <c r="K44" s="3209">
        <v>25402768</v>
      </c>
      <c r="L44" s="1227">
        <f>+F44</f>
        <v>38062446</v>
      </c>
      <c r="M44" s="1227">
        <f>+L44+956179+206319+46000+327608-118000</f>
        <v>39480552</v>
      </c>
      <c r="N44" s="1227">
        <f>+M44+84497-44370</f>
        <v>39520679</v>
      </c>
      <c r="O44" s="1227">
        <f>+N44+64942-2482498-5550</f>
        <v>37097573</v>
      </c>
      <c r="P44" s="1227">
        <f t="shared" si="62"/>
        <v>37097573</v>
      </c>
      <c r="Q44" s="1227">
        <f>+K44</f>
        <v>25402768</v>
      </c>
      <c r="R44" s="1227">
        <v>0</v>
      </c>
      <c r="S44" s="1227">
        <f t="shared" si="63"/>
        <v>0</v>
      </c>
      <c r="T44" s="1227">
        <f t="shared" si="63"/>
        <v>0</v>
      </c>
      <c r="U44" s="1227">
        <f t="shared" si="63"/>
        <v>0</v>
      </c>
      <c r="V44" s="1227">
        <f t="shared" si="63"/>
        <v>0</v>
      </c>
      <c r="W44" s="1227">
        <v>0</v>
      </c>
      <c r="X44" s="1227"/>
      <c r="Y44" s="1227">
        <f t="shared" si="64"/>
        <v>0</v>
      </c>
      <c r="Z44" s="1227">
        <f t="shared" si="64"/>
        <v>0</v>
      </c>
      <c r="AA44" s="1227">
        <f t="shared" si="64"/>
        <v>0</v>
      </c>
      <c r="AB44" s="1227">
        <f t="shared" si="64"/>
        <v>0</v>
      </c>
      <c r="AC44" s="1227">
        <f t="shared" si="64"/>
        <v>0</v>
      </c>
      <c r="AD44" s="1665"/>
      <c r="AE44" s="1213">
        <f t="shared" si="1"/>
        <v>1418106</v>
      </c>
      <c r="AF44" s="1213">
        <f t="shared" si="2"/>
        <v>40127</v>
      </c>
      <c r="AG44" s="1213">
        <f t="shared" si="3"/>
        <v>-2423106</v>
      </c>
      <c r="AH44" s="2919">
        <f t="shared" si="4"/>
        <v>0</v>
      </c>
      <c r="AI44" s="1834">
        <f t="shared" si="59"/>
        <v>0.68475552295563913</v>
      </c>
      <c r="AJ44" s="579">
        <f t="shared" si="60"/>
        <v>572285</v>
      </c>
      <c r="AK44" s="430"/>
    </row>
    <row r="45" spans="1:38" s="439" customFormat="1" ht="15">
      <c r="A45" s="2934"/>
      <c r="B45" s="2948" t="s">
        <v>180</v>
      </c>
      <c r="C45" s="1290" t="s">
        <v>318</v>
      </c>
      <c r="D45" s="1227">
        <v>0</v>
      </c>
      <c r="E45" s="2719">
        <v>0</v>
      </c>
      <c r="F45" s="1227">
        <v>0</v>
      </c>
      <c r="G45" s="1227">
        <f t="shared" si="61"/>
        <v>0</v>
      </c>
      <c r="H45" s="1227">
        <f t="shared" si="61"/>
        <v>0</v>
      </c>
      <c r="I45" s="1227">
        <f t="shared" si="61"/>
        <v>0</v>
      </c>
      <c r="J45" s="1227">
        <f t="shared" si="61"/>
        <v>0</v>
      </c>
      <c r="K45" s="3209">
        <v>0</v>
      </c>
      <c r="L45" s="1227">
        <f>+F45</f>
        <v>0</v>
      </c>
      <c r="M45" s="1227">
        <f t="shared" si="62"/>
        <v>0</v>
      </c>
      <c r="N45" s="1227">
        <f t="shared" si="62"/>
        <v>0</v>
      </c>
      <c r="O45" s="1227">
        <f t="shared" si="62"/>
        <v>0</v>
      </c>
      <c r="P45" s="1227">
        <f t="shared" si="62"/>
        <v>0</v>
      </c>
      <c r="Q45" s="1227">
        <f>+K45</f>
        <v>0</v>
      </c>
      <c r="R45" s="1227">
        <v>0</v>
      </c>
      <c r="S45" s="1227">
        <f t="shared" si="63"/>
        <v>0</v>
      </c>
      <c r="T45" s="1227">
        <f t="shared" si="63"/>
        <v>0</v>
      </c>
      <c r="U45" s="1227">
        <f t="shared" si="63"/>
        <v>0</v>
      </c>
      <c r="V45" s="1227">
        <f t="shared" si="63"/>
        <v>0</v>
      </c>
      <c r="W45" s="1227">
        <v>0</v>
      </c>
      <c r="X45" s="1227"/>
      <c r="Y45" s="1227">
        <f t="shared" si="64"/>
        <v>0</v>
      </c>
      <c r="Z45" s="1227">
        <f t="shared" si="64"/>
        <v>0</v>
      </c>
      <c r="AA45" s="1227">
        <f t="shared" si="64"/>
        <v>0</v>
      </c>
      <c r="AB45" s="1227">
        <f t="shared" si="64"/>
        <v>0</v>
      </c>
      <c r="AC45" s="1227">
        <f t="shared" si="64"/>
        <v>0</v>
      </c>
      <c r="AD45" s="1284"/>
      <c r="AE45" s="1213">
        <f t="shared" si="1"/>
        <v>0</v>
      </c>
      <c r="AF45" s="1213">
        <f t="shared" si="2"/>
        <v>0</v>
      </c>
      <c r="AG45" s="1213">
        <f t="shared" si="3"/>
        <v>0</v>
      </c>
      <c r="AH45" s="2919">
        <f t="shared" si="4"/>
        <v>0</v>
      </c>
      <c r="AI45" s="1834"/>
      <c r="AJ45" s="579">
        <f t="shared" si="60"/>
        <v>0</v>
      </c>
      <c r="AK45" s="430"/>
    </row>
    <row r="46" spans="1:38" ht="15">
      <c r="A46" s="2934"/>
      <c r="B46" s="1477" t="s">
        <v>181</v>
      </c>
      <c r="C46" s="1286" t="s">
        <v>3319</v>
      </c>
      <c r="D46" s="1227">
        <v>0</v>
      </c>
      <c r="E46" s="2719">
        <v>17127202</v>
      </c>
      <c r="F46" s="1227">
        <v>0</v>
      </c>
      <c r="G46" s="1227">
        <f>F46+7853843+158414+1601746</f>
        <v>9614003</v>
      </c>
      <c r="H46" s="1227">
        <f t="shared" si="61"/>
        <v>9614003</v>
      </c>
      <c r="I46" s="1227">
        <f t="shared" si="61"/>
        <v>9614003</v>
      </c>
      <c r="J46" s="1227">
        <f t="shared" si="61"/>
        <v>9614003</v>
      </c>
      <c r="K46" s="3209">
        <v>9614003</v>
      </c>
      <c r="L46" s="1227">
        <f>+F46</f>
        <v>0</v>
      </c>
      <c r="M46" s="1227">
        <f>+L46+7853843+158414+1601746</f>
        <v>9614003</v>
      </c>
      <c r="N46" s="1227">
        <f t="shared" si="62"/>
        <v>9614003</v>
      </c>
      <c r="O46" s="1227">
        <f t="shared" si="62"/>
        <v>9614003</v>
      </c>
      <c r="P46" s="1227">
        <f t="shared" si="62"/>
        <v>9614003</v>
      </c>
      <c r="Q46" s="1227">
        <f>+K46</f>
        <v>9614003</v>
      </c>
      <c r="R46" s="1227">
        <v>0</v>
      </c>
      <c r="S46" s="1227">
        <f>+R46</f>
        <v>0</v>
      </c>
      <c r="T46" s="1227">
        <f t="shared" si="63"/>
        <v>0</v>
      </c>
      <c r="U46" s="1227">
        <f t="shared" si="63"/>
        <v>0</v>
      </c>
      <c r="V46" s="1227">
        <f t="shared" si="63"/>
        <v>0</v>
      </c>
      <c r="W46" s="1227">
        <v>0</v>
      </c>
      <c r="X46" s="1227"/>
      <c r="Y46" s="1227">
        <f t="shared" si="64"/>
        <v>0</v>
      </c>
      <c r="Z46" s="1227">
        <f t="shared" si="64"/>
        <v>0</v>
      </c>
      <c r="AA46" s="1227">
        <f t="shared" si="64"/>
        <v>0</v>
      </c>
      <c r="AB46" s="1227">
        <f t="shared" si="64"/>
        <v>0</v>
      </c>
      <c r="AC46" s="1227">
        <f t="shared" si="64"/>
        <v>0</v>
      </c>
      <c r="AD46" s="2947"/>
      <c r="AE46" s="1213">
        <f t="shared" si="1"/>
        <v>9614003</v>
      </c>
      <c r="AF46" s="1213">
        <f t="shared" si="2"/>
        <v>0</v>
      </c>
      <c r="AG46" s="1213">
        <f t="shared" si="3"/>
        <v>0</v>
      </c>
      <c r="AH46" s="2919">
        <f t="shared" si="4"/>
        <v>0</v>
      </c>
      <c r="AI46" s="1834">
        <f t="shared" si="59"/>
        <v>1</v>
      </c>
      <c r="AJ46" s="579">
        <f t="shared" si="60"/>
        <v>0</v>
      </c>
      <c r="AK46" s="430"/>
    </row>
    <row r="47" spans="1:38" ht="15">
      <c r="A47" s="2934" t="s">
        <v>12</v>
      </c>
      <c r="B47" s="2946" t="s">
        <v>12</v>
      </c>
      <c r="C47" s="1292" t="s">
        <v>1292</v>
      </c>
      <c r="D47" s="1213">
        <f t="shared" ref="D47:AC47" si="65">SUM(D48:D50)</f>
        <v>0</v>
      </c>
      <c r="E47" s="2715">
        <f t="shared" si="65"/>
        <v>3132733</v>
      </c>
      <c r="F47" s="1213">
        <f t="shared" si="65"/>
        <v>925122</v>
      </c>
      <c r="G47" s="1213">
        <f t="shared" si="65"/>
        <v>1394590</v>
      </c>
      <c r="H47" s="1213">
        <f t="shared" si="65"/>
        <v>1394590</v>
      </c>
      <c r="I47" s="1213">
        <f t="shared" si="65"/>
        <v>1400140</v>
      </c>
      <c r="J47" s="1213">
        <f t="shared" si="65"/>
        <v>1400140</v>
      </c>
      <c r="K47" s="3208">
        <f>SUM(K48:K50)</f>
        <v>1010241</v>
      </c>
      <c r="L47" s="1213">
        <f t="shared" si="65"/>
        <v>925122</v>
      </c>
      <c r="M47" s="1213">
        <f t="shared" si="65"/>
        <v>1394590</v>
      </c>
      <c r="N47" s="1213">
        <f t="shared" si="65"/>
        <v>1394590</v>
      </c>
      <c r="O47" s="1213">
        <f t="shared" si="65"/>
        <v>1400140</v>
      </c>
      <c r="P47" s="1213">
        <f t="shared" si="65"/>
        <v>1400140</v>
      </c>
      <c r="Q47" s="1213">
        <f t="shared" si="65"/>
        <v>1010241</v>
      </c>
      <c r="R47" s="1213">
        <f t="shared" si="65"/>
        <v>0</v>
      </c>
      <c r="S47" s="1213">
        <f t="shared" si="65"/>
        <v>0</v>
      </c>
      <c r="T47" s="1213">
        <f t="shared" si="65"/>
        <v>0</v>
      </c>
      <c r="U47" s="1213">
        <f t="shared" si="65"/>
        <v>0</v>
      </c>
      <c r="V47" s="1213">
        <f t="shared" si="65"/>
        <v>0</v>
      </c>
      <c r="W47" s="1213">
        <f t="shared" si="65"/>
        <v>0</v>
      </c>
      <c r="X47" s="1213">
        <f t="shared" si="65"/>
        <v>0</v>
      </c>
      <c r="Y47" s="1213">
        <f t="shared" si="65"/>
        <v>0</v>
      </c>
      <c r="Z47" s="1213">
        <f t="shared" si="65"/>
        <v>0</v>
      </c>
      <c r="AA47" s="1213">
        <f t="shared" si="65"/>
        <v>0</v>
      </c>
      <c r="AB47" s="1213">
        <f t="shared" si="65"/>
        <v>0</v>
      </c>
      <c r="AC47" s="1213">
        <f t="shared" si="65"/>
        <v>0</v>
      </c>
      <c r="AD47" s="1284"/>
      <c r="AE47" s="1213">
        <f t="shared" si="1"/>
        <v>469468</v>
      </c>
      <c r="AF47" s="1213">
        <f t="shared" si="2"/>
        <v>0</v>
      </c>
      <c r="AG47" s="1213">
        <f t="shared" si="3"/>
        <v>5550</v>
      </c>
      <c r="AH47" s="2919">
        <f t="shared" si="4"/>
        <v>0</v>
      </c>
      <c r="AI47" s="1829">
        <f t="shared" si="59"/>
        <v>0.72152856142957134</v>
      </c>
      <c r="AJ47" s="579">
        <f t="shared" si="60"/>
        <v>925122</v>
      </c>
      <c r="AK47" s="412"/>
    </row>
    <row r="48" spans="1:38" ht="15">
      <c r="A48" s="2934"/>
      <c r="B48" s="2948" t="s">
        <v>185</v>
      </c>
      <c r="C48" s="1290" t="s">
        <v>82</v>
      </c>
      <c r="D48" s="1227">
        <v>0</v>
      </c>
      <c r="E48" s="2719">
        <v>2882133</v>
      </c>
      <c r="F48" s="1227">
        <f>925123-1</f>
        <v>925122</v>
      </c>
      <c r="G48" s="1227">
        <f>+F48+469468</f>
        <v>1394590</v>
      </c>
      <c r="H48" s="1227">
        <f t="shared" ref="G48:J51" si="66">+G48</f>
        <v>1394590</v>
      </c>
      <c r="I48" s="1227">
        <f>+H48+5550</f>
        <v>1400140</v>
      </c>
      <c r="J48" s="1227">
        <f>+I48</f>
        <v>1400140</v>
      </c>
      <c r="K48" s="3209">
        <v>1010241</v>
      </c>
      <c r="L48" s="1227">
        <f>+F48</f>
        <v>925122</v>
      </c>
      <c r="M48" s="1227">
        <f>+L48+469468</f>
        <v>1394590</v>
      </c>
      <c r="N48" s="1227">
        <f t="shared" ref="M48:P49" si="67">+M48</f>
        <v>1394590</v>
      </c>
      <c r="O48" s="1227">
        <f>+N48+5550</f>
        <v>1400140</v>
      </c>
      <c r="P48" s="1227">
        <f t="shared" si="67"/>
        <v>1400140</v>
      </c>
      <c r="Q48" s="1227">
        <f>+K48</f>
        <v>1010241</v>
      </c>
      <c r="R48" s="1227">
        <v>0</v>
      </c>
      <c r="S48" s="1227">
        <f t="shared" ref="S48:V51" si="68">+R48</f>
        <v>0</v>
      </c>
      <c r="T48" s="1227">
        <f t="shared" si="68"/>
        <v>0</v>
      </c>
      <c r="U48" s="1227">
        <f t="shared" si="68"/>
        <v>0</v>
      </c>
      <c r="V48" s="1227">
        <f t="shared" si="68"/>
        <v>0</v>
      </c>
      <c r="W48" s="1227">
        <v>0</v>
      </c>
      <c r="X48" s="1227"/>
      <c r="Y48" s="1227">
        <f t="shared" ref="Y48:AC51" si="69">+X48</f>
        <v>0</v>
      </c>
      <c r="Z48" s="1227">
        <f t="shared" si="69"/>
        <v>0</v>
      </c>
      <c r="AA48" s="1227">
        <f t="shared" si="69"/>
        <v>0</v>
      </c>
      <c r="AB48" s="1227">
        <f t="shared" si="69"/>
        <v>0</v>
      </c>
      <c r="AC48" s="1227">
        <f t="shared" si="69"/>
        <v>0</v>
      </c>
      <c r="AD48" s="2947"/>
      <c r="AE48" s="1213">
        <f t="shared" si="1"/>
        <v>469468</v>
      </c>
      <c r="AF48" s="1213">
        <f t="shared" si="2"/>
        <v>0</v>
      </c>
      <c r="AG48" s="1213">
        <f t="shared" si="3"/>
        <v>5550</v>
      </c>
      <c r="AH48" s="2919">
        <f t="shared" si="4"/>
        <v>0</v>
      </c>
      <c r="AI48" s="1834">
        <f t="shared" si="59"/>
        <v>0.72152856142957134</v>
      </c>
      <c r="AJ48" s="579">
        <f t="shared" si="60"/>
        <v>925122</v>
      </c>
      <c r="AK48" s="430"/>
    </row>
    <row r="49" spans="1:37" ht="15">
      <c r="A49" s="2934"/>
      <c r="B49" s="2948" t="s">
        <v>187</v>
      </c>
      <c r="C49" s="1290" t="s">
        <v>344</v>
      </c>
      <c r="D49" s="1227">
        <v>0</v>
      </c>
      <c r="E49" s="2719">
        <v>250600</v>
      </c>
      <c r="F49" s="1227">
        <v>0</v>
      </c>
      <c r="G49" s="1227">
        <f t="shared" si="66"/>
        <v>0</v>
      </c>
      <c r="H49" s="1227">
        <f t="shared" si="66"/>
        <v>0</v>
      </c>
      <c r="I49" s="1227">
        <f t="shared" si="66"/>
        <v>0</v>
      </c>
      <c r="J49" s="1227">
        <f t="shared" si="66"/>
        <v>0</v>
      </c>
      <c r="K49" s="3209">
        <v>0</v>
      </c>
      <c r="L49" s="1227">
        <f>+F49</f>
        <v>0</v>
      </c>
      <c r="M49" s="1227">
        <f t="shared" si="67"/>
        <v>0</v>
      </c>
      <c r="N49" s="1227">
        <f t="shared" si="67"/>
        <v>0</v>
      </c>
      <c r="O49" s="1227">
        <f t="shared" si="67"/>
        <v>0</v>
      </c>
      <c r="P49" s="1227">
        <f t="shared" si="67"/>
        <v>0</v>
      </c>
      <c r="Q49" s="1227">
        <f>+K49</f>
        <v>0</v>
      </c>
      <c r="R49" s="1227">
        <v>0</v>
      </c>
      <c r="S49" s="1227">
        <f t="shared" si="68"/>
        <v>0</v>
      </c>
      <c r="T49" s="1227">
        <f t="shared" si="68"/>
        <v>0</v>
      </c>
      <c r="U49" s="1227">
        <f t="shared" si="68"/>
        <v>0</v>
      </c>
      <c r="V49" s="1227">
        <f t="shared" si="68"/>
        <v>0</v>
      </c>
      <c r="W49" s="1227">
        <v>0</v>
      </c>
      <c r="X49" s="1227"/>
      <c r="Y49" s="1227">
        <f t="shared" si="69"/>
        <v>0</v>
      </c>
      <c r="Z49" s="1227">
        <f t="shared" si="69"/>
        <v>0</v>
      </c>
      <c r="AA49" s="1227">
        <f t="shared" si="69"/>
        <v>0</v>
      </c>
      <c r="AB49" s="1227">
        <f t="shared" si="69"/>
        <v>0</v>
      </c>
      <c r="AC49" s="1227">
        <f t="shared" si="69"/>
        <v>0</v>
      </c>
      <c r="AD49" s="1284"/>
      <c r="AE49" s="1213">
        <f t="shared" si="1"/>
        <v>0</v>
      </c>
      <c r="AF49" s="1213">
        <f t="shared" si="2"/>
        <v>0</v>
      </c>
      <c r="AG49" s="1213">
        <f t="shared" si="3"/>
        <v>0</v>
      </c>
      <c r="AH49" s="2919">
        <f t="shared" si="4"/>
        <v>0</v>
      </c>
      <c r="AI49" s="1834"/>
      <c r="AJ49" s="579">
        <f t="shared" si="60"/>
        <v>0</v>
      </c>
      <c r="AK49" s="430"/>
    </row>
    <row r="50" spans="1:37" ht="15">
      <c r="A50" s="2934"/>
      <c r="B50" s="1477" t="s">
        <v>189</v>
      </c>
      <c r="C50" s="1286" t="s">
        <v>1293</v>
      </c>
      <c r="D50" s="1227">
        <v>0</v>
      </c>
      <c r="E50" s="2719">
        <v>0</v>
      </c>
      <c r="F50" s="1227">
        <v>0</v>
      </c>
      <c r="G50" s="1227">
        <f t="shared" si="66"/>
        <v>0</v>
      </c>
      <c r="H50" s="1227">
        <f t="shared" si="66"/>
        <v>0</v>
      </c>
      <c r="I50" s="1227">
        <f t="shared" si="66"/>
        <v>0</v>
      </c>
      <c r="J50" s="1227">
        <f t="shared" si="66"/>
        <v>0</v>
      </c>
      <c r="K50" s="3209">
        <v>0</v>
      </c>
      <c r="L50" s="1227">
        <f>+F50</f>
        <v>0</v>
      </c>
      <c r="M50" s="1227">
        <f t="shared" ref="M50:P51" si="70">+L50</f>
        <v>0</v>
      </c>
      <c r="N50" s="1227">
        <f t="shared" si="70"/>
        <v>0</v>
      </c>
      <c r="O50" s="1227">
        <f t="shared" si="70"/>
        <v>0</v>
      </c>
      <c r="P50" s="1227">
        <f t="shared" si="70"/>
        <v>0</v>
      </c>
      <c r="Q50" s="1227">
        <f>+K50</f>
        <v>0</v>
      </c>
      <c r="R50" s="1227">
        <v>0</v>
      </c>
      <c r="S50" s="1227">
        <f t="shared" si="68"/>
        <v>0</v>
      </c>
      <c r="T50" s="1227">
        <f t="shared" si="68"/>
        <v>0</v>
      </c>
      <c r="U50" s="1227">
        <f t="shared" si="68"/>
        <v>0</v>
      </c>
      <c r="V50" s="1227">
        <f t="shared" si="68"/>
        <v>0</v>
      </c>
      <c r="W50" s="1227">
        <v>0</v>
      </c>
      <c r="X50" s="1227"/>
      <c r="Y50" s="1227">
        <f t="shared" si="69"/>
        <v>0</v>
      </c>
      <c r="Z50" s="1227">
        <f t="shared" si="69"/>
        <v>0</v>
      </c>
      <c r="AA50" s="1227">
        <f t="shared" si="69"/>
        <v>0</v>
      </c>
      <c r="AB50" s="1227">
        <f t="shared" si="69"/>
        <v>0</v>
      </c>
      <c r="AC50" s="1227">
        <f t="shared" si="69"/>
        <v>0</v>
      </c>
      <c r="AD50" s="1284"/>
      <c r="AE50" s="1213">
        <f t="shared" si="1"/>
        <v>0</v>
      </c>
      <c r="AF50" s="1213">
        <f t="shared" si="2"/>
        <v>0</v>
      </c>
      <c r="AG50" s="1213">
        <f t="shared" si="3"/>
        <v>0</v>
      </c>
      <c r="AH50" s="2919">
        <f t="shared" si="4"/>
        <v>0</v>
      </c>
      <c r="AI50" s="1834"/>
      <c r="AJ50" s="579">
        <f t="shared" si="60"/>
        <v>0</v>
      </c>
      <c r="AK50" s="430"/>
    </row>
    <row r="51" spans="1:37" ht="15">
      <c r="A51" s="2934"/>
      <c r="B51" s="1477" t="s">
        <v>191</v>
      </c>
      <c r="C51" s="1290" t="s">
        <v>1294</v>
      </c>
      <c r="D51" s="1227">
        <v>0</v>
      </c>
      <c r="E51" s="2719">
        <v>0</v>
      </c>
      <c r="F51" s="1227">
        <v>0</v>
      </c>
      <c r="G51" s="1227">
        <f t="shared" si="66"/>
        <v>0</v>
      </c>
      <c r="H51" s="1227">
        <f t="shared" si="66"/>
        <v>0</v>
      </c>
      <c r="I51" s="1227">
        <f t="shared" si="66"/>
        <v>0</v>
      </c>
      <c r="J51" s="1227">
        <f t="shared" si="66"/>
        <v>0</v>
      </c>
      <c r="K51" s="3209">
        <v>0</v>
      </c>
      <c r="L51" s="1227">
        <f>+F51</f>
        <v>0</v>
      </c>
      <c r="M51" s="1227">
        <f t="shared" si="70"/>
        <v>0</v>
      </c>
      <c r="N51" s="1227">
        <f t="shared" si="70"/>
        <v>0</v>
      </c>
      <c r="O51" s="1227">
        <f t="shared" si="70"/>
        <v>0</v>
      </c>
      <c r="P51" s="1227">
        <f t="shared" si="70"/>
        <v>0</v>
      </c>
      <c r="Q51" s="1227">
        <f>+K51</f>
        <v>0</v>
      </c>
      <c r="R51" s="1227">
        <v>0</v>
      </c>
      <c r="S51" s="1227">
        <f t="shared" si="68"/>
        <v>0</v>
      </c>
      <c r="T51" s="1227">
        <f t="shared" si="68"/>
        <v>0</v>
      </c>
      <c r="U51" s="1227">
        <f t="shared" si="68"/>
        <v>0</v>
      </c>
      <c r="V51" s="1227">
        <f t="shared" si="68"/>
        <v>0</v>
      </c>
      <c r="W51" s="1227">
        <v>0</v>
      </c>
      <c r="X51" s="1227"/>
      <c r="Y51" s="1227">
        <f t="shared" si="69"/>
        <v>0</v>
      </c>
      <c r="Z51" s="1227">
        <f t="shared" si="69"/>
        <v>0</v>
      </c>
      <c r="AA51" s="1227">
        <f t="shared" si="69"/>
        <v>0</v>
      </c>
      <c r="AB51" s="1227">
        <f t="shared" si="69"/>
        <v>0</v>
      </c>
      <c r="AC51" s="1227">
        <f t="shared" si="69"/>
        <v>0</v>
      </c>
      <c r="AD51" s="1284"/>
      <c r="AE51" s="1213">
        <f t="shared" si="1"/>
        <v>0</v>
      </c>
      <c r="AF51" s="1213">
        <f t="shared" si="2"/>
        <v>0</v>
      </c>
      <c r="AG51" s="1213">
        <f t="shared" si="3"/>
        <v>0</v>
      </c>
      <c r="AH51" s="2919">
        <f t="shared" si="4"/>
        <v>0</v>
      </c>
      <c r="AI51" s="1834"/>
      <c r="AJ51" s="579">
        <f t="shared" si="60"/>
        <v>0</v>
      </c>
      <c r="AK51" s="430"/>
    </row>
    <row r="52" spans="1:37" ht="15">
      <c r="A52" s="2934" t="s">
        <v>14</v>
      </c>
      <c r="B52" s="1282" t="s">
        <v>14</v>
      </c>
      <c r="C52" s="2950" t="s">
        <v>1295</v>
      </c>
      <c r="D52" s="1298">
        <f t="shared" ref="D52:AC52" si="71">+D41+D47</f>
        <v>124059227</v>
      </c>
      <c r="E52" s="2720">
        <f t="shared" si="71"/>
        <v>126370976</v>
      </c>
      <c r="F52" s="1298">
        <f t="shared" si="71"/>
        <v>108681089</v>
      </c>
      <c r="G52" s="1298">
        <f t="shared" si="71"/>
        <v>120300666</v>
      </c>
      <c r="H52" s="1298">
        <f t="shared" si="71"/>
        <v>121600563</v>
      </c>
      <c r="I52" s="1298">
        <f t="shared" si="71"/>
        <v>120768526</v>
      </c>
      <c r="J52" s="1298">
        <f t="shared" si="71"/>
        <v>120768526</v>
      </c>
      <c r="K52" s="3210">
        <f t="shared" si="71"/>
        <v>102058131</v>
      </c>
      <c r="L52" s="1298">
        <f t="shared" si="71"/>
        <v>108681089</v>
      </c>
      <c r="M52" s="1298">
        <f t="shared" si="71"/>
        <v>120300666</v>
      </c>
      <c r="N52" s="1298">
        <f t="shared" si="71"/>
        <v>121600563</v>
      </c>
      <c r="O52" s="1298">
        <f t="shared" si="71"/>
        <v>120768526</v>
      </c>
      <c r="P52" s="1298">
        <f t="shared" si="71"/>
        <v>120768526</v>
      </c>
      <c r="Q52" s="1298">
        <f t="shared" si="71"/>
        <v>102058131</v>
      </c>
      <c r="R52" s="1298">
        <f t="shared" si="71"/>
        <v>0</v>
      </c>
      <c r="S52" s="1298">
        <f t="shared" si="71"/>
        <v>0</v>
      </c>
      <c r="T52" s="1298">
        <f t="shared" si="71"/>
        <v>0</v>
      </c>
      <c r="U52" s="1298">
        <f t="shared" si="71"/>
        <v>0</v>
      </c>
      <c r="V52" s="1298">
        <f t="shared" si="71"/>
        <v>0</v>
      </c>
      <c r="W52" s="1298">
        <f t="shared" si="71"/>
        <v>0</v>
      </c>
      <c r="X52" s="1298">
        <f t="shared" si="71"/>
        <v>0</v>
      </c>
      <c r="Y52" s="1298">
        <f t="shared" si="71"/>
        <v>0</v>
      </c>
      <c r="Z52" s="1298">
        <f t="shared" si="71"/>
        <v>0</v>
      </c>
      <c r="AA52" s="1298">
        <f t="shared" si="71"/>
        <v>0</v>
      </c>
      <c r="AB52" s="1298">
        <f t="shared" si="71"/>
        <v>0</v>
      </c>
      <c r="AC52" s="1298">
        <f t="shared" si="71"/>
        <v>0</v>
      </c>
      <c r="AD52" s="1284"/>
      <c r="AE52" s="1213">
        <f t="shared" si="1"/>
        <v>11619577</v>
      </c>
      <c r="AF52" s="1213">
        <f t="shared" si="2"/>
        <v>1299897</v>
      </c>
      <c r="AG52" s="1213">
        <f t="shared" si="3"/>
        <v>-832037</v>
      </c>
      <c r="AH52" s="2919">
        <f t="shared" si="4"/>
        <v>0</v>
      </c>
      <c r="AI52" s="1829">
        <f t="shared" si="59"/>
        <v>0.84507225831339527</v>
      </c>
      <c r="AJ52" s="579">
        <f t="shared" si="60"/>
        <v>-15378138</v>
      </c>
      <c r="AK52" s="436"/>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2"/>
        <v>0</v>
      </c>
      <c r="AG53" s="1213">
        <f t="shared" si="3"/>
        <v>0</v>
      </c>
      <c r="AH53" s="2919">
        <f t="shared" si="4"/>
        <v>0</v>
      </c>
      <c r="AI53" s="1860" t="e">
        <f t="shared" si="59"/>
        <v>#DIV/0!</v>
      </c>
      <c r="AJ53" s="579">
        <f t="shared" si="60"/>
        <v>0</v>
      </c>
      <c r="AK53" s="549"/>
    </row>
    <row r="54" spans="1:37" ht="32.25" thickBot="1">
      <c r="A54" s="2936"/>
      <c r="B54" s="2953" t="s">
        <v>15</v>
      </c>
      <c r="C54" s="2954" t="str">
        <f>+'8. mell. Intézmények összesen'!C54</f>
        <v>Létszám előirányzat (státusz) - Teljesítés: Munkajogi zárólétszám (az időszak végén munkaviszonyban állók létszáma)</v>
      </c>
      <c r="D54" s="2963">
        <v>8</v>
      </c>
      <c r="E54" s="2964">
        <v>7</v>
      </c>
      <c r="F54" s="2963">
        <v>8</v>
      </c>
      <c r="G54" s="2957">
        <f>+F54</f>
        <v>8</v>
      </c>
      <c r="H54" s="2957">
        <f>+G54</f>
        <v>8</v>
      </c>
      <c r="I54" s="2957">
        <f>+H54</f>
        <v>8</v>
      </c>
      <c r="J54" s="2957">
        <f>+I54</f>
        <v>8</v>
      </c>
      <c r="K54" s="3212">
        <v>7</v>
      </c>
      <c r="L54" s="2957">
        <f>+F54</f>
        <v>8</v>
      </c>
      <c r="M54" s="2957">
        <f>+L54</f>
        <v>8</v>
      </c>
      <c r="N54" s="2957">
        <f>+M54</f>
        <v>8</v>
      </c>
      <c r="O54" s="2957">
        <f>+N54</f>
        <v>8</v>
      </c>
      <c r="P54" s="2957">
        <f>+O54</f>
        <v>8</v>
      </c>
      <c r="Q54" s="2957">
        <f>+P54</f>
        <v>8</v>
      </c>
      <c r="R54" s="2957">
        <v>0</v>
      </c>
      <c r="S54" s="2957">
        <f>+R54</f>
        <v>0</v>
      </c>
      <c r="T54" s="2957">
        <f>+S54</f>
        <v>0</v>
      </c>
      <c r="U54" s="2957">
        <f>+T54</f>
        <v>0</v>
      </c>
      <c r="V54" s="2957">
        <f>+U54</f>
        <v>0</v>
      </c>
      <c r="W54" s="2957">
        <f>+V54</f>
        <v>0</v>
      </c>
      <c r="X54" s="2957"/>
      <c r="Y54" s="2957">
        <f>+X54</f>
        <v>0</v>
      </c>
      <c r="Z54" s="2957">
        <f>+Y54</f>
        <v>0</v>
      </c>
      <c r="AA54" s="2957">
        <f>+Z54</f>
        <v>0</v>
      </c>
      <c r="AB54" s="2957">
        <f>+AA54</f>
        <v>0</v>
      </c>
      <c r="AC54" s="2957">
        <f>+AB54</f>
        <v>0</v>
      </c>
      <c r="AD54" s="2965"/>
      <c r="AE54" s="2959">
        <f t="shared" si="1"/>
        <v>0</v>
      </c>
      <c r="AF54" s="1213">
        <f t="shared" si="2"/>
        <v>0</v>
      </c>
      <c r="AG54" s="1213">
        <f t="shared" si="3"/>
        <v>0</v>
      </c>
      <c r="AH54" s="2943">
        <f t="shared" si="4"/>
        <v>0</v>
      </c>
      <c r="AI54" s="1829">
        <f t="shared" si="59"/>
        <v>0.875</v>
      </c>
      <c r="AJ54" s="579">
        <f t="shared" si="60"/>
        <v>0</v>
      </c>
      <c r="AK54" s="1861"/>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72">+X55</f>
        <v>0</v>
      </c>
      <c r="Z55" s="459">
        <f t="shared" si="72"/>
        <v>0</v>
      </c>
      <c r="AA55" s="459">
        <f t="shared" si="72"/>
        <v>0</v>
      </c>
      <c r="AB55" s="459">
        <f t="shared" si="72"/>
        <v>0</v>
      </c>
      <c r="AC55" s="459"/>
      <c r="AD55" s="557"/>
      <c r="AE55" s="555">
        <f t="shared" si="1"/>
        <v>0</v>
      </c>
      <c r="AF55" s="555">
        <f t="shared" si="2"/>
        <v>0</v>
      </c>
      <c r="AG55" s="555">
        <f t="shared" si="3"/>
        <v>0</v>
      </c>
      <c r="AH55" s="555">
        <f t="shared" si="4"/>
        <v>0</v>
      </c>
      <c r="AI55" s="553"/>
      <c r="AJ55" s="579">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72"/>
        <v>0</v>
      </c>
      <c r="Z56" s="459">
        <f t="shared" si="72"/>
        <v>0</v>
      </c>
      <c r="AA56" s="459">
        <f t="shared" si="72"/>
        <v>0</v>
      </c>
      <c r="AB56" s="459">
        <f t="shared" si="72"/>
        <v>0</v>
      </c>
      <c r="AC56" s="459"/>
      <c r="AD56" s="557"/>
      <c r="AE56" s="555">
        <f t="shared" si="1"/>
        <v>0</v>
      </c>
      <c r="AF56" s="555"/>
      <c r="AG56" s="555"/>
      <c r="AH56" s="555"/>
      <c r="AJ56" s="579">
        <f>+F56-D56</f>
        <v>0</v>
      </c>
    </row>
    <row r="57" spans="1:37" ht="15.75">
      <c r="B57" s="3205" t="s">
        <v>17</v>
      </c>
      <c r="C57" s="3207" t="s">
        <v>4053</v>
      </c>
      <c r="D57" s="3206">
        <f t="shared" ref="D57:K57" si="73">+D37-D52</f>
        <v>0</v>
      </c>
      <c r="E57" s="3199">
        <f t="shared" si="73"/>
        <v>10570182</v>
      </c>
      <c r="F57" s="3200">
        <f t="shared" si="73"/>
        <v>0</v>
      </c>
      <c r="G57" s="3201">
        <f t="shared" si="73"/>
        <v>0</v>
      </c>
      <c r="H57" s="3201">
        <f t="shared" si="73"/>
        <v>0</v>
      </c>
      <c r="I57" s="3201"/>
      <c r="J57" s="3201">
        <f t="shared" si="73"/>
        <v>0</v>
      </c>
      <c r="K57" s="2198">
        <f t="shared" si="73"/>
        <v>11509576</v>
      </c>
      <c r="L57" s="3202"/>
      <c r="M57" s="3202"/>
      <c r="N57" s="3202"/>
      <c r="O57" s="3201"/>
      <c r="P57" s="3201"/>
      <c r="Q57" s="3201"/>
      <c r="R57" s="3203"/>
      <c r="S57" s="3201"/>
      <c r="T57" s="3201"/>
      <c r="U57" s="3201"/>
      <c r="V57" s="3201"/>
      <c r="W57" s="3201"/>
      <c r="X57" s="3201"/>
      <c r="Y57" s="3201"/>
      <c r="Z57" s="3201"/>
      <c r="AA57" s="3201"/>
      <c r="AB57" s="3201"/>
      <c r="AC57" s="3201"/>
      <c r="AD57" s="3201"/>
      <c r="AE57" s="3201"/>
      <c r="AF57" s="3201"/>
      <c r="AG57" s="3201"/>
      <c r="AH57" s="3201"/>
      <c r="AI57" s="3204"/>
    </row>
    <row r="58" spans="1:37" hidden="1">
      <c r="C58" s="396" t="s">
        <v>3696</v>
      </c>
      <c r="F58" s="396">
        <v>0</v>
      </c>
      <c r="G58" s="396">
        <f>+F58</f>
        <v>0</v>
      </c>
      <c r="H58" s="396">
        <f>+G58</f>
        <v>0</v>
      </c>
      <c r="I58" s="396">
        <f>+H58</f>
        <v>0</v>
      </c>
      <c r="J58" s="396">
        <f>+I58</f>
        <v>0</v>
      </c>
      <c r="K58" s="396">
        <f>+J58</f>
        <v>0</v>
      </c>
    </row>
    <row r="59" spans="1:37" ht="12.75" hidden="1" customHeight="1">
      <c r="C59" s="461" t="s">
        <v>1300</v>
      </c>
      <c r="F59" s="3644" t="s">
        <v>1301</v>
      </c>
      <c r="G59" s="3644"/>
    </row>
    <row r="60" spans="1:37" hidden="1">
      <c r="C60" s="460" t="s">
        <v>1302</v>
      </c>
      <c r="D60" s="396">
        <f t="shared" ref="D60:AB60" si="74">+D37-D52</f>
        <v>0</v>
      </c>
      <c r="E60" s="396">
        <f t="shared" si="74"/>
        <v>10570182</v>
      </c>
      <c r="F60" s="396">
        <f t="shared" si="74"/>
        <v>0</v>
      </c>
      <c r="G60" s="396">
        <f t="shared" si="74"/>
        <v>0</v>
      </c>
      <c r="H60" s="396">
        <f t="shared" si="74"/>
        <v>0</v>
      </c>
      <c r="I60" s="396">
        <f t="shared" si="74"/>
        <v>0</v>
      </c>
      <c r="J60" s="396">
        <f t="shared" si="74"/>
        <v>0</v>
      </c>
      <c r="K60" s="396">
        <f t="shared" si="74"/>
        <v>11509576</v>
      </c>
      <c r="L60" s="396">
        <f t="shared" si="74"/>
        <v>0</v>
      </c>
      <c r="M60" s="396">
        <f t="shared" si="74"/>
        <v>0</v>
      </c>
      <c r="N60" s="396">
        <f t="shared" si="74"/>
        <v>0</v>
      </c>
      <c r="O60" s="396">
        <f t="shared" si="74"/>
        <v>0</v>
      </c>
      <c r="P60" s="396">
        <f t="shared" si="74"/>
        <v>0</v>
      </c>
      <c r="Q60" s="396">
        <f t="shared" si="74"/>
        <v>11509576</v>
      </c>
      <c r="R60" s="396">
        <f t="shared" si="74"/>
        <v>0</v>
      </c>
      <c r="S60" s="396">
        <f t="shared" si="74"/>
        <v>0</v>
      </c>
      <c r="T60" s="396">
        <f t="shared" si="74"/>
        <v>0</v>
      </c>
      <c r="U60" s="396">
        <f t="shared" si="74"/>
        <v>0</v>
      </c>
      <c r="V60" s="396">
        <f t="shared" si="74"/>
        <v>0</v>
      </c>
      <c r="W60" s="396">
        <f t="shared" si="74"/>
        <v>0</v>
      </c>
      <c r="X60" s="396">
        <f t="shared" si="74"/>
        <v>0</v>
      </c>
      <c r="Y60" s="396">
        <f t="shared" si="74"/>
        <v>0</v>
      </c>
      <c r="Z60" s="396">
        <f t="shared" si="74"/>
        <v>0</v>
      </c>
      <c r="AA60" s="396">
        <f t="shared" si="74"/>
        <v>0</v>
      </c>
      <c r="AB60" s="396">
        <f t="shared" si="74"/>
        <v>0</v>
      </c>
    </row>
    <row r="61" spans="1:37" ht="25.5" hidden="1">
      <c r="C61" s="460" t="s">
        <v>1303</v>
      </c>
      <c r="F61" s="396">
        <f>+F37-L37-R37-X37</f>
        <v>0</v>
      </c>
      <c r="G61" s="396">
        <f>+G37-M37-S37-Y37</f>
        <v>0</v>
      </c>
      <c r="H61" s="396">
        <f>+H37-N37-T37-Z37</f>
        <v>0</v>
      </c>
      <c r="I61" s="396">
        <f>+I37-O37-U37-AA37</f>
        <v>0</v>
      </c>
      <c r="J61" s="396">
        <f>+J37-P37-V37-AB37</f>
        <v>0</v>
      </c>
    </row>
    <row r="62" spans="1:37" ht="25.5" hidden="1">
      <c r="C62" s="460" t="s">
        <v>1304</v>
      </c>
      <c r="F62" s="396">
        <f>+F52-L52-R52-X52</f>
        <v>0</v>
      </c>
      <c r="G62" s="396">
        <f>+G52-M52-S52-Y52</f>
        <v>0</v>
      </c>
      <c r="H62" s="396">
        <f>+H52-N52-T52-Z52</f>
        <v>0</v>
      </c>
      <c r="I62" s="396">
        <f>+I52-O52-U52-AA52</f>
        <v>0</v>
      </c>
      <c r="J62" s="396">
        <f>+J52-P52-V52-AB52</f>
        <v>0</v>
      </c>
    </row>
    <row r="66" spans="3:19">
      <c r="C66" s="562"/>
      <c r="D66" s="562"/>
      <c r="E66" s="562"/>
      <c r="F66" s="562"/>
      <c r="G66" s="562"/>
      <c r="J66" s="460"/>
      <c r="K66" s="460"/>
    </row>
    <row r="67" spans="3:19">
      <c r="J67" s="460"/>
      <c r="K67" s="460"/>
    </row>
    <row r="68" spans="3:19">
      <c r="C68" s="3668"/>
      <c r="D68" s="3668"/>
      <c r="E68" s="3668"/>
      <c r="F68" s="3668"/>
      <c r="G68" s="3668"/>
      <c r="H68" s="3668"/>
      <c r="J68" s="460"/>
      <c r="K68" s="460"/>
    </row>
    <row r="69" spans="3:19">
      <c r="C69" s="296"/>
      <c r="D69" s="563"/>
      <c r="E69" s="563"/>
      <c r="F69" s="296"/>
      <c r="G69" s="564"/>
      <c r="H69" s="563"/>
      <c r="J69" s="460"/>
      <c r="K69" s="460"/>
    </row>
    <row r="70" spans="3:19">
      <c r="C70" s="296"/>
      <c r="D70" s="563"/>
      <c r="E70" s="563"/>
      <c r="F70" s="296"/>
      <c r="G70" s="296"/>
      <c r="H70" s="563"/>
      <c r="J70" s="460"/>
      <c r="K70" s="460"/>
    </row>
    <row r="71" spans="3:19" hidden="1">
      <c r="C71" s="296"/>
      <c r="D71" s="563"/>
      <c r="E71" s="563"/>
      <c r="F71" s="563"/>
      <c r="G71" s="565"/>
      <c r="H71" s="563"/>
      <c r="J71" s="460"/>
      <c r="K71" s="460"/>
      <c r="L71" s="563"/>
    </row>
    <row r="72" spans="3:19" hidden="1">
      <c r="C72" s="296"/>
      <c r="D72" s="563"/>
      <c r="E72" s="563"/>
      <c r="F72" s="563"/>
      <c r="G72" s="565"/>
      <c r="H72" s="563"/>
      <c r="J72" s="460"/>
      <c r="K72" s="460"/>
      <c r="L72" s="563"/>
    </row>
    <row r="73" spans="3:19" hidden="1">
      <c r="C73" s="567"/>
      <c r="D73" s="568"/>
      <c r="E73" s="568"/>
      <c r="F73" s="568"/>
      <c r="G73" s="569"/>
      <c r="H73" s="570"/>
      <c r="J73" s="460"/>
      <c r="K73" s="460"/>
      <c r="L73" s="571"/>
    </row>
    <row r="74" spans="3:19" hidden="1">
      <c r="C74" s="296"/>
      <c r="D74" s="563"/>
      <c r="E74" s="563"/>
      <c r="F74" s="563"/>
      <c r="G74" s="296"/>
      <c r="H74" s="570"/>
      <c r="J74" s="460"/>
      <c r="K74" s="460"/>
    </row>
    <row r="75" spans="3:19" hidden="1">
      <c r="C75" s="296"/>
      <c r="D75" s="563"/>
      <c r="E75" s="563"/>
      <c r="F75" s="563"/>
      <c r="G75" s="296"/>
      <c r="H75" s="563"/>
      <c r="J75" s="460"/>
      <c r="K75" s="460"/>
    </row>
    <row r="76" spans="3:19" hidden="1">
      <c r="C76" s="564"/>
      <c r="D76" s="563"/>
      <c r="E76" s="563"/>
      <c r="F76" s="563"/>
      <c r="G76" s="296"/>
      <c r="H76" s="563"/>
      <c r="J76" s="460"/>
      <c r="K76" s="460"/>
    </row>
    <row r="77" spans="3:19" hidden="1">
      <c r="C77" s="296"/>
      <c r="D77" s="573"/>
      <c r="E77" s="573"/>
      <c r="F77" s="573"/>
      <c r="G77" s="296"/>
      <c r="H77" s="563"/>
      <c r="J77" s="460"/>
      <c r="K77" s="460"/>
    </row>
    <row r="78" spans="3:19" hidden="1">
      <c r="G78" s="556"/>
      <c r="H78" s="556"/>
      <c r="I78" s="556"/>
      <c r="J78" s="461"/>
      <c r="K78" s="461"/>
      <c r="L78" s="556"/>
      <c r="M78" s="556"/>
      <c r="N78" s="556"/>
      <c r="O78" s="556"/>
      <c r="P78" s="556"/>
      <c r="Q78" s="556"/>
      <c r="R78" s="556"/>
      <c r="S78" s="556"/>
    </row>
    <row r="79" spans="3:19" hidden="1">
      <c r="G79" s="556"/>
      <c r="H79" s="556"/>
      <c r="I79" s="556"/>
      <c r="J79" s="461"/>
      <c r="K79" s="461"/>
      <c r="L79" s="556"/>
      <c r="M79" s="556"/>
      <c r="N79" s="556"/>
      <c r="O79" s="556"/>
      <c r="P79" s="556"/>
      <c r="Q79" s="556"/>
      <c r="R79" s="556"/>
      <c r="S79" s="556"/>
    </row>
    <row r="80" spans="3:19" hidden="1">
      <c r="G80" s="556"/>
      <c r="H80" s="556"/>
      <c r="I80" s="556"/>
      <c r="J80" s="461"/>
      <c r="K80" s="461"/>
      <c r="L80" s="556"/>
      <c r="M80" s="556"/>
      <c r="N80" s="556"/>
      <c r="O80" s="556"/>
      <c r="P80" s="556"/>
      <c r="Q80" s="556"/>
      <c r="R80" s="556"/>
      <c r="S80" s="556"/>
    </row>
    <row r="81" spans="6:19">
      <c r="F81" s="581"/>
      <c r="G81" s="556"/>
      <c r="H81" s="556"/>
      <c r="I81" s="556"/>
      <c r="J81" s="461"/>
      <c r="K81" s="461"/>
      <c r="L81" s="556"/>
      <c r="M81" s="556"/>
      <c r="N81" s="556"/>
      <c r="O81" s="556"/>
      <c r="P81" s="556"/>
      <c r="Q81" s="556"/>
      <c r="R81" s="556"/>
      <c r="S81" s="556"/>
    </row>
  </sheetData>
  <sheetProtection algorithmName="SHA-512" hashValue="sVMXb15YJdIIL1PwSt/WIZoAaqu5EnBk+pUUWU4LIO0JSaGiwO/ucBFJAGmDSw1NkWFUzCE9sfAjpJOhniNH2w==" saltValue="fjIPkbrss7BUID+tyFa1ew==" spinCount="100000" sheet="1" selectLockedCells="1" selectUnlockedCells="1"/>
  <mergeCells count="6">
    <mergeCell ref="A2:AI2"/>
    <mergeCell ref="A56:B56"/>
    <mergeCell ref="F59:G59"/>
    <mergeCell ref="C68:H68"/>
    <mergeCell ref="A1:AI1"/>
    <mergeCell ref="A3:B3"/>
  </mergeCells>
  <printOptions horizontalCentered="1"/>
  <pageMargins left="0.15748031496062992" right="0.15748031496062992" top="0.47244094488188981" bottom="0.55118110236220474" header="0.51181102362204722" footer="0.31496062992125984"/>
  <pageSetup paperSize="9" scale="71" firstPageNumber="0" orientation="portrait" r:id="rId1"/>
  <headerFooter alignWithMargins="0">
    <oddFooter>&amp;C&amp;"Arial CE,Félkövér"&amp;14&amp;P/&amp;N</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61394-D384-43B4-BDEF-9EC4DC7D861D}">
  <sheetPr>
    <tabColor indexed="21"/>
  </sheetPr>
  <dimension ref="A1:T52"/>
  <sheetViews>
    <sheetView view="pageBreakPreview" workbookViewId="0">
      <pane xSplit="2" ySplit="1" topLeftCell="C2" activePane="bottomRight" state="frozen"/>
      <selection pane="topRight" activeCell="C1" sqref="C1"/>
      <selection pane="bottomLeft" activeCell="A2" sqref="A2"/>
      <selection pane="bottomRight" activeCell="I37" sqref="I37"/>
    </sheetView>
  </sheetViews>
  <sheetFormatPr defaultColWidth="9" defaultRowHeight="12.75"/>
  <cols>
    <col min="1" max="1" width="4.42578125" customWidth="1"/>
    <col min="2" max="2" width="33.85546875" customWidth="1"/>
    <col min="3" max="3" width="7" style="582" customWidth="1"/>
    <col min="4" max="4" width="10.140625" style="582" customWidth="1"/>
    <col min="5" max="5" width="3.140625" style="582" customWidth="1"/>
    <col min="6" max="6" width="9.140625" style="582" customWidth="1"/>
    <col min="7" max="7" width="9.7109375" customWidth="1"/>
    <col min="8" max="8" width="11.85546875" style="582" customWidth="1"/>
    <col min="9" max="9" width="14" style="29" customWidth="1"/>
    <col min="10" max="18" width="14" customWidth="1"/>
  </cols>
  <sheetData>
    <row r="1" spans="1:18" ht="45">
      <c r="A1" s="583"/>
      <c r="B1" s="584" t="s">
        <v>1719</v>
      </c>
      <c r="C1" s="585" t="s">
        <v>504</v>
      </c>
      <c r="D1" s="584" t="s">
        <v>505</v>
      </c>
      <c r="E1" s="584"/>
      <c r="F1" s="584" t="s">
        <v>1334</v>
      </c>
      <c r="G1" s="584" t="s">
        <v>1720</v>
      </c>
      <c r="H1" s="586" t="s">
        <v>1721</v>
      </c>
      <c r="I1" s="587" t="s">
        <v>1722</v>
      </c>
      <c r="J1" s="587" t="s">
        <v>1723</v>
      </c>
      <c r="K1" s="587" t="s">
        <v>1724</v>
      </c>
      <c r="L1" s="587" t="s">
        <v>1725</v>
      </c>
      <c r="M1" s="587" t="s">
        <v>1726</v>
      </c>
      <c r="N1" s="583" t="s">
        <v>1727</v>
      </c>
      <c r="O1" s="583" t="s">
        <v>1727</v>
      </c>
      <c r="P1" s="588" t="s">
        <v>1728</v>
      </c>
      <c r="Q1" s="588" t="s">
        <v>1729</v>
      </c>
      <c r="R1" s="588" t="s">
        <v>1730</v>
      </c>
    </row>
    <row r="2" spans="1:18">
      <c r="A2" s="583">
        <v>1</v>
      </c>
      <c r="B2" s="583" t="s">
        <v>1731</v>
      </c>
      <c r="C2" s="589" t="s">
        <v>512</v>
      </c>
      <c r="D2" s="590" t="s">
        <v>1732</v>
      </c>
      <c r="E2" s="590" t="s">
        <v>754</v>
      </c>
      <c r="F2" s="590" t="s">
        <v>1239</v>
      </c>
      <c r="G2" s="591">
        <v>9990001</v>
      </c>
      <c r="H2" s="591" t="s">
        <v>1733</v>
      </c>
      <c r="I2" s="592">
        <f>+'9. mell. PMH'!F36-I3</f>
        <v>2173158030</v>
      </c>
      <c r="J2" s="592">
        <f>+'9. mell. PMH'!G36-J3</f>
        <v>2150158030</v>
      </c>
      <c r="K2" s="592">
        <f>+'9. mell. PMH'!H36-K3</f>
        <v>2158139224</v>
      </c>
      <c r="L2" s="592">
        <f>+'9. mell. PMH'!I36-L3</f>
        <v>2171559224</v>
      </c>
      <c r="M2" s="592">
        <f>+'9. mell. PMH'!J36-M3</f>
        <v>2171548238</v>
      </c>
      <c r="N2" s="592">
        <f>+'9. mell. PMH'!L36-N3</f>
        <v>0</v>
      </c>
      <c r="O2" s="592">
        <f>+'9. mell. PMH'!M36-O3</f>
        <v>0</v>
      </c>
      <c r="P2" s="592">
        <f>+'9. mell. PMH'!N36-P3</f>
        <v>0</v>
      </c>
      <c r="R2" s="29">
        <f t="shared" ref="R2:R37" si="0">+J2-I2</f>
        <v>-23000000</v>
      </c>
    </row>
    <row r="3" spans="1:18">
      <c r="A3" s="583"/>
      <c r="B3" s="593" t="s">
        <v>1734</v>
      </c>
      <c r="C3" s="594"/>
      <c r="D3" s="595"/>
      <c r="E3" s="595"/>
      <c r="F3" s="595"/>
      <c r="G3" s="596"/>
      <c r="H3" s="596" t="s">
        <v>1735</v>
      </c>
      <c r="I3" s="597">
        <f>+'9. mell. PMH'!F48</f>
        <v>0</v>
      </c>
      <c r="J3" s="597">
        <f>+'9. mell. PMH'!G48</f>
        <v>0</v>
      </c>
      <c r="K3" s="597">
        <f>+'9. mell. PMH'!H48</f>
        <v>0</v>
      </c>
      <c r="L3" s="597">
        <f>+'9. mell. PMH'!I48</f>
        <v>0</v>
      </c>
      <c r="M3" s="597">
        <v>10986</v>
      </c>
      <c r="N3" s="597">
        <v>0</v>
      </c>
      <c r="O3" s="597">
        <v>0</v>
      </c>
      <c r="P3" s="597">
        <v>0</v>
      </c>
      <c r="Q3" s="29">
        <f t="shared" ref="Q3:Q36" si="1">+J2-L2</f>
        <v>-21401194</v>
      </c>
      <c r="R3" s="29">
        <f t="shared" si="0"/>
        <v>0</v>
      </c>
    </row>
    <row r="4" spans="1:18">
      <c r="A4" s="583">
        <v>2</v>
      </c>
      <c r="B4" s="583" t="s">
        <v>1736</v>
      </c>
      <c r="C4" s="589" t="s">
        <v>512</v>
      </c>
      <c r="D4" s="590" t="s">
        <v>1737</v>
      </c>
      <c r="E4" s="590" t="s">
        <v>754</v>
      </c>
      <c r="F4" s="590" t="s">
        <v>1239</v>
      </c>
      <c r="G4" s="591">
        <v>9990001</v>
      </c>
      <c r="H4" s="591" t="s">
        <v>1733</v>
      </c>
      <c r="I4" s="592">
        <f>+'12. mell. Szakrendelő'!F36-I5</f>
        <v>839190316</v>
      </c>
      <c r="J4" s="592">
        <f>+'12. mell. Szakrendelő'!G36-J5</f>
        <v>837781286</v>
      </c>
      <c r="K4" s="592">
        <f>+'12. mell. Szakrendelő'!H36-K5</f>
        <v>839851386</v>
      </c>
      <c r="L4" s="592">
        <f>+'12. mell. Szakrendelő'!I36-L5</f>
        <v>743125720</v>
      </c>
      <c r="M4" s="592">
        <v>86118</v>
      </c>
      <c r="N4" s="592">
        <f>+K4-J4</f>
        <v>2070100</v>
      </c>
      <c r="O4" s="592">
        <f>+L4-K4</f>
        <v>-96725666</v>
      </c>
      <c r="P4" s="29">
        <v>86118</v>
      </c>
      <c r="Q4" s="29">
        <f t="shared" si="1"/>
        <v>0</v>
      </c>
      <c r="R4" s="29">
        <f t="shared" si="0"/>
        <v>-1409030</v>
      </c>
    </row>
    <row r="5" spans="1:18">
      <c r="A5" s="583"/>
      <c r="B5" s="593" t="s">
        <v>1734</v>
      </c>
      <c r="C5" s="594"/>
      <c r="D5" s="595"/>
      <c r="E5" s="595"/>
      <c r="F5" s="595"/>
      <c r="G5" s="596"/>
      <c r="H5" s="596"/>
      <c r="I5" s="597">
        <f>+'12. mell. Szakrendelő'!F47</f>
        <v>7918242</v>
      </c>
      <c r="J5" s="597">
        <f>+'12. mell. Szakrendelő'!G47-23222</f>
        <v>28880525</v>
      </c>
      <c r="K5" s="597">
        <f>+'12. mell. Szakrendelő'!H47-23222</f>
        <v>32672116</v>
      </c>
      <c r="L5" s="597">
        <f>+'12. mell. Szakrendelő'!I47-23222</f>
        <v>60759062</v>
      </c>
      <c r="M5" s="592"/>
      <c r="N5" s="592"/>
      <c r="O5" s="592"/>
      <c r="P5" s="29"/>
      <c r="Q5" s="29">
        <f t="shared" si="1"/>
        <v>94655566</v>
      </c>
      <c r="R5" s="29">
        <f t="shared" si="0"/>
        <v>20962283</v>
      </c>
    </row>
    <row r="6" spans="1:18">
      <c r="A6" s="583">
        <v>3</v>
      </c>
      <c r="B6" s="583" t="s">
        <v>1738</v>
      </c>
      <c r="C6" s="589" t="s">
        <v>512</v>
      </c>
      <c r="D6" s="590" t="s">
        <v>1739</v>
      </c>
      <c r="E6" s="590" t="s">
        <v>754</v>
      </c>
      <c r="F6" s="590" t="s">
        <v>1239</v>
      </c>
      <c r="G6" s="591">
        <v>9990001</v>
      </c>
      <c r="H6" s="591" t="s">
        <v>1733</v>
      </c>
      <c r="I6" s="592">
        <f>+'13. mell. GAMESZ'!F36-I7</f>
        <v>196862924</v>
      </c>
      <c r="J6" s="592">
        <f>+'13. mell. GAMESZ'!G36-J7</f>
        <v>197125589</v>
      </c>
      <c r="K6" s="592">
        <f>+'13. mell. GAMESZ'!H36-K7</f>
        <v>197459899</v>
      </c>
      <c r="L6" s="592">
        <f>+'13. mell. GAMESZ'!I36-L7</f>
        <v>198581997</v>
      </c>
      <c r="M6" s="592">
        <v>74307</v>
      </c>
      <c r="N6" s="592">
        <f>+K6-J6</f>
        <v>334310</v>
      </c>
      <c r="O6" s="592">
        <f>+L6-K6</f>
        <v>1122098</v>
      </c>
      <c r="P6" s="29">
        <v>74307</v>
      </c>
      <c r="Q6" s="29">
        <f t="shared" si="1"/>
        <v>-31878537</v>
      </c>
      <c r="R6" s="29">
        <f t="shared" si="0"/>
        <v>262665</v>
      </c>
    </row>
    <row r="7" spans="1:18">
      <c r="A7" s="583"/>
      <c r="B7" s="593" t="s">
        <v>1734</v>
      </c>
      <c r="C7" s="594"/>
      <c r="D7" s="595"/>
      <c r="E7" s="595"/>
      <c r="F7" s="595"/>
      <c r="G7" s="596"/>
      <c r="H7" s="596"/>
      <c r="I7" s="597">
        <f>+'13. mell. GAMESZ'!F47</f>
        <v>0</v>
      </c>
      <c r="J7" s="597">
        <f>+'13. mell. GAMESZ'!G47-537</f>
        <v>-537</v>
      </c>
      <c r="K7" s="597">
        <f>+'13. mell. GAMESZ'!H47-537</f>
        <v>10453</v>
      </c>
      <c r="L7" s="597">
        <f>+'13. mell. GAMESZ'!I47-537</f>
        <v>10453</v>
      </c>
      <c r="M7" s="597"/>
      <c r="N7" s="597"/>
      <c r="O7" s="597"/>
      <c r="P7" s="29"/>
      <c r="Q7" s="29">
        <f t="shared" si="1"/>
        <v>-1456408</v>
      </c>
      <c r="R7" s="29">
        <f t="shared" si="0"/>
        <v>-537</v>
      </c>
    </row>
    <row r="8" spans="1:18">
      <c r="A8" s="583">
        <v>4</v>
      </c>
      <c r="B8" s="583" t="s">
        <v>1740</v>
      </c>
      <c r="C8" s="589" t="s">
        <v>512</v>
      </c>
      <c r="D8" s="590" t="s">
        <v>1741</v>
      </c>
      <c r="E8" s="590" t="s">
        <v>754</v>
      </c>
      <c r="F8" s="590" t="s">
        <v>1239</v>
      </c>
      <c r="G8" s="591">
        <v>9990001</v>
      </c>
      <c r="H8" s="591" t="s">
        <v>1733</v>
      </c>
      <c r="I8" s="592">
        <f>+'14. mell. Gyerekkuckó'!F36-I9</f>
        <v>616540183</v>
      </c>
      <c r="J8" s="592">
        <f>+'14. mell. Gyerekkuckó'!G36-J9</f>
        <v>617429183</v>
      </c>
      <c r="K8" s="592">
        <f>+'14. mell. Gyerekkuckó'!H36-K9</f>
        <v>617747183</v>
      </c>
      <c r="L8" s="592">
        <f>+'14. mell. Gyerekkuckó'!I36-L9</f>
        <v>624927723</v>
      </c>
      <c r="M8" s="592">
        <v>212236</v>
      </c>
      <c r="N8" s="592">
        <f>+K8-J8</f>
        <v>318000</v>
      </c>
      <c r="O8" s="592">
        <f>+L8-K8</f>
        <v>7180540</v>
      </c>
      <c r="P8" s="29">
        <v>212236</v>
      </c>
      <c r="Q8" s="29">
        <f t="shared" si="1"/>
        <v>-10990</v>
      </c>
      <c r="R8" s="29">
        <f t="shared" si="0"/>
        <v>889000</v>
      </c>
    </row>
    <row r="9" spans="1:18">
      <c r="A9" s="583"/>
      <c r="B9" s="593" t="s">
        <v>1734</v>
      </c>
      <c r="C9" s="594"/>
      <c r="D9" s="595"/>
      <c r="E9" s="595"/>
      <c r="F9" s="595"/>
      <c r="G9" s="596"/>
      <c r="H9" s="596"/>
      <c r="I9" s="597">
        <f>+'14. mell. Gyerekkuckó'!F47</f>
        <v>680720</v>
      </c>
      <c r="J9" s="597">
        <f>+'14. mell. Gyerekkuckó'!G47</f>
        <v>680720</v>
      </c>
      <c r="K9" s="597">
        <f>+'14. mell. Gyerekkuckó'!H47</f>
        <v>680720</v>
      </c>
      <c r="L9" s="597">
        <f>+'14. mell. Gyerekkuckó'!I47</f>
        <v>830720</v>
      </c>
      <c r="M9" s="597"/>
      <c r="N9" s="597"/>
      <c r="O9" s="597"/>
      <c r="P9" s="29"/>
      <c r="Q9" s="29">
        <f t="shared" si="1"/>
        <v>-7498540</v>
      </c>
      <c r="R9" s="29">
        <f t="shared" si="0"/>
        <v>0</v>
      </c>
    </row>
    <row r="10" spans="1:18">
      <c r="A10" s="583">
        <v>5</v>
      </c>
      <c r="B10" s="583" t="s">
        <v>1742</v>
      </c>
      <c r="C10" s="589" t="s">
        <v>512</v>
      </c>
      <c r="D10" s="590" t="s">
        <v>1743</v>
      </c>
      <c r="E10" s="590" t="s">
        <v>754</v>
      </c>
      <c r="F10" s="590" t="s">
        <v>1239</v>
      </c>
      <c r="G10" s="591">
        <v>9990001</v>
      </c>
      <c r="H10" s="591" t="s">
        <v>1733</v>
      </c>
      <c r="I10" s="592">
        <f>+'15. mell. Cinkotai H.'!F36-I11</f>
        <v>568859780</v>
      </c>
      <c r="J10" s="592">
        <f>+'15. mell. Cinkotai H.'!G36-J11</f>
        <v>569748780</v>
      </c>
      <c r="K10" s="592">
        <f>+'15. mell. Cinkotai H.'!H36-K11</f>
        <v>571829128</v>
      </c>
      <c r="L10" s="592">
        <f>+'15. mell. Cinkotai H.'!I36-L11</f>
        <v>584909069</v>
      </c>
      <c r="M10" s="592">
        <v>125892</v>
      </c>
      <c r="N10" s="592">
        <f t="shared" ref="N10:O12" si="2">+K10-J10</f>
        <v>2080348</v>
      </c>
      <c r="O10" s="592">
        <f t="shared" si="2"/>
        <v>13079941</v>
      </c>
      <c r="P10" s="29">
        <v>125892</v>
      </c>
      <c r="Q10" s="29">
        <f t="shared" si="1"/>
        <v>-150000</v>
      </c>
      <c r="R10" s="29">
        <f t="shared" si="0"/>
        <v>889000</v>
      </c>
    </row>
    <row r="11" spans="1:18">
      <c r="A11" s="583"/>
      <c r="B11" s="593" t="s">
        <v>1734</v>
      </c>
      <c r="C11" s="594"/>
      <c r="D11" s="595"/>
      <c r="E11" s="595"/>
      <c r="F11" s="595"/>
      <c r="G11" s="596"/>
      <c r="H11" s="596" t="s">
        <v>1735</v>
      </c>
      <c r="I11" s="597">
        <f>+'15. mell. Cinkotai H.'!F48</f>
        <v>495300</v>
      </c>
      <c r="J11" s="597">
        <f>+'15. mell. Cinkotai H.'!G48</f>
        <v>495300</v>
      </c>
      <c r="K11" s="597">
        <f>+'15. mell. Cinkotai H.'!H48</f>
        <v>495300</v>
      </c>
      <c r="L11" s="597">
        <f>+'15. mell. Cinkotai H.'!I48</f>
        <v>3126430</v>
      </c>
      <c r="M11" s="597">
        <v>2003</v>
      </c>
      <c r="N11" s="592">
        <f t="shared" si="2"/>
        <v>0</v>
      </c>
      <c r="O11" s="597">
        <f t="shared" si="2"/>
        <v>2631130</v>
      </c>
      <c r="Q11" s="29">
        <f t="shared" si="1"/>
        <v>-15160289</v>
      </c>
      <c r="R11" s="29">
        <f t="shared" si="0"/>
        <v>0</v>
      </c>
    </row>
    <row r="12" spans="1:18">
      <c r="A12" s="583">
        <v>6</v>
      </c>
      <c r="B12" s="583" t="s">
        <v>1744</v>
      </c>
      <c r="C12" s="589" t="s">
        <v>512</v>
      </c>
      <c r="D12" s="590" t="s">
        <v>1745</v>
      </c>
      <c r="E12" s="590" t="s">
        <v>754</v>
      </c>
      <c r="F12" s="590" t="s">
        <v>1239</v>
      </c>
      <c r="G12" s="591">
        <v>9990001</v>
      </c>
      <c r="H12" s="591" t="s">
        <v>1733</v>
      </c>
      <c r="I12" s="592">
        <f>+'16. mell. Napsugár'!F36-I13</f>
        <v>718337609</v>
      </c>
      <c r="J12" s="592">
        <f>+'16. mell. Napsugár'!G36-J13</f>
        <v>719772709</v>
      </c>
      <c r="K12" s="592">
        <f>+'16. mell. Napsugár'!H36-K13</f>
        <v>720095409</v>
      </c>
      <c r="L12" s="592">
        <f>+'16. mell. Napsugár'!I36-L13</f>
        <v>720507529</v>
      </c>
      <c r="M12" s="592">
        <v>246320</v>
      </c>
      <c r="N12" s="592">
        <f t="shared" si="2"/>
        <v>322700</v>
      </c>
      <c r="O12" s="592">
        <f t="shared" si="2"/>
        <v>412120</v>
      </c>
      <c r="P12" s="29">
        <v>246320</v>
      </c>
      <c r="Q12" s="29">
        <f t="shared" si="1"/>
        <v>-2631130</v>
      </c>
      <c r="R12" s="29">
        <f t="shared" si="0"/>
        <v>1435100</v>
      </c>
    </row>
    <row r="13" spans="1:18">
      <c r="A13" s="583"/>
      <c r="B13" s="593" t="s">
        <v>1734</v>
      </c>
      <c r="C13" s="594"/>
      <c r="D13" s="595"/>
      <c r="E13" s="595"/>
      <c r="F13" s="595"/>
      <c r="G13" s="596"/>
      <c r="H13" s="596"/>
      <c r="I13" s="597">
        <f>+'16. mell. Napsugár'!F47</f>
        <v>788670</v>
      </c>
      <c r="J13" s="597">
        <f>+'16. mell. Napsugár'!G47</f>
        <v>1287780</v>
      </c>
      <c r="K13" s="597">
        <f>+'16. mell. Napsugár'!H47</f>
        <v>1287780</v>
      </c>
      <c r="L13" s="597">
        <f>+'16. mell. Napsugár'!I47</f>
        <v>1388190</v>
      </c>
      <c r="M13" s="592"/>
      <c r="N13" s="592"/>
      <c r="O13" s="592"/>
      <c r="P13" s="29"/>
      <c r="Q13" s="29">
        <f t="shared" si="1"/>
        <v>-734820</v>
      </c>
      <c r="R13" s="29">
        <f t="shared" si="0"/>
        <v>499110</v>
      </c>
    </row>
    <row r="14" spans="1:18">
      <c r="A14" s="583">
        <v>7</v>
      </c>
      <c r="B14" s="583" t="s">
        <v>1746</v>
      </c>
      <c r="C14" s="589" t="s">
        <v>512</v>
      </c>
      <c r="D14" s="590" t="s">
        <v>1747</v>
      </c>
      <c r="E14" s="590" t="s">
        <v>754</v>
      </c>
      <c r="F14" s="590" t="s">
        <v>1239</v>
      </c>
      <c r="G14" s="591">
        <v>9990001</v>
      </c>
      <c r="H14" s="591" t="s">
        <v>1733</v>
      </c>
      <c r="I14" s="592">
        <f>+'17. mell. Sashalmi M.'!F36-I15</f>
        <v>395229344</v>
      </c>
      <c r="J14" s="592">
        <f>+'17. mell. Sashalmi M.'!G36-J15</f>
        <v>396029444</v>
      </c>
      <c r="K14" s="592">
        <f>+'17. mell. Sashalmi M.'!H36-K15</f>
        <v>396374744</v>
      </c>
      <c r="L14" s="592">
        <f>+'17. mell. Sashalmi M.'!I36-L15</f>
        <v>405179070</v>
      </c>
      <c r="M14" s="592">
        <v>130807</v>
      </c>
      <c r="N14" s="592">
        <f t="shared" ref="N14:O16" si="3">+K14-J14</f>
        <v>345300</v>
      </c>
      <c r="O14" s="592">
        <f t="shared" si="3"/>
        <v>8804326</v>
      </c>
      <c r="P14" s="29">
        <v>130807</v>
      </c>
      <c r="Q14" s="29">
        <f t="shared" si="1"/>
        <v>-100410</v>
      </c>
      <c r="R14" s="29">
        <f t="shared" si="0"/>
        <v>800100</v>
      </c>
    </row>
    <row r="15" spans="1:18">
      <c r="A15" s="583"/>
      <c r="B15" s="593" t="s">
        <v>1734</v>
      </c>
      <c r="C15" s="594"/>
      <c r="D15" s="595"/>
      <c r="E15" s="595"/>
      <c r="F15" s="595"/>
      <c r="G15" s="596"/>
      <c r="H15" s="596" t="s">
        <v>1735</v>
      </c>
      <c r="I15" s="597">
        <f>+'17. mell. Sashalmi M.'!F47</f>
        <v>925830</v>
      </c>
      <c r="J15" s="597">
        <f>+'17. mell. Sashalmi M.'!G47</f>
        <v>925830</v>
      </c>
      <c r="K15" s="597">
        <f>+'17. mell. Sashalmi M.'!H47</f>
        <v>925830</v>
      </c>
      <c r="L15" s="597">
        <f>+'17. mell. Sashalmi M.'!I47</f>
        <v>925830</v>
      </c>
      <c r="M15" s="597">
        <v>996</v>
      </c>
      <c r="N15" s="592">
        <f t="shared" si="3"/>
        <v>0</v>
      </c>
      <c r="O15" s="597">
        <f t="shared" si="3"/>
        <v>0</v>
      </c>
      <c r="Q15" s="29">
        <f t="shared" si="1"/>
        <v>-9149626</v>
      </c>
      <c r="R15" s="29">
        <f t="shared" si="0"/>
        <v>0</v>
      </c>
    </row>
    <row r="16" spans="1:18">
      <c r="A16" s="583">
        <v>8</v>
      </c>
      <c r="B16" s="583" t="s">
        <v>1748</v>
      </c>
      <c r="C16" s="589" t="s">
        <v>512</v>
      </c>
      <c r="D16" s="590" t="s">
        <v>1749</v>
      </c>
      <c r="E16" s="590" t="s">
        <v>754</v>
      </c>
      <c r="F16" s="590" t="s">
        <v>1239</v>
      </c>
      <c r="G16" s="591">
        <v>9990001</v>
      </c>
      <c r="H16" s="591" t="s">
        <v>1733</v>
      </c>
      <c r="I16" s="592">
        <f>+'18. mell. Margaréta'!F36-I17</f>
        <v>608463649</v>
      </c>
      <c r="J16" s="592">
        <f>+'18. mell. Margaréta'!G36-J17</f>
        <v>610969647</v>
      </c>
      <c r="K16" s="592">
        <f>+'18. mell. Margaréta'!H36-K17</f>
        <v>611803897</v>
      </c>
      <c r="L16" s="592">
        <f>+'18. mell. Margaréta'!I36-L17</f>
        <v>616285176</v>
      </c>
      <c r="M16" s="592">
        <v>138929</v>
      </c>
      <c r="N16" s="592">
        <f t="shared" si="3"/>
        <v>834250</v>
      </c>
      <c r="O16" s="592">
        <f t="shared" si="3"/>
        <v>4481279</v>
      </c>
      <c r="P16" s="29">
        <v>138929</v>
      </c>
      <c r="Q16" s="29">
        <f t="shared" si="1"/>
        <v>0</v>
      </c>
      <c r="R16" s="29">
        <f t="shared" si="0"/>
        <v>2505998</v>
      </c>
    </row>
    <row r="17" spans="1:20">
      <c r="A17" s="583"/>
      <c r="B17" s="593" t="s">
        <v>1734</v>
      </c>
      <c r="C17" s="594"/>
      <c r="D17" s="595"/>
      <c r="E17" s="595"/>
      <c r="F17" s="595"/>
      <c r="G17" s="596"/>
      <c r="H17" s="596"/>
      <c r="I17" s="597">
        <f>+'18. mell. Margaréta'!F47</f>
        <v>580758</v>
      </c>
      <c r="J17" s="597">
        <f>+'18. mell. Margaréta'!G47</f>
        <v>580758</v>
      </c>
      <c r="K17" s="597">
        <f>+'18. mell. Margaréta'!H47</f>
        <v>580758</v>
      </c>
      <c r="L17" s="597">
        <f>+'18. mell. Margaréta'!I47</f>
        <v>482599</v>
      </c>
      <c r="M17" s="592"/>
      <c r="N17" s="592"/>
      <c r="O17" s="592"/>
      <c r="P17" s="29"/>
      <c r="Q17" s="29">
        <f t="shared" si="1"/>
        <v>-5315529</v>
      </c>
      <c r="R17" s="29">
        <f t="shared" si="0"/>
        <v>0</v>
      </c>
    </row>
    <row r="18" spans="1:20">
      <c r="A18" s="583">
        <v>9</v>
      </c>
      <c r="B18" s="583" t="s">
        <v>1750</v>
      </c>
      <c r="C18" s="594" t="s">
        <v>512</v>
      </c>
      <c r="D18" s="595" t="s">
        <v>1751</v>
      </c>
      <c r="E18" s="595" t="s">
        <v>754</v>
      </c>
      <c r="F18" s="595" t="s">
        <v>1239</v>
      </c>
      <c r="G18" s="596">
        <v>9990001</v>
      </c>
      <c r="H18" s="591" t="s">
        <v>1733</v>
      </c>
      <c r="I18" s="592">
        <f>+'19.mell.Szentmihályi Játszókert'!F36-I19</f>
        <v>977064207</v>
      </c>
      <c r="J18" s="592">
        <f>+'19.mell.Szentmihályi Játszókert'!G36-J19</f>
        <v>978857407</v>
      </c>
      <c r="K18" s="592">
        <f>+'19.mell.Szentmihályi Játszókert'!H36-K19</f>
        <v>980497477</v>
      </c>
      <c r="L18" s="592">
        <f>+'19.mell.Szentmihályi Játszókert'!I36-L19</f>
        <v>995340939</v>
      </c>
      <c r="M18" s="592">
        <v>318341</v>
      </c>
      <c r="N18" s="592">
        <f t="shared" ref="N18:O20" si="4">+K18-J18</f>
        <v>1640070</v>
      </c>
      <c r="O18" s="592">
        <f t="shared" si="4"/>
        <v>14843462</v>
      </c>
      <c r="P18" s="29">
        <v>318341</v>
      </c>
      <c r="Q18" s="29">
        <f t="shared" si="1"/>
        <v>98159</v>
      </c>
      <c r="R18" s="29">
        <f t="shared" si="0"/>
        <v>1793200</v>
      </c>
    </row>
    <row r="19" spans="1:20">
      <c r="A19" s="583"/>
      <c r="B19" s="593" t="s">
        <v>1734</v>
      </c>
      <c r="C19" s="594"/>
      <c r="D19" s="595"/>
      <c r="E19" s="595"/>
      <c r="F19" s="595"/>
      <c r="G19" s="596"/>
      <c r="H19" s="596" t="s">
        <v>1735</v>
      </c>
      <c r="I19" s="597">
        <f>+'19.mell.Szentmihályi Játszókert'!F47</f>
        <v>1113409</v>
      </c>
      <c r="J19" s="597">
        <f>+'19.mell.Szentmihályi Játszókert'!G47</f>
        <v>1113409</v>
      </c>
      <c r="K19" s="597">
        <f>+'19.mell.Szentmihályi Játszókert'!H47</f>
        <v>1113409</v>
      </c>
      <c r="L19" s="597">
        <f>+'19.mell.Szentmihályi Játszókert'!I47</f>
        <v>1113409</v>
      </c>
      <c r="M19" s="597">
        <v>1185</v>
      </c>
      <c r="N19" s="592">
        <f t="shared" si="4"/>
        <v>0</v>
      </c>
      <c r="O19" s="597">
        <f t="shared" si="4"/>
        <v>0</v>
      </c>
      <c r="Q19" s="29">
        <f t="shared" si="1"/>
        <v>-16483532</v>
      </c>
      <c r="R19" s="29">
        <f t="shared" si="0"/>
        <v>0</v>
      </c>
    </row>
    <row r="20" spans="1:20">
      <c r="A20" s="583">
        <v>10</v>
      </c>
      <c r="B20" s="583" t="s">
        <v>1752</v>
      </c>
      <c r="C20" s="589" t="s">
        <v>512</v>
      </c>
      <c r="D20" s="590" t="s">
        <v>1753</v>
      </c>
      <c r="E20" s="590" t="s">
        <v>754</v>
      </c>
      <c r="F20" s="590" t="s">
        <v>1239</v>
      </c>
      <c r="G20" s="591">
        <v>9990001</v>
      </c>
      <c r="H20" s="591" t="s">
        <v>1733</v>
      </c>
      <c r="I20" s="592">
        <f>+'20. mell. M. Fecskefészek'!F36-I21</f>
        <v>1157393216</v>
      </c>
      <c r="J20" s="592">
        <f>+'20. mell. M. Fecskefészek'!G36-J21</f>
        <v>1159211016</v>
      </c>
      <c r="K20" s="592">
        <f>+'20. mell. M. Fecskefészek'!H36-K21</f>
        <v>1157772060</v>
      </c>
      <c r="L20" s="592">
        <f>+'20. mell. M. Fecskefészek'!I36-L21</f>
        <v>1157460132</v>
      </c>
      <c r="M20" s="592">
        <v>359804</v>
      </c>
      <c r="N20" s="592">
        <f t="shared" si="4"/>
        <v>-1438956</v>
      </c>
      <c r="O20" s="592">
        <f t="shared" si="4"/>
        <v>-311928</v>
      </c>
      <c r="P20" s="29">
        <v>359804</v>
      </c>
      <c r="Q20" s="29">
        <f t="shared" si="1"/>
        <v>0</v>
      </c>
      <c r="R20" s="29">
        <f t="shared" si="0"/>
        <v>1817800</v>
      </c>
      <c r="T20">
        <v>427190</v>
      </c>
    </row>
    <row r="21" spans="1:20">
      <c r="A21" s="583"/>
      <c r="B21" s="593" t="s">
        <v>1734</v>
      </c>
      <c r="C21" s="594"/>
      <c r="D21" s="595"/>
      <c r="E21" s="595"/>
      <c r="F21" s="595"/>
      <c r="G21" s="596"/>
      <c r="H21" s="596"/>
      <c r="I21" s="597">
        <f>+'20. mell. M. Fecskefészek'!F47</f>
        <v>1295400</v>
      </c>
      <c r="J21" s="597">
        <f>+'20. mell. M. Fecskefészek'!G47</f>
        <v>1295400</v>
      </c>
      <c r="K21" s="597">
        <f>+'20. mell. M. Fecskefészek'!H47-2962</f>
        <v>1317308</v>
      </c>
      <c r="L21" s="597">
        <f>+'20. mell. M. Fecskefészek'!I47-2962</f>
        <v>2575091</v>
      </c>
      <c r="M21" s="592"/>
      <c r="N21" s="592"/>
      <c r="O21" s="592"/>
      <c r="P21" s="29"/>
      <c r="Q21" s="29">
        <f t="shared" si="1"/>
        <v>1750884</v>
      </c>
      <c r="R21" s="29">
        <f t="shared" si="0"/>
        <v>0</v>
      </c>
      <c r="T21">
        <v>2147</v>
      </c>
    </row>
    <row r="22" spans="1:20">
      <c r="A22" s="583">
        <v>11</v>
      </c>
      <c r="B22" s="583" t="s">
        <v>1754</v>
      </c>
      <c r="C22" s="589" t="s">
        <v>512</v>
      </c>
      <c r="D22" s="590" t="s">
        <v>1755</v>
      </c>
      <c r="E22" s="590" t="s">
        <v>754</v>
      </c>
      <c r="F22" s="590" t="s">
        <v>1239</v>
      </c>
      <c r="G22" s="591">
        <v>9990001</v>
      </c>
      <c r="H22" s="591" t="s">
        <v>1733</v>
      </c>
      <c r="I22" s="592">
        <f>+'21. mell. CMH'!F36-I23</f>
        <v>461967396</v>
      </c>
      <c r="J22" s="592">
        <f>+'21. mell. CMH'!G36-J23</f>
        <v>462554578</v>
      </c>
      <c r="K22" s="592">
        <f>+'21. mell. CMH'!H36-K23</f>
        <v>461121258</v>
      </c>
      <c r="L22" s="592">
        <f>+'21. mell. CMH'!I36-L23</f>
        <v>457311135</v>
      </c>
      <c r="M22" s="592">
        <v>93651</v>
      </c>
      <c r="N22" s="592">
        <f t="shared" ref="N22:N33" si="5">+K22-J22</f>
        <v>-1433320</v>
      </c>
      <c r="O22" s="592">
        <f t="shared" ref="O22:O33" si="6">+L22-K22</f>
        <v>-3810123</v>
      </c>
      <c r="P22" s="29">
        <v>93651</v>
      </c>
      <c r="Q22" s="29">
        <f t="shared" si="1"/>
        <v>-1279691</v>
      </c>
      <c r="R22" s="29">
        <f t="shared" si="0"/>
        <v>587182</v>
      </c>
      <c r="T22">
        <f>+T20-T21</f>
        <v>425043</v>
      </c>
    </row>
    <row r="23" spans="1:20">
      <c r="A23" s="583"/>
      <c r="B23" s="593" t="s">
        <v>1734</v>
      </c>
      <c r="C23" s="594"/>
      <c r="D23" s="595"/>
      <c r="E23" s="595"/>
      <c r="F23" s="595"/>
      <c r="G23" s="596"/>
      <c r="H23" s="596" t="s">
        <v>1735</v>
      </c>
      <c r="I23" s="597">
        <f>+'21. mell. CMH'!F47</f>
        <v>4075041</v>
      </c>
      <c r="J23" s="597">
        <f>+'21. mell. CMH'!G47-1312</f>
        <v>4261059</v>
      </c>
      <c r="K23" s="597">
        <f>+'21. mell. CMH'!H47-1312</f>
        <v>6039679</v>
      </c>
      <c r="L23" s="597">
        <f>+'21. mell. CMH'!I47-1312</f>
        <v>10087102</v>
      </c>
      <c r="M23" s="597">
        <v>7000</v>
      </c>
      <c r="N23" s="592">
        <f t="shared" si="5"/>
        <v>1778620</v>
      </c>
      <c r="O23" s="597">
        <f t="shared" si="6"/>
        <v>4047423</v>
      </c>
      <c r="Q23" s="29">
        <f t="shared" si="1"/>
        <v>5243443</v>
      </c>
      <c r="R23" s="29">
        <f t="shared" si="0"/>
        <v>186018</v>
      </c>
    </row>
    <row r="24" spans="1:20">
      <c r="A24" s="583">
        <v>12</v>
      </c>
      <c r="B24" s="583" t="s">
        <v>1756</v>
      </c>
      <c r="C24" s="589" t="s">
        <v>512</v>
      </c>
      <c r="D24" s="590" t="s">
        <v>1757</v>
      </c>
      <c r="E24" s="590" t="s">
        <v>754</v>
      </c>
      <c r="F24" s="590" t="s">
        <v>1239</v>
      </c>
      <c r="G24" s="591">
        <v>9990001</v>
      </c>
      <c r="H24" s="591" t="s">
        <v>1733</v>
      </c>
      <c r="I24" s="592">
        <f>+'22. mell. Bölcsőde'!F36-I25</f>
        <v>1518663319</v>
      </c>
      <c r="J24" s="592">
        <f>+'22. mell. Bölcsőde'!G36-J25</f>
        <v>1516582811</v>
      </c>
      <c r="K24" s="592">
        <f>+'22. mell. Bölcsőde'!H36-K25</f>
        <v>1520411675</v>
      </c>
      <c r="L24" s="592">
        <f>+'22. mell. Bölcsőde'!I36-L25</f>
        <v>1520682875</v>
      </c>
      <c r="M24" s="592">
        <v>344861</v>
      </c>
      <c r="N24" s="592">
        <f t="shared" si="5"/>
        <v>3828864</v>
      </c>
      <c r="O24" s="592">
        <f t="shared" si="6"/>
        <v>271200</v>
      </c>
      <c r="P24" s="29">
        <v>344861</v>
      </c>
      <c r="Q24" s="29">
        <f t="shared" si="1"/>
        <v>-5826043</v>
      </c>
      <c r="R24" s="29">
        <f t="shared" si="0"/>
        <v>-2080508</v>
      </c>
    </row>
    <row r="25" spans="1:20">
      <c r="A25" s="583"/>
      <c r="B25" s="593" t="s">
        <v>1734</v>
      </c>
      <c r="C25" s="594"/>
      <c r="D25" s="595"/>
      <c r="E25" s="595"/>
      <c r="F25" s="595"/>
      <c r="G25" s="596"/>
      <c r="H25" s="596" t="s">
        <v>1735</v>
      </c>
      <c r="I25" s="597">
        <f>+'22. mell. Bölcsőde'!F47</f>
        <v>6089364</v>
      </c>
      <c r="J25" s="597">
        <f>+'22. mell. Bölcsőde'!G47</f>
        <v>8210512</v>
      </c>
      <c r="K25" s="597">
        <f>+'22. mell. Bölcsőde'!H47</f>
        <v>8210512</v>
      </c>
      <c r="L25" s="597">
        <f>+'22. mell. Bölcsőde'!I47</f>
        <v>8210512</v>
      </c>
      <c r="M25" s="597">
        <v>4909</v>
      </c>
      <c r="N25" s="592">
        <f t="shared" si="5"/>
        <v>0</v>
      </c>
      <c r="O25" s="597">
        <f t="shared" si="6"/>
        <v>0</v>
      </c>
      <c r="Q25" s="29">
        <f t="shared" si="1"/>
        <v>-4100064</v>
      </c>
      <c r="R25" s="29">
        <f t="shared" si="0"/>
        <v>2121148</v>
      </c>
    </row>
    <row r="26" spans="1:20">
      <c r="A26" s="583">
        <v>13</v>
      </c>
      <c r="B26" s="583" t="s">
        <v>1758</v>
      </c>
      <c r="C26" s="589" t="s">
        <v>512</v>
      </c>
      <c r="D26" s="590" t="s">
        <v>1759</v>
      </c>
      <c r="E26" s="590" t="s">
        <v>754</v>
      </c>
      <c r="F26" s="590" t="s">
        <v>1239</v>
      </c>
      <c r="G26" s="591">
        <v>9990001</v>
      </c>
      <c r="H26" s="591" t="s">
        <v>1733</v>
      </c>
      <c r="I26" s="592">
        <f>+'23. mell. Terszoc.'!F36-I27</f>
        <v>1034512630</v>
      </c>
      <c r="J26" s="592">
        <f>+'23. mell. Terszoc.'!G36-J27</f>
        <v>1039546881</v>
      </c>
      <c r="K26" s="592">
        <f>+'23. mell. Terszoc.'!H36-K27</f>
        <v>1046105632</v>
      </c>
      <c r="L26" s="592">
        <f>+'23. mell. Terszoc.'!I36-L27</f>
        <v>1049005753</v>
      </c>
      <c r="M26" s="592">
        <v>285906</v>
      </c>
      <c r="N26" s="592">
        <f t="shared" si="5"/>
        <v>6558751</v>
      </c>
      <c r="O26" s="592">
        <f t="shared" si="6"/>
        <v>2900121</v>
      </c>
      <c r="P26" s="29">
        <v>285906</v>
      </c>
      <c r="Q26" s="29">
        <f t="shared" si="1"/>
        <v>0</v>
      </c>
      <c r="R26" s="29">
        <f t="shared" si="0"/>
        <v>5034251</v>
      </c>
    </row>
    <row r="27" spans="1:20">
      <c r="A27" s="583"/>
      <c r="B27" s="593" t="s">
        <v>1734</v>
      </c>
      <c r="C27" s="594"/>
      <c r="D27" s="595"/>
      <c r="E27" s="595"/>
      <c r="F27" s="595"/>
      <c r="G27" s="596"/>
      <c r="H27" s="596" t="s">
        <v>1735</v>
      </c>
      <c r="I27" s="597">
        <f>+'23. mell. Terszoc.'!F47</f>
        <v>1371600</v>
      </c>
      <c r="J27" s="597">
        <f>+'23. mell. Terszoc.'!G47</f>
        <v>1313500</v>
      </c>
      <c r="K27" s="597">
        <f>+'23. mell. Terszoc.'!H47</f>
        <v>1313500</v>
      </c>
      <c r="L27" s="597">
        <f>+'23. mell. Terszoc.'!I47</f>
        <v>1854390</v>
      </c>
      <c r="M27" s="597">
        <v>3139</v>
      </c>
      <c r="N27" s="592">
        <f t="shared" si="5"/>
        <v>0</v>
      </c>
      <c r="O27" s="597">
        <f t="shared" si="6"/>
        <v>540890</v>
      </c>
      <c r="Q27" s="29">
        <f t="shared" si="1"/>
        <v>-9458872</v>
      </c>
      <c r="R27" s="29">
        <f t="shared" si="0"/>
        <v>-58100</v>
      </c>
      <c r="T27">
        <v>428005</v>
      </c>
    </row>
    <row r="28" spans="1:20" ht="25.5">
      <c r="A28" s="583">
        <v>14</v>
      </c>
      <c r="B28" s="598" t="s">
        <v>1760</v>
      </c>
      <c r="C28" s="589" t="s">
        <v>512</v>
      </c>
      <c r="D28" s="590" t="s">
        <v>1761</v>
      </c>
      <c r="E28" s="590" t="s">
        <v>754</v>
      </c>
      <c r="F28" s="590" t="s">
        <v>1239</v>
      </c>
      <c r="G28" s="591">
        <v>9990001</v>
      </c>
      <c r="H28" s="591" t="s">
        <v>1733</v>
      </c>
      <c r="I28" s="592">
        <f>+'24. mell. Napraforgó'!F36-I29</f>
        <v>386754738</v>
      </c>
      <c r="J28" s="592">
        <f>+'24. mell. Napraforgó'!G36-J29</f>
        <v>391222989</v>
      </c>
      <c r="K28" s="592">
        <f>+'24. mell. Napraforgó'!H36-K29</f>
        <v>391500489</v>
      </c>
      <c r="L28" s="592">
        <f>+'24. mell. Napraforgó'!I36-L29</f>
        <v>391219989</v>
      </c>
      <c r="M28" s="592">
        <v>89716</v>
      </c>
      <c r="N28" s="592">
        <f t="shared" si="5"/>
        <v>277500</v>
      </c>
      <c r="O28" s="592">
        <f t="shared" si="6"/>
        <v>-280500</v>
      </c>
      <c r="P28" s="29">
        <v>89716</v>
      </c>
      <c r="Q28" s="29">
        <f t="shared" si="1"/>
        <v>-540890</v>
      </c>
      <c r="R28" s="29">
        <f t="shared" si="0"/>
        <v>4468251</v>
      </c>
      <c r="T28">
        <v>-2962</v>
      </c>
    </row>
    <row r="29" spans="1:20">
      <c r="A29" s="583"/>
      <c r="B29" s="593" t="s">
        <v>1734</v>
      </c>
      <c r="C29" s="594"/>
      <c r="D29" s="595"/>
      <c r="E29" s="595"/>
      <c r="F29" s="595"/>
      <c r="G29" s="596"/>
      <c r="H29" s="596" t="s">
        <v>1735</v>
      </c>
      <c r="I29" s="597">
        <f>+'24. mell. Napraforgó'!F47</f>
        <v>2660384</v>
      </c>
      <c r="J29" s="597">
        <f>+'24. mell. Napraforgó'!G47</f>
        <v>2660384</v>
      </c>
      <c r="K29" s="597">
        <f>+'24. mell. Napraforgó'!H47</f>
        <v>2660384</v>
      </c>
      <c r="L29" s="597">
        <f>+'24. mell. Napraforgó'!I47</f>
        <v>3110384</v>
      </c>
      <c r="M29" s="597">
        <v>1097</v>
      </c>
      <c r="N29" s="592">
        <f t="shared" si="5"/>
        <v>0</v>
      </c>
      <c r="O29" s="597">
        <f t="shared" si="6"/>
        <v>450000</v>
      </c>
      <c r="Q29" s="29">
        <f t="shared" si="1"/>
        <v>3000</v>
      </c>
      <c r="R29" s="29">
        <f t="shared" si="0"/>
        <v>0</v>
      </c>
      <c r="T29">
        <f>SUM(T27:T28)</f>
        <v>425043</v>
      </c>
    </row>
    <row r="30" spans="1:20">
      <c r="A30" s="583">
        <v>15</v>
      </c>
      <c r="B30" s="583" t="s">
        <v>1762</v>
      </c>
      <c r="C30" s="589" t="s">
        <v>512</v>
      </c>
      <c r="D30" s="590" t="s">
        <v>1763</v>
      </c>
      <c r="E30" s="590" t="s">
        <v>754</v>
      </c>
      <c r="F30" s="590" t="s">
        <v>1239</v>
      </c>
      <c r="G30" s="591">
        <v>9990001</v>
      </c>
      <c r="H30" s="591" t="s">
        <v>1733</v>
      </c>
      <c r="I30" s="592">
        <f>+'25. mell. Kerületgazda'!F36-I31</f>
        <v>2136707014</v>
      </c>
      <c r="J30" s="592">
        <f>+'25. mell. Kerületgazda'!G36-J31</f>
        <v>2142441949</v>
      </c>
      <c r="K30" s="592">
        <f>+'25. mell. Kerületgazda'!H36-K31</f>
        <v>2183833880</v>
      </c>
      <c r="L30" s="592">
        <f>+'25. mell. Kerületgazda'!I36-L31</f>
        <v>2227326605</v>
      </c>
      <c r="M30" s="592">
        <v>978598</v>
      </c>
      <c r="N30" s="592">
        <f t="shared" si="5"/>
        <v>41391931</v>
      </c>
      <c r="O30" s="592">
        <f t="shared" si="6"/>
        <v>43492725</v>
      </c>
      <c r="P30" s="29">
        <v>978598</v>
      </c>
      <c r="Q30" s="29">
        <f t="shared" si="1"/>
        <v>-450000</v>
      </c>
      <c r="R30" s="29">
        <f t="shared" si="0"/>
        <v>5734935</v>
      </c>
    </row>
    <row r="31" spans="1:20">
      <c r="A31" s="583"/>
      <c r="B31" s="593" t="s">
        <v>1734</v>
      </c>
      <c r="C31" s="594"/>
      <c r="D31" s="595"/>
      <c r="E31" s="595"/>
      <c r="F31" s="595"/>
      <c r="G31" s="596"/>
      <c r="H31" s="596" t="s">
        <v>1735</v>
      </c>
      <c r="I31" s="597">
        <f>+'25. mell. Kerületgazda'!F47</f>
        <v>22536643</v>
      </c>
      <c r="J31" s="597">
        <f>+'25. mell. Kerületgazda'!G47-7536</f>
        <v>24434107</v>
      </c>
      <c r="K31" s="597">
        <f>+'25. mell. Kerületgazda'!H47-7536</f>
        <v>24933807</v>
      </c>
      <c r="L31" s="597">
        <f>+'25. mell. Kerületgazda'!I47-7536</f>
        <v>26009727</v>
      </c>
      <c r="M31" s="597">
        <v>80553</v>
      </c>
      <c r="N31" s="592">
        <f t="shared" si="5"/>
        <v>499700</v>
      </c>
      <c r="O31" s="597">
        <f t="shared" si="6"/>
        <v>1075920</v>
      </c>
      <c r="Q31" s="29">
        <f t="shared" si="1"/>
        <v>-84884656</v>
      </c>
      <c r="R31" s="29">
        <f t="shared" si="0"/>
        <v>1897464</v>
      </c>
    </row>
    <row r="32" spans="1:20">
      <c r="A32" s="583">
        <v>16</v>
      </c>
      <c r="B32" s="583" t="s">
        <v>1764</v>
      </c>
      <c r="C32" s="589" t="s">
        <v>512</v>
      </c>
      <c r="D32" s="590" t="s">
        <v>1765</v>
      </c>
      <c r="E32" s="590" t="s">
        <v>754</v>
      </c>
      <c r="F32" s="590" t="s">
        <v>1239</v>
      </c>
      <c r="G32" s="591">
        <v>9990001</v>
      </c>
      <c r="H32" s="591" t="s">
        <v>1733</v>
      </c>
      <c r="I32" s="592">
        <f>+'26. mell. Őrszolgálat'!F36-I33</f>
        <v>122109308</v>
      </c>
      <c r="J32" s="592">
        <f>+'26. mell. Őrszolgálat'!G36-J33</f>
        <v>122557970</v>
      </c>
      <c r="K32" s="592">
        <f>+'26. mell. Őrszolgálat'!H36-K33</f>
        <v>123228000</v>
      </c>
      <c r="L32" s="592">
        <f>+'26. mell. Őrszolgálat'!I36-L33</f>
        <v>137279479</v>
      </c>
      <c r="M32" s="592">
        <v>3536</v>
      </c>
      <c r="N32" s="592">
        <f t="shared" si="5"/>
        <v>670030</v>
      </c>
      <c r="O32" s="592">
        <f t="shared" si="6"/>
        <v>14051479</v>
      </c>
      <c r="P32" s="29">
        <v>3536</v>
      </c>
      <c r="Q32" s="29">
        <f t="shared" si="1"/>
        <v>-1575620</v>
      </c>
      <c r="R32" s="29">
        <f t="shared" si="0"/>
        <v>448662</v>
      </c>
    </row>
    <row r="33" spans="1:18">
      <c r="A33" s="583"/>
      <c r="B33" s="593" t="s">
        <v>1734</v>
      </c>
      <c r="C33" s="594"/>
      <c r="D33" s="595"/>
      <c r="E33" s="595"/>
      <c r="F33" s="595"/>
      <c r="G33" s="596"/>
      <c r="H33" s="596" t="s">
        <v>1735</v>
      </c>
      <c r="I33" s="597">
        <f>+'26. mell. Őrszolgálat'!F47</f>
        <v>1926783</v>
      </c>
      <c r="J33" s="597">
        <f>+'26. mell. Őrszolgálat'!G47</f>
        <v>1478121</v>
      </c>
      <c r="K33" s="597">
        <f>+'26. mell. Őrszolgálat'!H47</f>
        <v>1478121</v>
      </c>
      <c r="L33" s="597">
        <f>+'26. mell. Őrszolgálat'!I47</f>
        <v>1538121</v>
      </c>
      <c r="M33" s="597">
        <v>916</v>
      </c>
      <c r="N33" s="592">
        <f t="shared" si="5"/>
        <v>0</v>
      </c>
      <c r="O33" s="597">
        <f t="shared" si="6"/>
        <v>60000</v>
      </c>
      <c r="P33" s="29">
        <f>SUM(P2:P32)</f>
        <v>3489022</v>
      </c>
      <c r="Q33" s="29">
        <f t="shared" si="1"/>
        <v>-14721509</v>
      </c>
      <c r="R33" s="29">
        <f t="shared" si="0"/>
        <v>-448662</v>
      </c>
    </row>
    <row r="34" spans="1:18">
      <c r="A34" s="583">
        <v>17</v>
      </c>
      <c r="B34" s="583" t="s">
        <v>1766</v>
      </c>
      <c r="C34" s="589" t="s">
        <v>512</v>
      </c>
      <c r="D34" s="590" t="s">
        <v>1767</v>
      </c>
      <c r="E34" s="590" t="s">
        <v>754</v>
      </c>
      <c r="F34" s="590" t="s">
        <v>1239</v>
      </c>
      <c r="G34" s="591">
        <v>9990001</v>
      </c>
      <c r="H34" s="591" t="s">
        <v>1768</v>
      </c>
      <c r="I34" s="592">
        <f>+'27. mell. KHEK'!F36-I35</f>
        <v>96728307</v>
      </c>
      <c r="J34" s="592">
        <f>+'27. mell. KHEK'!G36-J35</f>
        <v>96980626</v>
      </c>
      <c r="K34" s="592">
        <f>+'27. mell. KHEK'!H36-K35</f>
        <v>98196026</v>
      </c>
      <c r="L34" s="592">
        <f>+'27. mell. KHEK'!I36-L35</f>
        <v>99775995</v>
      </c>
      <c r="M34" s="592">
        <f>+'27. mell. KHEK'!J42</f>
        <v>63785269</v>
      </c>
      <c r="N34" s="592"/>
      <c r="O34" s="597"/>
      <c r="P34" s="29"/>
      <c r="Q34" s="29">
        <f t="shared" si="1"/>
        <v>-60000</v>
      </c>
      <c r="R34" s="29">
        <f t="shared" si="0"/>
        <v>252319</v>
      </c>
    </row>
    <row r="35" spans="1:18">
      <c r="A35" s="583"/>
      <c r="B35" s="593" t="s">
        <v>1769</v>
      </c>
      <c r="C35" s="594"/>
      <c r="D35" s="595"/>
      <c r="E35" s="595"/>
      <c r="F35" s="595"/>
      <c r="G35" s="596"/>
      <c r="H35" s="596" t="s">
        <v>1735</v>
      </c>
      <c r="I35" s="597">
        <f>+'27. mell. KHEK'!F47</f>
        <v>925122</v>
      </c>
      <c r="J35" s="597">
        <f>+'27. mell. KHEK'!G47</f>
        <v>1394590</v>
      </c>
      <c r="K35" s="597">
        <f>+'27. mell. KHEK'!H47</f>
        <v>1394590</v>
      </c>
      <c r="L35" s="597">
        <f>+'27. mell. KHEK'!I47</f>
        <v>1400140</v>
      </c>
      <c r="M35" s="597">
        <f>+L35</f>
        <v>1400140</v>
      </c>
      <c r="N35" s="592"/>
      <c r="O35" s="597"/>
      <c r="P35" s="29"/>
      <c r="Q35" s="29">
        <f t="shared" si="1"/>
        <v>-2795369</v>
      </c>
      <c r="R35" s="29">
        <f t="shared" si="0"/>
        <v>469468</v>
      </c>
    </row>
    <row r="36" spans="1:18" ht="14.25" customHeight="1">
      <c r="A36" s="583"/>
      <c r="B36" s="583" t="s">
        <v>66</v>
      </c>
      <c r="C36" s="599"/>
      <c r="D36" s="591"/>
      <c r="E36" s="591"/>
      <c r="F36" s="591"/>
      <c r="G36" s="583"/>
      <c r="H36" s="591"/>
      <c r="I36" s="592">
        <f>SUM(I2:I35)</f>
        <v>14061925236</v>
      </c>
      <c r="J36" s="592">
        <f>SUM(J2:J35)</f>
        <v>14087982353</v>
      </c>
      <c r="K36" s="592">
        <f>SUM(K2:K35)</f>
        <v>14161081634</v>
      </c>
      <c r="L36" s="592">
        <f>SUM(L2:L35)</f>
        <v>14223900570</v>
      </c>
      <c r="M36" s="592">
        <f>SUM(M2:M32)-M3-M11-M15-M19-M23-M25-M27-M29-M31</f>
        <v>2175037260</v>
      </c>
      <c r="N36" s="592">
        <f>+K36-J36</f>
        <v>73099281</v>
      </c>
      <c r="O36" s="592">
        <f>+L36-K36</f>
        <v>62818936</v>
      </c>
      <c r="Q36" s="29">
        <f t="shared" si="1"/>
        <v>-5550</v>
      </c>
      <c r="R36" s="29">
        <f t="shared" si="0"/>
        <v>26057117</v>
      </c>
    </row>
    <row r="37" spans="1:18">
      <c r="H37" s="600" t="s">
        <v>1770</v>
      </c>
      <c r="I37" s="592">
        <f>+'8. mell. Intézmények összesen'!F36</f>
        <v>14061925236</v>
      </c>
      <c r="J37" s="592">
        <f>+'8. mell. Intézmények összesen'!G36</f>
        <v>14111982353</v>
      </c>
      <c r="K37" s="592">
        <f>+'8. mell. Intézmények összesen'!H36</f>
        <v>14255426934</v>
      </c>
      <c r="L37" s="592">
        <f>+'8. mell. Intézmények összesen'!I36</f>
        <v>14350648875</v>
      </c>
      <c r="M37" s="592">
        <v>4269210</v>
      </c>
      <c r="N37" s="583"/>
      <c r="O37" s="592">
        <f>+L37-K37</f>
        <v>95221941</v>
      </c>
      <c r="R37" s="29">
        <f t="shared" si="0"/>
        <v>50057117</v>
      </c>
    </row>
    <row r="38" spans="1:18">
      <c r="I38" s="29">
        <f>+I36-I37</f>
        <v>0</v>
      </c>
      <c r="J38" s="29">
        <f>+J36-J37</f>
        <v>-24000000</v>
      </c>
      <c r="K38" s="29">
        <f>+K36-K37</f>
        <v>-94345300</v>
      </c>
      <c r="L38" s="29">
        <f>+L36-L37</f>
        <v>-126748305</v>
      </c>
      <c r="P38">
        <v>4269210</v>
      </c>
    </row>
    <row r="39" spans="1:18">
      <c r="J39" s="29">
        <f>+I37-J37</f>
        <v>-50057117</v>
      </c>
      <c r="K39" s="29">
        <f>+J37-K37</f>
        <v>-143444581</v>
      </c>
      <c r="L39" s="29">
        <f>+K37-L37</f>
        <v>-95221941</v>
      </c>
      <c r="M39" s="29">
        <f>+L37-M37</f>
        <v>14346379665</v>
      </c>
      <c r="N39" s="29"/>
      <c r="O39" s="29"/>
      <c r="P39" s="29">
        <v>4269210</v>
      </c>
    </row>
    <row r="40" spans="1:18">
      <c r="P40" s="29">
        <f>+P38-P39</f>
        <v>0</v>
      </c>
    </row>
    <row r="42" spans="1:18">
      <c r="K42" t="s">
        <v>391</v>
      </c>
      <c r="L42" t="s">
        <v>1771</v>
      </c>
      <c r="M42" s="29">
        <f>+N36</f>
        <v>73099281</v>
      </c>
    </row>
    <row r="43" spans="1:18">
      <c r="L43" t="s">
        <v>1772</v>
      </c>
      <c r="M43" s="29">
        <v>4045</v>
      </c>
    </row>
    <row r="44" spans="1:18">
      <c r="L44" t="s">
        <v>44</v>
      </c>
      <c r="M44" s="29">
        <v>108049</v>
      </c>
    </row>
    <row r="45" spans="1:18">
      <c r="L45" t="s">
        <v>1773</v>
      </c>
      <c r="M45" s="29">
        <v>14326</v>
      </c>
    </row>
    <row r="46" spans="1:18">
      <c r="L46">
        <v>4</v>
      </c>
    </row>
    <row r="47" spans="1:18">
      <c r="L47">
        <v>5</v>
      </c>
    </row>
    <row r="48" spans="1:18">
      <c r="L48">
        <v>6</v>
      </c>
    </row>
    <row r="49" spans="12:18">
      <c r="L49">
        <v>7</v>
      </c>
      <c r="Q49" t="s">
        <v>1774</v>
      </c>
    </row>
    <row r="50" spans="12:18">
      <c r="Q50">
        <v>10773247</v>
      </c>
      <c r="R50" s="29" t="e">
        <f>+Q50-#REF!</f>
        <v>#REF!</v>
      </c>
    </row>
    <row r="52" spans="12:18">
      <c r="L52" t="s">
        <v>1775</v>
      </c>
      <c r="Q52">
        <v>10773247</v>
      </c>
      <c r="R52" s="29" t="e">
        <f>+Q52-#REF!</f>
        <v>#REF!</v>
      </c>
    </row>
  </sheetData>
  <sheetProtection selectLockedCells="1" selectUnlockedCells="1"/>
  <printOptions horizontalCentered="1"/>
  <pageMargins left="0.70833333333333337" right="0.70833333333333337" top="0.74791666666666667" bottom="0.74791666666666667" header="0.51180555555555551" footer="0.51180555555555551"/>
  <pageSetup paperSize="9" scale="95" firstPageNumber="0" orientation="landscape"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91896-F27B-4CF5-9782-20DA3BBB52CB}">
  <sheetPr>
    <tabColor indexed="14"/>
    <pageSetUpPr fitToPage="1"/>
  </sheetPr>
  <dimension ref="A1:AL81"/>
  <sheetViews>
    <sheetView view="pageBreakPreview" zoomScaleSheetLayoutView="100" workbookViewId="0">
      <pane xSplit="3" ySplit="6" topLeftCell="F7" activePane="bottomRight" state="frozen"/>
      <selection sqref="A1:AC1"/>
      <selection pane="topRight" sqref="A1:AC1"/>
      <selection pane="bottomLeft" sqref="A1:AC1"/>
      <selection pane="bottomRight" sqref="A1:AC1"/>
    </sheetView>
  </sheetViews>
  <sheetFormatPr defaultColWidth="8" defaultRowHeight="12.75"/>
  <cols>
    <col min="1" max="1" width="7.42578125" style="59" hidden="1" customWidth="1"/>
    <col min="2" max="2" width="7" style="547" customWidth="1"/>
    <col min="3" max="3" width="57" style="396" customWidth="1"/>
    <col min="4" max="5" width="11.7109375" style="396" hidden="1" customWidth="1"/>
    <col min="6" max="6" width="10.85546875" style="396" customWidth="1"/>
    <col min="7" max="8" width="10.85546875" style="396" hidden="1" customWidth="1"/>
    <col min="9" max="9" width="10.85546875" style="396" customWidth="1"/>
    <col min="10" max="10" width="10.85546875" style="396" hidden="1" customWidth="1"/>
    <col min="11" max="11" width="10.85546875" style="396" customWidth="1"/>
    <col min="12" max="14" width="10.85546875" style="396" hidden="1" customWidth="1"/>
    <col min="15" max="15" width="10.85546875" style="396" customWidth="1"/>
    <col min="16" max="16" width="10.85546875" style="396" hidden="1" customWidth="1"/>
    <col min="17" max="17" width="10.85546875" style="396" customWidth="1"/>
    <col min="18" max="20" width="10.85546875" style="396" hidden="1" customWidth="1"/>
    <col min="21" max="21" width="10.85546875" style="396" customWidth="1"/>
    <col min="22" max="22" width="10.85546875" style="396" hidden="1" customWidth="1"/>
    <col min="23" max="23" width="10.85546875" style="396" customWidth="1"/>
    <col min="24" max="29" width="10.85546875" style="396" hidden="1" customWidth="1"/>
    <col min="30" max="30" width="54.42578125" style="59" hidden="1" customWidth="1"/>
    <col min="31" max="31" width="10.85546875" style="396" hidden="1" customWidth="1"/>
    <col min="32" max="32" width="12.42578125" style="396" hidden="1" customWidth="1"/>
    <col min="33" max="33" width="14.42578125" style="396" hidden="1" customWidth="1"/>
    <col min="34" max="34" width="10.85546875" style="396" hidden="1" customWidth="1"/>
    <col min="35" max="35" width="12.140625" style="396" customWidth="1"/>
    <col min="36" max="36" width="11.85546875" style="547" hidden="1" customWidth="1"/>
    <col min="37" max="37" width="10.85546875" style="396" hidden="1" customWidth="1"/>
    <col min="38" max="38" width="11.28515625" style="396" customWidth="1"/>
    <col min="39" max="16384" width="8" style="396"/>
  </cols>
  <sheetData>
    <row r="1" spans="1:37" s="397" customFormat="1" ht="21" customHeight="1">
      <c r="A1" s="3663" t="s">
        <v>4282</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3663"/>
      <c r="AB1" s="3663"/>
      <c r="AC1" s="3663"/>
      <c r="AD1" s="3663"/>
      <c r="AE1" s="3663"/>
      <c r="AF1" s="3663"/>
      <c r="AG1" s="3663"/>
      <c r="AH1" s="3663"/>
      <c r="AI1" s="3663"/>
      <c r="AJ1" s="575"/>
    </row>
    <row r="2" spans="1:37" s="398" customFormat="1" ht="20.25" customHeight="1">
      <c r="A2" s="3665" t="s">
        <v>3839</v>
      </c>
      <c r="B2" s="3571"/>
      <c r="C2" s="3571"/>
      <c r="D2" s="3571"/>
      <c r="E2" s="3571"/>
      <c r="F2" s="3571"/>
      <c r="G2" s="3571"/>
      <c r="H2" s="3571"/>
      <c r="I2" s="3571"/>
      <c r="J2" s="3571"/>
      <c r="K2" s="3571"/>
      <c r="L2" s="3571"/>
      <c r="M2" s="3571"/>
      <c r="N2" s="3571"/>
      <c r="O2" s="3571"/>
      <c r="P2" s="3571"/>
      <c r="Q2" s="3571"/>
      <c r="R2" s="3571"/>
      <c r="S2" s="3571"/>
      <c r="T2" s="3571"/>
      <c r="U2" s="3571"/>
      <c r="V2" s="3571"/>
      <c r="W2" s="3571"/>
      <c r="X2" s="3571"/>
      <c r="Y2" s="3571"/>
      <c r="Z2" s="3571"/>
      <c r="AA2" s="3571"/>
      <c r="AB2" s="3571"/>
      <c r="AC2" s="3571"/>
      <c r="AD2" s="3571"/>
      <c r="AE2" s="3571"/>
      <c r="AF2" s="3571"/>
      <c r="AG2" s="3571"/>
      <c r="AH2" s="3571"/>
      <c r="AI2" s="3571"/>
      <c r="AJ2" s="576"/>
    </row>
    <row r="3" spans="1:37" s="398" customFormat="1" ht="15.75" hidden="1">
      <c r="A3" s="3664"/>
      <c r="B3" s="3647"/>
      <c r="C3" s="2179"/>
      <c r="D3" s="2179"/>
      <c r="E3" s="2179"/>
      <c r="F3" s="2180"/>
      <c r="G3" s="2180"/>
      <c r="H3" s="2180"/>
      <c r="I3" s="2180"/>
      <c r="J3" s="2180"/>
      <c r="K3" s="2180"/>
      <c r="L3" s="2180"/>
      <c r="M3" s="2180"/>
      <c r="N3" s="2180"/>
      <c r="O3" s="2180"/>
      <c r="P3" s="2180"/>
      <c r="Q3" s="2180"/>
      <c r="R3" s="2180"/>
      <c r="S3" s="2180"/>
      <c r="T3" s="2190"/>
      <c r="U3" s="2190"/>
      <c r="V3" s="2190"/>
      <c r="W3" s="2190"/>
      <c r="X3" s="2190"/>
      <c r="Y3" s="2190"/>
      <c r="Z3" s="2190"/>
      <c r="AA3" s="2190"/>
      <c r="AB3" s="2190"/>
      <c r="AC3" s="2190"/>
      <c r="AD3" s="2190"/>
      <c r="AE3" s="2191"/>
      <c r="AF3" s="2191"/>
      <c r="AG3" s="2191"/>
      <c r="AH3" s="2183"/>
      <c r="AI3" s="2184"/>
      <c r="AJ3" s="576"/>
    </row>
    <row r="4" spans="1:37" s="400" customFormat="1" ht="15.95" customHeight="1">
      <c r="A4" s="2089"/>
      <c r="B4" s="1415"/>
      <c r="C4" s="1548" t="str">
        <f>+'12. mell. Szakrendelő'!C4</f>
        <v>A</v>
      </c>
      <c r="D4" s="1548" t="str">
        <f>+'12. mell. Szakrendelő'!D4</f>
        <v>B</v>
      </c>
      <c r="E4" s="1548" t="s">
        <v>2729</v>
      </c>
      <c r="F4" s="1548" t="s">
        <v>2729</v>
      </c>
      <c r="G4" s="1548" t="str">
        <f>+'12. mell. Szakrendelő'!G4</f>
        <v>D</v>
      </c>
      <c r="H4" s="1548" t="str">
        <f>+'12. mell. Szakrendelő'!H4</f>
        <v>E</v>
      </c>
      <c r="I4" s="1548" t="str">
        <f>+'12. mell. Szakrendelő'!I4</f>
        <v>C</v>
      </c>
      <c r="J4" s="1548" t="str">
        <f>+'12. mell. Szakrendelő'!J4</f>
        <v>F</v>
      </c>
      <c r="K4" s="1548" t="str">
        <f>+'12. mell. Szakrendelő'!K4</f>
        <v>D</v>
      </c>
      <c r="L4" s="1548" t="str">
        <f>+'12. mell. Szakrendelő'!L4</f>
        <v>E</v>
      </c>
      <c r="M4" s="1548" t="str">
        <f>+'12. mell. Szakrendelő'!M4</f>
        <v>F</v>
      </c>
      <c r="N4" s="1548" t="s">
        <v>2733</v>
      </c>
      <c r="O4" s="1548" t="str">
        <f>+'12. mell. Szakrendelő'!O4</f>
        <v>E</v>
      </c>
      <c r="P4" s="1548">
        <f>+'12. mell. Szakrendelő'!P4</f>
        <v>0</v>
      </c>
      <c r="Q4" s="1548" t="str">
        <f>+'12. mell. Szakrendelő'!Q4</f>
        <v>F</v>
      </c>
      <c r="R4" s="1548" t="str">
        <f>+'12. mell. Szakrendelő'!R4</f>
        <v>E</v>
      </c>
      <c r="S4" s="1548" t="str">
        <f>+'12. mell. Szakrendelő'!S4</f>
        <v>E</v>
      </c>
      <c r="T4" s="1548" t="s">
        <v>3463</v>
      </c>
      <c r="U4" s="1548" t="str">
        <f>+'12. mell. Szakrendelő'!U4</f>
        <v>G</v>
      </c>
      <c r="V4" s="1548">
        <f>+'12. mell. Szakrendelő'!V4</f>
        <v>0</v>
      </c>
      <c r="W4" s="1548" t="str">
        <f>+'12. mell. Szakrendelő'!W4</f>
        <v>H</v>
      </c>
      <c r="X4" s="1343"/>
      <c r="Y4" s="1343"/>
      <c r="Z4" s="1343"/>
      <c r="AA4" s="1343"/>
      <c r="AB4" s="1343"/>
      <c r="AC4" s="1343"/>
      <c r="AD4" s="1343"/>
      <c r="AE4" s="1343"/>
      <c r="AF4" s="1301" t="s">
        <v>3464</v>
      </c>
      <c r="AG4" s="1301" t="s">
        <v>3913</v>
      </c>
      <c r="AH4" s="1551"/>
      <c r="AI4" s="1845" t="s">
        <v>3913</v>
      </c>
      <c r="AJ4" s="577"/>
    </row>
    <row r="5" spans="1:37" ht="74.25" customHeight="1">
      <c r="A5" s="2974" t="s">
        <v>6</v>
      </c>
      <c r="B5" s="1276" t="s">
        <v>6</v>
      </c>
      <c r="C5" s="1276" t="s">
        <v>475</v>
      </c>
      <c r="D5" s="2983" t="str">
        <f>+'1. mell.ÖSSZEVONT_MÉRLEG'!C5</f>
        <v>2024. évi eredeti előirányzat
forintban</v>
      </c>
      <c r="E5" s="2984" t="str">
        <f>+'1. mell.ÖSSZEVONT_MÉRLEG'!D5</f>
        <v>2024. évi teljesítés forintban</v>
      </c>
      <c r="F5" s="2983" t="str">
        <f>+'12. mell. Szakrendelő'!F5</f>
        <v>2025. évi eredeti előirányzat forintban</v>
      </c>
      <c r="G5" s="2983" t="str">
        <f>+'12. mell. Szakrendelő'!G5</f>
        <v>2025. évi I. számú módosított előirányzat
forintban</v>
      </c>
      <c r="H5" s="2983" t="str">
        <f>+'12. mell. Szakrendelő'!H5</f>
        <v>2025. évi II. számú módosított előirányzat forintban</v>
      </c>
      <c r="I5" s="2983" t="str">
        <f>+'12. mell. Szakrendelő'!I5</f>
        <v>2025. évi III. számú módosított előirányzat forintban</v>
      </c>
      <c r="J5" s="2983" t="str">
        <f>+'12. mell. Szakrendelő'!J5</f>
        <v>2025. évi IV. számú módosított előirányzat forintban</v>
      </c>
      <c r="K5" s="3216" t="str">
        <f>+'12. mell. Szakrendelő'!K5</f>
        <v>2025. évi
teljesítés forintban</v>
      </c>
      <c r="L5" s="2983" t="str">
        <f>+'12. mell. Szakrendelő'!L5</f>
        <v>Önként vállalt feladat forintban</v>
      </c>
      <c r="M5" s="2983" t="str">
        <f>+'12. mell. Szakrendelő'!M5</f>
        <v>Önként vállalt feladat I. módosítás
forintban</v>
      </c>
      <c r="N5" s="2983" t="str">
        <f>+'12. mell. Szakrendelő'!N5</f>
        <v>Önként vállalt feladat II. módosítás forintban</v>
      </c>
      <c r="O5" s="2983" t="str">
        <f>+'12. mell. Szakrendelő'!O5</f>
        <v>Önként vállalt feladat III. módosítás forintban</v>
      </c>
      <c r="P5" s="2983" t="str">
        <f>+'12. mell. Szakrendelő'!P5</f>
        <v>Önként vállalt feladat IV. módosítás  forintban</v>
      </c>
      <c r="Q5" s="2983" t="str">
        <f>+'12. mell. Szakrendelő'!Q5</f>
        <v>Önként vállalt teljesítés  forintban</v>
      </c>
      <c r="R5" s="2983" t="str">
        <f>+'12. mell. Szakrendelő'!R5</f>
        <v>Kötelező feladat forintban</v>
      </c>
      <c r="S5" s="2983" t="str">
        <f>+'12. mell. Szakrendelő'!S5</f>
        <v>Kötelező feladat 
I. módosítás
forintban</v>
      </c>
      <c r="T5" s="2983" t="str">
        <f>+'12. mell. Szakrendelő'!T5</f>
        <v>Kötelező feladat II. módosítás forintban</v>
      </c>
      <c r="U5" s="2983" t="str">
        <f>+'12. mell. Szakrendelő'!U5</f>
        <v>Kötelező feladat III. módosítás  forintban</v>
      </c>
      <c r="V5" s="2983" t="str">
        <f>+'12. mell. Szakrendelő'!V5</f>
        <v>Kötelező feladat IV. módosítás  forintban</v>
      </c>
      <c r="W5" s="2983" t="str">
        <f>+'12. mell. Szakrendelő'!W5</f>
        <v>Kötelező teljesítés  forintban</v>
      </c>
      <c r="X5" s="1276"/>
      <c r="Y5" s="1276"/>
      <c r="Z5" s="1276"/>
      <c r="AA5" s="1276"/>
      <c r="AB5" s="1276"/>
      <c r="AC5" s="1276"/>
      <c r="AD5" s="2953"/>
      <c r="AE5" s="1277" t="s">
        <v>1269</v>
      </c>
      <c r="AF5" s="2916" t="str">
        <f>+'8. mell. Intézmények összesen'!AF5</f>
        <v>Előirányzat-módosítások, előirányzat-átcsoportosítások összegszerű változásai</v>
      </c>
      <c r="AG5" s="2916" t="str">
        <f>+'8. mell. Intézmények összesen'!AG5</f>
        <v>Előirányzat-módosítások, előirányzat-átcsoportosítások összegszerű változásai a III. módosításnál</v>
      </c>
      <c r="AH5" s="2979" t="s">
        <v>1270</v>
      </c>
      <c r="AI5" s="1856" t="str">
        <f>+'1. mell.ÖSSZEVONT_MÉRLEG'!K5</f>
        <v xml:space="preserve"> 2025. évi teljesítés / 2025. évi III. számú módosított előirányzat</v>
      </c>
      <c r="AJ5" s="547" t="str">
        <f>+'9. mell. PMH'!AI5</f>
        <v>Változás Eredeti előző évhez 
Ft-ban</v>
      </c>
      <c r="AK5" s="2625"/>
    </row>
    <row r="6" spans="1:37" s="405" customFormat="1" ht="15.75" hidden="1">
      <c r="A6" s="2933">
        <f>+'9. mell. PMH'!A6</f>
        <v>1</v>
      </c>
      <c r="B6" s="1278">
        <f>+'9. mell. PMH'!B6</f>
        <v>2</v>
      </c>
      <c r="C6" s="1278">
        <f>+'9. mell. PMH'!C6</f>
        <v>3</v>
      </c>
      <c r="D6" s="1278">
        <f>+'9. mell. PMH'!D6</f>
        <v>4</v>
      </c>
      <c r="E6" s="2596"/>
      <c r="F6" s="1278">
        <f>+'9. mell. PMH'!F6</f>
        <v>5</v>
      </c>
      <c r="G6" s="1278">
        <f>+'9. mell. PMH'!G6</f>
        <v>5</v>
      </c>
      <c r="H6" s="1278">
        <f>+'9. mell. PMH'!H6</f>
        <v>6</v>
      </c>
      <c r="I6" s="1278">
        <f>+'9. mell. PMH'!I6</f>
        <v>7</v>
      </c>
      <c r="J6" s="1278">
        <f>+'9. mell. PMH'!J6</f>
        <v>7</v>
      </c>
      <c r="K6" s="3217">
        <f>+'9. mell. PMH'!K6</f>
        <v>0</v>
      </c>
      <c r="L6" s="1278">
        <f>+'9. mell. PMH'!L6</f>
        <v>6</v>
      </c>
      <c r="M6" s="1278">
        <f>+'9. mell. PMH'!M6</f>
        <v>6</v>
      </c>
      <c r="N6" s="1278">
        <f>+'9. mell. PMH'!N6</f>
        <v>7</v>
      </c>
      <c r="O6" s="1278">
        <f>+'9. mell. PMH'!O6</f>
        <v>8</v>
      </c>
      <c r="P6" s="1278">
        <f>+'9. mell. PMH'!P6</f>
        <v>0</v>
      </c>
      <c r="Q6" s="1278">
        <f>+'9. mell. PMH'!Q6</f>
        <v>7</v>
      </c>
      <c r="R6" s="1278">
        <f>+'9. mell. PMH'!R6</f>
        <v>7</v>
      </c>
      <c r="S6" s="1278">
        <f>+'9. mell. PMH'!S6</f>
        <v>7</v>
      </c>
      <c r="T6" s="1278">
        <f>+'9. mell. PMH'!T6</f>
        <v>8</v>
      </c>
      <c r="U6" s="1278">
        <f>+'9. mell. PMH'!U6</f>
        <v>9</v>
      </c>
      <c r="V6" s="1278">
        <f>+'9. mell. PMH'!V6</f>
        <v>0</v>
      </c>
      <c r="W6" s="1278">
        <f>+'9. mell. PMH'!W6</f>
        <v>8</v>
      </c>
      <c r="X6" s="1278"/>
      <c r="Y6" s="1278"/>
      <c r="Z6" s="1278"/>
      <c r="AA6" s="1278"/>
      <c r="AB6" s="1278"/>
      <c r="AC6" s="1278"/>
      <c r="AD6" s="1278"/>
      <c r="AE6" s="1278"/>
      <c r="AF6" s="1278"/>
      <c r="AG6" s="1278"/>
      <c r="AH6" s="1854"/>
      <c r="AI6" s="1825">
        <v>8</v>
      </c>
      <c r="AJ6" s="578" t="s">
        <v>1271</v>
      </c>
      <c r="AK6" s="2626"/>
    </row>
    <row r="7" spans="1:37" s="405" customFormat="1" ht="15.75" hidden="1">
      <c r="A7" s="2974"/>
      <c r="B7" s="1276"/>
      <c r="C7" s="1276" t="s">
        <v>390</v>
      </c>
      <c r="D7" s="1276"/>
      <c r="E7" s="2714"/>
      <c r="F7" s="1276"/>
      <c r="G7" s="1276"/>
      <c r="H7" s="1276"/>
      <c r="I7" s="1276"/>
      <c r="J7" s="1276"/>
      <c r="K7" s="3218"/>
      <c r="L7" s="1276"/>
      <c r="M7" s="1276"/>
      <c r="N7" s="1276"/>
      <c r="O7" s="1276"/>
      <c r="P7" s="1276"/>
      <c r="Q7" s="1276"/>
      <c r="R7" s="1276"/>
      <c r="S7" s="1276"/>
      <c r="T7" s="1276"/>
      <c r="U7" s="1276"/>
      <c r="V7" s="1276"/>
      <c r="W7" s="1276"/>
      <c r="X7" s="1276"/>
      <c r="Y7" s="1276"/>
      <c r="Z7" s="1276"/>
      <c r="AA7" s="1276"/>
      <c r="AB7" s="1276"/>
      <c r="AC7" s="1276"/>
      <c r="AD7" s="1281"/>
      <c r="AE7" s="1276"/>
      <c r="AF7" s="1276"/>
      <c r="AG7" s="1276"/>
      <c r="AH7" s="2980"/>
      <c r="AI7" s="1857"/>
      <c r="AK7" s="317"/>
    </row>
    <row r="8" spans="1:37" s="416" customFormat="1" ht="15">
      <c r="A8" s="2933"/>
      <c r="B8" s="1282" t="s">
        <v>3353</v>
      </c>
      <c r="C8" s="1283" t="s">
        <v>1276</v>
      </c>
      <c r="D8" s="1213">
        <f t="shared" ref="D8:W8" si="0">SUM(D9:D19)</f>
        <v>0</v>
      </c>
      <c r="E8" s="2715">
        <f t="shared" si="0"/>
        <v>0</v>
      </c>
      <c r="F8" s="1213">
        <f t="shared" si="0"/>
        <v>424000000</v>
      </c>
      <c r="G8" s="1213">
        <f t="shared" si="0"/>
        <v>400000000</v>
      </c>
      <c r="H8" s="1213">
        <f t="shared" si="0"/>
        <v>330000000</v>
      </c>
      <c r="I8" s="1213">
        <f t="shared" si="0"/>
        <v>141276504</v>
      </c>
      <c r="J8" s="1213">
        <f t="shared" si="0"/>
        <v>141276504</v>
      </c>
      <c r="K8" s="3208">
        <f t="shared" si="0"/>
        <v>141276504</v>
      </c>
      <c r="L8" s="1213">
        <f t="shared" si="0"/>
        <v>424000000</v>
      </c>
      <c r="M8" s="1213">
        <f t="shared" si="0"/>
        <v>400000000</v>
      </c>
      <c r="N8" s="1213">
        <f t="shared" si="0"/>
        <v>330000000</v>
      </c>
      <c r="O8" s="1213">
        <f t="shared" si="0"/>
        <v>141276504</v>
      </c>
      <c r="P8" s="1213">
        <f t="shared" si="0"/>
        <v>141276504</v>
      </c>
      <c r="Q8" s="1213">
        <f t="shared" si="0"/>
        <v>141276504</v>
      </c>
      <c r="R8" s="1213">
        <f t="shared" si="0"/>
        <v>0</v>
      </c>
      <c r="S8" s="1213">
        <f t="shared" si="0"/>
        <v>0</v>
      </c>
      <c r="T8" s="1213">
        <f t="shared" si="0"/>
        <v>0</v>
      </c>
      <c r="U8" s="1213">
        <f t="shared" si="0"/>
        <v>0</v>
      </c>
      <c r="V8" s="1213">
        <f t="shared" si="0"/>
        <v>0</v>
      </c>
      <c r="W8" s="1213">
        <f t="shared" si="0"/>
        <v>0</v>
      </c>
      <c r="X8" s="1213"/>
      <c r="Y8" s="1213"/>
      <c r="Z8" s="1213"/>
      <c r="AA8" s="1213"/>
      <c r="AB8" s="1213"/>
      <c r="AC8" s="1213"/>
      <c r="AD8" s="1284"/>
      <c r="AE8" s="1213">
        <f t="shared" ref="AE8:AH56" si="1">+G8-F8</f>
        <v>-24000000</v>
      </c>
      <c r="AF8" s="1213">
        <f t="shared" si="1"/>
        <v>-70000000</v>
      </c>
      <c r="AG8" s="1213">
        <f t="shared" si="1"/>
        <v>-188723496</v>
      </c>
      <c r="AH8" s="2919">
        <f t="shared" si="1"/>
        <v>0</v>
      </c>
      <c r="AI8" s="1829">
        <f>+K8/I8</f>
        <v>1</v>
      </c>
      <c r="AJ8" s="579">
        <f>+F8-D8</f>
        <v>424000000</v>
      </c>
      <c r="AK8" s="322"/>
    </row>
    <row r="9" spans="1:37" s="416" customFormat="1" ht="15">
      <c r="A9" s="2933"/>
      <c r="B9" s="1285" t="s">
        <v>176</v>
      </c>
      <c r="C9" s="1286" t="s">
        <v>226</v>
      </c>
      <c r="D9" s="1287">
        <v>0</v>
      </c>
      <c r="E9" s="2716">
        <v>0</v>
      </c>
      <c r="F9" s="1287">
        <v>0</v>
      </c>
      <c r="G9" s="1287">
        <f t="shared" ref="G9:J19" si="2">+F9</f>
        <v>0</v>
      </c>
      <c r="H9" s="1287">
        <f t="shared" si="2"/>
        <v>0</v>
      </c>
      <c r="I9" s="1287">
        <f>+H9+24205</f>
        <v>24205</v>
      </c>
      <c r="J9" s="1287">
        <f t="shared" si="2"/>
        <v>24205</v>
      </c>
      <c r="K9" s="3219">
        <v>24205</v>
      </c>
      <c r="L9" s="1287">
        <f>+F9</f>
        <v>0</v>
      </c>
      <c r="M9" s="1287">
        <f t="shared" ref="M9:P19" si="3">+L9</f>
        <v>0</v>
      </c>
      <c r="N9" s="1287">
        <f t="shared" si="3"/>
        <v>0</v>
      </c>
      <c r="O9" s="1287">
        <f>+N9+24205</f>
        <v>24205</v>
      </c>
      <c r="P9" s="1287">
        <f t="shared" si="3"/>
        <v>24205</v>
      </c>
      <c r="Q9" s="1287">
        <f t="shared" ref="Q9:Q19" si="4">+K9</f>
        <v>24205</v>
      </c>
      <c r="R9" s="1287">
        <v>0</v>
      </c>
      <c r="S9" s="1287">
        <f t="shared" ref="S9:V19" si="5">+R9</f>
        <v>0</v>
      </c>
      <c r="T9" s="1287">
        <f t="shared" si="5"/>
        <v>0</v>
      </c>
      <c r="U9" s="1287">
        <f t="shared" si="5"/>
        <v>0</v>
      </c>
      <c r="V9" s="1287">
        <f t="shared" si="5"/>
        <v>0</v>
      </c>
      <c r="W9" s="1287">
        <v>0</v>
      </c>
      <c r="X9" s="1287"/>
      <c r="Y9" s="1287">
        <f t="shared" ref="Y9:AC17" si="6">+X9</f>
        <v>0</v>
      </c>
      <c r="Z9" s="1287">
        <f t="shared" si="6"/>
        <v>0</v>
      </c>
      <c r="AA9" s="1287">
        <f t="shared" si="6"/>
        <v>0</v>
      </c>
      <c r="AB9" s="1287">
        <f t="shared" si="6"/>
        <v>0</v>
      </c>
      <c r="AC9" s="1287">
        <f t="shared" si="6"/>
        <v>0</v>
      </c>
      <c r="AD9" s="1284"/>
      <c r="AE9" s="1213">
        <f t="shared" si="1"/>
        <v>0</v>
      </c>
      <c r="AF9" s="1213">
        <f t="shared" si="1"/>
        <v>0</v>
      </c>
      <c r="AG9" s="1213">
        <f t="shared" si="1"/>
        <v>24205</v>
      </c>
      <c r="AH9" s="2919">
        <f t="shared" si="1"/>
        <v>0</v>
      </c>
      <c r="AI9" s="1834">
        <f>+K9/I9</f>
        <v>1</v>
      </c>
      <c r="AJ9" s="579">
        <f t="shared" ref="AJ9:AJ37" si="7">+F9-D9</f>
        <v>0</v>
      </c>
      <c r="AK9" s="329"/>
    </row>
    <row r="10" spans="1:37" s="416" customFormat="1" ht="15">
      <c r="A10" s="2933"/>
      <c r="B10" s="1285" t="s">
        <v>178</v>
      </c>
      <c r="C10" s="1286" t="s">
        <v>228</v>
      </c>
      <c r="D10" s="1287">
        <v>0</v>
      </c>
      <c r="E10" s="2716">
        <v>0</v>
      </c>
      <c r="F10" s="1287">
        <v>67391280</v>
      </c>
      <c r="G10" s="1287">
        <f>+F10-24000000</f>
        <v>43391280</v>
      </c>
      <c r="H10" s="1287">
        <f t="shared" si="2"/>
        <v>43391280</v>
      </c>
      <c r="I10" s="1287">
        <f>+H10-43391280</f>
        <v>0</v>
      </c>
      <c r="J10" s="1287">
        <f t="shared" si="2"/>
        <v>0</v>
      </c>
      <c r="K10" s="3219">
        <v>0</v>
      </c>
      <c r="L10" s="1287">
        <f>+F10</f>
        <v>67391280</v>
      </c>
      <c r="M10" s="1287">
        <f>+L10-24000000</f>
        <v>43391280</v>
      </c>
      <c r="N10" s="1287">
        <f t="shared" si="3"/>
        <v>43391280</v>
      </c>
      <c r="O10" s="1287">
        <f>+N10-43391280</f>
        <v>0</v>
      </c>
      <c r="P10" s="1287">
        <f t="shared" si="3"/>
        <v>0</v>
      </c>
      <c r="Q10" s="1287">
        <f t="shared" si="4"/>
        <v>0</v>
      </c>
      <c r="R10" s="1287">
        <v>0</v>
      </c>
      <c r="S10" s="1287">
        <f t="shared" si="5"/>
        <v>0</v>
      </c>
      <c r="T10" s="1287">
        <f t="shared" si="5"/>
        <v>0</v>
      </c>
      <c r="U10" s="1287">
        <f t="shared" si="5"/>
        <v>0</v>
      </c>
      <c r="V10" s="1287">
        <f t="shared" si="5"/>
        <v>0</v>
      </c>
      <c r="W10" s="1287">
        <v>0</v>
      </c>
      <c r="X10" s="1287"/>
      <c r="Y10" s="1287">
        <f t="shared" si="6"/>
        <v>0</v>
      </c>
      <c r="Z10" s="1287">
        <f t="shared" si="6"/>
        <v>0</v>
      </c>
      <c r="AA10" s="1287">
        <f t="shared" si="6"/>
        <v>0</v>
      </c>
      <c r="AB10" s="1287">
        <f t="shared" si="6"/>
        <v>0</v>
      </c>
      <c r="AC10" s="1287">
        <f t="shared" si="6"/>
        <v>0</v>
      </c>
      <c r="AD10" s="1284"/>
      <c r="AE10" s="1213">
        <f t="shared" si="1"/>
        <v>-24000000</v>
      </c>
      <c r="AF10" s="1213">
        <f t="shared" si="1"/>
        <v>0</v>
      </c>
      <c r="AG10" s="1213">
        <f t="shared" si="1"/>
        <v>-43391280</v>
      </c>
      <c r="AH10" s="2919">
        <f t="shared" si="1"/>
        <v>0</v>
      </c>
      <c r="AI10" s="1834"/>
      <c r="AJ10" s="579">
        <f t="shared" si="7"/>
        <v>67391280</v>
      </c>
      <c r="AK10" s="329"/>
    </row>
    <row r="11" spans="1:37" s="416" customFormat="1" ht="15">
      <c r="A11" s="2933"/>
      <c r="B11" s="1289" t="s">
        <v>179</v>
      </c>
      <c r="C11" s="1286" t="s">
        <v>460</v>
      </c>
      <c r="D11" s="1287">
        <v>0</v>
      </c>
      <c r="E11" s="2716">
        <v>0</v>
      </c>
      <c r="F11" s="1287">
        <v>0</v>
      </c>
      <c r="G11" s="1287">
        <f t="shared" si="2"/>
        <v>0</v>
      </c>
      <c r="H11" s="1287">
        <f t="shared" si="2"/>
        <v>0</v>
      </c>
      <c r="I11" s="1287">
        <f t="shared" si="2"/>
        <v>0</v>
      </c>
      <c r="J11" s="1287">
        <f t="shared" si="2"/>
        <v>0</v>
      </c>
      <c r="K11" s="3219">
        <v>0</v>
      </c>
      <c r="L11" s="1287">
        <v>0</v>
      </c>
      <c r="M11" s="1287">
        <f t="shared" si="3"/>
        <v>0</v>
      </c>
      <c r="N11" s="1287">
        <f t="shared" si="3"/>
        <v>0</v>
      </c>
      <c r="O11" s="1287">
        <f t="shared" si="3"/>
        <v>0</v>
      </c>
      <c r="P11" s="1287">
        <f t="shared" si="3"/>
        <v>0</v>
      </c>
      <c r="Q11" s="1287">
        <f t="shared" si="4"/>
        <v>0</v>
      </c>
      <c r="R11" s="1287">
        <v>0</v>
      </c>
      <c r="S11" s="1287">
        <f t="shared" si="5"/>
        <v>0</v>
      </c>
      <c r="T11" s="1287">
        <f t="shared" si="5"/>
        <v>0</v>
      </c>
      <c r="U11" s="1287">
        <f t="shared" si="5"/>
        <v>0</v>
      </c>
      <c r="V11" s="1287">
        <f t="shared" si="5"/>
        <v>0</v>
      </c>
      <c r="W11" s="1287">
        <v>0</v>
      </c>
      <c r="X11" s="1287"/>
      <c r="Y11" s="1287">
        <f t="shared" si="6"/>
        <v>0</v>
      </c>
      <c r="Z11" s="1287">
        <f t="shared" si="6"/>
        <v>0</v>
      </c>
      <c r="AA11" s="1287">
        <f t="shared" si="6"/>
        <v>0</v>
      </c>
      <c r="AB11" s="1287">
        <f t="shared" si="6"/>
        <v>0</v>
      </c>
      <c r="AC11" s="1287">
        <f t="shared" si="6"/>
        <v>0</v>
      </c>
      <c r="AD11" s="1284"/>
      <c r="AE11" s="1213">
        <f t="shared" si="1"/>
        <v>0</v>
      </c>
      <c r="AF11" s="1213">
        <f t="shared" si="1"/>
        <v>0</v>
      </c>
      <c r="AG11" s="1213">
        <f t="shared" si="1"/>
        <v>0</v>
      </c>
      <c r="AH11" s="2919">
        <f t="shared" si="1"/>
        <v>0</v>
      </c>
      <c r="AI11" s="1834"/>
      <c r="AJ11" s="579">
        <f t="shared" si="7"/>
        <v>0</v>
      </c>
      <c r="AK11" s="329"/>
    </row>
    <row r="12" spans="1:37" s="416" customFormat="1" ht="15">
      <c r="A12" s="2933"/>
      <c r="B12" s="1289" t="s">
        <v>180</v>
      </c>
      <c r="C12" s="1286" t="s">
        <v>232</v>
      </c>
      <c r="D12" s="1287">
        <v>0</v>
      </c>
      <c r="E12" s="2716">
        <v>0</v>
      </c>
      <c r="F12" s="1287">
        <v>0</v>
      </c>
      <c r="G12" s="1287">
        <f t="shared" si="2"/>
        <v>0</v>
      </c>
      <c r="H12" s="1287">
        <f t="shared" si="2"/>
        <v>0</v>
      </c>
      <c r="I12" s="1287">
        <f t="shared" si="2"/>
        <v>0</v>
      </c>
      <c r="J12" s="1287">
        <f t="shared" si="2"/>
        <v>0</v>
      </c>
      <c r="K12" s="3219">
        <v>0</v>
      </c>
      <c r="L12" s="1287">
        <v>0</v>
      </c>
      <c r="M12" s="1287">
        <f t="shared" si="3"/>
        <v>0</v>
      </c>
      <c r="N12" s="1287">
        <f t="shared" si="3"/>
        <v>0</v>
      </c>
      <c r="O12" s="1287">
        <f t="shared" si="3"/>
        <v>0</v>
      </c>
      <c r="P12" s="1287">
        <f t="shared" si="3"/>
        <v>0</v>
      </c>
      <c r="Q12" s="1287">
        <f t="shared" si="4"/>
        <v>0</v>
      </c>
      <c r="R12" s="1287">
        <v>0</v>
      </c>
      <c r="S12" s="1287">
        <f t="shared" si="5"/>
        <v>0</v>
      </c>
      <c r="T12" s="1287">
        <f t="shared" si="5"/>
        <v>0</v>
      </c>
      <c r="U12" s="1287">
        <f t="shared" si="5"/>
        <v>0</v>
      </c>
      <c r="V12" s="1287">
        <f t="shared" si="5"/>
        <v>0</v>
      </c>
      <c r="W12" s="1287">
        <v>0</v>
      </c>
      <c r="X12" s="1287"/>
      <c r="Y12" s="1287">
        <f t="shared" si="6"/>
        <v>0</v>
      </c>
      <c r="Z12" s="1287">
        <f t="shared" si="6"/>
        <v>0</v>
      </c>
      <c r="AA12" s="1287">
        <f t="shared" si="6"/>
        <v>0</v>
      </c>
      <c r="AB12" s="1287">
        <f t="shared" si="6"/>
        <v>0</v>
      </c>
      <c r="AC12" s="1287">
        <f t="shared" si="6"/>
        <v>0</v>
      </c>
      <c r="AD12" s="1284"/>
      <c r="AE12" s="1213">
        <f t="shared" si="1"/>
        <v>0</v>
      </c>
      <c r="AF12" s="1213">
        <f t="shared" si="1"/>
        <v>0</v>
      </c>
      <c r="AG12" s="1213">
        <f t="shared" si="1"/>
        <v>0</v>
      </c>
      <c r="AH12" s="2919">
        <f t="shared" si="1"/>
        <v>0</v>
      </c>
      <c r="AI12" s="1834"/>
      <c r="AJ12" s="579">
        <f t="shared" si="7"/>
        <v>0</v>
      </c>
      <c r="AK12" s="329"/>
    </row>
    <row r="13" spans="1:37" s="416" customFormat="1" ht="15">
      <c r="A13" s="2933"/>
      <c r="B13" s="1289" t="s">
        <v>181</v>
      </c>
      <c r="C13" s="1286" t="s">
        <v>234</v>
      </c>
      <c r="D13" s="1287">
        <v>0</v>
      </c>
      <c r="E13" s="2716">
        <v>0</v>
      </c>
      <c r="F13" s="1287">
        <f>44967496+299500000</f>
        <v>344467496</v>
      </c>
      <c r="G13" s="1287">
        <f t="shared" si="2"/>
        <v>344467496</v>
      </c>
      <c r="H13" s="1287">
        <f>+G13-20000000-50000000</f>
        <v>274467496</v>
      </c>
      <c r="I13" s="1287">
        <f>+H13-133546196</f>
        <v>140921300</v>
      </c>
      <c r="J13" s="1287">
        <f t="shared" si="2"/>
        <v>140921300</v>
      </c>
      <c r="K13" s="3219">
        <v>140921300</v>
      </c>
      <c r="L13" s="1287">
        <f>+F13</f>
        <v>344467496</v>
      </c>
      <c r="M13" s="1287">
        <f t="shared" si="3"/>
        <v>344467496</v>
      </c>
      <c r="N13" s="1287">
        <f>+M13-20000000-50000000</f>
        <v>274467496</v>
      </c>
      <c r="O13" s="1287">
        <f>+N13-133546196</f>
        <v>140921300</v>
      </c>
      <c r="P13" s="1287">
        <f t="shared" si="3"/>
        <v>140921300</v>
      </c>
      <c r="Q13" s="1287">
        <f t="shared" si="4"/>
        <v>140921300</v>
      </c>
      <c r="R13" s="1287">
        <v>0</v>
      </c>
      <c r="S13" s="1287">
        <f t="shared" si="5"/>
        <v>0</v>
      </c>
      <c r="T13" s="1287">
        <f t="shared" si="5"/>
        <v>0</v>
      </c>
      <c r="U13" s="1287">
        <f t="shared" si="5"/>
        <v>0</v>
      </c>
      <c r="V13" s="1287">
        <f t="shared" si="5"/>
        <v>0</v>
      </c>
      <c r="W13" s="1287">
        <v>0</v>
      </c>
      <c r="X13" s="1287"/>
      <c r="Y13" s="1287">
        <f t="shared" si="6"/>
        <v>0</v>
      </c>
      <c r="Z13" s="1287">
        <f t="shared" si="6"/>
        <v>0</v>
      </c>
      <c r="AA13" s="1287">
        <f t="shared" si="6"/>
        <v>0</v>
      </c>
      <c r="AB13" s="1287">
        <f t="shared" si="6"/>
        <v>0</v>
      </c>
      <c r="AC13" s="1287">
        <f t="shared" si="6"/>
        <v>0</v>
      </c>
      <c r="AD13" s="1284"/>
      <c r="AE13" s="1213">
        <f t="shared" si="1"/>
        <v>0</v>
      </c>
      <c r="AF13" s="1213">
        <f t="shared" si="1"/>
        <v>-70000000</v>
      </c>
      <c r="AG13" s="1213">
        <f t="shared" si="1"/>
        <v>-133546196</v>
      </c>
      <c r="AH13" s="2919">
        <f t="shared" si="1"/>
        <v>0</v>
      </c>
      <c r="AI13" s="1834">
        <f>+K13/I13</f>
        <v>1</v>
      </c>
      <c r="AJ13" s="579">
        <f t="shared" si="7"/>
        <v>344467496</v>
      </c>
      <c r="AK13" s="329"/>
    </row>
    <row r="14" spans="1:37" s="416" customFormat="1" ht="15">
      <c r="A14" s="2933"/>
      <c r="B14" s="1289" t="s">
        <v>183</v>
      </c>
      <c r="C14" s="1286" t="s">
        <v>887</v>
      </c>
      <c r="D14" s="1287">
        <v>0</v>
      </c>
      <c r="E14" s="2716">
        <v>0</v>
      </c>
      <c r="F14" s="1287">
        <v>12141224</v>
      </c>
      <c r="G14" s="1287">
        <f t="shared" si="2"/>
        <v>12141224</v>
      </c>
      <c r="H14" s="1287">
        <f t="shared" si="2"/>
        <v>12141224</v>
      </c>
      <c r="I14" s="1287">
        <f>+H14-12139368</f>
        <v>1856</v>
      </c>
      <c r="J14" s="1287">
        <f t="shared" si="2"/>
        <v>1856</v>
      </c>
      <c r="K14" s="3219">
        <v>1856</v>
      </c>
      <c r="L14" s="1287">
        <f>+F14</f>
        <v>12141224</v>
      </c>
      <c r="M14" s="1287">
        <f t="shared" si="3"/>
        <v>12141224</v>
      </c>
      <c r="N14" s="1287">
        <f t="shared" si="3"/>
        <v>12141224</v>
      </c>
      <c r="O14" s="1287">
        <f>+N14-12139368</f>
        <v>1856</v>
      </c>
      <c r="P14" s="1287">
        <f t="shared" si="3"/>
        <v>1856</v>
      </c>
      <c r="Q14" s="1287">
        <f t="shared" si="4"/>
        <v>1856</v>
      </c>
      <c r="R14" s="1287">
        <v>0</v>
      </c>
      <c r="S14" s="1287">
        <f t="shared" si="5"/>
        <v>0</v>
      </c>
      <c r="T14" s="1287">
        <f t="shared" si="5"/>
        <v>0</v>
      </c>
      <c r="U14" s="1287">
        <f t="shared" si="5"/>
        <v>0</v>
      </c>
      <c r="V14" s="1287">
        <f t="shared" si="5"/>
        <v>0</v>
      </c>
      <c r="W14" s="1287">
        <v>0</v>
      </c>
      <c r="X14" s="1287"/>
      <c r="Y14" s="1287">
        <f t="shared" si="6"/>
        <v>0</v>
      </c>
      <c r="Z14" s="1287">
        <f t="shared" si="6"/>
        <v>0</v>
      </c>
      <c r="AA14" s="1287">
        <f t="shared" si="6"/>
        <v>0</v>
      </c>
      <c r="AB14" s="1287">
        <f t="shared" si="6"/>
        <v>0</v>
      </c>
      <c r="AC14" s="1287">
        <f t="shared" si="6"/>
        <v>0</v>
      </c>
      <c r="AD14" s="1284"/>
      <c r="AE14" s="1213">
        <f t="shared" si="1"/>
        <v>0</v>
      </c>
      <c r="AF14" s="1213">
        <f t="shared" si="1"/>
        <v>0</v>
      </c>
      <c r="AG14" s="1213">
        <f t="shared" si="1"/>
        <v>-12139368</v>
      </c>
      <c r="AH14" s="2919">
        <f t="shared" si="1"/>
        <v>0</v>
      </c>
      <c r="AI14" s="1834">
        <f>+K14/I14</f>
        <v>1</v>
      </c>
      <c r="AJ14" s="579">
        <f t="shared" si="7"/>
        <v>12141224</v>
      </c>
      <c r="AK14" s="329"/>
    </row>
    <row r="15" spans="1:37" s="416" customFormat="1" ht="15">
      <c r="A15" s="2933"/>
      <c r="B15" s="1289" t="s">
        <v>321</v>
      </c>
      <c r="C15" s="1290" t="s">
        <v>238</v>
      </c>
      <c r="D15" s="1287">
        <v>0</v>
      </c>
      <c r="E15" s="2716">
        <v>0</v>
      </c>
      <c r="F15" s="1287">
        <v>0</v>
      </c>
      <c r="G15" s="1287">
        <f>+F15</f>
        <v>0</v>
      </c>
      <c r="H15" s="1287">
        <f t="shared" si="2"/>
        <v>0</v>
      </c>
      <c r="I15" s="1287">
        <f t="shared" si="2"/>
        <v>0</v>
      </c>
      <c r="J15" s="1287">
        <f t="shared" si="2"/>
        <v>0</v>
      </c>
      <c r="K15" s="3219">
        <v>0</v>
      </c>
      <c r="L15" s="1287">
        <v>0</v>
      </c>
      <c r="M15" s="1287">
        <f>+L15</f>
        <v>0</v>
      </c>
      <c r="N15" s="1287">
        <f t="shared" si="3"/>
        <v>0</v>
      </c>
      <c r="O15" s="1287">
        <f t="shared" si="3"/>
        <v>0</v>
      </c>
      <c r="P15" s="1287">
        <f t="shared" si="3"/>
        <v>0</v>
      </c>
      <c r="Q15" s="1287">
        <f t="shared" si="4"/>
        <v>0</v>
      </c>
      <c r="R15" s="1287">
        <v>0</v>
      </c>
      <c r="S15" s="1287">
        <f t="shared" si="5"/>
        <v>0</v>
      </c>
      <c r="T15" s="1287">
        <f t="shared" si="5"/>
        <v>0</v>
      </c>
      <c r="U15" s="1287">
        <f t="shared" si="5"/>
        <v>0</v>
      </c>
      <c r="V15" s="1287">
        <f t="shared" si="5"/>
        <v>0</v>
      </c>
      <c r="W15" s="1287">
        <v>0</v>
      </c>
      <c r="X15" s="1287"/>
      <c r="Y15" s="1287">
        <f t="shared" si="6"/>
        <v>0</v>
      </c>
      <c r="Z15" s="1287">
        <f t="shared" si="6"/>
        <v>0</v>
      </c>
      <c r="AA15" s="1287">
        <f t="shared" si="6"/>
        <v>0</v>
      </c>
      <c r="AB15" s="1287">
        <f t="shared" si="6"/>
        <v>0</v>
      </c>
      <c r="AC15" s="1287">
        <f t="shared" si="6"/>
        <v>0</v>
      </c>
      <c r="AD15" s="1665"/>
      <c r="AE15" s="1213">
        <f t="shared" si="1"/>
        <v>0</v>
      </c>
      <c r="AF15" s="1213">
        <f t="shared" si="1"/>
        <v>0</v>
      </c>
      <c r="AG15" s="1213">
        <f t="shared" si="1"/>
        <v>0</v>
      </c>
      <c r="AH15" s="2919">
        <f t="shared" si="1"/>
        <v>0</v>
      </c>
      <c r="AI15" s="1834"/>
      <c r="AJ15" s="579">
        <f t="shared" si="7"/>
        <v>0</v>
      </c>
      <c r="AK15" s="329"/>
    </row>
    <row r="16" spans="1:37" s="416" customFormat="1" ht="15">
      <c r="A16" s="2933"/>
      <c r="B16" s="1289" t="s">
        <v>323</v>
      </c>
      <c r="C16" s="1286" t="s">
        <v>1277</v>
      </c>
      <c r="D16" s="1287">
        <v>0</v>
      </c>
      <c r="E16" s="2716">
        <v>0</v>
      </c>
      <c r="F16" s="1287">
        <v>0</v>
      </c>
      <c r="G16" s="1287">
        <f t="shared" si="2"/>
        <v>0</v>
      </c>
      <c r="H16" s="1287">
        <f t="shared" si="2"/>
        <v>0</v>
      </c>
      <c r="I16" s="1287">
        <f>+H16+329143</f>
        <v>329143</v>
      </c>
      <c r="J16" s="1287">
        <f t="shared" si="2"/>
        <v>329143</v>
      </c>
      <c r="K16" s="3219">
        <v>329143</v>
      </c>
      <c r="L16" s="1287">
        <f>+F16</f>
        <v>0</v>
      </c>
      <c r="M16" s="1287">
        <f t="shared" si="3"/>
        <v>0</v>
      </c>
      <c r="N16" s="1287">
        <f t="shared" si="3"/>
        <v>0</v>
      </c>
      <c r="O16" s="1287">
        <f>+N16+329143</f>
        <v>329143</v>
      </c>
      <c r="P16" s="1287">
        <f t="shared" si="3"/>
        <v>329143</v>
      </c>
      <c r="Q16" s="1287">
        <f t="shared" si="4"/>
        <v>329143</v>
      </c>
      <c r="R16" s="1287">
        <v>0</v>
      </c>
      <c r="S16" s="1287">
        <f t="shared" si="5"/>
        <v>0</v>
      </c>
      <c r="T16" s="1287">
        <f t="shared" si="5"/>
        <v>0</v>
      </c>
      <c r="U16" s="1287">
        <f t="shared" si="5"/>
        <v>0</v>
      </c>
      <c r="V16" s="1287">
        <f t="shared" si="5"/>
        <v>0</v>
      </c>
      <c r="W16" s="1287">
        <v>0</v>
      </c>
      <c r="X16" s="1287"/>
      <c r="Y16" s="1287">
        <f t="shared" si="6"/>
        <v>0</v>
      </c>
      <c r="Z16" s="1287">
        <f t="shared" si="6"/>
        <v>0</v>
      </c>
      <c r="AA16" s="1287">
        <f t="shared" si="6"/>
        <v>0</v>
      </c>
      <c r="AB16" s="1287">
        <f t="shared" si="6"/>
        <v>0</v>
      </c>
      <c r="AC16" s="1287">
        <f t="shared" si="6"/>
        <v>0</v>
      </c>
      <c r="AD16" s="1284"/>
      <c r="AE16" s="1213">
        <f t="shared" si="1"/>
        <v>0</v>
      </c>
      <c r="AF16" s="1213">
        <f t="shared" si="1"/>
        <v>0</v>
      </c>
      <c r="AG16" s="1213">
        <f t="shared" si="1"/>
        <v>329143</v>
      </c>
      <c r="AH16" s="2919">
        <f t="shared" si="1"/>
        <v>0</v>
      </c>
      <c r="AI16" s="1834">
        <f>+K16/I16</f>
        <v>1</v>
      </c>
      <c r="AJ16" s="579">
        <f t="shared" si="7"/>
        <v>0</v>
      </c>
      <c r="AK16" s="329"/>
    </row>
    <row r="17" spans="1:37" s="416" customFormat="1" ht="15">
      <c r="A17" s="2933"/>
      <c r="B17" s="1289" t="s">
        <v>325</v>
      </c>
      <c r="C17" s="1286" t="s">
        <v>242</v>
      </c>
      <c r="D17" s="1287">
        <v>0</v>
      </c>
      <c r="E17" s="2716">
        <v>0</v>
      </c>
      <c r="F17" s="1287">
        <v>0</v>
      </c>
      <c r="G17" s="1287">
        <f t="shared" si="2"/>
        <v>0</v>
      </c>
      <c r="H17" s="1287">
        <f t="shared" si="2"/>
        <v>0</v>
      </c>
      <c r="I17" s="1287">
        <f t="shared" si="2"/>
        <v>0</v>
      </c>
      <c r="J17" s="1287">
        <f t="shared" si="2"/>
        <v>0</v>
      </c>
      <c r="K17" s="3219">
        <v>0</v>
      </c>
      <c r="L17" s="1287">
        <v>0</v>
      </c>
      <c r="M17" s="1287">
        <f t="shared" si="3"/>
        <v>0</v>
      </c>
      <c r="N17" s="1287">
        <f t="shared" si="3"/>
        <v>0</v>
      </c>
      <c r="O17" s="1287">
        <f t="shared" si="3"/>
        <v>0</v>
      </c>
      <c r="P17" s="1287">
        <f t="shared" si="3"/>
        <v>0</v>
      </c>
      <c r="Q17" s="1287">
        <f t="shared" si="4"/>
        <v>0</v>
      </c>
      <c r="R17" s="1287">
        <v>0</v>
      </c>
      <c r="S17" s="1287">
        <f t="shared" si="5"/>
        <v>0</v>
      </c>
      <c r="T17" s="1287">
        <f t="shared" si="5"/>
        <v>0</v>
      </c>
      <c r="U17" s="1287">
        <f t="shared" si="5"/>
        <v>0</v>
      </c>
      <c r="V17" s="1287">
        <f t="shared" si="5"/>
        <v>0</v>
      </c>
      <c r="W17" s="1287">
        <v>0</v>
      </c>
      <c r="X17" s="1287">
        <f>+V17</f>
        <v>0</v>
      </c>
      <c r="Y17" s="1287">
        <f t="shared" si="6"/>
        <v>0</v>
      </c>
      <c r="Z17" s="1287">
        <f t="shared" si="6"/>
        <v>0</v>
      </c>
      <c r="AA17" s="1287">
        <f t="shared" si="6"/>
        <v>0</v>
      </c>
      <c r="AB17" s="1287">
        <f t="shared" si="6"/>
        <v>0</v>
      </c>
      <c r="AC17" s="1287">
        <f t="shared" si="6"/>
        <v>0</v>
      </c>
      <c r="AD17" s="1284"/>
      <c r="AE17" s="1213">
        <f t="shared" si="1"/>
        <v>0</v>
      </c>
      <c r="AF17" s="1213">
        <f t="shared" si="1"/>
        <v>0</v>
      </c>
      <c r="AG17" s="1213">
        <f t="shared" si="1"/>
        <v>0</v>
      </c>
      <c r="AH17" s="2919">
        <f t="shared" si="1"/>
        <v>0</v>
      </c>
      <c r="AI17" s="1834"/>
      <c r="AJ17" s="579">
        <f t="shared" si="7"/>
        <v>0</v>
      </c>
      <c r="AK17" s="329"/>
    </row>
    <row r="18" spans="1:37" s="416" customFormat="1" ht="15">
      <c r="A18" s="2933"/>
      <c r="B18" s="1289" t="s">
        <v>327</v>
      </c>
      <c r="C18" s="1286" t="s">
        <v>163</v>
      </c>
      <c r="D18" s="1287">
        <v>0</v>
      </c>
      <c r="E18" s="2716">
        <v>0</v>
      </c>
      <c r="F18" s="1287">
        <v>0</v>
      </c>
      <c r="G18" s="1287">
        <f t="shared" si="2"/>
        <v>0</v>
      </c>
      <c r="H18" s="1287">
        <f t="shared" si="2"/>
        <v>0</v>
      </c>
      <c r="I18" s="1287">
        <v>0</v>
      </c>
      <c r="J18" s="1287">
        <f t="shared" si="2"/>
        <v>0</v>
      </c>
      <c r="K18" s="3219">
        <v>0</v>
      </c>
      <c r="L18" s="1287">
        <v>0</v>
      </c>
      <c r="M18" s="1287">
        <f t="shared" si="3"/>
        <v>0</v>
      </c>
      <c r="N18" s="1287">
        <f t="shared" si="3"/>
        <v>0</v>
      </c>
      <c r="O18" s="1287">
        <v>0</v>
      </c>
      <c r="P18" s="1287"/>
      <c r="Q18" s="1287">
        <f t="shared" si="4"/>
        <v>0</v>
      </c>
      <c r="R18" s="1287">
        <v>0</v>
      </c>
      <c r="S18" s="1287">
        <f t="shared" si="5"/>
        <v>0</v>
      </c>
      <c r="T18" s="1287">
        <f t="shared" si="5"/>
        <v>0</v>
      </c>
      <c r="U18" s="1287">
        <v>0</v>
      </c>
      <c r="V18" s="1287"/>
      <c r="W18" s="1287">
        <v>0</v>
      </c>
      <c r="X18" s="1287"/>
      <c r="Y18" s="1287"/>
      <c r="Z18" s="1287"/>
      <c r="AA18" s="1287"/>
      <c r="AB18" s="1287"/>
      <c r="AC18" s="1287"/>
      <c r="AD18" s="1284"/>
      <c r="AE18" s="1213">
        <f t="shared" si="1"/>
        <v>0</v>
      </c>
      <c r="AF18" s="1213">
        <f t="shared" si="1"/>
        <v>0</v>
      </c>
      <c r="AG18" s="1213">
        <f t="shared" si="1"/>
        <v>0</v>
      </c>
      <c r="AH18" s="2919">
        <f t="shared" si="1"/>
        <v>0</v>
      </c>
      <c r="AI18" s="1834"/>
      <c r="AJ18" s="579">
        <f t="shared" si="7"/>
        <v>0</v>
      </c>
      <c r="AK18" s="329"/>
    </row>
    <row r="19" spans="1:37" s="424" customFormat="1" ht="15">
      <c r="A19" s="2933"/>
      <c r="B19" s="1289" t="s">
        <v>329</v>
      </c>
      <c r="C19" s="1286" t="s">
        <v>162</v>
      </c>
      <c r="D19" s="1287">
        <v>0</v>
      </c>
      <c r="E19" s="2716">
        <v>0</v>
      </c>
      <c r="F19" s="1287">
        <v>0</v>
      </c>
      <c r="G19" s="1287">
        <f t="shared" si="2"/>
        <v>0</v>
      </c>
      <c r="H19" s="1287">
        <f t="shared" si="2"/>
        <v>0</v>
      </c>
      <c r="I19" s="1287">
        <f>+H19</f>
        <v>0</v>
      </c>
      <c r="J19" s="1287">
        <f t="shared" si="2"/>
        <v>0</v>
      </c>
      <c r="K19" s="3219">
        <v>0</v>
      </c>
      <c r="L19" s="1287">
        <v>0</v>
      </c>
      <c r="M19" s="1287">
        <f t="shared" si="3"/>
        <v>0</v>
      </c>
      <c r="N19" s="1287">
        <f t="shared" si="3"/>
        <v>0</v>
      </c>
      <c r="O19" s="1287">
        <f>+N19</f>
        <v>0</v>
      </c>
      <c r="P19" s="1287">
        <f>+O19</f>
        <v>0</v>
      </c>
      <c r="Q19" s="1287">
        <f t="shared" si="4"/>
        <v>0</v>
      </c>
      <c r="R19" s="1287">
        <v>0</v>
      </c>
      <c r="S19" s="1287">
        <f t="shared" si="5"/>
        <v>0</v>
      </c>
      <c r="T19" s="1287">
        <f t="shared" si="5"/>
        <v>0</v>
      </c>
      <c r="U19" s="1287">
        <f>+T19</f>
        <v>0</v>
      </c>
      <c r="V19" s="1287">
        <f>+U19</f>
        <v>0</v>
      </c>
      <c r="W19" s="1287">
        <v>0</v>
      </c>
      <c r="X19" s="1287"/>
      <c r="Y19" s="1287">
        <f>+X19</f>
        <v>0</v>
      </c>
      <c r="Z19" s="1287">
        <f>+Y19</f>
        <v>0</v>
      </c>
      <c r="AA19" s="1287">
        <f>+Z19</f>
        <v>0</v>
      </c>
      <c r="AB19" s="1287">
        <f>+AA19</f>
        <v>0</v>
      </c>
      <c r="AC19" s="1287">
        <f>+AB19</f>
        <v>0</v>
      </c>
      <c r="AD19" s="1284"/>
      <c r="AE19" s="1213">
        <f t="shared" si="1"/>
        <v>0</v>
      </c>
      <c r="AF19" s="1213">
        <f t="shared" si="1"/>
        <v>0</v>
      </c>
      <c r="AG19" s="1213">
        <f t="shared" si="1"/>
        <v>0</v>
      </c>
      <c r="AH19" s="2919">
        <f t="shared" si="1"/>
        <v>0</v>
      </c>
      <c r="AI19" s="1834"/>
      <c r="AJ19" s="579">
        <f t="shared" si="7"/>
        <v>0</v>
      </c>
      <c r="AK19" s="329"/>
    </row>
    <row r="20" spans="1:37" s="424" customFormat="1" ht="15">
      <c r="A20" s="2934" t="s">
        <v>12</v>
      </c>
      <c r="B20" s="1282" t="s">
        <v>12</v>
      </c>
      <c r="C20" s="1283" t="s">
        <v>1278</v>
      </c>
      <c r="D20" s="1213">
        <f t="shared" ref="D20:AC20" si="8">SUM(D21:D22)</f>
        <v>0</v>
      </c>
      <c r="E20" s="2715">
        <f t="shared" si="8"/>
        <v>0</v>
      </c>
      <c r="F20" s="1213">
        <f t="shared" si="8"/>
        <v>0</v>
      </c>
      <c r="G20" s="1213">
        <f t="shared" si="8"/>
        <v>0</v>
      </c>
      <c r="H20" s="1213">
        <f t="shared" si="8"/>
        <v>0</v>
      </c>
      <c r="I20" s="1213">
        <f t="shared" si="8"/>
        <v>0</v>
      </c>
      <c r="J20" s="1213">
        <f t="shared" si="8"/>
        <v>0</v>
      </c>
      <c r="K20" s="3208">
        <f>SUM(K21:K22)</f>
        <v>0</v>
      </c>
      <c r="L20" s="1213">
        <f t="shared" si="8"/>
        <v>0</v>
      </c>
      <c r="M20" s="1213">
        <f t="shared" si="8"/>
        <v>0</v>
      </c>
      <c r="N20" s="1213">
        <f t="shared" si="8"/>
        <v>0</v>
      </c>
      <c r="O20" s="1213">
        <f t="shared" si="8"/>
        <v>0</v>
      </c>
      <c r="P20" s="1213">
        <f t="shared" si="8"/>
        <v>0</v>
      </c>
      <c r="Q20" s="1213">
        <f t="shared" si="8"/>
        <v>0</v>
      </c>
      <c r="R20" s="1213">
        <f t="shared" si="8"/>
        <v>0</v>
      </c>
      <c r="S20" s="1213">
        <f t="shared" si="8"/>
        <v>0</v>
      </c>
      <c r="T20" s="1213">
        <f t="shared" si="8"/>
        <v>0</v>
      </c>
      <c r="U20" s="1213">
        <f t="shared" si="8"/>
        <v>0</v>
      </c>
      <c r="V20" s="1213">
        <f t="shared" si="8"/>
        <v>0</v>
      </c>
      <c r="W20" s="1213">
        <f t="shared" si="8"/>
        <v>0</v>
      </c>
      <c r="X20" s="1213">
        <f t="shared" si="8"/>
        <v>0</v>
      </c>
      <c r="Y20" s="1213">
        <f t="shared" si="8"/>
        <v>0</v>
      </c>
      <c r="Z20" s="1213">
        <f t="shared" si="8"/>
        <v>0</v>
      </c>
      <c r="AA20" s="1213">
        <f t="shared" si="8"/>
        <v>0</v>
      </c>
      <c r="AB20" s="1213">
        <f t="shared" si="8"/>
        <v>0</v>
      </c>
      <c r="AC20" s="1213">
        <f t="shared" si="8"/>
        <v>0</v>
      </c>
      <c r="AD20" s="1284"/>
      <c r="AE20" s="1213">
        <f t="shared" si="1"/>
        <v>0</v>
      </c>
      <c r="AF20" s="1213">
        <f t="shared" si="1"/>
        <v>0</v>
      </c>
      <c r="AG20" s="1213">
        <f t="shared" si="1"/>
        <v>0</v>
      </c>
      <c r="AH20" s="2919">
        <f t="shared" si="1"/>
        <v>0</v>
      </c>
      <c r="AI20" s="1829"/>
      <c r="AJ20" s="579">
        <f t="shared" si="7"/>
        <v>0</v>
      </c>
      <c r="AK20" s="322"/>
    </row>
    <row r="21" spans="1:37" s="424" customFormat="1" ht="15">
      <c r="A21" s="2933"/>
      <c r="B21" s="1289" t="s">
        <v>185</v>
      </c>
      <c r="C21" s="1286" t="s">
        <v>247</v>
      </c>
      <c r="D21" s="1287">
        <v>0</v>
      </c>
      <c r="E21" s="2716">
        <v>0</v>
      </c>
      <c r="F21" s="1287">
        <v>0</v>
      </c>
      <c r="G21" s="1287">
        <f t="shared" ref="G21:J22" si="9">+F21</f>
        <v>0</v>
      </c>
      <c r="H21" s="1287">
        <f t="shared" si="9"/>
        <v>0</v>
      </c>
      <c r="I21" s="1287">
        <f t="shared" si="9"/>
        <v>0</v>
      </c>
      <c r="J21" s="1287">
        <f t="shared" si="9"/>
        <v>0</v>
      </c>
      <c r="K21" s="3219">
        <v>0</v>
      </c>
      <c r="L21" s="1287">
        <v>0</v>
      </c>
      <c r="M21" s="1287">
        <f t="shared" ref="M21:P22" si="10">+L21</f>
        <v>0</v>
      </c>
      <c r="N21" s="1287">
        <f t="shared" si="10"/>
        <v>0</v>
      </c>
      <c r="O21" s="1287">
        <f t="shared" si="10"/>
        <v>0</v>
      </c>
      <c r="P21" s="1287">
        <f t="shared" si="10"/>
        <v>0</v>
      </c>
      <c r="Q21" s="1287">
        <f>+K21</f>
        <v>0</v>
      </c>
      <c r="R21" s="1287">
        <v>0</v>
      </c>
      <c r="S21" s="1287">
        <f t="shared" ref="S21:V22" si="11">+R21</f>
        <v>0</v>
      </c>
      <c r="T21" s="1287">
        <f t="shared" si="11"/>
        <v>0</v>
      </c>
      <c r="U21" s="1287">
        <f t="shared" si="11"/>
        <v>0</v>
      </c>
      <c r="V21" s="1287">
        <f t="shared" si="11"/>
        <v>0</v>
      </c>
      <c r="W21" s="1287">
        <v>0</v>
      </c>
      <c r="X21" s="1287"/>
      <c r="Y21" s="1287">
        <f t="shared" ref="Y21:AC22" si="12">+X21</f>
        <v>0</v>
      </c>
      <c r="Z21" s="1287">
        <f t="shared" si="12"/>
        <v>0</v>
      </c>
      <c r="AA21" s="1287">
        <f t="shared" si="12"/>
        <v>0</v>
      </c>
      <c r="AB21" s="1287">
        <f t="shared" si="12"/>
        <v>0</v>
      </c>
      <c r="AC21" s="1287">
        <f t="shared" si="12"/>
        <v>0</v>
      </c>
      <c r="AD21" s="1284"/>
      <c r="AE21" s="1213">
        <f t="shared" si="1"/>
        <v>0</v>
      </c>
      <c r="AF21" s="1213">
        <f t="shared" si="1"/>
        <v>0</v>
      </c>
      <c r="AG21" s="1213">
        <f t="shared" si="1"/>
        <v>0</v>
      </c>
      <c r="AH21" s="2919">
        <f t="shared" si="1"/>
        <v>0</v>
      </c>
      <c r="AI21" s="1834"/>
      <c r="AJ21" s="579">
        <f t="shared" si="7"/>
        <v>0</v>
      </c>
      <c r="AK21" s="329"/>
    </row>
    <row r="22" spans="1:37" s="424" customFormat="1" ht="15">
      <c r="A22" s="2933"/>
      <c r="B22" s="1289" t="s">
        <v>187</v>
      </c>
      <c r="C22" s="1286" t="s">
        <v>155</v>
      </c>
      <c r="D22" s="1287">
        <v>0</v>
      </c>
      <c r="E22" s="2716">
        <v>0</v>
      </c>
      <c r="F22" s="1287">
        <v>0</v>
      </c>
      <c r="G22" s="1287">
        <f t="shared" si="9"/>
        <v>0</v>
      </c>
      <c r="H22" s="1287">
        <f t="shared" si="9"/>
        <v>0</v>
      </c>
      <c r="I22" s="1287">
        <f t="shared" si="9"/>
        <v>0</v>
      </c>
      <c r="J22" s="1287">
        <f t="shared" si="9"/>
        <v>0</v>
      </c>
      <c r="K22" s="3219">
        <v>0</v>
      </c>
      <c r="L22" s="1287">
        <v>0</v>
      </c>
      <c r="M22" s="1287">
        <f t="shared" si="10"/>
        <v>0</v>
      </c>
      <c r="N22" s="1287">
        <f t="shared" si="10"/>
        <v>0</v>
      </c>
      <c r="O22" s="1287">
        <f t="shared" si="10"/>
        <v>0</v>
      </c>
      <c r="P22" s="1287">
        <f t="shared" si="10"/>
        <v>0</v>
      </c>
      <c r="Q22" s="1287">
        <f>+K22</f>
        <v>0</v>
      </c>
      <c r="R22" s="1287">
        <v>0</v>
      </c>
      <c r="S22" s="1287">
        <f t="shared" si="11"/>
        <v>0</v>
      </c>
      <c r="T22" s="1287">
        <f t="shared" si="11"/>
        <v>0</v>
      </c>
      <c r="U22" s="1287">
        <f t="shared" si="11"/>
        <v>0</v>
      </c>
      <c r="V22" s="1287">
        <f t="shared" si="11"/>
        <v>0</v>
      </c>
      <c r="W22" s="1287">
        <v>0</v>
      </c>
      <c r="X22" s="1287"/>
      <c r="Y22" s="1287">
        <f t="shared" si="12"/>
        <v>0</v>
      </c>
      <c r="Z22" s="1287">
        <f t="shared" si="12"/>
        <v>0</v>
      </c>
      <c r="AA22" s="1287">
        <f t="shared" si="12"/>
        <v>0</v>
      </c>
      <c r="AB22" s="1287">
        <f t="shared" si="12"/>
        <v>0</v>
      </c>
      <c r="AC22" s="1287">
        <f t="shared" si="12"/>
        <v>0</v>
      </c>
      <c r="AD22" s="1284"/>
      <c r="AE22" s="1213">
        <f t="shared" si="1"/>
        <v>0</v>
      </c>
      <c r="AF22" s="1213">
        <f t="shared" si="1"/>
        <v>0</v>
      </c>
      <c r="AG22" s="1213">
        <f t="shared" si="1"/>
        <v>0</v>
      </c>
      <c r="AH22" s="2919">
        <f t="shared" si="1"/>
        <v>0</v>
      </c>
      <c r="AI22" s="1834"/>
      <c r="AJ22" s="579">
        <f t="shared" si="7"/>
        <v>0</v>
      </c>
      <c r="AK22" s="329"/>
    </row>
    <row r="23" spans="1:37" s="416" customFormat="1" ht="15">
      <c r="A23" s="2934" t="s">
        <v>14</v>
      </c>
      <c r="B23" s="1282" t="s">
        <v>14</v>
      </c>
      <c r="C23" s="1283" t="s">
        <v>1279</v>
      </c>
      <c r="D23" s="1213">
        <f t="shared" ref="D23:AC23" si="13">D24+D25</f>
        <v>0</v>
      </c>
      <c r="E23" s="2715">
        <f t="shared" si="13"/>
        <v>0</v>
      </c>
      <c r="F23" s="1213">
        <f t="shared" si="13"/>
        <v>0</v>
      </c>
      <c r="G23" s="1213">
        <f t="shared" si="13"/>
        <v>0</v>
      </c>
      <c r="H23" s="1213">
        <f t="shared" si="13"/>
        <v>0</v>
      </c>
      <c r="I23" s="1213">
        <f t="shared" si="13"/>
        <v>0</v>
      </c>
      <c r="J23" s="1213">
        <f t="shared" si="13"/>
        <v>0</v>
      </c>
      <c r="K23" s="3208">
        <f t="shared" si="13"/>
        <v>0</v>
      </c>
      <c r="L23" s="1213">
        <f t="shared" si="13"/>
        <v>0</v>
      </c>
      <c r="M23" s="1213">
        <f t="shared" si="13"/>
        <v>0</v>
      </c>
      <c r="N23" s="1213">
        <f t="shared" si="13"/>
        <v>0</v>
      </c>
      <c r="O23" s="1213">
        <f t="shared" si="13"/>
        <v>0</v>
      </c>
      <c r="P23" s="1213">
        <f t="shared" si="13"/>
        <v>0</v>
      </c>
      <c r="Q23" s="1213">
        <f t="shared" si="13"/>
        <v>0</v>
      </c>
      <c r="R23" s="1213">
        <f t="shared" si="13"/>
        <v>0</v>
      </c>
      <c r="S23" s="1213">
        <f t="shared" si="13"/>
        <v>0</v>
      </c>
      <c r="T23" s="1213">
        <f t="shared" si="13"/>
        <v>0</v>
      </c>
      <c r="U23" s="1213">
        <f t="shared" si="13"/>
        <v>0</v>
      </c>
      <c r="V23" s="1213">
        <f t="shared" si="13"/>
        <v>0</v>
      </c>
      <c r="W23" s="1213">
        <f t="shared" si="13"/>
        <v>0</v>
      </c>
      <c r="X23" s="1213">
        <f t="shared" si="13"/>
        <v>0</v>
      </c>
      <c r="Y23" s="1213">
        <f t="shared" si="13"/>
        <v>0</v>
      </c>
      <c r="Z23" s="1213">
        <f t="shared" si="13"/>
        <v>0</v>
      </c>
      <c r="AA23" s="1213">
        <f t="shared" si="13"/>
        <v>0</v>
      </c>
      <c r="AB23" s="1213">
        <f t="shared" si="13"/>
        <v>0</v>
      </c>
      <c r="AC23" s="1213">
        <f t="shared" si="13"/>
        <v>0</v>
      </c>
      <c r="AD23" s="1284"/>
      <c r="AE23" s="1213">
        <f t="shared" si="1"/>
        <v>0</v>
      </c>
      <c r="AF23" s="1213">
        <f t="shared" si="1"/>
        <v>0</v>
      </c>
      <c r="AG23" s="1213">
        <f t="shared" si="1"/>
        <v>0</v>
      </c>
      <c r="AH23" s="2919">
        <f t="shared" si="1"/>
        <v>0</v>
      </c>
      <c r="AI23" s="1829"/>
      <c r="AJ23" s="579">
        <f t="shared" si="7"/>
        <v>0</v>
      </c>
      <c r="AK23" s="322"/>
    </row>
    <row r="24" spans="1:37" s="416" customFormat="1" ht="15">
      <c r="A24" s="2934"/>
      <c r="B24" s="1289" t="s">
        <v>198</v>
      </c>
      <c r="C24" s="1284" t="s">
        <v>186</v>
      </c>
      <c r="D24" s="1291">
        <v>0</v>
      </c>
      <c r="E24" s="2717">
        <v>0</v>
      </c>
      <c r="F24" s="1291">
        <v>0</v>
      </c>
      <c r="G24" s="1291">
        <f t="shared" ref="G24:J31" si="14">+F24</f>
        <v>0</v>
      </c>
      <c r="H24" s="1291">
        <f t="shared" si="14"/>
        <v>0</v>
      </c>
      <c r="I24" s="1291">
        <f t="shared" si="14"/>
        <v>0</v>
      </c>
      <c r="J24" s="1291">
        <f t="shared" si="14"/>
        <v>0</v>
      </c>
      <c r="K24" s="3219">
        <v>0</v>
      </c>
      <c r="L24" s="1213">
        <v>0</v>
      </c>
      <c r="M24" s="1213">
        <f t="shared" ref="M24:P31" si="15">+L24</f>
        <v>0</v>
      </c>
      <c r="N24" s="1213">
        <f t="shared" si="15"/>
        <v>0</v>
      </c>
      <c r="O24" s="1291">
        <f t="shared" si="15"/>
        <v>0</v>
      </c>
      <c r="P24" s="1291">
        <f t="shared" si="15"/>
        <v>0</v>
      </c>
      <c r="Q24" s="1291">
        <f t="shared" ref="Q24:Q31" si="16">+K24</f>
        <v>0</v>
      </c>
      <c r="R24" s="1213">
        <v>0</v>
      </c>
      <c r="S24" s="1213">
        <f t="shared" ref="S24:V31" si="17">+R24</f>
        <v>0</v>
      </c>
      <c r="T24" s="1213">
        <f t="shared" si="17"/>
        <v>0</v>
      </c>
      <c r="U24" s="1213">
        <f t="shared" si="17"/>
        <v>0</v>
      </c>
      <c r="V24" s="1213">
        <f t="shared" si="17"/>
        <v>0</v>
      </c>
      <c r="W24" s="1213">
        <v>0</v>
      </c>
      <c r="X24" s="1213"/>
      <c r="Y24" s="1213">
        <f t="shared" ref="Y24:AC31" si="18">+X24</f>
        <v>0</v>
      </c>
      <c r="Z24" s="1213">
        <f t="shared" si="18"/>
        <v>0</v>
      </c>
      <c r="AA24" s="1213">
        <f t="shared" si="18"/>
        <v>0</v>
      </c>
      <c r="AB24" s="1213">
        <f t="shared" si="18"/>
        <v>0</v>
      </c>
      <c r="AC24" s="1213">
        <f t="shared" si="18"/>
        <v>0</v>
      </c>
      <c r="AD24" s="1284"/>
      <c r="AE24" s="1213">
        <f t="shared" si="1"/>
        <v>0</v>
      </c>
      <c r="AF24" s="1213">
        <f t="shared" si="1"/>
        <v>0</v>
      </c>
      <c r="AG24" s="1213">
        <f t="shared" si="1"/>
        <v>0</v>
      </c>
      <c r="AH24" s="2919">
        <f t="shared" si="1"/>
        <v>0</v>
      </c>
      <c r="AI24" s="1829"/>
      <c r="AJ24" s="579">
        <f t="shared" si="7"/>
        <v>0</v>
      </c>
      <c r="AK24" s="329"/>
    </row>
    <row r="25" spans="1:37" s="424" customFormat="1" ht="15">
      <c r="A25" s="2933"/>
      <c r="B25" s="1289" t="s">
        <v>200</v>
      </c>
      <c r="C25" s="2994" t="s">
        <v>148</v>
      </c>
      <c r="D25" s="1227">
        <v>0</v>
      </c>
      <c r="E25" s="2719">
        <v>0</v>
      </c>
      <c r="F25" s="1227">
        <v>0</v>
      </c>
      <c r="G25" s="1291">
        <f t="shared" si="14"/>
        <v>0</v>
      </c>
      <c r="H25" s="1291">
        <f>G25</f>
        <v>0</v>
      </c>
      <c r="I25" s="1227">
        <f t="shared" si="14"/>
        <v>0</v>
      </c>
      <c r="J25" s="1291">
        <f t="shared" si="14"/>
        <v>0</v>
      </c>
      <c r="K25" s="3219">
        <v>0</v>
      </c>
      <c r="L25" s="1287">
        <v>0</v>
      </c>
      <c r="M25" s="1287">
        <f t="shared" si="15"/>
        <v>0</v>
      </c>
      <c r="N25" s="1287">
        <f t="shared" si="15"/>
        <v>0</v>
      </c>
      <c r="O25" s="1287">
        <f t="shared" si="15"/>
        <v>0</v>
      </c>
      <c r="P25" s="1287">
        <f t="shared" si="15"/>
        <v>0</v>
      </c>
      <c r="Q25" s="1287">
        <f t="shared" si="16"/>
        <v>0</v>
      </c>
      <c r="R25" s="1287">
        <v>0</v>
      </c>
      <c r="S25" s="1287">
        <f>+R25</f>
        <v>0</v>
      </c>
      <c r="T25" s="1287">
        <f t="shared" si="17"/>
        <v>0</v>
      </c>
      <c r="U25" s="1287">
        <f t="shared" si="17"/>
        <v>0</v>
      </c>
      <c r="V25" s="1287">
        <f t="shared" si="17"/>
        <v>0</v>
      </c>
      <c r="W25" s="1287">
        <v>0</v>
      </c>
      <c r="X25" s="1287"/>
      <c r="Y25" s="1287">
        <f t="shared" si="18"/>
        <v>0</v>
      </c>
      <c r="Z25" s="1287">
        <f t="shared" si="18"/>
        <v>0</v>
      </c>
      <c r="AA25" s="1287">
        <f t="shared" si="18"/>
        <v>0</v>
      </c>
      <c r="AB25" s="1287">
        <f t="shared" si="18"/>
        <v>0</v>
      </c>
      <c r="AC25" s="1287">
        <f t="shared" si="18"/>
        <v>0</v>
      </c>
      <c r="AD25" s="1284"/>
      <c r="AE25" s="1213">
        <f t="shared" si="1"/>
        <v>0</v>
      </c>
      <c r="AF25" s="1213">
        <f t="shared" si="1"/>
        <v>0</v>
      </c>
      <c r="AG25" s="1213">
        <f t="shared" si="1"/>
        <v>0</v>
      </c>
      <c r="AH25" s="2919">
        <f t="shared" si="1"/>
        <v>0</v>
      </c>
      <c r="AI25" s="1834"/>
      <c r="AJ25" s="579">
        <f t="shared" si="7"/>
        <v>0</v>
      </c>
      <c r="AK25" s="329"/>
    </row>
    <row r="26" spans="1:37" s="424" customFormat="1" ht="15">
      <c r="A26" s="2933"/>
      <c r="B26" s="1289" t="s">
        <v>202</v>
      </c>
      <c r="C26" s="1290" t="s">
        <v>1280</v>
      </c>
      <c r="D26" s="1287">
        <v>0</v>
      </c>
      <c r="E26" s="2716">
        <v>0</v>
      </c>
      <c r="F26" s="1287">
        <v>0</v>
      </c>
      <c r="G26" s="1287">
        <f t="shared" si="14"/>
        <v>0</v>
      </c>
      <c r="H26" s="1287">
        <f t="shared" si="14"/>
        <v>0</v>
      </c>
      <c r="I26" s="1287">
        <f t="shared" si="14"/>
        <v>0</v>
      </c>
      <c r="J26" s="1291">
        <f t="shared" si="14"/>
        <v>0</v>
      </c>
      <c r="K26" s="3219">
        <v>0</v>
      </c>
      <c r="L26" s="1287">
        <v>0</v>
      </c>
      <c r="M26" s="1287">
        <f t="shared" si="15"/>
        <v>0</v>
      </c>
      <c r="N26" s="1287">
        <f t="shared" si="15"/>
        <v>0</v>
      </c>
      <c r="O26" s="1287">
        <f t="shared" si="15"/>
        <v>0</v>
      </c>
      <c r="P26" s="1287">
        <f t="shared" si="15"/>
        <v>0</v>
      </c>
      <c r="Q26" s="1287">
        <f t="shared" si="16"/>
        <v>0</v>
      </c>
      <c r="R26" s="1287">
        <v>0</v>
      </c>
      <c r="S26" s="1287">
        <f t="shared" si="17"/>
        <v>0</v>
      </c>
      <c r="T26" s="1287">
        <f t="shared" si="17"/>
        <v>0</v>
      </c>
      <c r="U26" s="1287">
        <f t="shared" si="17"/>
        <v>0</v>
      </c>
      <c r="V26" s="1287">
        <f t="shared" si="17"/>
        <v>0</v>
      </c>
      <c r="W26" s="1287">
        <v>0</v>
      </c>
      <c r="X26" s="1287"/>
      <c r="Y26" s="1287">
        <f t="shared" si="18"/>
        <v>0</v>
      </c>
      <c r="Z26" s="1287">
        <f t="shared" si="18"/>
        <v>0</v>
      </c>
      <c r="AA26" s="1287">
        <f t="shared" si="18"/>
        <v>0</v>
      </c>
      <c r="AB26" s="1287">
        <f t="shared" si="18"/>
        <v>0</v>
      </c>
      <c r="AC26" s="1287">
        <f t="shared" si="18"/>
        <v>0</v>
      </c>
      <c r="AD26" s="1284"/>
      <c r="AE26" s="1213">
        <f t="shared" si="1"/>
        <v>0</v>
      </c>
      <c r="AF26" s="1213">
        <f t="shared" si="1"/>
        <v>0</v>
      </c>
      <c r="AG26" s="1213">
        <f t="shared" si="1"/>
        <v>0</v>
      </c>
      <c r="AH26" s="2919">
        <f t="shared" si="1"/>
        <v>0</v>
      </c>
      <c r="AI26" s="1834"/>
      <c r="AJ26" s="579">
        <f t="shared" si="7"/>
        <v>0</v>
      </c>
      <c r="AK26" s="329"/>
    </row>
    <row r="27" spans="1:37" s="424" customFormat="1" ht="15">
      <c r="A27" s="2934" t="s">
        <v>15</v>
      </c>
      <c r="B27" s="1282" t="s">
        <v>15</v>
      </c>
      <c r="C27" s="1292" t="s">
        <v>150</v>
      </c>
      <c r="D27" s="1293">
        <v>0</v>
      </c>
      <c r="E27" s="2718">
        <v>0</v>
      </c>
      <c r="F27" s="1293">
        <v>0</v>
      </c>
      <c r="G27" s="1293">
        <f t="shared" si="14"/>
        <v>0</v>
      </c>
      <c r="H27" s="1293">
        <f t="shared" si="14"/>
        <v>0</v>
      </c>
      <c r="I27" s="1293">
        <f t="shared" si="14"/>
        <v>0</v>
      </c>
      <c r="J27" s="1293">
        <f t="shared" si="14"/>
        <v>0</v>
      </c>
      <c r="K27" s="3221">
        <v>0</v>
      </c>
      <c r="L27" s="1293">
        <v>0</v>
      </c>
      <c r="M27" s="1293">
        <f t="shared" si="15"/>
        <v>0</v>
      </c>
      <c r="N27" s="1293">
        <f t="shared" si="15"/>
        <v>0</v>
      </c>
      <c r="O27" s="1293">
        <f t="shared" si="15"/>
        <v>0</v>
      </c>
      <c r="P27" s="1293">
        <f t="shared" si="15"/>
        <v>0</v>
      </c>
      <c r="Q27" s="1293">
        <f t="shared" si="16"/>
        <v>0</v>
      </c>
      <c r="R27" s="1293">
        <v>0</v>
      </c>
      <c r="S27" s="1293">
        <f t="shared" si="17"/>
        <v>0</v>
      </c>
      <c r="T27" s="1293">
        <f t="shared" si="17"/>
        <v>0</v>
      </c>
      <c r="U27" s="1293">
        <f t="shared" si="17"/>
        <v>0</v>
      </c>
      <c r="V27" s="1293">
        <f t="shared" si="17"/>
        <v>0</v>
      </c>
      <c r="W27" s="1293">
        <v>0</v>
      </c>
      <c r="X27" s="1293">
        <f>+V27</f>
        <v>0</v>
      </c>
      <c r="Y27" s="1293">
        <f t="shared" si="18"/>
        <v>0</v>
      </c>
      <c r="Z27" s="1293">
        <f t="shared" si="18"/>
        <v>0</v>
      </c>
      <c r="AA27" s="1293">
        <f t="shared" si="18"/>
        <v>0</v>
      </c>
      <c r="AB27" s="1293">
        <f t="shared" si="18"/>
        <v>0</v>
      </c>
      <c r="AC27" s="1293">
        <f t="shared" si="18"/>
        <v>0</v>
      </c>
      <c r="AD27" s="1284"/>
      <c r="AE27" s="1213">
        <f t="shared" si="1"/>
        <v>0</v>
      </c>
      <c r="AF27" s="1213">
        <f t="shared" si="1"/>
        <v>0</v>
      </c>
      <c r="AG27" s="1213">
        <f t="shared" si="1"/>
        <v>0</v>
      </c>
      <c r="AH27" s="2919">
        <f t="shared" si="1"/>
        <v>0</v>
      </c>
      <c r="AI27" s="1834"/>
      <c r="AJ27" s="579">
        <f t="shared" si="7"/>
        <v>0</v>
      </c>
      <c r="AK27" s="329"/>
    </row>
    <row r="28" spans="1:37" s="424" customFormat="1" ht="15">
      <c r="A28" s="2933"/>
      <c r="B28" s="1289" t="s">
        <v>212</v>
      </c>
      <c r="C28" s="1290" t="s">
        <v>1280</v>
      </c>
      <c r="D28" s="1287">
        <v>0</v>
      </c>
      <c r="E28" s="2716">
        <v>0</v>
      </c>
      <c r="F28" s="1287">
        <v>0</v>
      </c>
      <c r="G28" s="1287">
        <f t="shared" si="14"/>
        <v>0</v>
      </c>
      <c r="H28" s="1287">
        <f t="shared" si="14"/>
        <v>0</v>
      </c>
      <c r="I28" s="1287">
        <f t="shared" si="14"/>
        <v>0</v>
      </c>
      <c r="J28" s="1287">
        <f t="shared" si="14"/>
        <v>0</v>
      </c>
      <c r="K28" s="3219">
        <v>0</v>
      </c>
      <c r="L28" s="1287">
        <v>0</v>
      </c>
      <c r="M28" s="1287">
        <f t="shared" si="15"/>
        <v>0</v>
      </c>
      <c r="N28" s="1287">
        <f t="shared" si="15"/>
        <v>0</v>
      </c>
      <c r="O28" s="1287">
        <f t="shared" si="15"/>
        <v>0</v>
      </c>
      <c r="P28" s="1287">
        <f t="shared" si="15"/>
        <v>0</v>
      </c>
      <c r="Q28" s="1287">
        <f t="shared" si="16"/>
        <v>0</v>
      </c>
      <c r="R28" s="1287">
        <v>0</v>
      </c>
      <c r="S28" s="1287">
        <f t="shared" si="17"/>
        <v>0</v>
      </c>
      <c r="T28" s="1287">
        <f t="shared" si="17"/>
        <v>0</v>
      </c>
      <c r="U28" s="1287">
        <f t="shared" si="17"/>
        <v>0</v>
      </c>
      <c r="V28" s="1287">
        <f t="shared" si="17"/>
        <v>0</v>
      </c>
      <c r="W28" s="1287">
        <f>+V28</f>
        <v>0</v>
      </c>
      <c r="X28" s="1287"/>
      <c r="Y28" s="1287">
        <f t="shared" si="18"/>
        <v>0</v>
      </c>
      <c r="Z28" s="1287">
        <f t="shared" si="18"/>
        <v>0</v>
      </c>
      <c r="AA28" s="1287">
        <f t="shared" si="18"/>
        <v>0</v>
      </c>
      <c r="AB28" s="1287">
        <f t="shared" si="18"/>
        <v>0</v>
      </c>
      <c r="AC28" s="1287">
        <f t="shared" si="18"/>
        <v>0</v>
      </c>
      <c r="AD28" s="1284"/>
      <c r="AE28" s="1213">
        <f t="shared" si="1"/>
        <v>0</v>
      </c>
      <c r="AF28" s="1213">
        <f t="shared" si="1"/>
        <v>0</v>
      </c>
      <c r="AG28" s="1213">
        <f t="shared" si="1"/>
        <v>0</v>
      </c>
      <c r="AH28" s="2919">
        <f t="shared" si="1"/>
        <v>0</v>
      </c>
      <c r="AI28" s="1834"/>
      <c r="AJ28" s="579">
        <f t="shared" si="7"/>
        <v>0</v>
      </c>
      <c r="AK28" s="329"/>
    </row>
    <row r="29" spans="1:37" s="424" customFormat="1" ht="15">
      <c r="A29" s="2934" t="s">
        <v>17</v>
      </c>
      <c r="B29" s="1474" t="s">
        <v>17</v>
      </c>
      <c r="C29" s="1292" t="s">
        <v>153</v>
      </c>
      <c r="D29" s="1213">
        <v>0</v>
      </c>
      <c r="E29" s="2715">
        <v>0</v>
      </c>
      <c r="F29" s="1213">
        <f>0</f>
        <v>0</v>
      </c>
      <c r="G29" s="1213">
        <f t="shared" si="14"/>
        <v>0</v>
      </c>
      <c r="H29" s="1213">
        <f t="shared" si="14"/>
        <v>0</v>
      </c>
      <c r="I29" s="1213">
        <f t="shared" si="14"/>
        <v>0</v>
      </c>
      <c r="J29" s="1213">
        <f t="shared" si="14"/>
        <v>0</v>
      </c>
      <c r="K29" s="3221">
        <v>0</v>
      </c>
      <c r="L29" s="1213">
        <f>+F29</f>
        <v>0</v>
      </c>
      <c r="M29" s="1213">
        <f t="shared" si="15"/>
        <v>0</v>
      </c>
      <c r="N29" s="1213">
        <f t="shared" si="15"/>
        <v>0</v>
      </c>
      <c r="O29" s="1213">
        <f t="shared" si="15"/>
        <v>0</v>
      </c>
      <c r="P29" s="1213">
        <f t="shared" si="15"/>
        <v>0</v>
      </c>
      <c r="Q29" s="1213">
        <f t="shared" si="16"/>
        <v>0</v>
      </c>
      <c r="R29" s="1213">
        <v>0</v>
      </c>
      <c r="S29" s="1213">
        <f t="shared" si="17"/>
        <v>0</v>
      </c>
      <c r="T29" s="1213">
        <f t="shared" si="17"/>
        <v>0</v>
      </c>
      <c r="U29" s="1213">
        <f t="shared" si="17"/>
        <v>0</v>
      </c>
      <c r="V29" s="1213">
        <f t="shared" si="17"/>
        <v>0</v>
      </c>
      <c r="W29" s="1213">
        <v>0</v>
      </c>
      <c r="X29" s="1213"/>
      <c r="Y29" s="1213">
        <f t="shared" si="18"/>
        <v>0</v>
      </c>
      <c r="Z29" s="1213">
        <f t="shared" si="18"/>
        <v>0</v>
      </c>
      <c r="AA29" s="1213">
        <f t="shared" si="18"/>
        <v>0</v>
      </c>
      <c r="AB29" s="1213">
        <f t="shared" si="18"/>
        <v>0</v>
      </c>
      <c r="AC29" s="1213">
        <f t="shared" si="18"/>
        <v>0</v>
      </c>
      <c r="AD29" s="1284"/>
      <c r="AE29" s="1213">
        <f t="shared" si="1"/>
        <v>0</v>
      </c>
      <c r="AF29" s="1213">
        <f t="shared" si="1"/>
        <v>0</v>
      </c>
      <c r="AG29" s="1213">
        <f t="shared" si="1"/>
        <v>0</v>
      </c>
      <c r="AH29" s="2919">
        <f t="shared" si="1"/>
        <v>0</v>
      </c>
      <c r="AI29" s="1829"/>
      <c r="AJ29" s="579">
        <f t="shared" si="7"/>
        <v>0</v>
      </c>
      <c r="AK29" s="336"/>
    </row>
    <row r="30" spans="1:37" s="416" customFormat="1" ht="15">
      <c r="A30" s="2934" t="s">
        <v>19</v>
      </c>
      <c r="B30" s="1282" t="s">
        <v>19</v>
      </c>
      <c r="C30" s="1292" t="s">
        <v>1281</v>
      </c>
      <c r="D30" s="1293">
        <v>0</v>
      </c>
      <c r="E30" s="2718">
        <v>0</v>
      </c>
      <c r="F30" s="1293">
        <v>0</v>
      </c>
      <c r="G30" s="1293">
        <f t="shared" si="14"/>
        <v>0</v>
      </c>
      <c r="H30" s="1293">
        <f t="shared" si="14"/>
        <v>0</v>
      </c>
      <c r="I30" s="1293">
        <f t="shared" si="14"/>
        <v>0</v>
      </c>
      <c r="J30" s="1293">
        <f t="shared" si="14"/>
        <v>0</v>
      </c>
      <c r="K30" s="3221">
        <v>0</v>
      </c>
      <c r="L30" s="1293">
        <v>0</v>
      </c>
      <c r="M30" s="1293">
        <f t="shared" si="15"/>
        <v>0</v>
      </c>
      <c r="N30" s="1293">
        <f t="shared" si="15"/>
        <v>0</v>
      </c>
      <c r="O30" s="1293">
        <f t="shared" si="15"/>
        <v>0</v>
      </c>
      <c r="P30" s="1293">
        <f t="shared" si="15"/>
        <v>0</v>
      </c>
      <c r="Q30" s="1293">
        <f t="shared" si="16"/>
        <v>0</v>
      </c>
      <c r="R30" s="1293">
        <v>0</v>
      </c>
      <c r="S30" s="1293">
        <f t="shared" si="17"/>
        <v>0</v>
      </c>
      <c r="T30" s="1293">
        <f t="shared" si="17"/>
        <v>0</v>
      </c>
      <c r="U30" s="1293">
        <f t="shared" si="17"/>
        <v>0</v>
      </c>
      <c r="V30" s="1293">
        <f t="shared" si="17"/>
        <v>0</v>
      </c>
      <c r="W30" s="1293">
        <v>0</v>
      </c>
      <c r="X30" s="1293"/>
      <c r="Y30" s="1293">
        <f t="shared" si="18"/>
        <v>0</v>
      </c>
      <c r="Z30" s="1293">
        <f t="shared" si="18"/>
        <v>0</v>
      </c>
      <c r="AA30" s="1293">
        <f t="shared" si="18"/>
        <v>0</v>
      </c>
      <c r="AB30" s="1293">
        <f t="shared" si="18"/>
        <v>0</v>
      </c>
      <c r="AC30" s="1293">
        <f t="shared" si="18"/>
        <v>0</v>
      </c>
      <c r="AD30" s="1284"/>
      <c r="AE30" s="1213">
        <f t="shared" si="1"/>
        <v>0</v>
      </c>
      <c r="AF30" s="1213">
        <f t="shared" si="1"/>
        <v>0</v>
      </c>
      <c r="AG30" s="1213">
        <f t="shared" si="1"/>
        <v>0</v>
      </c>
      <c r="AH30" s="2919">
        <f t="shared" si="1"/>
        <v>0</v>
      </c>
      <c r="AI30" s="1834"/>
      <c r="AJ30" s="579">
        <f t="shared" si="7"/>
        <v>0</v>
      </c>
      <c r="AK30" s="336"/>
    </row>
    <row r="31" spans="1:37" s="416" customFormat="1" ht="15">
      <c r="A31" s="2934" t="s">
        <v>21</v>
      </c>
      <c r="B31" s="1282" t="s">
        <v>21</v>
      </c>
      <c r="C31" s="1292" t="s">
        <v>393</v>
      </c>
      <c r="D31" s="1293">
        <v>0</v>
      </c>
      <c r="E31" s="2718">
        <v>0</v>
      </c>
      <c r="F31" s="1293">
        <v>0</v>
      </c>
      <c r="G31" s="1293">
        <f t="shared" si="14"/>
        <v>0</v>
      </c>
      <c r="H31" s="1293">
        <f t="shared" si="14"/>
        <v>0</v>
      </c>
      <c r="I31" s="1293">
        <f t="shared" si="14"/>
        <v>0</v>
      </c>
      <c r="J31" s="1293">
        <f t="shared" si="14"/>
        <v>0</v>
      </c>
      <c r="K31" s="3219">
        <v>0</v>
      </c>
      <c r="L31" s="1227">
        <v>0</v>
      </c>
      <c r="M31" s="1227">
        <f t="shared" si="15"/>
        <v>0</v>
      </c>
      <c r="N31" s="1227">
        <f t="shared" si="15"/>
        <v>0</v>
      </c>
      <c r="O31" s="1227">
        <f t="shared" si="15"/>
        <v>0</v>
      </c>
      <c r="P31" s="1227">
        <f t="shared" si="15"/>
        <v>0</v>
      </c>
      <c r="Q31" s="1227">
        <f t="shared" si="16"/>
        <v>0</v>
      </c>
      <c r="R31" s="1227">
        <v>0</v>
      </c>
      <c r="S31" s="1227">
        <f t="shared" si="17"/>
        <v>0</v>
      </c>
      <c r="T31" s="1227">
        <f t="shared" si="17"/>
        <v>0</v>
      </c>
      <c r="U31" s="1227">
        <f t="shared" si="17"/>
        <v>0</v>
      </c>
      <c r="V31" s="1227">
        <f t="shared" si="17"/>
        <v>0</v>
      </c>
      <c r="W31" s="1227">
        <v>0</v>
      </c>
      <c r="X31" s="1227"/>
      <c r="Y31" s="1227">
        <f t="shared" si="18"/>
        <v>0</v>
      </c>
      <c r="Z31" s="1227">
        <f t="shared" si="18"/>
        <v>0</v>
      </c>
      <c r="AA31" s="1227">
        <f t="shared" si="18"/>
        <v>0</v>
      </c>
      <c r="AB31" s="1227">
        <f t="shared" si="18"/>
        <v>0</v>
      </c>
      <c r="AC31" s="1227">
        <f t="shared" si="18"/>
        <v>0</v>
      </c>
      <c r="AD31" s="1284"/>
      <c r="AE31" s="1213">
        <f t="shared" si="1"/>
        <v>0</v>
      </c>
      <c r="AF31" s="1213">
        <f t="shared" si="1"/>
        <v>0</v>
      </c>
      <c r="AG31" s="1213">
        <f t="shared" si="1"/>
        <v>0</v>
      </c>
      <c r="AH31" s="2919">
        <f t="shared" si="1"/>
        <v>0</v>
      </c>
      <c r="AI31" s="1834"/>
      <c r="AJ31" s="579">
        <f t="shared" si="7"/>
        <v>0</v>
      </c>
      <c r="AK31" s="336"/>
    </row>
    <row r="32" spans="1:37" s="416" customFormat="1" ht="15">
      <c r="A32" s="2933" t="s">
        <v>23</v>
      </c>
      <c r="B32" s="1474" t="s">
        <v>23</v>
      </c>
      <c r="C32" s="1292" t="s">
        <v>1282</v>
      </c>
      <c r="D32" s="1213">
        <f t="shared" ref="D32:AC32" si="19">+D8+D20+D23+D27+D29+D30+D31</f>
        <v>0</v>
      </c>
      <c r="E32" s="2715">
        <f t="shared" si="19"/>
        <v>0</v>
      </c>
      <c r="F32" s="1213">
        <f t="shared" si="19"/>
        <v>424000000</v>
      </c>
      <c r="G32" s="1213">
        <f t="shared" si="19"/>
        <v>400000000</v>
      </c>
      <c r="H32" s="1213">
        <f t="shared" si="19"/>
        <v>330000000</v>
      </c>
      <c r="I32" s="1213">
        <f t="shared" si="19"/>
        <v>141276504</v>
      </c>
      <c r="J32" s="1213">
        <f t="shared" si="19"/>
        <v>141276504</v>
      </c>
      <c r="K32" s="3208">
        <f t="shared" si="19"/>
        <v>141276504</v>
      </c>
      <c r="L32" s="1213">
        <f t="shared" si="19"/>
        <v>424000000</v>
      </c>
      <c r="M32" s="1213">
        <f t="shared" si="19"/>
        <v>400000000</v>
      </c>
      <c r="N32" s="1213">
        <f t="shared" si="19"/>
        <v>330000000</v>
      </c>
      <c r="O32" s="1213">
        <f t="shared" si="19"/>
        <v>141276504</v>
      </c>
      <c r="P32" s="1213">
        <f t="shared" si="19"/>
        <v>141276504</v>
      </c>
      <c r="Q32" s="1213">
        <f t="shared" si="19"/>
        <v>141276504</v>
      </c>
      <c r="R32" s="1213">
        <f t="shared" si="19"/>
        <v>0</v>
      </c>
      <c r="S32" s="1213">
        <f t="shared" si="19"/>
        <v>0</v>
      </c>
      <c r="T32" s="1213">
        <f t="shared" si="19"/>
        <v>0</v>
      </c>
      <c r="U32" s="1213">
        <f t="shared" si="19"/>
        <v>0</v>
      </c>
      <c r="V32" s="1213">
        <f t="shared" si="19"/>
        <v>0</v>
      </c>
      <c r="W32" s="1213">
        <f t="shared" si="19"/>
        <v>0</v>
      </c>
      <c r="X32" s="1213">
        <f t="shared" si="19"/>
        <v>0</v>
      </c>
      <c r="Y32" s="1213">
        <f t="shared" si="19"/>
        <v>0</v>
      </c>
      <c r="Z32" s="1213">
        <f t="shared" si="19"/>
        <v>0</v>
      </c>
      <c r="AA32" s="1213">
        <f t="shared" si="19"/>
        <v>0</v>
      </c>
      <c r="AB32" s="1213">
        <f t="shared" si="19"/>
        <v>0</v>
      </c>
      <c r="AC32" s="1213">
        <f t="shared" si="19"/>
        <v>0</v>
      </c>
      <c r="AD32" s="1283"/>
      <c r="AE32" s="1213">
        <f t="shared" si="1"/>
        <v>-24000000</v>
      </c>
      <c r="AF32" s="1213">
        <f t="shared" si="1"/>
        <v>-70000000</v>
      </c>
      <c r="AG32" s="1213">
        <f t="shared" si="1"/>
        <v>-188723496</v>
      </c>
      <c r="AH32" s="2919">
        <f t="shared" si="1"/>
        <v>0</v>
      </c>
      <c r="AI32" s="1829">
        <f>+K32/I32</f>
        <v>1</v>
      </c>
      <c r="AJ32" s="579">
        <f t="shared" si="7"/>
        <v>424000000</v>
      </c>
      <c r="AK32" s="322"/>
    </row>
    <row r="33" spans="1:38" s="424" customFormat="1" ht="15">
      <c r="A33" s="2975" t="s">
        <v>25</v>
      </c>
      <c r="B33" s="1282" t="s">
        <v>25</v>
      </c>
      <c r="C33" s="1292" t="s">
        <v>1305</v>
      </c>
      <c r="D33" s="1213">
        <f t="shared" ref="D33:AC33" si="20">SUM(D34:D36)</f>
        <v>0</v>
      </c>
      <c r="E33" s="2715">
        <f t="shared" si="20"/>
        <v>2000000</v>
      </c>
      <c r="F33" s="1213">
        <f t="shared" si="20"/>
        <v>0</v>
      </c>
      <c r="G33" s="1213">
        <f t="shared" si="20"/>
        <v>25965906</v>
      </c>
      <c r="H33" s="1213">
        <f t="shared" si="20"/>
        <v>96311206</v>
      </c>
      <c r="I33" s="1213">
        <f t="shared" si="20"/>
        <v>128714211</v>
      </c>
      <c r="J33" s="1213">
        <f t="shared" si="20"/>
        <v>128714211</v>
      </c>
      <c r="K33" s="3208">
        <f>SUM(K34:K36)</f>
        <v>128714211</v>
      </c>
      <c r="L33" s="1213">
        <f t="shared" si="20"/>
        <v>0</v>
      </c>
      <c r="M33" s="1213">
        <f t="shared" si="20"/>
        <v>25965906</v>
      </c>
      <c r="N33" s="1213">
        <f t="shared" si="20"/>
        <v>96311206</v>
      </c>
      <c r="O33" s="1213">
        <f t="shared" si="20"/>
        <v>128714211</v>
      </c>
      <c r="P33" s="1213">
        <f t="shared" si="20"/>
        <v>128714211</v>
      </c>
      <c r="Q33" s="1213">
        <f t="shared" si="20"/>
        <v>128714211</v>
      </c>
      <c r="R33" s="1213">
        <f t="shared" si="20"/>
        <v>0</v>
      </c>
      <c r="S33" s="1213">
        <f t="shared" si="20"/>
        <v>0</v>
      </c>
      <c r="T33" s="1213">
        <f t="shared" si="20"/>
        <v>0</v>
      </c>
      <c r="U33" s="1213">
        <f t="shared" si="20"/>
        <v>0</v>
      </c>
      <c r="V33" s="1213">
        <f t="shared" si="20"/>
        <v>0</v>
      </c>
      <c r="W33" s="1213">
        <f t="shared" si="20"/>
        <v>0</v>
      </c>
      <c r="X33" s="1213">
        <f t="shared" si="20"/>
        <v>0</v>
      </c>
      <c r="Y33" s="1213">
        <f t="shared" si="20"/>
        <v>0</v>
      </c>
      <c r="Z33" s="1213">
        <f t="shared" si="20"/>
        <v>0</v>
      </c>
      <c r="AA33" s="1213">
        <f t="shared" si="20"/>
        <v>0</v>
      </c>
      <c r="AB33" s="1213">
        <f t="shared" si="20"/>
        <v>0</v>
      </c>
      <c r="AC33" s="1213">
        <f t="shared" si="20"/>
        <v>0</v>
      </c>
      <c r="AD33" s="1284"/>
      <c r="AE33" s="1213">
        <f t="shared" si="1"/>
        <v>25965906</v>
      </c>
      <c r="AF33" s="1213">
        <f t="shared" si="1"/>
        <v>70345300</v>
      </c>
      <c r="AG33" s="1213">
        <f t="shared" si="1"/>
        <v>32403005</v>
      </c>
      <c r="AH33" s="2919">
        <f t="shared" si="1"/>
        <v>0</v>
      </c>
      <c r="AI33" s="1829">
        <f>+K33/I33</f>
        <v>1</v>
      </c>
      <c r="AJ33" s="579">
        <f t="shared" si="7"/>
        <v>0</v>
      </c>
      <c r="AK33" s="322"/>
    </row>
    <row r="34" spans="1:38" s="424" customFormat="1" ht="15">
      <c r="A34" s="2975"/>
      <c r="B34" s="1477" t="s">
        <v>1284</v>
      </c>
      <c r="C34" s="1286" t="s">
        <v>1285</v>
      </c>
      <c r="D34" s="1291">
        <v>0</v>
      </c>
      <c r="E34" s="2717">
        <v>0</v>
      </c>
      <c r="F34" s="1291">
        <v>0</v>
      </c>
      <c r="G34" s="1227">
        <f>+F34+1965906</f>
        <v>1965906</v>
      </c>
      <c r="H34" s="1227">
        <f t="shared" ref="G34:J36" si="21">+G34</f>
        <v>1965906</v>
      </c>
      <c r="I34" s="1227">
        <f t="shared" si="21"/>
        <v>1965906</v>
      </c>
      <c r="J34" s="1291">
        <f t="shared" si="21"/>
        <v>1965906</v>
      </c>
      <c r="K34" s="3219">
        <v>1965906</v>
      </c>
      <c r="L34" s="1291">
        <v>0</v>
      </c>
      <c r="M34" s="1227">
        <f>+L34+1965906</f>
        <v>1965906</v>
      </c>
      <c r="N34" s="1227">
        <f t="shared" ref="M34:P36" si="22">+M34</f>
        <v>1965906</v>
      </c>
      <c r="O34" s="1227">
        <f t="shared" si="22"/>
        <v>1965906</v>
      </c>
      <c r="P34" s="1227">
        <f t="shared" si="22"/>
        <v>1965906</v>
      </c>
      <c r="Q34" s="1291">
        <f>+K34</f>
        <v>1965906</v>
      </c>
      <c r="R34" s="1291">
        <v>0</v>
      </c>
      <c r="S34" s="1291">
        <f t="shared" ref="S34:V36" si="23">+R34</f>
        <v>0</v>
      </c>
      <c r="T34" s="1213">
        <f t="shared" si="23"/>
        <v>0</v>
      </c>
      <c r="U34" s="1291">
        <f t="shared" si="23"/>
        <v>0</v>
      </c>
      <c r="V34" s="1291">
        <f t="shared" si="23"/>
        <v>0</v>
      </c>
      <c r="W34" s="1291">
        <v>0</v>
      </c>
      <c r="X34" s="1213"/>
      <c r="Y34" s="1213">
        <f t="shared" ref="Y34:AC36" si="24">+X34</f>
        <v>0</v>
      </c>
      <c r="Z34" s="1213">
        <f t="shared" si="24"/>
        <v>0</v>
      </c>
      <c r="AA34" s="1213">
        <f t="shared" si="24"/>
        <v>0</v>
      </c>
      <c r="AB34" s="1213">
        <f t="shared" si="24"/>
        <v>0</v>
      </c>
      <c r="AC34" s="1213">
        <f t="shared" si="24"/>
        <v>0</v>
      </c>
      <c r="AD34" s="2947"/>
      <c r="AE34" s="1213">
        <f t="shared" si="1"/>
        <v>1965906</v>
      </c>
      <c r="AF34" s="1213">
        <f t="shared" si="1"/>
        <v>0</v>
      </c>
      <c r="AG34" s="1213">
        <f t="shared" si="1"/>
        <v>0</v>
      </c>
      <c r="AH34" s="2919">
        <f t="shared" si="1"/>
        <v>0</v>
      </c>
      <c r="AI34" s="1860">
        <f>+K34/I34</f>
        <v>1</v>
      </c>
      <c r="AJ34" s="579">
        <f t="shared" si="7"/>
        <v>0</v>
      </c>
      <c r="AK34" s="329"/>
    </row>
    <row r="35" spans="1:38" s="424" customFormat="1" ht="15">
      <c r="A35" s="2933"/>
      <c r="B35" s="1477" t="s">
        <v>1286</v>
      </c>
      <c r="C35" s="1286" t="s">
        <v>1287</v>
      </c>
      <c r="D35" s="1227">
        <v>0</v>
      </c>
      <c r="E35" s="2719">
        <v>0</v>
      </c>
      <c r="F35" s="1227">
        <v>0</v>
      </c>
      <c r="G35" s="1227">
        <f t="shared" si="21"/>
        <v>0</v>
      </c>
      <c r="H35" s="1227">
        <f t="shared" si="21"/>
        <v>0</v>
      </c>
      <c r="I35" s="1227">
        <f t="shared" si="21"/>
        <v>0</v>
      </c>
      <c r="J35" s="1227">
        <f t="shared" si="21"/>
        <v>0</v>
      </c>
      <c r="K35" s="3209">
        <v>0</v>
      </c>
      <c r="L35" s="1227">
        <v>0</v>
      </c>
      <c r="M35" s="1227">
        <f t="shared" si="22"/>
        <v>0</v>
      </c>
      <c r="N35" s="1227">
        <f t="shared" si="22"/>
        <v>0</v>
      </c>
      <c r="O35" s="1227">
        <f t="shared" si="22"/>
        <v>0</v>
      </c>
      <c r="P35" s="1227">
        <f t="shared" si="22"/>
        <v>0</v>
      </c>
      <c r="Q35" s="1227">
        <f>+K35</f>
        <v>0</v>
      </c>
      <c r="R35" s="1227">
        <v>0</v>
      </c>
      <c r="S35" s="1227">
        <f t="shared" si="23"/>
        <v>0</v>
      </c>
      <c r="T35" s="1227">
        <f t="shared" si="23"/>
        <v>0</v>
      </c>
      <c r="U35" s="1227">
        <f t="shared" si="23"/>
        <v>0</v>
      </c>
      <c r="V35" s="1227">
        <f t="shared" si="23"/>
        <v>0</v>
      </c>
      <c r="W35" s="1227">
        <v>0</v>
      </c>
      <c r="X35" s="1227"/>
      <c r="Y35" s="1227">
        <f t="shared" si="24"/>
        <v>0</v>
      </c>
      <c r="Z35" s="1227">
        <f t="shared" si="24"/>
        <v>0</v>
      </c>
      <c r="AA35" s="1227">
        <f t="shared" si="24"/>
        <v>0</v>
      </c>
      <c r="AB35" s="1227">
        <f t="shared" si="24"/>
        <v>0</v>
      </c>
      <c r="AC35" s="1227">
        <f t="shared" si="24"/>
        <v>0</v>
      </c>
      <c r="AD35" s="1284"/>
      <c r="AE35" s="1213">
        <f t="shared" si="1"/>
        <v>0</v>
      </c>
      <c r="AF35" s="1213">
        <f t="shared" si="1"/>
        <v>0</v>
      </c>
      <c r="AG35" s="1213">
        <f t="shared" si="1"/>
        <v>0</v>
      </c>
      <c r="AH35" s="2919">
        <f t="shared" si="1"/>
        <v>0</v>
      </c>
      <c r="AI35" s="1834"/>
      <c r="AJ35" s="579">
        <f t="shared" si="7"/>
        <v>0</v>
      </c>
      <c r="AK35" s="339"/>
    </row>
    <row r="36" spans="1:38" s="424" customFormat="1" ht="15">
      <c r="A36" s="2976"/>
      <c r="B36" s="1477" t="s">
        <v>1288</v>
      </c>
      <c r="C36" s="1286" t="s">
        <v>1289</v>
      </c>
      <c r="D36" s="1227">
        <v>0</v>
      </c>
      <c r="E36" s="2719">
        <v>2000000</v>
      </c>
      <c r="F36" s="1227">
        <v>0</v>
      </c>
      <c r="G36" s="1227">
        <f>+F36+24000000</f>
        <v>24000000</v>
      </c>
      <c r="H36" s="1227">
        <f>+G36+9000*12+237300+20000000+50000000</f>
        <v>94345300</v>
      </c>
      <c r="I36" s="1227">
        <f>+H36+1653540+1045464+10000000+237300+19466701</f>
        <v>126748305</v>
      </c>
      <c r="J36" s="1227">
        <f t="shared" si="21"/>
        <v>126748305</v>
      </c>
      <c r="K36" s="3209">
        <v>126748305</v>
      </c>
      <c r="L36" s="1227">
        <f>+F36</f>
        <v>0</v>
      </c>
      <c r="M36" s="1227">
        <f>+L36+24000000</f>
        <v>24000000</v>
      </c>
      <c r="N36" s="1227">
        <f>+M36+9000*12+237300+20000000+50000000</f>
        <v>94345300</v>
      </c>
      <c r="O36" s="1227">
        <f>+N36+1653540+1045464+10000000+237300+19466701</f>
        <v>126748305</v>
      </c>
      <c r="P36" s="1227">
        <f t="shared" si="22"/>
        <v>126748305</v>
      </c>
      <c r="Q36" s="1227">
        <f>+K36</f>
        <v>126748305</v>
      </c>
      <c r="R36" s="1227">
        <v>0</v>
      </c>
      <c r="S36" s="1227">
        <f>+R36</f>
        <v>0</v>
      </c>
      <c r="T36" s="1227">
        <f t="shared" si="23"/>
        <v>0</v>
      </c>
      <c r="U36" s="1227">
        <f t="shared" si="23"/>
        <v>0</v>
      </c>
      <c r="V36" s="1227">
        <f t="shared" si="23"/>
        <v>0</v>
      </c>
      <c r="W36" s="1227">
        <v>0</v>
      </c>
      <c r="X36" s="1227"/>
      <c r="Y36" s="1227">
        <f t="shared" si="24"/>
        <v>0</v>
      </c>
      <c r="Z36" s="1227">
        <f t="shared" si="24"/>
        <v>0</v>
      </c>
      <c r="AA36" s="1227">
        <f t="shared" si="24"/>
        <v>0</v>
      </c>
      <c r="AB36" s="1227">
        <f t="shared" si="24"/>
        <v>0</v>
      </c>
      <c r="AC36" s="1227">
        <f t="shared" si="24"/>
        <v>0</v>
      </c>
      <c r="AD36" s="1284"/>
      <c r="AE36" s="1213">
        <f t="shared" si="1"/>
        <v>24000000</v>
      </c>
      <c r="AF36" s="1213">
        <f t="shared" si="1"/>
        <v>70345300</v>
      </c>
      <c r="AG36" s="1213">
        <f t="shared" si="1"/>
        <v>32403005</v>
      </c>
      <c r="AH36" s="2919">
        <f t="shared" si="1"/>
        <v>0</v>
      </c>
      <c r="AI36" s="1860">
        <f>+K36/I36</f>
        <v>1</v>
      </c>
      <c r="AJ36" s="579">
        <f t="shared" si="7"/>
        <v>0</v>
      </c>
      <c r="AK36" s="2627"/>
    </row>
    <row r="37" spans="1:38" s="405" customFormat="1" ht="15.75">
      <c r="A37" s="2975" t="s">
        <v>27</v>
      </c>
      <c r="B37" s="1475" t="s">
        <v>27</v>
      </c>
      <c r="C37" s="1297" t="s">
        <v>1290</v>
      </c>
      <c r="D37" s="1298">
        <f t="shared" ref="D37:AC37" si="25">+D32+D33</f>
        <v>0</v>
      </c>
      <c r="E37" s="2720">
        <f t="shared" si="25"/>
        <v>2000000</v>
      </c>
      <c r="F37" s="1298">
        <f t="shared" si="25"/>
        <v>424000000</v>
      </c>
      <c r="G37" s="1298">
        <f t="shared" si="25"/>
        <v>425965906</v>
      </c>
      <c r="H37" s="1298">
        <f t="shared" si="25"/>
        <v>426311206</v>
      </c>
      <c r="I37" s="1298">
        <f t="shared" si="25"/>
        <v>269990715</v>
      </c>
      <c r="J37" s="1298">
        <f t="shared" si="25"/>
        <v>269990715</v>
      </c>
      <c r="K37" s="3210">
        <f t="shared" si="25"/>
        <v>269990715</v>
      </c>
      <c r="L37" s="1298">
        <f t="shared" si="25"/>
        <v>424000000</v>
      </c>
      <c r="M37" s="1298">
        <f t="shared" si="25"/>
        <v>425965906</v>
      </c>
      <c r="N37" s="1298">
        <f t="shared" si="25"/>
        <v>426311206</v>
      </c>
      <c r="O37" s="1298">
        <f t="shared" si="25"/>
        <v>269990715</v>
      </c>
      <c r="P37" s="1298">
        <f t="shared" si="25"/>
        <v>269990715</v>
      </c>
      <c r="Q37" s="1298">
        <f t="shared" si="25"/>
        <v>269990715</v>
      </c>
      <c r="R37" s="1298">
        <f t="shared" si="25"/>
        <v>0</v>
      </c>
      <c r="S37" s="1298">
        <f t="shared" si="25"/>
        <v>0</v>
      </c>
      <c r="T37" s="1298">
        <f t="shared" si="25"/>
        <v>0</v>
      </c>
      <c r="U37" s="1298">
        <f t="shared" si="25"/>
        <v>0</v>
      </c>
      <c r="V37" s="1298">
        <f t="shared" si="25"/>
        <v>0</v>
      </c>
      <c r="W37" s="1298">
        <f t="shared" si="25"/>
        <v>0</v>
      </c>
      <c r="X37" s="1298">
        <f t="shared" si="25"/>
        <v>0</v>
      </c>
      <c r="Y37" s="1298">
        <f t="shared" si="25"/>
        <v>0</v>
      </c>
      <c r="Z37" s="1298">
        <f t="shared" si="25"/>
        <v>0</v>
      </c>
      <c r="AA37" s="1298">
        <f t="shared" si="25"/>
        <v>0</v>
      </c>
      <c r="AB37" s="1298">
        <f t="shared" si="25"/>
        <v>0</v>
      </c>
      <c r="AC37" s="1298">
        <f t="shared" si="25"/>
        <v>0</v>
      </c>
      <c r="AD37" s="1284"/>
      <c r="AE37" s="1213">
        <f t="shared" si="1"/>
        <v>1965906</v>
      </c>
      <c r="AF37" s="1213">
        <f t="shared" si="1"/>
        <v>345300</v>
      </c>
      <c r="AG37" s="1213">
        <f t="shared" si="1"/>
        <v>-156320491</v>
      </c>
      <c r="AH37" s="2919">
        <f t="shared" si="1"/>
        <v>0</v>
      </c>
      <c r="AI37" s="1829">
        <f>+K37/I37</f>
        <v>1</v>
      </c>
      <c r="AJ37" s="579">
        <f t="shared" si="7"/>
        <v>424000000</v>
      </c>
      <c r="AK37" s="347"/>
    </row>
    <row r="38" spans="1:38" s="439" customFormat="1" ht="15">
      <c r="A38" s="2917"/>
      <c r="B38" s="2922"/>
      <c r="C38" s="2923"/>
      <c r="D38" s="2924"/>
      <c r="E38" s="2925"/>
      <c r="F38" s="2924"/>
      <c r="G38" s="2924"/>
      <c r="H38" s="2924"/>
      <c r="I38" s="2924"/>
      <c r="J38" s="2924"/>
      <c r="K38" s="3223"/>
      <c r="L38" s="2929"/>
      <c r="M38" s="2929"/>
      <c r="N38" s="2929"/>
      <c r="O38" s="2929"/>
      <c r="P38" s="2929"/>
      <c r="Q38" s="2929"/>
      <c r="R38" s="2929"/>
      <c r="S38" s="2929"/>
      <c r="T38" s="2929"/>
      <c r="U38" s="2929"/>
      <c r="V38" s="2929"/>
      <c r="W38" s="2929"/>
      <c r="X38" s="2929"/>
      <c r="Y38" s="2929"/>
      <c r="Z38" s="2929"/>
      <c r="AA38" s="2929"/>
      <c r="AB38" s="2929"/>
      <c r="AC38" s="2929"/>
      <c r="AD38" s="2930"/>
      <c r="AE38" s="2928"/>
      <c r="AF38" s="2928"/>
      <c r="AG38" s="2928"/>
      <c r="AH38" s="2919">
        <f t="shared" si="1"/>
        <v>0</v>
      </c>
      <c r="AI38" s="1862"/>
      <c r="AJ38" s="579"/>
      <c r="AK38" s="347"/>
    </row>
    <row r="39" spans="1:38" ht="15">
      <c r="A39" s="2932"/>
      <c r="B39" s="1285"/>
      <c r="C39" s="1548" t="str">
        <f t="shared" ref="C39:T40" si="26">+C4</f>
        <v>A</v>
      </c>
      <c r="D39" s="1549" t="str">
        <f t="shared" si="26"/>
        <v>B</v>
      </c>
      <c r="E39" s="2960" t="str">
        <f t="shared" si="26"/>
        <v>B</v>
      </c>
      <c r="F39" s="1345" t="str">
        <f t="shared" si="26"/>
        <v>B</v>
      </c>
      <c r="G39" s="1345" t="str">
        <f t="shared" si="26"/>
        <v>D</v>
      </c>
      <c r="H39" s="1345" t="str">
        <f t="shared" si="26"/>
        <v>E</v>
      </c>
      <c r="I39" s="1345" t="str">
        <f t="shared" si="26"/>
        <v>C</v>
      </c>
      <c r="J39" s="1345" t="str">
        <f t="shared" si="26"/>
        <v>F</v>
      </c>
      <c r="K39" s="1345" t="str">
        <f t="shared" si="26"/>
        <v>D</v>
      </c>
      <c r="L39" s="1345" t="str">
        <f t="shared" si="26"/>
        <v>E</v>
      </c>
      <c r="M39" s="1345" t="str">
        <f t="shared" si="26"/>
        <v>F</v>
      </c>
      <c r="N39" s="1345" t="str">
        <f t="shared" si="26"/>
        <v>F</v>
      </c>
      <c r="O39" s="1345" t="str">
        <f t="shared" si="26"/>
        <v>E</v>
      </c>
      <c r="P39" s="1345">
        <f t="shared" si="26"/>
        <v>0</v>
      </c>
      <c r="Q39" s="1345" t="str">
        <f t="shared" si="26"/>
        <v>F</v>
      </c>
      <c r="R39" s="1345" t="str">
        <f t="shared" si="26"/>
        <v>E</v>
      </c>
      <c r="S39" s="1345" t="str">
        <f t="shared" si="26"/>
        <v>E</v>
      </c>
      <c r="T39" s="1345" t="str">
        <f t="shared" si="26"/>
        <v>G</v>
      </c>
      <c r="U39" s="1345" t="str">
        <f>+U4</f>
        <v>G</v>
      </c>
      <c r="V39" s="1345">
        <f>+V4</f>
        <v>0</v>
      </c>
      <c r="W39" s="1345" t="str">
        <f>+W4</f>
        <v>H</v>
      </c>
      <c r="X39" s="2961"/>
      <c r="Y39" s="2961"/>
      <c r="Z39" s="2961"/>
      <c r="AA39" s="2961"/>
      <c r="AB39" s="2961"/>
      <c r="AC39" s="2961"/>
      <c r="AD39" s="2962"/>
      <c r="AE39" s="1213"/>
      <c r="AF39" s="1345" t="str">
        <f>+AF4</f>
        <v>H</v>
      </c>
      <c r="AG39" s="1301" t="str">
        <f>+AG4</f>
        <v>I</v>
      </c>
      <c r="AH39" s="1551"/>
      <c r="AI39" s="1845" t="str">
        <f>+AI4</f>
        <v>I</v>
      </c>
      <c r="AJ39" s="579"/>
      <c r="AK39" s="2628"/>
      <c r="AL39" s="439"/>
    </row>
    <row r="40" spans="1:38" ht="73.5">
      <c r="A40" s="2933"/>
      <c r="B40" s="1278" t="s">
        <v>6</v>
      </c>
      <c r="C40" s="1276" t="str">
        <f t="shared" si="26"/>
        <v>Kiemelt előirányzat, előirányzat megnevezése</v>
      </c>
      <c r="D40" s="1278" t="str">
        <f t="shared" si="26"/>
        <v>2024. évi eredeti előirányzat
forintban</v>
      </c>
      <c r="E40" s="2596" t="str">
        <f>+E5</f>
        <v>2024. évi teljesítés forintban</v>
      </c>
      <c r="F40" s="1276" t="str">
        <f t="shared" si="26"/>
        <v>2025. évi eredeti előirányzat forintban</v>
      </c>
      <c r="G40" s="1276" t="str">
        <f t="shared" si="26"/>
        <v>2025. évi I. számú módosított előirányzat
forintban</v>
      </c>
      <c r="H40" s="1276" t="str">
        <f t="shared" si="26"/>
        <v>2025. évi II. számú módosított előirányzat forintban</v>
      </c>
      <c r="I40" s="1276" t="str">
        <f t="shared" si="26"/>
        <v>2025. évi III. számú módosított előirányzat forintban</v>
      </c>
      <c r="J40" s="1276" t="str">
        <f t="shared" si="26"/>
        <v>2025. évi IV. számú módosított előirányzat forintban</v>
      </c>
      <c r="K40" s="3197" t="str">
        <f t="shared" si="26"/>
        <v>2025. évi
teljesítés forintban</v>
      </c>
      <c r="L40" s="1276" t="str">
        <f t="shared" si="26"/>
        <v>Önként vállalt feladat forintban</v>
      </c>
      <c r="M40" s="1276" t="str">
        <f t="shared" si="26"/>
        <v>Önként vállalt feladat I. módosítás
forintban</v>
      </c>
      <c r="N40" s="1276" t="str">
        <f t="shared" si="26"/>
        <v>Önként vállalt feladat II. módosítás forintban</v>
      </c>
      <c r="O40" s="1276" t="str">
        <f t="shared" si="26"/>
        <v>Önként vállalt feladat III. módosítás forintban</v>
      </c>
      <c r="P40" s="1276" t="str">
        <f t="shared" si="26"/>
        <v>Önként vállalt feladat IV. módosítás  forintban</v>
      </c>
      <c r="Q40" s="1276" t="str">
        <f t="shared" si="26"/>
        <v>Önként vállalt teljesítés  forintban</v>
      </c>
      <c r="R40" s="1276" t="str">
        <f t="shared" si="26"/>
        <v>Kötelező feladat forintban</v>
      </c>
      <c r="S40" s="1276" t="str">
        <f t="shared" si="26"/>
        <v>Kötelező feladat 
I. módosítás
forintban</v>
      </c>
      <c r="T40" s="1276" t="str">
        <f t="shared" si="26"/>
        <v>Kötelező feladat II. módosítás forintban</v>
      </c>
      <c r="U40" s="1276" t="str">
        <f t="shared" ref="U40:AJ40" si="27">+U5</f>
        <v>Kötelező feladat III. módosítás  forintban</v>
      </c>
      <c r="V40" s="1278" t="str">
        <f t="shared" si="27"/>
        <v>Kötelező feladat IV. módosítás  forintban</v>
      </c>
      <c r="W40" s="1278" t="str">
        <f t="shared" si="27"/>
        <v>Kötelező teljesítés  forintban</v>
      </c>
      <c r="X40" s="1278">
        <f t="shared" si="27"/>
        <v>0</v>
      </c>
      <c r="Y40" s="1278">
        <f t="shared" si="27"/>
        <v>0</v>
      </c>
      <c r="Z40" s="1278">
        <f t="shared" si="27"/>
        <v>0</v>
      </c>
      <c r="AA40" s="1278">
        <f t="shared" si="27"/>
        <v>0</v>
      </c>
      <c r="AB40" s="1278">
        <f t="shared" si="27"/>
        <v>0</v>
      </c>
      <c r="AC40" s="1278">
        <f t="shared" si="27"/>
        <v>0</v>
      </c>
      <c r="AD40" s="1278"/>
      <c r="AE40" s="1278" t="str">
        <f t="shared" si="27"/>
        <v>I. változás</v>
      </c>
      <c r="AF40" s="1278" t="str">
        <f t="shared" si="27"/>
        <v>Előirányzat-módosítások, előirányzat-átcsoportosítások összegszerű változásai</v>
      </c>
      <c r="AG40" s="2916" t="str">
        <f t="shared" si="27"/>
        <v>Előirányzat-módosítások, előirányzat-átcsoportosítások összegszerű változásai a III. módosításnál</v>
      </c>
      <c r="AH40" s="1854" t="str">
        <f t="shared" si="27"/>
        <v>IV. változás</v>
      </c>
      <c r="AI40" s="1825" t="str">
        <f t="shared" si="27"/>
        <v xml:space="preserve"> 2025. évi teljesítés / 2025. évi III. számú módosított előirányzat</v>
      </c>
      <c r="AJ40" s="1854" t="str">
        <f t="shared" si="27"/>
        <v>Változás Eredeti előző évhez 
Ft-ban</v>
      </c>
      <c r="AK40" s="2629"/>
      <c r="AL40" s="439"/>
    </row>
    <row r="41" spans="1:38" ht="15">
      <c r="A41" s="2934" t="s">
        <v>6</v>
      </c>
      <c r="B41" s="2946" t="s">
        <v>3353</v>
      </c>
      <c r="C41" s="1292" t="s">
        <v>1291</v>
      </c>
      <c r="D41" s="1213">
        <f t="shared" ref="D41:AC41" si="28">SUM(D42:D46)</f>
        <v>0</v>
      </c>
      <c r="E41" s="2715">
        <f t="shared" si="28"/>
        <v>34094</v>
      </c>
      <c r="F41" s="1213">
        <f t="shared" si="28"/>
        <v>290962060</v>
      </c>
      <c r="G41" s="1213">
        <f t="shared" si="28"/>
        <v>292159946</v>
      </c>
      <c r="H41" s="1213">
        <f t="shared" si="28"/>
        <v>292505246</v>
      </c>
      <c r="I41" s="1213">
        <f t="shared" si="28"/>
        <v>243564843</v>
      </c>
      <c r="J41" s="1213">
        <f t="shared" si="28"/>
        <v>243564843</v>
      </c>
      <c r="K41" s="3208">
        <f t="shared" si="28"/>
        <v>98786456</v>
      </c>
      <c r="L41" s="1213">
        <f t="shared" si="28"/>
        <v>290962060</v>
      </c>
      <c r="M41" s="1213">
        <f t="shared" si="28"/>
        <v>292159946</v>
      </c>
      <c r="N41" s="1213">
        <f t="shared" si="28"/>
        <v>292505246</v>
      </c>
      <c r="O41" s="1213">
        <f t="shared" si="28"/>
        <v>243564843</v>
      </c>
      <c r="P41" s="1213">
        <f t="shared" si="28"/>
        <v>243564843</v>
      </c>
      <c r="Q41" s="1213">
        <f t="shared" si="28"/>
        <v>98786456</v>
      </c>
      <c r="R41" s="1213">
        <f t="shared" si="28"/>
        <v>0</v>
      </c>
      <c r="S41" s="1213">
        <f t="shared" si="28"/>
        <v>0</v>
      </c>
      <c r="T41" s="1213">
        <f t="shared" si="28"/>
        <v>0</v>
      </c>
      <c r="U41" s="1213">
        <f t="shared" si="28"/>
        <v>0</v>
      </c>
      <c r="V41" s="1213">
        <f t="shared" si="28"/>
        <v>0</v>
      </c>
      <c r="W41" s="1213">
        <f t="shared" si="28"/>
        <v>0</v>
      </c>
      <c r="X41" s="1213">
        <f t="shared" si="28"/>
        <v>0</v>
      </c>
      <c r="Y41" s="1213">
        <f t="shared" si="28"/>
        <v>0</v>
      </c>
      <c r="Z41" s="1213">
        <f t="shared" si="28"/>
        <v>0</v>
      </c>
      <c r="AA41" s="1213">
        <f t="shared" si="28"/>
        <v>0</v>
      </c>
      <c r="AB41" s="1213">
        <f t="shared" si="28"/>
        <v>0</v>
      </c>
      <c r="AC41" s="1213">
        <f t="shared" si="28"/>
        <v>0</v>
      </c>
      <c r="AD41" s="1284"/>
      <c r="AE41" s="1213">
        <f t="shared" si="1"/>
        <v>1197886</v>
      </c>
      <c r="AF41" s="1213">
        <f t="shared" si="1"/>
        <v>345300</v>
      </c>
      <c r="AG41" s="1213">
        <f t="shared" si="1"/>
        <v>-48940403</v>
      </c>
      <c r="AH41" s="2919">
        <f t="shared" si="1"/>
        <v>0</v>
      </c>
      <c r="AI41" s="1829">
        <f t="shared" ref="AI41:AI54" si="29">+K41/I41</f>
        <v>0.40558585871114411</v>
      </c>
      <c r="AJ41" s="579">
        <f t="shared" ref="AJ41:AJ54" si="30">+F41-D41</f>
        <v>290962060</v>
      </c>
      <c r="AK41" s="2630"/>
      <c r="AL41" s="439"/>
    </row>
    <row r="42" spans="1:38" ht="15">
      <c r="A42" s="2934"/>
      <c r="B42" s="2948" t="s">
        <v>176</v>
      </c>
      <c r="C42" s="1290" t="s">
        <v>147</v>
      </c>
      <c r="D42" s="1227">
        <v>0</v>
      </c>
      <c r="E42" s="2719">
        <v>33880</v>
      </c>
      <c r="F42" s="1227">
        <v>127416547</v>
      </c>
      <c r="G42" s="1227">
        <f>F42</f>
        <v>127416547</v>
      </c>
      <c r="H42" s="1227">
        <f>G42+9000*12+210000</f>
        <v>127734547</v>
      </c>
      <c r="I42" s="1227">
        <f>H42+210000-15406154+19466701</f>
        <v>132005094</v>
      </c>
      <c r="J42" s="1227">
        <f t="shared" ref="G42:J46" si="31">I42</f>
        <v>132005094</v>
      </c>
      <c r="K42" s="3209">
        <v>52424673</v>
      </c>
      <c r="L42" s="1227">
        <f>+F42</f>
        <v>127416547</v>
      </c>
      <c r="M42" s="1227">
        <f>+L42</f>
        <v>127416547</v>
      </c>
      <c r="N42" s="1227">
        <f>+M42+9000*12+210000</f>
        <v>127734547</v>
      </c>
      <c r="O42" s="1227">
        <f>+N42+210000-15406154+19466701</f>
        <v>132005094</v>
      </c>
      <c r="P42" s="1227">
        <f t="shared" ref="M42:P46" si="32">+O42</f>
        <v>132005094</v>
      </c>
      <c r="Q42" s="1227">
        <f>+K42</f>
        <v>52424673</v>
      </c>
      <c r="R42" s="1227">
        <v>0</v>
      </c>
      <c r="S42" s="1227">
        <f t="shared" ref="S42:V46" si="33">+R42</f>
        <v>0</v>
      </c>
      <c r="T42" s="1227">
        <f t="shared" si="33"/>
        <v>0</v>
      </c>
      <c r="U42" s="1227">
        <f t="shared" si="33"/>
        <v>0</v>
      </c>
      <c r="V42" s="1227">
        <f t="shared" si="33"/>
        <v>0</v>
      </c>
      <c r="W42" s="1227">
        <v>0</v>
      </c>
      <c r="X42" s="1227"/>
      <c r="Y42" s="1227">
        <f t="shared" ref="Y42:AC46" si="34">+X42</f>
        <v>0</v>
      </c>
      <c r="Z42" s="1227">
        <f t="shared" si="34"/>
        <v>0</v>
      </c>
      <c r="AA42" s="1227">
        <f t="shared" si="34"/>
        <v>0</v>
      </c>
      <c r="AB42" s="1227">
        <f t="shared" si="34"/>
        <v>0</v>
      </c>
      <c r="AC42" s="1227">
        <f t="shared" si="34"/>
        <v>0</v>
      </c>
      <c r="AD42" s="1665"/>
      <c r="AE42" s="1213">
        <f t="shared" si="1"/>
        <v>0</v>
      </c>
      <c r="AF42" s="1213">
        <f t="shared" si="1"/>
        <v>318000</v>
      </c>
      <c r="AG42" s="1213">
        <f t="shared" si="1"/>
        <v>4270547</v>
      </c>
      <c r="AH42" s="2919">
        <f t="shared" si="1"/>
        <v>0</v>
      </c>
      <c r="AI42" s="1860">
        <f t="shared" si="29"/>
        <v>0.39714128759303791</v>
      </c>
      <c r="AJ42" s="579">
        <f t="shared" si="30"/>
        <v>127416547</v>
      </c>
      <c r="AK42" s="1295"/>
      <c r="AL42" s="439"/>
    </row>
    <row r="43" spans="1:38" ht="15">
      <c r="A43" s="2934"/>
      <c r="B43" s="2948" t="s">
        <v>178</v>
      </c>
      <c r="C43" s="1290" t="s">
        <v>8</v>
      </c>
      <c r="D43" s="1227">
        <v>0</v>
      </c>
      <c r="E43" s="2719">
        <v>0</v>
      </c>
      <c r="F43" s="1227">
        <v>21886493</v>
      </c>
      <c r="G43" s="1227">
        <f t="shared" si="31"/>
        <v>21886493</v>
      </c>
      <c r="H43" s="1227">
        <f>G43+27300</f>
        <v>21913793</v>
      </c>
      <c r="I43" s="1227">
        <f>H43+27300</f>
        <v>21941093</v>
      </c>
      <c r="J43" s="1227">
        <f t="shared" si="31"/>
        <v>21941093</v>
      </c>
      <c r="K43" s="3209">
        <v>6448321</v>
      </c>
      <c r="L43" s="1227">
        <f>+F43</f>
        <v>21886493</v>
      </c>
      <c r="M43" s="1227">
        <f t="shared" si="32"/>
        <v>21886493</v>
      </c>
      <c r="N43" s="1227">
        <f>+M43+27300</f>
        <v>21913793</v>
      </c>
      <c r="O43" s="1227">
        <f>+N43+27300</f>
        <v>21941093</v>
      </c>
      <c r="P43" s="1227">
        <f t="shared" si="32"/>
        <v>21941093</v>
      </c>
      <c r="Q43" s="1227">
        <f>+K43</f>
        <v>6448321</v>
      </c>
      <c r="R43" s="1227">
        <v>0</v>
      </c>
      <c r="S43" s="1227">
        <f t="shared" si="33"/>
        <v>0</v>
      </c>
      <c r="T43" s="1227">
        <f t="shared" si="33"/>
        <v>0</v>
      </c>
      <c r="U43" s="1227">
        <f t="shared" si="33"/>
        <v>0</v>
      </c>
      <c r="V43" s="1227">
        <f t="shared" si="33"/>
        <v>0</v>
      </c>
      <c r="W43" s="1227">
        <v>0</v>
      </c>
      <c r="X43" s="1227"/>
      <c r="Y43" s="1227">
        <f t="shared" si="34"/>
        <v>0</v>
      </c>
      <c r="Z43" s="1227">
        <f t="shared" si="34"/>
        <v>0</v>
      </c>
      <c r="AA43" s="1227">
        <f t="shared" si="34"/>
        <v>0</v>
      </c>
      <c r="AB43" s="1227">
        <f t="shared" si="34"/>
        <v>0</v>
      </c>
      <c r="AC43" s="1227">
        <f t="shared" si="34"/>
        <v>0</v>
      </c>
      <c r="AD43" s="1665"/>
      <c r="AE43" s="1213">
        <f t="shared" si="1"/>
        <v>0</v>
      </c>
      <c r="AF43" s="1213">
        <f t="shared" si="1"/>
        <v>27300</v>
      </c>
      <c r="AG43" s="1213">
        <f t="shared" si="1"/>
        <v>27300</v>
      </c>
      <c r="AH43" s="2919">
        <f t="shared" si="1"/>
        <v>0</v>
      </c>
      <c r="AI43" s="1860">
        <f t="shared" si="29"/>
        <v>0.29389242368190133</v>
      </c>
      <c r="AJ43" s="579">
        <f t="shared" si="30"/>
        <v>21886493</v>
      </c>
      <c r="AK43" s="1295"/>
      <c r="AL43" s="439"/>
    </row>
    <row r="44" spans="1:38" ht="15">
      <c r="A44" s="2934"/>
      <c r="B44" s="2948" t="s">
        <v>179</v>
      </c>
      <c r="C44" s="1290" t="s">
        <v>317</v>
      </c>
      <c r="D44" s="1227">
        <v>0</v>
      </c>
      <c r="E44" s="2719">
        <v>214</v>
      </c>
      <c r="F44" s="1227">
        <v>141659020</v>
      </c>
      <c r="G44" s="1227">
        <f>F44+287192+910694</f>
        <v>142856906</v>
      </c>
      <c r="H44" s="1227">
        <f>G44</f>
        <v>142856906</v>
      </c>
      <c r="I44" s="1227">
        <f>H44+1653540+1045464+10000000+17602446-83539700</f>
        <v>89618656</v>
      </c>
      <c r="J44" s="1227">
        <f t="shared" si="31"/>
        <v>89618656</v>
      </c>
      <c r="K44" s="3209">
        <v>39913462</v>
      </c>
      <c r="L44" s="1227">
        <f>+F44</f>
        <v>141659020</v>
      </c>
      <c r="M44" s="1227">
        <f>+L44+287192+910694</f>
        <v>142856906</v>
      </c>
      <c r="N44" s="1227">
        <f>+M44</f>
        <v>142856906</v>
      </c>
      <c r="O44" s="1227">
        <f>+N44+1653540+1045464+10000000+17602446-83539700</f>
        <v>89618656</v>
      </c>
      <c r="P44" s="1227">
        <f t="shared" si="32"/>
        <v>89618656</v>
      </c>
      <c r="Q44" s="1227">
        <f>+K44</f>
        <v>39913462</v>
      </c>
      <c r="R44" s="1227">
        <v>0</v>
      </c>
      <c r="S44" s="1227">
        <f t="shared" si="33"/>
        <v>0</v>
      </c>
      <c r="T44" s="1227">
        <f t="shared" si="33"/>
        <v>0</v>
      </c>
      <c r="U44" s="1227">
        <f t="shared" si="33"/>
        <v>0</v>
      </c>
      <c r="V44" s="1227">
        <f t="shared" si="33"/>
        <v>0</v>
      </c>
      <c r="W44" s="1227">
        <v>0</v>
      </c>
      <c r="X44" s="1227"/>
      <c r="Y44" s="1227">
        <f t="shared" si="34"/>
        <v>0</v>
      </c>
      <c r="Z44" s="1227">
        <f t="shared" si="34"/>
        <v>0</v>
      </c>
      <c r="AA44" s="1227">
        <f t="shared" si="34"/>
        <v>0</v>
      </c>
      <c r="AB44" s="1227">
        <f t="shared" si="34"/>
        <v>0</v>
      </c>
      <c r="AC44" s="1227">
        <f t="shared" si="34"/>
        <v>0</v>
      </c>
      <c r="AD44" s="2947"/>
      <c r="AE44" s="1213">
        <f t="shared" si="1"/>
        <v>1197886</v>
      </c>
      <c r="AF44" s="1213">
        <f t="shared" si="1"/>
        <v>0</v>
      </c>
      <c r="AG44" s="1213">
        <f t="shared" si="1"/>
        <v>-53238250</v>
      </c>
      <c r="AH44" s="2919">
        <f t="shared" si="1"/>
        <v>0</v>
      </c>
      <c r="AI44" s="1860">
        <f t="shared" si="29"/>
        <v>0.4453700131365505</v>
      </c>
      <c r="AJ44" s="579">
        <f t="shared" si="30"/>
        <v>141659020</v>
      </c>
      <c r="AK44" s="1295"/>
    </row>
    <row r="45" spans="1:38" s="439" customFormat="1" ht="15">
      <c r="A45" s="2934"/>
      <c r="B45" s="2948" t="s">
        <v>180</v>
      </c>
      <c r="C45" s="1290" t="s">
        <v>318</v>
      </c>
      <c r="D45" s="1227">
        <v>0</v>
      </c>
      <c r="E45" s="2719">
        <v>0</v>
      </c>
      <c r="F45" s="1227">
        <v>0</v>
      </c>
      <c r="G45" s="1227">
        <f t="shared" si="31"/>
        <v>0</v>
      </c>
      <c r="H45" s="1227">
        <f t="shared" si="31"/>
        <v>0</v>
      </c>
      <c r="I45" s="1227">
        <f t="shared" si="31"/>
        <v>0</v>
      </c>
      <c r="J45" s="1227">
        <f t="shared" si="31"/>
        <v>0</v>
      </c>
      <c r="K45" s="3209">
        <v>0</v>
      </c>
      <c r="L45" s="1227">
        <f>+F45</f>
        <v>0</v>
      </c>
      <c r="M45" s="1227">
        <f t="shared" si="32"/>
        <v>0</v>
      </c>
      <c r="N45" s="1227">
        <f t="shared" si="32"/>
        <v>0</v>
      </c>
      <c r="O45" s="1227">
        <f t="shared" si="32"/>
        <v>0</v>
      </c>
      <c r="P45" s="1227">
        <f t="shared" si="32"/>
        <v>0</v>
      </c>
      <c r="Q45" s="1227">
        <f>+K45</f>
        <v>0</v>
      </c>
      <c r="R45" s="1227">
        <v>0</v>
      </c>
      <c r="S45" s="1227">
        <f t="shared" si="33"/>
        <v>0</v>
      </c>
      <c r="T45" s="1227">
        <f t="shared" si="33"/>
        <v>0</v>
      </c>
      <c r="U45" s="1227">
        <f t="shared" si="33"/>
        <v>0</v>
      </c>
      <c r="V45" s="1227">
        <f t="shared" si="33"/>
        <v>0</v>
      </c>
      <c r="W45" s="1227">
        <v>0</v>
      </c>
      <c r="X45" s="1227"/>
      <c r="Y45" s="1227">
        <f t="shared" si="34"/>
        <v>0</v>
      </c>
      <c r="Z45" s="1227">
        <f t="shared" si="34"/>
        <v>0</v>
      </c>
      <c r="AA45" s="1227">
        <f t="shared" si="34"/>
        <v>0</v>
      </c>
      <c r="AB45" s="1227">
        <f t="shared" si="34"/>
        <v>0</v>
      </c>
      <c r="AC45" s="1227">
        <f t="shared" si="34"/>
        <v>0</v>
      </c>
      <c r="AD45" s="1284"/>
      <c r="AE45" s="1213">
        <f t="shared" si="1"/>
        <v>0</v>
      </c>
      <c r="AF45" s="1213">
        <f t="shared" si="1"/>
        <v>0</v>
      </c>
      <c r="AG45" s="1213">
        <f t="shared" si="1"/>
        <v>0</v>
      </c>
      <c r="AH45" s="2919">
        <f t="shared" si="1"/>
        <v>0</v>
      </c>
      <c r="AI45" s="1860"/>
      <c r="AJ45" s="579">
        <f t="shared" si="30"/>
        <v>0</v>
      </c>
      <c r="AK45" s="1295"/>
    </row>
    <row r="46" spans="1:38" ht="15">
      <c r="A46" s="2934"/>
      <c r="B46" s="1477" t="s">
        <v>181</v>
      </c>
      <c r="C46" s="1286" t="s">
        <v>3319</v>
      </c>
      <c r="D46" s="1227">
        <v>0</v>
      </c>
      <c r="E46" s="2719">
        <v>0</v>
      </c>
      <c r="F46" s="1227">
        <v>0</v>
      </c>
      <c r="G46" s="1227">
        <f>F46</f>
        <v>0</v>
      </c>
      <c r="H46" s="1227">
        <f t="shared" si="31"/>
        <v>0</v>
      </c>
      <c r="I46" s="1227">
        <f t="shared" si="31"/>
        <v>0</v>
      </c>
      <c r="J46" s="1227">
        <f t="shared" si="31"/>
        <v>0</v>
      </c>
      <c r="K46" s="3209">
        <v>0</v>
      </c>
      <c r="L46" s="1227">
        <f>+F46</f>
        <v>0</v>
      </c>
      <c r="M46" s="1227">
        <f>+L46</f>
        <v>0</v>
      </c>
      <c r="N46" s="1227">
        <f t="shared" si="32"/>
        <v>0</v>
      </c>
      <c r="O46" s="1227">
        <f t="shared" si="32"/>
        <v>0</v>
      </c>
      <c r="P46" s="1227">
        <f t="shared" si="32"/>
        <v>0</v>
      </c>
      <c r="Q46" s="1227">
        <f>+K46</f>
        <v>0</v>
      </c>
      <c r="R46" s="1227">
        <v>0</v>
      </c>
      <c r="S46" s="1227">
        <f>+R46</f>
        <v>0</v>
      </c>
      <c r="T46" s="1227">
        <f t="shared" si="33"/>
        <v>0</v>
      </c>
      <c r="U46" s="1227">
        <f t="shared" si="33"/>
        <v>0</v>
      </c>
      <c r="V46" s="1227">
        <f t="shared" si="33"/>
        <v>0</v>
      </c>
      <c r="W46" s="1227">
        <v>0</v>
      </c>
      <c r="X46" s="1227"/>
      <c r="Y46" s="1227">
        <f t="shared" si="34"/>
        <v>0</v>
      </c>
      <c r="Z46" s="1227">
        <f t="shared" si="34"/>
        <v>0</v>
      </c>
      <c r="AA46" s="1227">
        <f t="shared" si="34"/>
        <v>0</v>
      </c>
      <c r="AB46" s="1227">
        <f t="shared" si="34"/>
        <v>0</v>
      </c>
      <c r="AC46" s="1227">
        <f t="shared" si="34"/>
        <v>0</v>
      </c>
      <c r="AD46" s="2947"/>
      <c r="AE46" s="1213">
        <f t="shared" si="1"/>
        <v>0</v>
      </c>
      <c r="AF46" s="1213">
        <f t="shared" si="1"/>
        <v>0</v>
      </c>
      <c r="AG46" s="1213">
        <f t="shared" si="1"/>
        <v>0</v>
      </c>
      <c r="AH46" s="2919">
        <f t="shared" si="1"/>
        <v>0</v>
      </c>
      <c r="AI46" s="1860"/>
      <c r="AJ46" s="579">
        <f t="shared" si="30"/>
        <v>0</v>
      </c>
      <c r="AK46" s="1295"/>
    </row>
    <row r="47" spans="1:38" ht="15">
      <c r="A47" s="2934" t="s">
        <v>12</v>
      </c>
      <c r="B47" s="2946" t="s">
        <v>12</v>
      </c>
      <c r="C47" s="1292" t="s">
        <v>1292</v>
      </c>
      <c r="D47" s="1213">
        <f t="shared" ref="D47:AC47" si="35">SUM(D48:D50)</f>
        <v>0</v>
      </c>
      <c r="E47" s="2715">
        <f t="shared" si="35"/>
        <v>0</v>
      </c>
      <c r="F47" s="1213">
        <f t="shared" si="35"/>
        <v>133037940</v>
      </c>
      <c r="G47" s="1213">
        <f t="shared" si="35"/>
        <v>133805960</v>
      </c>
      <c r="H47" s="1213">
        <f t="shared" si="35"/>
        <v>133805960</v>
      </c>
      <c r="I47" s="1213">
        <f t="shared" si="35"/>
        <v>26425872</v>
      </c>
      <c r="J47" s="1213">
        <f t="shared" si="35"/>
        <v>26425872</v>
      </c>
      <c r="K47" s="3208">
        <f>SUM(K48:K50)</f>
        <v>26404728</v>
      </c>
      <c r="L47" s="1213">
        <f t="shared" si="35"/>
        <v>133037940</v>
      </c>
      <c r="M47" s="1213">
        <f t="shared" si="35"/>
        <v>133805960</v>
      </c>
      <c r="N47" s="1213">
        <f t="shared" si="35"/>
        <v>133805960</v>
      </c>
      <c r="O47" s="1213">
        <f t="shared" si="35"/>
        <v>26425872</v>
      </c>
      <c r="P47" s="1213">
        <f t="shared" si="35"/>
        <v>26425872</v>
      </c>
      <c r="Q47" s="1213">
        <f t="shared" si="35"/>
        <v>26404728</v>
      </c>
      <c r="R47" s="1213">
        <f t="shared" si="35"/>
        <v>0</v>
      </c>
      <c r="S47" s="1213">
        <f t="shared" si="35"/>
        <v>0</v>
      </c>
      <c r="T47" s="1213">
        <f t="shared" si="35"/>
        <v>0</v>
      </c>
      <c r="U47" s="1213">
        <f t="shared" si="35"/>
        <v>0</v>
      </c>
      <c r="V47" s="1213">
        <f t="shared" si="35"/>
        <v>0</v>
      </c>
      <c r="W47" s="1213">
        <f t="shared" si="35"/>
        <v>0</v>
      </c>
      <c r="X47" s="1213">
        <f t="shared" si="35"/>
        <v>0</v>
      </c>
      <c r="Y47" s="1213">
        <f t="shared" si="35"/>
        <v>0</v>
      </c>
      <c r="Z47" s="1213">
        <f t="shared" si="35"/>
        <v>0</v>
      </c>
      <c r="AA47" s="1213">
        <f t="shared" si="35"/>
        <v>0</v>
      </c>
      <c r="AB47" s="1213">
        <f t="shared" si="35"/>
        <v>0</v>
      </c>
      <c r="AC47" s="1213">
        <f t="shared" si="35"/>
        <v>0</v>
      </c>
      <c r="AD47" s="1284"/>
      <c r="AE47" s="1213">
        <f t="shared" si="1"/>
        <v>768020</v>
      </c>
      <c r="AF47" s="1213">
        <f t="shared" si="1"/>
        <v>0</v>
      </c>
      <c r="AG47" s="1213">
        <f t="shared" si="1"/>
        <v>-107380088</v>
      </c>
      <c r="AH47" s="2919">
        <f t="shared" si="1"/>
        <v>0</v>
      </c>
      <c r="AI47" s="1829">
        <f t="shared" si="29"/>
        <v>0.99919987503155994</v>
      </c>
      <c r="AJ47" s="579">
        <f t="shared" si="30"/>
        <v>133037940</v>
      </c>
      <c r="AK47" s="2630"/>
    </row>
    <row r="48" spans="1:38" ht="15">
      <c r="A48" s="2934"/>
      <c r="B48" s="2948" t="s">
        <v>185</v>
      </c>
      <c r="C48" s="1290" t="s">
        <v>82</v>
      </c>
      <c r="D48" s="1227">
        <v>0</v>
      </c>
      <c r="E48" s="2719">
        <v>0</v>
      </c>
      <c r="F48" s="1227">
        <v>119760742</v>
      </c>
      <c r="G48" s="1227">
        <f>+F48+768020</f>
        <v>120528762</v>
      </c>
      <c r="H48" s="1227">
        <f>+G48</f>
        <v>120528762</v>
      </c>
      <c r="I48" s="1227">
        <f>+H48-17602446-89777642</f>
        <v>13148674</v>
      </c>
      <c r="J48" s="1227">
        <f>+I48</f>
        <v>13148674</v>
      </c>
      <c r="K48" s="3209">
        <v>26404728</v>
      </c>
      <c r="L48" s="1227">
        <f>+F48</f>
        <v>119760742</v>
      </c>
      <c r="M48" s="1227">
        <f>+L48+768020</f>
        <v>120528762</v>
      </c>
      <c r="N48" s="1227">
        <f>+M48</f>
        <v>120528762</v>
      </c>
      <c r="O48" s="1227">
        <f>+N48-17602446-89777642</f>
        <v>13148674</v>
      </c>
      <c r="P48" s="1227">
        <f t="shared" ref="M48:P51" si="36">+O48</f>
        <v>13148674</v>
      </c>
      <c r="Q48" s="1227">
        <f>+K48</f>
        <v>26404728</v>
      </c>
      <c r="R48" s="1227">
        <v>0</v>
      </c>
      <c r="S48" s="1227">
        <f t="shared" ref="S48:V51" si="37">+R48</f>
        <v>0</v>
      </c>
      <c r="T48" s="1227">
        <f t="shared" si="37"/>
        <v>0</v>
      </c>
      <c r="U48" s="1227">
        <f t="shared" si="37"/>
        <v>0</v>
      </c>
      <c r="V48" s="1227">
        <f t="shared" si="37"/>
        <v>0</v>
      </c>
      <c r="W48" s="1227">
        <v>0</v>
      </c>
      <c r="X48" s="1227"/>
      <c r="Y48" s="1227">
        <f t="shared" ref="Y48:AC51" si="38">+X48</f>
        <v>0</v>
      </c>
      <c r="Z48" s="1227">
        <f t="shared" si="38"/>
        <v>0</v>
      </c>
      <c r="AA48" s="1227">
        <f t="shared" si="38"/>
        <v>0</v>
      </c>
      <c r="AB48" s="1227">
        <f t="shared" si="38"/>
        <v>0</v>
      </c>
      <c r="AC48" s="1227">
        <f t="shared" si="38"/>
        <v>0</v>
      </c>
      <c r="AD48" s="2947"/>
      <c r="AE48" s="1213">
        <f t="shared" si="1"/>
        <v>768020</v>
      </c>
      <c r="AF48" s="1213">
        <f t="shared" si="1"/>
        <v>0</v>
      </c>
      <c r="AG48" s="1213">
        <f t="shared" si="1"/>
        <v>-107380088</v>
      </c>
      <c r="AH48" s="2919">
        <f t="shared" si="1"/>
        <v>0</v>
      </c>
      <c r="AI48" s="1860">
        <f t="shared" si="29"/>
        <v>2.0081666029593555</v>
      </c>
      <c r="AJ48" s="579">
        <f t="shared" si="30"/>
        <v>119760742</v>
      </c>
      <c r="AK48" s="1295"/>
    </row>
    <row r="49" spans="1:37" ht="15">
      <c r="A49" s="2934"/>
      <c r="B49" s="2948" t="s">
        <v>187</v>
      </c>
      <c r="C49" s="1290" t="s">
        <v>344</v>
      </c>
      <c r="D49" s="1227">
        <v>0</v>
      </c>
      <c r="E49" s="2719">
        <v>0</v>
      </c>
      <c r="F49" s="1227">
        <v>0</v>
      </c>
      <c r="G49" s="1227">
        <f>+F49</f>
        <v>0</v>
      </c>
      <c r="H49" s="1227">
        <f t="shared" ref="G49:J51" si="39">+G49</f>
        <v>0</v>
      </c>
      <c r="I49" s="1227">
        <f t="shared" si="39"/>
        <v>0</v>
      </c>
      <c r="J49" s="1227">
        <f t="shared" si="39"/>
        <v>0</v>
      </c>
      <c r="K49" s="3209">
        <v>0</v>
      </c>
      <c r="L49" s="1227">
        <f>+F49</f>
        <v>0</v>
      </c>
      <c r="M49" s="1227">
        <f>+L49</f>
        <v>0</v>
      </c>
      <c r="N49" s="1227">
        <f t="shared" si="36"/>
        <v>0</v>
      </c>
      <c r="O49" s="1227">
        <f t="shared" si="36"/>
        <v>0</v>
      </c>
      <c r="P49" s="1227">
        <f t="shared" si="36"/>
        <v>0</v>
      </c>
      <c r="Q49" s="1227">
        <f>+K49</f>
        <v>0</v>
      </c>
      <c r="R49" s="1227">
        <v>0</v>
      </c>
      <c r="S49" s="1227">
        <f t="shared" si="37"/>
        <v>0</v>
      </c>
      <c r="T49" s="1227">
        <f t="shared" si="37"/>
        <v>0</v>
      </c>
      <c r="U49" s="1227">
        <f t="shared" si="37"/>
        <v>0</v>
      </c>
      <c r="V49" s="1227">
        <f t="shared" si="37"/>
        <v>0</v>
      </c>
      <c r="W49" s="1227">
        <v>0</v>
      </c>
      <c r="X49" s="1227"/>
      <c r="Y49" s="1227">
        <f t="shared" si="38"/>
        <v>0</v>
      </c>
      <c r="Z49" s="1227">
        <f t="shared" si="38"/>
        <v>0</v>
      </c>
      <c r="AA49" s="1227">
        <f t="shared" si="38"/>
        <v>0</v>
      </c>
      <c r="AB49" s="1227">
        <f t="shared" si="38"/>
        <v>0</v>
      </c>
      <c r="AC49" s="1227">
        <f t="shared" si="38"/>
        <v>0</v>
      </c>
      <c r="AD49" s="1284"/>
      <c r="AE49" s="1213">
        <f t="shared" si="1"/>
        <v>0</v>
      </c>
      <c r="AF49" s="1213">
        <f t="shared" si="1"/>
        <v>0</v>
      </c>
      <c r="AG49" s="1213">
        <f t="shared" si="1"/>
        <v>0</v>
      </c>
      <c r="AH49" s="2919">
        <f t="shared" si="1"/>
        <v>0</v>
      </c>
      <c r="AI49" s="1860"/>
      <c r="AJ49" s="579">
        <f t="shared" si="30"/>
        <v>0</v>
      </c>
      <c r="AK49" s="1295"/>
    </row>
    <row r="50" spans="1:37" ht="15">
      <c r="A50" s="2934"/>
      <c r="B50" s="1477" t="s">
        <v>189</v>
      </c>
      <c r="C50" s="1286" t="s">
        <v>3794</v>
      </c>
      <c r="D50" s="1227">
        <v>0</v>
      </c>
      <c r="E50" s="2719">
        <v>0</v>
      </c>
      <c r="F50" s="1227">
        <v>13277198</v>
      </c>
      <c r="G50" s="1227">
        <f t="shared" si="39"/>
        <v>13277198</v>
      </c>
      <c r="H50" s="1227">
        <f t="shared" si="39"/>
        <v>13277198</v>
      </c>
      <c r="I50" s="1227">
        <f t="shared" si="39"/>
        <v>13277198</v>
      </c>
      <c r="J50" s="1227">
        <f t="shared" si="39"/>
        <v>13277198</v>
      </c>
      <c r="K50" s="3209">
        <v>0</v>
      </c>
      <c r="L50" s="1227">
        <f>+F50</f>
        <v>13277198</v>
      </c>
      <c r="M50" s="1227">
        <f t="shared" si="36"/>
        <v>13277198</v>
      </c>
      <c r="N50" s="1227">
        <f t="shared" si="36"/>
        <v>13277198</v>
      </c>
      <c r="O50" s="1227">
        <f t="shared" si="36"/>
        <v>13277198</v>
      </c>
      <c r="P50" s="1227">
        <f t="shared" si="36"/>
        <v>13277198</v>
      </c>
      <c r="Q50" s="1227">
        <f>+K50</f>
        <v>0</v>
      </c>
      <c r="R50" s="1227">
        <v>0</v>
      </c>
      <c r="S50" s="1227">
        <f t="shared" si="37"/>
        <v>0</v>
      </c>
      <c r="T50" s="1227">
        <f t="shared" si="37"/>
        <v>0</v>
      </c>
      <c r="U50" s="1227">
        <f t="shared" si="37"/>
        <v>0</v>
      </c>
      <c r="V50" s="1227">
        <f t="shared" si="37"/>
        <v>0</v>
      </c>
      <c r="W50" s="1227">
        <v>0</v>
      </c>
      <c r="X50" s="1227"/>
      <c r="Y50" s="1227">
        <f t="shared" si="38"/>
        <v>0</v>
      </c>
      <c r="Z50" s="1227">
        <f t="shared" si="38"/>
        <v>0</v>
      </c>
      <c r="AA50" s="1227">
        <f t="shared" si="38"/>
        <v>0</v>
      </c>
      <c r="AB50" s="1227">
        <f t="shared" si="38"/>
        <v>0</v>
      </c>
      <c r="AC50" s="1227">
        <f t="shared" si="38"/>
        <v>0</v>
      </c>
      <c r="AD50" s="1284"/>
      <c r="AE50" s="1213">
        <f t="shared" si="1"/>
        <v>0</v>
      </c>
      <c r="AF50" s="1213">
        <f t="shared" si="1"/>
        <v>0</v>
      </c>
      <c r="AG50" s="1213">
        <f t="shared" si="1"/>
        <v>0</v>
      </c>
      <c r="AH50" s="2919">
        <f t="shared" si="1"/>
        <v>0</v>
      </c>
      <c r="AI50" s="1860">
        <f t="shared" si="29"/>
        <v>0</v>
      </c>
      <c r="AJ50" s="579">
        <f t="shared" si="30"/>
        <v>13277198</v>
      </c>
      <c r="AK50" s="1295"/>
    </row>
    <row r="51" spans="1:37" ht="15">
      <c r="A51" s="2934"/>
      <c r="B51" s="1477" t="s">
        <v>191</v>
      </c>
      <c r="C51" s="1290" t="s">
        <v>1294</v>
      </c>
      <c r="D51" s="1227">
        <v>0</v>
      </c>
      <c r="E51" s="2719">
        <v>0</v>
      </c>
      <c r="F51" s="1227">
        <v>0</v>
      </c>
      <c r="G51" s="1227">
        <f t="shared" si="39"/>
        <v>0</v>
      </c>
      <c r="H51" s="1227">
        <f t="shared" si="39"/>
        <v>0</v>
      </c>
      <c r="I51" s="1227">
        <f t="shared" si="39"/>
        <v>0</v>
      </c>
      <c r="J51" s="1227">
        <f t="shared" si="39"/>
        <v>0</v>
      </c>
      <c r="K51" s="3209">
        <v>0</v>
      </c>
      <c r="L51" s="1227">
        <f>+F51</f>
        <v>0</v>
      </c>
      <c r="M51" s="1227">
        <f t="shared" si="36"/>
        <v>0</v>
      </c>
      <c r="N51" s="1227">
        <f t="shared" si="36"/>
        <v>0</v>
      </c>
      <c r="O51" s="1227">
        <f t="shared" si="36"/>
        <v>0</v>
      </c>
      <c r="P51" s="1227">
        <f t="shared" si="36"/>
        <v>0</v>
      </c>
      <c r="Q51" s="1227">
        <f>+K51</f>
        <v>0</v>
      </c>
      <c r="R51" s="1227">
        <v>0</v>
      </c>
      <c r="S51" s="1227">
        <f t="shared" si="37"/>
        <v>0</v>
      </c>
      <c r="T51" s="1227">
        <f t="shared" si="37"/>
        <v>0</v>
      </c>
      <c r="U51" s="1227">
        <f t="shared" si="37"/>
        <v>0</v>
      </c>
      <c r="V51" s="1227">
        <f t="shared" si="37"/>
        <v>0</v>
      </c>
      <c r="W51" s="1227">
        <v>0</v>
      </c>
      <c r="X51" s="1227"/>
      <c r="Y51" s="1227">
        <f t="shared" si="38"/>
        <v>0</v>
      </c>
      <c r="Z51" s="1227">
        <f t="shared" si="38"/>
        <v>0</v>
      </c>
      <c r="AA51" s="1227">
        <f t="shared" si="38"/>
        <v>0</v>
      </c>
      <c r="AB51" s="1227">
        <f t="shared" si="38"/>
        <v>0</v>
      </c>
      <c r="AC51" s="1227">
        <f t="shared" si="38"/>
        <v>0</v>
      </c>
      <c r="AD51" s="1284"/>
      <c r="AE51" s="1213">
        <f t="shared" si="1"/>
        <v>0</v>
      </c>
      <c r="AF51" s="1213">
        <f t="shared" si="1"/>
        <v>0</v>
      </c>
      <c r="AG51" s="1213">
        <f t="shared" si="1"/>
        <v>0</v>
      </c>
      <c r="AH51" s="2919">
        <f t="shared" si="1"/>
        <v>0</v>
      </c>
      <c r="AI51" s="1860"/>
      <c r="AJ51" s="579">
        <f t="shared" si="30"/>
        <v>0</v>
      </c>
      <c r="AK51" s="1295"/>
    </row>
    <row r="52" spans="1:37" ht="15">
      <c r="A52" s="2934" t="s">
        <v>14</v>
      </c>
      <c r="B52" s="1282" t="s">
        <v>14</v>
      </c>
      <c r="C52" s="2950" t="s">
        <v>1295</v>
      </c>
      <c r="D52" s="1298">
        <f t="shared" ref="D52:AC52" si="40">+D41+D47</f>
        <v>0</v>
      </c>
      <c r="E52" s="2720">
        <f t="shared" si="40"/>
        <v>34094</v>
      </c>
      <c r="F52" s="1298">
        <f t="shared" si="40"/>
        <v>424000000</v>
      </c>
      <c r="G52" s="1298">
        <f t="shared" si="40"/>
        <v>425965906</v>
      </c>
      <c r="H52" s="1298">
        <f t="shared" si="40"/>
        <v>426311206</v>
      </c>
      <c r="I52" s="1298">
        <f t="shared" si="40"/>
        <v>269990715</v>
      </c>
      <c r="J52" s="1298">
        <f t="shared" si="40"/>
        <v>269990715</v>
      </c>
      <c r="K52" s="3210">
        <f t="shared" si="40"/>
        <v>125191184</v>
      </c>
      <c r="L52" s="1298">
        <f t="shared" si="40"/>
        <v>424000000</v>
      </c>
      <c r="M52" s="1298">
        <f t="shared" si="40"/>
        <v>425965906</v>
      </c>
      <c r="N52" s="1298">
        <f t="shared" si="40"/>
        <v>426311206</v>
      </c>
      <c r="O52" s="1298">
        <f t="shared" si="40"/>
        <v>269990715</v>
      </c>
      <c r="P52" s="1298">
        <f t="shared" si="40"/>
        <v>269990715</v>
      </c>
      <c r="Q52" s="1298">
        <f t="shared" si="40"/>
        <v>125191184</v>
      </c>
      <c r="R52" s="1298">
        <f t="shared" si="40"/>
        <v>0</v>
      </c>
      <c r="S52" s="1298">
        <f t="shared" si="40"/>
        <v>0</v>
      </c>
      <c r="T52" s="1298">
        <f t="shared" si="40"/>
        <v>0</v>
      </c>
      <c r="U52" s="1298">
        <f t="shared" si="40"/>
        <v>0</v>
      </c>
      <c r="V52" s="1298">
        <f t="shared" si="40"/>
        <v>0</v>
      </c>
      <c r="W52" s="1298">
        <f t="shared" si="40"/>
        <v>0</v>
      </c>
      <c r="X52" s="1298">
        <f t="shared" si="40"/>
        <v>0</v>
      </c>
      <c r="Y52" s="1298">
        <f t="shared" si="40"/>
        <v>0</v>
      </c>
      <c r="Z52" s="1298">
        <f t="shared" si="40"/>
        <v>0</v>
      </c>
      <c r="AA52" s="1298">
        <f t="shared" si="40"/>
        <v>0</v>
      </c>
      <c r="AB52" s="1298">
        <f t="shared" si="40"/>
        <v>0</v>
      </c>
      <c r="AC52" s="1298">
        <f t="shared" si="40"/>
        <v>0</v>
      </c>
      <c r="AD52" s="1284"/>
      <c r="AE52" s="1213">
        <f t="shared" si="1"/>
        <v>1965906</v>
      </c>
      <c r="AF52" s="1213">
        <f t="shared" si="1"/>
        <v>345300</v>
      </c>
      <c r="AG52" s="1213">
        <f t="shared" si="1"/>
        <v>-156320491</v>
      </c>
      <c r="AH52" s="2919">
        <f t="shared" si="1"/>
        <v>0</v>
      </c>
      <c r="AI52" s="1829">
        <f t="shared" si="29"/>
        <v>0.46368699753248921</v>
      </c>
      <c r="AJ52" s="579">
        <f t="shared" si="30"/>
        <v>424000000</v>
      </c>
      <c r="AK52" s="2631"/>
    </row>
    <row r="53" spans="1:37" ht="15" hidden="1">
      <c r="A53" s="2935"/>
      <c r="B53" s="1277"/>
      <c r="C53" s="1193"/>
      <c r="D53" s="1299"/>
      <c r="E53" s="2952"/>
      <c r="F53" s="1299"/>
      <c r="G53" s="1299"/>
      <c r="H53" s="1299"/>
      <c r="I53" s="1299"/>
      <c r="J53" s="1299"/>
      <c r="K53" s="3211"/>
      <c r="L53" s="1193"/>
      <c r="M53" s="1193"/>
      <c r="N53" s="1193"/>
      <c r="O53" s="1193"/>
      <c r="P53" s="1193"/>
      <c r="Q53" s="1193"/>
      <c r="R53" s="1193"/>
      <c r="S53" s="1193"/>
      <c r="T53" s="1193"/>
      <c r="U53" s="1193"/>
      <c r="V53" s="1193"/>
      <c r="W53" s="1193"/>
      <c r="X53" s="1193"/>
      <c r="Y53" s="1193"/>
      <c r="Z53" s="1193"/>
      <c r="AA53" s="1193"/>
      <c r="AB53" s="1193"/>
      <c r="AC53" s="1193"/>
      <c r="AD53" s="1284"/>
      <c r="AE53" s="1213">
        <f t="shared" si="1"/>
        <v>0</v>
      </c>
      <c r="AF53" s="1213">
        <f t="shared" si="1"/>
        <v>0</v>
      </c>
      <c r="AG53" s="1213">
        <f t="shared" si="1"/>
        <v>0</v>
      </c>
      <c r="AH53" s="2919">
        <f t="shared" si="1"/>
        <v>0</v>
      </c>
      <c r="AI53" s="1829" t="e">
        <f t="shared" si="29"/>
        <v>#DIV/0!</v>
      </c>
      <c r="AJ53" s="579">
        <f t="shared" si="30"/>
        <v>0</v>
      </c>
      <c r="AK53" s="2632"/>
    </row>
    <row r="54" spans="1:37" ht="33.75" customHeight="1" thickBot="1">
      <c r="A54" s="2936"/>
      <c r="B54" s="2953" t="s">
        <v>15</v>
      </c>
      <c r="C54" s="2954" t="str">
        <f>+'8. mell. Intézmények összesen'!C54</f>
        <v>Létszám előirányzat (státusz) - Teljesítés: Munkajogi zárólétszám (az időszak végén munkaviszonyban állók létszáma)</v>
      </c>
      <c r="D54" s="2963">
        <v>0</v>
      </c>
      <c r="E54" s="2964">
        <v>1</v>
      </c>
      <c r="F54" s="2963">
        <v>27</v>
      </c>
      <c r="G54" s="2957">
        <f>+F54</f>
        <v>27</v>
      </c>
      <c r="H54" s="2957">
        <f>+G54</f>
        <v>27</v>
      </c>
      <c r="I54" s="2957">
        <f>+H54</f>
        <v>27</v>
      </c>
      <c r="J54" s="2957">
        <f>+I54</f>
        <v>27</v>
      </c>
      <c r="K54" s="3212">
        <v>22</v>
      </c>
      <c r="L54" s="2957">
        <f>+F54</f>
        <v>27</v>
      </c>
      <c r="M54" s="2957">
        <f>+L54</f>
        <v>27</v>
      </c>
      <c r="N54" s="2957">
        <f>+M54</f>
        <v>27</v>
      </c>
      <c r="O54" s="2957">
        <f>+N54</f>
        <v>27</v>
      </c>
      <c r="P54" s="2957">
        <f>+O54</f>
        <v>27</v>
      </c>
      <c r="Q54" s="2957">
        <f>+P54</f>
        <v>27</v>
      </c>
      <c r="R54" s="2957">
        <v>0</v>
      </c>
      <c r="S54" s="2957">
        <f>+R54</f>
        <v>0</v>
      </c>
      <c r="T54" s="2957">
        <f>+S54</f>
        <v>0</v>
      </c>
      <c r="U54" s="2957">
        <f>+T54</f>
        <v>0</v>
      </c>
      <c r="V54" s="2957">
        <f>+U54</f>
        <v>0</v>
      </c>
      <c r="W54" s="2957">
        <f>+V54</f>
        <v>0</v>
      </c>
      <c r="X54" s="2957"/>
      <c r="Y54" s="2957">
        <f>+X54</f>
        <v>0</v>
      </c>
      <c r="Z54" s="2957">
        <f>+Y54</f>
        <v>0</v>
      </c>
      <c r="AA54" s="2957">
        <f>+Z54</f>
        <v>0</v>
      </c>
      <c r="AB54" s="2957">
        <f>+AA54</f>
        <v>0</v>
      </c>
      <c r="AC54" s="2957">
        <f>+AB54</f>
        <v>0</v>
      </c>
      <c r="AD54" s="2965"/>
      <c r="AE54" s="2959">
        <f t="shared" si="1"/>
        <v>0</v>
      </c>
      <c r="AF54" s="1213">
        <f t="shared" si="1"/>
        <v>0</v>
      </c>
      <c r="AG54" s="1213">
        <f t="shared" si="1"/>
        <v>0</v>
      </c>
      <c r="AH54" s="2943">
        <f t="shared" si="1"/>
        <v>0</v>
      </c>
      <c r="AI54" s="1829">
        <f t="shared" si="29"/>
        <v>0.81481481481481477</v>
      </c>
      <c r="AJ54" s="579">
        <f t="shared" si="30"/>
        <v>27</v>
      </c>
      <c r="AK54" s="2633"/>
    </row>
    <row r="55" spans="1:37" ht="15" hidden="1">
      <c r="A55" s="551" t="s">
        <v>1296</v>
      </c>
      <c r="B55" s="1476"/>
      <c r="C55" s="552"/>
      <c r="D55" s="553"/>
      <c r="E55" s="553"/>
      <c r="F55" s="553"/>
      <c r="G55" s="553"/>
      <c r="H55" s="553"/>
      <c r="I55" s="553"/>
      <c r="J55" s="553"/>
      <c r="K55" s="3213"/>
      <c r="L55" s="553"/>
      <c r="M55" s="553"/>
      <c r="N55" s="553"/>
      <c r="O55" s="553"/>
      <c r="P55" s="553"/>
      <c r="Q55" s="553"/>
      <c r="R55" s="553"/>
      <c r="S55" s="553"/>
      <c r="T55" s="553"/>
      <c r="U55" s="553"/>
      <c r="V55" s="553">
        <f>+U55</f>
        <v>0</v>
      </c>
      <c r="W55" s="553"/>
      <c r="X55" s="553"/>
      <c r="Y55" s="459">
        <f t="shared" ref="Y55:AB56" si="41">+X55</f>
        <v>0</v>
      </c>
      <c r="Z55" s="459">
        <f t="shared" si="41"/>
        <v>0</v>
      </c>
      <c r="AA55" s="459">
        <f t="shared" si="41"/>
        <v>0</v>
      </c>
      <c r="AB55" s="459">
        <f t="shared" si="41"/>
        <v>0</v>
      </c>
      <c r="AC55" s="459"/>
      <c r="AD55" s="557"/>
      <c r="AE55" s="555">
        <f t="shared" si="1"/>
        <v>0</v>
      </c>
      <c r="AF55" s="555">
        <f t="shared" si="1"/>
        <v>0</v>
      </c>
      <c r="AG55" s="555">
        <f t="shared" si="1"/>
        <v>0</v>
      </c>
      <c r="AH55" s="555">
        <f t="shared" si="1"/>
        <v>0</v>
      </c>
      <c r="AI55" s="553"/>
      <c r="AJ55" s="579">
        <f>+F55-D55</f>
        <v>0</v>
      </c>
    </row>
    <row r="56" spans="1:37" ht="25.5" hidden="1" customHeight="1">
      <c r="A56" s="3662" t="s">
        <v>486</v>
      </c>
      <c r="B56" s="3662"/>
      <c r="C56" s="556" t="s">
        <v>1297</v>
      </c>
      <c r="D56" s="461"/>
      <c r="E56" s="461"/>
      <c r="F56" s="461"/>
      <c r="G56" s="461"/>
      <c r="H56" s="461"/>
      <c r="I56" s="461"/>
      <c r="J56" s="461"/>
      <c r="K56" s="3214"/>
      <c r="L56" s="460"/>
      <c r="M56" s="460"/>
      <c r="N56" s="460"/>
      <c r="O56" s="460"/>
      <c r="P56" s="460"/>
      <c r="Q56" s="460"/>
      <c r="R56" s="460"/>
      <c r="S56" s="553"/>
      <c r="T56" s="553"/>
      <c r="U56" s="553"/>
      <c r="V56" s="553">
        <f>+U56</f>
        <v>0</v>
      </c>
      <c r="W56" s="553"/>
      <c r="X56" s="460"/>
      <c r="Y56" s="459">
        <f t="shared" si="41"/>
        <v>0</v>
      </c>
      <c r="Z56" s="459">
        <f t="shared" si="41"/>
        <v>0</v>
      </c>
      <c r="AA56" s="459">
        <f t="shared" si="41"/>
        <v>0</v>
      </c>
      <c r="AB56" s="459">
        <f t="shared" si="41"/>
        <v>0</v>
      </c>
      <c r="AC56" s="459"/>
      <c r="AD56" s="557"/>
      <c r="AE56" s="555">
        <f t="shared" si="1"/>
        <v>0</v>
      </c>
      <c r="AF56" s="555"/>
      <c r="AG56" s="555"/>
      <c r="AH56" s="555"/>
      <c r="AJ56" s="579">
        <f>+F56-D56</f>
        <v>0</v>
      </c>
    </row>
    <row r="57" spans="1:37" ht="15.75">
      <c r="B57" s="3205" t="s">
        <v>17</v>
      </c>
      <c r="C57" s="3207" t="s">
        <v>4053</v>
      </c>
      <c r="D57" s="3474">
        <f t="shared" ref="D57:K57" si="42">+D37-D52</f>
        <v>0</v>
      </c>
      <c r="E57" s="3475">
        <f t="shared" si="42"/>
        <v>1965906</v>
      </c>
      <c r="F57" s="3476"/>
      <c r="G57" s="3477">
        <f t="shared" si="42"/>
        <v>0</v>
      </c>
      <c r="H57" s="3477">
        <f t="shared" si="42"/>
        <v>0</v>
      </c>
      <c r="I57" s="3477"/>
      <c r="J57" s="3477">
        <f t="shared" si="42"/>
        <v>0</v>
      </c>
      <c r="K57" s="3478">
        <f t="shared" si="42"/>
        <v>144799531</v>
      </c>
      <c r="L57" s="3479"/>
      <c r="M57" s="3479"/>
      <c r="N57" s="3479"/>
      <c r="O57" s="3477"/>
      <c r="P57" s="3477"/>
      <c r="Q57" s="3477"/>
      <c r="R57" s="3480"/>
      <c r="S57" s="3477"/>
      <c r="T57" s="3477"/>
      <c r="U57" s="3477"/>
      <c r="V57" s="3477"/>
      <c r="W57" s="3477"/>
      <c r="X57" s="3477"/>
      <c r="Y57" s="3477"/>
      <c r="Z57" s="3477"/>
      <c r="AA57" s="3477"/>
      <c r="AB57" s="3477"/>
      <c r="AC57" s="3477"/>
      <c r="AD57" s="3477"/>
      <c r="AE57" s="3477"/>
      <c r="AF57" s="3477"/>
      <c r="AG57" s="3477"/>
      <c r="AH57" s="3477"/>
      <c r="AI57" s="3481"/>
    </row>
    <row r="58" spans="1:37" hidden="1">
      <c r="B58" s="547" t="s">
        <v>4054</v>
      </c>
      <c r="C58" s="396" t="s">
        <v>3696</v>
      </c>
      <c r="F58" s="396">
        <v>768020</v>
      </c>
      <c r="G58" s="396">
        <f>+F58</f>
        <v>768020</v>
      </c>
      <c r="H58" s="396">
        <f>+G58</f>
        <v>768020</v>
      </c>
      <c r="I58" s="396">
        <v>0</v>
      </c>
      <c r="J58" s="396">
        <v>0</v>
      </c>
      <c r="K58" s="396">
        <v>0</v>
      </c>
      <c r="L58" s="396">
        <v>0</v>
      </c>
      <c r="M58" s="396">
        <v>0</v>
      </c>
    </row>
    <row r="59" spans="1:37" ht="12.75" hidden="1" customHeight="1">
      <c r="C59" s="461" t="s">
        <v>1300</v>
      </c>
      <c r="F59" s="3644" t="s">
        <v>1301</v>
      </c>
      <c r="G59" s="3644"/>
    </row>
    <row r="60" spans="1:37" hidden="1">
      <c r="C60" s="460" t="s">
        <v>1302</v>
      </c>
      <c r="D60" s="396">
        <f t="shared" ref="D60:AB60" si="43">+D37-D52</f>
        <v>0</v>
      </c>
      <c r="E60" s="396">
        <f t="shared" si="43"/>
        <v>1965906</v>
      </c>
      <c r="F60" s="396">
        <f t="shared" si="43"/>
        <v>0</v>
      </c>
      <c r="G60" s="396">
        <f t="shared" si="43"/>
        <v>0</v>
      </c>
      <c r="H60" s="396">
        <f t="shared" si="43"/>
        <v>0</v>
      </c>
      <c r="I60" s="396">
        <f t="shared" si="43"/>
        <v>0</v>
      </c>
      <c r="J60" s="396">
        <f t="shared" si="43"/>
        <v>0</v>
      </c>
      <c r="K60" s="396">
        <f t="shared" si="43"/>
        <v>144799531</v>
      </c>
      <c r="L60" s="396">
        <f t="shared" si="43"/>
        <v>0</v>
      </c>
      <c r="M60" s="396">
        <f t="shared" si="43"/>
        <v>0</v>
      </c>
      <c r="N60" s="396">
        <f t="shared" si="43"/>
        <v>0</v>
      </c>
      <c r="O60" s="396">
        <f t="shared" si="43"/>
        <v>0</v>
      </c>
      <c r="P60" s="396">
        <f t="shared" si="43"/>
        <v>0</v>
      </c>
      <c r="Q60" s="396">
        <f t="shared" si="43"/>
        <v>144799531</v>
      </c>
      <c r="R60" s="396">
        <f t="shared" si="43"/>
        <v>0</v>
      </c>
      <c r="S60" s="396">
        <f t="shared" si="43"/>
        <v>0</v>
      </c>
      <c r="T60" s="396">
        <f t="shared" si="43"/>
        <v>0</v>
      </c>
      <c r="U60" s="396">
        <f t="shared" si="43"/>
        <v>0</v>
      </c>
      <c r="V60" s="396">
        <f t="shared" si="43"/>
        <v>0</v>
      </c>
      <c r="W60" s="396">
        <f t="shared" si="43"/>
        <v>0</v>
      </c>
      <c r="X60" s="396">
        <f t="shared" si="43"/>
        <v>0</v>
      </c>
      <c r="Y60" s="396">
        <f t="shared" si="43"/>
        <v>0</v>
      </c>
      <c r="Z60" s="396">
        <f t="shared" si="43"/>
        <v>0</v>
      </c>
      <c r="AA60" s="396">
        <f t="shared" si="43"/>
        <v>0</v>
      </c>
      <c r="AB60" s="396">
        <f t="shared" si="43"/>
        <v>0</v>
      </c>
    </row>
    <row r="61" spans="1:37" ht="25.5" hidden="1">
      <c r="C61" s="460" t="s">
        <v>1303</v>
      </c>
      <c r="F61" s="396">
        <f>+F37-L37-R37-X37</f>
        <v>0</v>
      </c>
      <c r="G61" s="396">
        <f>+G37-M37-S37-Y37</f>
        <v>0</v>
      </c>
      <c r="H61" s="396">
        <f>+H37-N37-T37-Z37</f>
        <v>0</v>
      </c>
      <c r="I61" s="396">
        <f>+I37-O37-U37-AA37</f>
        <v>0</v>
      </c>
      <c r="J61" s="396">
        <f>+J37-P37-V37-AB37</f>
        <v>0</v>
      </c>
    </row>
    <row r="62" spans="1:37" ht="25.5" hidden="1">
      <c r="C62" s="460" t="s">
        <v>1304</v>
      </c>
      <c r="F62" s="396">
        <f>+F52-L52-R52-X52</f>
        <v>0</v>
      </c>
      <c r="G62" s="396">
        <f>+G52-M52-S52-Y52</f>
        <v>0</v>
      </c>
      <c r="H62" s="396">
        <f>+H52-N52-T52-Z52</f>
        <v>0</v>
      </c>
      <c r="I62" s="396">
        <f>+I52-O52-U52-AA52</f>
        <v>0</v>
      </c>
      <c r="J62" s="396">
        <f>+J52-P52-V52-AB52</f>
        <v>0</v>
      </c>
    </row>
    <row r="66" spans="3:19">
      <c r="C66" s="562"/>
      <c r="D66" s="562"/>
      <c r="E66" s="562"/>
      <c r="F66" s="562"/>
      <c r="G66" s="562"/>
      <c r="J66" s="460"/>
      <c r="K66" s="460"/>
    </row>
    <row r="67" spans="3:19">
      <c r="J67" s="460"/>
      <c r="K67" s="460"/>
    </row>
    <row r="68" spans="3:19">
      <c r="C68" s="3668"/>
      <c r="D68" s="3668"/>
      <c r="E68" s="3668"/>
      <c r="F68" s="3668"/>
      <c r="G68" s="3668"/>
      <c r="H68" s="3668"/>
      <c r="J68" s="460"/>
      <c r="K68" s="460"/>
    </row>
    <row r="69" spans="3:19">
      <c r="C69" s="296"/>
      <c r="D69" s="563"/>
      <c r="E69" s="563"/>
      <c r="F69" s="296"/>
      <c r="G69" s="564"/>
      <c r="H69" s="563"/>
      <c r="J69" s="460"/>
      <c r="K69" s="460"/>
    </row>
    <row r="70" spans="3:19">
      <c r="C70" s="296"/>
      <c r="D70" s="563"/>
      <c r="E70" s="563"/>
      <c r="F70" s="296"/>
      <c r="G70" s="296"/>
      <c r="H70" s="563"/>
      <c r="J70" s="460"/>
      <c r="K70" s="460"/>
    </row>
    <row r="71" spans="3:19" hidden="1">
      <c r="C71" s="296"/>
      <c r="D71" s="563"/>
      <c r="E71" s="563"/>
      <c r="F71" s="563"/>
      <c r="G71" s="565"/>
      <c r="H71" s="563"/>
      <c r="J71" s="460"/>
      <c r="K71" s="460"/>
      <c r="L71" s="563"/>
    </row>
    <row r="72" spans="3:19" hidden="1">
      <c r="C72" s="296"/>
      <c r="D72" s="563"/>
      <c r="E72" s="563"/>
      <c r="F72" s="563"/>
      <c r="G72" s="565"/>
      <c r="H72" s="563"/>
      <c r="J72" s="460"/>
      <c r="K72" s="460"/>
      <c r="L72" s="563"/>
    </row>
    <row r="73" spans="3:19" hidden="1">
      <c r="C73" s="567"/>
      <c r="D73" s="568"/>
      <c r="E73" s="568"/>
      <c r="F73" s="568"/>
      <c r="G73" s="569"/>
      <c r="H73" s="570"/>
      <c r="J73" s="460"/>
      <c r="K73" s="460"/>
      <c r="L73" s="571"/>
    </row>
    <row r="74" spans="3:19" hidden="1">
      <c r="C74" s="296"/>
      <c r="D74" s="563"/>
      <c r="E74" s="563"/>
      <c r="F74" s="563"/>
      <c r="G74" s="296"/>
      <c r="H74" s="570"/>
      <c r="J74" s="460"/>
      <c r="K74" s="460"/>
    </row>
    <row r="75" spans="3:19" hidden="1">
      <c r="C75" s="296"/>
      <c r="D75" s="563"/>
      <c r="E75" s="563"/>
      <c r="F75" s="563"/>
      <c r="G75" s="296"/>
      <c r="H75" s="563"/>
      <c r="J75" s="460"/>
      <c r="K75" s="460"/>
    </row>
    <row r="76" spans="3:19" hidden="1">
      <c r="C76" s="564"/>
      <c r="D76" s="563"/>
      <c r="E76" s="563"/>
      <c r="F76" s="563"/>
      <c r="G76" s="296"/>
      <c r="H76" s="563"/>
      <c r="J76" s="460"/>
      <c r="K76" s="460"/>
    </row>
    <row r="77" spans="3:19" hidden="1">
      <c r="C77" s="296"/>
      <c r="D77" s="573"/>
      <c r="E77" s="573"/>
      <c r="F77" s="573"/>
      <c r="G77" s="296"/>
      <c r="H77" s="563"/>
      <c r="J77" s="460"/>
      <c r="K77" s="460"/>
    </row>
    <row r="78" spans="3:19" hidden="1">
      <c r="G78" s="556"/>
      <c r="H78" s="556"/>
      <c r="I78" s="556"/>
      <c r="J78" s="461"/>
      <c r="K78" s="461"/>
      <c r="L78" s="556"/>
      <c r="M78" s="556"/>
      <c r="N78" s="556"/>
      <c r="O78" s="556"/>
      <c r="P78" s="556"/>
      <c r="Q78" s="556"/>
      <c r="R78" s="556"/>
      <c r="S78" s="556"/>
    </row>
    <row r="79" spans="3:19" hidden="1">
      <c r="G79" s="556"/>
      <c r="H79" s="556"/>
      <c r="I79" s="556"/>
      <c r="J79" s="461"/>
      <c r="K79" s="461"/>
      <c r="L79" s="556"/>
      <c r="M79" s="556"/>
      <c r="N79" s="556"/>
      <c r="O79" s="556"/>
      <c r="P79" s="556"/>
      <c r="Q79" s="556"/>
      <c r="R79" s="556"/>
      <c r="S79" s="556"/>
    </row>
    <row r="80" spans="3:19" hidden="1">
      <c r="G80" s="556"/>
      <c r="H80" s="556"/>
      <c r="I80" s="556"/>
      <c r="J80" s="461"/>
      <c r="K80" s="461"/>
      <c r="L80" s="556"/>
      <c r="M80" s="556"/>
      <c r="N80" s="556"/>
      <c r="O80" s="556"/>
      <c r="P80" s="556"/>
      <c r="Q80" s="556"/>
      <c r="R80" s="556"/>
      <c r="S80" s="556"/>
    </row>
    <row r="81" spans="6:19">
      <c r="F81" s="581"/>
      <c r="G81" s="556"/>
      <c r="H81" s="556"/>
      <c r="I81" s="556"/>
      <c r="J81" s="461"/>
      <c r="K81" s="461"/>
      <c r="L81" s="556"/>
      <c r="M81" s="556"/>
      <c r="N81" s="556"/>
      <c r="O81" s="556"/>
      <c r="P81" s="556"/>
      <c r="Q81" s="556"/>
      <c r="R81" s="556"/>
      <c r="S81" s="556"/>
    </row>
  </sheetData>
  <sheetProtection algorithmName="SHA-512" hashValue="Uw9IO5y2fds6RyFfP3aUArsD13jI3l1qkY4aRAO/e4emNkOqABn+N1API/pmZov88Vv3EgDCUKBHGbHTY/xnCA==" saltValue="GNaRYX9jaqfjTEEiYXd5Ig==" spinCount="100000" sheet="1" selectLockedCells="1" selectUnlockedCells="1"/>
  <mergeCells count="6">
    <mergeCell ref="C68:H68"/>
    <mergeCell ref="A1:AI1"/>
    <mergeCell ref="A2:AI2"/>
    <mergeCell ref="A3:B3"/>
    <mergeCell ref="A56:B56"/>
    <mergeCell ref="F59:G59"/>
  </mergeCells>
  <printOptions horizontalCentered="1"/>
  <pageMargins left="0.15748031496062992" right="0.15748031496062992" top="0.47244094488188981" bottom="0.55118110236220474" header="0.51181102362204722" footer="0.31496062992125984"/>
  <pageSetup paperSize="9" scale="67" firstPageNumber="0" orientation="portrait" r:id="rId1"/>
  <headerFooter alignWithMargins="0">
    <oddFooter>&amp;C&amp;"Arial CE,Félkövér"&amp;14&amp;P/&amp;N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14A8-4F34-49F7-AA5B-BD6580D6638D}">
  <sheetPr>
    <tabColor indexed="10"/>
  </sheetPr>
  <dimension ref="A1:O152"/>
  <sheetViews>
    <sheetView view="pageBreakPreview" zoomScale="80" zoomScaleNormal="70" zoomScaleSheetLayoutView="80" workbookViewId="0">
      <pane xSplit="1" ySplit="5" topLeftCell="C108" activePane="bottomRight" state="frozen"/>
      <selection sqref="A1:Q1"/>
      <selection pane="topRight" sqref="A1:Q1"/>
      <selection pane="bottomLeft" sqref="A1:Q1"/>
      <selection pane="bottomRight" activeCell="D140" sqref="D140"/>
    </sheetView>
  </sheetViews>
  <sheetFormatPr defaultRowHeight="15.75"/>
  <cols>
    <col min="1" max="1" width="41.5703125" style="13" customWidth="1"/>
    <col min="2" max="2" width="41.42578125" style="13" customWidth="1"/>
    <col min="3" max="3" width="17.7109375" style="30" customWidth="1"/>
    <col min="4" max="4" width="16.5703125" style="13" customWidth="1"/>
    <col min="5" max="5" width="41.5703125" style="13" customWidth="1"/>
    <col min="6" max="6" width="41.42578125" style="31" customWidth="1"/>
    <col min="7" max="7" width="17.7109375" style="30" customWidth="1"/>
    <col min="8" max="8" width="16.5703125" style="1206" customWidth="1"/>
    <col min="9" max="9" width="21.140625" style="13" customWidth="1"/>
    <col min="10" max="10" width="15.7109375" style="13" customWidth="1"/>
    <col min="11" max="11" width="18.7109375" style="13" customWidth="1"/>
    <col min="12" max="12" width="16.28515625" style="13" customWidth="1"/>
    <col min="13" max="13" width="17.85546875" style="13" customWidth="1"/>
    <col min="14" max="14" width="15.28515625" style="13" customWidth="1"/>
    <col min="15" max="15" width="9.42578125" style="13" customWidth="1"/>
    <col min="16" max="16384" width="9.140625" style="13"/>
  </cols>
  <sheetData>
    <row r="1" spans="1:15" ht="32.25" customHeight="1">
      <c r="A1" s="3550" t="s">
        <v>140</v>
      </c>
      <c r="B1" s="3551"/>
      <c r="C1" s="3551"/>
      <c r="D1" s="3551"/>
      <c r="E1" s="3551"/>
      <c r="F1" s="3551"/>
      <c r="G1" s="3551"/>
      <c r="H1" s="3552"/>
    </row>
    <row r="2" spans="1:15" ht="15" customHeight="1" thickBot="1">
      <c r="A2" s="1047"/>
      <c r="B2" s="1048"/>
      <c r="C2" s="1049"/>
      <c r="E2" s="1048"/>
      <c r="F2" s="1050"/>
      <c r="G2" s="1049"/>
      <c r="H2" s="1199"/>
      <c r="M2" s="3545" t="s">
        <v>141</v>
      </c>
      <c r="N2" s="3546"/>
      <c r="O2" s="3546"/>
    </row>
    <row r="3" spans="1:15" s="33" customFormat="1" ht="33" customHeight="1">
      <c r="A3" s="3553" t="s">
        <v>135</v>
      </c>
      <c r="B3" s="3554"/>
      <c r="C3" s="3554"/>
      <c r="D3" s="3554"/>
      <c r="E3" s="3555" t="s">
        <v>49</v>
      </c>
      <c r="F3" s="3555"/>
      <c r="G3" s="3555"/>
      <c r="H3" s="3556"/>
    </row>
    <row r="4" spans="1:15" s="33" customFormat="1" ht="24" hidden="1" customHeight="1">
      <c r="A4" s="3557" t="s">
        <v>142</v>
      </c>
      <c r="B4" s="3558"/>
      <c r="C4" s="3558"/>
      <c r="D4" s="3558"/>
      <c r="E4" s="3558"/>
      <c r="F4" s="3558"/>
      <c r="G4" s="3558"/>
      <c r="H4" s="3559"/>
    </row>
    <row r="5" spans="1:15" s="33" customFormat="1" ht="82.5" customHeight="1">
      <c r="A5" s="1036" t="s">
        <v>136</v>
      </c>
      <c r="B5" s="34" t="s">
        <v>137</v>
      </c>
      <c r="C5" s="34" t="s">
        <v>52</v>
      </c>
      <c r="D5" s="34" t="s">
        <v>3490</v>
      </c>
      <c r="E5" s="34" t="s">
        <v>136</v>
      </c>
      <c r="F5" s="34" t="s">
        <v>137</v>
      </c>
      <c r="G5" s="34" t="s">
        <v>52</v>
      </c>
      <c r="H5" s="1590" t="s">
        <v>3491</v>
      </c>
      <c r="I5" s="32" t="s">
        <v>143</v>
      </c>
      <c r="J5" s="32" t="s">
        <v>144</v>
      </c>
      <c r="K5" s="32" t="s">
        <v>145</v>
      </c>
      <c r="L5" s="32" t="s">
        <v>146</v>
      </c>
      <c r="M5" s="33">
        <f>+'8. mell. Intézmények összesen'!AG36</f>
        <v>95221941</v>
      </c>
      <c r="N5" s="33">
        <f>+L6+M6</f>
        <v>95221941</v>
      </c>
    </row>
    <row r="6" spans="1:15">
      <c r="A6" s="1035"/>
      <c r="B6" s="15"/>
      <c r="C6" s="12"/>
      <c r="D6" s="16"/>
      <c r="E6" s="1335"/>
      <c r="F6" s="15"/>
      <c r="G6" s="12"/>
      <c r="H6" s="1337"/>
      <c r="I6" s="13">
        <f>+J6+L6</f>
        <v>281990282</v>
      </c>
      <c r="J6" s="13">
        <f>+'int.vált.-előterj1.mell'!N21</f>
        <v>186768341</v>
      </c>
      <c r="K6" s="13">
        <f>+'8. mell. Intézmények összesen'!AG52</f>
        <v>281990282</v>
      </c>
      <c r="L6" s="13">
        <f>+K6-J6</f>
        <v>95221941</v>
      </c>
      <c r="N6" s="13">
        <f>+M5-N5</f>
        <v>0</v>
      </c>
    </row>
    <row r="7" spans="1:15">
      <c r="A7" s="1037"/>
      <c r="B7" s="35"/>
      <c r="C7" s="35"/>
      <c r="D7" s="35"/>
      <c r="E7" s="1336"/>
      <c r="F7" s="35"/>
      <c r="G7" s="35"/>
      <c r="H7" s="1338"/>
      <c r="K7" s="13">
        <f>+J6+N5</f>
        <v>281990282</v>
      </c>
      <c r="L7" s="13">
        <f>+'intnemváltoztató-előterj2.mell '!W21</f>
        <v>95221941</v>
      </c>
      <c r="N7" s="13">
        <f>SUM(N5:N6)</f>
        <v>95221941</v>
      </c>
    </row>
    <row r="8" spans="1:15">
      <c r="A8" s="1035" t="s">
        <v>149</v>
      </c>
      <c r="B8" s="15"/>
      <c r="C8" s="12" t="s">
        <v>3237</v>
      </c>
      <c r="D8" s="16">
        <f>-690614</f>
        <v>-690614</v>
      </c>
      <c r="E8" s="14" t="s">
        <v>47</v>
      </c>
      <c r="F8" s="2501" t="s">
        <v>3986</v>
      </c>
      <c r="G8" s="12" t="s">
        <v>3237</v>
      </c>
      <c r="H8" s="1201">
        <f>-690614-139949</f>
        <v>-830563</v>
      </c>
      <c r="I8" s="31"/>
      <c r="L8" s="13">
        <f>+L7-L6</f>
        <v>0</v>
      </c>
    </row>
    <row r="9" spans="1:15">
      <c r="A9" s="1035" t="s">
        <v>393</v>
      </c>
      <c r="B9" s="15"/>
      <c r="C9" s="12" t="s">
        <v>3237</v>
      </c>
      <c r="D9" s="16">
        <f>-139949</f>
        <v>-139949</v>
      </c>
      <c r="E9" s="15"/>
      <c r="F9" s="2501"/>
      <c r="G9" s="12" t="s">
        <v>3237</v>
      </c>
      <c r="H9" s="1201"/>
      <c r="I9" s="31"/>
    </row>
    <row r="10" spans="1:15" hidden="1">
      <c r="A10" s="1035"/>
      <c r="B10" s="15"/>
      <c r="C10" s="12"/>
      <c r="D10" s="16"/>
      <c r="E10" s="15"/>
      <c r="F10" s="2501"/>
      <c r="G10" s="12"/>
      <c r="H10" s="1201"/>
      <c r="I10" s="31"/>
    </row>
    <row r="11" spans="1:15" hidden="1">
      <c r="A11" s="1035"/>
      <c r="B11" s="15"/>
      <c r="C11" s="12"/>
      <c r="D11" s="16"/>
      <c r="E11" s="15"/>
      <c r="F11" s="2501"/>
      <c r="G11" s="12" t="s">
        <v>3237</v>
      </c>
      <c r="H11" s="1201"/>
      <c r="I11" s="31"/>
    </row>
    <row r="12" spans="1:15" hidden="1">
      <c r="A12" s="1035"/>
      <c r="B12" s="15"/>
      <c r="C12" s="12"/>
      <c r="D12" s="16"/>
      <c r="E12" s="14"/>
      <c r="F12" s="2501"/>
      <c r="G12" s="12"/>
      <c r="H12" s="1201"/>
      <c r="I12" s="31"/>
    </row>
    <row r="13" spans="1:15" hidden="1">
      <c r="A13" s="1035"/>
      <c r="B13" s="15"/>
      <c r="C13" s="12"/>
      <c r="D13" s="16"/>
      <c r="E13" s="14"/>
      <c r="F13" s="2501"/>
      <c r="G13" s="12"/>
      <c r="H13" s="1200"/>
      <c r="I13" s="31"/>
    </row>
    <row r="14" spans="1:15" hidden="1">
      <c r="A14" s="1035"/>
      <c r="B14" s="15"/>
      <c r="C14" s="12"/>
      <c r="D14" s="16"/>
      <c r="E14" s="14"/>
      <c r="F14" s="2501"/>
      <c r="G14" s="12"/>
      <c r="H14" s="1201"/>
      <c r="I14" s="31"/>
    </row>
    <row r="15" spans="1:15" ht="38.25" customHeight="1">
      <c r="A15" s="1038" t="s">
        <v>149</v>
      </c>
      <c r="B15" s="1040"/>
      <c r="C15" s="1043" t="s">
        <v>3238</v>
      </c>
      <c r="D15" s="1044">
        <f>-12080423</f>
        <v>-12080423</v>
      </c>
      <c r="E15" s="1045" t="s">
        <v>13</v>
      </c>
      <c r="F15" s="2506" t="s">
        <v>10</v>
      </c>
      <c r="G15" s="1043" t="s">
        <v>3238</v>
      </c>
      <c r="H15" s="2509">
        <f>85932117-12080423</f>
        <v>73851694</v>
      </c>
      <c r="I15" s="31"/>
    </row>
    <row r="16" spans="1:15" ht="31.5">
      <c r="A16" s="1038" t="s">
        <v>148</v>
      </c>
      <c r="B16" s="1040" t="s">
        <v>4012</v>
      </c>
      <c r="C16" s="1043" t="s">
        <v>3238</v>
      </c>
      <c r="D16" s="1044">
        <v>85932117</v>
      </c>
      <c r="E16" s="1042"/>
      <c r="F16" s="2503"/>
      <c r="G16" s="1043"/>
      <c r="H16" s="2509"/>
      <c r="I16" s="31"/>
    </row>
    <row r="17" spans="1:9" hidden="1">
      <c r="A17" s="1038"/>
      <c r="B17" s="1040"/>
      <c r="C17" s="1043"/>
      <c r="D17" s="1044"/>
      <c r="E17" s="1042"/>
      <c r="F17" s="2502"/>
      <c r="G17" s="1043"/>
      <c r="H17" s="2509"/>
      <c r="I17" s="31"/>
    </row>
    <row r="18" spans="1:9" hidden="1">
      <c r="A18" s="1038"/>
      <c r="B18" s="1040"/>
      <c r="C18" s="1043"/>
      <c r="D18" s="1044"/>
      <c r="E18" s="1042"/>
      <c r="F18" s="2502"/>
      <c r="G18" s="1043"/>
      <c r="H18" s="2509"/>
      <c r="I18" s="31"/>
    </row>
    <row r="19" spans="1:9" hidden="1">
      <c r="A19" s="1038"/>
      <c r="B19" s="1040"/>
      <c r="C19" s="1043"/>
      <c r="D19" s="1044"/>
      <c r="E19" s="1042"/>
      <c r="F19" s="2502"/>
      <c r="G19" s="1043"/>
      <c r="H19" s="2509"/>
      <c r="I19" s="31"/>
    </row>
    <row r="20" spans="1:9" hidden="1">
      <c r="A20" s="1051"/>
      <c r="B20" s="1040"/>
      <c r="C20" s="1043"/>
      <c r="D20" s="1044"/>
      <c r="E20" s="1042"/>
      <c r="F20" s="2503"/>
      <c r="G20" s="1043"/>
      <c r="H20" s="1202"/>
      <c r="I20" s="31"/>
    </row>
    <row r="21" spans="1:9" hidden="1">
      <c r="A21" s="1051"/>
      <c r="B21" s="1040"/>
      <c r="C21" s="1043"/>
      <c r="D21" s="1044"/>
      <c r="E21" s="1042"/>
      <c r="F21" s="2502"/>
      <c r="G21" s="1043"/>
      <c r="H21" s="1202"/>
      <c r="I21" s="31"/>
    </row>
    <row r="22" spans="1:9" ht="33" hidden="1" customHeight="1">
      <c r="A22" s="1051"/>
      <c r="B22" s="1040"/>
      <c r="C22" s="1043"/>
      <c r="D22" s="1044"/>
      <c r="E22" s="1042"/>
      <c r="F22" s="2502"/>
      <c r="G22" s="1046"/>
      <c r="H22" s="1202"/>
      <c r="I22" s="31"/>
    </row>
    <row r="23" spans="1:9" ht="33" hidden="1" customHeight="1">
      <c r="A23" s="1051"/>
      <c r="B23" s="1040"/>
      <c r="C23" s="1043"/>
      <c r="D23" s="1044"/>
      <c r="E23" s="1042"/>
      <c r="F23" s="2502"/>
      <c r="G23" s="1046"/>
      <c r="H23" s="1202"/>
      <c r="I23" s="31"/>
    </row>
    <row r="24" spans="1:9" ht="25.5" hidden="1" customHeight="1">
      <c r="A24" s="1051"/>
      <c r="B24" s="1040"/>
      <c r="C24" s="1043"/>
      <c r="D24" s="1044"/>
      <c r="E24" s="1042"/>
      <c r="F24" s="2502"/>
      <c r="G24" s="1043"/>
      <c r="H24" s="1202"/>
      <c r="I24" s="31"/>
    </row>
    <row r="25" spans="1:9" hidden="1">
      <c r="A25" s="1051"/>
      <c r="B25" s="1040"/>
      <c r="C25" s="1043"/>
      <c r="D25" s="1044"/>
      <c r="E25" s="1042"/>
      <c r="F25" s="2503"/>
      <c r="G25" s="1043"/>
      <c r="H25" s="1202"/>
      <c r="I25" s="31"/>
    </row>
    <row r="26" spans="1:9">
      <c r="A26" s="1035" t="s">
        <v>149</v>
      </c>
      <c r="B26" s="15"/>
      <c r="C26" s="12" t="s">
        <v>3239</v>
      </c>
      <c r="D26" s="16">
        <v>14354</v>
      </c>
      <c r="E26" s="14" t="s">
        <v>46</v>
      </c>
      <c r="F26" s="2504" t="s">
        <v>9</v>
      </c>
      <c r="G26" s="12" t="s">
        <v>3239</v>
      </c>
      <c r="H26" s="1201">
        <v>14354</v>
      </c>
      <c r="I26" s="31"/>
    </row>
    <row r="27" spans="1:9" hidden="1">
      <c r="A27" s="1035"/>
      <c r="B27" s="15"/>
      <c r="C27" s="12"/>
      <c r="D27" s="16"/>
      <c r="E27" s="15"/>
      <c r="F27" s="2505"/>
      <c r="G27" s="12"/>
      <c r="H27" s="1200"/>
      <c r="I27" s="31"/>
    </row>
    <row r="28" spans="1:9" hidden="1">
      <c r="A28" s="1035"/>
      <c r="B28" s="15"/>
      <c r="C28" s="12"/>
      <c r="D28" s="16"/>
      <c r="E28" s="15"/>
      <c r="F28" s="2505"/>
      <c r="G28" s="12" t="s">
        <v>3239</v>
      </c>
      <c r="H28" s="1200"/>
      <c r="I28" s="31"/>
    </row>
    <row r="29" spans="1:9" hidden="1">
      <c r="A29" s="1035"/>
      <c r="B29" s="15"/>
      <c r="C29" s="12"/>
      <c r="D29" s="16"/>
      <c r="E29" s="15"/>
      <c r="F29" s="2505"/>
      <c r="G29" s="12" t="s">
        <v>3239</v>
      </c>
      <c r="H29" s="1200"/>
      <c r="I29" s="31"/>
    </row>
    <row r="30" spans="1:9" hidden="1">
      <c r="A30" s="1035"/>
      <c r="B30" s="15"/>
      <c r="C30" s="12"/>
      <c r="D30" s="16"/>
      <c r="E30" s="15"/>
      <c r="F30" s="2505"/>
      <c r="G30" s="12" t="s">
        <v>3239</v>
      </c>
      <c r="H30" s="1200"/>
      <c r="I30" s="31"/>
    </row>
    <row r="31" spans="1:9" hidden="1">
      <c r="A31" s="1035"/>
      <c r="B31" s="15"/>
      <c r="C31" s="12"/>
      <c r="D31" s="16"/>
      <c r="E31" s="15"/>
      <c r="F31" s="2505"/>
      <c r="G31" s="12" t="s">
        <v>3239</v>
      </c>
      <c r="H31" s="1200"/>
      <c r="I31" s="31"/>
    </row>
    <row r="32" spans="1:9" ht="31.5">
      <c r="A32" s="1038" t="s">
        <v>149</v>
      </c>
      <c r="B32" s="1040"/>
      <c r="C32" s="1041" t="s">
        <v>3240</v>
      </c>
      <c r="D32" s="1039">
        <v>2264284</v>
      </c>
      <c r="E32" s="1052" t="s">
        <v>16</v>
      </c>
      <c r="F32" s="2506" t="s">
        <v>9</v>
      </c>
      <c r="G32" s="1041" t="s">
        <v>3240</v>
      </c>
      <c r="H32" s="1592">
        <v>1325401</v>
      </c>
      <c r="I32" s="31"/>
    </row>
    <row r="33" spans="1:12">
      <c r="A33" s="1038"/>
      <c r="B33" s="1040"/>
      <c r="C33" s="1041"/>
      <c r="D33" s="1039"/>
      <c r="E33" s="1040"/>
      <c r="F33" s="2506" t="s">
        <v>10</v>
      </c>
      <c r="G33" s="1041" t="s">
        <v>3240</v>
      </c>
      <c r="H33" s="1203">
        <f>701273+237610</f>
        <v>938883</v>
      </c>
      <c r="I33" s="31"/>
      <c r="L33" s="33"/>
    </row>
    <row r="34" spans="1:12" hidden="1">
      <c r="A34" s="1038"/>
      <c r="B34" s="1040"/>
      <c r="C34" s="1041"/>
      <c r="D34" s="1039"/>
      <c r="E34" s="1040"/>
      <c r="F34" s="2506"/>
      <c r="G34" s="1041"/>
      <c r="H34" s="1592"/>
      <c r="I34" s="31"/>
      <c r="L34" s="33"/>
    </row>
    <row r="35" spans="1:12" hidden="1">
      <c r="A35" s="1038"/>
      <c r="B35" s="1040"/>
      <c r="C35" s="1041"/>
      <c r="D35" s="1039"/>
      <c r="E35" s="1040"/>
      <c r="F35" s="2507"/>
      <c r="G35" s="1041"/>
      <c r="H35" s="1203"/>
      <c r="I35" s="31"/>
      <c r="L35" s="33"/>
    </row>
    <row r="36" spans="1:12">
      <c r="A36" s="1035" t="s">
        <v>149</v>
      </c>
      <c r="B36" s="15"/>
      <c r="C36" s="12" t="s">
        <v>3241</v>
      </c>
      <c r="D36" s="16">
        <v>8488256</v>
      </c>
      <c r="E36" s="14" t="s">
        <v>18</v>
      </c>
      <c r="F36" s="2504" t="s">
        <v>9</v>
      </c>
      <c r="G36" s="12" t="s">
        <v>3241</v>
      </c>
      <c r="H36" s="1201">
        <v>3872896</v>
      </c>
      <c r="I36" s="31"/>
    </row>
    <row r="37" spans="1:12" ht="30">
      <c r="A37" s="1035"/>
      <c r="B37" s="15"/>
      <c r="C37" s="12"/>
      <c r="D37" s="16"/>
      <c r="E37" s="15"/>
      <c r="F37" s="2505" t="s">
        <v>8</v>
      </c>
      <c r="G37" s="12" t="s">
        <v>3241</v>
      </c>
      <c r="H37" s="1201">
        <v>824960</v>
      </c>
      <c r="I37" s="31"/>
    </row>
    <row r="38" spans="1:12">
      <c r="A38" s="1035"/>
      <c r="B38" s="15"/>
      <c r="C38" s="12"/>
      <c r="D38" s="16"/>
      <c r="E38" s="15"/>
      <c r="F38" s="2505" t="s">
        <v>10</v>
      </c>
      <c r="G38" s="12" t="s">
        <v>3241</v>
      </c>
      <c r="H38" s="1201">
        <f>1258116+2532284</f>
        <v>3790400</v>
      </c>
      <c r="I38" s="31"/>
    </row>
    <row r="39" spans="1:12" hidden="1">
      <c r="A39" s="1035"/>
      <c r="B39" s="15"/>
      <c r="C39" s="12"/>
      <c r="D39" s="16"/>
      <c r="E39" s="15"/>
      <c r="F39" s="2504"/>
      <c r="G39" s="12"/>
      <c r="H39" s="1201"/>
      <c r="I39" s="31"/>
    </row>
    <row r="40" spans="1:12" hidden="1">
      <c r="A40" s="1035"/>
      <c r="B40" s="15"/>
      <c r="C40" s="12"/>
      <c r="D40" s="16"/>
      <c r="E40" s="15"/>
      <c r="F40" s="2501"/>
      <c r="G40" s="12"/>
      <c r="H40" s="1200"/>
      <c r="I40" s="31"/>
    </row>
    <row r="41" spans="1:12" hidden="1">
      <c r="A41" s="1035"/>
      <c r="B41" s="15"/>
      <c r="C41" s="12"/>
      <c r="D41" s="16"/>
      <c r="E41" s="15"/>
      <c r="F41" s="2501"/>
      <c r="G41" s="12"/>
      <c r="H41" s="1200"/>
      <c r="I41" s="31"/>
    </row>
    <row r="42" spans="1:12">
      <c r="A42" s="1038" t="s">
        <v>149</v>
      </c>
      <c r="B42" s="1040"/>
      <c r="C42" s="1041" t="s">
        <v>3242</v>
      </c>
      <c r="D42" s="1039">
        <v>-3126375</v>
      </c>
      <c r="E42" s="1052" t="s">
        <v>20</v>
      </c>
      <c r="F42" s="2506" t="s">
        <v>10</v>
      </c>
      <c r="G42" s="1041" t="s">
        <v>3242</v>
      </c>
      <c r="H42" s="1203">
        <f>-4213822+1087447</f>
        <v>-3126375</v>
      </c>
      <c r="I42" s="31"/>
    </row>
    <row r="43" spans="1:12" hidden="1">
      <c r="A43" s="1038"/>
      <c r="B43" s="1040"/>
      <c r="C43" s="1041"/>
      <c r="D43" s="1039"/>
      <c r="E43" s="1040"/>
      <c r="F43" s="2506"/>
      <c r="G43" s="1041"/>
      <c r="H43" s="1592"/>
      <c r="I43" s="31"/>
    </row>
    <row r="44" spans="1:12" hidden="1">
      <c r="A44" s="1038"/>
      <c r="B44" s="1040"/>
      <c r="C44" s="1041"/>
      <c r="D44" s="1039"/>
      <c r="E44" s="1040"/>
      <c r="F44" s="2506"/>
      <c r="G44" s="1041"/>
      <c r="H44" s="1592"/>
      <c r="I44" s="31"/>
    </row>
    <row r="45" spans="1:12" hidden="1">
      <c r="A45" s="1038"/>
      <c r="B45" s="1040"/>
      <c r="C45" s="1041"/>
      <c r="D45" s="1039"/>
      <c r="E45" s="1040"/>
      <c r="F45" s="2506"/>
      <c r="G45" s="1041"/>
      <c r="H45" s="1204"/>
      <c r="I45" s="31"/>
    </row>
    <row r="46" spans="1:12">
      <c r="A46" s="1035" t="s">
        <v>149</v>
      </c>
      <c r="B46" s="15"/>
      <c r="C46" s="12" t="s">
        <v>3243</v>
      </c>
      <c r="D46" s="16">
        <v>2879568</v>
      </c>
      <c r="E46" s="14" t="s">
        <v>22</v>
      </c>
      <c r="F46" s="2504" t="s">
        <v>9</v>
      </c>
      <c r="G46" s="12" t="s">
        <v>3243</v>
      </c>
      <c r="H46" s="1201">
        <v>1525381</v>
      </c>
      <c r="I46" s="31"/>
    </row>
    <row r="47" spans="1:12" ht="30">
      <c r="A47" s="1035"/>
      <c r="B47" s="15"/>
      <c r="C47" s="12"/>
      <c r="D47" s="16"/>
      <c r="E47" s="15"/>
      <c r="F47" s="2505" t="s">
        <v>8</v>
      </c>
      <c r="G47" s="12" t="s">
        <v>3243</v>
      </c>
      <c r="H47" s="1201">
        <v>327650</v>
      </c>
      <c r="I47" s="31"/>
    </row>
    <row r="48" spans="1:12">
      <c r="A48" s="1035"/>
      <c r="B48" s="15"/>
      <c r="C48" s="12"/>
      <c r="D48" s="16"/>
      <c r="E48" s="15"/>
      <c r="F48" s="2504" t="s">
        <v>10</v>
      </c>
      <c r="G48" s="12" t="s">
        <v>3243</v>
      </c>
      <c r="H48" s="1201">
        <f>865593+160944</f>
        <v>1026537</v>
      </c>
      <c r="I48" s="31"/>
    </row>
    <row r="49" spans="1:9" hidden="1">
      <c r="A49" s="1035"/>
      <c r="B49" s="15"/>
      <c r="C49" s="12"/>
      <c r="D49" s="16"/>
      <c r="E49" s="15"/>
      <c r="F49" s="2501"/>
      <c r="G49" s="12"/>
      <c r="H49" s="1337"/>
      <c r="I49" s="31"/>
    </row>
    <row r="50" spans="1:9" hidden="1">
      <c r="A50" s="1035"/>
      <c r="B50" s="15"/>
      <c r="C50" s="12"/>
      <c r="D50" s="16"/>
      <c r="E50" s="15"/>
      <c r="F50" s="2504"/>
      <c r="G50" s="12"/>
      <c r="H50" s="1201"/>
      <c r="I50" s="31"/>
    </row>
    <row r="51" spans="1:9" ht="31.5">
      <c r="A51" s="1038" t="s">
        <v>149</v>
      </c>
      <c r="B51" s="1040"/>
      <c r="C51" s="1041" t="s">
        <v>3244</v>
      </c>
      <c r="D51" s="1039">
        <v>417113</v>
      </c>
      <c r="E51" s="1052" t="s">
        <v>24</v>
      </c>
      <c r="F51" s="2506" t="s">
        <v>10</v>
      </c>
      <c r="G51" s="1041" t="s">
        <v>3244</v>
      </c>
      <c r="H51" s="1203">
        <f>810757-393644</f>
        <v>417113</v>
      </c>
      <c r="I51" s="31"/>
    </row>
    <row r="52" spans="1:9" hidden="1">
      <c r="A52" s="1038"/>
      <c r="B52" s="1040"/>
      <c r="C52" s="1041"/>
      <c r="D52" s="1039"/>
      <c r="E52" s="1052"/>
      <c r="F52" s="2506"/>
      <c r="G52" s="1041"/>
      <c r="H52" s="1203"/>
      <c r="I52" s="31"/>
    </row>
    <row r="53" spans="1:9" hidden="1">
      <c r="A53" s="1038"/>
      <c r="B53" s="1040"/>
      <c r="C53" s="1041"/>
      <c r="D53" s="1039"/>
      <c r="E53" s="1040"/>
      <c r="F53" s="2506"/>
      <c r="G53" s="1041"/>
      <c r="H53" s="1203"/>
      <c r="I53" s="31"/>
    </row>
    <row r="54" spans="1:9" hidden="1">
      <c r="A54" s="1038"/>
      <c r="B54" s="1040"/>
      <c r="C54" s="1041"/>
      <c r="D54" s="1039"/>
      <c r="E54" s="1040"/>
      <c r="F54" s="2506"/>
      <c r="G54" s="1041"/>
      <c r="H54" s="1592"/>
      <c r="I54" s="31"/>
    </row>
    <row r="55" spans="1:9" hidden="1">
      <c r="A55" s="1038"/>
      <c r="B55" s="1040"/>
      <c r="C55" s="1041"/>
      <c r="D55" s="1039"/>
      <c r="E55" s="1040"/>
      <c r="F55" s="2502"/>
      <c r="G55" s="1041"/>
      <c r="H55" s="1592"/>
      <c r="I55" s="31"/>
    </row>
    <row r="56" spans="1:9" hidden="1">
      <c r="A56" s="1038"/>
      <c r="B56" s="1040"/>
      <c r="C56" s="1041"/>
      <c r="D56" s="1039"/>
      <c r="E56" s="1040"/>
      <c r="F56" s="2502"/>
      <c r="G56" s="1041"/>
      <c r="H56" s="1592"/>
      <c r="I56" s="31"/>
    </row>
    <row r="57" spans="1:9">
      <c r="A57" s="1035" t="s">
        <v>149</v>
      </c>
      <c r="B57" s="15"/>
      <c r="C57" s="12" t="s">
        <v>3245</v>
      </c>
      <c r="D57" s="16">
        <v>3361351</v>
      </c>
      <c r="E57" s="14" t="s">
        <v>26</v>
      </c>
      <c r="F57" s="2504" t="s">
        <v>9</v>
      </c>
      <c r="G57" s="12" t="s">
        <v>3245</v>
      </c>
      <c r="H57" s="1201">
        <v>1548870</v>
      </c>
      <c r="I57" s="31"/>
    </row>
    <row r="58" spans="1:9" ht="30">
      <c r="A58" s="1035"/>
      <c r="B58" s="15"/>
      <c r="C58" s="12"/>
      <c r="D58" s="16"/>
      <c r="E58" s="14"/>
      <c r="F58" s="2505" t="s">
        <v>8</v>
      </c>
      <c r="G58" s="12" t="s">
        <v>3245</v>
      </c>
      <c r="H58" s="1201">
        <v>284964</v>
      </c>
      <c r="I58" s="31"/>
    </row>
    <row r="59" spans="1:9">
      <c r="A59" s="1035"/>
      <c r="B59" s="15"/>
      <c r="C59" s="12"/>
      <c r="D59" s="16"/>
      <c r="E59" s="15"/>
      <c r="F59" s="2504" t="s">
        <v>10</v>
      </c>
      <c r="G59" s="12" t="s">
        <v>3245</v>
      </c>
      <c r="H59" s="3018">
        <f>1287166+240351</f>
        <v>1527517</v>
      </c>
      <c r="I59" s="31"/>
    </row>
    <row r="60" spans="1:9" hidden="1">
      <c r="A60" s="1035"/>
      <c r="B60" s="15"/>
      <c r="C60" s="12"/>
      <c r="D60" s="16"/>
      <c r="E60" s="15"/>
      <c r="F60" s="2501"/>
      <c r="G60" s="12"/>
      <c r="H60" s="1201"/>
      <c r="I60" s="31"/>
    </row>
    <row r="61" spans="1:9" hidden="1">
      <c r="A61" s="1035"/>
      <c r="B61" s="15"/>
      <c r="C61" s="12"/>
      <c r="D61" s="16"/>
      <c r="E61" s="36"/>
      <c r="F61" s="2501"/>
      <c r="G61" s="12"/>
      <c r="H61" s="1201"/>
      <c r="I61" s="31"/>
    </row>
    <row r="62" spans="1:9">
      <c r="A62" s="1038" t="s">
        <v>149</v>
      </c>
      <c r="B62" s="1040"/>
      <c r="C62" s="1041" t="s">
        <v>3246</v>
      </c>
      <c r="D62" s="1039">
        <v>4437868</v>
      </c>
      <c r="E62" s="1052" t="s">
        <v>28</v>
      </c>
      <c r="F62" s="2507" t="s">
        <v>9</v>
      </c>
      <c r="G62" s="1041" t="s">
        <v>3246</v>
      </c>
      <c r="H62" s="1592">
        <v>2561626</v>
      </c>
      <c r="I62" s="31"/>
    </row>
    <row r="63" spans="1:9">
      <c r="A63" s="1038"/>
      <c r="B63" s="1040"/>
      <c r="C63" s="1041"/>
      <c r="D63" s="1039"/>
      <c r="E63" s="1040"/>
      <c r="F63" s="2506" t="s">
        <v>10</v>
      </c>
      <c r="G63" s="1041" t="s">
        <v>3246</v>
      </c>
      <c r="H63" s="1592">
        <f>1625841+250401</f>
        <v>1876242</v>
      </c>
      <c r="I63" s="31"/>
    </row>
    <row r="64" spans="1:9" hidden="1">
      <c r="A64" s="1038"/>
      <c r="B64" s="1040"/>
      <c r="C64" s="1041"/>
      <c r="D64" s="1039"/>
      <c r="E64" s="1040"/>
      <c r="F64" s="2507"/>
      <c r="G64" s="1041"/>
      <c r="H64" s="1592"/>
      <c r="I64" s="39"/>
    </row>
    <row r="65" spans="1:9" hidden="1">
      <c r="A65" s="1038"/>
      <c r="B65" s="1040"/>
      <c r="C65" s="1041"/>
      <c r="D65" s="1039"/>
      <c r="E65" s="1040"/>
      <c r="F65" s="2507"/>
      <c r="G65" s="1041"/>
      <c r="H65" s="1592"/>
      <c r="I65" s="31"/>
    </row>
    <row r="66" spans="1:9" hidden="1">
      <c r="A66" s="1038"/>
      <c r="B66" s="1040"/>
      <c r="C66" s="1041"/>
      <c r="D66" s="1039"/>
      <c r="E66" s="1597"/>
      <c r="F66" s="2507"/>
      <c r="G66" s="1041"/>
      <c r="H66" s="1592"/>
      <c r="I66" s="31"/>
    </row>
    <row r="67" spans="1:9" hidden="1">
      <c r="A67" s="1038"/>
      <c r="B67" s="1040"/>
      <c r="C67" s="1041"/>
      <c r="D67" s="1039"/>
      <c r="E67" s="1597"/>
      <c r="F67" s="2507"/>
      <c r="G67" s="1041"/>
      <c r="H67" s="1592"/>
      <c r="I67" s="31"/>
    </row>
    <row r="68" spans="1:9">
      <c r="A68" s="1035" t="s">
        <v>149</v>
      </c>
      <c r="B68" s="15"/>
      <c r="C68" s="12" t="s">
        <v>3247</v>
      </c>
      <c r="D68" s="16">
        <v>29300983</v>
      </c>
      <c r="E68" s="14" t="s">
        <v>152</v>
      </c>
      <c r="F68" s="1596" t="s">
        <v>9</v>
      </c>
      <c r="G68" s="12" t="s">
        <v>3247</v>
      </c>
      <c r="H68" s="1201">
        <v>12766327</v>
      </c>
      <c r="I68" s="31"/>
    </row>
    <row r="69" spans="1:9">
      <c r="A69" s="1035"/>
      <c r="B69" s="15"/>
      <c r="C69" s="12"/>
      <c r="D69" s="16"/>
      <c r="E69" s="1596"/>
      <c r="F69" s="2504" t="s">
        <v>10</v>
      </c>
      <c r="G69" s="12" t="s">
        <v>3247</v>
      </c>
      <c r="H69" s="1337">
        <f>6380650+10154006</f>
        <v>16534656</v>
      </c>
      <c r="I69" s="31"/>
    </row>
    <row r="70" spans="1:9" ht="31.5">
      <c r="A70" s="1035" t="s">
        <v>148</v>
      </c>
      <c r="B70" s="15" t="s">
        <v>4010</v>
      </c>
      <c r="C70" s="12" t="s">
        <v>3247</v>
      </c>
      <c r="D70" s="16">
        <f>450000</f>
        <v>450000</v>
      </c>
      <c r="E70" s="1596"/>
      <c r="F70" s="1596" t="s">
        <v>82</v>
      </c>
      <c r="G70" s="12" t="s">
        <v>3247</v>
      </c>
      <c r="H70" s="1337">
        <v>450000</v>
      </c>
      <c r="I70" s="31"/>
    </row>
    <row r="71" spans="1:9" hidden="1">
      <c r="A71" s="1035"/>
      <c r="B71" s="15"/>
      <c r="C71" s="12"/>
      <c r="D71" s="16"/>
      <c r="E71" s="1596"/>
      <c r="F71" s="1596"/>
      <c r="G71" s="12"/>
      <c r="H71" s="1337"/>
      <c r="I71" s="31"/>
    </row>
    <row r="72" spans="1:9" hidden="1">
      <c r="A72" s="1035"/>
      <c r="B72" s="15"/>
      <c r="C72" s="12"/>
      <c r="D72" s="16"/>
      <c r="E72" s="15"/>
      <c r="F72" s="2504"/>
      <c r="G72" s="12"/>
      <c r="H72" s="1337"/>
      <c r="I72" s="31"/>
    </row>
    <row r="73" spans="1:9" hidden="1">
      <c r="A73" s="1035"/>
      <c r="B73" s="15"/>
      <c r="C73" s="12"/>
      <c r="D73" s="16"/>
      <c r="E73" s="15"/>
      <c r="F73" s="2504"/>
      <c r="G73" s="12"/>
      <c r="H73" s="1337"/>
      <c r="I73" s="31"/>
    </row>
    <row r="74" spans="1:9" hidden="1">
      <c r="A74" s="1035"/>
      <c r="B74" s="15"/>
      <c r="C74" s="12"/>
      <c r="D74" s="16"/>
      <c r="E74" s="15"/>
      <c r="F74" s="2501"/>
      <c r="G74" s="12"/>
      <c r="H74" s="1337"/>
      <c r="I74" s="31"/>
    </row>
    <row r="75" spans="1:9" hidden="1">
      <c r="A75" s="1035"/>
      <c r="B75" s="15"/>
      <c r="C75" s="12"/>
      <c r="D75" s="16"/>
      <c r="E75" s="15"/>
      <c r="F75" s="2504"/>
      <c r="G75" s="12"/>
      <c r="H75" s="1200"/>
      <c r="I75" s="31"/>
    </row>
    <row r="76" spans="1:9" ht="31.5">
      <c r="A76" s="1038" t="s">
        <v>149</v>
      </c>
      <c r="B76" s="1040"/>
      <c r="C76" s="1041" t="s">
        <v>3248</v>
      </c>
      <c r="D76" s="1039">
        <v>-8278894</v>
      </c>
      <c r="E76" s="1052" t="s">
        <v>32</v>
      </c>
      <c r="F76" s="2506" t="s">
        <v>10</v>
      </c>
      <c r="G76" s="1041" t="s">
        <v>3248</v>
      </c>
      <c r="H76" s="1203">
        <f>2861188-11140082</f>
        <v>-8278894</v>
      </c>
      <c r="I76" s="31"/>
    </row>
    <row r="77" spans="1:9" hidden="1">
      <c r="A77" s="1038"/>
      <c r="B77" s="1040"/>
      <c r="C77" s="1041"/>
      <c r="D77" s="1039"/>
      <c r="E77" s="1040"/>
      <c r="F77" s="2506"/>
      <c r="G77" s="1041"/>
      <c r="H77" s="1592"/>
      <c r="I77" s="31"/>
    </row>
    <row r="78" spans="1:9" hidden="1">
      <c r="A78" s="1038"/>
      <c r="B78" s="1040"/>
      <c r="C78" s="1041"/>
      <c r="D78" s="1039"/>
      <c r="E78" s="1040"/>
      <c r="F78" s="2506"/>
      <c r="G78" s="1041"/>
      <c r="H78" s="1592"/>
      <c r="I78" s="31"/>
    </row>
    <row r="79" spans="1:9" hidden="1">
      <c r="A79" s="1038"/>
      <c r="B79" s="1040"/>
      <c r="C79" s="1041"/>
      <c r="D79" s="1039"/>
      <c r="E79" s="1040"/>
      <c r="F79" s="2506"/>
      <c r="G79" s="1041"/>
      <c r="H79" s="1592"/>
      <c r="I79" s="31"/>
    </row>
    <row r="80" spans="1:9" hidden="1">
      <c r="A80" s="1038"/>
      <c r="B80" s="1040"/>
      <c r="C80" s="1041"/>
      <c r="D80" s="1039"/>
      <c r="E80" s="1040"/>
      <c r="F80" s="2506"/>
      <c r="G80" s="1041"/>
      <c r="H80" s="1204"/>
      <c r="I80" s="31"/>
    </row>
    <row r="81" spans="1:9">
      <c r="A81" s="1035" t="s">
        <v>149</v>
      </c>
      <c r="B81" s="15"/>
      <c r="C81" s="12" t="s">
        <v>3249</v>
      </c>
      <c r="D81" s="16">
        <v>105677230</v>
      </c>
      <c r="E81" s="14" t="s">
        <v>34</v>
      </c>
      <c r="F81" s="2504" t="s">
        <v>9</v>
      </c>
      <c r="G81" s="12" t="s">
        <v>3249</v>
      </c>
      <c r="H81" s="1201">
        <v>100936319</v>
      </c>
      <c r="I81" s="31"/>
    </row>
    <row r="82" spans="1:9" ht="31.5">
      <c r="A82" s="1035" t="s">
        <v>148</v>
      </c>
      <c r="B82" s="15" t="s">
        <v>4010</v>
      </c>
      <c r="C82" s="12" t="s">
        <v>3249</v>
      </c>
      <c r="D82" s="16">
        <v>2500000</v>
      </c>
      <c r="E82" s="14"/>
      <c r="F82" s="2504" t="s">
        <v>8</v>
      </c>
      <c r="G82" s="12" t="s">
        <v>3249</v>
      </c>
      <c r="H82" s="1201">
        <v>28698</v>
      </c>
      <c r="I82" s="31"/>
    </row>
    <row r="83" spans="1:9">
      <c r="A83" s="1035"/>
      <c r="B83" s="15"/>
      <c r="C83" s="12"/>
      <c r="D83" s="16"/>
      <c r="E83" s="15"/>
      <c r="F83" s="2504" t="s">
        <v>10</v>
      </c>
      <c r="G83" s="12" t="s">
        <v>3249</v>
      </c>
      <c r="H83" s="1201">
        <f>6927609+178054</f>
        <v>7105663</v>
      </c>
      <c r="I83" s="31"/>
    </row>
    <row r="84" spans="1:9">
      <c r="A84" s="1035"/>
      <c r="B84" s="15"/>
      <c r="C84" s="12"/>
      <c r="D84" s="16"/>
      <c r="E84" s="15"/>
      <c r="F84" s="2504" t="s">
        <v>82</v>
      </c>
      <c r="G84" s="12" t="s">
        <v>3249</v>
      </c>
      <c r="H84" s="1337">
        <v>106550</v>
      </c>
      <c r="I84" s="31"/>
    </row>
    <row r="85" spans="1:9" hidden="1">
      <c r="A85" s="1035"/>
      <c r="B85" s="15"/>
      <c r="C85" s="12"/>
      <c r="D85" s="16"/>
      <c r="E85" s="15"/>
      <c r="F85" s="2504"/>
      <c r="G85" s="12"/>
      <c r="H85" s="1337"/>
      <c r="I85" s="31"/>
    </row>
    <row r="86" spans="1:9" hidden="1">
      <c r="A86" s="1035"/>
      <c r="B86" s="15"/>
      <c r="C86" s="12"/>
      <c r="D86" s="16"/>
      <c r="E86" s="15"/>
      <c r="F86" s="2501"/>
      <c r="G86" s="12"/>
      <c r="H86" s="1200"/>
      <c r="I86" s="31"/>
    </row>
    <row r="87" spans="1:9" ht="31.5">
      <c r="A87" s="1038" t="s">
        <v>149</v>
      </c>
      <c r="B87" s="1040"/>
      <c r="C87" s="1041" t="s">
        <v>3250</v>
      </c>
      <c r="D87" s="1039">
        <v>-1899158</v>
      </c>
      <c r="E87" s="1052" t="s">
        <v>36</v>
      </c>
      <c r="F87" s="2507" t="s">
        <v>9</v>
      </c>
      <c r="G87" s="1041" t="s">
        <v>3250</v>
      </c>
      <c r="H87" s="1203">
        <v>-1899158</v>
      </c>
      <c r="I87" s="31"/>
    </row>
    <row r="88" spans="1:9" hidden="1">
      <c r="A88" s="1038"/>
      <c r="B88" s="1040"/>
      <c r="C88" s="1041"/>
      <c r="D88" s="1039"/>
      <c r="E88" s="1052"/>
      <c r="F88" s="2506"/>
      <c r="G88" s="1041"/>
      <c r="H88" s="1203"/>
      <c r="I88" s="31"/>
    </row>
    <row r="89" spans="1:9" hidden="1">
      <c r="A89" s="1038"/>
      <c r="B89" s="1040"/>
      <c r="C89" s="1041"/>
      <c r="D89" s="1039"/>
      <c r="E89" s="1040"/>
      <c r="F89" s="2506"/>
      <c r="G89" s="1041"/>
      <c r="H89" s="1203"/>
      <c r="I89" s="31"/>
    </row>
    <row r="90" spans="1:9" hidden="1">
      <c r="A90" s="1038"/>
      <c r="B90" s="1040"/>
      <c r="C90" s="1041" t="s">
        <v>3250</v>
      </c>
      <c r="D90" s="1039"/>
      <c r="E90" s="1040"/>
      <c r="F90" s="2506"/>
      <c r="G90" s="1041"/>
      <c r="H90" s="1203"/>
      <c r="I90" s="31"/>
    </row>
    <row r="91" spans="1:9" hidden="1">
      <c r="A91" s="1038"/>
      <c r="B91" s="1040"/>
      <c r="C91" s="1041"/>
      <c r="D91" s="1039"/>
      <c r="E91" s="1040"/>
      <c r="F91" s="2506"/>
      <c r="G91" s="1041"/>
      <c r="H91" s="1203"/>
      <c r="I91" s="31"/>
    </row>
    <row r="92" spans="1:9" hidden="1">
      <c r="A92" s="1038"/>
      <c r="B92" s="1040"/>
      <c r="C92" s="1041"/>
      <c r="D92" s="1039"/>
      <c r="E92" s="1052"/>
      <c r="F92" s="2507"/>
      <c r="G92" s="1041"/>
      <c r="H92" s="1592"/>
      <c r="I92" s="31"/>
    </row>
    <row r="93" spans="1:9" hidden="1">
      <c r="A93" s="1038"/>
      <c r="B93" s="1040"/>
      <c r="C93" s="1041"/>
      <c r="D93" s="1039"/>
      <c r="E93" s="1052"/>
      <c r="F93" s="2506"/>
      <c r="G93" s="1041"/>
      <c r="H93" s="1203"/>
      <c r="I93" s="31"/>
    </row>
    <row r="94" spans="1:9" ht="18" customHeight="1">
      <c r="A94" s="1035" t="s">
        <v>149</v>
      </c>
      <c r="B94" s="15"/>
      <c r="C94" s="12" t="s">
        <v>3251</v>
      </c>
      <c r="D94" s="16">
        <v>158527381</v>
      </c>
      <c r="E94" s="14" t="s">
        <v>38</v>
      </c>
      <c r="F94" s="2504" t="s">
        <v>9</v>
      </c>
      <c r="G94" s="12" t="s">
        <v>3251</v>
      </c>
      <c r="H94" s="1337">
        <v>120023033</v>
      </c>
      <c r="I94" s="31"/>
    </row>
    <row r="95" spans="1:9" ht="31.5">
      <c r="A95" s="1035" t="s">
        <v>148</v>
      </c>
      <c r="B95" s="15" t="s">
        <v>4011</v>
      </c>
      <c r="C95" s="12" t="s">
        <v>3251</v>
      </c>
      <c r="D95" s="16">
        <v>-644628</v>
      </c>
      <c r="E95" s="15"/>
      <c r="F95" s="2501" t="s">
        <v>8</v>
      </c>
      <c r="G95" s="12" t="s">
        <v>3251</v>
      </c>
      <c r="H95" s="1337">
        <v>589338</v>
      </c>
      <c r="I95" s="31"/>
    </row>
    <row r="96" spans="1:9">
      <c r="A96" s="1035"/>
      <c r="B96" s="15"/>
      <c r="C96" s="12"/>
      <c r="D96" s="16"/>
      <c r="E96" s="15"/>
      <c r="F96" s="2505" t="s">
        <v>10</v>
      </c>
      <c r="G96" s="12" t="s">
        <v>3251</v>
      </c>
      <c r="H96" s="1201">
        <f>34966455+2303927</f>
        <v>37270382</v>
      </c>
      <c r="I96" s="31"/>
    </row>
    <row r="97" spans="1:10" hidden="1">
      <c r="A97" s="1035"/>
      <c r="B97" s="15"/>
      <c r="C97" s="12"/>
      <c r="D97" s="16"/>
      <c r="E97" s="15"/>
      <c r="F97" s="2501"/>
      <c r="G97" s="12"/>
      <c r="H97" s="1337"/>
      <c r="I97" s="31"/>
    </row>
    <row r="98" spans="1:10" hidden="1">
      <c r="A98" s="1035"/>
      <c r="B98" s="15"/>
      <c r="C98" s="12"/>
      <c r="D98" s="16"/>
      <c r="E98" s="15"/>
      <c r="F98" s="2505"/>
      <c r="G98" s="12"/>
      <c r="H98" s="1201"/>
      <c r="I98" s="31"/>
    </row>
    <row r="99" spans="1:10" hidden="1">
      <c r="A99" s="1035"/>
      <c r="B99" s="15"/>
      <c r="C99" s="12"/>
      <c r="D99" s="16"/>
      <c r="E99" s="15"/>
      <c r="F99" s="2504"/>
      <c r="G99" s="12"/>
      <c r="H99" s="1201"/>
      <c r="I99" s="31"/>
    </row>
    <row r="100" spans="1:10" hidden="1">
      <c r="A100" s="1035"/>
      <c r="B100" s="15"/>
      <c r="C100" s="12"/>
      <c r="D100" s="16"/>
      <c r="E100" s="15"/>
      <c r="F100" s="2501"/>
      <c r="G100" s="12"/>
      <c r="H100" s="1201"/>
      <c r="I100" s="31"/>
    </row>
    <row r="101" spans="1:10" hidden="1">
      <c r="A101" s="1035"/>
      <c r="B101" s="15"/>
      <c r="C101" s="12"/>
      <c r="D101" s="16"/>
      <c r="E101" s="15"/>
      <c r="F101" s="2501"/>
      <c r="G101" s="12"/>
      <c r="H101" s="1201"/>
      <c r="I101" s="39"/>
    </row>
    <row r="102" spans="1:10" hidden="1">
      <c r="A102" s="1035"/>
      <c r="B102" s="15"/>
      <c r="C102" s="12"/>
      <c r="D102" s="16"/>
      <c r="E102" s="15"/>
      <c r="F102" s="2501"/>
      <c r="G102" s="12"/>
      <c r="H102" s="1201"/>
      <c r="I102" s="31"/>
    </row>
    <row r="103" spans="1:10" hidden="1">
      <c r="A103" s="1035"/>
      <c r="B103" s="15"/>
      <c r="C103" s="12"/>
      <c r="D103" s="16"/>
      <c r="E103" s="15"/>
      <c r="F103" s="2501"/>
      <c r="G103" s="12"/>
      <c r="H103" s="1337"/>
      <c r="I103" s="31"/>
    </row>
    <row r="104" spans="1:10">
      <c r="A104" s="1038" t="s">
        <v>149</v>
      </c>
      <c r="B104" s="1040"/>
      <c r="C104" s="1041" t="s">
        <v>3252</v>
      </c>
      <c r="D104" s="1039">
        <v>312710</v>
      </c>
      <c r="E104" s="1052" t="s">
        <v>40</v>
      </c>
      <c r="F104" s="2507" t="s">
        <v>10</v>
      </c>
      <c r="G104" s="1041" t="s">
        <v>3252</v>
      </c>
      <c r="H104" s="1592">
        <f>125996+392933</f>
        <v>518929</v>
      </c>
      <c r="I104" s="31"/>
    </row>
    <row r="105" spans="1:10" ht="31.5">
      <c r="A105" s="1038" t="s">
        <v>148</v>
      </c>
      <c r="B105" s="1040"/>
      <c r="C105" s="1041" t="s">
        <v>3252</v>
      </c>
      <c r="D105" s="1039">
        <v>206219</v>
      </c>
      <c r="E105" s="1052"/>
      <c r="F105" s="2507"/>
      <c r="G105" s="1041"/>
      <c r="H105" s="1203"/>
      <c r="I105" s="31"/>
    </row>
    <row r="106" spans="1:10" hidden="1">
      <c r="A106" s="1038"/>
      <c r="B106" s="1040"/>
      <c r="C106" s="1041"/>
      <c r="D106" s="1039"/>
      <c r="E106" s="1052"/>
      <c r="F106" s="2510"/>
      <c r="G106" s="1041"/>
      <c r="H106" s="1203"/>
      <c r="I106" s="31"/>
    </row>
    <row r="107" spans="1:10" hidden="1">
      <c r="A107" s="1038"/>
      <c r="B107" s="1040"/>
      <c r="C107" s="1041"/>
      <c r="D107" s="1039"/>
      <c r="E107" s="1052"/>
      <c r="F107" s="2502"/>
      <c r="G107" s="1041"/>
      <c r="H107" s="1203"/>
      <c r="I107" s="31"/>
    </row>
    <row r="108" spans="1:10" ht="31.5">
      <c r="A108" s="1035" t="s">
        <v>149</v>
      </c>
      <c r="B108" s="15"/>
      <c r="C108" s="12" t="s">
        <v>3253</v>
      </c>
      <c r="D108" s="16">
        <v>-2417556</v>
      </c>
      <c r="E108" s="14" t="s">
        <v>42</v>
      </c>
      <c r="F108" s="2505" t="s">
        <v>10</v>
      </c>
      <c r="G108" s="12" t="s">
        <v>3253</v>
      </c>
      <c r="H108" s="1201">
        <f>64942-2482498</f>
        <v>-2417556</v>
      </c>
      <c r="I108" s="31"/>
    </row>
    <row r="109" spans="1:10" hidden="1">
      <c r="A109" s="1035"/>
      <c r="B109" s="15"/>
      <c r="C109" s="12"/>
      <c r="D109" s="16"/>
      <c r="E109" s="14"/>
      <c r="F109" s="2505"/>
      <c r="G109" s="12"/>
      <c r="H109" s="1337"/>
      <c r="I109" s="31"/>
    </row>
    <row r="110" spans="1:10" hidden="1">
      <c r="A110" s="1035"/>
      <c r="B110" s="15"/>
      <c r="C110" s="12"/>
      <c r="D110" s="16"/>
      <c r="E110" s="14"/>
      <c r="F110" s="2505"/>
      <c r="G110" s="12"/>
      <c r="H110" s="1201"/>
      <c r="I110" s="31"/>
    </row>
    <row r="111" spans="1:10" hidden="1">
      <c r="A111" s="1035"/>
      <c r="B111" s="15"/>
      <c r="C111" s="12"/>
      <c r="D111" s="16"/>
      <c r="E111" s="14"/>
      <c r="F111" s="2505"/>
      <c r="G111" s="12"/>
      <c r="H111" s="1201"/>
      <c r="I111" s="31"/>
    </row>
    <row r="112" spans="1:10">
      <c r="A112" s="1038" t="s">
        <v>1260</v>
      </c>
      <c r="B112" s="1040"/>
      <c r="C112" s="1041" t="s">
        <v>3870</v>
      </c>
      <c r="D112" s="1039">
        <v>-188723496</v>
      </c>
      <c r="E112" s="1052" t="s">
        <v>3665</v>
      </c>
      <c r="F112" s="2507" t="s">
        <v>9</v>
      </c>
      <c r="G112" s="1041" t="s">
        <v>3870</v>
      </c>
      <c r="H112" s="1203">
        <v>-15406154</v>
      </c>
      <c r="I112" s="31"/>
      <c r="J112" s="1059"/>
    </row>
    <row r="113" spans="1:11">
      <c r="A113" s="1038"/>
      <c r="B113" s="1040"/>
      <c r="C113" s="1041"/>
      <c r="D113" s="1039"/>
      <c r="E113" s="1052"/>
      <c r="F113" s="2508" t="s">
        <v>10</v>
      </c>
      <c r="G113" s="1041" t="s">
        <v>3870</v>
      </c>
      <c r="H113" s="1203">
        <v>-83539700</v>
      </c>
      <c r="I113" s="31"/>
      <c r="J113" s="1059"/>
    </row>
    <row r="114" spans="1:11">
      <c r="A114" s="1038"/>
      <c r="B114" s="1040"/>
      <c r="C114" s="1041"/>
      <c r="D114" s="1039"/>
      <c r="E114" s="1052"/>
      <c r="F114" s="2508" t="s">
        <v>82</v>
      </c>
      <c r="G114" s="1041" t="s">
        <v>3870</v>
      </c>
      <c r="H114" s="1203">
        <v>-89777642</v>
      </c>
      <c r="I114" s="31"/>
      <c r="J114" s="1059"/>
    </row>
    <row r="115" spans="1:11" hidden="1">
      <c r="A115" s="1038"/>
      <c r="B115" s="1040"/>
      <c r="C115" s="1041"/>
      <c r="D115" s="1039"/>
      <c r="E115" s="1052"/>
      <c r="F115" s="2507"/>
      <c r="G115" s="1041"/>
      <c r="H115" s="1203"/>
      <c r="I115" s="31"/>
      <c r="J115" s="1059"/>
    </row>
    <row r="116" spans="1:11" ht="16.5" thickBot="1">
      <c r="A116" s="3020" t="s">
        <v>156</v>
      </c>
      <c r="B116" s="3021"/>
      <c r="C116" s="3022"/>
      <c r="D116" s="3023">
        <f>SUM(D6:D115)</f>
        <v>186768341</v>
      </c>
      <c r="E116" s="3021" t="s">
        <v>156</v>
      </c>
      <c r="F116" s="3024"/>
      <c r="G116" s="3025"/>
      <c r="H116" s="3026">
        <f>SUM(H6:H115)</f>
        <v>186768341</v>
      </c>
      <c r="I116" s="1059">
        <f>+H116-D116</f>
        <v>0</v>
      </c>
      <c r="J116" s="1059"/>
    </row>
    <row r="117" spans="1:11" ht="26.25" customHeight="1" thickBot="1">
      <c r="A117" s="3547" t="s">
        <v>157</v>
      </c>
      <c r="B117" s="3548"/>
      <c r="C117" s="3548"/>
      <c r="D117" s="3548"/>
      <c r="E117" s="3548"/>
      <c r="F117" s="3548"/>
      <c r="G117" s="3548"/>
      <c r="H117" s="3549"/>
      <c r="I117" s="37"/>
    </row>
    <row r="118" spans="1:11" hidden="1">
      <c r="A118" s="3027"/>
      <c r="B118" s="3028"/>
      <c r="C118" s="3029"/>
      <c r="D118" s="3030"/>
      <c r="E118" s="3031"/>
      <c r="F118" s="3028"/>
      <c r="G118" s="3029"/>
      <c r="H118" s="3032"/>
      <c r="I118" s="37"/>
    </row>
    <row r="119" spans="1:11" hidden="1">
      <c r="A119" s="1634"/>
      <c r="B119" s="1033"/>
      <c r="C119" s="1034"/>
      <c r="D119" s="1635"/>
      <c r="E119" s="1636"/>
      <c r="F119" s="1033"/>
      <c r="G119" s="1034"/>
      <c r="H119" s="1637"/>
      <c r="I119" s="37"/>
    </row>
    <row r="120" spans="1:11" ht="45.75" hidden="1" customHeight="1">
      <c r="A120" s="1644"/>
      <c r="B120" s="1645"/>
      <c r="C120" s="1646"/>
      <c r="D120" s="1647"/>
      <c r="E120" s="1645"/>
      <c r="F120" s="1648"/>
      <c r="G120" s="1646"/>
      <c r="H120" s="1649"/>
      <c r="I120" s="37"/>
    </row>
    <row r="121" spans="1:11" hidden="1">
      <c r="A121" s="1612"/>
      <c r="B121" s="1668"/>
      <c r="C121" s="1669"/>
      <c r="D121" s="1670"/>
      <c r="E121" s="1668"/>
      <c r="F121" s="1616"/>
      <c r="G121" s="1614"/>
      <c r="H121" s="1386"/>
      <c r="I121" s="37"/>
    </row>
    <row r="122" spans="1:11" ht="31.5">
      <c r="A122" s="1617" t="s">
        <v>4019</v>
      </c>
      <c r="B122" s="1671" t="s">
        <v>159</v>
      </c>
      <c r="C122" s="1669" t="s">
        <v>3176</v>
      </c>
      <c r="D122" s="1673">
        <f>669475</f>
        <v>669475</v>
      </c>
      <c r="E122" s="1671" t="s">
        <v>1777</v>
      </c>
      <c r="F122" s="1667"/>
      <c r="G122" s="1614" t="s">
        <v>3656</v>
      </c>
      <c r="H122" s="1386">
        <f>669475</f>
        <v>669475</v>
      </c>
      <c r="I122" s="37"/>
    </row>
    <row r="123" spans="1:11" hidden="1">
      <c r="A123" s="1617"/>
      <c r="B123" s="1671"/>
      <c r="C123" s="1669"/>
      <c r="D123" s="1673"/>
      <c r="E123" s="1671"/>
      <c r="F123" s="1667"/>
      <c r="G123" s="1614"/>
      <c r="H123" s="1386"/>
      <c r="I123" s="37"/>
    </row>
    <row r="124" spans="1:11" ht="47.25">
      <c r="A124" s="3078" t="s">
        <v>149</v>
      </c>
      <c r="B124" s="1671" t="s">
        <v>460</v>
      </c>
      <c r="C124" s="1672" t="s">
        <v>3176</v>
      </c>
      <c r="D124" s="1673">
        <f>2267547+3600530+1206081+1966406+1692081+2714602+3857+1372125</f>
        <v>14823229</v>
      </c>
      <c r="E124" s="1671" t="s">
        <v>3852</v>
      </c>
      <c r="F124" s="1667"/>
      <c r="G124" s="1614" t="s">
        <v>3206</v>
      </c>
      <c r="H124" s="1386">
        <f>2267547+3600530+1206081+1966406+1692081+2714602+3857+1372125</f>
        <v>14823229</v>
      </c>
      <c r="I124" s="37"/>
    </row>
    <row r="125" spans="1:11" hidden="1">
      <c r="A125" s="1617"/>
      <c r="B125" s="1671"/>
      <c r="C125" s="1672"/>
      <c r="D125" s="1674"/>
      <c r="E125" s="1671"/>
      <c r="F125" s="2500"/>
      <c r="G125" s="1614"/>
      <c r="H125" s="1386"/>
      <c r="I125" s="37"/>
    </row>
    <row r="126" spans="1:11" hidden="1">
      <c r="A126" s="1675"/>
      <c r="B126" s="1671"/>
      <c r="C126" s="1672"/>
      <c r="D126" s="1674"/>
      <c r="E126" s="1671"/>
      <c r="F126" s="1671"/>
      <c r="G126" s="1614"/>
      <c r="H126" s="1619"/>
      <c r="K126" s="33"/>
    </row>
    <row r="127" spans="1:11" hidden="1">
      <c r="A127" s="1385"/>
      <c r="B127" s="1613"/>
      <c r="C127" s="1614"/>
      <c r="D127" s="1615"/>
      <c r="E127" s="1613"/>
      <c r="F127" s="1618"/>
      <c r="G127" s="1614"/>
      <c r="H127" s="1619"/>
      <c r="K127" s="33"/>
    </row>
    <row r="128" spans="1:11" hidden="1">
      <c r="A128" s="1385"/>
      <c r="B128" s="1613"/>
      <c r="C128" s="1614"/>
      <c r="D128" s="1615"/>
      <c r="E128" s="1613"/>
      <c r="F128" s="1618"/>
      <c r="G128" s="1614"/>
      <c r="H128" s="1619"/>
      <c r="K128" s="33"/>
    </row>
    <row r="129" spans="1:11" hidden="1">
      <c r="A129" s="1385"/>
      <c r="B129" s="1613"/>
      <c r="C129" s="1614"/>
      <c r="D129" s="1615"/>
      <c r="E129" s="1613"/>
      <c r="F129" s="1618"/>
      <c r="G129" s="1614"/>
      <c r="H129" s="1619"/>
      <c r="K129" s="33"/>
    </row>
    <row r="130" spans="1:11" hidden="1">
      <c r="A130" s="1385"/>
      <c r="B130" s="1613"/>
      <c r="C130" s="1614"/>
      <c r="D130" s="1615"/>
      <c r="E130" s="1613"/>
      <c r="F130" s="1618"/>
      <c r="G130" s="1614"/>
      <c r="H130" s="1619"/>
      <c r="K130" s="33"/>
    </row>
    <row r="131" spans="1:11" hidden="1">
      <c r="A131" s="1385"/>
      <c r="B131" s="1613"/>
      <c r="C131" s="1614"/>
      <c r="D131" s="1615"/>
      <c r="E131" s="1613"/>
      <c r="F131" s="1618"/>
      <c r="G131" s="1614"/>
      <c r="H131" s="1619"/>
      <c r="K131" s="33"/>
    </row>
    <row r="132" spans="1:11" hidden="1">
      <c r="A132" s="1385"/>
      <c r="B132" s="1613"/>
      <c r="C132" s="1614"/>
      <c r="D132" s="1615"/>
      <c r="E132" s="1613"/>
      <c r="F132" s="1618"/>
      <c r="G132" s="1614"/>
      <c r="H132" s="1619"/>
      <c r="K132" s="33"/>
    </row>
    <row r="133" spans="1:11" hidden="1">
      <c r="A133" s="2208"/>
      <c r="B133" s="1613"/>
      <c r="C133" s="1614"/>
      <c r="D133" s="1615"/>
      <c r="E133" s="1613"/>
      <c r="F133" s="1618"/>
      <c r="G133" s="1614"/>
      <c r="H133" s="1619"/>
      <c r="K133" s="33"/>
    </row>
    <row r="134" spans="1:11" hidden="1">
      <c r="A134" s="1385"/>
      <c r="B134" s="1613"/>
      <c r="C134" s="1614"/>
      <c r="D134" s="1615"/>
      <c r="E134" s="1613"/>
      <c r="F134" s="1618"/>
      <c r="G134" s="1614"/>
      <c r="H134" s="1619"/>
      <c r="K134" s="33"/>
    </row>
    <row r="135" spans="1:11" ht="31.5">
      <c r="A135" s="1385" t="s">
        <v>431</v>
      </c>
      <c r="B135" s="1613" t="s">
        <v>4008</v>
      </c>
      <c r="C135" s="1614" t="s">
        <v>3176</v>
      </c>
      <c r="D135" s="1615">
        <f>-467126</f>
        <v>-467126</v>
      </c>
      <c r="E135" s="1671" t="s">
        <v>107</v>
      </c>
      <c r="F135" s="2500"/>
      <c r="G135" s="1614" t="s">
        <v>3257</v>
      </c>
      <c r="H135" s="1619">
        <f>-467126-125817926-170000000</f>
        <v>-296285052</v>
      </c>
    </row>
    <row r="136" spans="1:11">
      <c r="A136" s="1385" t="s">
        <v>431</v>
      </c>
      <c r="B136" s="1613" t="s">
        <v>1071</v>
      </c>
      <c r="C136" s="1614" t="s">
        <v>3176</v>
      </c>
      <c r="D136" s="1615">
        <v>-125817926</v>
      </c>
      <c r="E136" s="1613" t="s">
        <v>2310</v>
      </c>
      <c r="F136" s="1616"/>
      <c r="G136" s="1614" t="s">
        <v>3257</v>
      </c>
      <c r="H136" s="1619">
        <f>-173619656+548422</f>
        <v>-173071234</v>
      </c>
    </row>
    <row r="137" spans="1:11">
      <c r="A137" s="1385" t="s">
        <v>431</v>
      </c>
      <c r="B137" s="1613" t="s">
        <v>1063</v>
      </c>
      <c r="C137" s="1614" t="s">
        <v>3176</v>
      </c>
      <c r="D137" s="1615">
        <f>-95597814-170000000-173619656-285000000+548422</f>
        <v>-723669048</v>
      </c>
      <c r="E137" s="1671" t="s">
        <v>2312</v>
      </c>
      <c r="F137" s="2500"/>
      <c r="G137" s="1614" t="s">
        <v>3257</v>
      </c>
      <c r="H137" s="1619">
        <v>-285000000</v>
      </c>
    </row>
    <row r="138" spans="1:11" s="33" customFormat="1">
      <c r="A138" s="1389" t="s">
        <v>3488</v>
      </c>
      <c r="B138" s="875"/>
      <c r="C138" s="1620"/>
      <c r="D138" s="890"/>
      <c r="E138" s="875" t="s">
        <v>3489</v>
      </c>
      <c r="F138" s="1621"/>
      <c r="G138" s="1620"/>
      <c r="H138" s="1622"/>
    </row>
    <row r="139" spans="1:11" s="33" customFormat="1" ht="33" customHeight="1">
      <c r="A139" s="3033" t="s">
        <v>295</v>
      </c>
      <c r="B139" s="1613"/>
      <c r="C139" s="1614" t="s">
        <v>3907</v>
      </c>
      <c r="D139" s="1615">
        <f>321282672+95597814</f>
        <v>416880486</v>
      </c>
      <c r="E139" s="1613" t="s">
        <v>375</v>
      </c>
      <c r="F139" s="1616"/>
      <c r="G139" s="1614" t="s">
        <v>3908</v>
      </c>
      <c r="H139" s="1386">
        <v>321282672</v>
      </c>
      <c r="I139" s="1032"/>
    </row>
    <row r="140" spans="1:11" s="33" customFormat="1" ht="31.5">
      <c r="A140" s="1612" t="s">
        <v>299</v>
      </c>
      <c r="B140" s="1613"/>
      <c r="C140" s="1614" t="s">
        <v>3907</v>
      </c>
      <c r="D140" s="1615">
        <f>1200000000</f>
        <v>1200000000</v>
      </c>
      <c r="E140" s="1613" t="s">
        <v>2689</v>
      </c>
      <c r="F140" s="1616"/>
      <c r="G140" s="1614" t="s">
        <v>3907</v>
      </c>
      <c r="H140" s="1386">
        <f>1200000000</f>
        <v>1200000000</v>
      </c>
      <c r="I140" s="13"/>
      <c r="J140" s="13"/>
    </row>
    <row r="141" spans="1:11" ht="35.25" customHeight="1" thickBot="1">
      <c r="A141" s="1650" t="s">
        <v>1212</v>
      </c>
      <c r="B141" s="2234"/>
      <c r="C141" s="1651"/>
      <c r="D141" s="1652">
        <f>+H141</f>
        <v>4999090000</v>
      </c>
      <c r="E141" s="1653" t="s">
        <v>2654</v>
      </c>
      <c r="F141" s="1654"/>
      <c r="G141" s="1651"/>
      <c r="H141" s="1655">
        <v>4999090000</v>
      </c>
    </row>
    <row r="142" spans="1:11" ht="16.5" hidden="1" thickBot="1">
      <c r="A142" s="1638"/>
      <c r="B142" s="1639"/>
      <c r="C142" s="1640"/>
      <c r="D142" s="1641"/>
      <c r="E142" s="1639"/>
      <c r="F142" s="1642"/>
      <c r="G142" s="1640"/>
      <c r="H142" s="1643"/>
    </row>
    <row r="143" spans="1:11" ht="48" thickBot="1">
      <c r="A143" s="1659" t="s">
        <v>3486</v>
      </c>
      <c r="B143" s="1660"/>
      <c r="C143" s="1661" t="s">
        <v>167</v>
      </c>
      <c r="D143" s="1662">
        <f>SUM(D118:D142)+D116</f>
        <v>5968277431</v>
      </c>
      <c r="E143" s="1659" t="s">
        <v>3487</v>
      </c>
      <c r="F143" s="1663"/>
      <c r="G143" s="1661" t="s">
        <v>167</v>
      </c>
      <c r="H143" s="1664">
        <f>SUM(H118:H142)+H116</f>
        <v>5968277431</v>
      </c>
      <c r="K143" s="33"/>
    </row>
    <row r="144" spans="1:11">
      <c r="A144" s="1623"/>
      <c r="B144" s="1624"/>
      <c r="C144" s="1625"/>
      <c r="D144" s="1624">
        <f>+D143-'1. mell.ÖSSZEVONT_MÉRLEG'!N88</f>
        <v>0</v>
      </c>
      <c r="E144" s="1624"/>
      <c r="F144" s="1626"/>
      <c r="G144" s="1625"/>
      <c r="H144" s="1627">
        <f>+D143-H143</f>
        <v>0</v>
      </c>
      <c r="K144" s="33"/>
    </row>
    <row r="145" spans="1:11" ht="27.75" thickBot="1">
      <c r="A145" s="1628" t="s">
        <v>3517</v>
      </c>
      <c r="B145" s="1629"/>
      <c r="C145" s="1630"/>
      <c r="D145" s="1629"/>
      <c r="E145" s="1629"/>
      <c r="F145" s="1631"/>
      <c r="G145" s="1630"/>
      <c r="H145" s="1632"/>
      <c r="I145" s="31"/>
      <c r="K145" s="33"/>
    </row>
    <row r="146" spans="1:11" ht="65.25" customHeight="1">
      <c r="H146" s="1205">
        <f>+H145-D144</f>
        <v>0</v>
      </c>
      <c r="K146" s="33"/>
    </row>
    <row r="147" spans="1:11">
      <c r="H147" s="1206">
        <f>+'1. mell.ÖSSZEVONT_MÉRLEG'!N153-H143</f>
        <v>0</v>
      </c>
    </row>
    <row r="148" spans="1:11">
      <c r="C148" s="13"/>
      <c r="K148" s="31"/>
    </row>
    <row r="149" spans="1:11">
      <c r="C149" s="13"/>
      <c r="I149" s="33"/>
      <c r="K149" s="39"/>
    </row>
    <row r="150" spans="1:11">
      <c r="C150" s="13"/>
      <c r="F150" s="31">
        <f>+D144+H146</f>
        <v>0</v>
      </c>
      <c r="G150" s="30">
        <f>+F150-H145</f>
        <v>0</v>
      </c>
      <c r="J150" s="33"/>
      <c r="K150" s="39"/>
    </row>
    <row r="151" spans="1:11">
      <c r="C151" s="13"/>
      <c r="D151" s="13">
        <f>+D143-D144</f>
        <v>5968277431</v>
      </c>
      <c r="K151" s="39"/>
    </row>
    <row r="152" spans="1:11">
      <c r="D152" s="13">
        <f>+'1. mell.ÖSSZEVONT_MÉRLEG'!N153</f>
        <v>5968277431</v>
      </c>
      <c r="J152" s="33"/>
      <c r="K152" s="39"/>
    </row>
  </sheetData>
  <sheetProtection selectLockedCells="1" selectUnlockedCells="1"/>
  <mergeCells count="6">
    <mergeCell ref="M2:O2"/>
    <mergeCell ref="A117:H117"/>
    <mergeCell ref="A1:H1"/>
    <mergeCell ref="A3:D3"/>
    <mergeCell ref="E3:H3"/>
    <mergeCell ref="A4:H4"/>
  </mergeCells>
  <phoneticPr fontId="143" type="noConversion"/>
  <printOptions horizontalCentered="1"/>
  <pageMargins left="0" right="0" top="0.19685039370078741" bottom="0.19685039370078741" header="0.51181102362204722" footer="0.23622047244094491"/>
  <pageSetup paperSize="9" scale="62" firstPageNumber="0" fitToHeight="2" orientation="landscape" horizontalDpi="300" verticalDpi="300" r:id="rId1"/>
  <headerFooter alignWithMargins="0">
    <oddFooter>&amp;C&amp;14&amp;P/&amp;N</oddFooter>
  </headerFooter>
  <rowBreaks count="1" manualBreakCount="1">
    <brk id="87" max="7"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81EDC-70BF-4631-8137-66E04947BDA6}">
  <sheetPr>
    <tabColor indexed="13"/>
  </sheetPr>
  <dimension ref="A1:Z158"/>
  <sheetViews>
    <sheetView view="pageBreakPreview" zoomScaleSheetLayoutView="100" workbookViewId="0">
      <pane xSplit="11" ySplit="4" topLeftCell="N5" activePane="bottomRight" state="frozen"/>
      <selection sqref="A1:AC1"/>
      <selection pane="topRight" sqref="A1:AC1"/>
      <selection pane="bottomLeft" sqref="A1:AC1"/>
      <selection pane="bottomRight" sqref="A1:T1"/>
    </sheetView>
  </sheetViews>
  <sheetFormatPr defaultRowHeight="12.75"/>
  <cols>
    <col min="1" max="1" width="7.28515625" style="164" customWidth="1"/>
    <col min="2" max="2" width="62.7109375" style="165" customWidth="1"/>
    <col min="3" max="3" width="10.7109375" style="166" hidden="1" customWidth="1"/>
    <col min="4" max="5" width="10.7109375" style="167" hidden="1" customWidth="1"/>
    <col min="6" max="6" width="10.7109375" style="166" hidden="1" customWidth="1"/>
    <col min="7" max="7" width="10.7109375" style="3165" hidden="1" customWidth="1"/>
    <col min="8" max="8" width="10.7109375" style="168" hidden="1" customWidth="1"/>
    <col min="9" max="10" width="15.7109375" style="169" hidden="1" customWidth="1"/>
    <col min="11" max="11" width="15.85546875" style="169" customWidth="1"/>
    <col min="12" max="12" width="16.7109375" style="172" hidden="1" customWidth="1"/>
    <col min="13" max="13" width="15.42578125" style="172" hidden="1" customWidth="1"/>
    <col min="14" max="14" width="16.42578125" style="172" customWidth="1"/>
    <col min="15" max="15" width="15.28515625" style="172" hidden="1" customWidth="1"/>
    <col min="16" max="16" width="15.7109375" style="172" customWidth="1"/>
    <col min="17" max="17" width="13.5703125" style="172" customWidth="1"/>
    <col min="18" max="18" width="14.7109375" style="172" hidden="1" customWidth="1"/>
    <col min="19" max="19" width="14.5703125" style="172" hidden="1" customWidth="1"/>
    <col min="20" max="20" width="17.42578125" style="172" hidden="1" customWidth="1"/>
    <col min="21" max="21" width="11" style="172" hidden="1" customWidth="1"/>
    <col min="22" max="22" width="1.5703125" style="171" hidden="1" customWidth="1"/>
    <col min="23" max="23" width="15.7109375" style="171" hidden="1" customWidth="1"/>
    <col min="24" max="26" width="0" style="171" hidden="1" customWidth="1"/>
    <col min="27" max="16384" width="9.140625" style="171"/>
  </cols>
  <sheetData>
    <row r="1" spans="1:24" s="174" customFormat="1" ht="28.5" customHeight="1">
      <c r="A1" s="3602" t="s">
        <v>4283</v>
      </c>
      <c r="B1" s="3671"/>
      <c r="C1" s="3671"/>
      <c r="D1" s="3671"/>
      <c r="E1" s="3671"/>
      <c r="F1" s="3671"/>
      <c r="G1" s="3671"/>
      <c r="H1" s="3671"/>
      <c r="I1" s="3671"/>
      <c r="J1" s="3671"/>
      <c r="K1" s="3671"/>
      <c r="L1" s="3671"/>
      <c r="M1" s="3671"/>
      <c r="N1" s="3671"/>
      <c r="O1" s="3671"/>
      <c r="P1" s="3671"/>
      <c r="Q1" s="3671"/>
      <c r="R1" s="3672"/>
      <c r="S1" s="3672"/>
      <c r="T1" s="3672"/>
      <c r="U1" s="173"/>
    </row>
    <row r="2" spans="1:24" s="174" customFormat="1" ht="47.25" customHeight="1">
      <c r="A2" s="3673" t="s">
        <v>3175</v>
      </c>
      <c r="B2" s="3673"/>
      <c r="C2" s="3673"/>
      <c r="D2" s="3673"/>
      <c r="E2" s="3673"/>
      <c r="F2" s="3673"/>
      <c r="G2" s="3673"/>
      <c r="H2" s="3673"/>
      <c r="I2" s="3673"/>
      <c r="J2" s="3673"/>
      <c r="K2" s="3673"/>
      <c r="L2" s="3673"/>
      <c r="M2" s="3673"/>
      <c r="N2" s="3673"/>
      <c r="O2" s="3673"/>
      <c r="P2" s="3673"/>
      <c r="Q2" s="3673"/>
      <c r="R2" s="3674"/>
      <c r="S2" s="3674"/>
      <c r="T2" s="3674"/>
      <c r="U2" s="173"/>
    </row>
    <row r="3" spans="1:24" s="174" customFormat="1" ht="25.5" customHeight="1">
      <c r="A3" s="1423"/>
      <c r="B3" s="1424" t="str">
        <f>+'10. PMH személyi jutt.és jár-ok'!B3</f>
        <v>A</v>
      </c>
      <c r="C3" s="1424">
        <f>+'10. PMH személyi jutt.és jár-ok'!C3</f>
        <v>0</v>
      </c>
      <c r="D3" s="1424">
        <f>+'10. PMH személyi jutt.és jár-ok'!D3</f>
        <v>0</v>
      </c>
      <c r="E3" s="1424">
        <f>+'10. PMH személyi jutt.és jár-ok'!E3</f>
        <v>0</v>
      </c>
      <c r="F3" s="1424">
        <f>+'10. PMH személyi jutt.és jár-ok'!F3</f>
        <v>0</v>
      </c>
      <c r="G3" s="1424">
        <f>+'10. PMH személyi jutt.és jár-ok'!G3</f>
        <v>0</v>
      </c>
      <c r="H3" s="1424">
        <f>+'10. PMH személyi jutt.és jár-ok'!H3</f>
        <v>0</v>
      </c>
      <c r="I3" s="1424" t="str">
        <f>+'10. PMH személyi jutt.és jár-ok'!I3</f>
        <v>B</v>
      </c>
      <c r="J3" s="1424" t="str">
        <f>+'10. PMH személyi jutt.és jár-ok'!J3</f>
        <v>B</v>
      </c>
      <c r="K3" s="1424" t="str">
        <f>+'10. PMH személyi jutt.és jár-ok'!K3</f>
        <v>B</v>
      </c>
      <c r="L3" s="1424" t="str">
        <f>+'10. PMH személyi jutt.és jár-ok'!L3</f>
        <v>D</v>
      </c>
      <c r="M3" s="1424" t="str">
        <f>+'10. PMH személyi jutt.és jár-ok'!M3</f>
        <v>E</v>
      </c>
      <c r="N3" s="1424" t="str">
        <f>+'10. PMH személyi jutt.és jár-ok'!N3</f>
        <v>C</v>
      </c>
      <c r="O3" s="1424" t="str">
        <f>+'10. PMH személyi jutt.és jár-ok'!O3</f>
        <v>F</v>
      </c>
      <c r="P3" s="1424" t="str">
        <f>+'10. PMH személyi jutt.és jár-ok'!P3</f>
        <v>D</v>
      </c>
      <c r="Q3" s="1424" t="str">
        <f>+'10. PMH személyi jutt.és jár-ok'!Q3</f>
        <v>E</v>
      </c>
      <c r="R3" s="1424">
        <f>+'10. PMH személyi jutt.és jár-ok'!R3</f>
        <v>0</v>
      </c>
      <c r="S3" s="1424" t="str">
        <f>+'10. PMH személyi jutt.és jár-ok'!S3</f>
        <v>F</v>
      </c>
      <c r="T3" s="1424" t="str">
        <f>+'10. PMH személyi jutt.és jár-ok'!T3</f>
        <v>G</v>
      </c>
      <c r="U3" s="173"/>
    </row>
    <row r="4" spans="1:24" ht="77.25" customHeight="1">
      <c r="A4" s="1423" t="s">
        <v>6</v>
      </c>
      <c r="B4" s="1540" t="s">
        <v>3641</v>
      </c>
      <c r="C4" s="1541" t="s">
        <v>504</v>
      </c>
      <c r="D4" s="2099" t="s">
        <v>505</v>
      </c>
      <c r="E4" s="1541" t="s">
        <v>506</v>
      </c>
      <c r="F4" s="1541" t="s">
        <v>1334</v>
      </c>
      <c r="G4" s="1541" t="s">
        <v>508</v>
      </c>
      <c r="H4" s="1541" t="s">
        <v>509</v>
      </c>
      <c r="I4" s="1341" t="str">
        <f>+'1. mell.ÖSSZEVONT_MÉRLEG'!C5</f>
        <v>2024. évi eredeti előirányzat
forintban</v>
      </c>
      <c r="J4" s="2572" t="str">
        <f>+'1. mell.ÖSSZEVONT_MÉRLEG'!D5</f>
        <v>2024. évi teljesítés forintban</v>
      </c>
      <c r="K4" s="1341" t="str">
        <f>+'1. mell.ÖSSZEVONT_MÉRLEG'!E5</f>
        <v>2025. évi eredeti előirányzat forintban</v>
      </c>
      <c r="L4" s="1341" t="str">
        <f>+'1. mell.ÖSSZEVONT_MÉRLEG'!F5</f>
        <v>2025. évi I. számú módosított előirányzat
forintban</v>
      </c>
      <c r="M4" s="1341" t="str">
        <f>+'1. mell.ÖSSZEVONT_MÉRLEG'!G5</f>
        <v>2025. évi II. számú módosított előirányzat forintban</v>
      </c>
      <c r="N4" s="1341" t="str">
        <f>+'1. mell.ÖSSZEVONT_MÉRLEG'!H5</f>
        <v>2025. évi III. számú módosított előirányzat forintban</v>
      </c>
      <c r="O4" s="1341" t="str">
        <f>+'1. mell.ÖSSZEVONT_MÉRLEG'!I5</f>
        <v>2025. évi IV. számú módosított előirányzat forintban</v>
      </c>
      <c r="P4" s="2614" t="str">
        <f>+'1. mell.ÖSSZEVONT_MÉRLEG'!J5</f>
        <v>2025. évi
teljesítés forintban</v>
      </c>
      <c r="Q4" s="1341" t="str">
        <f>+'1. mell.ÖSSZEVONT_MÉRLEG'!K5</f>
        <v xml:space="preserve"> 2025. évi teljesítés / 2025. évi III. számú módosított előirányzat</v>
      </c>
      <c r="R4" s="1341" t="str">
        <f>+'1. mell.ÖSSZEVONT_MÉRLEG'!L5</f>
        <v>Változás I. módosításnál</v>
      </c>
      <c r="S4" s="1341" t="str">
        <f>+'1. mell.ÖSSZEVONT_MÉRLEG'!M5</f>
        <v>Előirányzat-módosítások, előirányzat-átcsoportosítások összegszerű változásai</v>
      </c>
      <c r="T4" s="2546" t="str">
        <f>+'1. mell.ÖSSZEVONT_MÉRLEG'!N5</f>
        <v>Előirányzat-módosítások, előirányzat-átcsoportosítások összegszerű változásai a III. módosításnál</v>
      </c>
      <c r="U4" s="3097" t="s">
        <v>175</v>
      </c>
      <c r="V4" s="612" t="s">
        <v>3984</v>
      </c>
    </row>
    <row r="5" spans="1:24" hidden="1">
      <c r="A5" s="1423">
        <f>+'7. mell. Önk.összes.bevétele'!A5</f>
        <v>1</v>
      </c>
      <c r="B5" s="1423">
        <f>+'7. mell. Önk.összes.bevétele'!B5</f>
        <v>2</v>
      </c>
      <c r="C5" s="1423"/>
      <c r="D5" s="1423"/>
      <c r="E5" s="1423"/>
      <c r="F5" s="1423"/>
      <c r="G5" s="1423"/>
      <c r="H5" s="1423"/>
      <c r="I5" s="1423">
        <f>+'7. mell. Önk.összes.bevétele'!I5</f>
        <v>3</v>
      </c>
      <c r="J5" s="2578">
        <f>+'7. mell. Önk.összes.bevétele'!J5</f>
        <v>0</v>
      </c>
      <c r="K5" s="1423">
        <f>+'7. mell. Önk.összes.bevétele'!K5</f>
        <v>3</v>
      </c>
      <c r="L5" s="1423">
        <f>+'7. mell. Önk.összes.bevétele'!L5</f>
        <v>4</v>
      </c>
      <c r="M5" s="1423">
        <f>+'7. mell. Önk.összes.bevétele'!M5</f>
        <v>5</v>
      </c>
      <c r="N5" s="1423">
        <f>+'7. mell. Önk.összes.bevétele'!N5</f>
        <v>6</v>
      </c>
      <c r="O5" s="1423">
        <f>+'7. mell. Önk.összes.bevétele'!O5</f>
        <v>7</v>
      </c>
      <c r="P5" s="3098">
        <f>+'7. mell. Önk.összes.bevétele'!P5</f>
        <v>0</v>
      </c>
      <c r="Q5" s="1423">
        <f>+'7. mell. Önk.összes.bevétele'!Q5</f>
        <v>5</v>
      </c>
      <c r="R5" s="1423"/>
      <c r="S5" s="1423"/>
      <c r="T5" s="1423"/>
      <c r="U5" s="185"/>
      <c r="V5" s="640">
        <v>0</v>
      </c>
    </row>
    <row r="6" spans="1:24" hidden="1">
      <c r="A6" s="1423" t="s">
        <v>6</v>
      </c>
      <c r="B6" s="1423" t="s">
        <v>1335</v>
      </c>
      <c r="C6" s="2095"/>
      <c r="D6" s="1423"/>
      <c r="E6" s="1542"/>
      <c r="F6" s="2095"/>
      <c r="G6" s="2095"/>
      <c r="H6" s="2095"/>
      <c r="I6" s="2095"/>
      <c r="J6" s="2574"/>
      <c r="K6" s="2095"/>
      <c r="L6" s="2095"/>
      <c r="M6" s="2095"/>
      <c r="N6" s="2095"/>
      <c r="O6" s="2095"/>
      <c r="P6" s="2166"/>
      <c r="Q6" s="2095"/>
      <c r="R6" s="2095"/>
      <c r="S6" s="2095"/>
      <c r="T6" s="2095"/>
      <c r="U6" s="217"/>
      <c r="V6" s="244"/>
    </row>
    <row r="7" spans="1:24">
      <c r="A7" s="1423" t="s">
        <v>12</v>
      </c>
      <c r="B7" s="2130" t="s">
        <v>84</v>
      </c>
      <c r="C7" s="2099" t="s">
        <v>574</v>
      </c>
      <c r="D7" s="1542" t="s">
        <v>1776</v>
      </c>
      <c r="E7" s="1542">
        <v>3</v>
      </c>
      <c r="F7" s="2099" t="s">
        <v>534</v>
      </c>
      <c r="G7" s="2099" t="s">
        <v>572</v>
      </c>
      <c r="H7" s="2099" t="s">
        <v>1337</v>
      </c>
      <c r="I7" s="3099">
        <v>0</v>
      </c>
      <c r="J7" s="3100">
        <v>0</v>
      </c>
      <c r="K7" s="3099">
        <v>0</v>
      </c>
      <c r="L7" s="3099">
        <f t="shared" ref="L7:L12" si="0">+K7</f>
        <v>0</v>
      </c>
      <c r="M7" s="3099">
        <f t="shared" ref="M7:M12" si="1">+L7</f>
        <v>0</v>
      </c>
      <c r="N7" s="3099">
        <f t="shared" ref="N7:N12" si="2">+M7</f>
        <v>0</v>
      </c>
      <c r="O7" s="3099">
        <f t="shared" ref="O7:O12" si="3">+N7</f>
        <v>0</v>
      </c>
      <c r="P7" s="3101">
        <v>0</v>
      </c>
      <c r="Q7" s="3102"/>
      <c r="R7" s="3099">
        <f t="shared" ref="R7:U8" si="4">+L7-K7</f>
        <v>0</v>
      </c>
      <c r="S7" s="3099">
        <f t="shared" si="4"/>
        <v>0</v>
      </c>
      <c r="T7" s="3099">
        <f t="shared" si="4"/>
        <v>0</v>
      </c>
      <c r="U7" s="3103">
        <f t="shared" si="4"/>
        <v>0</v>
      </c>
      <c r="V7" s="716">
        <v>0</v>
      </c>
    </row>
    <row r="8" spans="1:24">
      <c r="A8" s="1423" t="s">
        <v>14</v>
      </c>
      <c r="B8" s="2130" t="s">
        <v>1777</v>
      </c>
      <c r="C8" s="2099"/>
      <c r="D8" s="1542" t="s">
        <v>1778</v>
      </c>
      <c r="E8" s="1542">
        <v>3</v>
      </c>
      <c r="F8" s="2099" t="s">
        <v>534</v>
      </c>
      <c r="G8" s="2099" t="s">
        <v>572</v>
      </c>
      <c r="H8" s="2099" t="s">
        <v>1337</v>
      </c>
      <c r="I8" s="1365">
        <f>4000000</f>
        <v>4000000</v>
      </c>
      <c r="J8" s="3100">
        <v>7798192</v>
      </c>
      <c r="K8" s="3104">
        <f>4000000*2</f>
        <v>8000000</v>
      </c>
      <c r="L8" s="3099">
        <f t="shared" si="0"/>
        <v>8000000</v>
      </c>
      <c r="M8" s="3099">
        <f t="shared" si="1"/>
        <v>8000000</v>
      </c>
      <c r="N8" s="3099">
        <f>+M8+669475</f>
        <v>8669475</v>
      </c>
      <c r="O8" s="3099">
        <f t="shared" si="3"/>
        <v>8669475</v>
      </c>
      <c r="P8" s="3105">
        <f>8669475+15267-15267</f>
        <v>8669475</v>
      </c>
      <c r="Q8" s="2409">
        <f t="shared" ref="Q8:Q44" si="5">+P8/N8</f>
        <v>1</v>
      </c>
      <c r="R8" s="3099">
        <f t="shared" si="4"/>
        <v>0</v>
      </c>
      <c r="S8" s="3099">
        <f t="shared" si="4"/>
        <v>0</v>
      </c>
      <c r="T8" s="3099">
        <f t="shared" si="4"/>
        <v>669475</v>
      </c>
      <c r="U8" s="3103">
        <f t="shared" si="4"/>
        <v>0</v>
      </c>
      <c r="V8" s="538">
        <f>+N8-P8</f>
        <v>0</v>
      </c>
      <c r="W8" s="172">
        <f>+'7. mell. Önk.összes.bevétele'!P47</f>
        <v>8669475</v>
      </c>
      <c r="X8" s="172">
        <f>+P8-W8</f>
        <v>0</v>
      </c>
    </row>
    <row r="9" spans="1:24" ht="12.75" hidden="1" customHeight="1">
      <c r="A9" s="1423"/>
      <c r="B9" s="2130"/>
      <c r="C9" s="2099"/>
      <c r="D9" s="1542"/>
      <c r="E9" s="1542"/>
      <c r="F9" s="2099"/>
      <c r="G9" s="2099"/>
      <c r="H9" s="2099" t="s">
        <v>1341</v>
      </c>
      <c r="I9" s="1365"/>
      <c r="J9" s="2575"/>
      <c r="K9" s="1365"/>
      <c r="L9" s="3099">
        <f t="shared" si="0"/>
        <v>0</v>
      </c>
      <c r="M9" s="3099">
        <f t="shared" si="1"/>
        <v>0</v>
      </c>
      <c r="N9" s="3099">
        <f t="shared" si="2"/>
        <v>0</v>
      </c>
      <c r="O9" s="3099">
        <f t="shared" si="3"/>
        <v>0</v>
      </c>
      <c r="P9" s="3105"/>
      <c r="Q9" s="2409" t="e">
        <f t="shared" si="5"/>
        <v>#DIV/0!</v>
      </c>
      <c r="R9" s="1365"/>
      <c r="S9" s="1365"/>
      <c r="T9" s="1365"/>
      <c r="U9" s="1364"/>
      <c r="V9" s="538"/>
    </row>
    <row r="10" spans="1:24" ht="12.75" hidden="1" customHeight="1">
      <c r="A10" s="1423"/>
      <c r="B10" s="2130"/>
      <c r="C10" s="2099"/>
      <c r="D10" s="1542"/>
      <c r="E10" s="1542"/>
      <c r="F10" s="2099"/>
      <c r="G10" s="2099"/>
      <c r="H10" s="2099" t="s">
        <v>1779</v>
      </c>
      <c r="I10" s="3099"/>
      <c r="J10" s="3100"/>
      <c r="K10" s="3099"/>
      <c r="L10" s="3099">
        <f t="shared" si="0"/>
        <v>0</v>
      </c>
      <c r="M10" s="3099">
        <f t="shared" si="1"/>
        <v>0</v>
      </c>
      <c r="N10" s="3099">
        <f t="shared" si="2"/>
        <v>0</v>
      </c>
      <c r="O10" s="3099">
        <f t="shared" si="3"/>
        <v>0</v>
      </c>
      <c r="P10" s="3101"/>
      <c r="Q10" s="3102" t="e">
        <f t="shared" si="5"/>
        <v>#DIV/0!</v>
      </c>
      <c r="R10" s="3099"/>
      <c r="S10" s="3099"/>
      <c r="T10" s="3099"/>
      <c r="U10" s="3103"/>
      <c r="V10" s="716"/>
    </row>
    <row r="11" spans="1:24" ht="12.75" hidden="1" customHeight="1">
      <c r="A11" s="1423"/>
      <c r="B11" s="2130"/>
      <c r="C11" s="2099"/>
      <c r="D11" s="1542"/>
      <c r="E11" s="1542"/>
      <c r="F11" s="2099"/>
      <c r="G11" s="2099"/>
      <c r="H11" s="2099" t="s">
        <v>1343</v>
      </c>
      <c r="I11" s="3099"/>
      <c r="J11" s="3100"/>
      <c r="K11" s="3099"/>
      <c r="L11" s="3099">
        <f t="shared" si="0"/>
        <v>0</v>
      </c>
      <c r="M11" s="3099">
        <f t="shared" si="1"/>
        <v>0</v>
      </c>
      <c r="N11" s="3099">
        <f t="shared" si="2"/>
        <v>0</v>
      </c>
      <c r="O11" s="3099">
        <f t="shared" si="3"/>
        <v>0</v>
      </c>
      <c r="P11" s="3101"/>
      <c r="Q11" s="3102" t="e">
        <f t="shared" si="5"/>
        <v>#DIV/0!</v>
      </c>
      <c r="R11" s="3099"/>
      <c r="S11" s="3099"/>
      <c r="T11" s="3099"/>
      <c r="U11" s="3103"/>
      <c r="V11" s="716"/>
    </row>
    <row r="12" spans="1:24" ht="12.75" hidden="1" customHeight="1">
      <c r="A12" s="1423"/>
      <c r="B12" s="2130"/>
      <c r="C12" s="2099"/>
      <c r="D12" s="1542"/>
      <c r="E12" s="1542"/>
      <c r="F12" s="2099"/>
      <c r="G12" s="2099"/>
      <c r="H12" s="2099" t="s">
        <v>1346</v>
      </c>
      <c r="I12" s="1365"/>
      <c r="J12" s="2575"/>
      <c r="K12" s="1365"/>
      <c r="L12" s="3099">
        <f t="shared" si="0"/>
        <v>0</v>
      </c>
      <c r="M12" s="3099">
        <f t="shared" si="1"/>
        <v>0</v>
      </c>
      <c r="N12" s="3099">
        <f t="shared" si="2"/>
        <v>0</v>
      </c>
      <c r="O12" s="3099">
        <f t="shared" si="3"/>
        <v>0</v>
      </c>
      <c r="P12" s="3105"/>
      <c r="Q12" s="2409" t="e">
        <f t="shared" si="5"/>
        <v>#DIV/0!</v>
      </c>
      <c r="R12" s="1365"/>
      <c r="S12" s="1365"/>
      <c r="T12" s="1365"/>
      <c r="U12" s="1364"/>
      <c r="V12" s="538"/>
    </row>
    <row r="13" spans="1:24">
      <c r="A13" s="1423" t="s">
        <v>15</v>
      </c>
      <c r="B13" s="2110" t="s">
        <v>1780</v>
      </c>
      <c r="C13" s="1426"/>
      <c r="D13" s="2108"/>
      <c r="E13" s="2098"/>
      <c r="F13" s="1426"/>
      <c r="G13" s="1426"/>
      <c r="H13" s="2095" t="s">
        <v>1347</v>
      </c>
      <c r="I13" s="3106">
        <f>SUM(I7:I12)</f>
        <v>4000000</v>
      </c>
      <c r="J13" s="3107">
        <f t="shared" ref="J13:P13" si="6">SUM(J7:J12)</f>
        <v>7798192</v>
      </c>
      <c r="K13" s="3106">
        <f t="shared" si="6"/>
        <v>8000000</v>
      </c>
      <c r="L13" s="3106">
        <f t="shared" si="6"/>
        <v>8000000</v>
      </c>
      <c r="M13" s="3106">
        <f t="shared" si="6"/>
        <v>8000000</v>
      </c>
      <c r="N13" s="3106">
        <f t="shared" si="6"/>
        <v>8669475</v>
      </c>
      <c r="O13" s="3106">
        <f t="shared" si="6"/>
        <v>8669475</v>
      </c>
      <c r="P13" s="3108">
        <f t="shared" si="6"/>
        <v>8669475</v>
      </c>
      <c r="Q13" s="3109">
        <f t="shared" si="5"/>
        <v>1</v>
      </c>
      <c r="R13" s="3106">
        <f t="shared" ref="R13:R63" si="7">+L13-K13</f>
        <v>0</v>
      </c>
      <c r="S13" s="3106">
        <f t="shared" ref="S13:S63" si="8">+M13-L13</f>
        <v>0</v>
      </c>
      <c r="T13" s="3106">
        <f t="shared" ref="T13:T63" si="9">+N13-M13</f>
        <v>669475</v>
      </c>
      <c r="U13" s="3110">
        <f t="shared" ref="U13:U63" si="10">+O13-N13</f>
        <v>0</v>
      </c>
      <c r="V13" s="2620">
        <f t="shared" ref="V13:V76" si="11">+N13-P13</f>
        <v>0</v>
      </c>
    </row>
    <row r="14" spans="1:24" ht="12.75" hidden="1" customHeight="1">
      <c r="A14" s="1423"/>
      <c r="B14" s="2110" t="s">
        <v>1348</v>
      </c>
      <c r="C14" s="1426"/>
      <c r="D14" s="2108"/>
      <c r="E14" s="2098"/>
      <c r="F14" s="1426"/>
      <c r="G14" s="1426"/>
      <c r="H14" s="2095" t="s">
        <v>1349</v>
      </c>
      <c r="I14" s="1365"/>
      <c r="J14" s="2575"/>
      <c r="K14" s="1365"/>
      <c r="L14" s="1365"/>
      <c r="M14" s="1365"/>
      <c r="N14" s="1365"/>
      <c r="O14" s="1365"/>
      <c r="P14" s="3105"/>
      <c r="Q14" s="2409" t="e">
        <f t="shared" si="5"/>
        <v>#DIV/0!</v>
      </c>
      <c r="R14" s="1365">
        <f t="shared" si="7"/>
        <v>0</v>
      </c>
      <c r="S14" s="1365">
        <f t="shared" si="8"/>
        <v>0</v>
      </c>
      <c r="T14" s="1365">
        <f t="shared" si="9"/>
        <v>0</v>
      </c>
      <c r="U14" s="1364">
        <f t="shared" si="10"/>
        <v>0</v>
      </c>
      <c r="V14" s="538">
        <f t="shared" si="11"/>
        <v>0</v>
      </c>
    </row>
    <row r="15" spans="1:24" ht="13.5" customHeight="1">
      <c r="A15" s="1423" t="s">
        <v>17</v>
      </c>
      <c r="B15" s="2110" t="s">
        <v>1360</v>
      </c>
      <c r="C15" s="1541" t="s">
        <v>574</v>
      </c>
      <c r="D15" s="2098" t="s">
        <v>1781</v>
      </c>
      <c r="E15" s="2098">
        <v>3</v>
      </c>
      <c r="F15" s="2099" t="s">
        <v>534</v>
      </c>
      <c r="G15" s="2099" t="s">
        <v>572</v>
      </c>
      <c r="H15" s="2095" t="s">
        <v>1352</v>
      </c>
      <c r="I15" s="3099">
        <f>3500000</f>
        <v>3500000</v>
      </c>
      <c r="J15" s="3100">
        <v>0</v>
      </c>
      <c r="K15" s="1365">
        <f>3500000</f>
        <v>3500000</v>
      </c>
      <c r="L15" s="3099">
        <f>+K15</f>
        <v>3500000</v>
      </c>
      <c r="M15" s="3099">
        <f>+L15</f>
        <v>3500000</v>
      </c>
      <c r="N15" s="3099">
        <f>+M15-3500000</f>
        <v>0</v>
      </c>
      <c r="O15" s="3099">
        <f>+N15</f>
        <v>0</v>
      </c>
      <c r="P15" s="3101">
        <v>0</v>
      </c>
      <c r="Q15" s="2409"/>
      <c r="R15" s="1365">
        <f t="shared" si="7"/>
        <v>0</v>
      </c>
      <c r="S15" s="3099">
        <f t="shared" si="8"/>
        <v>0</v>
      </c>
      <c r="T15" s="1365">
        <f t="shared" si="9"/>
        <v>-3500000</v>
      </c>
      <c r="U15" s="1364">
        <f t="shared" si="10"/>
        <v>0</v>
      </c>
      <c r="V15" s="716">
        <f t="shared" si="11"/>
        <v>0</v>
      </c>
    </row>
    <row r="16" spans="1:24" ht="12.75" hidden="1" customHeight="1">
      <c r="A16" s="1423"/>
      <c r="B16" s="2097" t="s">
        <v>85</v>
      </c>
      <c r="C16" s="1541"/>
      <c r="D16" s="2098"/>
      <c r="E16" s="2098"/>
      <c r="F16" s="1541"/>
      <c r="G16" s="3111"/>
      <c r="H16" s="2099" t="s">
        <v>1361</v>
      </c>
      <c r="I16" s="3112"/>
      <c r="J16" s="3113"/>
      <c r="K16" s="3112"/>
      <c r="L16" s="3112"/>
      <c r="M16" s="3112"/>
      <c r="N16" s="3112"/>
      <c r="O16" s="3112"/>
      <c r="P16" s="3114"/>
      <c r="Q16" s="3115" t="e">
        <f t="shared" si="5"/>
        <v>#DIV/0!</v>
      </c>
      <c r="R16" s="3112">
        <f t="shared" si="7"/>
        <v>0</v>
      </c>
      <c r="S16" s="3112">
        <f t="shared" si="8"/>
        <v>0</v>
      </c>
      <c r="T16" s="3112">
        <f t="shared" si="9"/>
        <v>0</v>
      </c>
      <c r="U16" s="3116">
        <f t="shared" si="10"/>
        <v>0</v>
      </c>
      <c r="V16" s="2621">
        <f t="shared" si="11"/>
        <v>0</v>
      </c>
    </row>
    <row r="17" spans="1:22" ht="12.75" hidden="1" customHeight="1">
      <c r="A17" s="1423"/>
      <c r="B17" s="2097" t="s">
        <v>1782</v>
      </c>
      <c r="C17" s="1541"/>
      <c r="D17" s="2098"/>
      <c r="E17" s="2098"/>
      <c r="F17" s="1541"/>
      <c r="G17" s="3111"/>
      <c r="H17" s="2099" t="s">
        <v>1363</v>
      </c>
      <c r="I17" s="3117"/>
      <c r="J17" s="3118"/>
      <c r="K17" s="3117"/>
      <c r="L17" s="3117"/>
      <c r="M17" s="3117"/>
      <c r="N17" s="3117"/>
      <c r="O17" s="3117"/>
      <c r="P17" s="3119"/>
      <c r="Q17" s="3120" t="e">
        <f t="shared" si="5"/>
        <v>#DIV/0!</v>
      </c>
      <c r="R17" s="3117">
        <f t="shared" si="7"/>
        <v>0</v>
      </c>
      <c r="S17" s="3117">
        <f t="shared" si="8"/>
        <v>0</v>
      </c>
      <c r="T17" s="3117">
        <f t="shared" si="9"/>
        <v>0</v>
      </c>
      <c r="U17" s="3121">
        <f t="shared" si="10"/>
        <v>0</v>
      </c>
      <c r="V17" s="2622">
        <f t="shared" si="11"/>
        <v>0</v>
      </c>
    </row>
    <row r="18" spans="1:22" ht="12.75" hidden="1" customHeight="1">
      <c r="A18" s="1423"/>
      <c r="B18" s="2110" t="s">
        <v>1364</v>
      </c>
      <c r="C18" s="1426"/>
      <c r="D18" s="2108"/>
      <c r="E18" s="2098"/>
      <c r="F18" s="1426"/>
      <c r="G18" s="3122"/>
      <c r="H18" s="2095" t="s">
        <v>1365</v>
      </c>
      <c r="I18" s="3117"/>
      <c r="J18" s="3118"/>
      <c r="K18" s="3117"/>
      <c r="L18" s="3117"/>
      <c r="M18" s="3117"/>
      <c r="N18" s="3117"/>
      <c r="O18" s="3117"/>
      <c r="P18" s="3119"/>
      <c r="Q18" s="3120" t="e">
        <f t="shared" si="5"/>
        <v>#DIV/0!</v>
      </c>
      <c r="R18" s="3117">
        <f t="shared" si="7"/>
        <v>0</v>
      </c>
      <c r="S18" s="3117">
        <f t="shared" si="8"/>
        <v>0</v>
      </c>
      <c r="T18" s="3117">
        <f t="shared" si="9"/>
        <v>0</v>
      </c>
      <c r="U18" s="3121">
        <f t="shared" si="10"/>
        <v>0</v>
      </c>
      <c r="V18" s="2622">
        <f t="shared" si="11"/>
        <v>0</v>
      </c>
    </row>
    <row r="19" spans="1:22" ht="12.75" hidden="1" customHeight="1">
      <c r="A19" s="1423"/>
      <c r="B19" s="2110" t="s">
        <v>73</v>
      </c>
      <c r="C19" s="1426"/>
      <c r="D19" s="2108"/>
      <c r="E19" s="2098"/>
      <c r="F19" s="1426"/>
      <c r="G19" s="3122"/>
      <c r="H19" s="2095" t="s">
        <v>1366</v>
      </c>
      <c r="I19" s="3099"/>
      <c r="J19" s="3100"/>
      <c r="K19" s="3099"/>
      <c r="L19" s="3099"/>
      <c r="M19" s="3099"/>
      <c r="N19" s="3099"/>
      <c r="O19" s="3099"/>
      <c r="P19" s="3101"/>
      <c r="Q19" s="3102" t="e">
        <f t="shared" si="5"/>
        <v>#DIV/0!</v>
      </c>
      <c r="R19" s="3099">
        <f t="shared" si="7"/>
        <v>0</v>
      </c>
      <c r="S19" s="3099">
        <f t="shared" si="8"/>
        <v>0</v>
      </c>
      <c r="T19" s="3099">
        <f t="shared" si="9"/>
        <v>0</v>
      </c>
      <c r="U19" s="3103">
        <f t="shared" si="10"/>
        <v>0</v>
      </c>
      <c r="V19" s="716">
        <f t="shared" si="11"/>
        <v>0</v>
      </c>
    </row>
    <row r="20" spans="1:22" ht="12.75" hidden="1" customHeight="1">
      <c r="A20" s="1423"/>
      <c r="B20" s="2097" t="s">
        <v>1783</v>
      </c>
      <c r="C20" s="1541"/>
      <c r="D20" s="2098"/>
      <c r="E20" s="2098"/>
      <c r="F20" s="1426"/>
      <c r="G20" s="3122"/>
      <c r="H20" s="2099" t="s">
        <v>1784</v>
      </c>
      <c r="I20" s="3099"/>
      <c r="J20" s="3100"/>
      <c r="K20" s="3099"/>
      <c r="L20" s="3099"/>
      <c r="M20" s="3099"/>
      <c r="N20" s="3099"/>
      <c r="O20" s="3099"/>
      <c r="P20" s="3101"/>
      <c r="Q20" s="3102" t="e">
        <f t="shared" si="5"/>
        <v>#DIV/0!</v>
      </c>
      <c r="R20" s="3099">
        <f t="shared" si="7"/>
        <v>0</v>
      </c>
      <c r="S20" s="3099">
        <f t="shared" si="8"/>
        <v>0</v>
      </c>
      <c r="T20" s="3099">
        <f t="shared" si="9"/>
        <v>0</v>
      </c>
      <c r="U20" s="3103">
        <f t="shared" si="10"/>
        <v>0</v>
      </c>
      <c r="V20" s="716">
        <f t="shared" si="11"/>
        <v>0</v>
      </c>
    </row>
    <row r="21" spans="1:22" ht="12.75" hidden="1" customHeight="1">
      <c r="A21" s="1423"/>
      <c r="B21" s="2097" t="s">
        <v>1785</v>
      </c>
      <c r="C21" s="1541"/>
      <c r="D21" s="2098"/>
      <c r="E21" s="2098"/>
      <c r="F21" s="1426"/>
      <c r="G21" s="3122"/>
      <c r="H21" s="2099" t="s">
        <v>1786</v>
      </c>
      <c r="I21" s="3099"/>
      <c r="J21" s="3100"/>
      <c r="K21" s="3099"/>
      <c r="L21" s="3099"/>
      <c r="M21" s="3099"/>
      <c r="N21" s="3099"/>
      <c r="O21" s="3099"/>
      <c r="P21" s="3101"/>
      <c r="Q21" s="3102" t="e">
        <f t="shared" si="5"/>
        <v>#DIV/0!</v>
      </c>
      <c r="R21" s="3099">
        <f t="shared" si="7"/>
        <v>0</v>
      </c>
      <c r="S21" s="3099">
        <f t="shared" si="8"/>
        <v>0</v>
      </c>
      <c r="T21" s="3099">
        <f t="shared" si="9"/>
        <v>0</v>
      </c>
      <c r="U21" s="3103">
        <f t="shared" si="10"/>
        <v>0</v>
      </c>
      <c r="V21" s="716">
        <f t="shared" si="11"/>
        <v>0</v>
      </c>
    </row>
    <row r="22" spans="1:22" ht="12.75" hidden="1" customHeight="1">
      <c r="A22" s="1423"/>
      <c r="B22" s="2097" t="s">
        <v>1787</v>
      </c>
      <c r="C22" s="1541"/>
      <c r="D22" s="2098"/>
      <c r="E22" s="2098"/>
      <c r="F22" s="1426"/>
      <c r="G22" s="3122"/>
      <c r="H22" s="2099" t="s">
        <v>1788</v>
      </c>
      <c r="I22" s="3099"/>
      <c r="J22" s="3100"/>
      <c r="K22" s="3099"/>
      <c r="L22" s="3099"/>
      <c r="M22" s="3099"/>
      <c r="N22" s="3099"/>
      <c r="O22" s="3099"/>
      <c r="P22" s="3101"/>
      <c r="Q22" s="3102" t="e">
        <f t="shared" si="5"/>
        <v>#DIV/0!</v>
      </c>
      <c r="R22" s="3099">
        <f t="shared" si="7"/>
        <v>0</v>
      </c>
      <c r="S22" s="3099">
        <f t="shared" si="8"/>
        <v>0</v>
      </c>
      <c r="T22" s="3099">
        <f t="shared" si="9"/>
        <v>0</v>
      </c>
      <c r="U22" s="3103">
        <f t="shared" si="10"/>
        <v>0</v>
      </c>
      <c r="V22" s="716">
        <f t="shared" si="11"/>
        <v>0</v>
      </c>
    </row>
    <row r="23" spans="1:22" ht="12.75" hidden="1" customHeight="1">
      <c r="A23" s="1423" t="s">
        <v>3987</v>
      </c>
      <c r="B23" s="2097" t="s">
        <v>1789</v>
      </c>
      <c r="C23" s="1541"/>
      <c r="D23" s="2098"/>
      <c r="E23" s="2098"/>
      <c r="F23" s="1426"/>
      <c r="G23" s="3122"/>
      <c r="H23" s="2099" t="s">
        <v>1790</v>
      </c>
      <c r="I23" s="3099"/>
      <c r="J23" s="3100">
        <v>0</v>
      </c>
      <c r="K23" s="3099">
        <v>0</v>
      </c>
      <c r="L23" s="3099">
        <f>+K23</f>
        <v>0</v>
      </c>
      <c r="M23" s="3099">
        <f>+L23</f>
        <v>0</v>
      </c>
      <c r="N23" s="3099">
        <f>+M23</f>
        <v>0</v>
      </c>
      <c r="O23" s="3099">
        <f>+N23</f>
        <v>0</v>
      </c>
      <c r="P23" s="3101">
        <f>1350000-1350000</f>
        <v>0</v>
      </c>
      <c r="Q23" s="3102" t="e">
        <f t="shared" si="5"/>
        <v>#DIV/0!</v>
      </c>
      <c r="R23" s="3099">
        <f t="shared" si="7"/>
        <v>0</v>
      </c>
      <c r="S23" s="3099">
        <f t="shared" si="8"/>
        <v>0</v>
      </c>
      <c r="T23" s="3099">
        <f t="shared" si="9"/>
        <v>0</v>
      </c>
      <c r="U23" s="3103">
        <f t="shared" si="10"/>
        <v>0</v>
      </c>
      <c r="V23" s="716">
        <f t="shared" si="11"/>
        <v>0</v>
      </c>
    </row>
    <row r="24" spans="1:22" ht="12.75" hidden="1" customHeight="1">
      <c r="A24" s="1423"/>
      <c r="B24" s="2097" t="s">
        <v>1791</v>
      </c>
      <c r="C24" s="1541"/>
      <c r="D24" s="2098"/>
      <c r="E24" s="2098"/>
      <c r="F24" s="1426"/>
      <c r="G24" s="3122"/>
      <c r="H24" s="2099" t="s">
        <v>1792</v>
      </c>
      <c r="I24" s="3099"/>
      <c r="J24" s="3100"/>
      <c r="K24" s="3099"/>
      <c r="L24" s="3099"/>
      <c r="M24" s="3099"/>
      <c r="N24" s="3099"/>
      <c r="O24" s="3099"/>
      <c r="P24" s="3101"/>
      <c r="Q24" s="3102" t="e">
        <f t="shared" si="5"/>
        <v>#DIV/0!</v>
      </c>
      <c r="R24" s="3099">
        <f t="shared" si="7"/>
        <v>0</v>
      </c>
      <c r="S24" s="3099">
        <f t="shared" si="8"/>
        <v>0</v>
      </c>
      <c r="T24" s="3099">
        <f t="shared" si="9"/>
        <v>0</v>
      </c>
      <c r="U24" s="3103">
        <f t="shared" si="10"/>
        <v>0</v>
      </c>
      <c r="V24" s="716">
        <f t="shared" si="11"/>
        <v>0</v>
      </c>
    </row>
    <row r="25" spans="1:22" ht="12.75" hidden="1" customHeight="1">
      <c r="A25" s="1423"/>
      <c r="B25" s="2097" t="s">
        <v>1793</v>
      </c>
      <c r="C25" s="1541"/>
      <c r="D25" s="2098"/>
      <c r="E25" s="2098"/>
      <c r="F25" s="1426"/>
      <c r="G25" s="3122"/>
      <c r="H25" s="2099" t="s">
        <v>1794</v>
      </c>
      <c r="I25" s="3099"/>
      <c r="J25" s="3100"/>
      <c r="K25" s="3099"/>
      <c r="L25" s="3099"/>
      <c r="M25" s="3099"/>
      <c r="N25" s="3099"/>
      <c r="O25" s="3099"/>
      <c r="P25" s="3101"/>
      <c r="Q25" s="3102" t="e">
        <f t="shared" si="5"/>
        <v>#DIV/0!</v>
      </c>
      <c r="R25" s="3099">
        <f t="shared" si="7"/>
        <v>0</v>
      </c>
      <c r="S25" s="3099">
        <f t="shared" si="8"/>
        <v>0</v>
      </c>
      <c r="T25" s="3099">
        <f t="shared" si="9"/>
        <v>0</v>
      </c>
      <c r="U25" s="3103">
        <f t="shared" si="10"/>
        <v>0</v>
      </c>
      <c r="V25" s="716">
        <f t="shared" si="11"/>
        <v>0</v>
      </c>
    </row>
    <row r="26" spans="1:22" ht="12.75" hidden="1" customHeight="1">
      <c r="A26" s="1423"/>
      <c r="B26" s="2097" t="s">
        <v>1795</v>
      </c>
      <c r="C26" s="1541"/>
      <c r="D26" s="2098"/>
      <c r="E26" s="2098"/>
      <c r="F26" s="1426"/>
      <c r="G26" s="3122"/>
      <c r="H26" s="2099" t="s">
        <v>1796</v>
      </c>
      <c r="I26" s="3099"/>
      <c r="J26" s="3100"/>
      <c r="K26" s="3099"/>
      <c r="L26" s="3099"/>
      <c r="M26" s="3099"/>
      <c r="N26" s="3099"/>
      <c r="O26" s="3099"/>
      <c r="P26" s="3101"/>
      <c r="Q26" s="3102" t="e">
        <f t="shared" si="5"/>
        <v>#DIV/0!</v>
      </c>
      <c r="R26" s="3099">
        <f t="shared" si="7"/>
        <v>0</v>
      </c>
      <c r="S26" s="3099">
        <f t="shared" si="8"/>
        <v>0</v>
      </c>
      <c r="T26" s="3099">
        <f t="shared" si="9"/>
        <v>0</v>
      </c>
      <c r="U26" s="3103">
        <f t="shared" si="10"/>
        <v>0</v>
      </c>
      <c r="V26" s="716">
        <f t="shared" si="11"/>
        <v>0</v>
      </c>
    </row>
    <row r="27" spans="1:22" s="174" customFormat="1" ht="12.75" hidden="1" customHeight="1">
      <c r="A27" s="1423" t="s">
        <v>3987</v>
      </c>
      <c r="B27" s="2110" t="s">
        <v>1367</v>
      </c>
      <c r="C27" s="1426"/>
      <c r="D27" s="2108"/>
      <c r="E27" s="2098"/>
      <c r="F27" s="1426"/>
      <c r="G27" s="3122"/>
      <c r="H27" s="2095" t="s">
        <v>1368</v>
      </c>
      <c r="I27" s="3123">
        <f>SUM(I20:I26)</f>
        <v>0</v>
      </c>
      <c r="J27" s="3124">
        <v>0</v>
      </c>
      <c r="K27" s="3123">
        <f t="shared" ref="K27:P27" si="12">SUM(K20:K26)</f>
        <v>0</v>
      </c>
      <c r="L27" s="3123">
        <f t="shared" si="12"/>
        <v>0</v>
      </c>
      <c r="M27" s="3123">
        <f t="shared" si="12"/>
        <v>0</v>
      </c>
      <c r="N27" s="3123">
        <f t="shared" si="12"/>
        <v>0</v>
      </c>
      <c r="O27" s="3123">
        <f t="shared" si="12"/>
        <v>0</v>
      </c>
      <c r="P27" s="3125">
        <f t="shared" si="12"/>
        <v>0</v>
      </c>
      <c r="Q27" s="3126" t="e">
        <f t="shared" si="5"/>
        <v>#DIV/0!</v>
      </c>
      <c r="R27" s="3123">
        <f t="shared" si="7"/>
        <v>0</v>
      </c>
      <c r="S27" s="3123">
        <f t="shared" si="8"/>
        <v>0</v>
      </c>
      <c r="T27" s="3123">
        <f t="shared" si="9"/>
        <v>0</v>
      </c>
      <c r="U27" s="3127">
        <f t="shared" si="10"/>
        <v>0</v>
      </c>
      <c r="V27" s="2623">
        <f t="shared" si="11"/>
        <v>0</v>
      </c>
    </row>
    <row r="28" spans="1:22" ht="12.75" hidden="1" customHeight="1">
      <c r="A28" s="1423"/>
      <c r="B28" s="2110" t="s">
        <v>45</v>
      </c>
      <c r="C28" s="1426"/>
      <c r="D28" s="2108"/>
      <c r="E28" s="2098"/>
      <c r="F28" s="1426"/>
      <c r="G28" s="3122"/>
      <c r="H28" s="2095" t="s">
        <v>1369</v>
      </c>
      <c r="I28" s="1365"/>
      <c r="J28" s="2575"/>
      <c r="K28" s="1365"/>
      <c r="L28" s="1365"/>
      <c r="M28" s="1365"/>
      <c r="N28" s="1365"/>
      <c r="O28" s="1365"/>
      <c r="P28" s="3105"/>
      <c r="Q28" s="2409" t="e">
        <f t="shared" si="5"/>
        <v>#DIV/0!</v>
      </c>
      <c r="R28" s="1365">
        <f t="shared" si="7"/>
        <v>0</v>
      </c>
      <c r="S28" s="1365">
        <f t="shared" si="8"/>
        <v>0</v>
      </c>
      <c r="T28" s="1365">
        <f t="shared" si="9"/>
        <v>0</v>
      </c>
      <c r="U28" s="1364">
        <f t="shared" si="10"/>
        <v>0</v>
      </c>
      <c r="V28" s="538">
        <f t="shared" si="11"/>
        <v>0</v>
      </c>
    </row>
    <row r="29" spans="1:22" ht="12.75" hidden="1" customHeight="1">
      <c r="A29" s="1423"/>
      <c r="B29" s="2110" t="s">
        <v>1370</v>
      </c>
      <c r="C29" s="1426"/>
      <c r="D29" s="2108"/>
      <c r="E29" s="2098"/>
      <c r="F29" s="1426"/>
      <c r="G29" s="3122"/>
      <c r="H29" s="2095" t="s">
        <v>1371</v>
      </c>
      <c r="I29" s="3128"/>
      <c r="J29" s="3129"/>
      <c r="K29" s="3128"/>
      <c r="L29" s="3128"/>
      <c r="M29" s="3128"/>
      <c r="N29" s="3128"/>
      <c r="O29" s="3128"/>
      <c r="P29" s="3130"/>
      <c r="Q29" s="3131" t="e">
        <f t="shared" si="5"/>
        <v>#DIV/0!</v>
      </c>
      <c r="R29" s="3128">
        <f t="shared" si="7"/>
        <v>0</v>
      </c>
      <c r="S29" s="3128">
        <f t="shared" si="8"/>
        <v>0</v>
      </c>
      <c r="T29" s="3128">
        <f t="shared" si="9"/>
        <v>0</v>
      </c>
      <c r="U29" s="3132">
        <f t="shared" si="10"/>
        <v>0</v>
      </c>
      <c r="V29" s="2624">
        <f t="shared" si="11"/>
        <v>0</v>
      </c>
    </row>
    <row r="30" spans="1:22" ht="12.75" hidden="1" customHeight="1">
      <c r="A30" s="1423"/>
      <c r="B30" s="2110" t="s">
        <v>76</v>
      </c>
      <c r="C30" s="1426"/>
      <c r="D30" s="2108"/>
      <c r="E30" s="2098"/>
      <c r="F30" s="1426"/>
      <c r="G30" s="3122"/>
      <c r="H30" s="2095" t="s">
        <v>1372</v>
      </c>
      <c r="I30" s="3128"/>
      <c r="J30" s="3129"/>
      <c r="K30" s="3128"/>
      <c r="L30" s="3128"/>
      <c r="M30" s="3128"/>
      <c r="N30" s="3128"/>
      <c r="O30" s="3128"/>
      <c r="P30" s="3130"/>
      <c r="Q30" s="3131" t="e">
        <f t="shared" si="5"/>
        <v>#DIV/0!</v>
      </c>
      <c r="R30" s="3128">
        <f t="shared" si="7"/>
        <v>0</v>
      </c>
      <c r="S30" s="3128">
        <f t="shared" si="8"/>
        <v>0</v>
      </c>
      <c r="T30" s="3128">
        <f t="shared" si="9"/>
        <v>0</v>
      </c>
      <c r="U30" s="3132">
        <f t="shared" si="10"/>
        <v>0</v>
      </c>
      <c r="V30" s="2624">
        <f t="shared" si="11"/>
        <v>0</v>
      </c>
    </row>
    <row r="31" spans="1:22" ht="12.75" hidden="1" customHeight="1">
      <c r="A31" s="1423"/>
      <c r="B31" s="2097" t="s">
        <v>1373</v>
      </c>
      <c r="C31" s="1541"/>
      <c r="D31" s="2098"/>
      <c r="E31" s="2098"/>
      <c r="F31" s="1426"/>
      <c r="G31" s="3122"/>
      <c r="H31" s="2099" t="s">
        <v>1374</v>
      </c>
      <c r="I31" s="3128"/>
      <c r="J31" s="3129"/>
      <c r="K31" s="3128"/>
      <c r="L31" s="3128"/>
      <c r="M31" s="3128"/>
      <c r="N31" s="3128"/>
      <c r="O31" s="3128"/>
      <c r="P31" s="3130"/>
      <c r="Q31" s="3131" t="e">
        <f t="shared" si="5"/>
        <v>#DIV/0!</v>
      </c>
      <c r="R31" s="3128">
        <f t="shared" si="7"/>
        <v>0</v>
      </c>
      <c r="S31" s="3128">
        <f t="shared" si="8"/>
        <v>0</v>
      </c>
      <c r="T31" s="3128">
        <f t="shared" si="9"/>
        <v>0</v>
      </c>
      <c r="U31" s="3132">
        <f t="shared" si="10"/>
        <v>0</v>
      </c>
      <c r="V31" s="2624">
        <f t="shared" si="11"/>
        <v>0</v>
      </c>
    </row>
    <row r="32" spans="1:22" ht="12.75" hidden="1" customHeight="1">
      <c r="A32" s="1423"/>
      <c r="B32" s="2097" t="s">
        <v>1375</v>
      </c>
      <c r="C32" s="1541"/>
      <c r="D32" s="2098"/>
      <c r="E32" s="2098"/>
      <c r="F32" s="1426"/>
      <c r="G32" s="3122"/>
      <c r="H32" s="2099" t="s">
        <v>1376</v>
      </c>
      <c r="I32" s="3128"/>
      <c r="J32" s="3129"/>
      <c r="K32" s="3128"/>
      <c r="L32" s="3128"/>
      <c r="M32" s="3128"/>
      <c r="N32" s="3128"/>
      <c r="O32" s="3128"/>
      <c r="P32" s="3130"/>
      <c r="Q32" s="3131" t="e">
        <f t="shared" si="5"/>
        <v>#DIV/0!</v>
      </c>
      <c r="R32" s="3128">
        <f t="shared" si="7"/>
        <v>0</v>
      </c>
      <c r="S32" s="3128">
        <f t="shared" si="8"/>
        <v>0</v>
      </c>
      <c r="T32" s="3128">
        <f t="shared" si="9"/>
        <v>0</v>
      </c>
      <c r="U32" s="3132">
        <f t="shared" si="10"/>
        <v>0</v>
      </c>
      <c r="V32" s="2624">
        <f t="shared" si="11"/>
        <v>0</v>
      </c>
    </row>
    <row r="33" spans="1:23" ht="12.75" hidden="1" customHeight="1">
      <c r="A33" s="1423"/>
      <c r="B33" s="2097" t="s">
        <v>1797</v>
      </c>
      <c r="C33" s="1541"/>
      <c r="D33" s="2098"/>
      <c r="E33" s="2098"/>
      <c r="F33" s="1426"/>
      <c r="G33" s="3122"/>
      <c r="H33" s="2099" t="s">
        <v>1798</v>
      </c>
      <c r="I33" s="3128"/>
      <c r="J33" s="3129"/>
      <c r="K33" s="3128"/>
      <c r="L33" s="3128"/>
      <c r="M33" s="3128"/>
      <c r="N33" s="3128"/>
      <c r="O33" s="3128"/>
      <c r="P33" s="3130"/>
      <c r="Q33" s="3131" t="e">
        <f t="shared" si="5"/>
        <v>#DIV/0!</v>
      </c>
      <c r="R33" s="3128">
        <f t="shared" si="7"/>
        <v>0</v>
      </c>
      <c r="S33" s="3128">
        <f t="shared" si="8"/>
        <v>0</v>
      </c>
      <c r="T33" s="3128">
        <f t="shared" si="9"/>
        <v>0</v>
      </c>
      <c r="U33" s="3132">
        <f t="shared" si="10"/>
        <v>0</v>
      </c>
      <c r="V33" s="2624">
        <f t="shared" si="11"/>
        <v>0</v>
      </c>
    </row>
    <row r="34" spans="1:23" ht="12.75" hidden="1" customHeight="1">
      <c r="A34" s="1423"/>
      <c r="B34" s="2110" t="s">
        <v>1799</v>
      </c>
      <c r="C34" s="1426"/>
      <c r="D34" s="2108"/>
      <c r="E34" s="2098"/>
      <c r="F34" s="1426"/>
      <c r="G34" s="3122"/>
      <c r="H34" s="2095" t="s">
        <v>1377</v>
      </c>
      <c r="I34" s="3123">
        <f>SUM(I31:I33)</f>
        <v>0</v>
      </c>
      <c r="J34" s="3124">
        <v>0</v>
      </c>
      <c r="K34" s="3123">
        <f t="shared" ref="K34:P34" si="13">SUM(K31:K33)</f>
        <v>0</v>
      </c>
      <c r="L34" s="3123">
        <f t="shared" si="13"/>
        <v>0</v>
      </c>
      <c r="M34" s="3123">
        <f t="shared" si="13"/>
        <v>0</v>
      </c>
      <c r="N34" s="3123">
        <f t="shared" si="13"/>
        <v>0</v>
      </c>
      <c r="O34" s="3123">
        <f t="shared" si="13"/>
        <v>0</v>
      </c>
      <c r="P34" s="3125">
        <f t="shared" si="13"/>
        <v>0</v>
      </c>
      <c r="Q34" s="3126" t="e">
        <f t="shared" si="5"/>
        <v>#DIV/0!</v>
      </c>
      <c r="R34" s="3123">
        <f t="shared" si="7"/>
        <v>0</v>
      </c>
      <c r="S34" s="3123">
        <f t="shared" si="8"/>
        <v>0</v>
      </c>
      <c r="T34" s="3123">
        <f t="shared" si="9"/>
        <v>0</v>
      </c>
      <c r="U34" s="3127">
        <f t="shared" si="10"/>
        <v>0</v>
      </c>
      <c r="V34" s="2623">
        <f t="shared" si="11"/>
        <v>0</v>
      </c>
    </row>
    <row r="35" spans="1:23" ht="12.75" hidden="1" customHeight="1">
      <c r="A35" s="1423"/>
      <c r="B35" s="2110" t="s">
        <v>1800</v>
      </c>
      <c r="C35" s="1426"/>
      <c r="D35" s="2108"/>
      <c r="E35" s="2098"/>
      <c r="F35" s="1426"/>
      <c r="G35" s="3122"/>
      <c r="H35" s="2095" t="s">
        <v>1378</v>
      </c>
      <c r="I35" s="3106"/>
      <c r="J35" s="3107"/>
      <c r="K35" s="3106"/>
      <c r="L35" s="3106"/>
      <c r="M35" s="3106"/>
      <c r="N35" s="3106"/>
      <c r="O35" s="3106"/>
      <c r="P35" s="3108"/>
      <c r="Q35" s="3109" t="e">
        <f t="shared" si="5"/>
        <v>#DIV/0!</v>
      </c>
      <c r="R35" s="3106">
        <f t="shared" si="7"/>
        <v>0</v>
      </c>
      <c r="S35" s="3106">
        <f t="shared" si="8"/>
        <v>0</v>
      </c>
      <c r="T35" s="3106">
        <f t="shared" si="9"/>
        <v>0</v>
      </c>
      <c r="U35" s="3110">
        <f t="shared" si="10"/>
        <v>0</v>
      </c>
      <c r="V35" s="2620">
        <f t="shared" si="11"/>
        <v>0</v>
      </c>
    </row>
    <row r="36" spans="1:23" s="203" customFormat="1" ht="13.5" hidden="1" customHeight="1">
      <c r="A36" s="3080"/>
      <c r="B36" s="2097" t="s">
        <v>1380</v>
      </c>
      <c r="C36" s="1541"/>
      <c r="D36" s="2098"/>
      <c r="E36" s="2098"/>
      <c r="F36" s="1541"/>
      <c r="G36" s="3111"/>
      <c r="H36" s="2099" t="s">
        <v>1381</v>
      </c>
      <c r="I36" s="3106"/>
      <c r="J36" s="3107"/>
      <c r="K36" s="3106"/>
      <c r="L36" s="3106"/>
      <c r="M36" s="3106"/>
      <c r="N36" s="3106"/>
      <c r="O36" s="3106"/>
      <c r="P36" s="3108"/>
      <c r="Q36" s="3109" t="e">
        <f t="shared" si="5"/>
        <v>#DIV/0!</v>
      </c>
      <c r="R36" s="3106">
        <f t="shared" si="7"/>
        <v>0</v>
      </c>
      <c r="S36" s="3106">
        <f t="shared" si="8"/>
        <v>0</v>
      </c>
      <c r="T36" s="3106">
        <f t="shared" si="9"/>
        <v>0</v>
      </c>
      <c r="U36" s="3110">
        <f t="shared" si="10"/>
        <v>0</v>
      </c>
      <c r="V36" s="2620">
        <f t="shared" si="11"/>
        <v>0</v>
      </c>
    </row>
    <row r="37" spans="1:23" s="203" customFormat="1" ht="13.5" hidden="1" customHeight="1">
      <c r="A37" s="3080"/>
      <c r="B37" s="2097" t="s">
        <v>1382</v>
      </c>
      <c r="C37" s="1541"/>
      <c r="D37" s="2098"/>
      <c r="E37" s="2098"/>
      <c r="F37" s="1541"/>
      <c r="G37" s="3111"/>
      <c r="H37" s="2099" t="s">
        <v>1383</v>
      </c>
      <c r="I37" s="2106"/>
      <c r="J37" s="2579"/>
      <c r="K37" s="2106"/>
      <c r="L37" s="2106"/>
      <c r="M37" s="2106"/>
      <c r="N37" s="2106"/>
      <c r="O37" s="2106"/>
      <c r="P37" s="3133"/>
      <c r="Q37" s="2420" t="e">
        <f t="shared" si="5"/>
        <v>#DIV/0!</v>
      </c>
      <c r="R37" s="2106">
        <f t="shared" si="7"/>
        <v>0</v>
      </c>
      <c r="S37" s="2106">
        <f t="shared" si="8"/>
        <v>0</v>
      </c>
      <c r="T37" s="2106">
        <f t="shared" si="9"/>
        <v>0</v>
      </c>
      <c r="U37" s="1783">
        <f t="shared" si="10"/>
        <v>0</v>
      </c>
      <c r="V37" s="626">
        <f t="shared" si="11"/>
        <v>0</v>
      </c>
    </row>
    <row r="38" spans="1:23">
      <c r="A38" s="3079" t="s">
        <v>225</v>
      </c>
      <c r="B38" s="2097" t="s">
        <v>1384</v>
      </c>
      <c r="C38" s="1541"/>
      <c r="D38" s="2098"/>
      <c r="E38" s="2098"/>
      <c r="F38" s="1541"/>
      <c r="G38" s="3111"/>
      <c r="H38" s="2099" t="s">
        <v>1385</v>
      </c>
      <c r="I38" s="3128"/>
      <c r="J38" s="3129">
        <v>0</v>
      </c>
      <c r="K38" s="3128">
        <v>0</v>
      </c>
      <c r="L38" s="3128">
        <f>+K38</f>
        <v>0</v>
      </c>
      <c r="M38" s="3128">
        <f>+L38</f>
        <v>0</v>
      </c>
      <c r="N38" s="3128">
        <f>+M38+15267</f>
        <v>15267</v>
      </c>
      <c r="O38" s="3128">
        <f>+N38</f>
        <v>15267</v>
      </c>
      <c r="P38" s="3130">
        <f>0+15267</f>
        <v>15267</v>
      </c>
      <c r="Q38" s="3131">
        <f t="shared" si="5"/>
        <v>1</v>
      </c>
      <c r="R38" s="3128">
        <f t="shared" si="7"/>
        <v>0</v>
      </c>
      <c r="S38" s="3128">
        <f t="shared" si="8"/>
        <v>0</v>
      </c>
      <c r="T38" s="3128">
        <f t="shared" si="9"/>
        <v>15267</v>
      </c>
      <c r="U38" s="3132">
        <f t="shared" si="10"/>
        <v>0</v>
      </c>
      <c r="V38" s="2624">
        <f t="shared" si="11"/>
        <v>0</v>
      </c>
    </row>
    <row r="39" spans="1:23" s="203" customFormat="1" ht="13.5" hidden="1">
      <c r="A39" s="3080"/>
      <c r="B39" s="2097" t="s">
        <v>1801</v>
      </c>
      <c r="C39" s="1541"/>
      <c r="D39" s="2098"/>
      <c r="E39" s="2098"/>
      <c r="F39" s="1541"/>
      <c r="G39" s="3111"/>
      <c r="H39" s="2099" t="s">
        <v>1802</v>
      </c>
      <c r="I39" s="3117"/>
      <c r="J39" s="3118"/>
      <c r="K39" s="3117"/>
      <c r="L39" s="3117"/>
      <c r="M39" s="3117"/>
      <c r="N39" s="3117"/>
      <c r="O39" s="3117"/>
      <c r="P39" s="3119"/>
      <c r="Q39" s="3120" t="e">
        <f t="shared" si="5"/>
        <v>#DIV/0!</v>
      </c>
      <c r="R39" s="3117">
        <f t="shared" si="7"/>
        <v>0</v>
      </c>
      <c r="S39" s="3117">
        <f t="shared" si="8"/>
        <v>0</v>
      </c>
      <c r="T39" s="3117">
        <f t="shared" si="9"/>
        <v>0</v>
      </c>
      <c r="U39" s="3121">
        <f t="shared" si="10"/>
        <v>0</v>
      </c>
      <c r="V39" s="2622">
        <f t="shared" si="11"/>
        <v>0</v>
      </c>
    </row>
    <row r="40" spans="1:23" s="203" customFormat="1" ht="25.5" hidden="1">
      <c r="A40" s="3080"/>
      <c r="B40" s="2097" t="s">
        <v>1803</v>
      </c>
      <c r="C40" s="1541"/>
      <c r="D40" s="2098"/>
      <c r="E40" s="2098"/>
      <c r="F40" s="1541"/>
      <c r="G40" s="3111"/>
      <c r="H40" s="2099" t="s">
        <v>1387</v>
      </c>
      <c r="I40" s="1365"/>
      <c r="J40" s="2575"/>
      <c r="K40" s="1365"/>
      <c r="L40" s="1365"/>
      <c r="M40" s="1365"/>
      <c r="N40" s="1365"/>
      <c r="O40" s="1365"/>
      <c r="P40" s="3105"/>
      <c r="Q40" s="2409" t="e">
        <f t="shared" si="5"/>
        <v>#DIV/0!</v>
      </c>
      <c r="R40" s="1365">
        <f t="shared" si="7"/>
        <v>0</v>
      </c>
      <c r="S40" s="1365">
        <f t="shared" si="8"/>
        <v>0</v>
      </c>
      <c r="T40" s="1365">
        <f t="shared" si="9"/>
        <v>0</v>
      </c>
      <c r="U40" s="1364">
        <f t="shared" si="10"/>
        <v>0</v>
      </c>
      <c r="V40" s="538">
        <f t="shared" si="11"/>
        <v>0</v>
      </c>
    </row>
    <row r="41" spans="1:23" hidden="1">
      <c r="A41" s="1423"/>
      <c r="B41" s="2097" t="s">
        <v>1804</v>
      </c>
      <c r="C41" s="1541"/>
      <c r="D41" s="2098"/>
      <c r="E41" s="2098"/>
      <c r="F41" s="1541"/>
      <c r="G41" s="3111"/>
      <c r="H41" s="2099" t="s">
        <v>1388</v>
      </c>
      <c r="I41" s="3106"/>
      <c r="J41" s="3107"/>
      <c r="K41" s="3106"/>
      <c r="L41" s="3106"/>
      <c r="M41" s="3106"/>
      <c r="N41" s="3106"/>
      <c r="O41" s="3106"/>
      <c r="P41" s="3108"/>
      <c r="Q41" s="3109" t="e">
        <f t="shared" si="5"/>
        <v>#DIV/0!</v>
      </c>
      <c r="R41" s="3106">
        <f t="shared" si="7"/>
        <v>0</v>
      </c>
      <c r="S41" s="3106">
        <f t="shared" si="8"/>
        <v>0</v>
      </c>
      <c r="T41" s="3106">
        <f t="shared" si="9"/>
        <v>0</v>
      </c>
      <c r="U41" s="3110">
        <f t="shared" si="10"/>
        <v>0</v>
      </c>
      <c r="V41" s="2620">
        <f t="shared" si="11"/>
        <v>0</v>
      </c>
    </row>
    <row r="42" spans="1:23">
      <c r="A42" s="3081" t="s">
        <v>227</v>
      </c>
      <c r="B42" s="2110" t="s">
        <v>3990</v>
      </c>
      <c r="C42" s="1426"/>
      <c r="D42" s="2108"/>
      <c r="E42" s="2098"/>
      <c r="F42" s="1426"/>
      <c r="G42" s="3122"/>
      <c r="H42" s="2095" t="s">
        <v>1390</v>
      </c>
      <c r="I42" s="3123">
        <f>SUM(I36:I41)</f>
        <v>0</v>
      </c>
      <c r="J42" s="3124">
        <v>0</v>
      </c>
      <c r="K42" s="3123">
        <f t="shared" ref="K42:P42" si="14">SUM(K36:K41)</f>
        <v>0</v>
      </c>
      <c r="L42" s="3123">
        <f t="shared" si="14"/>
        <v>0</v>
      </c>
      <c r="M42" s="3123">
        <f t="shared" si="14"/>
        <v>0</v>
      </c>
      <c r="N42" s="3123">
        <f t="shared" si="14"/>
        <v>15267</v>
      </c>
      <c r="O42" s="3123">
        <f t="shared" si="14"/>
        <v>15267</v>
      </c>
      <c r="P42" s="3125">
        <f t="shared" si="14"/>
        <v>15267</v>
      </c>
      <c r="Q42" s="3126">
        <f t="shared" si="5"/>
        <v>1</v>
      </c>
      <c r="R42" s="3123">
        <f t="shared" si="7"/>
        <v>0</v>
      </c>
      <c r="S42" s="3123">
        <f t="shared" si="8"/>
        <v>0</v>
      </c>
      <c r="T42" s="3123">
        <f t="shared" si="9"/>
        <v>15267</v>
      </c>
      <c r="U42" s="3127">
        <f t="shared" si="10"/>
        <v>0</v>
      </c>
      <c r="V42" s="2623">
        <f t="shared" si="11"/>
        <v>0</v>
      </c>
    </row>
    <row r="43" spans="1:23">
      <c r="A43" s="1423" t="s">
        <v>19</v>
      </c>
      <c r="B43" s="3134" t="s">
        <v>3991</v>
      </c>
      <c r="C43" s="2095"/>
      <c r="D43" s="1423"/>
      <c r="E43" s="1542"/>
      <c r="F43" s="2095"/>
      <c r="G43" s="3135"/>
      <c r="H43" s="2095" t="s">
        <v>531</v>
      </c>
      <c r="I43" s="1701">
        <f>+I13+I14+I15+I18+I19+I27+I28+I29+I30+I34+I35+I42</f>
        <v>7500000</v>
      </c>
      <c r="J43" s="2576">
        <f t="shared" ref="J43:P43" si="15">+J13+J14+J15+J18+J19+J27+J28+J29+J30+J34+J35+J42</f>
        <v>7798192</v>
      </c>
      <c r="K43" s="1701">
        <f t="shared" si="15"/>
        <v>11500000</v>
      </c>
      <c r="L43" s="1701">
        <f t="shared" si="15"/>
        <v>11500000</v>
      </c>
      <c r="M43" s="1701">
        <f t="shared" si="15"/>
        <v>11500000</v>
      </c>
      <c r="N43" s="1701">
        <f t="shared" si="15"/>
        <v>8684742</v>
      </c>
      <c r="O43" s="1701">
        <f t="shared" si="15"/>
        <v>8684742</v>
      </c>
      <c r="P43" s="2167">
        <f t="shared" si="15"/>
        <v>8684742</v>
      </c>
      <c r="Q43" s="2411">
        <f t="shared" si="5"/>
        <v>1</v>
      </c>
      <c r="R43" s="1701">
        <f t="shared" si="7"/>
        <v>0</v>
      </c>
      <c r="S43" s="1701">
        <f t="shared" si="8"/>
        <v>0</v>
      </c>
      <c r="T43" s="1701">
        <f t="shared" si="9"/>
        <v>-2815258</v>
      </c>
      <c r="U43" s="1702">
        <f t="shared" si="10"/>
        <v>0</v>
      </c>
      <c r="V43" s="245">
        <f t="shared" si="11"/>
        <v>0</v>
      </c>
    </row>
    <row r="44" spans="1:23">
      <c r="A44" s="1423" t="s">
        <v>21</v>
      </c>
      <c r="B44" s="2097" t="s">
        <v>95</v>
      </c>
      <c r="C44" s="1541" t="s">
        <v>512</v>
      </c>
      <c r="D44" s="2098" t="s">
        <v>1806</v>
      </c>
      <c r="E44" s="2098">
        <v>2</v>
      </c>
      <c r="F44" s="2099" t="s">
        <v>534</v>
      </c>
      <c r="G44" s="2099" t="s">
        <v>572</v>
      </c>
      <c r="H44" s="2099" t="s">
        <v>1807</v>
      </c>
      <c r="I44" s="1365">
        <f>175626180+150000</f>
        <v>175776180</v>
      </c>
      <c r="J44" s="3100">
        <v>180794593</v>
      </c>
      <c r="K44" s="1365">
        <f>217912200+93801000+1260600+13361040+1710000-360000+1800000</f>
        <v>329484840</v>
      </c>
      <c r="L44" s="3099">
        <f>+K44+17728325</f>
        <v>347213165</v>
      </c>
      <c r="M44" s="3099">
        <f>+L44</f>
        <v>347213165</v>
      </c>
      <c r="N44" s="3099">
        <f>+M44+3500000+85785-1350000</f>
        <v>349448950</v>
      </c>
      <c r="O44" s="3099">
        <f t="shared" ref="L44:O45" si="16">+N44</f>
        <v>349448950</v>
      </c>
      <c r="P44" s="3101">
        <f>349448950</f>
        <v>349448950</v>
      </c>
      <c r="Q44" s="3136">
        <f t="shared" si="5"/>
        <v>1</v>
      </c>
      <c r="R44" s="1701">
        <f t="shared" si="7"/>
        <v>17728325</v>
      </c>
      <c r="S44" s="1701">
        <f t="shared" si="8"/>
        <v>0</v>
      </c>
      <c r="T44" s="1701">
        <f t="shared" si="9"/>
        <v>2235785</v>
      </c>
      <c r="U44" s="1702">
        <f t="shared" si="10"/>
        <v>0</v>
      </c>
      <c r="V44" s="716">
        <f t="shared" si="11"/>
        <v>0</v>
      </c>
    </row>
    <row r="45" spans="1:23">
      <c r="A45" s="1423" t="s">
        <v>23</v>
      </c>
      <c r="B45" s="3137" t="s">
        <v>1367</v>
      </c>
      <c r="C45" s="2099"/>
      <c r="D45" s="1542"/>
      <c r="E45" s="1542"/>
      <c r="F45" s="2095"/>
      <c r="G45" s="3135"/>
      <c r="H45" s="2099" t="s">
        <v>1807</v>
      </c>
      <c r="I45" s="1365">
        <f>0</f>
        <v>0</v>
      </c>
      <c r="J45" s="3100">
        <v>0</v>
      </c>
      <c r="K45" s="1365">
        <f>0</f>
        <v>0</v>
      </c>
      <c r="L45" s="3099">
        <f t="shared" si="16"/>
        <v>0</v>
      </c>
      <c r="M45" s="3099">
        <f t="shared" si="16"/>
        <v>0</v>
      </c>
      <c r="N45" s="3099">
        <f>+M45+1350000</f>
        <v>1350000</v>
      </c>
      <c r="O45" s="3099">
        <f t="shared" si="16"/>
        <v>1350000</v>
      </c>
      <c r="P45" s="3101">
        <f>1350000</f>
        <v>1350000</v>
      </c>
      <c r="Q45" s="2409">
        <f>+P45/N45</f>
        <v>1</v>
      </c>
      <c r="R45" s="1701">
        <f t="shared" si="7"/>
        <v>0</v>
      </c>
      <c r="S45" s="1701">
        <f t="shared" si="8"/>
        <v>0</v>
      </c>
      <c r="T45" s="1701">
        <f t="shared" si="9"/>
        <v>1350000</v>
      </c>
      <c r="U45" s="1702">
        <f t="shared" si="10"/>
        <v>0</v>
      </c>
      <c r="V45" s="716">
        <f t="shared" si="11"/>
        <v>0</v>
      </c>
    </row>
    <row r="46" spans="1:23">
      <c r="A46" s="1423" t="s">
        <v>25</v>
      </c>
      <c r="B46" s="3134" t="s">
        <v>1808</v>
      </c>
      <c r="C46" s="2095"/>
      <c r="D46" s="1423"/>
      <c r="E46" s="1542"/>
      <c r="F46" s="2095"/>
      <c r="G46" s="3135"/>
      <c r="H46" s="2095" t="s">
        <v>1809</v>
      </c>
      <c r="I46" s="1701">
        <f>+I44+I45</f>
        <v>175776180</v>
      </c>
      <c r="J46" s="2576">
        <f t="shared" ref="J46:P46" si="17">+J44+J45</f>
        <v>180794593</v>
      </c>
      <c r="K46" s="1701">
        <f t="shared" si="17"/>
        <v>329484840</v>
      </c>
      <c r="L46" s="1701">
        <f t="shared" si="17"/>
        <v>347213165</v>
      </c>
      <c r="M46" s="1701">
        <f t="shared" si="17"/>
        <v>347213165</v>
      </c>
      <c r="N46" s="1701">
        <f t="shared" si="17"/>
        <v>350798950</v>
      </c>
      <c r="O46" s="1701">
        <f t="shared" si="17"/>
        <v>350798950</v>
      </c>
      <c r="P46" s="2167">
        <f t="shared" si="17"/>
        <v>350798950</v>
      </c>
      <c r="Q46" s="2411">
        <f>+P46/N46</f>
        <v>1</v>
      </c>
      <c r="R46" s="1701">
        <f t="shared" si="7"/>
        <v>17728325</v>
      </c>
      <c r="S46" s="1701">
        <f t="shared" si="8"/>
        <v>0</v>
      </c>
      <c r="T46" s="1701">
        <f t="shared" si="9"/>
        <v>3585785</v>
      </c>
      <c r="U46" s="1702">
        <f t="shared" si="10"/>
        <v>0</v>
      </c>
      <c r="V46" s="245">
        <f t="shared" si="11"/>
        <v>0</v>
      </c>
      <c r="W46" s="172"/>
    </row>
    <row r="47" spans="1:23">
      <c r="A47" s="1423" t="s">
        <v>27</v>
      </c>
      <c r="B47" s="2125" t="s">
        <v>1810</v>
      </c>
      <c r="C47" s="1541" t="s">
        <v>512</v>
      </c>
      <c r="D47" s="2098" t="s">
        <v>1811</v>
      </c>
      <c r="E47" s="2098">
        <v>3</v>
      </c>
      <c r="F47" s="2099" t="s">
        <v>1134</v>
      </c>
      <c r="G47" s="2099" t="s">
        <v>572</v>
      </c>
      <c r="H47" s="2099" t="s">
        <v>1392</v>
      </c>
      <c r="I47" s="1365">
        <f>19260000</f>
        <v>19260000</v>
      </c>
      <c r="J47" s="3100">
        <v>16944010</v>
      </c>
      <c r="K47" s="1365">
        <f>19260000-5000000</f>
        <v>14260000</v>
      </c>
      <c r="L47" s="3099">
        <f t="shared" ref="L47:O49" si="18">+K47</f>
        <v>14260000</v>
      </c>
      <c r="M47" s="3099">
        <f t="shared" si="18"/>
        <v>14260000</v>
      </c>
      <c r="N47" s="3099">
        <f>+M47+101991</f>
        <v>14361991</v>
      </c>
      <c r="O47" s="3099">
        <f t="shared" si="18"/>
        <v>14361991</v>
      </c>
      <c r="P47" s="3101">
        <f>12461991+1900000</f>
        <v>14361991</v>
      </c>
      <c r="Q47" s="2409">
        <f>+P47/N47</f>
        <v>1</v>
      </c>
      <c r="R47" s="1365">
        <f t="shared" si="7"/>
        <v>0</v>
      </c>
      <c r="S47" s="1365">
        <f t="shared" si="8"/>
        <v>0</v>
      </c>
      <c r="T47" s="1365">
        <f t="shared" si="9"/>
        <v>101991</v>
      </c>
      <c r="U47" s="1364">
        <f t="shared" si="10"/>
        <v>0</v>
      </c>
      <c r="V47" s="716">
        <f t="shared" si="11"/>
        <v>0</v>
      </c>
    </row>
    <row r="48" spans="1:23">
      <c r="A48" s="1423" t="s">
        <v>29</v>
      </c>
      <c r="B48" s="2125" t="s">
        <v>1812</v>
      </c>
      <c r="C48" s="1541" t="s">
        <v>512</v>
      </c>
      <c r="D48" s="2098" t="s">
        <v>1813</v>
      </c>
      <c r="E48" s="2098">
        <v>3</v>
      </c>
      <c r="F48" s="1541" t="s">
        <v>742</v>
      </c>
      <c r="G48" s="1541" t="s">
        <v>743</v>
      </c>
      <c r="H48" s="2099" t="s">
        <v>1392</v>
      </c>
      <c r="I48" s="1365">
        <f>15000000</f>
        <v>15000000</v>
      </c>
      <c r="J48" s="3100">
        <v>14137970</v>
      </c>
      <c r="K48" s="3104">
        <f>15000000</f>
        <v>15000000</v>
      </c>
      <c r="L48" s="3099">
        <f>+K48</f>
        <v>15000000</v>
      </c>
      <c r="M48" s="3099">
        <f t="shared" si="18"/>
        <v>15000000</v>
      </c>
      <c r="N48" s="3099">
        <f>+M48-101991-85785-15267</f>
        <v>14796957</v>
      </c>
      <c r="O48" s="3099">
        <f t="shared" si="18"/>
        <v>14796957</v>
      </c>
      <c r="P48" s="3101">
        <f>14530734+80000</f>
        <v>14610734</v>
      </c>
      <c r="Q48" s="2409">
        <f>+P48/N48</f>
        <v>0.98741477724102322</v>
      </c>
      <c r="R48" s="1365">
        <f t="shared" si="7"/>
        <v>0</v>
      </c>
      <c r="S48" s="1365">
        <f t="shared" si="8"/>
        <v>0</v>
      </c>
      <c r="T48" s="1365">
        <f t="shared" si="9"/>
        <v>-203043</v>
      </c>
      <c r="U48" s="1364">
        <f t="shared" si="10"/>
        <v>0</v>
      </c>
      <c r="V48" s="716">
        <f t="shared" si="11"/>
        <v>186223</v>
      </c>
    </row>
    <row r="49" spans="1:26">
      <c r="A49" s="1423" t="s">
        <v>31</v>
      </c>
      <c r="B49" s="2125" t="s">
        <v>3988</v>
      </c>
      <c r="C49" s="1541" t="s">
        <v>512</v>
      </c>
      <c r="D49" s="2098" t="s">
        <v>1814</v>
      </c>
      <c r="E49" s="2098">
        <v>2</v>
      </c>
      <c r="F49" s="2099" t="s">
        <v>565</v>
      </c>
      <c r="G49" s="2099" t="s">
        <v>572</v>
      </c>
      <c r="H49" s="2099" t="s">
        <v>1392</v>
      </c>
      <c r="I49" s="1365">
        <f>0</f>
        <v>0</v>
      </c>
      <c r="J49" s="3100">
        <v>0</v>
      </c>
      <c r="K49" s="1365">
        <f>0</f>
        <v>0</v>
      </c>
      <c r="L49" s="3099">
        <f t="shared" si="18"/>
        <v>0</v>
      </c>
      <c r="M49" s="3099">
        <f t="shared" si="18"/>
        <v>0</v>
      </c>
      <c r="N49" s="3099">
        <f t="shared" si="18"/>
        <v>0</v>
      </c>
      <c r="O49" s="3099">
        <f t="shared" si="18"/>
        <v>0</v>
      </c>
      <c r="P49" s="3101">
        <f>0</f>
        <v>0</v>
      </c>
      <c r="Q49" s="2409"/>
      <c r="R49" s="1365">
        <f t="shared" si="7"/>
        <v>0</v>
      </c>
      <c r="S49" s="1365">
        <f t="shared" si="8"/>
        <v>0</v>
      </c>
      <c r="T49" s="1365">
        <f t="shared" si="9"/>
        <v>0</v>
      </c>
      <c r="U49" s="1364">
        <f t="shared" si="10"/>
        <v>0</v>
      </c>
      <c r="V49" s="716">
        <f t="shared" si="11"/>
        <v>0</v>
      </c>
    </row>
    <row r="50" spans="1:26">
      <c r="A50" s="1423" t="s">
        <v>33</v>
      </c>
      <c r="B50" s="2110" t="s">
        <v>1815</v>
      </c>
      <c r="C50" s="1541" t="s">
        <v>512</v>
      </c>
      <c r="D50" s="2108"/>
      <c r="E50" s="2098"/>
      <c r="F50" s="1541"/>
      <c r="G50" s="3111"/>
      <c r="H50" s="2099" t="s">
        <v>1392</v>
      </c>
      <c r="I50" s="1701">
        <f>SUM(I47:I49)</f>
        <v>34260000</v>
      </c>
      <c r="J50" s="2576">
        <f t="shared" ref="J50:P50" si="19">SUM(J47:J49)</f>
        <v>31081980</v>
      </c>
      <c r="K50" s="1701">
        <f t="shared" si="19"/>
        <v>29260000</v>
      </c>
      <c r="L50" s="1701">
        <f t="shared" si="19"/>
        <v>29260000</v>
      </c>
      <c r="M50" s="1701">
        <f t="shared" si="19"/>
        <v>29260000</v>
      </c>
      <c r="N50" s="1701">
        <f t="shared" si="19"/>
        <v>29158948</v>
      </c>
      <c r="O50" s="1701">
        <f t="shared" si="19"/>
        <v>29158948</v>
      </c>
      <c r="P50" s="2167">
        <f t="shared" si="19"/>
        <v>28972725</v>
      </c>
      <c r="Q50" s="2411">
        <f t="shared" ref="Q50:Q65" si="20">+P50/N50</f>
        <v>0.99361352131085112</v>
      </c>
      <c r="R50" s="1701">
        <f t="shared" si="7"/>
        <v>0</v>
      </c>
      <c r="S50" s="1701">
        <f t="shared" si="8"/>
        <v>0</v>
      </c>
      <c r="T50" s="1701">
        <f t="shared" si="9"/>
        <v>-101052</v>
      </c>
      <c r="U50" s="1702">
        <f t="shared" si="10"/>
        <v>0</v>
      </c>
      <c r="V50" s="245">
        <f t="shared" si="11"/>
        <v>186223</v>
      </c>
    </row>
    <row r="51" spans="1:26" hidden="1">
      <c r="A51" s="1423"/>
      <c r="B51" s="2110"/>
      <c r="C51" s="1426"/>
      <c r="D51" s="2108"/>
      <c r="E51" s="2098"/>
      <c r="F51" s="1541"/>
      <c r="G51" s="3111"/>
      <c r="H51" s="2099"/>
      <c r="I51" s="1701"/>
      <c r="J51" s="2576"/>
      <c r="K51" s="1701"/>
      <c r="L51" s="1701"/>
      <c r="M51" s="1701"/>
      <c r="N51" s="1701"/>
      <c r="O51" s="1701"/>
      <c r="P51" s="2167"/>
      <c r="Q51" s="2411" t="e">
        <f t="shared" si="20"/>
        <v>#DIV/0!</v>
      </c>
      <c r="R51" s="1701">
        <f t="shared" si="7"/>
        <v>0</v>
      </c>
      <c r="S51" s="1701">
        <f t="shared" si="8"/>
        <v>0</v>
      </c>
      <c r="T51" s="1701">
        <f t="shared" si="9"/>
        <v>0</v>
      </c>
      <c r="U51" s="1702">
        <f t="shared" si="10"/>
        <v>0</v>
      </c>
      <c r="V51" s="245">
        <f t="shared" si="11"/>
        <v>0</v>
      </c>
    </row>
    <row r="52" spans="1:26" ht="25.5">
      <c r="A52" s="1423" t="s">
        <v>35</v>
      </c>
      <c r="B52" s="2110" t="s">
        <v>1816</v>
      </c>
      <c r="C52" s="1426"/>
      <c r="D52" s="2108"/>
      <c r="E52" s="2098"/>
      <c r="F52" s="1426"/>
      <c r="G52" s="3122"/>
      <c r="H52" s="2095" t="s">
        <v>1400</v>
      </c>
      <c r="I52" s="3123">
        <f>SUM(I50:I51)</f>
        <v>34260000</v>
      </c>
      <c r="J52" s="3124">
        <f>SUM(J50:J51)</f>
        <v>31081980</v>
      </c>
      <c r="K52" s="3123">
        <f>SUM(K50:K51)</f>
        <v>29260000</v>
      </c>
      <c r="L52" s="3123">
        <f>+L50</f>
        <v>29260000</v>
      </c>
      <c r="M52" s="3123">
        <f>+M50</f>
        <v>29260000</v>
      </c>
      <c r="N52" s="3123">
        <f>+N50</f>
        <v>29158948</v>
      </c>
      <c r="O52" s="3123">
        <f>+O50</f>
        <v>29158948</v>
      </c>
      <c r="P52" s="3125">
        <f>+P50</f>
        <v>28972725</v>
      </c>
      <c r="Q52" s="3126">
        <f t="shared" si="20"/>
        <v>0.99361352131085112</v>
      </c>
      <c r="R52" s="3123">
        <f t="shared" si="7"/>
        <v>0</v>
      </c>
      <c r="S52" s="3123">
        <f t="shared" si="8"/>
        <v>0</v>
      </c>
      <c r="T52" s="3123">
        <f t="shared" si="9"/>
        <v>-101052</v>
      </c>
      <c r="U52" s="3127">
        <f t="shared" si="10"/>
        <v>0</v>
      </c>
      <c r="V52" s="2623">
        <f t="shared" si="11"/>
        <v>186223</v>
      </c>
      <c r="W52" s="245">
        <v>103476645</v>
      </c>
      <c r="Z52" s="172">
        <f>+P52-W52</f>
        <v>-74503920</v>
      </c>
    </row>
    <row r="53" spans="1:26">
      <c r="A53" s="1423" t="s">
        <v>37</v>
      </c>
      <c r="B53" s="2097" t="s">
        <v>1817</v>
      </c>
      <c r="C53" s="1541" t="s">
        <v>512</v>
      </c>
      <c r="D53" s="2098" t="s">
        <v>1818</v>
      </c>
      <c r="E53" s="2098">
        <v>3</v>
      </c>
      <c r="F53" s="1541" t="s">
        <v>534</v>
      </c>
      <c r="G53" s="2099" t="s">
        <v>572</v>
      </c>
      <c r="H53" s="2099" t="s">
        <v>1819</v>
      </c>
      <c r="I53" s="3128">
        <f>2500000</f>
        <v>2500000</v>
      </c>
      <c r="J53" s="3100">
        <v>1729412</v>
      </c>
      <c r="K53" s="3128">
        <f>2500000</f>
        <v>2500000</v>
      </c>
      <c r="L53" s="3099">
        <f>+K53</f>
        <v>2500000</v>
      </c>
      <c r="M53" s="3099">
        <f t="shared" ref="M53:M60" si="21">+L53</f>
        <v>2500000</v>
      </c>
      <c r="N53" s="3099">
        <f t="shared" ref="N53:N58" si="22">+M53</f>
        <v>2500000</v>
      </c>
      <c r="O53" s="3099">
        <f t="shared" ref="O53:O60" si="23">+N53</f>
        <v>2500000</v>
      </c>
      <c r="P53" s="3101">
        <f>350000+2000000</f>
        <v>2350000</v>
      </c>
      <c r="Q53" s="3131">
        <f t="shared" si="20"/>
        <v>0.94</v>
      </c>
      <c r="R53" s="3128">
        <f t="shared" si="7"/>
        <v>0</v>
      </c>
      <c r="S53" s="3128">
        <f t="shared" si="8"/>
        <v>0</v>
      </c>
      <c r="T53" s="3128">
        <f t="shared" si="9"/>
        <v>0</v>
      </c>
      <c r="U53" s="3132">
        <f t="shared" si="10"/>
        <v>0</v>
      </c>
      <c r="V53" s="716">
        <f t="shared" si="11"/>
        <v>150000</v>
      </c>
    </row>
    <row r="54" spans="1:26" ht="25.5">
      <c r="A54" s="1423" t="s">
        <v>39</v>
      </c>
      <c r="B54" s="2097" t="s">
        <v>3494</v>
      </c>
      <c r="C54" s="1541" t="s">
        <v>574</v>
      </c>
      <c r="D54" s="2098" t="s">
        <v>1820</v>
      </c>
      <c r="E54" s="2150">
        <v>3</v>
      </c>
      <c r="F54" s="1541" t="s">
        <v>565</v>
      </c>
      <c r="G54" s="2099" t="s">
        <v>572</v>
      </c>
      <c r="H54" s="2099" t="s">
        <v>1821</v>
      </c>
      <c r="I54" s="3128">
        <f>2800000</f>
        <v>2800000</v>
      </c>
      <c r="J54" s="3100">
        <v>2352940</v>
      </c>
      <c r="K54" s="3128">
        <f>2800000</f>
        <v>2800000</v>
      </c>
      <c r="L54" s="3099">
        <f t="shared" ref="L54:L60" si="24">+K54</f>
        <v>2800000</v>
      </c>
      <c r="M54" s="3099">
        <f t="shared" si="21"/>
        <v>2800000</v>
      </c>
      <c r="N54" s="3099">
        <f t="shared" si="22"/>
        <v>2800000</v>
      </c>
      <c r="O54" s="3099">
        <f t="shared" si="23"/>
        <v>2800000</v>
      </c>
      <c r="P54" s="3101">
        <v>2352940</v>
      </c>
      <c r="Q54" s="3131">
        <f t="shared" si="20"/>
        <v>0.8403357142857143</v>
      </c>
      <c r="R54" s="3128">
        <f t="shared" si="7"/>
        <v>0</v>
      </c>
      <c r="S54" s="3128">
        <f t="shared" si="8"/>
        <v>0</v>
      </c>
      <c r="T54" s="3128">
        <f t="shared" si="9"/>
        <v>0</v>
      </c>
      <c r="U54" s="3132">
        <f t="shared" si="10"/>
        <v>0</v>
      </c>
      <c r="V54" s="716">
        <f t="shared" si="11"/>
        <v>447060</v>
      </c>
    </row>
    <row r="55" spans="1:26">
      <c r="A55" s="1423" t="s">
        <v>41</v>
      </c>
      <c r="B55" s="2097" t="s">
        <v>1822</v>
      </c>
      <c r="C55" s="1541" t="s">
        <v>1823</v>
      </c>
      <c r="D55" s="2098" t="s">
        <v>1824</v>
      </c>
      <c r="E55" s="2098">
        <v>2</v>
      </c>
      <c r="F55" s="1541" t="s">
        <v>1134</v>
      </c>
      <c r="G55" s="2099" t="s">
        <v>572</v>
      </c>
      <c r="H55" s="2099" t="s">
        <v>1825</v>
      </c>
      <c r="I55" s="3128">
        <f>1600000-800000</f>
        <v>800000</v>
      </c>
      <c r="J55" s="3100">
        <v>124467</v>
      </c>
      <c r="K55" s="3104">
        <f>1300000-500000</f>
        <v>800000</v>
      </c>
      <c r="L55" s="3099">
        <f t="shared" si="24"/>
        <v>800000</v>
      </c>
      <c r="M55" s="3099">
        <f t="shared" si="21"/>
        <v>800000</v>
      </c>
      <c r="N55" s="3099">
        <f t="shared" si="22"/>
        <v>800000</v>
      </c>
      <c r="O55" s="3099">
        <f t="shared" si="23"/>
        <v>800000</v>
      </c>
      <c r="P55" s="3101">
        <f>441150+276000</f>
        <v>717150</v>
      </c>
      <c r="Q55" s="3131">
        <f t="shared" si="20"/>
        <v>0.8964375</v>
      </c>
      <c r="R55" s="3128">
        <f t="shared" si="7"/>
        <v>0</v>
      </c>
      <c r="S55" s="3128">
        <f t="shared" si="8"/>
        <v>0</v>
      </c>
      <c r="T55" s="3128">
        <f t="shared" si="9"/>
        <v>0</v>
      </c>
      <c r="U55" s="3132">
        <f t="shared" si="10"/>
        <v>0</v>
      </c>
      <c r="V55" s="716">
        <f t="shared" si="11"/>
        <v>82850</v>
      </c>
      <c r="W55" s="172">
        <f>717150-441150</f>
        <v>276000</v>
      </c>
    </row>
    <row r="56" spans="1:26">
      <c r="A56" s="3079" t="s">
        <v>3526</v>
      </c>
      <c r="B56" s="2097" t="s">
        <v>3528</v>
      </c>
      <c r="C56" s="1541" t="s">
        <v>512</v>
      </c>
      <c r="D56" s="2098" t="s">
        <v>1826</v>
      </c>
      <c r="E56" s="2098">
        <v>3</v>
      </c>
      <c r="F56" s="1541" t="s">
        <v>534</v>
      </c>
      <c r="G56" s="2099" t="s">
        <v>572</v>
      </c>
      <c r="H56" s="2099" t="s">
        <v>1827</v>
      </c>
      <c r="I56" s="3128">
        <f>19947384</f>
        <v>19947384</v>
      </c>
      <c r="J56" s="3100">
        <v>17864028</v>
      </c>
      <c r="K56" s="3104">
        <f>26721576-7435538</f>
        <v>19286038</v>
      </c>
      <c r="L56" s="3099">
        <f t="shared" si="24"/>
        <v>19286038</v>
      </c>
      <c r="M56" s="3099">
        <f t="shared" si="21"/>
        <v>19286038</v>
      </c>
      <c r="N56" s="3099">
        <f t="shared" si="22"/>
        <v>19286038</v>
      </c>
      <c r="O56" s="3099">
        <f t="shared" si="23"/>
        <v>19286038</v>
      </c>
      <c r="P56" s="3101">
        <f>19764552-3353782</f>
        <v>16410770</v>
      </c>
      <c r="Q56" s="3131">
        <f t="shared" si="20"/>
        <v>0.85091453205681744</v>
      </c>
      <c r="R56" s="3128">
        <f t="shared" si="7"/>
        <v>0</v>
      </c>
      <c r="S56" s="3128">
        <f t="shared" si="8"/>
        <v>0</v>
      </c>
      <c r="T56" s="3128">
        <f t="shared" si="9"/>
        <v>0</v>
      </c>
      <c r="U56" s="3132">
        <f t="shared" si="10"/>
        <v>0</v>
      </c>
      <c r="V56" s="716">
        <f t="shared" si="11"/>
        <v>2875268</v>
      </c>
    </row>
    <row r="57" spans="1:26" ht="12.75" hidden="1" customHeight="1">
      <c r="A57" s="1423"/>
      <c r="B57" s="2097"/>
      <c r="C57" s="1541" t="s">
        <v>512</v>
      </c>
      <c r="D57" s="2098" t="s">
        <v>1828</v>
      </c>
      <c r="E57" s="2098"/>
      <c r="F57" s="1541"/>
      <c r="G57" s="2099" t="s">
        <v>572</v>
      </c>
      <c r="H57" s="2099" t="s">
        <v>1829</v>
      </c>
      <c r="I57" s="1365"/>
      <c r="J57" s="3100">
        <v>0</v>
      </c>
      <c r="K57" s="1365"/>
      <c r="L57" s="3099">
        <f t="shared" si="24"/>
        <v>0</v>
      </c>
      <c r="M57" s="3099">
        <f t="shared" si="21"/>
        <v>0</v>
      </c>
      <c r="N57" s="3099">
        <f t="shared" si="22"/>
        <v>0</v>
      </c>
      <c r="O57" s="3099">
        <f t="shared" si="23"/>
        <v>0</v>
      </c>
      <c r="P57" s="3101"/>
      <c r="Q57" s="2409" t="e">
        <f t="shared" si="20"/>
        <v>#DIV/0!</v>
      </c>
      <c r="R57" s="1365">
        <f t="shared" si="7"/>
        <v>0</v>
      </c>
      <c r="S57" s="1365">
        <f t="shared" si="8"/>
        <v>0</v>
      </c>
      <c r="T57" s="1365">
        <f t="shared" si="9"/>
        <v>0</v>
      </c>
      <c r="U57" s="1364">
        <f t="shared" si="10"/>
        <v>0</v>
      </c>
      <c r="V57" s="716">
        <f t="shared" si="11"/>
        <v>0</v>
      </c>
    </row>
    <row r="58" spans="1:26" ht="12.75" hidden="1" customHeight="1">
      <c r="A58" s="1423"/>
      <c r="B58" s="2097"/>
      <c r="C58" s="1541" t="s">
        <v>512</v>
      </c>
      <c r="D58" s="2098" t="s">
        <v>1830</v>
      </c>
      <c r="E58" s="2098"/>
      <c r="F58" s="1541"/>
      <c r="G58" s="2099" t="s">
        <v>572</v>
      </c>
      <c r="H58" s="2099" t="s">
        <v>1831</v>
      </c>
      <c r="I58" s="1365"/>
      <c r="J58" s="3100">
        <v>0</v>
      </c>
      <c r="K58" s="1365"/>
      <c r="L58" s="3099">
        <f t="shared" si="24"/>
        <v>0</v>
      </c>
      <c r="M58" s="3099">
        <f t="shared" si="21"/>
        <v>0</v>
      </c>
      <c r="N58" s="3099">
        <f t="shared" si="22"/>
        <v>0</v>
      </c>
      <c r="O58" s="3099">
        <f t="shared" si="23"/>
        <v>0</v>
      </c>
      <c r="P58" s="3101"/>
      <c r="Q58" s="2409" t="e">
        <f t="shared" si="20"/>
        <v>#DIV/0!</v>
      </c>
      <c r="R58" s="1365">
        <f t="shared" si="7"/>
        <v>0</v>
      </c>
      <c r="S58" s="1365">
        <f t="shared" si="8"/>
        <v>0</v>
      </c>
      <c r="T58" s="1365">
        <f t="shared" si="9"/>
        <v>0</v>
      </c>
      <c r="U58" s="1364">
        <f t="shared" si="10"/>
        <v>0</v>
      </c>
      <c r="V58" s="716">
        <f t="shared" si="11"/>
        <v>0</v>
      </c>
    </row>
    <row r="59" spans="1:26">
      <c r="A59" s="3081" t="s">
        <v>3527</v>
      </c>
      <c r="B59" s="2097" t="s">
        <v>1832</v>
      </c>
      <c r="C59" s="1541" t="s">
        <v>512</v>
      </c>
      <c r="D59" s="2098" t="s">
        <v>1833</v>
      </c>
      <c r="E59" s="2150">
        <v>2</v>
      </c>
      <c r="F59" s="1541"/>
      <c r="G59" s="2099" t="s">
        <v>572</v>
      </c>
      <c r="H59" s="2099"/>
      <c r="I59" s="1365">
        <f>1700000+3100000</f>
        <v>4800000</v>
      </c>
      <c r="J59" s="3100">
        <v>3010000</v>
      </c>
      <c r="K59" s="1365">
        <f>1700000+3250000-3250000</f>
        <v>1700000</v>
      </c>
      <c r="L59" s="3099">
        <f t="shared" si="24"/>
        <v>1700000</v>
      </c>
      <c r="M59" s="3099">
        <f t="shared" si="21"/>
        <v>1700000</v>
      </c>
      <c r="N59" s="3099">
        <f>+M59+328328</f>
        <v>2028328</v>
      </c>
      <c r="O59" s="3099">
        <f t="shared" si="23"/>
        <v>2028328</v>
      </c>
      <c r="P59" s="3101">
        <f>1810000+240000-21672-188328</f>
        <v>1840000</v>
      </c>
      <c r="Q59" s="2409">
        <f t="shared" si="20"/>
        <v>0.90715111165452533</v>
      </c>
      <c r="R59" s="1365">
        <f t="shared" si="7"/>
        <v>0</v>
      </c>
      <c r="S59" s="1365">
        <f t="shared" si="8"/>
        <v>0</v>
      </c>
      <c r="T59" s="1365">
        <f t="shared" si="9"/>
        <v>328328</v>
      </c>
      <c r="U59" s="1364">
        <f t="shared" si="10"/>
        <v>0</v>
      </c>
      <c r="V59" s="716">
        <f t="shared" si="11"/>
        <v>188328</v>
      </c>
    </row>
    <row r="60" spans="1:26">
      <c r="A60" s="1423" t="s">
        <v>402</v>
      </c>
      <c r="B60" s="2097" t="s">
        <v>75</v>
      </c>
      <c r="C60" s="1541" t="s">
        <v>730</v>
      </c>
      <c r="D60" s="2098" t="s">
        <v>1828</v>
      </c>
      <c r="E60" s="2098">
        <v>3</v>
      </c>
      <c r="F60" s="1541" t="s">
        <v>534</v>
      </c>
      <c r="G60" s="2099" t="s">
        <v>572</v>
      </c>
      <c r="H60" s="2099" t="s">
        <v>1834</v>
      </c>
      <c r="I60" s="1365">
        <f>11455000</f>
        <v>11455000</v>
      </c>
      <c r="J60" s="3100">
        <v>9215735</v>
      </c>
      <c r="K60" s="2330">
        <f>1500000+50000+250000-100000+2*200000-200000+2*100000+17*60000+8*25000+15000+250000-150000+7570000</f>
        <v>11005000</v>
      </c>
      <c r="L60" s="3099">
        <f t="shared" si="24"/>
        <v>11005000</v>
      </c>
      <c r="M60" s="3099">
        <f t="shared" si="21"/>
        <v>11005000</v>
      </c>
      <c r="N60" s="3099">
        <f>+M60+529155</f>
        <v>11534155</v>
      </c>
      <c r="O60" s="3099">
        <f t="shared" si="23"/>
        <v>11534155</v>
      </c>
      <c r="P60" s="3101">
        <f>8262807+21672+188328</f>
        <v>8472807</v>
      </c>
      <c r="Q60" s="2409">
        <f t="shared" si="20"/>
        <v>0.73458411127646539</v>
      </c>
      <c r="R60" s="1365">
        <f t="shared" si="7"/>
        <v>0</v>
      </c>
      <c r="S60" s="1365">
        <f t="shared" si="8"/>
        <v>0</v>
      </c>
      <c r="T60" s="1365">
        <f t="shared" si="9"/>
        <v>529155</v>
      </c>
      <c r="U60" s="1364">
        <f t="shared" si="10"/>
        <v>0</v>
      </c>
      <c r="V60" s="716">
        <f t="shared" si="11"/>
        <v>3061348</v>
      </c>
    </row>
    <row r="61" spans="1:26" ht="14.25" customHeight="1">
      <c r="A61" s="1423" t="s">
        <v>404</v>
      </c>
      <c r="B61" s="2110" t="s">
        <v>1835</v>
      </c>
      <c r="C61" s="1426"/>
      <c r="D61" s="2108"/>
      <c r="E61" s="2098"/>
      <c r="F61" s="1426"/>
      <c r="G61" s="3122"/>
      <c r="H61" s="2095" t="s">
        <v>1402</v>
      </c>
      <c r="I61" s="3123">
        <f>SUM(I53:I60)</f>
        <v>42302384</v>
      </c>
      <c r="J61" s="3124">
        <f t="shared" ref="J61:P61" si="25">SUM(J53:J60)</f>
        <v>34296582</v>
      </c>
      <c r="K61" s="3123">
        <f t="shared" si="25"/>
        <v>38091038</v>
      </c>
      <c r="L61" s="3123">
        <f t="shared" si="25"/>
        <v>38091038</v>
      </c>
      <c r="M61" s="3123">
        <f t="shared" si="25"/>
        <v>38091038</v>
      </c>
      <c r="N61" s="3123">
        <f t="shared" si="25"/>
        <v>38948521</v>
      </c>
      <c r="O61" s="3123">
        <f t="shared" si="25"/>
        <v>38948521</v>
      </c>
      <c r="P61" s="3125">
        <f t="shared" si="25"/>
        <v>32143667</v>
      </c>
      <c r="Q61" s="3126">
        <f t="shared" si="20"/>
        <v>0.82528594603117278</v>
      </c>
      <c r="R61" s="3123">
        <f t="shared" si="7"/>
        <v>0</v>
      </c>
      <c r="S61" s="3123">
        <f t="shared" si="8"/>
        <v>0</v>
      </c>
      <c r="T61" s="3123">
        <f t="shared" si="9"/>
        <v>857483</v>
      </c>
      <c r="U61" s="3127">
        <f t="shared" si="10"/>
        <v>0</v>
      </c>
      <c r="V61" s="2623">
        <f t="shared" si="11"/>
        <v>6804854</v>
      </c>
      <c r="W61" s="245">
        <v>43103361</v>
      </c>
      <c r="Z61" s="172">
        <f>+P61-W61</f>
        <v>-10959694</v>
      </c>
    </row>
    <row r="62" spans="1:26">
      <c r="A62" s="1423" t="s">
        <v>407</v>
      </c>
      <c r="B62" s="3134" t="s">
        <v>1836</v>
      </c>
      <c r="C62" s="2095"/>
      <c r="D62" s="1423"/>
      <c r="E62" s="1542"/>
      <c r="F62" s="2095"/>
      <c r="G62" s="3135"/>
      <c r="H62" s="2095" t="s">
        <v>1408</v>
      </c>
      <c r="I62" s="1701">
        <f>+I46+I52+I61</f>
        <v>252338564</v>
      </c>
      <c r="J62" s="2576">
        <f t="shared" ref="J62:P62" si="26">+J46+J52+J61</f>
        <v>246173155</v>
      </c>
      <c r="K62" s="1701">
        <f t="shared" si="26"/>
        <v>396835878</v>
      </c>
      <c r="L62" s="1701">
        <f t="shared" si="26"/>
        <v>414564203</v>
      </c>
      <c r="M62" s="1701">
        <f t="shared" si="26"/>
        <v>414564203</v>
      </c>
      <c r="N62" s="1701">
        <f t="shared" si="26"/>
        <v>418906419</v>
      </c>
      <c r="O62" s="1701">
        <f t="shared" si="26"/>
        <v>418906419</v>
      </c>
      <c r="P62" s="2167">
        <f t="shared" si="26"/>
        <v>411915342</v>
      </c>
      <c r="Q62" s="2411">
        <f t="shared" si="20"/>
        <v>0.98331112467388571</v>
      </c>
      <c r="R62" s="1701">
        <f t="shared" si="7"/>
        <v>17728325</v>
      </c>
      <c r="S62" s="1701">
        <f t="shared" si="8"/>
        <v>0</v>
      </c>
      <c r="T62" s="1701">
        <f t="shared" si="9"/>
        <v>4342216</v>
      </c>
      <c r="U62" s="1702">
        <f t="shared" si="10"/>
        <v>0</v>
      </c>
      <c r="V62" s="245">
        <f t="shared" si="11"/>
        <v>6991077</v>
      </c>
      <c r="W62" s="245">
        <v>496028956</v>
      </c>
      <c r="Z62" s="172">
        <f>+P62-W62</f>
        <v>-84113614</v>
      </c>
    </row>
    <row r="63" spans="1:26" ht="18.75">
      <c r="A63" s="1423" t="s">
        <v>409</v>
      </c>
      <c r="B63" s="2120" t="s">
        <v>1837</v>
      </c>
      <c r="C63" s="2121"/>
      <c r="D63" s="2122"/>
      <c r="E63" s="3138"/>
      <c r="F63" s="2121"/>
      <c r="G63" s="3139"/>
      <c r="H63" s="2121" t="s">
        <v>1409</v>
      </c>
      <c r="I63" s="2123">
        <f>+I43+I62</f>
        <v>259838564</v>
      </c>
      <c r="J63" s="2577">
        <f t="shared" ref="J63:P63" si="27">+J43+J62</f>
        <v>253971347</v>
      </c>
      <c r="K63" s="2123">
        <f t="shared" si="27"/>
        <v>408335878</v>
      </c>
      <c r="L63" s="2123">
        <f t="shared" si="27"/>
        <v>426064203</v>
      </c>
      <c r="M63" s="2123">
        <f t="shared" si="27"/>
        <v>426064203</v>
      </c>
      <c r="N63" s="2123">
        <f t="shared" si="27"/>
        <v>427591161</v>
      </c>
      <c r="O63" s="2123">
        <f t="shared" si="27"/>
        <v>427591161</v>
      </c>
      <c r="P63" s="3140">
        <f t="shared" si="27"/>
        <v>420600084</v>
      </c>
      <c r="Q63" s="2415">
        <f t="shared" si="20"/>
        <v>0.98365008999800163</v>
      </c>
      <c r="R63" s="2123">
        <f t="shared" si="7"/>
        <v>17728325</v>
      </c>
      <c r="S63" s="2123">
        <f t="shared" si="8"/>
        <v>0</v>
      </c>
      <c r="T63" s="2123">
        <f t="shared" si="9"/>
        <v>1526958</v>
      </c>
      <c r="U63" s="3141">
        <f t="shared" si="10"/>
        <v>0</v>
      </c>
      <c r="V63" s="638">
        <f t="shared" si="11"/>
        <v>6991077</v>
      </c>
      <c r="W63" s="638">
        <v>506063698</v>
      </c>
      <c r="Z63" s="172">
        <f>+P63-W63</f>
        <v>-85463614</v>
      </c>
    </row>
    <row r="64" spans="1:26" ht="24.75" hidden="1" customHeight="1">
      <c r="A64" s="1423" t="s">
        <v>410</v>
      </c>
      <c r="B64" s="3134" t="s">
        <v>1410</v>
      </c>
      <c r="C64" s="2095"/>
      <c r="D64" s="1423"/>
      <c r="E64" s="1542"/>
      <c r="F64" s="2095"/>
      <c r="G64" s="2095"/>
      <c r="H64" s="1423"/>
      <c r="I64" s="2095"/>
      <c r="J64" s="2574"/>
      <c r="K64" s="2095"/>
      <c r="L64" s="2095"/>
      <c r="M64" s="2095"/>
      <c r="N64" s="2095"/>
      <c r="O64" s="2095"/>
      <c r="P64" s="2166"/>
      <c r="Q64" s="2416" t="e">
        <f t="shared" si="20"/>
        <v>#DIV/0!</v>
      </c>
      <c r="R64" s="2095"/>
      <c r="S64" s="2095"/>
      <c r="T64" s="2095"/>
      <c r="U64" s="217"/>
      <c r="V64" s="244">
        <f t="shared" si="11"/>
        <v>0</v>
      </c>
    </row>
    <row r="65" spans="1:23">
      <c r="A65" s="1423" t="s">
        <v>410</v>
      </c>
      <c r="B65" s="2249" t="s">
        <v>3324</v>
      </c>
      <c r="C65" s="1541" t="s">
        <v>512</v>
      </c>
      <c r="D65" s="2098" t="s">
        <v>1838</v>
      </c>
      <c r="E65" s="2098">
        <v>2</v>
      </c>
      <c r="F65" s="1541" t="s">
        <v>534</v>
      </c>
      <c r="G65" s="2099" t="s">
        <v>572</v>
      </c>
      <c r="H65" s="2099" t="s">
        <v>1411</v>
      </c>
      <c r="I65" s="3142">
        <f>39521053+318500</f>
        <v>39839553</v>
      </c>
      <c r="J65" s="3100">
        <v>37665452</v>
      </c>
      <c r="K65" s="3142">
        <f>62479621-2058288</f>
        <v>60421333</v>
      </c>
      <c r="L65" s="3099">
        <f>+K65+2304682</f>
        <v>62726015</v>
      </c>
      <c r="M65" s="3099">
        <f t="shared" ref="M65:N71" si="28">+L65</f>
        <v>62726015</v>
      </c>
      <c r="N65" s="3099">
        <f t="shared" ref="N65:N72" si="29">+M65</f>
        <v>62726015</v>
      </c>
      <c r="O65" s="3099">
        <f t="shared" ref="O65:O72" si="30">+N65</f>
        <v>62726015</v>
      </c>
      <c r="P65" s="3101">
        <f>49197114+3788353+3353782</f>
        <v>56339249</v>
      </c>
      <c r="Q65" s="3143">
        <f t="shared" si="20"/>
        <v>0.89817994973855741</v>
      </c>
      <c r="R65" s="3142">
        <f t="shared" ref="R65:R76" si="31">+L65-K65</f>
        <v>2304682</v>
      </c>
      <c r="S65" s="3142">
        <f t="shared" ref="S65:S77" si="32">+M65-L65</f>
        <v>0</v>
      </c>
      <c r="T65" s="3142">
        <f t="shared" ref="T65:T76" si="33">+N65-M65</f>
        <v>0</v>
      </c>
      <c r="U65" s="3144">
        <f t="shared" ref="U65:U76" si="34">+O65-N65</f>
        <v>0</v>
      </c>
      <c r="V65" s="716">
        <f t="shared" si="11"/>
        <v>6386766</v>
      </c>
    </row>
    <row r="66" spans="1:23">
      <c r="A66" s="1423" t="s">
        <v>411</v>
      </c>
      <c r="B66" s="2097" t="s">
        <v>1414</v>
      </c>
      <c r="C66" s="1541" t="s">
        <v>512</v>
      </c>
      <c r="D66" s="2098" t="s">
        <v>1838</v>
      </c>
      <c r="E66" s="2098">
        <v>2</v>
      </c>
      <c r="F66" s="1541" t="s">
        <v>534</v>
      </c>
      <c r="G66" s="2099" t="s">
        <v>572</v>
      </c>
      <c r="H66" s="2099" t="s">
        <v>1415</v>
      </c>
      <c r="I66" s="3112">
        <f>0</f>
        <v>0</v>
      </c>
      <c r="J66" s="3100">
        <v>0</v>
      </c>
      <c r="K66" s="3112">
        <f>0</f>
        <v>0</v>
      </c>
      <c r="L66" s="3099">
        <f t="shared" ref="L66:L71" si="35">+K66</f>
        <v>0</v>
      </c>
      <c r="M66" s="3099">
        <f t="shared" si="28"/>
        <v>0</v>
      </c>
      <c r="N66" s="3099">
        <f t="shared" si="29"/>
        <v>0</v>
      </c>
      <c r="O66" s="3099">
        <f t="shared" si="30"/>
        <v>0</v>
      </c>
      <c r="P66" s="3101">
        <v>0</v>
      </c>
      <c r="Q66" s="3115"/>
      <c r="R66" s="3112">
        <f t="shared" si="31"/>
        <v>0</v>
      </c>
      <c r="S66" s="3112">
        <f t="shared" si="32"/>
        <v>0</v>
      </c>
      <c r="T66" s="3112">
        <f t="shared" si="33"/>
        <v>0</v>
      </c>
      <c r="U66" s="3116">
        <f t="shared" si="34"/>
        <v>0</v>
      </c>
      <c r="V66" s="716">
        <f t="shared" si="11"/>
        <v>0</v>
      </c>
    </row>
    <row r="67" spans="1:23">
      <c r="A67" s="1423" t="s">
        <v>412</v>
      </c>
      <c r="B67" s="2097" t="s">
        <v>1839</v>
      </c>
      <c r="C67" s="1541" t="s">
        <v>512</v>
      </c>
      <c r="D67" s="2098" t="s">
        <v>1838</v>
      </c>
      <c r="E67" s="2098">
        <v>2</v>
      </c>
      <c r="F67" s="1541" t="s">
        <v>534</v>
      </c>
      <c r="G67" s="2099" t="s">
        <v>572</v>
      </c>
      <c r="H67" s="2099" t="s">
        <v>1416</v>
      </c>
      <c r="I67" s="3142">
        <v>0</v>
      </c>
      <c r="J67" s="3100">
        <v>0</v>
      </c>
      <c r="K67" s="3142">
        <v>0</v>
      </c>
      <c r="L67" s="3099">
        <f t="shared" si="35"/>
        <v>0</v>
      </c>
      <c r="M67" s="3099">
        <f t="shared" si="28"/>
        <v>0</v>
      </c>
      <c r="N67" s="3099">
        <f t="shared" si="29"/>
        <v>0</v>
      </c>
      <c r="O67" s="3099">
        <f t="shared" si="30"/>
        <v>0</v>
      </c>
      <c r="P67" s="3101">
        <v>0</v>
      </c>
      <c r="Q67" s="3143"/>
      <c r="R67" s="3142">
        <f t="shared" si="31"/>
        <v>0</v>
      </c>
      <c r="S67" s="3142">
        <f t="shared" si="32"/>
        <v>0</v>
      </c>
      <c r="T67" s="3142">
        <f t="shared" si="33"/>
        <v>0</v>
      </c>
      <c r="U67" s="3144">
        <f t="shared" si="34"/>
        <v>0</v>
      </c>
      <c r="V67" s="716">
        <f t="shared" si="11"/>
        <v>0</v>
      </c>
    </row>
    <row r="68" spans="1:23">
      <c r="A68" s="1423" t="s">
        <v>413</v>
      </c>
      <c r="B68" s="2097" t="s">
        <v>1422</v>
      </c>
      <c r="C68" s="1541" t="s">
        <v>512</v>
      </c>
      <c r="D68" s="2098" t="s">
        <v>1838</v>
      </c>
      <c r="E68" s="2098">
        <v>2</v>
      </c>
      <c r="F68" s="1541" t="s">
        <v>534</v>
      </c>
      <c r="G68" s="2099" t="s">
        <v>572</v>
      </c>
      <c r="H68" s="2099" t="s">
        <v>1423</v>
      </c>
      <c r="I68" s="3142">
        <v>0</v>
      </c>
      <c r="J68" s="3100">
        <v>0</v>
      </c>
      <c r="K68" s="3142">
        <v>0</v>
      </c>
      <c r="L68" s="3099">
        <f t="shared" si="35"/>
        <v>0</v>
      </c>
      <c r="M68" s="3099">
        <f t="shared" si="28"/>
        <v>0</v>
      </c>
      <c r="N68" s="3099">
        <f t="shared" si="29"/>
        <v>0</v>
      </c>
      <c r="O68" s="3099">
        <f t="shared" si="30"/>
        <v>0</v>
      </c>
      <c r="P68" s="3101">
        <v>0</v>
      </c>
      <c r="Q68" s="3143"/>
      <c r="R68" s="3142">
        <f t="shared" si="31"/>
        <v>0</v>
      </c>
      <c r="S68" s="3142">
        <f t="shared" si="32"/>
        <v>0</v>
      </c>
      <c r="T68" s="3142">
        <f t="shared" si="33"/>
        <v>0</v>
      </c>
      <c r="U68" s="3144">
        <f t="shared" si="34"/>
        <v>0</v>
      </c>
      <c r="V68" s="716">
        <f t="shared" si="11"/>
        <v>0</v>
      </c>
    </row>
    <row r="69" spans="1:23">
      <c r="A69" s="1423" t="s">
        <v>417</v>
      </c>
      <c r="B69" s="2097" t="s">
        <v>1424</v>
      </c>
      <c r="C69" s="1541" t="s">
        <v>512</v>
      </c>
      <c r="D69" s="2098" t="s">
        <v>1838</v>
      </c>
      <c r="E69" s="2098">
        <v>2</v>
      </c>
      <c r="F69" s="1541" t="s">
        <v>534</v>
      </c>
      <c r="G69" s="2099" t="s">
        <v>572</v>
      </c>
      <c r="H69" s="2099" t="s">
        <v>1425</v>
      </c>
      <c r="I69" s="3145">
        <v>0</v>
      </c>
      <c r="J69" s="3100">
        <v>0</v>
      </c>
      <c r="K69" s="3145">
        <v>0</v>
      </c>
      <c r="L69" s="3099">
        <f t="shared" si="35"/>
        <v>0</v>
      </c>
      <c r="M69" s="3099">
        <f t="shared" si="28"/>
        <v>0</v>
      </c>
      <c r="N69" s="3099">
        <f t="shared" si="29"/>
        <v>0</v>
      </c>
      <c r="O69" s="3099">
        <f t="shared" si="30"/>
        <v>0</v>
      </c>
      <c r="P69" s="3101">
        <v>0</v>
      </c>
      <c r="Q69" s="3146"/>
      <c r="R69" s="3145">
        <f t="shared" si="31"/>
        <v>0</v>
      </c>
      <c r="S69" s="3145">
        <f t="shared" si="32"/>
        <v>0</v>
      </c>
      <c r="T69" s="3145">
        <f t="shared" si="33"/>
        <v>0</v>
      </c>
      <c r="U69" s="3147">
        <f t="shared" si="34"/>
        <v>0</v>
      </c>
      <c r="V69" s="716">
        <f t="shared" si="11"/>
        <v>0</v>
      </c>
    </row>
    <row r="70" spans="1:23">
      <c r="A70" s="1423" t="s">
        <v>450</v>
      </c>
      <c r="B70" s="2097" t="s">
        <v>1426</v>
      </c>
      <c r="C70" s="1541" t="s">
        <v>512</v>
      </c>
      <c r="D70" s="2098" t="s">
        <v>1838</v>
      </c>
      <c r="E70" s="2098">
        <v>2</v>
      </c>
      <c r="F70" s="1541" t="s">
        <v>534</v>
      </c>
      <c r="G70" s="2099" t="s">
        <v>572</v>
      </c>
      <c r="H70" s="2099" t="s">
        <v>1427</v>
      </c>
      <c r="I70" s="3148">
        <v>0</v>
      </c>
      <c r="J70" s="3100">
        <v>0</v>
      </c>
      <c r="K70" s="3148">
        <v>0</v>
      </c>
      <c r="L70" s="3099">
        <f t="shared" si="35"/>
        <v>0</v>
      </c>
      <c r="M70" s="3099">
        <f t="shared" si="28"/>
        <v>0</v>
      </c>
      <c r="N70" s="3099">
        <f t="shared" si="29"/>
        <v>0</v>
      </c>
      <c r="O70" s="3099">
        <f t="shared" si="30"/>
        <v>0</v>
      </c>
      <c r="P70" s="3101">
        <v>0</v>
      </c>
      <c r="Q70" s="3149"/>
      <c r="R70" s="3148">
        <f t="shared" si="31"/>
        <v>0</v>
      </c>
      <c r="S70" s="3148">
        <f t="shared" si="32"/>
        <v>0</v>
      </c>
      <c r="T70" s="3148">
        <f t="shared" si="33"/>
        <v>0</v>
      </c>
      <c r="U70" s="3150">
        <f t="shared" si="34"/>
        <v>0</v>
      </c>
      <c r="V70" s="716">
        <f t="shared" si="11"/>
        <v>0</v>
      </c>
    </row>
    <row r="71" spans="1:23">
      <c r="A71" s="1423" t="s">
        <v>1379</v>
      </c>
      <c r="B71" s="2097" t="s">
        <v>3321</v>
      </c>
      <c r="C71" s="1541" t="s">
        <v>512</v>
      </c>
      <c r="D71" s="2098" t="s">
        <v>1838</v>
      </c>
      <c r="E71" s="2098">
        <v>2</v>
      </c>
      <c r="F71" s="1541" t="s">
        <v>534</v>
      </c>
      <c r="G71" s="2099" t="s">
        <v>572</v>
      </c>
      <c r="H71" s="2099" t="s">
        <v>1428</v>
      </c>
      <c r="I71" s="3142">
        <f>11287635+22500</f>
        <v>11310135</v>
      </c>
      <c r="J71" s="3100">
        <v>13342269</v>
      </c>
      <c r="K71" s="3142">
        <f>14904135-133650</f>
        <v>14770485</v>
      </c>
      <c r="L71" s="3099">
        <f t="shared" si="35"/>
        <v>14770485</v>
      </c>
      <c r="M71" s="3099">
        <f t="shared" si="28"/>
        <v>14770485</v>
      </c>
      <c r="N71" s="3099">
        <f t="shared" si="28"/>
        <v>14770485</v>
      </c>
      <c r="O71" s="3099">
        <f t="shared" si="30"/>
        <v>14770485</v>
      </c>
      <c r="P71" s="3101">
        <f>9913469+60000</f>
        <v>9973469</v>
      </c>
      <c r="Q71" s="3143">
        <f>+P71/N71</f>
        <v>0.67522962177612988</v>
      </c>
      <c r="R71" s="3142">
        <f t="shared" si="31"/>
        <v>0</v>
      </c>
      <c r="S71" s="3142">
        <f t="shared" si="32"/>
        <v>0</v>
      </c>
      <c r="T71" s="3142">
        <f t="shared" si="33"/>
        <v>0</v>
      </c>
      <c r="U71" s="3144">
        <f t="shared" si="34"/>
        <v>0</v>
      </c>
      <c r="V71" s="716">
        <f t="shared" si="11"/>
        <v>4797016</v>
      </c>
    </row>
    <row r="72" spans="1:23">
      <c r="A72" s="1423" t="s">
        <v>619</v>
      </c>
      <c r="B72" s="2097" t="s">
        <v>1431</v>
      </c>
      <c r="C72" s="1541"/>
      <c r="D72" s="2098"/>
      <c r="E72" s="2098"/>
      <c r="F72" s="1541"/>
      <c r="G72" s="3111"/>
      <c r="H72" s="2099" t="s">
        <v>1432</v>
      </c>
      <c r="I72" s="1365">
        <v>0</v>
      </c>
      <c r="J72" s="2575">
        <v>0</v>
      </c>
      <c r="K72" s="1365">
        <v>0</v>
      </c>
      <c r="L72" s="1365">
        <v>0</v>
      </c>
      <c r="M72" s="1365">
        <f>+L72</f>
        <v>0</v>
      </c>
      <c r="N72" s="1365">
        <f t="shared" si="29"/>
        <v>0</v>
      </c>
      <c r="O72" s="1365">
        <f t="shared" si="30"/>
        <v>0</v>
      </c>
      <c r="P72" s="3105">
        <v>0</v>
      </c>
      <c r="Q72" s="2409"/>
      <c r="R72" s="1365">
        <f t="shared" si="31"/>
        <v>0</v>
      </c>
      <c r="S72" s="1365">
        <f t="shared" si="32"/>
        <v>0</v>
      </c>
      <c r="T72" s="1365">
        <f t="shared" si="33"/>
        <v>0</v>
      </c>
      <c r="U72" s="1364">
        <f t="shared" si="34"/>
        <v>0</v>
      </c>
      <c r="V72" s="538">
        <f t="shared" si="11"/>
        <v>0</v>
      </c>
    </row>
    <row r="73" spans="1:23" ht="35.25" customHeight="1">
      <c r="A73" s="1423" t="s">
        <v>629</v>
      </c>
      <c r="B73" s="2157" t="s">
        <v>3435</v>
      </c>
      <c r="C73" s="2158"/>
      <c r="D73" s="2159"/>
      <c r="E73" s="3151"/>
      <c r="F73" s="2158"/>
      <c r="G73" s="3152"/>
      <c r="H73" s="2121" t="s">
        <v>1434</v>
      </c>
      <c r="I73" s="2123">
        <f>SUM(I65:I72)</f>
        <v>51149688</v>
      </c>
      <c r="J73" s="2577">
        <f t="shared" ref="J73:P73" si="36">SUM(J65:J72)</f>
        <v>51007721</v>
      </c>
      <c r="K73" s="2123">
        <f t="shared" si="36"/>
        <v>75191818</v>
      </c>
      <c r="L73" s="2123">
        <f t="shared" si="36"/>
        <v>77496500</v>
      </c>
      <c r="M73" s="2123">
        <f t="shared" si="36"/>
        <v>77496500</v>
      </c>
      <c r="N73" s="2123">
        <f t="shared" si="36"/>
        <v>77496500</v>
      </c>
      <c r="O73" s="2123">
        <f t="shared" si="36"/>
        <v>77496500</v>
      </c>
      <c r="P73" s="3140">
        <f t="shared" si="36"/>
        <v>66312718</v>
      </c>
      <c r="Q73" s="2415">
        <f>+P73/N73</f>
        <v>0.85568661810533375</v>
      </c>
      <c r="R73" s="2123">
        <f t="shared" si="31"/>
        <v>2304682</v>
      </c>
      <c r="S73" s="2123">
        <f t="shared" si="32"/>
        <v>0</v>
      </c>
      <c r="T73" s="2123">
        <f t="shared" si="33"/>
        <v>0</v>
      </c>
      <c r="U73" s="3141">
        <f t="shared" si="34"/>
        <v>0</v>
      </c>
      <c r="V73" s="638">
        <f t="shared" si="11"/>
        <v>11183782</v>
      </c>
      <c r="W73" s="638">
        <v>66312718</v>
      </c>
    </row>
    <row r="74" spans="1:23" ht="27" hidden="1" customHeight="1">
      <c r="A74" s="1423">
        <v>33</v>
      </c>
      <c r="B74" s="2130" t="s">
        <v>1840</v>
      </c>
      <c r="C74" s="2099"/>
      <c r="D74" s="1542"/>
      <c r="E74" s="1542"/>
      <c r="F74" s="2099"/>
      <c r="G74" s="3153"/>
      <c r="H74" s="2131"/>
      <c r="I74" s="3099">
        <v>0</v>
      </c>
      <c r="J74" s="3100">
        <v>0</v>
      </c>
      <c r="K74" s="3099">
        <v>0</v>
      </c>
      <c r="L74" s="3099">
        <f>+K74</f>
        <v>0</v>
      </c>
      <c r="M74" s="3099">
        <f>+L74</f>
        <v>0</v>
      </c>
      <c r="N74" s="3099">
        <f>+M74</f>
        <v>0</v>
      </c>
      <c r="O74" s="3099">
        <f>+N74</f>
        <v>0</v>
      </c>
      <c r="P74" s="3101">
        <f>+O74</f>
        <v>0</v>
      </c>
      <c r="Q74" s="3102" t="e">
        <f>+P74/N74</f>
        <v>#DIV/0!</v>
      </c>
      <c r="R74" s="3099">
        <f t="shared" si="31"/>
        <v>0</v>
      </c>
      <c r="S74" s="3099">
        <f t="shared" si="32"/>
        <v>0</v>
      </c>
      <c r="T74" s="1365">
        <f t="shared" si="33"/>
        <v>0</v>
      </c>
      <c r="U74" s="1364">
        <f t="shared" si="34"/>
        <v>0</v>
      </c>
      <c r="V74" s="716">
        <f t="shared" si="11"/>
        <v>0</v>
      </c>
    </row>
    <row r="75" spans="1:23">
      <c r="A75" s="1423" t="s">
        <v>636</v>
      </c>
      <c r="B75" s="2130" t="s">
        <v>1841</v>
      </c>
      <c r="C75" s="2099"/>
      <c r="D75" s="1542"/>
      <c r="E75" s="1542"/>
      <c r="F75" s="2099"/>
      <c r="G75" s="3153"/>
      <c r="H75" s="2131"/>
      <c r="I75" s="3099">
        <v>3</v>
      </c>
      <c r="J75" s="3100">
        <v>3</v>
      </c>
      <c r="K75" s="3099">
        <v>3</v>
      </c>
      <c r="L75" s="3099">
        <f t="shared" ref="L75:O77" si="37">+K75</f>
        <v>3</v>
      </c>
      <c r="M75" s="3099">
        <f t="shared" si="37"/>
        <v>3</v>
      </c>
      <c r="N75" s="3099">
        <f t="shared" si="37"/>
        <v>3</v>
      </c>
      <c r="O75" s="3099">
        <f t="shared" si="37"/>
        <v>3</v>
      </c>
      <c r="P75" s="3101">
        <v>3</v>
      </c>
      <c r="Q75" s="3102">
        <f>+P75/N75</f>
        <v>1</v>
      </c>
      <c r="R75" s="3099">
        <f t="shared" si="31"/>
        <v>0</v>
      </c>
      <c r="S75" s="3099">
        <f t="shared" si="32"/>
        <v>0</v>
      </c>
      <c r="T75" s="1365">
        <f t="shared" si="33"/>
        <v>0</v>
      </c>
      <c r="U75" s="1364">
        <f t="shared" si="34"/>
        <v>0</v>
      </c>
      <c r="V75" s="716">
        <f t="shared" si="11"/>
        <v>0</v>
      </c>
    </row>
    <row r="76" spans="1:23">
      <c r="A76" s="1423" t="s">
        <v>638</v>
      </c>
      <c r="B76" s="2130" t="s">
        <v>1842</v>
      </c>
      <c r="C76" s="2099"/>
      <c r="D76" s="1542"/>
      <c r="E76" s="1542"/>
      <c r="F76" s="2099"/>
      <c r="G76" s="3153"/>
      <c r="H76" s="2131"/>
      <c r="I76" s="3099">
        <v>14</v>
      </c>
      <c r="J76" s="3100">
        <v>14</v>
      </c>
      <c r="K76" s="3099">
        <v>14</v>
      </c>
      <c r="L76" s="3099">
        <f t="shared" si="37"/>
        <v>14</v>
      </c>
      <c r="M76" s="3099">
        <f t="shared" si="37"/>
        <v>14</v>
      </c>
      <c r="N76" s="3099">
        <f t="shared" si="37"/>
        <v>14</v>
      </c>
      <c r="O76" s="3099">
        <f t="shared" si="37"/>
        <v>14</v>
      </c>
      <c r="P76" s="3101">
        <v>14</v>
      </c>
      <c r="Q76" s="3102">
        <f>+P76/N76</f>
        <v>1</v>
      </c>
      <c r="R76" s="3099">
        <f t="shared" si="31"/>
        <v>0</v>
      </c>
      <c r="S76" s="3099">
        <f t="shared" si="32"/>
        <v>0</v>
      </c>
      <c r="T76" s="1365">
        <f t="shared" si="33"/>
        <v>0</v>
      </c>
      <c r="U76" s="1364">
        <f t="shared" si="34"/>
        <v>0</v>
      </c>
      <c r="V76" s="716">
        <f t="shared" si="11"/>
        <v>0</v>
      </c>
    </row>
    <row r="77" spans="1:23">
      <c r="A77" s="3154" t="s">
        <v>1389</v>
      </c>
      <c r="B77" s="3155" t="s">
        <v>1843</v>
      </c>
      <c r="C77" s="3156"/>
      <c r="D77" s="3157"/>
      <c r="E77" s="3157"/>
      <c r="F77" s="3156"/>
      <c r="G77" s="3158"/>
      <c r="H77" s="3159"/>
      <c r="I77" s="3160">
        <f>20+1</f>
        <v>21</v>
      </c>
      <c r="J77" s="3161">
        <v>21</v>
      </c>
      <c r="K77" s="3160">
        <f>21</f>
        <v>21</v>
      </c>
      <c r="L77" s="3160">
        <f>+K77</f>
        <v>21</v>
      </c>
      <c r="M77" s="3160">
        <f t="shared" si="37"/>
        <v>21</v>
      </c>
      <c r="N77" s="3160">
        <f t="shared" si="37"/>
        <v>21</v>
      </c>
      <c r="O77" s="3160">
        <f t="shared" si="37"/>
        <v>21</v>
      </c>
      <c r="P77" s="3162">
        <v>21</v>
      </c>
      <c r="Q77" s="3163">
        <f>+P77/N77</f>
        <v>1</v>
      </c>
      <c r="R77" s="3160">
        <f>+L77-K77</f>
        <v>0</v>
      </c>
      <c r="S77" s="3160">
        <f t="shared" si="32"/>
        <v>0</v>
      </c>
      <c r="T77" s="3164"/>
      <c r="U77" s="1364"/>
      <c r="V77" s="716">
        <f>+N77-P77</f>
        <v>0</v>
      </c>
    </row>
    <row r="78" spans="1:23" hidden="1">
      <c r="I78" s="212">
        <f t="shared" ref="I78:P78" si="38">+I63+I73</f>
        <v>310988252</v>
      </c>
      <c r="J78" s="212">
        <f t="shared" si="38"/>
        <v>304979068</v>
      </c>
      <c r="K78" s="212">
        <f t="shared" si="38"/>
        <v>483527696</v>
      </c>
      <c r="L78" s="212">
        <f t="shared" si="38"/>
        <v>503560703</v>
      </c>
      <c r="M78" s="212">
        <f t="shared" si="38"/>
        <v>503560703</v>
      </c>
      <c r="N78" s="212">
        <f t="shared" si="38"/>
        <v>505087661</v>
      </c>
      <c r="O78" s="212">
        <f t="shared" si="38"/>
        <v>505087661</v>
      </c>
      <c r="P78" s="212">
        <f t="shared" si="38"/>
        <v>486912802</v>
      </c>
      <c r="Q78" s="212"/>
      <c r="R78" s="212">
        <f>+R63+R73</f>
        <v>20033007</v>
      </c>
      <c r="S78" s="212">
        <f>+S63+S73</f>
        <v>0</v>
      </c>
      <c r="T78" s="212">
        <f>+T63+T73</f>
        <v>1526958</v>
      </c>
      <c r="U78" s="212">
        <f>+U63+U73</f>
        <v>0</v>
      </c>
      <c r="V78" s="212"/>
    </row>
    <row r="79" spans="1:23" hidden="1">
      <c r="P79" s="172">
        <f>+P8+P42+P44+P45+P47+P48+P49+P53+P54+P55+P56+P59+P60+P65+P66+P67+P68+P69+P70+P71+P72</f>
        <v>486912802</v>
      </c>
      <c r="V79" s="172"/>
    </row>
    <row r="80" spans="1:23" hidden="1">
      <c r="P80" s="172">
        <f>+P78-P79</f>
        <v>0</v>
      </c>
      <c r="V80" s="172"/>
    </row>
    <row r="81" spans="16:22" hidden="1">
      <c r="P81" s="172">
        <f>+P78-P80</f>
        <v>486912802</v>
      </c>
      <c r="V81" s="172"/>
    </row>
    <row r="82" spans="16:22" hidden="1"/>
    <row r="83" spans="16:22" ht="12" hidden="1" customHeight="1"/>
    <row r="84" spans="16:22" hidden="1">
      <c r="P84" s="172">
        <f>+P78</f>
        <v>486912802</v>
      </c>
    </row>
    <row r="85" spans="16:22" hidden="1">
      <c r="P85" s="172">
        <f>+'ÖNK.-Dologi (alábontás)nemrésze'!P134</f>
        <v>820172715</v>
      </c>
    </row>
    <row r="86" spans="16:22" hidden="1">
      <c r="P86" s="172">
        <f>+'31.mell. Működési kiadások'!P86</f>
        <v>676762210</v>
      </c>
    </row>
    <row r="87" spans="16:22" hidden="1">
      <c r="P87" s="172">
        <f>+'32. mell. Ellátottak'!P30</f>
        <v>91481574</v>
      </c>
    </row>
    <row r="88" spans="16:22" hidden="1">
      <c r="P88" s="172">
        <f>+'33. mell. E.műk.c.kiad.'!P102</f>
        <v>4023540721</v>
      </c>
    </row>
    <row r="89" spans="16:22" hidden="1">
      <c r="P89" s="172">
        <f>+'34-35.mell.Ber.,Felúj.'!P174</f>
        <v>1842972784</v>
      </c>
    </row>
    <row r="90" spans="16:22" hidden="1">
      <c r="P90" s="172">
        <f>+'36. mell. E.felh.c.kiad.'!P60</f>
        <v>254380188</v>
      </c>
    </row>
    <row r="91" spans="16:22" hidden="1">
      <c r="P91" s="172">
        <f>+'Fin.kiad.-nem része a rend-nek'!P43</f>
        <v>26902559082</v>
      </c>
    </row>
    <row r="92" spans="16:22" hidden="1">
      <c r="P92" s="172">
        <f>SUM(P84:P91)</f>
        <v>35098782076</v>
      </c>
    </row>
    <row r="144" ht="3.75" customHeight="1"/>
    <row r="145" hidden="1"/>
    <row r="146" hidden="1"/>
    <row r="147" hidden="1"/>
    <row r="148" hidden="1"/>
    <row r="149" hidden="1"/>
    <row r="150" hidden="1"/>
    <row r="151" hidden="1"/>
    <row r="152" hidden="1"/>
    <row r="153" hidden="1"/>
    <row r="154" hidden="1"/>
    <row r="155" hidden="1"/>
    <row r="156" hidden="1"/>
    <row r="157" hidden="1"/>
    <row r="158" hidden="1"/>
  </sheetData>
  <sheetProtection algorithmName="SHA-512" hashValue="cBq63+bNUGuzOzF+3KK6FcAeVqvl7iMz+8c1zL7OS/YBFXtC1rquQQ1k8Bz83MAwzGilMxoQYc2MHjmoLcP+4w==" saltValue="NIP8nnB+VGZJh+g+nAXw5w==" spinCount="100000" sheet="1" selectLockedCells="1" selectUnlockedCells="1"/>
  <mergeCells count="2">
    <mergeCell ref="A1:T1"/>
    <mergeCell ref="A2:T2"/>
  </mergeCells>
  <printOptions horizontalCentered="1"/>
  <pageMargins left="0.19685039370078741" right="0.19685039370078741" top="0.47244094488188981" bottom="0.43307086614173229" header="0.51181102362204722" footer="0.19685039370078741"/>
  <pageSetup paperSize="9" scale="75" firstPageNumber="0" fitToHeight="2" orientation="portrait" r:id="rId1"/>
  <headerFooter alignWithMargins="0">
    <oddFooter>&amp;C&amp;"Arial CE,Félkövér"&amp;12&amp;P/&amp;N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AF6CE-F89E-412D-83B4-219B231994C1}">
  <sheetPr>
    <tabColor indexed="13"/>
  </sheetPr>
  <dimension ref="A1:V84"/>
  <sheetViews>
    <sheetView view="pageBreakPreview" zoomScale="90" zoomScaleSheetLayoutView="90" workbookViewId="0">
      <pane xSplit="9" ySplit="6" topLeftCell="K16" activePane="bottomRight" state="frozen"/>
      <selection sqref="A1:AC1"/>
      <selection pane="topRight" sqref="A1:AC1"/>
      <selection pane="bottomLeft" sqref="A1:AC1"/>
      <selection pane="bottomRight" sqref="A1:T1"/>
    </sheetView>
  </sheetViews>
  <sheetFormatPr defaultRowHeight="12.75"/>
  <cols>
    <col min="1" max="1" width="8.5703125" style="505" customWidth="1"/>
    <col min="2" max="2" width="79.140625" style="248" customWidth="1"/>
    <col min="3" max="6" width="6.7109375" style="248" hidden="1" customWidth="1"/>
    <col min="7" max="7" width="14.7109375" style="248" hidden="1" customWidth="1"/>
    <col min="8" max="8" width="8.28515625" style="249" hidden="1" customWidth="1"/>
    <col min="9" max="9" width="15.7109375" style="250" hidden="1" customWidth="1"/>
    <col min="10" max="10" width="17.7109375" style="250" hidden="1" customWidth="1"/>
    <col min="11" max="11" width="17" style="250" customWidth="1"/>
    <col min="12" max="12" width="16.28515625" style="250" hidden="1" customWidth="1"/>
    <col min="13" max="13" width="15.42578125" style="250" hidden="1" customWidth="1"/>
    <col min="14" max="14" width="15.7109375" style="250" customWidth="1"/>
    <col min="15" max="15" width="16" style="250" hidden="1" customWidth="1"/>
    <col min="16" max="16" width="15.42578125" style="250" customWidth="1"/>
    <col min="17" max="17" width="14.28515625" style="250" customWidth="1"/>
    <col min="18" max="18" width="15.5703125" style="250" hidden="1" customWidth="1"/>
    <col min="19" max="19" width="15.42578125" style="250" hidden="1" customWidth="1"/>
    <col min="20" max="21" width="15.5703125" style="250" hidden="1" customWidth="1"/>
    <col min="22" max="22" width="18" style="247" hidden="1" customWidth="1"/>
    <col min="23" max="16384" width="9.140625" style="247"/>
  </cols>
  <sheetData>
    <row r="1" spans="1:22" ht="26.25" customHeight="1">
      <c r="A1" s="3657" t="s">
        <v>4284</v>
      </c>
      <c r="B1" s="3657"/>
      <c r="C1" s="3657"/>
      <c r="D1" s="3657"/>
      <c r="E1" s="3657"/>
      <c r="F1" s="3657"/>
      <c r="G1" s="3657"/>
      <c r="H1" s="3657"/>
      <c r="I1" s="3657"/>
      <c r="J1" s="3657"/>
      <c r="K1" s="3657"/>
      <c r="L1" s="3657"/>
      <c r="M1" s="3657"/>
      <c r="N1" s="3657"/>
      <c r="O1" s="3657"/>
      <c r="P1" s="3657"/>
      <c r="Q1" s="3657"/>
      <c r="R1" s="3546"/>
      <c r="S1" s="3546"/>
      <c r="T1" s="3546"/>
      <c r="U1" s="251"/>
    </row>
    <row r="2" spans="1:22" s="252" customFormat="1" ht="22.5" customHeight="1">
      <c r="A2" s="3658" t="s">
        <v>1844</v>
      </c>
      <c r="B2" s="3658"/>
      <c r="C2" s="3658"/>
      <c r="D2" s="3658"/>
      <c r="E2" s="3658"/>
      <c r="F2" s="3658"/>
      <c r="G2" s="3658"/>
      <c r="H2" s="3658"/>
      <c r="I2" s="3658"/>
      <c r="J2" s="3658"/>
      <c r="K2" s="3658"/>
      <c r="L2" s="3658"/>
      <c r="M2" s="3658"/>
      <c r="N2" s="3658"/>
      <c r="O2" s="3658"/>
      <c r="P2" s="3658"/>
      <c r="Q2" s="3658"/>
      <c r="R2" s="3590"/>
      <c r="S2" s="3590"/>
      <c r="T2" s="3590"/>
      <c r="U2" s="255"/>
    </row>
    <row r="3" spans="1:22" s="252" customFormat="1" ht="15.75" customHeight="1">
      <c r="A3" s="1223"/>
      <c r="B3" s="1479" t="str">
        <f>+'29. mell. Önk.- Bér'!B3</f>
        <v>A</v>
      </c>
      <c r="C3" s="1479">
        <f>+'29. mell. Önk.- Bér'!C3</f>
        <v>0</v>
      </c>
      <c r="D3" s="1479">
        <f>+'29. mell. Önk.- Bér'!D3</f>
        <v>0</v>
      </c>
      <c r="E3" s="1479">
        <f>+'29. mell. Önk.- Bér'!E3</f>
        <v>0</v>
      </c>
      <c r="F3" s="1479">
        <f>+'29. mell. Önk.- Bér'!F3</f>
        <v>0</v>
      </c>
      <c r="G3" s="1479">
        <f>+'29. mell. Önk.- Bér'!G3</f>
        <v>0</v>
      </c>
      <c r="H3" s="1479">
        <f>+'29. mell. Önk.- Bér'!H3</f>
        <v>0</v>
      </c>
      <c r="I3" s="1479" t="str">
        <f>+'29. mell. Önk.- Bér'!I3</f>
        <v>B</v>
      </c>
      <c r="J3" s="1479" t="str">
        <f>+'29. mell. Önk.- Bér'!J3</f>
        <v>B</v>
      </c>
      <c r="K3" s="1479" t="str">
        <f>+'29. mell. Önk.- Bér'!K3</f>
        <v>B</v>
      </c>
      <c r="L3" s="1479" t="str">
        <f>+'29. mell. Önk.- Bér'!L3</f>
        <v>D</v>
      </c>
      <c r="M3" s="1479" t="str">
        <f>+'29. mell. Önk.- Bér'!M3</f>
        <v>E</v>
      </c>
      <c r="N3" s="1479" t="str">
        <f>+'29. mell. Önk.- Bér'!N3</f>
        <v>C</v>
      </c>
      <c r="O3" s="1479" t="str">
        <f>+'29. mell. Önk.- Bér'!O3</f>
        <v>F</v>
      </c>
      <c r="P3" s="1479" t="str">
        <f>+'29. mell. Önk.- Bér'!P3</f>
        <v>D</v>
      </c>
      <c r="Q3" s="1479" t="str">
        <f>+'29. mell. Önk.- Bér'!Q3</f>
        <v>E</v>
      </c>
      <c r="R3" s="1479">
        <f>+'29. mell. Önk.- Bér'!R3</f>
        <v>0</v>
      </c>
      <c r="S3" s="1479" t="str">
        <f>+'29. mell. Önk.- Bér'!S3</f>
        <v>F</v>
      </c>
      <c r="T3" s="1479" t="str">
        <f>+'29. mell. Önk.- Bér'!T3</f>
        <v>G</v>
      </c>
      <c r="U3" s="1479">
        <f>+'29. mell. Önk.- Bér'!U3</f>
        <v>0</v>
      </c>
    </row>
    <row r="4" spans="1:22" ht="70.5" customHeight="1">
      <c r="A4" s="1223" t="s">
        <v>6</v>
      </c>
      <c r="B4" s="1339" t="s">
        <v>1333</v>
      </c>
      <c r="C4" s="1339"/>
      <c r="D4" s="1339"/>
      <c r="E4" s="1339"/>
      <c r="F4" s="1339"/>
      <c r="G4" s="2462" t="s">
        <v>1187</v>
      </c>
      <c r="H4" s="2462" t="s">
        <v>509</v>
      </c>
      <c r="I4" s="1341" t="str">
        <f>+'1. mell.ÖSSZEVONT_MÉRLEG'!C5</f>
        <v>2024. évi eredeti előirányzat
forintban</v>
      </c>
      <c r="J4" s="2572" t="str">
        <f>+'1. mell.ÖSSZEVONT_MÉRLEG'!D5</f>
        <v>2024. évi teljesítés forintban</v>
      </c>
      <c r="K4" s="1341" t="str">
        <f>+'1. mell.ÖSSZEVONT_MÉRLEG'!E5</f>
        <v>2025. évi eredeti előirányzat forintban</v>
      </c>
      <c r="L4" s="1341" t="str">
        <f>+'1. mell.ÖSSZEVONT_MÉRLEG'!F5</f>
        <v>2025. évi I. számú módosított előirányzat
forintban</v>
      </c>
      <c r="M4" s="2546" t="str">
        <f>+'1. mell.ÖSSZEVONT_MÉRLEG'!G5</f>
        <v>2025. évi II. számú módosított előirányzat forintban</v>
      </c>
      <c r="N4" s="2546" t="str">
        <f>+'1. mell.ÖSSZEVONT_MÉRLEG'!H5</f>
        <v>2025. évi III. számú módosított előirányzat forintban</v>
      </c>
      <c r="O4" s="2546" t="str">
        <f>+'1. mell.ÖSSZEVONT_MÉRLEG'!I5</f>
        <v>2025. évi IV. számú módosított előirányzat forintban</v>
      </c>
      <c r="P4" s="3225" t="str">
        <f>+'1. mell.ÖSSZEVONT_MÉRLEG'!J5</f>
        <v>2025. évi
teljesítés forintban</v>
      </c>
      <c r="Q4" s="2546" t="str">
        <f>+'1. mell.ÖSSZEVONT_MÉRLEG'!K5</f>
        <v xml:space="preserve"> 2025. évi teljesítés / 2025. évi III. számú módosított előirányzat</v>
      </c>
      <c r="R4" s="2546" t="str">
        <f>+'1. mell.ÖSSZEVONT_MÉRLEG'!L5</f>
        <v>Változás I. módosításnál</v>
      </c>
      <c r="S4" s="2546" t="str">
        <f>+'1. mell.ÖSSZEVONT_MÉRLEG'!M5</f>
        <v>Előirányzat-módosítások, előirányzat-átcsoportosítások összegszerű változásai</v>
      </c>
      <c r="T4" s="1361" t="str">
        <f>+'1. mell.ÖSSZEVONT_MÉRLEG'!N5</f>
        <v>Előirányzat-módosítások, előirányzat-átcsoportosítások összegszerű változásai a III. módosításnál</v>
      </c>
      <c r="U4" s="256" t="s">
        <v>175</v>
      </c>
      <c r="V4" s="612" t="s">
        <v>3984</v>
      </c>
    </row>
    <row r="5" spans="1:22" hidden="1">
      <c r="A5" s="1223">
        <f>+'29. mell. Önk.- Bér'!A5</f>
        <v>1</v>
      </c>
      <c r="B5" s="1223">
        <f>+'29. mell. Önk.- Bér'!B5</f>
        <v>2</v>
      </c>
      <c r="C5" s="1223">
        <f>+'29. mell. Önk.- Bér'!C5</f>
        <v>0</v>
      </c>
      <c r="D5" s="1223">
        <f>+'29. mell. Önk.- Bér'!D5</f>
        <v>0</v>
      </c>
      <c r="E5" s="1223">
        <f>+'29. mell. Önk.- Bér'!E5</f>
        <v>0</v>
      </c>
      <c r="F5" s="1223">
        <f>+'29. mell. Önk.- Bér'!F5</f>
        <v>0</v>
      </c>
      <c r="G5" s="1223">
        <f>+'29. mell. Önk.- Bér'!G5</f>
        <v>0</v>
      </c>
      <c r="H5" s="1223">
        <f>+'29. mell. Önk.- Bér'!H5</f>
        <v>0</v>
      </c>
      <c r="I5" s="1223">
        <f>+'29. mell. Önk.- Bér'!I5</f>
        <v>3</v>
      </c>
      <c r="J5" s="2597">
        <f>+'29. mell. Önk.- Bér'!J5</f>
        <v>0</v>
      </c>
      <c r="K5" s="1223">
        <f>+'29. mell. Önk.- Bér'!K5</f>
        <v>3</v>
      </c>
      <c r="L5" s="1223">
        <f>+'29. mell. Önk.- Bér'!L5</f>
        <v>4</v>
      </c>
      <c r="M5" s="1223">
        <f>+'29. mell. Önk.- Bér'!M5</f>
        <v>5</v>
      </c>
      <c r="N5" s="1223">
        <f>+'29. mell. Önk.- Bér'!N5</f>
        <v>6</v>
      </c>
      <c r="O5" s="1223">
        <f>+'29. mell. Önk.- Bér'!O5</f>
        <v>7</v>
      </c>
      <c r="P5" s="1223">
        <f>+'29. mell. Önk.- Bér'!P5</f>
        <v>0</v>
      </c>
      <c r="Q5" s="1223">
        <f>+'29. mell. Önk.- Bér'!Q5</f>
        <v>5</v>
      </c>
      <c r="R5" s="613"/>
      <c r="S5" s="259"/>
      <c r="T5" s="259"/>
      <c r="U5" s="259"/>
      <c r="V5" s="259"/>
    </row>
    <row r="6" spans="1:22" hidden="1">
      <c r="A6" s="1223" t="s">
        <v>6</v>
      </c>
      <c r="B6" s="1223" t="s">
        <v>1436</v>
      </c>
      <c r="C6" s="1223"/>
      <c r="D6" s="1223"/>
      <c r="E6" s="1223"/>
      <c r="F6" s="1223"/>
      <c r="G6" s="1223"/>
      <c r="H6" s="2463"/>
      <c r="I6" s="2463"/>
      <c r="J6" s="2598"/>
      <c r="K6" s="2463"/>
      <c r="L6" s="2463"/>
      <c r="M6" s="2463"/>
      <c r="N6" s="2463"/>
      <c r="O6" s="2463"/>
      <c r="P6" s="2464"/>
      <c r="Q6" s="2463"/>
      <c r="R6" s="2461"/>
      <c r="S6" s="260"/>
      <c r="T6" s="260"/>
      <c r="U6" s="260"/>
      <c r="V6" s="602"/>
    </row>
    <row r="7" spans="1:22">
      <c r="A7" s="1223" t="s">
        <v>12</v>
      </c>
      <c r="B7" s="2465" t="s">
        <v>1437</v>
      </c>
      <c r="C7" s="2465"/>
      <c r="D7" s="2465"/>
      <c r="E7" s="2465"/>
      <c r="F7" s="2465"/>
      <c r="G7" s="2465"/>
      <c r="H7" s="1340" t="s">
        <v>1438</v>
      </c>
      <c r="I7" s="1225">
        <f>+'ÖNK.-Dologi (alábontás)nemrésze'!I7</f>
        <v>0</v>
      </c>
      <c r="J7" s="2599">
        <f>+'ÖNK.-Dologi (alábontás)nemrésze'!J7</f>
        <v>0</v>
      </c>
      <c r="K7" s="1225">
        <f>+'ÖNK.-Dologi (alábontás)nemrésze'!K7</f>
        <v>0</v>
      </c>
      <c r="L7" s="1225">
        <f>+'ÖNK.-Dologi (alábontás)nemrésze'!L7</f>
        <v>0</v>
      </c>
      <c r="M7" s="1225">
        <f>+'ÖNK.-Dologi (alábontás)nemrésze'!M7</f>
        <v>0</v>
      </c>
      <c r="N7" s="1225">
        <f>+'ÖNK.-Dologi (alábontás)nemrésze'!N7</f>
        <v>0</v>
      </c>
      <c r="O7" s="1225">
        <f>+'ÖNK.-Dologi (alábontás)nemrésze'!O7</f>
        <v>0</v>
      </c>
      <c r="P7" s="2466">
        <f>+'ÖNK.-Dologi (alábontás)nemrésze'!P7</f>
        <v>0</v>
      </c>
      <c r="Q7" s="1342"/>
      <c r="R7" s="1220">
        <f t="shared" ref="R7:R79" si="0">+L7-K7</f>
        <v>0</v>
      </c>
      <c r="S7" s="275">
        <f t="shared" ref="S7:S79" si="1">+M7-L7</f>
        <v>0</v>
      </c>
      <c r="T7" s="275">
        <f t="shared" ref="T7:T79" si="2">+N7-M7</f>
        <v>0</v>
      </c>
      <c r="U7" s="275">
        <f t="shared" ref="U7:U79" si="3">+O7-N7</f>
        <v>0</v>
      </c>
      <c r="V7" s="604">
        <f>+N7-P7</f>
        <v>0</v>
      </c>
    </row>
    <row r="8" spans="1:22">
      <c r="A8" s="1223" t="s">
        <v>14</v>
      </c>
      <c r="B8" s="2465" t="s">
        <v>1439</v>
      </c>
      <c r="C8" s="2465"/>
      <c r="D8" s="2465"/>
      <c r="E8" s="2465"/>
      <c r="F8" s="2465"/>
      <c r="G8" s="2465"/>
      <c r="H8" s="1340" t="s">
        <v>1440</v>
      </c>
      <c r="I8" s="1225">
        <f>+'ÖNK.-Dologi (alábontás)nemrésze'!I8</f>
        <v>0</v>
      </c>
      <c r="J8" s="2599">
        <f>+'ÖNK.-Dologi (alábontás)nemrésze'!J8</f>
        <v>0</v>
      </c>
      <c r="K8" s="1225">
        <f>+'ÖNK.-Dologi (alábontás)nemrésze'!K8</f>
        <v>0</v>
      </c>
      <c r="L8" s="1225">
        <f>+'ÖNK.-Dologi (alábontás)nemrésze'!L8</f>
        <v>0</v>
      </c>
      <c r="M8" s="1225">
        <f>+'ÖNK.-Dologi (alábontás)nemrésze'!M8</f>
        <v>0</v>
      </c>
      <c r="N8" s="1225">
        <f>+'ÖNK.-Dologi (alábontás)nemrésze'!N8</f>
        <v>0</v>
      </c>
      <c r="O8" s="1225">
        <f>+'ÖNK.-Dologi (alábontás)nemrésze'!O8</f>
        <v>0</v>
      </c>
      <c r="P8" s="2466">
        <f>+'ÖNK.-Dologi (alábontás)nemrésze'!P8</f>
        <v>0</v>
      </c>
      <c r="Q8" s="1342"/>
      <c r="R8" s="1220">
        <f t="shared" si="0"/>
        <v>0</v>
      </c>
      <c r="S8" s="275">
        <f t="shared" si="1"/>
        <v>0</v>
      </c>
      <c r="T8" s="275">
        <f t="shared" si="2"/>
        <v>0</v>
      </c>
      <c r="U8" s="275">
        <f t="shared" si="3"/>
        <v>0</v>
      </c>
      <c r="V8" s="604">
        <f t="shared" ref="V8:V71" si="4">+N8-P8</f>
        <v>0</v>
      </c>
    </row>
    <row r="9" spans="1:22">
      <c r="A9" s="1223" t="s">
        <v>15</v>
      </c>
      <c r="B9" s="2465" t="s">
        <v>1441</v>
      </c>
      <c r="C9" s="2465"/>
      <c r="D9" s="2465"/>
      <c r="E9" s="2465"/>
      <c r="F9" s="2465"/>
      <c r="G9" s="2465"/>
      <c r="H9" s="1340" t="s">
        <v>1442</v>
      </c>
      <c r="I9" s="1225">
        <f>+'ÖNK.-Dologi (alábontás)nemrésze'!I9</f>
        <v>0</v>
      </c>
      <c r="J9" s="2599">
        <f>+'ÖNK.-Dologi (alábontás)nemrésze'!J9</f>
        <v>0</v>
      </c>
      <c r="K9" s="1225">
        <f>+'ÖNK.-Dologi (alábontás)nemrésze'!K9</f>
        <v>0</v>
      </c>
      <c r="L9" s="1225">
        <f>+'ÖNK.-Dologi (alábontás)nemrésze'!L9</f>
        <v>0</v>
      </c>
      <c r="M9" s="1225">
        <f>+'ÖNK.-Dologi (alábontás)nemrésze'!M9</f>
        <v>0</v>
      </c>
      <c r="N9" s="1225">
        <f>+'ÖNK.-Dologi (alábontás)nemrésze'!N9</f>
        <v>0</v>
      </c>
      <c r="O9" s="1225">
        <f>+'ÖNK.-Dologi (alábontás)nemrésze'!O9</f>
        <v>0</v>
      </c>
      <c r="P9" s="2466">
        <f>+'ÖNK.-Dologi (alábontás)nemrésze'!P9</f>
        <v>0</v>
      </c>
      <c r="Q9" s="1342"/>
      <c r="R9" s="1220">
        <f t="shared" si="0"/>
        <v>0</v>
      </c>
      <c r="S9" s="275">
        <f t="shared" si="1"/>
        <v>0</v>
      </c>
      <c r="T9" s="275">
        <f t="shared" si="2"/>
        <v>0</v>
      </c>
      <c r="U9" s="275">
        <f t="shared" si="3"/>
        <v>0</v>
      </c>
      <c r="V9" s="604">
        <f t="shared" si="4"/>
        <v>0</v>
      </c>
    </row>
    <row r="10" spans="1:22">
      <c r="A10" s="1223" t="s">
        <v>17</v>
      </c>
      <c r="B10" s="2465" t="s">
        <v>1443</v>
      </c>
      <c r="C10" s="2465"/>
      <c r="D10" s="2465"/>
      <c r="E10" s="2465"/>
      <c r="F10" s="2465"/>
      <c r="G10" s="2465"/>
      <c r="H10" s="1340" t="s">
        <v>1444</v>
      </c>
      <c r="I10" s="1225">
        <f>+'ÖNK.-Dologi (alábontás)nemrésze'!I10</f>
        <v>0</v>
      </c>
      <c r="J10" s="2599">
        <f>+'ÖNK.-Dologi (alábontás)nemrésze'!J10</f>
        <v>0</v>
      </c>
      <c r="K10" s="1225">
        <f>+'ÖNK.-Dologi (alábontás)nemrésze'!K10</f>
        <v>0</v>
      </c>
      <c r="L10" s="1225">
        <f>+'ÖNK.-Dologi (alábontás)nemrésze'!L10</f>
        <v>0</v>
      </c>
      <c r="M10" s="1225">
        <f>+'ÖNK.-Dologi (alábontás)nemrésze'!M10</f>
        <v>0</v>
      </c>
      <c r="N10" s="1225">
        <f>+'ÖNK.-Dologi (alábontás)nemrésze'!N10</f>
        <v>0</v>
      </c>
      <c r="O10" s="1225">
        <f>+'ÖNK.-Dologi (alábontás)nemrésze'!O10</f>
        <v>0</v>
      </c>
      <c r="P10" s="2466">
        <f>+'ÖNK.-Dologi (alábontás)nemrésze'!P10</f>
        <v>0</v>
      </c>
      <c r="Q10" s="1342"/>
      <c r="R10" s="1220">
        <f t="shared" si="0"/>
        <v>0</v>
      </c>
      <c r="S10" s="275">
        <f t="shared" si="1"/>
        <v>0</v>
      </c>
      <c r="T10" s="275">
        <f t="shared" si="2"/>
        <v>0</v>
      </c>
      <c r="U10" s="275">
        <f t="shared" si="3"/>
        <v>0</v>
      </c>
      <c r="V10" s="604">
        <f t="shared" si="4"/>
        <v>0</v>
      </c>
    </row>
    <row r="11" spans="1:22">
      <c r="A11" s="1223" t="s">
        <v>19</v>
      </c>
      <c r="B11" s="2465" t="s">
        <v>1445</v>
      </c>
      <c r="C11" s="2465"/>
      <c r="D11" s="2465"/>
      <c r="E11" s="2465"/>
      <c r="F11" s="2465"/>
      <c r="G11" s="2465"/>
      <c r="H11" s="1340" t="s">
        <v>1446</v>
      </c>
      <c r="I11" s="1225">
        <f>+'ÖNK.-Dologi (alábontás)nemrésze'!I11</f>
        <v>0</v>
      </c>
      <c r="J11" s="2599">
        <f>+'ÖNK.-Dologi (alábontás)nemrésze'!J11</f>
        <v>0</v>
      </c>
      <c r="K11" s="1225">
        <f>+'ÖNK.-Dologi (alábontás)nemrésze'!K11</f>
        <v>0</v>
      </c>
      <c r="L11" s="1225">
        <f>+'ÖNK.-Dologi (alábontás)nemrésze'!L11</f>
        <v>0</v>
      </c>
      <c r="M11" s="1225">
        <f>+'ÖNK.-Dologi (alábontás)nemrésze'!M11</f>
        <v>0</v>
      </c>
      <c r="N11" s="1225">
        <f>+'ÖNK.-Dologi (alábontás)nemrésze'!N11</f>
        <v>0</v>
      </c>
      <c r="O11" s="1225">
        <f>+'ÖNK.-Dologi (alábontás)nemrésze'!O11</f>
        <v>0</v>
      </c>
      <c r="P11" s="2466">
        <f>+'ÖNK.-Dologi (alábontás)nemrésze'!P11</f>
        <v>0</v>
      </c>
      <c r="Q11" s="1342"/>
      <c r="R11" s="1220">
        <f t="shared" si="0"/>
        <v>0</v>
      </c>
      <c r="S11" s="275">
        <f t="shared" si="1"/>
        <v>0</v>
      </c>
      <c r="T11" s="275">
        <f t="shared" si="2"/>
        <v>0</v>
      </c>
      <c r="U11" s="275">
        <f t="shared" si="3"/>
        <v>0</v>
      </c>
      <c r="V11" s="604">
        <f t="shared" si="4"/>
        <v>0</v>
      </c>
    </row>
    <row r="12" spans="1:22">
      <c r="A12" s="1223" t="s">
        <v>21</v>
      </c>
      <c r="B12" s="2465" t="s">
        <v>83</v>
      </c>
      <c r="C12" s="2465"/>
      <c r="D12" s="2465"/>
      <c r="E12" s="2465"/>
      <c r="F12" s="2465"/>
      <c r="G12" s="2465"/>
      <c r="H12" s="1340" t="s">
        <v>1447</v>
      </c>
      <c r="I12" s="1225">
        <f>+'ÖNK.-Dologi (alábontás)nemrésze'!I12</f>
        <v>1500000</v>
      </c>
      <c r="J12" s="2599">
        <f>+'ÖNK.-Dologi (alábontás)nemrésze'!J12</f>
        <v>741655</v>
      </c>
      <c r="K12" s="1225">
        <f>+'ÖNK.-Dologi (alábontás)nemrésze'!K12</f>
        <v>1000000</v>
      </c>
      <c r="L12" s="1225">
        <f>+'ÖNK.-Dologi (alábontás)nemrésze'!L12</f>
        <v>1000000</v>
      </c>
      <c r="M12" s="1225">
        <f>+'ÖNK.-Dologi (alábontás)nemrésze'!M12</f>
        <v>1000000</v>
      </c>
      <c r="N12" s="1225">
        <f>+'ÖNK.-Dologi (alábontás)nemrésze'!N12</f>
        <v>1000000</v>
      </c>
      <c r="O12" s="1225">
        <f>+'ÖNK.-Dologi (alábontás)nemrésze'!O12</f>
        <v>1000000</v>
      </c>
      <c r="P12" s="2466">
        <f>+'ÖNK.-Dologi (alábontás)nemrésze'!P12</f>
        <v>838524</v>
      </c>
      <c r="Q12" s="1342">
        <f>+P12/N12</f>
        <v>0.83852400000000005</v>
      </c>
      <c r="R12" s="1220">
        <f t="shared" si="0"/>
        <v>0</v>
      </c>
      <c r="S12" s="275">
        <f t="shared" si="1"/>
        <v>0</v>
      </c>
      <c r="T12" s="275">
        <f t="shared" si="2"/>
        <v>0</v>
      </c>
      <c r="U12" s="275">
        <f t="shared" si="3"/>
        <v>0</v>
      </c>
      <c r="V12" s="604">
        <f t="shared" si="4"/>
        <v>161476</v>
      </c>
    </row>
    <row r="13" spans="1:22">
      <c r="A13" s="1223" t="s">
        <v>23</v>
      </c>
      <c r="B13" s="2467" t="s">
        <v>1448</v>
      </c>
      <c r="C13" s="2467"/>
      <c r="D13" s="2467"/>
      <c r="E13" s="2467"/>
      <c r="F13" s="2467"/>
      <c r="G13" s="2467"/>
      <c r="H13" s="2463" t="s">
        <v>1449</v>
      </c>
      <c r="I13" s="1226">
        <f t="shared" ref="I13:P13" si="5">SUM(I7:I12)</f>
        <v>1500000</v>
      </c>
      <c r="J13" s="2600">
        <f t="shared" si="5"/>
        <v>741655</v>
      </c>
      <c r="K13" s="1226">
        <f t="shared" si="5"/>
        <v>1000000</v>
      </c>
      <c r="L13" s="1226">
        <f t="shared" si="5"/>
        <v>1000000</v>
      </c>
      <c r="M13" s="1226">
        <f t="shared" si="5"/>
        <v>1000000</v>
      </c>
      <c r="N13" s="1226">
        <f t="shared" si="5"/>
        <v>1000000</v>
      </c>
      <c r="O13" s="1226">
        <f t="shared" si="5"/>
        <v>1000000</v>
      </c>
      <c r="P13" s="2468">
        <f t="shared" si="5"/>
        <v>838524</v>
      </c>
      <c r="Q13" s="1348">
        <f>+P13/N13</f>
        <v>0.83852400000000005</v>
      </c>
      <c r="R13" s="1221">
        <f t="shared" si="0"/>
        <v>0</v>
      </c>
      <c r="S13" s="265">
        <f t="shared" si="1"/>
        <v>0</v>
      </c>
      <c r="T13" s="265">
        <f t="shared" si="2"/>
        <v>0</v>
      </c>
      <c r="U13" s="265">
        <f t="shared" si="3"/>
        <v>0</v>
      </c>
      <c r="V13" s="609">
        <f t="shared" si="4"/>
        <v>161476</v>
      </c>
    </row>
    <row r="14" spans="1:22">
      <c r="A14" s="1223" t="s">
        <v>25</v>
      </c>
      <c r="B14" s="2465" t="s">
        <v>1450</v>
      </c>
      <c r="C14" s="2465"/>
      <c r="D14" s="2465"/>
      <c r="E14" s="2465"/>
      <c r="F14" s="2465"/>
      <c r="G14" s="2465"/>
      <c r="H14" s="1340" t="s">
        <v>1451</v>
      </c>
      <c r="I14" s="1225">
        <f>+'ÖNK.-Dologi (alábontás)nemrésze'!I14</f>
        <v>0</v>
      </c>
      <c r="J14" s="2599">
        <f>+'ÖNK.-Dologi (alábontás)nemrésze'!J14</f>
        <v>0</v>
      </c>
      <c r="K14" s="1225">
        <f>+'ÖNK.-Dologi (alábontás)nemrésze'!K14</f>
        <v>0</v>
      </c>
      <c r="L14" s="1225">
        <f>+'ÖNK.-Dologi (alábontás)nemrésze'!L14</f>
        <v>0</v>
      </c>
      <c r="M14" s="1225">
        <f>+'ÖNK.-Dologi (alábontás)nemrésze'!M14</f>
        <v>0</v>
      </c>
      <c r="N14" s="1225">
        <f>+'ÖNK.-Dologi (alábontás)nemrésze'!N14</f>
        <v>0</v>
      </c>
      <c r="O14" s="1225">
        <f>+'ÖNK.-Dologi (alábontás)nemrésze'!O14</f>
        <v>0</v>
      </c>
      <c r="P14" s="2466">
        <f>+'ÖNK.-Dologi (alábontás)nemrésze'!P14</f>
        <v>0</v>
      </c>
      <c r="Q14" s="1342"/>
      <c r="R14" s="1220">
        <f t="shared" si="0"/>
        <v>0</v>
      </c>
      <c r="S14" s="275">
        <f t="shared" si="1"/>
        <v>0</v>
      </c>
      <c r="T14" s="275">
        <f t="shared" si="2"/>
        <v>0</v>
      </c>
      <c r="U14" s="275">
        <f t="shared" si="3"/>
        <v>0</v>
      </c>
      <c r="V14" s="604">
        <f t="shared" si="4"/>
        <v>0</v>
      </c>
    </row>
    <row r="15" spans="1:22">
      <c r="A15" s="1223" t="s">
        <v>27</v>
      </c>
      <c r="B15" s="2465" t="s">
        <v>1452</v>
      </c>
      <c r="C15" s="2465"/>
      <c r="D15" s="2465"/>
      <c r="E15" s="2465"/>
      <c r="F15" s="2465"/>
      <c r="G15" s="2465"/>
      <c r="H15" s="1340" t="s">
        <v>1453</v>
      </c>
      <c r="I15" s="1225">
        <f>+'ÖNK.-Dologi (alábontás)nemrésze'!I15</f>
        <v>0</v>
      </c>
      <c r="J15" s="2599">
        <f>+'ÖNK.-Dologi (alábontás)nemrésze'!J15</f>
        <v>0</v>
      </c>
      <c r="K15" s="1225">
        <f>+'ÖNK.-Dologi (alábontás)nemrésze'!K15</f>
        <v>0</v>
      </c>
      <c r="L15" s="1225">
        <f>+'ÖNK.-Dologi (alábontás)nemrésze'!L15</f>
        <v>0</v>
      </c>
      <c r="M15" s="1225">
        <f>+'ÖNK.-Dologi (alábontás)nemrésze'!M15</f>
        <v>0</v>
      </c>
      <c r="N15" s="1225">
        <f>+'ÖNK.-Dologi (alábontás)nemrésze'!N15</f>
        <v>0</v>
      </c>
      <c r="O15" s="1225">
        <f>+'ÖNK.-Dologi (alábontás)nemrésze'!O15</f>
        <v>0</v>
      </c>
      <c r="P15" s="2466">
        <f>+'ÖNK.-Dologi (alábontás)nemrésze'!P15</f>
        <v>0</v>
      </c>
      <c r="Q15" s="1342"/>
      <c r="R15" s="1220">
        <f t="shared" si="0"/>
        <v>0</v>
      </c>
      <c r="S15" s="275">
        <f t="shared" si="1"/>
        <v>0</v>
      </c>
      <c r="T15" s="275">
        <f t="shared" si="2"/>
        <v>0</v>
      </c>
      <c r="U15" s="275">
        <f t="shared" si="3"/>
        <v>0</v>
      </c>
      <c r="V15" s="604">
        <f t="shared" si="4"/>
        <v>0</v>
      </c>
    </row>
    <row r="16" spans="1:22">
      <c r="A16" s="1223" t="s">
        <v>29</v>
      </c>
      <c r="B16" s="2465" t="s">
        <v>1845</v>
      </c>
      <c r="C16" s="2465"/>
      <c r="D16" s="2465"/>
      <c r="E16" s="2465"/>
      <c r="F16" s="2465"/>
      <c r="G16" s="2465"/>
      <c r="H16" s="1340" t="s">
        <v>1455</v>
      </c>
      <c r="I16" s="1225">
        <f>+'ÖNK.-Dologi (alábontás)nemrésze'!I16</f>
        <v>0</v>
      </c>
      <c r="J16" s="2599">
        <f>+'ÖNK.-Dologi (alábontás)nemrésze'!J16</f>
        <v>0</v>
      </c>
      <c r="K16" s="1225">
        <f>+'ÖNK.-Dologi (alábontás)nemrésze'!K16</f>
        <v>0</v>
      </c>
      <c r="L16" s="1225">
        <f>+'ÖNK.-Dologi (alábontás)nemrésze'!L16</f>
        <v>0</v>
      </c>
      <c r="M16" s="1225">
        <f>+'ÖNK.-Dologi (alábontás)nemrésze'!M16</f>
        <v>0</v>
      </c>
      <c r="N16" s="1225">
        <f>+'ÖNK.-Dologi (alábontás)nemrésze'!N16</f>
        <v>0</v>
      </c>
      <c r="O16" s="1225">
        <f>+'ÖNK.-Dologi (alábontás)nemrésze'!O16</f>
        <v>0</v>
      </c>
      <c r="P16" s="2466">
        <f>+'ÖNK.-Dologi (alábontás)nemrésze'!P16</f>
        <v>0</v>
      </c>
      <c r="Q16" s="1342"/>
      <c r="R16" s="1220">
        <f t="shared" si="0"/>
        <v>0</v>
      </c>
      <c r="S16" s="275">
        <f t="shared" si="1"/>
        <v>0</v>
      </c>
      <c r="T16" s="275">
        <f t="shared" si="2"/>
        <v>0</v>
      </c>
      <c r="U16" s="275">
        <f t="shared" si="3"/>
        <v>0</v>
      </c>
      <c r="V16" s="604">
        <f t="shared" si="4"/>
        <v>0</v>
      </c>
    </row>
    <row r="17" spans="1:22">
      <c r="A17" s="1223" t="s">
        <v>31</v>
      </c>
      <c r="B17" s="2465" t="s">
        <v>1456</v>
      </c>
      <c r="C17" s="2465"/>
      <c r="D17" s="2465"/>
      <c r="E17" s="2465"/>
      <c r="F17" s="2465"/>
      <c r="G17" s="2465"/>
      <c r="H17" s="1340" t="s">
        <v>1457</v>
      </c>
      <c r="I17" s="1225">
        <f>+'ÖNK.-Dologi (alábontás)nemrésze'!I17</f>
        <v>0</v>
      </c>
      <c r="J17" s="2599">
        <f>+'ÖNK.-Dologi (alábontás)nemrésze'!J17</f>
        <v>0</v>
      </c>
      <c r="K17" s="1225">
        <f>+'ÖNK.-Dologi (alábontás)nemrésze'!K17</f>
        <v>0</v>
      </c>
      <c r="L17" s="1225">
        <f>+'ÖNK.-Dologi (alábontás)nemrésze'!L17</f>
        <v>0</v>
      </c>
      <c r="M17" s="1225">
        <f>+'ÖNK.-Dologi (alábontás)nemrésze'!M17</f>
        <v>0</v>
      </c>
      <c r="N17" s="1225">
        <f>+'ÖNK.-Dologi (alábontás)nemrésze'!N17</f>
        <v>0</v>
      </c>
      <c r="O17" s="1225">
        <f>+'ÖNK.-Dologi (alábontás)nemrésze'!O17</f>
        <v>0</v>
      </c>
      <c r="P17" s="2466">
        <f>+'ÖNK.-Dologi (alábontás)nemrésze'!P17</f>
        <v>0</v>
      </c>
      <c r="Q17" s="1342"/>
      <c r="R17" s="1220">
        <f t="shared" si="0"/>
        <v>0</v>
      </c>
      <c r="S17" s="275">
        <f t="shared" si="1"/>
        <v>0</v>
      </c>
      <c r="T17" s="275">
        <f t="shared" si="2"/>
        <v>0</v>
      </c>
      <c r="U17" s="275">
        <f t="shared" si="3"/>
        <v>0</v>
      </c>
      <c r="V17" s="604">
        <f t="shared" si="4"/>
        <v>0</v>
      </c>
    </row>
    <row r="18" spans="1:22">
      <c r="A18" s="1223" t="s">
        <v>33</v>
      </c>
      <c r="B18" s="2465" t="s">
        <v>1458</v>
      </c>
      <c r="C18" s="2465"/>
      <c r="D18" s="2465"/>
      <c r="E18" s="2465"/>
      <c r="F18" s="2465"/>
      <c r="G18" s="2465"/>
      <c r="H18" s="1340" t="s">
        <v>1459</v>
      </c>
      <c r="I18" s="1225">
        <f>+'ÖNK.-Dologi (alábontás)nemrésze'!I18</f>
        <v>0</v>
      </c>
      <c r="J18" s="2599">
        <f>+'ÖNK.-Dologi (alábontás)nemrésze'!J18</f>
        <v>0</v>
      </c>
      <c r="K18" s="1225">
        <f>+'ÖNK.-Dologi (alábontás)nemrésze'!K18</f>
        <v>0</v>
      </c>
      <c r="L18" s="1225">
        <f>+'ÖNK.-Dologi (alábontás)nemrésze'!L18</f>
        <v>0</v>
      </c>
      <c r="M18" s="1225">
        <f>+'ÖNK.-Dologi (alábontás)nemrésze'!M18</f>
        <v>0</v>
      </c>
      <c r="N18" s="1225">
        <f>+'ÖNK.-Dologi (alábontás)nemrésze'!N18</f>
        <v>0</v>
      </c>
      <c r="O18" s="1225">
        <f>+'ÖNK.-Dologi (alábontás)nemrésze'!O18</f>
        <v>0</v>
      </c>
      <c r="P18" s="2466">
        <f>+'ÖNK.-Dologi (alábontás)nemrésze'!P18</f>
        <v>0</v>
      </c>
      <c r="Q18" s="1342"/>
      <c r="R18" s="1220">
        <f t="shared" si="0"/>
        <v>0</v>
      </c>
      <c r="S18" s="275">
        <f t="shared" si="1"/>
        <v>0</v>
      </c>
      <c r="T18" s="275">
        <f t="shared" si="2"/>
        <v>0</v>
      </c>
      <c r="U18" s="275">
        <f t="shared" si="3"/>
        <v>0</v>
      </c>
      <c r="V18" s="604">
        <f t="shared" si="4"/>
        <v>0</v>
      </c>
    </row>
    <row r="19" spans="1:22">
      <c r="A19" s="1223" t="s">
        <v>35</v>
      </c>
      <c r="B19" s="2465" t="s">
        <v>1460</v>
      </c>
      <c r="C19" s="2465"/>
      <c r="D19" s="2465"/>
      <c r="E19" s="2465"/>
      <c r="F19" s="2465"/>
      <c r="G19" s="2465"/>
      <c r="H19" s="1340" t="s">
        <v>1461</v>
      </c>
      <c r="I19" s="1225">
        <f>+'ÖNK.-Dologi (alábontás)nemrésze'!I19</f>
        <v>2200000</v>
      </c>
      <c r="J19" s="2599">
        <f>+'ÖNK.-Dologi (alábontás)nemrésze'!J19</f>
        <v>2103957</v>
      </c>
      <c r="K19" s="1225">
        <f>+'ÖNK.-Dologi (alábontás)nemrésze'!K19</f>
        <v>2200000</v>
      </c>
      <c r="L19" s="1225">
        <f>+'ÖNK.-Dologi (alábontás)nemrésze'!L19</f>
        <v>2200000</v>
      </c>
      <c r="M19" s="1225">
        <f>+'ÖNK.-Dologi (alábontás)nemrésze'!M19</f>
        <v>2200000</v>
      </c>
      <c r="N19" s="1225">
        <f>+'ÖNK.-Dologi (alábontás)nemrésze'!N19</f>
        <v>1570000</v>
      </c>
      <c r="O19" s="1225">
        <f>+'ÖNK.-Dologi (alábontás)nemrésze'!O19</f>
        <v>1570000</v>
      </c>
      <c r="P19" s="2466">
        <f>+'ÖNK.-Dologi (alábontás)nemrésze'!P19</f>
        <v>1560138</v>
      </c>
      <c r="Q19" s="1342">
        <f>+P19/N19</f>
        <v>0.99371847133757962</v>
      </c>
      <c r="R19" s="1220">
        <f t="shared" si="0"/>
        <v>0</v>
      </c>
      <c r="S19" s="275">
        <f t="shared" si="1"/>
        <v>0</v>
      </c>
      <c r="T19" s="275">
        <f t="shared" si="2"/>
        <v>-630000</v>
      </c>
      <c r="U19" s="275">
        <f t="shared" si="3"/>
        <v>0</v>
      </c>
      <c r="V19" s="604">
        <f t="shared" si="4"/>
        <v>9862</v>
      </c>
    </row>
    <row r="20" spans="1:22">
      <c r="A20" s="1223" t="s">
        <v>37</v>
      </c>
      <c r="B20" s="2467" t="s">
        <v>1462</v>
      </c>
      <c r="C20" s="2467"/>
      <c r="D20" s="2467"/>
      <c r="E20" s="2467"/>
      <c r="F20" s="2467"/>
      <c r="G20" s="2467"/>
      <c r="H20" s="2463" t="s">
        <v>1463</v>
      </c>
      <c r="I20" s="1226">
        <f t="shared" ref="I20:P20" si="6">SUM(I14:I19)</f>
        <v>2200000</v>
      </c>
      <c r="J20" s="2600">
        <f t="shared" si="6"/>
        <v>2103957</v>
      </c>
      <c r="K20" s="1226">
        <f t="shared" si="6"/>
        <v>2200000</v>
      </c>
      <c r="L20" s="1226">
        <f t="shared" si="6"/>
        <v>2200000</v>
      </c>
      <c r="M20" s="1226">
        <f t="shared" si="6"/>
        <v>2200000</v>
      </c>
      <c r="N20" s="1226">
        <f t="shared" si="6"/>
        <v>1570000</v>
      </c>
      <c r="O20" s="1226">
        <f t="shared" si="6"/>
        <v>1570000</v>
      </c>
      <c r="P20" s="2468">
        <f t="shared" si="6"/>
        <v>1560138</v>
      </c>
      <c r="Q20" s="1348">
        <f>+P20/N20</f>
        <v>0.99371847133757962</v>
      </c>
      <c r="R20" s="1221">
        <f t="shared" si="0"/>
        <v>0</v>
      </c>
      <c r="S20" s="265">
        <f t="shared" si="1"/>
        <v>0</v>
      </c>
      <c r="T20" s="265">
        <f t="shared" si="2"/>
        <v>-630000</v>
      </c>
      <c r="U20" s="265">
        <f t="shared" si="3"/>
        <v>0</v>
      </c>
      <c r="V20" s="609">
        <f t="shared" si="4"/>
        <v>9862</v>
      </c>
    </row>
    <row r="21" spans="1:22">
      <c r="A21" s="1223" t="s">
        <v>39</v>
      </c>
      <c r="B21" s="2465" t="s">
        <v>1464</v>
      </c>
      <c r="C21" s="2465"/>
      <c r="D21" s="2465"/>
      <c r="E21" s="2465"/>
      <c r="F21" s="2465"/>
      <c r="G21" s="2465"/>
      <c r="H21" s="1340" t="s">
        <v>1465</v>
      </c>
      <c r="I21" s="1225">
        <f>+'ÖNK.-Dologi (alábontás)nemrésze'!I21</f>
        <v>0</v>
      </c>
      <c r="J21" s="2599">
        <f>+'ÖNK.-Dologi (alábontás)nemrésze'!J21</f>
        <v>0</v>
      </c>
      <c r="K21" s="1225">
        <f>+'ÖNK.-Dologi (alábontás)nemrésze'!K21</f>
        <v>0</v>
      </c>
      <c r="L21" s="1225">
        <f>+'ÖNK.-Dologi (alábontás)nemrésze'!L21</f>
        <v>0</v>
      </c>
      <c r="M21" s="1225">
        <f>+'ÖNK.-Dologi (alábontás)nemrésze'!M21</f>
        <v>350000</v>
      </c>
      <c r="N21" s="1225">
        <f>+'ÖNK.-Dologi (alábontás)nemrésze'!N21</f>
        <v>350000</v>
      </c>
      <c r="O21" s="1225">
        <f>+'ÖNK.-Dologi (alábontás)nemrésze'!O21</f>
        <v>350000</v>
      </c>
      <c r="P21" s="2466">
        <f>+'ÖNK.-Dologi (alábontás)nemrésze'!P21</f>
        <v>350000</v>
      </c>
      <c r="Q21" s="1342">
        <f>+P21/N21</f>
        <v>1</v>
      </c>
      <c r="R21" s="1220">
        <f t="shared" si="0"/>
        <v>0</v>
      </c>
      <c r="S21" s="275">
        <f t="shared" si="1"/>
        <v>350000</v>
      </c>
      <c r="T21" s="275">
        <f t="shared" si="2"/>
        <v>0</v>
      </c>
      <c r="U21" s="275">
        <f t="shared" si="3"/>
        <v>0</v>
      </c>
      <c r="V21" s="604">
        <f t="shared" si="4"/>
        <v>0</v>
      </c>
    </row>
    <row r="22" spans="1:22">
      <c r="A22" s="1223" t="s">
        <v>41</v>
      </c>
      <c r="B22" s="2465" t="s">
        <v>1466</v>
      </c>
      <c r="C22" s="2465"/>
      <c r="D22" s="2465"/>
      <c r="E22" s="2465"/>
      <c r="F22" s="2465"/>
      <c r="G22" s="2465"/>
      <c r="H22" s="1340" t="s">
        <v>1467</v>
      </c>
      <c r="I22" s="1225">
        <f>+'ÖNK.-Dologi (alábontás)nemrésze'!I22</f>
        <v>0</v>
      </c>
      <c r="J22" s="2599">
        <f>+'ÖNK.-Dologi (alábontás)nemrésze'!J22</f>
        <v>0</v>
      </c>
      <c r="K22" s="1225">
        <f>+'ÖNK.-Dologi (alábontás)nemrésze'!K22</f>
        <v>0</v>
      </c>
      <c r="L22" s="1225">
        <f>+'ÖNK.-Dologi (alábontás)nemrésze'!L22</f>
        <v>0</v>
      </c>
      <c r="M22" s="1225">
        <f>+'ÖNK.-Dologi (alábontás)nemrésze'!M22</f>
        <v>0</v>
      </c>
      <c r="N22" s="1225">
        <f>+'ÖNK.-Dologi (alábontás)nemrésze'!N22</f>
        <v>0</v>
      </c>
      <c r="O22" s="1225">
        <f>+'ÖNK.-Dologi (alábontás)nemrésze'!O22</f>
        <v>0</v>
      </c>
      <c r="P22" s="2466">
        <f>+'ÖNK.-Dologi (alábontás)nemrésze'!P22</f>
        <v>0</v>
      </c>
      <c r="Q22" s="1342"/>
      <c r="R22" s="1220">
        <f t="shared" si="0"/>
        <v>0</v>
      </c>
      <c r="S22" s="275">
        <f t="shared" si="1"/>
        <v>0</v>
      </c>
      <c r="T22" s="275">
        <f t="shared" si="2"/>
        <v>0</v>
      </c>
      <c r="U22" s="275">
        <f t="shared" si="3"/>
        <v>0</v>
      </c>
      <c r="V22" s="604">
        <f t="shared" si="4"/>
        <v>0</v>
      </c>
    </row>
    <row r="23" spans="1:22">
      <c r="A23" s="1223" t="s">
        <v>314</v>
      </c>
      <c r="B23" s="2467" t="s">
        <v>1468</v>
      </c>
      <c r="C23" s="2467"/>
      <c r="D23" s="2467"/>
      <c r="E23" s="2467"/>
      <c r="F23" s="2467"/>
      <c r="G23" s="2467"/>
      <c r="H23" s="2463" t="s">
        <v>1469</v>
      </c>
      <c r="I23" s="1226">
        <f t="shared" ref="I23:P23" si="7">SUM(I21:I22)</f>
        <v>0</v>
      </c>
      <c r="J23" s="2600">
        <f t="shared" si="7"/>
        <v>0</v>
      </c>
      <c r="K23" s="1226">
        <f t="shared" si="7"/>
        <v>0</v>
      </c>
      <c r="L23" s="1226">
        <f t="shared" si="7"/>
        <v>0</v>
      </c>
      <c r="M23" s="1226">
        <f t="shared" si="7"/>
        <v>350000</v>
      </c>
      <c r="N23" s="1226">
        <f t="shared" si="7"/>
        <v>350000</v>
      </c>
      <c r="O23" s="1226">
        <f t="shared" si="7"/>
        <v>350000</v>
      </c>
      <c r="P23" s="2468">
        <f t="shared" si="7"/>
        <v>350000</v>
      </c>
      <c r="Q23" s="1348"/>
      <c r="R23" s="1221">
        <f t="shared" si="0"/>
        <v>0</v>
      </c>
      <c r="S23" s="265">
        <f t="shared" si="1"/>
        <v>350000</v>
      </c>
      <c r="T23" s="265">
        <f t="shared" si="2"/>
        <v>0</v>
      </c>
      <c r="U23" s="265">
        <f t="shared" si="3"/>
        <v>0</v>
      </c>
      <c r="V23" s="609">
        <f t="shared" si="4"/>
        <v>0</v>
      </c>
    </row>
    <row r="24" spans="1:22">
      <c r="A24" s="1223" t="s">
        <v>402</v>
      </c>
      <c r="B24" s="2467" t="s">
        <v>1470</v>
      </c>
      <c r="C24" s="2467"/>
      <c r="D24" s="2467"/>
      <c r="E24" s="2467"/>
      <c r="F24" s="2467"/>
      <c r="G24" s="2467"/>
      <c r="H24" s="2463" t="s">
        <v>1471</v>
      </c>
      <c r="I24" s="1226">
        <f t="shared" ref="I24:P24" si="8">+I13+I20+I23</f>
        <v>3700000</v>
      </c>
      <c r="J24" s="2600">
        <f t="shared" si="8"/>
        <v>2845612</v>
      </c>
      <c r="K24" s="1226">
        <f t="shared" si="8"/>
        <v>3200000</v>
      </c>
      <c r="L24" s="1226">
        <f t="shared" si="8"/>
        <v>3200000</v>
      </c>
      <c r="M24" s="1226">
        <f t="shared" si="8"/>
        <v>3550000</v>
      </c>
      <c r="N24" s="1226">
        <f t="shared" si="8"/>
        <v>2920000</v>
      </c>
      <c r="O24" s="1226">
        <f t="shared" si="8"/>
        <v>2920000</v>
      </c>
      <c r="P24" s="2468">
        <f t="shared" si="8"/>
        <v>2748662</v>
      </c>
      <c r="Q24" s="1348">
        <f>+P24/N24</f>
        <v>0.94132260273972601</v>
      </c>
      <c r="R24" s="1221">
        <f t="shared" si="0"/>
        <v>0</v>
      </c>
      <c r="S24" s="265">
        <f t="shared" si="1"/>
        <v>350000</v>
      </c>
      <c r="T24" s="265">
        <f t="shared" si="2"/>
        <v>-630000</v>
      </c>
      <c r="U24" s="265">
        <f t="shared" si="3"/>
        <v>0</v>
      </c>
      <c r="V24" s="609">
        <f t="shared" si="4"/>
        <v>171338</v>
      </c>
    </row>
    <row r="25" spans="1:22">
      <c r="A25" s="1223" t="s">
        <v>404</v>
      </c>
      <c r="B25" s="2465" t="s">
        <v>1472</v>
      </c>
      <c r="C25" s="2465"/>
      <c r="D25" s="2465"/>
      <c r="E25" s="2465"/>
      <c r="F25" s="2465"/>
      <c r="G25" s="2465"/>
      <c r="H25" s="1340" t="s">
        <v>1473</v>
      </c>
      <c r="I25" s="1225">
        <f>+'ÖNK.-Dologi (alábontás)nemrésze'!I25</f>
        <v>0</v>
      </c>
      <c r="J25" s="2599">
        <f>+'ÖNK.-Dologi (alábontás)nemrésze'!J25</f>
        <v>0</v>
      </c>
      <c r="K25" s="1225">
        <f>+'ÖNK.-Dologi (alábontás)nemrésze'!K25</f>
        <v>0</v>
      </c>
      <c r="L25" s="1225">
        <f>+'ÖNK.-Dologi (alábontás)nemrésze'!L25</f>
        <v>0</v>
      </c>
      <c r="M25" s="1225">
        <f>+'ÖNK.-Dologi (alábontás)nemrésze'!M25</f>
        <v>0</v>
      </c>
      <c r="N25" s="1225">
        <f>+'ÖNK.-Dologi (alábontás)nemrésze'!N25</f>
        <v>0</v>
      </c>
      <c r="O25" s="1225">
        <f>+'ÖNK.-Dologi (alábontás)nemrésze'!O25</f>
        <v>0</v>
      </c>
      <c r="P25" s="2466">
        <f>+'ÖNK.-Dologi (alábontás)nemrésze'!P25</f>
        <v>0</v>
      </c>
      <c r="Q25" s="1342"/>
      <c r="R25" s="1220">
        <f t="shared" si="0"/>
        <v>0</v>
      </c>
      <c r="S25" s="275">
        <f t="shared" si="1"/>
        <v>0</v>
      </c>
      <c r="T25" s="275">
        <f t="shared" si="2"/>
        <v>0</v>
      </c>
      <c r="U25" s="275">
        <f t="shared" si="3"/>
        <v>0</v>
      </c>
      <c r="V25" s="604">
        <f t="shared" si="4"/>
        <v>0</v>
      </c>
    </row>
    <row r="26" spans="1:22">
      <c r="A26" s="1223" t="s">
        <v>407</v>
      </c>
      <c r="B26" s="2465" t="s">
        <v>1474</v>
      </c>
      <c r="C26" s="2465"/>
      <c r="D26" s="2465"/>
      <c r="E26" s="2465"/>
      <c r="F26" s="2465"/>
      <c r="G26" s="2465"/>
      <c r="H26" s="1340" t="s">
        <v>1475</v>
      </c>
      <c r="I26" s="1225">
        <f>+'ÖNK.-Dologi (alábontás)nemrésze'!I26</f>
        <v>54313933</v>
      </c>
      <c r="J26" s="2599">
        <f>+'ÖNK.-Dologi (alábontás)nemrésze'!J26</f>
        <v>55666458</v>
      </c>
      <c r="K26" s="1225">
        <f>+'ÖNK.-Dologi (alábontás)nemrésze'!K26</f>
        <v>60000000</v>
      </c>
      <c r="L26" s="1225">
        <f>+'ÖNK.-Dologi (alábontás)nemrésze'!L26</f>
        <v>62565397</v>
      </c>
      <c r="M26" s="1225">
        <f>+'ÖNK.-Dologi (alábontás)nemrésze'!M26</f>
        <v>63865397</v>
      </c>
      <c r="N26" s="1225">
        <f>+'ÖNK.-Dologi (alábontás)nemrésze'!N26</f>
        <v>63865397</v>
      </c>
      <c r="O26" s="1225">
        <f>+'ÖNK.-Dologi (alábontás)nemrésze'!O26</f>
        <v>63865397</v>
      </c>
      <c r="P26" s="2466">
        <f>+'ÖNK.-Dologi (alábontás)nemrésze'!P26</f>
        <v>57991224</v>
      </c>
      <c r="Q26" s="1342">
        <f t="shared" ref="Q26:Q32" si="9">+P26/N26</f>
        <v>0.90802260259965184</v>
      </c>
      <c r="R26" s="1220">
        <f t="shared" si="0"/>
        <v>2565397</v>
      </c>
      <c r="S26" s="275">
        <f t="shared" si="1"/>
        <v>1300000</v>
      </c>
      <c r="T26" s="275">
        <f t="shared" si="2"/>
        <v>0</v>
      </c>
      <c r="U26" s="275">
        <f t="shared" si="3"/>
        <v>0</v>
      </c>
      <c r="V26" s="604">
        <f t="shared" si="4"/>
        <v>5874173</v>
      </c>
    </row>
    <row r="27" spans="1:22">
      <c r="A27" s="1223" t="s">
        <v>409</v>
      </c>
      <c r="B27" s="2465" t="s">
        <v>3309</v>
      </c>
      <c r="C27" s="2465"/>
      <c r="D27" s="2465"/>
      <c r="E27" s="2465"/>
      <c r="F27" s="2465"/>
      <c r="G27" s="2465"/>
      <c r="H27" s="1340" t="s">
        <v>1477</v>
      </c>
      <c r="I27" s="1225">
        <f>+'ÖNK.-Dologi (alábontás)nemrésze'!I27</f>
        <v>2532000</v>
      </c>
      <c r="J27" s="2599">
        <f>+'ÖNK.-Dologi (alábontás)nemrésze'!J27</f>
        <v>1169035</v>
      </c>
      <c r="K27" s="1225">
        <f>+'ÖNK.-Dologi (alábontás)nemrésze'!K27</f>
        <v>3000000</v>
      </c>
      <c r="L27" s="1225">
        <f>+'ÖNK.-Dologi (alábontás)nemrésze'!L27</f>
        <v>3000000</v>
      </c>
      <c r="M27" s="1225">
        <f>+'ÖNK.-Dologi (alábontás)nemrésze'!M27</f>
        <v>3000000</v>
      </c>
      <c r="N27" s="1225">
        <f>+'ÖNK.-Dologi (alábontás)nemrésze'!N27</f>
        <v>3000000</v>
      </c>
      <c r="O27" s="1225">
        <f>+'ÖNK.-Dologi (alábontás)nemrésze'!O27</f>
        <v>3000000</v>
      </c>
      <c r="P27" s="2466">
        <f>+'ÖNK.-Dologi (alábontás)nemrésze'!P27</f>
        <v>0</v>
      </c>
      <c r="Q27" s="1342">
        <f t="shared" si="9"/>
        <v>0</v>
      </c>
      <c r="R27" s="1220">
        <f t="shared" si="0"/>
        <v>0</v>
      </c>
      <c r="S27" s="275">
        <f t="shared" si="1"/>
        <v>0</v>
      </c>
      <c r="T27" s="275">
        <f t="shared" si="2"/>
        <v>0</v>
      </c>
      <c r="U27" s="275">
        <f t="shared" si="3"/>
        <v>0</v>
      </c>
      <c r="V27" s="604">
        <f t="shared" si="4"/>
        <v>3000000</v>
      </c>
    </row>
    <row r="28" spans="1:22">
      <c r="A28" s="1223" t="s">
        <v>410</v>
      </c>
      <c r="B28" s="2465" t="s">
        <v>130</v>
      </c>
      <c r="C28" s="2465"/>
      <c r="D28" s="2465"/>
      <c r="E28" s="2465"/>
      <c r="F28" s="2465"/>
      <c r="G28" s="2465"/>
      <c r="H28" s="1340" t="s">
        <v>1478</v>
      </c>
      <c r="I28" s="1225">
        <f>+'ÖNK.-Dologi (alábontás)nemrésze'!I30</f>
        <v>1000000</v>
      </c>
      <c r="J28" s="2599">
        <f>+'ÖNK.-Dologi (alábontás)nemrésze'!J30</f>
        <v>851639</v>
      </c>
      <c r="K28" s="1225">
        <f>+'ÖNK.-Dologi (alábontás)nemrésze'!K30</f>
        <v>1000000</v>
      </c>
      <c r="L28" s="1225">
        <f>+'ÖNK.-Dologi (alábontás)nemrésze'!L30</f>
        <v>1000000</v>
      </c>
      <c r="M28" s="1225">
        <f>+'ÖNK.-Dologi (alábontás)nemrésze'!M30</f>
        <v>1000000</v>
      </c>
      <c r="N28" s="1225">
        <f>+'ÖNK.-Dologi (alábontás)nemrésze'!N30</f>
        <v>992672</v>
      </c>
      <c r="O28" s="1225">
        <f>+'ÖNK.-Dologi (alábontás)nemrésze'!O30</f>
        <v>992672</v>
      </c>
      <c r="P28" s="2466">
        <f>+'ÖNK.-Dologi (alábontás)nemrésze'!P30</f>
        <v>891742</v>
      </c>
      <c r="Q28" s="1342">
        <f t="shared" si="9"/>
        <v>0.89832492505077211</v>
      </c>
      <c r="R28" s="1220">
        <f t="shared" si="0"/>
        <v>0</v>
      </c>
      <c r="S28" s="275">
        <f t="shared" si="1"/>
        <v>0</v>
      </c>
      <c r="T28" s="275">
        <f t="shared" si="2"/>
        <v>-7328</v>
      </c>
      <c r="U28" s="275">
        <f t="shared" si="3"/>
        <v>0</v>
      </c>
      <c r="V28" s="604">
        <f t="shared" si="4"/>
        <v>100930</v>
      </c>
    </row>
    <row r="29" spans="1:22">
      <c r="A29" s="1223" t="s">
        <v>411</v>
      </c>
      <c r="B29" s="2465" t="s">
        <v>1479</v>
      </c>
      <c r="C29" s="2465"/>
      <c r="D29" s="2465"/>
      <c r="E29" s="2465"/>
      <c r="F29" s="2465"/>
      <c r="G29" s="2465"/>
      <c r="H29" s="1340" t="s">
        <v>1480</v>
      </c>
      <c r="I29" s="1225">
        <f>+'ÖNK.-Dologi (alábontás)nemrésze'!I31</f>
        <v>0</v>
      </c>
      <c r="J29" s="2599">
        <f>+'ÖNK.-Dologi (alábontás)nemrésze'!J31</f>
        <v>629032</v>
      </c>
      <c r="K29" s="1225">
        <f>+'ÖNK.-Dologi (alábontás)nemrésze'!K31</f>
        <v>0</v>
      </c>
      <c r="L29" s="1225">
        <f>+'ÖNK.-Dologi (alábontás)nemrésze'!L31</f>
        <v>0</v>
      </c>
      <c r="M29" s="1225">
        <f>+'ÖNK.-Dologi (alábontás)nemrésze'!M31</f>
        <v>2000000</v>
      </c>
      <c r="N29" s="1225">
        <f>+'ÖNK.-Dologi (alábontás)nemrésze'!N31</f>
        <v>2000000</v>
      </c>
      <c r="O29" s="1225">
        <f>+'ÖNK.-Dologi (alábontás)nemrésze'!O31</f>
        <v>2000000</v>
      </c>
      <c r="P29" s="2466">
        <f>+'ÖNK.-Dologi (alábontás)nemrésze'!P31</f>
        <v>1560000</v>
      </c>
      <c r="Q29" s="1342">
        <f t="shared" si="9"/>
        <v>0.78</v>
      </c>
      <c r="R29" s="1220">
        <f t="shared" si="0"/>
        <v>0</v>
      </c>
      <c r="S29" s="275">
        <f t="shared" si="1"/>
        <v>2000000</v>
      </c>
      <c r="T29" s="275">
        <f t="shared" si="2"/>
        <v>0</v>
      </c>
      <c r="U29" s="275">
        <f t="shared" si="3"/>
        <v>0</v>
      </c>
      <c r="V29" s="604">
        <f t="shared" si="4"/>
        <v>440000</v>
      </c>
    </row>
    <row r="30" spans="1:22">
      <c r="A30" s="1223" t="s">
        <v>412</v>
      </c>
      <c r="B30" s="2465" t="s">
        <v>1481</v>
      </c>
      <c r="C30" s="2465"/>
      <c r="D30" s="2465"/>
      <c r="E30" s="2465"/>
      <c r="F30" s="2465"/>
      <c r="G30" s="2465"/>
      <c r="H30" s="1340" t="s">
        <v>1482</v>
      </c>
      <c r="I30" s="1225">
        <f>+'ÖNK.-Dologi (alábontás)nemrésze'!I32</f>
        <v>3000000</v>
      </c>
      <c r="J30" s="2599">
        <f>+'ÖNK.-Dologi (alábontás)nemrésze'!J32</f>
        <v>2992120</v>
      </c>
      <c r="K30" s="1225">
        <f>+'ÖNK.-Dologi (alábontás)nemrésze'!K32</f>
        <v>2000000</v>
      </c>
      <c r="L30" s="1225">
        <f>+'ÖNK.-Dologi (alábontás)nemrésze'!L32</f>
        <v>2000000</v>
      </c>
      <c r="M30" s="1225">
        <f>+'ÖNK.-Dologi (alábontás)nemrésze'!M32</f>
        <v>2000000</v>
      </c>
      <c r="N30" s="1225">
        <f>+'ÖNK.-Dologi (alábontás)nemrésze'!N32</f>
        <v>1987328</v>
      </c>
      <c r="O30" s="1225">
        <f>+'ÖNK.-Dologi (alábontás)nemrésze'!O32</f>
        <v>1987328</v>
      </c>
      <c r="P30" s="2466">
        <f>+'ÖNK.-Dologi (alábontás)nemrésze'!P32</f>
        <v>1955800</v>
      </c>
      <c r="Q30" s="1342">
        <f t="shared" si="9"/>
        <v>0.98413548241659154</v>
      </c>
      <c r="R30" s="1220">
        <f t="shared" si="0"/>
        <v>0</v>
      </c>
      <c r="S30" s="275">
        <f t="shared" si="1"/>
        <v>0</v>
      </c>
      <c r="T30" s="275">
        <f t="shared" si="2"/>
        <v>-12672</v>
      </c>
      <c r="U30" s="275">
        <f t="shared" si="3"/>
        <v>0</v>
      </c>
      <c r="V30" s="604">
        <f t="shared" si="4"/>
        <v>31528</v>
      </c>
    </row>
    <row r="31" spans="1:22">
      <c r="A31" s="1223" t="s">
        <v>413</v>
      </c>
      <c r="B31" s="2467" t="s">
        <v>1483</v>
      </c>
      <c r="C31" s="2467"/>
      <c r="D31" s="2467"/>
      <c r="E31" s="2467"/>
      <c r="F31" s="2467"/>
      <c r="G31" s="2467"/>
      <c r="H31" s="2463" t="s">
        <v>1484</v>
      </c>
      <c r="I31" s="1226">
        <f t="shared" ref="I31:P31" si="10">SUM(I25:I30)</f>
        <v>60845933</v>
      </c>
      <c r="J31" s="2600">
        <f t="shared" si="10"/>
        <v>61308284</v>
      </c>
      <c r="K31" s="1226">
        <f t="shared" si="10"/>
        <v>66000000</v>
      </c>
      <c r="L31" s="1226">
        <f t="shared" si="10"/>
        <v>68565397</v>
      </c>
      <c r="M31" s="1226">
        <f t="shared" si="10"/>
        <v>71865397</v>
      </c>
      <c r="N31" s="1226">
        <f t="shared" si="10"/>
        <v>71845397</v>
      </c>
      <c r="O31" s="1226">
        <f t="shared" si="10"/>
        <v>71845397</v>
      </c>
      <c r="P31" s="2468">
        <f t="shared" si="10"/>
        <v>62398766</v>
      </c>
      <c r="Q31" s="1348">
        <f t="shared" si="9"/>
        <v>0.86851445750936551</v>
      </c>
      <c r="R31" s="1221">
        <f t="shared" si="0"/>
        <v>2565397</v>
      </c>
      <c r="S31" s="265">
        <f t="shared" si="1"/>
        <v>3300000</v>
      </c>
      <c r="T31" s="265">
        <f t="shared" si="2"/>
        <v>-20000</v>
      </c>
      <c r="U31" s="265">
        <f t="shared" si="3"/>
        <v>0</v>
      </c>
      <c r="V31" s="609">
        <f t="shared" si="4"/>
        <v>9446631</v>
      </c>
    </row>
    <row r="32" spans="1:22">
      <c r="A32" s="1223" t="s">
        <v>417</v>
      </c>
      <c r="B32" s="2465" t="s">
        <v>1485</v>
      </c>
      <c r="C32" s="2465"/>
      <c r="D32" s="2465"/>
      <c r="E32" s="2465"/>
      <c r="F32" s="2465"/>
      <c r="G32" s="2465"/>
      <c r="H32" s="1340" t="s">
        <v>1486</v>
      </c>
      <c r="I32" s="1225">
        <f>+'ÖNK.-Dologi (alábontás)nemrésze'!I34</f>
        <v>0</v>
      </c>
      <c r="J32" s="2599">
        <f>+'ÖNK.-Dologi (alábontás)nemrésze'!J34</f>
        <v>0</v>
      </c>
      <c r="K32" s="1225">
        <f>+'ÖNK.-Dologi (alábontás)nemrésze'!K34</f>
        <v>0</v>
      </c>
      <c r="L32" s="1225">
        <f>+'ÖNK.-Dologi (alábontás)nemrésze'!L34</f>
        <v>0</v>
      </c>
      <c r="M32" s="1225">
        <f>+'ÖNK.-Dologi (alábontás)nemrésze'!M34</f>
        <v>2895</v>
      </c>
      <c r="N32" s="1225">
        <f>+'ÖNK.-Dologi (alábontás)nemrésze'!N34</f>
        <v>2895</v>
      </c>
      <c r="O32" s="1225">
        <f>+'ÖNK.-Dologi (alábontás)nemrésze'!O34</f>
        <v>2895</v>
      </c>
      <c r="P32" s="2466">
        <f>+'ÖNK.-Dologi (alábontás)nemrésze'!P34</f>
        <v>2895</v>
      </c>
      <c r="Q32" s="1342">
        <f t="shared" si="9"/>
        <v>1</v>
      </c>
      <c r="R32" s="1220">
        <f t="shared" si="0"/>
        <v>0</v>
      </c>
      <c r="S32" s="275">
        <f t="shared" si="1"/>
        <v>2895</v>
      </c>
      <c r="T32" s="275">
        <f t="shared" si="2"/>
        <v>0</v>
      </c>
      <c r="U32" s="275">
        <f t="shared" si="3"/>
        <v>0</v>
      </c>
      <c r="V32" s="604">
        <f t="shared" si="4"/>
        <v>0</v>
      </c>
    </row>
    <row r="33" spans="1:22">
      <c r="A33" s="1223" t="s">
        <v>450</v>
      </c>
      <c r="B33" s="2465" t="s">
        <v>1487</v>
      </c>
      <c r="C33" s="2465"/>
      <c r="D33" s="2465"/>
      <c r="E33" s="2465"/>
      <c r="F33" s="2465"/>
      <c r="G33" s="2465"/>
      <c r="H33" s="1340" t="s">
        <v>1488</v>
      </c>
      <c r="I33" s="1225">
        <f>+'ÖNK.-Dologi (alábontás)nemrésze'!I35</f>
        <v>100000</v>
      </c>
      <c r="J33" s="2599">
        <f>+'ÖNK.-Dologi (alábontás)nemrésze'!J35</f>
        <v>67212</v>
      </c>
      <c r="K33" s="1225">
        <f>+'ÖNK.-Dologi (alábontás)nemrésze'!K35</f>
        <v>100000</v>
      </c>
      <c r="L33" s="1225">
        <f>+'ÖNK.-Dologi (alábontás)nemrésze'!L35</f>
        <v>100000</v>
      </c>
      <c r="M33" s="1225">
        <f>+'ÖNK.-Dologi (alábontás)nemrésze'!M35</f>
        <v>97105</v>
      </c>
      <c r="N33" s="1225">
        <f>+'ÖNK.-Dologi (alábontás)nemrésze'!N35</f>
        <v>97105</v>
      </c>
      <c r="O33" s="1225">
        <f>+'ÖNK.-Dologi (alábontás)nemrésze'!O35</f>
        <v>97105</v>
      </c>
      <c r="P33" s="2466">
        <f>+'ÖNK.-Dologi (alábontás)nemrésze'!P35</f>
        <v>79036</v>
      </c>
      <c r="Q33" s="1342">
        <f>+P33/N33</f>
        <v>0.8139230729622573</v>
      </c>
      <c r="R33" s="1220">
        <f t="shared" si="0"/>
        <v>0</v>
      </c>
      <c r="S33" s="275">
        <f t="shared" si="1"/>
        <v>-2895</v>
      </c>
      <c r="T33" s="275">
        <f t="shared" si="2"/>
        <v>0</v>
      </c>
      <c r="U33" s="275">
        <f t="shared" si="3"/>
        <v>0</v>
      </c>
      <c r="V33" s="604">
        <f t="shared" si="4"/>
        <v>18069</v>
      </c>
    </row>
    <row r="34" spans="1:22">
      <c r="A34" s="1223" t="s">
        <v>1379</v>
      </c>
      <c r="B34" s="2467" t="s">
        <v>1489</v>
      </c>
      <c r="C34" s="2467"/>
      <c r="D34" s="2467"/>
      <c r="E34" s="2467"/>
      <c r="F34" s="2467"/>
      <c r="G34" s="2467"/>
      <c r="H34" s="2463" t="s">
        <v>1490</v>
      </c>
      <c r="I34" s="1226">
        <f t="shared" ref="I34:P34" si="11">SUM(I32:I33)</f>
        <v>100000</v>
      </c>
      <c r="J34" s="2600">
        <f t="shared" si="11"/>
        <v>67212</v>
      </c>
      <c r="K34" s="1226">
        <f t="shared" si="11"/>
        <v>100000</v>
      </c>
      <c r="L34" s="1226">
        <f t="shared" si="11"/>
        <v>100000</v>
      </c>
      <c r="M34" s="1226">
        <f t="shared" si="11"/>
        <v>100000</v>
      </c>
      <c r="N34" s="1226">
        <f t="shared" si="11"/>
        <v>100000</v>
      </c>
      <c r="O34" s="1226">
        <f t="shared" si="11"/>
        <v>100000</v>
      </c>
      <c r="P34" s="2468">
        <f t="shared" si="11"/>
        <v>81931</v>
      </c>
      <c r="Q34" s="1348">
        <f>+P34/N34</f>
        <v>0.81930999999999998</v>
      </c>
      <c r="R34" s="1221">
        <f t="shared" si="0"/>
        <v>0</v>
      </c>
      <c r="S34" s="265">
        <f t="shared" si="1"/>
        <v>0</v>
      </c>
      <c r="T34" s="265">
        <f t="shared" si="2"/>
        <v>0</v>
      </c>
      <c r="U34" s="265">
        <f t="shared" si="3"/>
        <v>0</v>
      </c>
      <c r="V34" s="609">
        <f t="shared" si="4"/>
        <v>18069</v>
      </c>
    </row>
    <row r="35" spans="1:22">
      <c r="A35" s="1223" t="s">
        <v>619</v>
      </c>
      <c r="B35" s="2467" t="s">
        <v>1491</v>
      </c>
      <c r="C35" s="2467"/>
      <c r="D35" s="2467"/>
      <c r="E35" s="2467"/>
      <c r="F35" s="2467"/>
      <c r="G35" s="2467"/>
      <c r="H35" s="2463" t="s">
        <v>1492</v>
      </c>
      <c r="I35" s="1226">
        <f t="shared" ref="I35:P35" si="12">+I31+I34</f>
        <v>60945933</v>
      </c>
      <c r="J35" s="2600">
        <f t="shared" si="12"/>
        <v>61375496</v>
      </c>
      <c r="K35" s="1226">
        <f t="shared" si="12"/>
        <v>66100000</v>
      </c>
      <c r="L35" s="1226">
        <f t="shared" si="12"/>
        <v>68665397</v>
      </c>
      <c r="M35" s="1226">
        <f t="shared" si="12"/>
        <v>71965397</v>
      </c>
      <c r="N35" s="1226">
        <f t="shared" si="12"/>
        <v>71945397</v>
      </c>
      <c r="O35" s="1226">
        <f t="shared" si="12"/>
        <v>71945397</v>
      </c>
      <c r="P35" s="2468">
        <f t="shared" si="12"/>
        <v>62480697</v>
      </c>
      <c r="Q35" s="1348">
        <f>+P35/N35</f>
        <v>0.8684460661187261</v>
      </c>
      <c r="R35" s="1221">
        <f t="shared" si="0"/>
        <v>2565397</v>
      </c>
      <c r="S35" s="265">
        <f t="shared" si="1"/>
        <v>3300000</v>
      </c>
      <c r="T35" s="265">
        <f t="shared" si="2"/>
        <v>-20000</v>
      </c>
      <c r="U35" s="265">
        <f t="shared" si="3"/>
        <v>0</v>
      </c>
      <c r="V35" s="609">
        <f t="shared" si="4"/>
        <v>9464700</v>
      </c>
    </row>
    <row r="36" spans="1:22">
      <c r="A36" s="1223" t="s">
        <v>629</v>
      </c>
      <c r="B36" s="2465" t="s">
        <v>1493</v>
      </c>
      <c r="C36" s="2465"/>
      <c r="D36" s="2465"/>
      <c r="E36" s="2465"/>
      <c r="F36" s="2465"/>
      <c r="G36" s="2465"/>
      <c r="H36" s="2462" t="s">
        <v>1494</v>
      </c>
      <c r="I36" s="1225">
        <f>+'ÖNK.-Dologi (alábontás)nemrésze'!I38</f>
        <v>0</v>
      </c>
      <c r="J36" s="2599">
        <f>+'ÖNK.-Dologi (alábontás)nemrésze'!J38</f>
        <v>0</v>
      </c>
      <c r="K36" s="1225">
        <f>+'ÖNK.-Dologi (alábontás)nemrésze'!K38</f>
        <v>0</v>
      </c>
      <c r="L36" s="1225">
        <f>+'ÖNK.-Dologi (alábontás)nemrésze'!L38</f>
        <v>0</v>
      </c>
      <c r="M36" s="1225">
        <f>+'ÖNK.-Dologi (alábontás)nemrésze'!M38</f>
        <v>0</v>
      </c>
      <c r="N36" s="1225">
        <f>+'ÖNK.-Dologi (alábontás)nemrésze'!N38</f>
        <v>0</v>
      </c>
      <c r="O36" s="1225">
        <f>+'ÖNK.-Dologi (alábontás)nemrésze'!O38</f>
        <v>0</v>
      </c>
      <c r="P36" s="2466">
        <f>+'ÖNK.-Dologi (alábontás)nemrésze'!P38</f>
        <v>0</v>
      </c>
      <c r="Q36" s="1342"/>
      <c r="R36" s="1220">
        <f t="shared" si="0"/>
        <v>0</v>
      </c>
      <c r="S36" s="275">
        <f t="shared" si="1"/>
        <v>0</v>
      </c>
      <c r="T36" s="275">
        <f t="shared" si="2"/>
        <v>0</v>
      </c>
      <c r="U36" s="275">
        <f t="shared" si="3"/>
        <v>0</v>
      </c>
      <c r="V36" s="604">
        <f t="shared" si="4"/>
        <v>0</v>
      </c>
    </row>
    <row r="37" spans="1:22">
      <c r="A37" s="1223" t="s">
        <v>636</v>
      </c>
      <c r="B37" s="2465" t="s">
        <v>1495</v>
      </c>
      <c r="C37" s="2465"/>
      <c r="D37" s="2465"/>
      <c r="E37" s="2465"/>
      <c r="F37" s="2465"/>
      <c r="G37" s="2465"/>
      <c r="H37" s="1340" t="s">
        <v>1496</v>
      </c>
      <c r="I37" s="1225">
        <f>+'ÖNK.-Dologi (alábontás)nemrésze'!I39</f>
        <v>100000</v>
      </c>
      <c r="J37" s="2599">
        <f>+'ÖNK.-Dologi (alábontás)nemrésze'!J39</f>
        <v>2692510</v>
      </c>
      <c r="K37" s="1225">
        <f>+'ÖNK.-Dologi (alábontás)nemrésze'!K39</f>
        <v>2700000</v>
      </c>
      <c r="L37" s="1225">
        <f>+'ÖNK.-Dologi (alábontás)nemrésze'!L39</f>
        <v>25700000</v>
      </c>
      <c r="M37" s="1225">
        <f>+'ÖNK.-Dologi (alábontás)nemrésze'!M39</f>
        <v>25700000</v>
      </c>
      <c r="N37" s="1225">
        <f>+'ÖNK.-Dologi (alábontás)nemrésze'!N39</f>
        <v>25700000</v>
      </c>
      <c r="O37" s="1225">
        <f>+'ÖNK.-Dologi (alábontás)nemrésze'!O39</f>
        <v>25700000</v>
      </c>
      <c r="P37" s="2466">
        <f>+'ÖNK.-Dologi (alábontás)nemrésze'!P39</f>
        <v>10754802</v>
      </c>
      <c r="Q37" s="1342">
        <f>+P37/N37</f>
        <v>0.41847478599221788</v>
      </c>
      <c r="R37" s="1220">
        <f t="shared" si="0"/>
        <v>23000000</v>
      </c>
      <c r="S37" s="275">
        <f t="shared" si="1"/>
        <v>0</v>
      </c>
      <c r="T37" s="275">
        <f t="shared" si="2"/>
        <v>0</v>
      </c>
      <c r="U37" s="275">
        <f t="shared" si="3"/>
        <v>0</v>
      </c>
      <c r="V37" s="604">
        <f t="shared" si="4"/>
        <v>14945198</v>
      </c>
    </row>
    <row r="38" spans="1:22">
      <c r="A38" s="1223" t="s">
        <v>638</v>
      </c>
      <c r="B38" s="2465" t="s">
        <v>1846</v>
      </c>
      <c r="C38" s="2465"/>
      <c r="D38" s="2465"/>
      <c r="E38" s="2465"/>
      <c r="F38" s="2465"/>
      <c r="G38" s="2465"/>
      <c r="H38" s="1340" t="s">
        <v>1498</v>
      </c>
      <c r="I38" s="1225">
        <f>+'ÖNK.-Dologi (alábontás)nemrésze'!I40</f>
        <v>0</v>
      </c>
      <c r="J38" s="2599">
        <f>+'ÖNK.-Dologi (alábontás)nemrésze'!J40</f>
        <v>0</v>
      </c>
      <c r="K38" s="1225">
        <f>+'ÖNK.-Dologi (alábontás)nemrésze'!K40</f>
        <v>0</v>
      </c>
      <c r="L38" s="1225">
        <f>+'ÖNK.-Dologi (alábontás)nemrésze'!L40</f>
        <v>0</v>
      </c>
      <c r="M38" s="1225">
        <f>+'ÖNK.-Dologi (alábontás)nemrésze'!M40</f>
        <v>0</v>
      </c>
      <c r="N38" s="1225">
        <f>+'ÖNK.-Dologi (alábontás)nemrésze'!N40</f>
        <v>0</v>
      </c>
      <c r="O38" s="1225">
        <f>+'ÖNK.-Dologi (alábontás)nemrésze'!O40</f>
        <v>0</v>
      </c>
      <c r="P38" s="2466">
        <f>+'ÖNK.-Dologi (alábontás)nemrésze'!P40</f>
        <v>0</v>
      </c>
      <c r="Q38" s="1342"/>
      <c r="R38" s="1220">
        <f t="shared" si="0"/>
        <v>0</v>
      </c>
      <c r="S38" s="275">
        <f t="shared" si="1"/>
        <v>0</v>
      </c>
      <c r="T38" s="275">
        <f t="shared" si="2"/>
        <v>0</v>
      </c>
      <c r="U38" s="275">
        <f t="shared" si="3"/>
        <v>0</v>
      </c>
      <c r="V38" s="604">
        <f t="shared" si="4"/>
        <v>0</v>
      </c>
    </row>
    <row r="39" spans="1:22">
      <c r="A39" s="1223" t="s">
        <v>1389</v>
      </c>
      <c r="B39" s="2467" t="s">
        <v>1847</v>
      </c>
      <c r="C39" s="2467"/>
      <c r="D39" s="2467"/>
      <c r="E39" s="2467"/>
      <c r="F39" s="2467"/>
      <c r="G39" s="2467"/>
      <c r="H39" s="2463" t="s">
        <v>1499</v>
      </c>
      <c r="I39" s="1226">
        <f t="shared" ref="I39:P39" si="13">SUM(I36:I38)</f>
        <v>100000</v>
      </c>
      <c r="J39" s="2600">
        <f t="shared" si="13"/>
        <v>2692510</v>
      </c>
      <c r="K39" s="1226">
        <f t="shared" si="13"/>
        <v>2700000</v>
      </c>
      <c r="L39" s="1226">
        <f t="shared" si="13"/>
        <v>25700000</v>
      </c>
      <c r="M39" s="1226">
        <f t="shared" si="13"/>
        <v>25700000</v>
      </c>
      <c r="N39" s="1226">
        <f t="shared" si="13"/>
        <v>25700000</v>
      </c>
      <c r="O39" s="1226">
        <f t="shared" si="13"/>
        <v>25700000</v>
      </c>
      <c r="P39" s="2468">
        <f t="shared" si="13"/>
        <v>10754802</v>
      </c>
      <c r="Q39" s="1348">
        <f>+P39/N39</f>
        <v>0.41847478599221788</v>
      </c>
      <c r="R39" s="1221">
        <f t="shared" si="0"/>
        <v>23000000</v>
      </c>
      <c r="S39" s="265">
        <f t="shared" si="1"/>
        <v>0</v>
      </c>
      <c r="T39" s="265">
        <f t="shared" si="2"/>
        <v>0</v>
      </c>
      <c r="U39" s="265">
        <f t="shared" si="3"/>
        <v>0</v>
      </c>
      <c r="V39" s="609">
        <f t="shared" si="4"/>
        <v>14945198</v>
      </c>
    </row>
    <row r="40" spans="1:22">
      <c r="A40" s="1223" t="s">
        <v>646</v>
      </c>
      <c r="B40" s="2469" t="s">
        <v>1500</v>
      </c>
      <c r="C40" s="2469"/>
      <c r="D40" s="2469"/>
      <c r="E40" s="2469"/>
      <c r="F40" s="2469"/>
      <c r="G40" s="2469"/>
      <c r="H40" s="2463" t="s">
        <v>1501</v>
      </c>
      <c r="I40" s="1225">
        <f>+'ÖNK.-Dologi (alábontás)nemrésze'!I43</f>
        <v>0</v>
      </c>
      <c r="J40" s="2599">
        <f>+'ÖNK.-Dologi (alábontás)nemrésze'!J43</f>
        <v>0</v>
      </c>
      <c r="K40" s="1225">
        <f>+'ÖNK.-Dologi (alábontás)nemrésze'!K43</f>
        <v>0</v>
      </c>
      <c r="L40" s="1225">
        <f>+'ÖNK.-Dologi (alábontás)nemrésze'!L43</f>
        <v>0</v>
      </c>
      <c r="M40" s="1225">
        <f>+'ÖNK.-Dologi (alábontás)nemrésze'!M43</f>
        <v>0</v>
      </c>
      <c r="N40" s="1225">
        <f>+'ÖNK.-Dologi (alábontás)nemrésze'!N43</f>
        <v>0</v>
      </c>
      <c r="O40" s="1225">
        <f>+'ÖNK.-Dologi (alábontás)nemrésze'!O43</f>
        <v>0</v>
      </c>
      <c r="P40" s="2466">
        <f>+'ÖNK.-Dologi (alábontás)nemrésze'!P43</f>
        <v>0</v>
      </c>
      <c r="Q40" s="1342"/>
      <c r="R40" s="1220">
        <f t="shared" si="0"/>
        <v>0</v>
      </c>
      <c r="S40" s="275">
        <f t="shared" si="1"/>
        <v>0</v>
      </c>
      <c r="T40" s="275">
        <f t="shared" si="2"/>
        <v>0</v>
      </c>
      <c r="U40" s="275">
        <f t="shared" si="3"/>
        <v>0</v>
      </c>
      <c r="V40" s="604">
        <f t="shared" si="4"/>
        <v>0</v>
      </c>
    </row>
    <row r="41" spans="1:22">
      <c r="A41" s="1223" t="s">
        <v>648</v>
      </c>
      <c r="B41" s="2465" t="s">
        <v>1502</v>
      </c>
      <c r="C41" s="2465"/>
      <c r="D41" s="2465"/>
      <c r="E41" s="2465"/>
      <c r="F41" s="2465"/>
      <c r="G41" s="2465"/>
      <c r="H41" s="1340" t="s">
        <v>1848</v>
      </c>
      <c r="I41" s="1225">
        <f>+'ÖNK.-Dologi (alábontás)nemrésze'!I44</f>
        <v>0</v>
      </c>
      <c r="J41" s="2599">
        <f>+'ÖNK.-Dologi (alábontás)nemrésze'!J44</f>
        <v>0</v>
      </c>
      <c r="K41" s="1225">
        <f>+'ÖNK.-Dologi (alábontás)nemrésze'!K44</f>
        <v>460000</v>
      </c>
      <c r="L41" s="1225">
        <f>+'ÖNK.-Dologi (alábontás)nemrésze'!L44</f>
        <v>460000</v>
      </c>
      <c r="M41" s="1225">
        <f>+'ÖNK.-Dologi (alábontás)nemrésze'!M44</f>
        <v>460000</v>
      </c>
      <c r="N41" s="1225">
        <f>+'ÖNK.-Dologi (alábontás)nemrésze'!N44</f>
        <v>460000</v>
      </c>
      <c r="O41" s="1225">
        <f>+'ÖNK.-Dologi (alábontás)nemrésze'!O44</f>
        <v>460000</v>
      </c>
      <c r="P41" s="2466">
        <f>+'ÖNK.-Dologi (alábontás)nemrésze'!P44</f>
        <v>400000</v>
      </c>
      <c r="Q41" s="1342">
        <f>+P41/N41</f>
        <v>0.86956521739130432</v>
      </c>
      <c r="R41" s="1220">
        <f t="shared" si="0"/>
        <v>0</v>
      </c>
      <c r="S41" s="275">
        <f t="shared" si="1"/>
        <v>0</v>
      </c>
      <c r="T41" s="275">
        <f t="shared" si="2"/>
        <v>0</v>
      </c>
      <c r="U41" s="275">
        <f t="shared" si="3"/>
        <v>0</v>
      </c>
      <c r="V41" s="604">
        <f t="shared" si="4"/>
        <v>60000</v>
      </c>
    </row>
    <row r="42" spans="1:22">
      <c r="A42" s="1223" t="s">
        <v>662</v>
      </c>
      <c r="B42" s="2469" t="s">
        <v>1504</v>
      </c>
      <c r="C42" s="2469"/>
      <c r="D42" s="2469"/>
      <c r="E42" s="2469"/>
      <c r="F42" s="2469"/>
      <c r="G42" s="2469"/>
      <c r="H42" s="2470" t="s">
        <v>1505</v>
      </c>
      <c r="I42" s="1226">
        <f t="shared" ref="I42:P42" si="14">SUM(I41)</f>
        <v>0</v>
      </c>
      <c r="J42" s="2600">
        <f t="shared" si="14"/>
        <v>0</v>
      </c>
      <c r="K42" s="1226">
        <f t="shared" si="14"/>
        <v>460000</v>
      </c>
      <c r="L42" s="1226">
        <f t="shared" si="14"/>
        <v>460000</v>
      </c>
      <c r="M42" s="1226">
        <f t="shared" si="14"/>
        <v>460000</v>
      </c>
      <c r="N42" s="1226">
        <f t="shared" si="14"/>
        <v>460000</v>
      </c>
      <c r="O42" s="1226">
        <f t="shared" si="14"/>
        <v>460000</v>
      </c>
      <c r="P42" s="2468">
        <f t="shared" si="14"/>
        <v>400000</v>
      </c>
      <c r="Q42" s="1348">
        <f>+P42/N42</f>
        <v>0.86956521739130432</v>
      </c>
      <c r="R42" s="1221">
        <f t="shared" si="0"/>
        <v>0</v>
      </c>
      <c r="S42" s="265">
        <f t="shared" si="1"/>
        <v>0</v>
      </c>
      <c r="T42" s="265">
        <f t="shared" si="2"/>
        <v>0</v>
      </c>
      <c r="U42" s="265">
        <f t="shared" si="3"/>
        <v>0</v>
      </c>
      <c r="V42" s="609">
        <f t="shared" si="4"/>
        <v>60000</v>
      </c>
    </row>
    <row r="43" spans="1:22">
      <c r="A43" s="1223" t="s">
        <v>665</v>
      </c>
      <c r="B43" s="2469" t="s">
        <v>93</v>
      </c>
      <c r="C43" s="2469"/>
      <c r="D43" s="2469"/>
      <c r="E43" s="2469"/>
      <c r="F43" s="2469"/>
      <c r="G43" s="2469"/>
      <c r="H43" s="2463" t="s">
        <v>1506</v>
      </c>
      <c r="I43" s="1226">
        <f>+'ÖNK.-Dologi (alábontás)nemrésze'!I55</f>
        <v>25495686</v>
      </c>
      <c r="J43" s="2600">
        <f>+'ÖNK.-Dologi (alábontás)nemrésze'!J55</f>
        <v>23673951</v>
      </c>
      <c r="K43" s="1226">
        <f>+'ÖNK.-Dologi (alábontás)nemrésze'!K55</f>
        <v>26604922</v>
      </c>
      <c r="L43" s="1226">
        <f>+'ÖNK.-Dologi (alábontás)nemrésze'!L55</f>
        <v>26604922</v>
      </c>
      <c r="M43" s="1226">
        <f>+'ÖNK.-Dologi (alábontás)nemrésze'!M55</f>
        <v>28698923</v>
      </c>
      <c r="N43" s="1226">
        <f>+'ÖNK.-Dologi (alábontás)nemrésze'!N55</f>
        <v>29998390</v>
      </c>
      <c r="O43" s="1226">
        <f>+'ÖNK.-Dologi (alábontás)nemrésze'!O55</f>
        <v>29998390</v>
      </c>
      <c r="P43" s="2468">
        <f>+'ÖNK.-Dologi (alábontás)nemrésze'!P55</f>
        <v>28426456</v>
      </c>
      <c r="Q43" s="1348">
        <f>+P43/N43</f>
        <v>0.9475993878338137</v>
      </c>
      <c r="R43" s="1221">
        <f t="shared" si="0"/>
        <v>0</v>
      </c>
      <c r="S43" s="265">
        <f t="shared" si="1"/>
        <v>2094001</v>
      </c>
      <c r="T43" s="265">
        <f t="shared" si="2"/>
        <v>1299467</v>
      </c>
      <c r="U43" s="265">
        <f t="shared" si="3"/>
        <v>0</v>
      </c>
      <c r="V43" s="609">
        <f t="shared" si="4"/>
        <v>1571934</v>
      </c>
    </row>
    <row r="44" spans="1:22">
      <c r="A44" s="1223" t="s">
        <v>676</v>
      </c>
      <c r="B44" s="2465" t="s">
        <v>1507</v>
      </c>
      <c r="C44" s="2465"/>
      <c r="D44" s="2465"/>
      <c r="E44" s="2465"/>
      <c r="F44" s="2465"/>
      <c r="G44" s="2465"/>
      <c r="H44" s="1340" t="s">
        <v>1508</v>
      </c>
      <c r="I44" s="1225">
        <f>+'ÖNK.-Dologi (alábontás)nemrésze'!I56</f>
        <v>0</v>
      </c>
      <c r="J44" s="2599">
        <f>+'ÖNK.-Dologi (alábontás)nemrésze'!J56</f>
        <v>0</v>
      </c>
      <c r="K44" s="1225">
        <f>+'ÖNK.-Dologi (alábontás)nemrésze'!K56</f>
        <v>0</v>
      </c>
      <c r="L44" s="1225">
        <f>+'ÖNK.-Dologi (alábontás)nemrésze'!L56</f>
        <v>0</v>
      </c>
      <c r="M44" s="1225">
        <f>+'ÖNK.-Dologi (alábontás)nemrésze'!M56</f>
        <v>0</v>
      </c>
      <c r="N44" s="1225">
        <f>+'ÖNK.-Dologi (alábontás)nemrésze'!N56</f>
        <v>0</v>
      </c>
      <c r="O44" s="1225">
        <f>+'ÖNK.-Dologi (alábontás)nemrésze'!O56</f>
        <v>0</v>
      </c>
      <c r="P44" s="2466">
        <f>+'ÖNK.-Dologi (alábontás)nemrésze'!P56</f>
        <v>0</v>
      </c>
      <c r="Q44" s="1342"/>
      <c r="R44" s="1220">
        <f t="shared" si="0"/>
        <v>0</v>
      </c>
      <c r="S44" s="275">
        <f t="shared" si="1"/>
        <v>0</v>
      </c>
      <c r="T44" s="275">
        <f t="shared" si="2"/>
        <v>0</v>
      </c>
      <c r="U44" s="275">
        <f t="shared" si="3"/>
        <v>0</v>
      </c>
      <c r="V44" s="604">
        <f t="shared" si="4"/>
        <v>0</v>
      </c>
    </row>
    <row r="45" spans="1:22">
      <c r="A45" s="1223" t="s">
        <v>686</v>
      </c>
      <c r="B45" s="2465" t="s">
        <v>1509</v>
      </c>
      <c r="C45" s="2465"/>
      <c r="D45" s="2465"/>
      <c r="E45" s="2465"/>
      <c r="F45" s="2465"/>
      <c r="G45" s="2465"/>
      <c r="H45" s="1340" t="s">
        <v>1510</v>
      </c>
      <c r="I45" s="1225">
        <f>+'ÖNK.-Dologi (alábontás)nemrésze'!I57</f>
        <v>0</v>
      </c>
      <c r="J45" s="2599">
        <f>+'ÖNK.-Dologi (alábontás)nemrésze'!J57</f>
        <v>0</v>
      </c>
      <c r="K45" s="1225">
        <f>+'ÖNK.-Dologi (alábontás)nemrésze'!K57</f>
        <v>0</v>
      </c>
      <c r="L45" s="1225">
        <f>+'ÖNK.-Dologi (alábontás)nemrésze'!L57</f>
        <v>0</v>
      </c>
      <c r="M45" s="1225">
        <f>+'ÖNK.-Dologi (alábontás)nemrésze'!M57</f>
        <v>0</v>
      </c>
      <c r="N45" s="1225">
        <f>+'ÖNK.-Dologi (alábontás)nemrésze'!N57</f>
        <v>0</v>
      </c>
      <c r="O45" s="1225">
        <f>+'ÖNK.-Dologi (alábontás)nemrésze'!O57</f>
        <v>0</v>
      </c>
      <c r="P45" s="2466">
        <f>+'ÖNK.-Dologi (alábontás)nemrésze'!P57</f>
        <v>0</v>
      </c>
      <c r="Q45" s="1342"/>
      <c r="R45" s="1220">
        <f t="shared" si="0"/>
        <v>0</v>
      </c>
      <c r="S45" s="275">
        <f t="shared" si="1"/>
        <v>0</v>
      </c>
      <c r="T45" s="275">
        <f t="shared" si="2"/>
        <v>0</v>
      </c>
      <c r="U45" s="275">
        <f t="shared" si="3"/>
        <v>0</v>
      </c>
      <c r="V45" s="604">
        <f t="shared" si="4"/>
        <v>0</v>
      </c>
    </row>
    <row r="46" spans="1:22">
      <c r="A46" s="1223" t="s">
        <v>704</v>
      </c>
      <c r="B46" s="2467" t="s">
        <v>1511</v>
      </c>
      <c r="C46" s="2467"/>
      <c r="D46" s="2467"/>
      <c r="E46" s="2467"/>
      <c r="F46" s="2467"/>
      <c r="G46" s="2467"/>
      <c r="H46" s="2463" t="s">
        <v>1512</v>
      </c>
      <c r="I46" s="1226">
        <f t="shared" ref="I46:P46" si="15">SUM(I44:I45)</f>
        <v>0</v>
      </c>
      <c r="J46" s="2600">
        <f t="shared" si="15"/>
        <v>0</v>
      </c>
      <c r="K46" s="1226">
        <f t="shared" si="15"/>
        <v>0</v>
      </c>
      <c r="L46" s="1226">
        <f t="shared" si="15"/>
        <v>0</v>
      </c>
      <c r="M46" s="1226">
        <f t="shared" si="15"/>
        <v>0</v>
      </c>
      <c r="N46" s="1226">
        <f t="shared" si="15"/>
        <v>0</v>
      </c>
      <c r="O46" s="1226">
        <f t="shared" si="15"/>
        <v>0</v>
      </c>
      <c r="P46" s="2468">
        <f t="shared" si="15"/>
        <v>0</v>
      </c>
      <c r="Q46" s="1348"/>
      <c r="R46" s="1221">
        <f t="shared" si="0"/>
        <v>0</v>
      </c>
      <c r="S46" s="265">
        <f t="shared" si="1"/>
        <v>0</v>
      </c>
      <c r="T46" s="265">
        <f t="shared" si="2"/>
        <v>0</v>
      </c>
      <c r="U46" s="265">
        <f t="shared" si="3"/>
        <v>0</v>
      </c>
      <c r="V46" s="609">
        <f t="shared" si="4"/>
        <v>0</v>
      </c>
    </row>
    <row r="47" spans="1:22">
      <c r="A47" s="1223" t="s">
        <v>706</v>
      </c>
      <c r="B47" s="2465" t="s">
        <v>104</v>
      </c>
      <c r="C47" s="2465"/>
      <c r="D47" s="2465"/>
      <c r="E47" s="2465"/>
      <c r="F47" s="2465"/>
      <c r="G47" s="2465"/>
      <c r="H47" s="1340" t="s">
        <v>1513</v>
      </c>
      <c r="I47" s="1225">
        <f>+'ÖNK.-Dologi (alábontás)nemrésze'!I70</f>
        <v>60393240</v>
      </c>
      <c r="J47" s="2599">
        <f>+'ÖNK.-Dologi (alábontás)nemrésze'!J70</f>
        <v>64709342</v>
      </c>
      <c r="K47" s="1225">
        <f>+'ÖNK.-Dologi (alábontás)nemrésze'!K70</f>
        <v>64325600</v>
      </c>
      <c r="L47" s="1225">
        <f>+'ÖNK.-Dologi (alábontás)nemrésze'!L70</f>
        <v>58197800</v>
      </c>
      <c r="M47" s="1225">
        <f>+'ÖNK.-Dologi (alábontás)nemrésze'!M70</f>
        <v>71290966</v>
      </c>
      <c r="N47" s="1225">
        <f>+'ÖNK.-Dologi (alábontás)nemrésze'!N70</f>
        <v>72586811</v>
      </c>
      <c r="O47" s="1225">
        <f>+'ÖNK.-Dologi (alábontás)nemrésze'!O70</f>
        <v>72586811</v>
      </c>
      <c r="P47" s="2466">
        <f>+'ÖNK.-Dologi (alábontás)nemrésze'!P70</f>
        <v>64854836</v>
      </c>
      <c r="Q47" s="1342">
        <f t="shared" ref="Q47:Q56" si="16">+P47/N47</f>
        <v>0.89347961573900803</v>
      </c>
      <c r="R47" s="1220">
        <f t="shared" si="0"/>
        <v>-6127800</v>
      </c>
      <c r="S47" s="275">
        <f t="shared" si="1"/>
        <v>13093166</v>
      </c>
      <c r="T47" s="275">
        <f t="shared" si="2"/>
        <v>1295845</v>
      </c>
      <c r="U47" s="275">
        <f t="shared" si="3"/>
        <v>0</v>
      </c>
      <c r="V47" s="604">
        <f t="shared" si="4"/>
        <v>7731975</v>
      </c>
    </row>
    <row r="48" spans="1:22">
      <c r="A48" s="1223" t="s">
        <v>710</v>
      </c>
      <c r="B48" s="2465" t="s">
        <v>1514</v>
      </c>
      <c r="C48" s="2465"/>
      <c r="D48" s="2465"/>
      <c r="E48" s="2465"/>
      <c r="F48" s="2465"/>
      <c r="G48" s="2465"/>
      <c r="H48" s="1340" t="s">
        <v>1515</v>
      </c>
      <c r="I48" s="1225">
        <f>+'ÖNK.-Dologi (alábontás)nemrésze'!I73</f>
        <v>43819200</v>
      </c>
      <c r="J48" s="2599">
        <f>+'ÖNK.-Dologi (alábontás)nemrésze'!J73</f>
        <v>37371041</v>
      </c>
      <c r="K48" s="1225">
        <f>+'ÖNK.-Dologi (alábontás)nemrésze'!K73</f>
        <v>55183000</v>
      </c>
      <c r="L48" s="1225">
        <f>+'ÖNK.-Dologi (alábontás)nemrésze'!L73</f>
        <v>55183000</v>
      </c>
      <c r="M48" s="1225">
        <f>+'ÖNK.-Dologi (alábontás)nemrésze'!M73</f>
        <v>55183000</v>
      </c>
      <c r="N48" s="1225">
        <f>+'ÖNK.-Dologi (alábontás)nemrésze'!N73</f>
        <v>55183000</v>
      </c>
      <c r="O48" s="1225">
        <f>+'ÖNK.-Dologi (alábontás)nemrésze'!O73</f>
        <v>55183000</v>
      </c>
      <c r="P48" s="2466">
        <f>+'ÖNK.-Dologi (alábontás)nemrésze'!P73</f>
        <v>36035549</v>
      </c>
      <c r="Q48" s="1342">
        <f t="shared" si="16"/>
        <v>0.65301902759907937</v>
      </c>
      <c r="R48" s="1220">
        <f t="shared" si="0"/>
        <v>0</v>
      </c>
      <c r="S48" s="275">
        <f t="shared" si="1"/>
        <v>0</v>
      </c>
      <c r="T48" s="275">
        <f t="shared" si="2"/>
        <v>0</v>
      </c>
      <c r="U48" s="275">
        <f t="shared" si="3"/>
        <v>0</v>
      </c>
      <c r="V48" s="604">
        <f t="shared" si="4"/>
        <v>19147451</v>
      </c>
    </row>
    <row r="49" spans="1:22">
      <c r="A49" s="1223" t="s">
        <v>712</v>
      </c>
      <c r="B49" s="2465" t="s">
        <v>1516</v>
      </c>
      <c r="C49" s="2465"/>
      <c r="D49" s="2465"/>
      <c r="E49" s="2465"/>
      <c r="F49" s="2465"/>
      <c r="G49" s="2465"/>
      <c r="H49" s="1340" t="s">
        <v>1517</v>
      </c>
      <c r="I49" s="1225">
        <f>+'ÖNK.-Dologi (alábontás)nemrésze'!I74+'ÖNK.-Dologi (alábontás)nemrésze'!I75+'ÖNK.-Dologi (alábontás)nemrésze'!I76</f>
        <v>9500000</v>
      </c>
      <c r="J49" s="2599">
        <f>+'ÖNK.-Dologi (alábontás)nemrésze'!J74+'ÖNK.-Dologi (alábontás)nemrésze'!J75+'ÖNK.-Dologi (alábontás)nemrésze'!J76</f>
        <v>2478805</v>
      </c>
      <c r="K49" s="1225">
        <f>+'ÖNK.-Dologi (alábontás)nemrésze'!K74+'ÖNK.-Dologi (alábontás)nemrésze'!K75+'ÖNK.-Dologi (alábontás)nemrésze'!K76</f>
        <v>5500000</v>
      </c>
      <c r="L49" s="1225">
        <f>+'ÖNK.-Dologi (alábontás)nemrésze'!L74+'ÖNK.-Dologi (alábontás)nemrésze'!L75+'ÖNK.-Dologi (alábontás)nemrésze'!L76</f>
        <v>5500000</v>
      </c>
      <c r="M49" s="1225">
        <f>+'ÖNK.-Dologi (alábontás)nemrésze'!M74+'ÖNK.-Dologi (alábontás)nemrésze'!M75+'ÖNK.-Dologi (alábontás)nemrésze'!M76</f>
        <v>5500000</v>
      </c>
      <c r="N49" s="1225">
        <f>+'ÖNK.-Dologi (alábontás)nemrésze'!N74+'ÖNK.-Dologi (alábontás)nemrésze'!N75+'ÖNK.-Dologi (alábontás)nemrésze'!N76</f>
        <v>5171672</v>
      </c>
      <c r="O49" s="1225">
        <f>+'ÖNK.-Dologi (alábontás)nemrésze'!O74+'ÖNK.-Dologi (alábontás)nemrésze'!O75+'ÖNK.-Dologi (alábontás)nemrésze'!O76</f>
        <v>5171672</v>
      </c>
      <c r="P49" s="2466">
        <f>+'ÖNK.-Dologi (alábontás)nemrésze'!P74+'ÖNK.-Dologi (alábontás)nemrésze'!P75+'ÖNK.-Dologi (alábontás)nemrésze'!P76</f>
        <v>2820250</v>
      </c>
      <c r="Q49" s="1342">
        <f t="shared" si="16"/>
        <v>0.54532654043025153</v>
      </c>
      <c r="R49" s="1220">
        <f t="shared" si="0"/>
        <v>0</v>
      </c>
      <c r="S49" s="275">
        <f t="shared" si="1"/>
        <v>0</v>
      </c>
      <c r="T49" s="275">
        <f t="shared" si="2"/>
        <v>-328328</v>
      </c>
      <c r="U49" s="275">
        <f t="shared" si="3"/>
        <v>0</v>
      </c>
      <c r="V49" s="604">
        <f t="shared" si="4"/>
        <v>2351422</v>
      </c>
    </row>
    <row r="50" spans="1:22">
      <c r="A50" s="1223" t="s">
        <v>715</v>
      </c>
      <c r="B50" s="2467" t="s">
        <v>1849</v>
      </c>
      <c r="C50" s="2467"/>
      <c r="D50" s="2467"/>
      <c r="E50" s="2467"/>
      <c r="F50" s="2467"/>
      <c r="G50" s="2467"/>
      <c r="H50" s="2463" t="s">
        <v>1518</v>
      </c>
      <c r="I50" s="1226">
        <f t="shared" ref="I50:P50" si="17">SUM(I47:I49)</f>
        <v>113712440</v>
      </c>
      <c r="J50" s="2600">
        <f t="shared" si="17"/>
        <v>104559188</v>
      </c>
      <c r="K50" s="1226">
        <f t="shared" si="17"/>
        <v>125008600</v>
      </c>
      <c r="L50" s="1226">
        <f t="shared" si="17"/>
        <v>118880800</v>
      </c>
      <c r="M50" s="1226">
        <f t="shared" si="17"/>
        <v>131973966</v>
      </c>
      <c r="N50" s="1226">
        <f t="shared" si="17"/>
        <v>132941483</v>
      </c>
      <c r="O50" s="1226">
        <f t="shared" si="17"/>
        <v>132941483</v>
      </c>
      <c r="P50" s="2468">
        <f t="shared" si="17"/>
        <v>103710635</v>
      </c>
      <c r="Q50" s="1348">
        <f t="shared" si="16"/>
        <v>0.78012244680616361</v>
      </c>
      <c r="R50" s="1221">
        <f t="shared" si="0"/>
        <v>-6127800</v>
      </c>
      <c r="S50" s="265">
        <f t="shared" si="1"/>
        <v>13093166</v>
      </c>
      <c r="T50" s="265">
        <f t="shared" si="2"/>
        <v>967517</v>
      </c>
      <c r="U50" s="265">
        <f t="shared" si="3"/>
        <v>0</v>
      </c>
      <c r="V50" s="609">
        <f t="shared" si="4"/>
        <v>29230848</v>
      </c>
    </row>
    <row r="51" spans="1:22">
      <c r="A51" s="1223" t="s">
        <v>716</v>
      </c>
      <c r="B51" s="2465" t="s">
        <v>1519</v>
      </c>
      <c r="C51" s="2465"/>
      <c r="D51" s="2465"/>
      <c r="E51" s="2465"/>
      <c r="F51" s="2465"/>
      <c r="G51" s="2465"/>
      <c r="H51" s="1340" t="s">
        <v>1520</v>
      </c>
      <c r="I51" s="1225">
        <f>+'ÖNK.-Dologi (alábontás)nemrésze'!I81</f>
        <v>16600000</v>
      </c>
      <c r="J51" s="2599">
        <f>+'ÖNK.-Dologi (alábontás)nemrésze'!J81</f>
        <v>17085103</v>
      </c>
      <c r="K51" s="1225">
        <f>+'ÖNK.-Dologi (alábontás)nemrésze'!K81</f>
        <v>35372050</v>
      </c>
      <c r="L51" s="1225">
        <f>+'ÖNK.-Dologi (alábontás)nemrésze'!L81</f>
        <v>35372050</v>
      </c>
      <c r="M51" s="1225">
        <f>+'ÖNK.-Dologi (alábontás)nemrésze'!M81</f>
        <v>35372050</v>
      </c>
      <c r="N51" s="1225">
        <f>+'ÖNK.-Dologi (alábontás)nemrésze'!N81</f>
        <v>35488709</v>
      </c>
      <c r="O51" s="1225">
        <f>+'ÖNK.-Dologi (alábontás)nemrésze'!O81</f>
        <v>35488709</v>
      </c>
      <c r="P51" s="2466">
        <f>+'ÖNK.-Dologi (alábontás)nemrésze'!P81</f>
        <v>34131947</v>
      </c>
      <c r="Q51" s="1342">
        <f t="shared" si="16"/>
        <v>0.9617691925620625</v>
      </c>
      <c r="R51" s="1220">
        <f t="shared" si="0"/>
        <v>0</v>
      </c>
      <c r="S51" s="275">
        <f t="shared" si="1"/>
        <v>0</v>
      </c>
      <c r="T51" s="275">
        <f t="shared" si="2"/>
        <v>116659</v>
      </c>
      <c r="U51" s="275">
        <f t="shared" si="3"/>
        <v>0</v>
      </c>
      <c r="V51" s="604">
        <f t="shared" si="4"/>
        <v>1356762</v>
      </c>
    </row>
    <row r="52" spans="1:22">
      <c r="A52" s="1223" t="s">
        <v>717</v>
      </c>
      <c r="B52" s="2465" t="s">
        <v>1521</v>
      </c>
      <c r="C52" s="2465"/>
      <c r="D52" s="2465"/>
      <c r="E52" s="2465"/>
      <c r="F52" s="2465"/>
      <c r="G52" s="2465"/>
      <c r="H52" s="1340" t="s">
        <v>1522</v>
      </c>
      <c r="I52" s="1225">
        <f>+'ÖNK.-Dologi (alábontás)nemrésze'!I82</f>
        <v>13000000</v>
      </c>
      <c r="J52" s="2599">
        <f>+'ÖNK.-Dologi (alábontás)nemrésze'!J82</f>
        <v>21264928</v>
      </c>
      <c r="K52" s="1225">
        <f>+'ÖNK.-Dologi (alábontás)nemrésze'!K82</f>
        <v>17900000</v>
      </c>
      <c r="L52" s="1225">
        <f>+'ÖNK.-Dologi (alábontás)nemrésze'!L82</f>
        <v>17900000</v>
      </c>
      <c r="M52" s="1225">
        <f>+'ÖNK.-Dologi (alábontás)nemrésze'!M82</f>
        <v>17900000</v>
      </c>
      <c r="N52" s="1225">
        <f>+'ÖNK.-Dologi (alábontás)nemrésze'!N82</f>
        <v>28659967</v>
      </c>
      <c r="O52" s="1225">
        <f>+'ÖNK.-Dologi (alábontás)nemrésze'!O82</f>
        <v>28659967</v>
      </c>
      <c r="P52" s="2466">
        <f>+'ÖNK.-Dologi (alábontás)nemrésze'!P82</f>
        <v>28659967</v>
      </c>
      <c r="Q52" s="1342">
        <f t="shared" si="16"/>
        <v>1</v>
      </c>
      <c r="R52" s="1220">
        <f t="shared" si="0"/>
        <v>0</v>
      </c>
      <c r="S52" s="275">
        <f t="shared" si="1"/>
        <v>0</v>
      </c>
      <c r="T52" s="275">
        <f t="shared" si="2"/>
        <v>10759967</v>
      </c>
      <c r="U52" s="275">
        <f t="shared" si="3"/>
        <v>0</v>
      </c>
      <c r="V52" s="604">
        <f t="shared" si="4"/>
        <v>0</v>
      </c>
    </row>
    <row r="53" spans="1:22">
      <c r="A53" s="1223" t="s">
        <v>759</v>
      </c>
      <c r="B53" s="2465" t="s">
        <v>3678</v>
      </c>
      <c r="C53" s="2465"/>
      <c r="D53" s="2465"/>
      <c r="E53" s="2465"/>
      <c r="F53" s="2465"/>
      <c r="G53" s="2465"/>
      <c r="H53" s="1340" t="s">
        <v>1524</v>
      </c>
      <c r="I53" s="1225">
        <f>+'ÖNK.-Dologi (alábontás)nemrésze'!I83</f>
        <v>9610000</v>
      </c>
      <c r="J53" s="2599">
        <f>+'ÖNK.-Dologi (alábontás)nemrésze'!J83</f>
        <v>12063380</v>
      </c>
      <c r="K53" s="1225">
        <f>+'ÖNK.-Dologi (alábontás)nemrésze'!K83</f>
        <v>3250000</v>
      </c>
      <c r="L53" s="1225">
        <f>+'ÖNK.-Dologi (alábontás)nemrésze'!L83</f>
        <v>3250000</v>
      </c>
      <c r="M53" s="1225">
        <f>+'ÖNK.-Dologi (alábontás)nemrésze'!M83</f>
        <v>3250000</v>
      </c>
      <c r="N53" s="1225">
        <f>+'ÖNK.-Dologi (alábontás)nemrésze'!N83</f>
        <v>3250000</v>
      </c>
      <c r="O53" s="1225">
        <f>+'ÖNK.-Dologi (alábontás)nemrésze'!O83</f>
        <v>3250000</v>
      </c>
      <c r="P53" s="2466">
        <f>+'ÖNK.-Dologi (alábontás)nemrésze'!P83</f>
        <v>2752540</v>
      </c>
      <c r="Q53" s="1342">
        <f t="shared" si="16"/>
        <v>0.84693538461538465</v>
      </c>
      <c r="R53" s="1220">
        <f t="shared" si="0"/>
        <v>0</v>
      </c>
      <c r="S53" s="275">
        <f t="shared" si="1"/>
        <v>0</v>
      </c>
      <c r="T53" s="275">
        <f t="shared" si="2"/>
        <v>0</v>
      </c>
      <c r="U53" s="275">
        <f t="shared" si="3"/>
        <v>0</v>
      </c>
      <c r="V53" s="604">
        <f t="shared" si="4"/>
        <v>497460</v>
      </c>
    </row>
    <row r="54" spans="1:22">
      <c r="A54" s="1223" t="s">
        <v>776</v>
      </c>
      <c r="B54" s="2465" t="s">
        <v>77</v>
      </c>
      <c r="C54" s="2465"/>
      <c r="D54" s="2465"/>
      <c r="E54" s="2465"/>
      <c r="F54" s="2465"/>
      <c r="G54" s="2465"/>
      <c r="H54" s="1340" t="s">
        <v>1525</v>
      </c>
      <c r="I54" s="1225">
        <f>+'ÖNK.-Dologi (alábontás)nemrésze'!I97</f>
        <v>71487451</v>
      </c>
      <c r="J54" s="2599">
        <f>+'ÖNK.-Dologi (alábontás)nemrésze'!J97</f>
        <v>69734282</v>
      </c>
      <c r="K54" s="1225">
        <f>+'ÖNK.-Dologi (alábontás)nemrésze'!K97</f>
        <v>89129573</v>
      </c>
      <c r="L54" s="1225">
        <f>+'ÖNK.-Dologi (alábontás)nemrésze'!L97</f>
        <v>89129573</v>
      </c>
      <c r="M54" s="1225">
        <f>+'ÖNK.-Dologi (alábontás)nemrésze'!M97</f>
        <v>89940467</v>
      </c>
      <c r="N54" s="1225">
        <f>+'ÖNK.-Dologi (alábontás)nemrésze'!N97</f>
        <v>80203391</v>
      </c>
      <c r="O54" s="1225">
        <f>+'ÖNK.-Dologi (alábontás)nemrésze'!O97</f>
        <v>80203391</v>
      </c>
      <c r="P54" s="2466">
        <f>+'ÖNK.-Dologi (alábontás)nemrésze'!P97</f>
        <v>68192343</v>
      </c>
      <c r="Q54" s="1342">
        <f t="shared" si="16"/>
        <v>0.85024264123695215</v>
      </c>
      <c r="R54" s="1220">
        <f t="shared" si="0"/>
        <v>0</v>
      </c>
      <c r="S54" s="275">
        <f t="shared" si="1"/>
        <v>810894</v>
      </c>
      <c r="T54" s="275">
        <f t="shared" si="2"/>
        <v>-9737076</v>
      </c>
      <c r="U54" s="275">
        <f t="shared" si="3"/>
        <v>0</v>
      </c>
      <c r="V54" s="604">
        <f t="shared" si="4"/>
        <v>12011048</v>
      </c>
    </row>
    <row r="55" spans="1:22">
      <c r="A55" s="1223" t="s">
        <v>834</v>
      </c>
      <c r="B55" s="2467" t="s">
        <v>1526</v>
      </c>
      <c r="C55" s="2467"/>
      <c r="D55" s="2467"/>
      <c r="E55" s="2467"/>
      <c r="F55" s="2467"/>
      <c r="G55" s="2467"/>
      <c r="H55" s="2463" t="s">
        <v>1527</v>
      </c>
      <c r="I55" s="1226">
        <f t="shared" ref="I55:P55" si="18">SUM(I51:I54)</f>
        <v>110697451</v>
      </c>
      <c r="J55" s="2600">
        <f t="shared" si="18"/>
        <v>120147693</v>
      </c>
      <c r="K55" s="1226">
        <f t="shared" si="18"/>
        <v>145651623</v>
      </c>
      <c r="L55" s="1226">
        <f t="shared" si="18"/>
        <v>145651623</v>
      </c>
      <c r="M55" s="1226">
        <f t="shared" si="18"/>
        <v>146462517</v>
      </c>
      <c r="N55" s="1226">
        <f t="shared" si="18"/>
        <v>147602067</v>
      </c>
      <c r="O55" s="1226">
        <f t="shared" si="18"/>
        <v>147602067</v>
      </c>
      <c r="P55" s="2468">
        <f t="shared" si="18"/>
        <v>133736797</v>
      </c>
      <c r="Q55" s="1348">
        <f t="shared" si="16"/>
        <v>0.90606317186601459</v>
      </c>
      <c r="R55" s="1221">
        <f t="shared" si="0"/>
        <v>0</v>
      </c>
      <c r="S55" s="265">
        <f t="shared" si="1"/>
        <v>810894</v>
      </c>
      <c r="T55" s="265">
        <f t="shared" si="2"/>
        <v>1139550</v>
      </c>
      <c r="U55" s="265">
        <f t="shared" si="3"/>
        <v>0</v>
      </c>
      <c r="V55" s="609">
        <f t="shared" si="4"/>
        <v>13865270</v>
      </c>
    </row>
    <row r="56" spans="1:22">
      <c r="A56" s="1223" t="s">
        <v>862</v>
      </c>
      <c r="B56" s="2467" t="s">
        <v>1528</v>
      </c>
      <c r="C56" s="2467"/>
      <c r="D56" s="2467"/>
      <c r="E56" s="2467"/>
      <c r="F56" s="2467"/>
      <c r="G56" s="2467"/>
      <c r="H56" s="2463" t="s">
        <v>1529</v>
      </c>
      <c r="I56" s="1226">
        <f t="shared" ref="I56:P56" si="19">+I39+I40+I42+I43+I46+I50+I55</f>
        <v>250005577</v>
      </c>
      <c r="J56" s="2600">
        <f t="shared" si="19"/>
        <v>251073342</v>
      </c>
      <c r="K56" s="1226">
        <f t="shared" si="19"/>
        <v>300425145</v>
      </c>
      <c r="L56" s="1226">
        <f t="shared" si="19"/>
        <v>317297345</v>
      </c>
      <c r="M56" s="1226">
        <f t="shared" si="19"/>
        <v>333295406</v>
      </c>
      <c r="N56" s="1226">
        <f t="shared" si="19"/>
        <v>336701940</v>
      </c>
      <c r="O56" s="1226">
        <f t="shared" si="19"/>
        <v>336701940</v>
      </c>
      <c r="P56" s="2468">
        <f t="shared" si="19"/>
        <v>277028690</v>
      </c>
      <c r="Q56" s="1348">
        <f t="shared" si="16"/>
        <v>0.82277129142766448</v>
      </c>
      <c r="R56" s="1221">
        <f t="shared" si="0"/>
        <v>16872200</v>
      </c>
      <c r="S56" s="265">
        <f t="shared" si="1"/>
        <v>15998061</v>
      </c>
      <c r="T56" s="265">
        <f t="shared" si="2"/>
        <v>3406534</v>
      </c>
      <c r="U56" s="265">
        <f t="shared" si="3"/>
        <v>0</v>
      </c>
      <c r="V56" s="609">
        <f t="shared" si="4"/>
        <v>59673250</v>
      </c>
    </row>
    <row r="57" spans="1:22">
      <c r="A57" s="1223" t="s">
        <v>870</v>
      </c>
      <c r="B57" s="2465" t="s">
        <v>1530</v>
      </c>
      <c r="C57" s="2465"/>
      <c r="D57" s="2465"/>
      <c r="E57" s="2465"/>
      <c r="F57" s="2465"/>
      <c r="G57" s="2465"/>
      <c r="H57" s="1340" t="s">
        <v>1531</v>
      </c>
      <c r="I57" s="1225">
        <f>+'ÖNK.-Dologi (alábontás)nemrésze'!I100</f>
        <v>0</v>
      </c>
      <c r="J57" s="2599">
        <f>+'ÖNK.-Dologi (alábontás)nemrésze'!J100</f>
        <v>0</v>
      </c>
      <c r="K57" s="1225">
        <f>+'ÖNK.-Dologi (alábontás)nemrésze'!K100</f>
        <v>0</v>
      </c>
      <c r="L57" s="1225">
        <f>+'ÖNK.-Dologi (alábontás)nemrésze'!L100</f>
        <v>0</v>
      </c>
      <c r="M57" s="1225">
        <f>+'ÖNK.-Dologi (alábontás)nemrésze'!M100</f>
        <v>196900</v>
      </c>
      <c r="N57" s="1225">
        <f>+'ÖNK.-Dologi (alábontás)nemrésze'!N100</f>
        <v>196900</v>
      </c>
      <c r="O57" s="1225">
        <f>+'ÖNK.-Dologi (alábontás)nemrésze'!O100</f>
        <v>196900</v>
      </c>
      <c r="P57" s="2466">
        <f>+'ÖNK.-Dologi (alábontás)nemrésze'!P100</f>
        <v>196900</v>
      </c>
      <c r="Q57" s="1342">
        <f>+P57/N57</f>
        <v>1</v>
      </c>
      <c r="R57" s="1220">
        <f t="shared" si="0"/>
        <v>0</v>
      </c>
      <c r="S57" s="275">
        <f t="shared" si="1"/>
        <v>196900</v>
      </c>
      <c r="T57" s="275">
        <f t="shared" si="2"/>
        <v>0</v>
      </c>
      <c r="U57" s="275">
        <f t="shared" si="3"/>
        <v>0</v>
      </c>
      <c r="V57" s="604">
        <f t="shared" si="4"/>
        <v>0</v>
      </c>
    </row>
    <row r="58" spans="1:22">
      <c r="A58" s="1223" t="s">
        <v>889</v>
      </c>
      <c r="B58" s="2465" t="s">
        <v>1532</v>
      </c>
      <c r="C58" s="2465"/>
      <c r="D58" s="2465"/>
      <c r="E58" s="2465"/>
      <c r="F58" s="2465"/>
      <c r="G58" s="2465"/>
      <c r="H58" s="1340" t="s">
        <v>1533</v>
      </c>
      <c r="I58" s="1225">
        <f>+'ÖNK.-Dologi (alábontás)nemrésze'!I101</f>
        <v>4600000</v>
      </c>
      <c r="J58" s="2599">
        <f>+'ÖNK.-Dologi (alábontás)nemrésze'!J101</f>
        <v>4600000</v>
      </c>
      <c r="K58" s="1225">
        <f>+'ÖNK.-Dologi (alábontás)nemrésze'!K101</f>
        <v>5000000</v>
      </c>
      <c r="L58" s="1225">
        <f>+'ÖNK.-Dologi (alábontás)nemrésze'!L101</f>
        <v>5000000</v>
      </c>
      <c r="M58" s="1225">
        <f>+'ÖNK.-Dologi (alábontás)nemrésze'!M101</f>
        <v>4803100</v>
      </c>
      <c r="N58" s="1225">
        <f>+'ÖNK.-Dologi (alábontás)nemrésze'!N101</f>
        <v>4803100</v>
      </c>
      <c r="O58" s="1225">
        <f>+'ÖNK.-Dologi (alábontás)nemrésze'!O101</f>
        <v>4803100</v>
      </c>
      <c r="P58" s="2466">
        <f>+'ÖNK.-Dologi (alábontás)nemrésze'!P101</f>
        <v>2020080</v>
      </c>
      <c r="Q58" s="1342">
        <f>+P58/N58</f>
        <v>0.42057837646519958</v>
      </c>
      <c r="R58" s="1220">
        <f t="shared" si="0"/>
        <v>0</v>
      </c>
      <c r="S58" s="275">
        <f t="shared" si="1"/>
        <v>-196900</v>
      </c>
      <c r="T58" s="275">
        <f t="shared" si="2"/>
        <v>0</v>
      </c>
      <c r="U58" s="275">
        <f t="shared" si="3"/>
        <v>0</v>
      </c>
      <c r="V58" s="604">
        <f t="shared" si="4"/>
        <v>2783020</v>
      </c>
    </row>
    <row r="59" spans="1:22">
      <c r="A59" s="1223" t="s">
        <v>911</v>
      </c>
      <c r="B59" s="2467" t="s">
        <v>1534</v>
      </c>
      <c r="C59" s="2467"/>
      <c r="D59" s="2467"/>
      <c r="E59" s="2467"/>
      <c r="F59" s="2467"/>
      <c r="G59" s="2467"/>
      <c r="H59" s="2463" t="s">
        <v>1535</v>
      </c>
      <c r="I59" s="1226">
        <f t="shared" ref="I59:P59" si="20">SUM(I57:I58)</f>
        <v>4600000</v>
      </c>
      <c r="J59" s="2600">
        <f t="shared" si="20"/>
        <v>4600000</v>
      </c>
      <c r="K59" s="1226">
        <f t="shared" si="20"/>
        <v>5000000</v>
      </c>
      <c r="L59" s="1226">
        <f t="shared" si="20"/>
        <v>5000000</v>
      </c>
      <c r="M59" s="1226">
        <f t="shared" si="20"/>
        <v>5000000</v>
      </c>
      <c r="N59" s="1226">
        <f t="shared" si="20"/>
        <v>5000000</v>
      </c>
      <c r="O59" s="1226">
        <f t="shared" si="20"/>
        <v>5000000</v>
      </c>
      <c r="P59" s="2468">
        <f t="shared" si="20"/>
        <v>2216980</v>
      </c>
      <c r="Q59" s="1348">
        <f>+P59/N59</f>
        <v>0.44339600000000001</v>
      </c>
      <c r="R59" s="1221">
        <f t="shared" si="0"/>
        <v>0</v>
      </c>
      <c r="S59" s="265">
        <f t="shared" si="1"/>
        <v>0</v>
      </c>
      <c r="T59" s="265">
        <f t="shared" si="2"/>
        <v>0</v>
      </c>
      <c r="U59" s="265">
        <f t="shared" si="3"/>
        <v>0</v>
      </c>
      <c r="V59" s="609">
        <f t="shared" si="4"/>
        <v>2783020</v>
      </c>
    </row>
    <row r="60" spans="1:22">
      <c r="A60" s="1223" t="s">
        <v>1405</v>
      </c>
      <c r="B60" s="2469" t="s">
        <v>1536</v>
      </c>
      <c r="C60" s="2469"/>
      <c r="D60" s="2469"/>
      <c r="E60" s="2469"/>
      <c r="F60" s="2469"/>
      <c r="G60" s="2469"/>
      <c r="H60" s="2463" t="s">
        <v>1537</v>
      </c>
      <c r="I60" s="1225">
        <f>+'ÖNK.-Dologi (alábontás)nemrésze'!I108</f>
        <v>64388438</v>
      </c>
      <c r="J60" s="2599">
        <f>+'ÖNK.-Dologi (alábontás)nemrésze'!J108</f>
        <v>51228545</v>
      </c>
      <c r="K60" s="1225">
        <f>+'ÖNK.-Dologi (alábontás)nemrésze'!K108</f>
        <v>58500000</v>
      </c>
      <c r="L60" s="1225">
        <f>+'ÖNK.-Dologi (alábontás)nemrésze'!L108</f>
        <v>58500000</v>
      </c>
      <c r="M60" s="1225">
        <f>+'ÖNK.-Dologi (alábontás)nemrésze'!M108</f>
        <v>68500000</v>
      </c>
      <c r="N60" s="1225">
        <f>+'ÖNK.-Dologi (alábontás)nemrésze'!N108</f>
        <v>67920370</v>
      </c>
      <c r="O60" s="1225">
        <f>+'ÖNK.-Dologi (alábontás)nemrésze'!O108</f>
        <v>67920370</v>
      </c>
      <c r="P60" s="2466">
        <f>+'ÖNK.-Dologi (alábontás)nemrésze'!P108</f>
        <v>23121515</v>
      </c>
      <c r="Q60" s="1342">
        <f>+P60/N60</f>
        <v>0.34042092232418641</v>
      </c>
      <c r="R60" s="1220">
        <f t="shared" si="0"/>
        <v>0</v>
      </c>
      <c r="S60" s="275">
        <f t="shared" si="1"/>
        <v>10000000</v>
      </c>
      <c r="T60" s="275">
        <f t="shared" si="2"/>
        <v>-579630</v>
      </c>
      <c r="U60" s="275">
        <f t="shared" si="3"/>
        <v>0</v>
      </c>
      <c r="V60" s="604">
        <f t="shared" si="4"/>
        <v>44798855</v>
      </c>
    </row>
    <row r="61" spans="1:22">
      <c r="A61" s="1223" t="s">
        <v>942</v>
      </c>
      <c r="B61" s="2467" t="s">
        <v>1538</v>
      </c>
      <c r="C61" s="2467"/>
      <c r="D61" s="2467"/>
      <c r="E61" s="2467"/>
      <c r="F61" s="2467"/>
      <c r="G61" s="2467"/>
      <c r="H61" s="2463" t="s">
        <v>1539</v>
      </c>
      <c r="I61" s="1226">
        <f t="shared" ref="I61:P61" si="21">+I59+I60</f>
        <v>68988438</v>
      </c>
      <c r="J61" s="2600">
        <f t="shared" si="21"/>
        <v>55828545</v>
      </c>
      <c r="K61" s="1226">
        <f t="shared" si="21"/>
        <v>63500000</v>
      </c>
      <c r="L61" s="1226">
        <f t="shared" si="21"/>
        <v>63500000</v>
      </c>
      <c r="M61" s="1226">
        <f t="shared" si="21"/>
        <v>73500000</v>
      </c>
      <c r="N61" s="1226">
        <f t="shared" si="21"/>
        <v>72920370</v>
      </c>
      <c r="O61" s="1226">
        <f t="shared" si="21"/>
        <v>72920370</v>
      </c>
      <c r="P61" s="2468">
        <f t="shared" si="21"/>
        <v>25338495</v>
      </c>
      <c r="Q61" s="1348">
        <f>+P61/N61</f>
        <v>0.34748171190025501</v>
      </c>
      <c r="R61" s="1221">
        <f t="shared" si="0"/>
        <v>0</v>
      </c>
      <c r="S61" s="265">
        <f t="shared" si="1"/>
        <v>10000000</v>
      </c>
      <c r="T61" s="265">
        <f t="shared" si="2"/>
        <v>-579630</v>
      </c>
      <c r="U61" s="265">
        <f t="shared" si="3"/>
        <v>0</v>
      </c>
      <c r="V61" s="609">
        <f t="shared" si="4"/>
        <v>47581875</v>
      </c>
    </row>
    <row r="62" spans="1:22">
      <c r="A62" s="1223" t="s">
        <v>944</v>
      </c>
      <c r="B62" s="2465" t="s">
        <v>1540</v>
      </c>
      <c r="C62" s="2465"/>
      <c r="D62" s="2465"/>
      <c r="E62" s="2465"/>
      <c r="F62" s="2465"/>
      <c r="G62" s="2465"/>
      <c r="H62" s="1340" t="s">
        <v>1541</v>
      </c>
      <c r="I62" s="1225">
        <f>+'ÖNK.-Dologi (alábontás)nemrésze'!I110</f>
        <v>0</v>
      </c>
      <c r="J62" s="2599">
        <f>+'ÖNK.-Dologi (alábontás)nemrésze'!J110</f>
        <v>0</v>
      </c>
      <c r="K62" s="1225">
        <f>+'ÖNK.-Dologi (alábontás)nemrésze'!K110</f>
        <v>0</v>
      </c>
      <c r="L62" s="1225">
        <f>+'ÖNK.-Dologi (alábontás)nemrésze'!L110</f>
        <v>0</v>
      </c>
      <c r="M62" s="1225">
        <f>+'ÖNK.-Dologi (alábontás)nemrésze'!M110</f>
        <v>0</v>
      </c>
      <c r="N62" s="1225">
        <f>+'ÖNK.-Dologi (alábontás)nemrésze'!N110</f>
        <v>0</v>
      </c>
      <c r="O62" s="1225">
        <f>+'ÖNK.-Dologi (alábontás)nemrésze'!O110</f>
        <v>0</v>
      </c>
      <c r="P62" s="2466">
        <f>+'ÖNK.-Dologi (alábontás)nemrésze'!P110</f>
        <v>0</v>
      </c>
      <c r="Q62" s="1342"/>
      <c r="R62" s="1220">
        <f t="shared" si="0"/>
        <v>0</v>
      </c>
      <c r="S62" s="275">
        <f t="shared" si="1"/>
        <v>0</v>
      </c>
      <c r="T62" s="275">
        <f t="shared" si="2"/>
        <v>0</v>
      </c>
      <c r="U62" s="275">
        <f t="shared" si="3"/>
        <v>0</v>
      </c>
      <c r="V62" s="604">
        <f t="shared" si="4"/>
        <v>0</v>
      </c>
    </row>
    <row r="63" spans="1:22">
      <c r="A63" s="1223" t="s">
        <v>947</v>
      </c>
      <c r="B63" s="2465" t="s">
        <v>1542</v>
      </c>
      <c r="C63" s="2465"/>
      <c r="D63" s="2465"/>
      <c r="E63" s="2465"/>
      <c r="F63" s="2465"/>
      <c r="G63" s="2465"/>
      <c r="H63" s="1340" t="s">
        <v>1543</v>
      </c>
      <c r="I63" s="1225">
        <f>+'ÖNK.-Dologi (alábontás)nemrésze'!I111</f>
        <v>0</v>
      </c>
      <c r="J63" s="2599">
        <f>+'ÖNK.-Dologi (alábontás)nemrésze'!J111</f>
        <v>0</v>
      </c>
      <c r="K63" s="1225">
        <f>+'ÖNK.-Dologi (alábontás)nemrésze'!K111</f>
        <v>0</v>
      </c>
      <c r="L63" s="1225">
        <f>+'ÖNK.-Dologi (alábontás)nemrésze'!L111</f>
        <v>0</v>
      </c>
      <c r="M63" s="1225">
        <f>+'ÖNK.-Dologi (alábontás)nemrésze'!M111</f>
        <v>0</v>
      </c>
      <c r="N63" s="1225">
        <f>+'ÖNK.-Dologi (alábontás)nemrésze'!N111</f>
        <v>0</v>
      </c>
      <c r="O63" s="1225">
        <f>+'ÖNK.-Dologi (alábontás)nemrésze'!O111</f>
        <v>0</v>
      </c>
      <c r="P63" s="2466">
        <f>+'ÖNK.-Dologi (alábontás)nemrésze'!P111</f>
        <v>0</v>
      </c>
      <c r="Q63" s="1342"/>
      <c r="R63" s="1220">
        <f t="shared" si="0"/>
        <v>0</v>
      </c>
      <c r="S63" s="275">
        <f t="shared" si="1"/>
        <v>0</v>
      </c>
      <c r="T63" s="275">
        <f t="shared" si="2"/>
        <v>0</v>
      </c>
      <c r="U63" s="275">
        <f t="shared" si="3"/>
        <v>0</v>
      </c>
      <c r="V63" s="604">
        <f t="shared" si="4"/>
        <v>0</v>
      </c>
    </row>
    <row r="64" spans="1:22">
      <c r="A64" s="1223" t="s">
        <v>959</v>
      </c>
      <c r="B64" s="2469" t="s">
        <v>1544</v>
      </c>
      <c r="C64" s="2469"/>
      <c r="D64" s="2469"/>
      <c r="E64" s="2469"/>
      <c r="F64" s="2469"/>
      <c r="G64" s="2469"/>
      <c r="H64" s="2463" t="s">
        <v>1545</v>
      </c>
      <c r="I64" s="1226">
        <f t="shared" ref="I64:P64" si="22">SUM(I62:I63)</f>
        <v>0</v>
      </c>
      <c r="J64" s="2600">
        <f t="shared" si="22"/>
        <v>0</v>
      </c>
      <c r="K64" s="1226">
        <f t="shared" si="22"/>
        <v>0</v>
      </c>
      <c r="L64" s="1226">
        <f t="shared" si="22"/>
        <v>0</v>
      </c>
      <c r="M64" s="1226">
        <f t="shared" si="22"/>
        <v>0</v>
      </c>
      <c r="N64" s="1226">
        <f t="shared" si="22"/>
        <v>0</v>
      </c>
      <c r="O64" s="1226">
        <f t="shared" si="22"/>
        <v>0</v>
      </c>
      <c r="P64" s="2468">
        <f t="shared" si="22"/>
        <v>0</v>
      </c>
      <c r="Q64" s="1348"/>
      <c r="R64" s="1221">
        <f t="shared" si="0"/>
        <v>0</v>
      </c>
      <c r="S64" s="265">
        <f t="shared" si="1"/>
        <v>0</v>
      </c>
      <c r="T64" s="265">
        <f t="shared" si="2"/>
        <v>0</v>
      </c>
      <c r="U64" s="265">
        <f t="shared" si="3"/>
        <v>0</v>
      </c>
      <c r="V64" s="609">
        <f t="shared" si="4"/>
        <v>0</v>
      </c>
    </row>
    <row r="65" spans="1:22" ht="25.5">
      <c r="A65" s="1223" t="s">
        <v>998</v>
      </c>
      <c r="B65" s="2465" t="s">
        <v>1546</v>
      </c>
      <c r="C65" s="2465"/>
      <c r="D65" s="2465"/>
      <c r="E65" s="2465"/>
      <c r="F65" s="2465"/>
      <c r="G65" s="2465"/>
      <c r="H65" s="1340" t="s">
        <v>1547</v>
      </c>
      <c r="I65" s="1225">
        <f>+'ÖNK.-Dologi (alábontás)nemrésze'!I113</f>
        <v>63000000</v>
      </c>
      <c r="J65" s="2599">
        <f>+'ÖNK.-Dologi (alábontás)nemrésze'!J113</f>
        <v>67144000</v>
      </c>
      <c r="K65" s="1225">
        <f>+'ÖNK.-Dologi (alábontás)nemrésze'!K113</f>
        <v>67000000</v>
      </c>
      <c r="L65" s="1225">
        <f>+'ÖNK.-Dologi (alábontás)nemrésze'!L113</f>
        <v>67000000</v>
      </c>
      <c r="M65" s="1225">
        <f>+'ÖNK.-Dologi (alábontás)nemrésze'!M113</f>
        <v>67000000</v>
      </c>
      <c r="N65" s="1225">
        <f>+'ÖNK.-Dologi (alábontás)nemrésze'!N113</f>
        <v>86177000</v>
      </c>
      <c r="O65" s="1225">
        <f>+'ÖNK.-Dologi (alábontás)nemrésze'!O113</f>
        <v>86177000</v>
      </c>
      <c r="P65" s="2466">
        <f>+'ÖNK.-Dologi (alábontás)nemrésze'!P113</f>
        <v>86177000</v>
      </c>
      <c r="Q65" s="1342">
        <f>+P65/N65</f>
        <v>1</v>
      </c>
      <c r="R65" s="1220">
        <f t="shared" si="0"/>
        <v>0</v>
      </c>
      <c r="S65" s="275">
        <f t="shared" si="1"/>
        <v>0</v>
      </c>
      <c r="T65" s="275">
        <f t="shared" si="2"/>
        <v>19177000</v>
      </c>
      <c r="U65" s="275">
        <f t="shared" si="3"/>
        <v>0</v>
      </c>
      <c r="V65" s="604">
        <f t="shared" si="4"/>
        <v>0</v>
      </c>
    </row>
    <row r="66" spans="1:22" ht="25.5">
      <c r="A66" s="1223" t="s">
        <v>1000</v>
      </c>
      <c r="B66" s="2465" t="s">
        <v>1548</v>
      </c>
      <c r="C66" s="2465"/>
      <c r="D66" s="2465"/>
      <c r="E66" s="2465"/>
      <c r="F66" s="2465"/>
      <c r="G66" s="2465"/>
      <c r="H66" s="1340" t="s">
        <v>1549</v>
      </c>
      <c r="I66" s="1225">
        <f>+'ÖNK.-Dologi (alábontás)nemrésze'!I114</f>
        <v>68483906.189999998</v>
      </c>
      <c r="J66" s="2599">
        <f>+'ÖNK.-Dologi (alábontás)nemrésze'!J114</f>
        <v>33030000</v>
      </c>
      <c r="K66" s="1225">
        <f>+'ÖNK.-Dologi (alábontás)nemrésze'!K114</f>
        <v>27803735</v>
      </c>
      <c r="L66" s="1225">
        <f>+'ÖNK.-Dologi (alábontás)nemrésze'!L114</f>
        <v>32435000</v>
      </c>
      <c r="M66" s="1225">
        <f>+'ÖNK.-Dologi (alábontás)nemrésze'!M114</f>
        <v>32435000</v>
      </c>
      <c r="N66" s="1225">
        <f>+'ÖNK.-Dologi (alábontás)nemrésze'!N114</f>
        <v>36488000</v>
      </c>
      <c r="O66" s="1225">
        <f>+'ÖNK.-Dologi (alábontás)nemrésze'!O114</f>
        <v>36488000</v>
      </c>
      <c r="P66" s="2466">
        <f>+'ÖNK.-Dologi (alábontás)nemrésze'!P114</f>
        <v>36488000</v>
      </c>
      <c r="Q66" s="1342">
        <f>+P66/N66</f>
        <v>1</v>
      </c>
      <c r="R66" s="1220">
        <f t="shared" si="0"/>
        <v>4631265</v>
      </c>
      <c r="S66" s="275">
        <f t="shared" si="1"/>
        <v>0</v>
      </c>
      <c r="T66" s="275">
        <f t="shared" si="2"/>
        <v>4053000</v>
      </c>
      <c r="U66" s="275">
        <f t="shared" si="3"/>
        <v>0</v>
      </c>
      <c r="V66" s="604">
        <f t="shared" si="4"/>
        <v>0</v>
      </c>
    </row>
    <row r="67" spans="1:22" ht="25.5">
      <c r="A67" s="1223" t="s">
        <v>1002</v>
      </c>
      <c r="B67" s="2465" t="s">
        <v>121</v>
      </c>
      <c r="C67" s="2465"/>
      <c r="D67" s="2465"/>
      <c r="E67" s="2465"/>
      <c r="F67" s="2465"/>
      <c r="G67" s="2465"/>
      <c r="H67" s="1340" t="s">
        <v>1550</v>
      </c>
      <c r="I67" s="1225">
        <f>+'ÖNK.-Dologi (alábontás)nemrésze'!I115</f>
        <v>0</v>
      </c>
      <c r="J67" s="2599">
        <f>+'ÖNK.-Dologi (alábontás)nemrésze'!J115</f>
        <v>1358619565</v>
      </c>
      <c r="K67" s="1225">
        <f>+'ÖNK.-Dologi (alábontás)nemrésze'!K115</f>
        <v>0</v>
      </c>
      <c r="L67" s="1225">
        <f>+'ÖNK.-Dologi (alábontás)nemrésze'!L115</f>
        <v>0</v>
      </c>
      <c r="M67" s="1225">
        <f>+'ÖNK.-Dologi (alábontás)nemrésze'!M115</f>
        <v>0</v>
      </c>
      <c r="N67" s="1225">
        <f>+'ÖNK.-Dologi (alábontás)nemrésze'!N115</f>
        <v>317378000</v>
      </c>
      <c r="O67" s="1225">
        <f>+'ÖNK.-Dologi (alábontás)nemrésze'!O115</f>
        <v>317378000</v>
      </c>
      <c r="P67" s="2466">
        <f>+'ÖNK.-Dologi (alábontás)nemrésze'!P115</f>
        <v>317378000</v>
      </c>
      <c r="Q67" s="1342">
        <f>+P67/N67</f>
        <v>1</v>
      </c>
      <c r="R67" s="1220">
        <f t="shared" si="0"/>
        <v>0</v>
      </c>
      <c r="S67" s="275">
        <f t="shared" si="1"/>
        <v>0</v>
      </c>
      <c r="T67" s="275">
        <f t="shared" si="2"/>
        <v>317378000</v>
      </c>
      <c r="U67" s="275">
        <f t="shared" si="3"/>
        <v>0</v>
      </c>
      <c r="V67" s="604">
        <f t="shared" si="4"/>
        <v>0</v>
      </c>
    </row>
    <row r="68" spans="1:22">
      <c r="A68" s="1223" t="s">
        <v>1008</v>
      </c>
      <c r="B68" s="2467" t="s">
        <v>1551</v>
      </c>
      <c r="C68" s="2467"/>
      <c r="D68" s="2467"/>
      <c r="E68" s="2467"/>
      <c r="F68" s="2467"/>
      <c r="G68" s="2467"/>
      <c r="H68" s="2463" t="s">
        <v>1552</v>
      </c>
      <c r="I68" s="1226">
        <f t="shared" ref="I68:P68" si="23">SUM(I65:I67)</f>
        <v>131483906.19</v>
      </c>
      <c r="J68" s="2600">
        <f t="shared" si="23"/>
        <v>1458793565</v>
      </c>
      <c r="K68" s="1226">
        <f t="shared" si="23"/>
        <v>94803735</v>
      </c>
      <c r="L68" s="1226">
        <f t="shared" si="23"/>
        <v>99435000</v>
      </c>
      <c r="M68" s="1226">
        <f t="shared" si="23"/>
        <v>99435000</v>
      </c>
      <c r="N68" s="1226">
        <f t="shared" si="23"/>
        <v>440043000</v>
      </c>
      <c r="O68" s="1226">
        <f t="shared" si="23"/>
        <v>440043000</v>
      </c>
      <c r="P68" s="2468">
        <f t="shared" si="23"/>
        <v>440043000</v>
      </c>
      <c r="Q68" s="1348">
        <f>+P68/N68</f>
        <v>1</v>
      </c>
      <c r="R68" s="1221">
        <f t="shared" si="0"/>
        <v>4631265</v>
      </c>
      <c r="S68" s="265">
        <f t="shared" si="1"/>
        <v>0</v>
      </c>
      <c r="T68" s="265">
        <f t="shared" si="2"/>
        <v>340608000</v>
      </c>
      <c r="U68" s="265">
        <f t="shared" si="3"/>
        <v>0</v>
      </c>
      <c r="V68" s="609">
        <f t="shared" si="4"/>
        <v>0</v>
      </c>
    </row>
    <row r="69" spans="1:22">
      <c r="A69" s="1223" t="s">
        <v>1016</v>
      </c>
      <c r="B69" s="2465" t="s">
        <v>1553</v>
      </c>
      <c r="C69" s="2465"/>
      <c r="D69" s="2465"/>
      <c r="E69" s="2465"/>
      <c r="F69" s="2465"/>
      <c r="G69" s="2465"/>
      <c r="H69" s="1340" t="s">
        <v>1554</v>
      </c>
      <c r="I69" s="1225">
        <f>+'ÖNK.-Dologi (alábontás)nemrésze'!I117</f>
        <v>0</v>
      </c>
      <c r="J69" s="2599">
        <f>+'ÖNK.-Dologi (alábontás)nemrésze'!J117</f>
        <v>0</v>
      </c>
      <c r="K69" s="1225">
        <f>+'ÖNK.-Dologi (alábontás)nemrésze'!K117</f>
        <v>0</v>
      </c>
      <c r="L69" s="1225">
        <f>+'ÖNK.-Dologi (alábontás)nemrésze'!L117</f>
        <v>0</v>
      </c>
      <c r="M69" s="1225">
        <f>+'ÖNK.-Dologi (alábontás)nemrésze'!M117</f>
        <v>0</v>
      </c>
      <c r="N69" s="1225">
        <f>+'ÖNK.-Dologi (alábontás)nemrésze'!N117</f>
        <v>0</v>
      </c>
      <c r="O69" s="1225">
        <f>+'ÖNK.-Dologi (alábontás)nemrésze'!O117</f>
        <v>0</v>
      </c>
      <c r="P69" s="2466">
        <f>+'ÖNK.-Dologi (alábontás)nemrésze'!P117</f>
        <v>0</v>
      </c>
      <c r="Q69" s="1342"/>
      <c r="R69" s="1220">
        <f t="shared" si="0"/>
        <v>0</v>
      </c>
      <c r="S69" s="275">
        <f t="shared" si="1"/>
        <v>0</v>
      </c>
      <c r="T69" s="275">
        <f t="shared" si="2"/>
        <v>0</v>
      </c>
      <c r="U69" s="275">
        <f t="shared" si="3"/>
        <v>0</v>
      </c>
      <c r="V69" s="604">
        <f t="shared" si="4"/>
        <v>0</v>
      </c>
    </row>
    <row r="70" spans="1:22">
      <c r="A70" s="1223" t="s">
        <v>1017</v>
      </c>
      <c r="B70" s="2465" t="s">
        <v>1555</v>
      </c>
      <c r="C70" s="2465"/>
      <c r="D70" s="2465"/>
      <c r="E70" s="2465"/>
      <c r="F70" s="2465"/>
      <c r="G70" s="2465"/>
      <c r="H70" s="1340" t="s">
        <v>1556</v>
      </c>
      <c r="I70" s="1225">
        <f>+'ÖNK.-Dologi (alábontás)nemrésze'!I118</f>
        <v>0</v>
      </c>
      <c r="J70" s="2599">
        <f>+'ÖNK.-Dologi (alábontás)nemrésze'!J118</f>
        <v>0</v>
      </c>
      <c r="K70" s="1225">
        <f>+'ÖNK.-Dologi (alábontás)nemrésze'!K118</f>
        <v>0</v>
      </c>
      <c r="L70" s="1225">
        <f>+'ÖNK.-Dologi (alábontás)nemrésze'!L118</f>
        <v>0</v>
      </c>
      <c r="M70" s="1225">
        <f>+'ÖNK.-Dologi (alábontás)nemrésze'!M118</f>
        <v>0</v>
      </c>
      <c r="N70" s="1225">
        <f>+'ÖNK.-Dologi (alábontás)nemrésze'!N118</f>
        <v>904835</v>
      </c>
      <c r="O70" s="1225">
        <f>+'ÖNK.-Dologi (alábontás)nemrésze'!O118</f>
        <v>904835</v>
      </c>
      <c r="P70" s="2466">
        <f>+'ÖNK.-Dologi (alábontás)nemrésze'!P118</f>
        <v>904835</v>
      </c>
      <c r="Q70" s="1342">
        <f>+P70/N70</f>
        <v>1</v>
      </c>
      <c r="R70" s="1220">
        <f t="shared" si="0"/>
        <v>0</v>
      </c>
      <c r="S70" s="275">
        <f t="shared" si="1"/>
        <v>0</v>
      </c>
      <c r="T70" s="275">
        <f t="shared" si="2"/>
        <v>904835</v>
      </c>
      <c r="U70" s="275">
        <f t="shared" si="3"/>
        <v>0</v>
      </c>
      <c r="V70" s="604">
        <f t="shared" si="4"/>
        <v>0</v>
      </c>
    </row>
    <row r="71" spans="1:22">
      <c r="A71" s="1223" t="s">
        <v>1022</v>
      </c>
      <c r="B71" s="2467" t="s">
        <v>1557</v>
      </c>
      <c r="C71" s="2467"/>
      <c r="D71" s="2467"/>
      <c r="E71" s="2467"/>
      <c r="F71" s="2467"/>
      <c r="G71" s="2467"/>
      <c r="H71" s="2463" t="s">
        <v>1558</v>
      </c>
      <c r="I71" s="1226">
        <f t="shared" ref="I71:P71" si="24">SUM(I69:I70)</f>
        <v>0</v>
      </c>
      <c r="J71" s="2600">
        <f t="shared" si="24"/>
        <v>0</v>
      </c>
      <c r="K71" s="1226">
        <f t="shared" si="24"/>
        <v>0</v>
      </c>
      <c r="L71" s="1226">
        <f t="shared" si="24"/>
        <v>0</v>
      </c>
      <c r="M71" s="1226">
        <f t="shared" si="24"/>
        <v>0</v>
      </c>
      <c r="N71" s="1226">
        <f t="shared" si="24"/>
        <v>904835</v>
      </c>
      <c r="O71" s="1226">
        <f t="shared" si="24"/>
        <v>904835</v>
      </c>
      <c r="P71" s="2468">
        <f t="shared" si="24"/>
        <v>904835</v>
      </c>
      <c r="Q71" s="1348">
        <f>+P71/N71</f>
        <v>1</v>
      </c>
      <c r="R71" s="1221">
        <f t="shared" si="0"/>
        <v>0</v>
      </c>
      <c r="S71" s="265">
        <f t="shared" si="1"/>
        <v>0</v>
      </c>
      <c r="T71" s="265">
        <f t="shared" si="2"/>
        <v>904835</v>
      </c>
      <c r="U71" s="265">
        <f t="shared" si="3"/>
        <v>0</v>
      </c>
      <c r="V71" s="609">
        <f t="shared" si="4"/>
        <v>0</v>
      </c>
    </row>
    <row r="72" spans="1:22" s="252" customFormat="1">
      <c r="A72" s="1223" t="s">
        <v>1045</v>
      </c>
      <c r="B72" s="2467" t="s">
        <v>1559</v>
      </c>
      <c r="C72" s="2467"/>
      <c r="D72" s="2467"/>
      <c r="E72" s="2467"/>
      <c r="F72" s="2467"/>
      <c r="G72" s="2467"/>
      <c r="H72" s="2463" t="s">
        <v>1560</v>
      </c>
      <c r="I72" s="1226">
        <f>+'ÖNK.-Dologi (alábontás)nemrésze'!I120</f>
        <v>0</v>
      </c>
      <c r="J72" s="2600">
        <f>+'ÖNK.-Dologi (alábontás)nemrésze'!J120</f>
        <v>0</v>
      </c>
      <c r="K72" s="1226">
        <f>+'ÖNK.-Dologi (alábontás)nemrésze'!K120</f>
        <v>0</v>
      </c>
      <c r="L72" s="1226">
        <f>+'ÖNK.-Dologi (alábontás)nemrésze'!L120</f>
        <v>0</v>
      </c>
      <c r="M72" s="1226">
        <f>+'ÖNK.-Dologi (alábontás)nemrésze'!M120</f>
        <v>0</v>
      </c>
      <c r="N72" s="1226">
        <f>+'ÖNK.-Dologi (alábontás)nemrésze'!N120</f>
        <v>0</v>
      </c>
      <c r="O72" s="1226">
        <f>+'ÖNK.-Dologi (alábontás)nemrésze'!O120</f>
        <v>0</v>
      </c>
      <c r="P72" s="2468">
        <f>+'ÖNK.-Dologi (alábontás)nemrésze'!P120</f>
        <v>0</v>
      </c>
      <c r="Q72" s="1348"/>
      <c r="R72" s="1221">
        <f t="shared" si="0"/>
        <v>0</v>
      </c>
      <c r="S72" s="265">
        <f t="shared" si="1"/>
        <v>0</v>
      </c>
      <c r="T72" s="265">
        <f t="shared" si="2"/>
        <v>0</v>
      </c>
      <c r="U72" s="265">
        <f t="shared" si="3"/>
        <v>0</v>
      </c>
      <c r="V72" s="609">
        <f t="shared" ref="V72:V79" si="25">+N72-P72</f>
        <v>0</v>
      </c>
    </row>
    <row r="73" spans="1:22">
      <c r="A73" s="1223" t="s">
        <v>1055</v>
      </c>
      <c r="B73" s="2465" t="s">
        <v>91</v>
      </c>
      <c r="C73" s="2465"/>
      <c r="D73" s="2465"/>
      <c r="E73" s="2465"/>
      <c r="F73" s="2465"/>
      <c r="G73" s="2465"/>
      <c r="H73" s="1340" t="s">
        <v>1561</v>
      </c>
      <c r="I73" s="1225">
        <f>+'ÖNK.-Dologi (alábontás)nemrésze'!I126</f>
        <v>14900000</v>
      </c>
      <c r="J73" s="2599">
        <f>+'ÖNK.-Dologi (alábontás)nemrésze'!J126</f>
        <v>14015924</v>
      </c>
      <c r="K73" s="1225">
        <f>+'ÖNK.-Dologi (alábontás)nemrésze'!K126</f>
        <v>12700000</v>
      </c>
      <c r="L73" s="1225">
        <f>+'ÖNK.-Dologi (alábontás)nemrésze'!L126</f>
        <v>12700000</v>
      </c>
      <c r="M73" s="1225">
        <f>+'ÖNK.-Dologi (alábontás)nemrésze'!M126</f>
        <v>13198490</v>
      </c>
      <c r="N73" s="1225">
        <f>+'ÖNK.-Dologi (alábontás)nemrésze'!N126</f>
        <v>11725879</v>
      </c>
      <c r="O73" s="1225">
        <f>+'ÖNK.-Dologi (alábontás)nemrésze'!O126</f>
        <v>11725879</v>
      </c>
      <c r="P73" s="2466">
        <f>+'ÖNK.-Dologi (alábontás)nemrésze'!P126</f>
        <v>9877219</v>
      </c>
      <c r="Q73" s="1342">
        <f>+P73/N73</f>
        <v>0.84234358891133021</v>
      </c>
      <c r="R73" s="1220">
        <f t="shared" si="0"/>
        <v>0</v>
      </c>
      <c r="S73" s="275">
        <f t="shared" si="1"/>
        <v>498490</v>
      </c>
      <c r="T73" s="275">
        <f t="shared" si="2"/>
        <v>-1472611</v>
      </c>
      <c r="U73" s="275">
        <f t="shared" si="3"/>
        <v>0</v>
      </c>
      <c r="V73" s="604">
        <f t="shared" si="25"/>
        <v>1848660</v>
      </c>
    </row>
    <row r="74" spans="1:22" ht="25.5">
      <c r="A74" s="1223" t="s">
        <v>1058</v>
      </c>
      <c r="B74" s="2465" t="s">
        <v>1562</v>
      </c>
      <c r="C74" s="2465"/>
      <c r="D74" s="2465"/>
      <c r="E74" s="2465"/>
      <c r="F74" s="2465"/>
      <c r="G74" s="2465"/>
      <c r="H74" s="1340" t="s">
        <v>1563</v>
      </c>
      <c r="I74" s="1225">
        <f>+'ÖNK.-Dologi (alábontás)nemrésze'!I127</f>
        <v>1000000</v>
      </c>
      <c r="J74" s="2599">
        <f>+'ÖNK.-Dologi (alábontás)nemrésze'!J127</f>
        <v>1061255</v>
      </c>
      <c r="K74" s="1225">
        <f>+'ÖNK.-Dologi (alábontás)nemrésze'!K127</f>
        <v>1100000</v>
      </c>
      <c r="L74" s="1225">
        <f>+'ÖNK.-Dologi (alábontás)nemrésze'!L127</f>
        <v>1100000</v>
      </c>
      <c r="M74" s="1225">
        <f>+'ÖNK.-Dologi (alábontás)nemrésze'!M127</f>
        <v>1100000</v>
      </c>
      <c r="N74" s="1225">
        <f>+'ÖNK.-Dologi (alábontás)nemrésze'!N127</f>
        <v>1212017</v>
      </c>
      <c r="O74" s="1225">
        <f>+'ÖNK.-Dologi (alábontás)nemrésze'!O127</f>
        <v>1212017</v>
      </c>
      <c r="P74" s="2466">
        <f>+'ÖNK.-Dologi (alábontás)nemrésze'!P127</f>
        <v>1212017</v>
      </c>
      <c r="Q74" s="1342">
        <f>+P74/N74</f>
        <v>1</v>
      </c>
      <c r="R74" s="1220">
        <f t="shared" si="0"/>
        <v>0</v>
      </c>
      <c r="S74" s="275">
        <f t="shared" si="1"/>
        <v>0</v>
      </c>
      <c r="T74" s="275">
        <f t="shared" si="2"/>
        <v>112017</v>
      </c>
      <c r="U74" s="275">
        <f t="shared" si="3"/>
        <v>0</v>
      </c>
      <c r="V74" s="604">
        <f t="shared" si="25"/>
        <v>0</v>
      </c>
    </row>
    <row r="75" spans="1:22" ht="25.5">
      <c r="A75" s="1223" t="s">
        <v>1060</v>
      </c>
      <c r="B75" s="2465" t="s">
        <v>1850</v>
      </c>
      <c r="C75" s="2465"/>
      <c r="D75" s="2465"/>
      <c r="E75" s="2465"/>
      <c r="F75" s="2465"/>
      <c r="G75" s="2465"/>
      <c r="H75" s="1340"/>
      <c r="I75" s="1225">
        <f>+'ÖNK.-Dologi (alábontás)nemrésze'!I128</f>
        <v>0</v>
      </c>
      <c r="J75" s="2599">
        <f>+'ÖNK.-Dologi (alábontás)nemrésze'!J128</f>
        <v>0</v>
      </c>
      <c r="K75" s="1225">
        <f>+'ÖNK.-Dologi (alábontás)nemrésze'!K128</f>
        <v>0</v>
      </c>
      <c r="L75" s="1225">
        <f>+'ÖNK.-Dologi (alábontás)nemrésze'!L128</f>
        <v>0</v>
      </c>
      <c r="M75" s="1225">
        <f>+'ÖNK.-Dologi (alábontás)nemrésze'!M128</f>
        <v>0</v>
      </c>
      <c r="N75" s="1225">
        <f>+'ÖNK.-Dologi (alábontás)nemrésze'!N128</f>
        <v>0</v>
      </c>
      <c r="O75" s="1225">
        <f>+'ÖNK.-Dologi (alábontás)nemrésze'!O128</f>
        <v>0</v>
      </c>
      <c r="P75" s="2466">
        <f>+'ÖNK.-Dologi (alábontás)nemrésze'!P128</f>
        <v>0</v>
      </c>
      <c r="Q75" s="1342"/>
      <c r="R75" s="1220">
        <f t="shared" si="0"/>
        <v>0</v>
      </c>
      <c r="S75" s="275">
        <f t="shared" si="1"/>
        <v>0</v>
      </c>
      <c r="T75" s="275">
        <f t="shared" si="2"/>
        <v>0</v>
      </c>
      <c r="U75" s="275">
        <f t="shared" si="3"/>
        <v>0</v>
      </c>
      <c r="V75" s="604">
        <f t="shared" si="25"/>
        <v>0</v>
      </c>
    </row>
    <row r="76" spans="1:22">
      <c r="A76" s="1223" t="s">
        <v>1062</v>
      </c>
      <c r="B76" s="2465" t="s">
        <v>1576</v>
      </c>
      <c r="C76" s="2465"/>
      <c r="D76" s="2465"/>
      <c r="E76" s="2465"/>
      <c r="F76" s="2465"/>
      <c r="G76" s="2465"/>
      <c r="H76" s="1340" t="s">
        <v>1577</v>
      </c>
      <c r="I76" s="1225">
        <f>+'ÖNK.-Dologi (alábontás)nemrésze'!I131</f>
        <v>200000</v>
      </c>
      <c r="J76" s="2599">
        <f>+'ÖNK.-Dologi (alábontás)nemrésze'!J131</f>
        <v>31228</v>
      </c>
      <c r="K76" s="1225">
        <f>+'ÖNK.-Dologi (alábontás)nemrésze'!K131</f>
        <v>200000</v>
      </c>
      <c r="L76" s="1225">
        <f>+'ÖNK.-Dologi (alábontás)nemrésze'!L131</f>
        <v>200000</v>
      </c>
      <c r="M76" s="1225">
        <f>+'ÖNK.-Dologi (alábontás)nemrésze'!M131+'ÖNK.-Dologi (alábontás)nemrésze'!M130</f>
        <v>200000</v>
      </c>
      <c r="N76" s="1225">
        <f>+'ÖNK.-Dologi (alábontás)nemrésze'!N131+'ÖNK.-Dologi (alábontás)nemrésze'!N130</f>
        <v>539100</v>
      </c>
      <c r="O76" s="1225">
        <f>+'ÖNK.-Dologi (alábontás)nemrésze'!O131+'ÖNK.-Dologi (alábontás)nemrésze'!O130</f>
        <v>539100</v>
      </c>
      <c r="P76" s="2466">
        <f>+'ÖNK.-Dologi (alábontás)nemrésze'!P131+'ÖNK.-Dologi (alábontás)nemrésze'!P130</f>
        <v>539100</v>
      </c>
      <c r="Q76" s="1342">
        <f>+P76/N76</f>
        <v>1</v>
      </c>
      <c r="R76" s="1220">
        <f t="shared" si="0"/>
        <v>0</v>
      </c>
      <c r="S76" s="275">
        <f t="shared" si="1"/>
        <v>0</v>
      </c>
      <c r="T76" s="275">
        <f t="shared" si="2"/>
        <v>339100</v>
      </c>
      <c r="U76" s="275">
        <f t="shared" si="3"/>
        <v>0</v>
      </c>
      <c r="V76" s="604">
        <f t="shared" si="25"/>
        <v>0</v>
      </c>
    </row>
    <row r="77" spans="1:22">
      <c r="A77" s="1223" t="s">
        <v>1065</v>
      </c>
      <c r="B77" s="2467" t="s">
        <v>1851</v>
      </c>
      <c r="C77" s="2467"/>
      <c r="D77" s="2467"/>
      <c r="E77" s="2467"/>
      <c r="F77" s="2467"/>
      <c r="G77" s="2467"/>
      <c r="H77" s="2463" t="s">
        <v>1578</v>
      </c>
      <c r="I77" s="1226">
        <f t="shared" ref="I77:P77" si="26">SUM(I73:I76)</f>
        <v>16100000</v>
      </c>
      <c r="J77" s="2600">
        <f t="shared" si="26"/>
        <v>15108407</v>
      </c>
      <c r="K77" s="1226">
        <f t="shared" si="26"/>
        <v>14000000</v>
      </c>
      <c r="L77" s="1226">
        <f t="shared" si="26"/>
        <v>14000000</v>
      </c>
      <c r="M77" s="1226">
        <f t="shared" si="26"/>
        <v>14498490</v>
      </c>
      <c r="N77" s="1226">
        <f t="shared" si="26"/>
        <v>13476996</v>
      </c>
      <c r="O77" s="1226">
        <f t="shared" si="26"/>
        <v>13476996</v>
      </c>
      <c r="P77" s="2468">
        <f t="shared" si="26"/>
        <v>11628336</v>
      </c>
      <c r="Q77" s="1348">
        <f>+P77/N77</f>
        <v>0.86282848195547435</v>
      </c>
      <c r="R77" s="1221">
        <f t="shared" si="0"/>
        <v>0</v>
      </c>
      <c r="S77" s="265">
        <f t="shared" si="1"/>
        <v>498490</v>
      </c>
      <c r="T77" s="265">
        <f t="shared" si="2"/>
        <v>-1021494</v>
      </c>
      <c r="U77" s="265">
        <f t="shared" si="3"/>
        <v>0</v>
      </c>
      <c r="V77" s="609">
        <f t="shared" si="25"/>
        <v>1848660</v>
      </c>
    </row>
    <row r="78" spans="1:22">
      <c r="A78" s="1223" t="s">
        <v>1068</v>
      </c>
      <c r="B78" s="2467" t="s">
        <v>1852</v>
      </c>
      <c r="C78" s="2467"/>
      <c r="D78" s="2467"/>
      <c r="E78" s="2467"/>
      <c r="F78" s="2467"/>
      <c r="G78" s="2467"/>
      <c r="H78" s="2463" t="s">
        <v>1579</v>
      </c>
      <c r="I78" s="1226">
        <f t="shared" ref="I78:P78" si="27">+I64+I68+I71+I77</f>
        <v>147583906.19</v>
      </c>
      <c r="J78" s="2600">
        <f t="shared" si="27"/>
        <v>1473901972</v>
      </c>
      <c r="K78" s="1226">
        <f t="shared" si="27"/>
        <v>108803735</v>
      </c>
      <c r="L78" s="1226">
        <f t="shared" si="27"/>
        <v>113435000</v>
      </c>
      <c r="M78" s="1226">
        <f t="shared" si="27"/>
        <v>113933490</v>
      </c>
      <c r="N78" s="1226">
        <f t="shared" si="27"/>
        <v>454424831</v>
      </c>
      <c r="O78" s="1226">
        <f t="shared" si="27"/>
        <v>454424831</v>
      </c>
      <c r="P78" s="2468">
        <f t="shared" si="27"/>
        <v>452576171</v>
      </c>
      <c r="Q78" s="1348">
        <f>+P78/N78</f>
        <v>0.99593186843260328</v>
      </c>
      <c r="R78" s="1221">
        <f t="shared" si="0"/>
        <v>4631265</v>
      </c>
      <c r="S78" s="265">
        <f t="shared" si="1"/>
        <v>498490</v>
      </c>
      <c r="T78" s="265">
        <f t="shared" si="2"/>
        <v>340491341</v>
      </c>
      <c r="U78" s="265">
        <f t="shared" si="3"/>
        <v>0</v>
      </c>
      <c r="V78" s="609">
        <f t="shared" si="25"/>
        <v>1848660</v>
      </c>
    </row>
    <row r="79" spans="1:22" ht="18.75">
      <c r="A79" s="1223" t="s">
        <v>1070</v>
      </c>
      <c r="B79" s="2471" t="s">
        <v>1853</v>
      </c>
      <c r="C79" s="2471"/>
      <c r="D79" s="2471"/>
      <c r="E79" s="2471"/>
      <c r="F79" s="2471"/>
      <c r="G79" s="2471"/>
      <c r="H79" s="2472" t="s">
        <v>1580</v>
      </c>
      <c r="I79" s="1228">
        <f t="shared" ref="I79:P79" si="28">+I24+I35+I56+I61+I78</f>
        <v>531223854.19</v>
      </c>
      <c r="J79" s="2601">
        <f t="shared" si="28"/>
        <v>1845024967</v>
      </c>
      <c r="K79" s="1228">
        <f t="shared" si="28"/>
        <v>542028880</v>
      </c>
      <c r="L79" s="1228">
        <f t="shared" si="28"/>
        <v>566097742</v>
      </c>
      <c r="M79" s="1228">
        <f t="shared" si="28"/>
        <v>596244293</v>
      </c>
      <c r="N79" s="1228">
        <f t="shared" si="28"/>
        <v>938912538</v>
      </c>
      <c r="O79" s="1228">
        <f t="shared" si="28"/>
        <v>938912538</v>
      </c>
      <c r="P79" s="2473">
        <f t="shared" si="28"/>
        <v>820172715</v>
      </c>
      <c r="Q79" s="2474">
        <f>+P79/N79</f>
        <v>0.87353473492543776</v>
      </c>
      <c r="R79" s="1222">
        <f t="shared" si="0"/>
        <v>24068862</v>
      </c>
      <c r="S79" s="288">
        <f t="shared" si="1"/>
        <v>30146551</v>
      </c>
      <c r="T79" s="288">
        <f t="shared" si="2"/>
        <v>342668245</v>
      </c>
      <c r="U79" s="288">
        <f t="shared" si="3"/>
        <v>0</v>
      </c>
      <c r="V79" s="611">
        <f t="shared" si="25"/>
        <v>118739823</v>
      </c>
    </row>
    <row r="83" spans="9:21" hidden="1">
      <c r="I83" s="289">
        <f t="shared" ref="I83:U83" si="29">+I79</f>
        <v>531223854.19</v>
      </c>
      <c r="J83" s="289">
        <f t="shared" si="29"/>
        <v>1845024967</v>
      </c>
      <c r="K83" s="289">
        <f t="shared" si="29"/>
        <v>542028880</v>
      </c>
      <c r="L83" s="289">
        <f t="shared" si="29"/>
        <v>566097742</v>
      </c>
      <c r="M83" s="289">
        <f t="shared" si="29"/>
        <v>596244293</v>
      </c>
      <c r="N83" s="289">
        <f t="shared" si="29"/>
        <v>938912538</v>
      </c>
      <c r="O83" s="289">
        <f t="shared" si="29"/>
        <v>938912538</v>
      </c>
      <c r="P83" s="289">
        <f t="shared" si="29"/>
        <v>820172715</v>
      </c>
      <c r="Q83" s="280">
        <f t="shared" si="29"/>
        <v>0.87353473492543776</v>
      </c>
      <c r="R83" s="289">
        <f t="shared" si="29"/>
        <v>24068862</v>
      </c>
      <c r="S83" s="289">
        <f t="shared" si="29"/>
        <v>30146551</v>
      </c>
      <c r="T83" s="289">
        <f t="shared" si="29"/>
        <v>342668245</v>
      </c>
      <c r="U83" s="289">
        <f t="shared" si="29"/>
        <v>0</v>
      </c>
    </row>
    <row r="84" spans="9:21" hidden="1">
      <c r="K84" s="289">
        <f>+'ÖNK.-Dologi (alábontás)nemrésze'!K134</f>
        <v>542028880</v>
      </c>
      <c r="L84" s="289">
        <f>+'ÖNK.-Dologi (alábontás)nemrésze'!L134</f>
        <v>566097742</v>
      </c>
      <c r="M84" s="289">
        <f>+'ÖNK.-Dologi (alábontás)nemrésze'!M134</f>
        <v>596244293</v>
      </c>
      <c r="N84" s="289">
        <f>+'ÖNK.-Dologi (alábontás)nemrésze'!N134</f>
        <v>938912538</v>
      </c>
      <c r="O84" s="289">
        <f>+'ÖNK.-Dologi (alábontás)nemrésze'!O134</f>
        <v>938912538</v>
      </c>
      <c r="P84" s="289">
        <f>+'ÖNK.-Dologi (alábontás)nemrésze'!P134</f>
        <v>820172715</v>
      </c>
    </row>
  </sheetData>
  <sheetProtection algorithmName="SHA-512" hashValue="XbN7oifswpqzoaenrPOdH/opBGm4umgMovlt22gA/IPpB9yP3f4rZQkU4Pbntvyzvob3JcqXReSXfzkd+dFR3Q==" saltValue="zGAcS2VUcMigEjhkvRf5cg==" spinCount="100000" sheet="1" selectLockedCells="1" selectUnlockedCells="1"/>
  <mergeCells count="2">
    <mergeCell ref="A1:T1"/>
    <mergeCell ref="A2:T2"/>
  </mergeCells>
  <printOptions horizontalCentered="1"/>
  <pageMargins left="0.15748031496062992" right="0.19685039370078741" top="0.70866141732283472" bottom="0.27559055118110237" header="0.51181102362204722" footer="0.15748031496062992"/>
  <pageSetup paperSize="9" scale="65" firstPageNumber="0" fitToWidth="2" fitToHeight="2" orientation="portrait" r:id="rId1"/>
  <headerFooter alignWithMargins="0">
    <oddFooter>&amp;C&amp;"Arial CE,Félkövér"&amp;18 &amp;P/&amp;N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0D96B-F63A-4C95-9510-4B4506259F11}">
  <sheetPr>
    <tabColor theme="5" tint="0.39997558519241921"/>
  </sheetPr>
  <dimension ref="A1:AB141"/>
  <sheetViews>
    <sheetView view="pageBreakPreview" zoomScale="90" zoomScaleNormal="85" zoomScaleSheetLayoutView="90" workbookViewId="0">
      <pane xSplit="11" ySplit="4" topLeftCell="N5" activePane="bottomRight" state="frozen"/>
      <selection sqref="A1:Q1"/>
      <selection pane="topRight" sqref="A1:Q1"/>
      <selection pane="bottomLeft" sqref="A1:Q1"/>
      <selection pane="bottomRight" activeCell="P115" sqref="P115"/>
    </sheetView>
  </sheetViews>
  <sheetFormatPr defaultRowHeight="12.75"/>
  <cols>
    <col min="1" max="1" width="6.5703125" style="171" customWidth="1"/>
    <col min="2" max="2" width="47" style="165" customWidth="1"/>
    <col min="3" max="3" width="6.140625" style="165" hidden="1" customWidth="1"/>
    <col min="4" max="4" width="8.85546875" style="165" hidden="1" customWidth="1"/>
    <col min="5" max="5" width="4.5703125" style="167" hidden="1" customWidth="1"/>
    <col min="6" max="6" width="7.42578125" style="165" hidden="1" customWidth="1"/>
    <col min="7" max="7" width="9.42578125" style="165" hidden="1" customWidth="1"/>
    <col min="8" max="8" width="9.5703125" style="168" hidden="1" customWidth="1"/>
    <col min="9" max="9" width="15.7109375" style="169" hidden="1" customWidth="1"/>
    <col min="10" max="10" width="18" style="169" hidden="1" customWidth="1"/>
    <col min="11" max="11" width="15.42578125" style="2332" customWidth="1"/>
    <col min="12" max="12" width="16.85546875" style="169" hidden="1" customWidth="1"/>
    <col min="13" max="13" width="15.85546875" style="169" hidden="1" customWidth="1"/>
    <col min="14" max="14" width="16.140625" style="169" customWidth="1"/>
    <col min="15" max="15" width="15.7109375" style="169" hidden="1" customWidth="1"/>
    <col min="16" max="16" width="18" style="169" customWidth="1"/>
    <col min="17" max="17" width="15.85546875" style="169" customWidth="1"/>
    <col min="18" max="18" width="17.28515625" style="169" hidden="1" customWidth="1"/>
    <col min="19" max="19" width="14.140625" style="169" hidden="1" customWidth="1"/>
    <col min="20" max="20" width="15.7109375" style="169" hidden="1" customWidth="1"/>
    <col min="21" max="21" width="12" style="169" hidden="1" customWidth="1"/>
    <col min="22" max="23" width="9.140625" style="172" hidden="1" customWidth="1"/>
    <col min="24" max="24" width="17.28515625" style="171" hidden="1" customWidth="1"/>
    <col min="25" max="25" width="12" style="171" bestFit="1" customWidth="1"/>
    <col min="26" max="26" width="12.5703125" style="171" bestFit="1" customWidth="1"/>
    <col min="27" max="27" width="15.7109375" style="171" hidden="1" customWidth="1"/>
    <col min="28" max="16384" width="9.140625" style="171"/>
  </cols>
  <sheetData>
    <row r="1" spans="1:27" ht="12.75" customHeight="1">
      <c r="A1" s="3650" t="s">
        <v>3232</v>
      </c>
      <c r="B1" s="3650"/>
      <c r="C1" s="3650"/>
      <c r="D1" s="3650"/>
      <c r="E1" s="3650"/>
      <c r="F1" s="3650"/>
      <c r="G1" s="3650"/>
      <c r="H1" s="3650"/>
      <c r="I1" s="3650"/>
      <c r="J1" s="3650"/>
      <c r="K1" s="3650"/>
      <c r="L1" s="3650"/>
      <c r="M1" s="172"/>
      <c r="N1" s="172"/>
      <c r="O1" s="172"/>
      <c r="P1" s="172"/>
      <c r="Q1" s="172"/>
      <c r="R1" s="172"/>
      <c r="S1" s="172"/>
      <c r="T1" s="172"/>
      <c r="U1" s="172"/>
    </row>
    <row r="2" spans="1:27" s="174" customFormat="1" ht="12" customHeight="1">
      <c r="B2" s="175"/>
      <c r="C2" s="175"/>
      <c r="D2" s="175"/>
      <c r="E2" s="164"/>
      <c r="F2" s="175"/>
      <c r="G2" s="175"/>
      <c r="H2" s="176"/>
      <c r="I2" s="3675"/>
      <c r="J2" s="3675"/>
      <c r="K2" s="3675"/>
      <c r="L2" s="173"/>
      <c r="M2" s="173"/>
      <c r="N2" s="173"/>
      <c r="O2" s="173"/>
      <c r="P2" s="173"/>
      <c r="Q2" s="173"/>
      <c r="R2" s="173"/>
      <c r="S2" s="173"/>
      <c r="T2" s="173"/>
      <c r="U2" s="173"/>
      <c r="V2" s="173"/>
      <c r="W2" s="173"/>
    </row>
    <row r="3" spans="1:27" s="174" customFormat="1" ht="12" customHeight="1">
      <c r="B3" s="175"/>
      <c r="C3" s="175"/>
      <c r="D3" s="175"/>
      <c r="E3" s="164"/>
      <c r="F3" s="175"/>
      <c r="G3" s="175"/>
      <c r="H3" s="176"/>
      <c r="I3" s="1715"/>
      <c r="J3" s="1714"/>
      <c r="K3" s="2355" t="s">
        <v>3546</v>
      </c>
      <c r="L3" s="173"/>
      <c r="M3" s="173"/>
      <c r="N3" s="173"/>
      <c r="O3" s="173"/>
      <c r="P3" s="173"/>
      <c r="Q3" s="173"/>
      <c r="R3" s="173"/>
      <c r="S3" s="173"/>
      <c r="T3" s="173"/>
      <c r="U3" s="173"/>
      <c r="V3" s="173"/>
      <c r="W3" s="173"/>
    </row>
    <row r="4" spans="1:27" ht="63.75" customHeight="1">
      <c r="A4" s="182" t="s">
        <v>1581</v>
      </c>
      <c r="B4" s="187" t="s">
        <v>1186</v>
      </c>
      <c r="C4" s="180" t="s">
        <v>504</v>
      </c>
      <c r="D4" s="191" t="s">
        <v>505</v>
      </c>
      <c r="E4" s="180" t="s">
        <v>506</v>
      </c>
      <c r="F4" s="180" t="s">
        <v>507</v>
      </c>
      <c r="G4" s="180" t="s">
        <v>508</v>
      </c>
      <c r="H4" s="180" t="s">
        <v>509</v>
      </c>
      <c r="I4" s="182" t="str">
        <f>+'1. mell.ÖSSZEVONT_MÉRLEG'!C5</f>
        <v>2024. évi eredeti előirányzat
forintban</v>
      </c>
      <c r="J4" s="2602" t="str">
        <f>+'1. mell.ÖSSZEVONT_MÉRLEG'!D5</f>
        <v>2024. évi teljesítés forintban</v>
      </c>
      <c r="K4" s="2344" t="str">
        <f>+'1. mell.ÖSSZEVONT_MÉRLEG'!E5</f>
        <v>2025. évi eredeti előirányzat forintban</v>
      </c>
      <c r="L4" s="182" t="str">
        <f>+'1. mell.ÖSSZEVONT_MÉRLEG'!F5</f>
        <v>2025. évi I. számú módosított előirányzat
forintban</v>
      </c>
      <c r="M4" s="182" t="str">
        <f>+'1. mell.ÖSSZEVONT_MÉRLEG'!G5</f>
        <v>2025. évi II. számú módosított előirányzat forintban</v>
      </c>
      <c r="N4" s="182" t="str">
        <f>+'1. mell.ÖSSZEVONT_MÉRLEG'!H5</f>
        <v>2025. évi III. számú módosított előirányzat forintban</v>
      </c>
      <c r="O4" s="182" t="str">
        <f>+'1. mell.ÖSSZEVONT_MÉRLEG'!I5</f>
        <v>2025. évi IV. számú módosított előirányzat forintban</v>
      </c>
      <c r="P4" s="612" t="str">
        <f>+'1. mell.ÖSSZEVONT_MÉRLEG'!J5</f>
        <v>2025. évi
teljesítés forintban</v>
      </c>
      <c r="Q4" s="182" t="str">
        <f>+'1. mell.ÖSSZEVONT_MÉRLEG'!K5</f>
        <v xml:space="preserve"> 2025. évi teljesítés / 2025. évi III. számú módosított előirányzat</v>
      </c>
      <c r="R4" s="182" t="s">
        <v>172</v>
      </c>
      <c r="S4" s="182" t="s">
        <v>173</v>
      </c>
      <c r="T4" s="182" t="s">
        <v>174</v>
      </c>
      <c r="U4" s="182" t="s">
        <v>175</v>
      </c>
      <c r="V4" s="195" t="s">
        <v>510</v>
      </c>
      <c r="W4" s="195" t="s">
        <v>511</v>
      </c>
      <c r="X4" s="612" t="s">
        <v>3984</v>
      </c>
      <c r="AA4" s="612" t="s">
        <v>3690</v>
      </c>
    </row>
    <row r="5" spans="1:27">
      <c r="A5" s="179"/>
      <c r="B5" s="179"/>
      <c r="C5" s="179"/>
      <c r="D5" s="179"/>
      <c r="E5" s="179"/>
      <c r="F5" s="179"/>
      <c r="G5" s="179"/>
      <c r="H5" s="179"/>
      <c r="I5" s="186"/>
      <c r="J5" s="2603"/>
      <c r="K5" s="2345"/>
      <c r="L5" s="186"/>
      <c r="M5" s="186"/>
      <c r="N5" s="186"/>
      <c r="O5" s="186"/>
      <c r="P5" s="614"/>
      <c r="Q5" s="186"/>
      <c r="R5" s="179"/>
      <c r="S5" s="179"/>
      <c r="T5" s="179"/>
      <c r="U5" s="179"/>
      <c r="V5" s="615"/>
      <c r="W5" s="615"/>
      <c r="X5" s="614"/>
      <c r="AA5" s="614"/>
    </row>
    <row r="6" spans="1:27">
      <c r="B6" s="179" t="s">
        <v>1436</v>
      </c>
      <c r="C6" s="616"/>
      <c r="D6" s="616"/>
      <c r="E6" s="179"/>
      <c r="F6" s="616"/>
      <c r="G6" s="616"/>
      <c r="H6" s="617"/>
      <c r="I6" s="617"/>
      <c r="J6" s="2548"/>
      <c r="K6" s="2356"/>
      <c r="L6" s="617"/>
      <c r="M6" s="617"/>
      <c r="N6" s="617"/>
      <c r="O6" s="617"/>
      <c r="P6" s="618"/>
      <c r="Q6" s="617"/>
      <c r="R6" s="617"/>
      <c r="S6" s="617"/>
      <c r="T6" s="617"/>
      <c r="U6" s="617"/>
      <c r="V6" s="615"/>
      <c r="W6" s="615"/>
      <c r="X6" s="618"/>
      <c r="AA6" s="618"/>
    </row>
    <row r="7" spans="1:27">
      <c r="B7" s="214" t="s">
        <v>1437</v>
      </c>
      <c r="C7" s="619"/>
      <c r="D7" s="619"/>
      <c r="E7" s="190"/>
      <c r="F7" s="619"/>
      <c r="G7" s="619"/>
      <c r="H7" s="620" t="s">
        <v>1438</v>
      </c>
      <c r="I7" s="192">
        <v>0</v>
      </c>
      <c r="J7" s="2550">
        <f>+I7</f>
        <v>0</v>
      </c>
      <c r="K7" s="2219">
        <v>0</v>
      </c>
      <c r="L7" s="192">
        <f t="shared" ref="L7:L12" si="0">+K7</f>
        <v>0</v>
      </c>
      <c r="M7" s="192">
        <f t="shared" ref="M7:M12" si="1">+L7</f>
        <v>0</v>
      </c>
      <c r="N7" s="192">
        <f t="shared" ref="N7:N12" si="2">+M7</f>
        <v>0</v>
      </c>
      <c r="O7" s="192">
        <f t="shared" ref="O7:O12" si="3">+N7</f>
        <v>0</v>
      </c>
      <c r="P7" s="538">
        <v>0</v>
      </c>
      <c r="Q7" s="193"/>
      <c r="R7" s="192">
        <f t="shared" ref="R7:R47" si="4">+L7-K7</f>
        <v>0</v>
      </c>
      <c r="S7" s="192">
        <f t="shared" ref="S7:S47" si="5">+M7-L7</f>
        <v>0</v>
      </c>
      <c r="T7" s="192">
        <f t="shared" ref="T7:T47" si="6">+N7-M7</f>
        <v>0</v>
      </c>
      <c r="U7" s="192">
        <f t="shared" ref="U7:U47" si="7">+O7-N7</f>
        <v>0</v>
      </c>
      <c r="V7" s="615"/>
      <c r="W7" s="615"/>
      <c r="X7" s="538"/>
      <c r="AA7" s="538">
        <v>0</v>
      </c>
    </row>
    <row r="8" spans="1:27">
      <c r="B8" s="214" t="s">
        <v>1439</v>
      </c>
      <c r="C8" s="619"/>
      <c r="D8" s="619"/>
      <c r="E8" s="190"/>
      <c r="F8" s="619"/>
      <c r="G8" s="619"/>
      <c r="H8" s="620" t="s">
        <v>1440</v>
      </c>
      <c r="I8" s="192">
        <v>0</v>
      </c>
      <c r="J8" s="2550">
        <f>+I8</f>
        <v>0</v>
      </c>
      <c r="K8" s="2219">
        <v>0</v>
      </c>
      <c r="L8" s="192">
        <f t="shared" si="0"/>
        <v>0</v>
      </c>
      <c r="M8" s="192">
        <f t="shared" si="1"/>
        <v>0</v>
      </c>
      <c r="N8" s="192">
        <f t="shared" si="2"/>
        <v>0</v>
      </c>
      <c r="O8" s="192">
        <f t="shared" si="3"/>
        <v>0</v>
      </c>
      <c r="P8" s="538">
        <v>0</v>
      </c>
      <c r="Q8" s="193"/>
      <c r="R8" s="192">
        <f t="shared" si="4"/>
        <v>0</v>
      </c>
      <c r="S8" s="192">
        <f t="shared" si="5"/>
        <v>0</v>
      </c>
      <c r="T8" s="192">
        <f t="shared" si="6"/>
        <v>0</v>
      </c>
      <c r="U8" s="192">
        <f t="shared" si="7"/>
        <v>0</v>
      </c>
      <c r="V8" s="615"/>
      <c r="W8" s="615"/>
      <c r="X8" s="538"/>
      <c r="AA8" s="538">
        <v>0</v>
      </c>
    </row>
    <row r="9" spans="1:27">
      <c r="B9" s="214" t="s">
        <v>1441</v>
      </c>
      <c r="C9" s="619"/>
      <c r="D9" s="619"/>
      <c r="E9" s="190"/>
      <c r="F9" s="619"/>
      <c r="G9" s="619"/>
      <c r="H9" s="620" t="s">
        <v>1442</v>
      </c>
      <c r="I9" s="192">
        <v>0</v>
      </c>
      <c r="J9" s="2550">
        <f>+I9</f>
        <v>0</v>
      </c>
      <c r="K9" s="2219">
        <v>0</v>
      </c>
      <c r="L9" s="192">
        <f t="shared" si="0"/>
        <v>0</v>
      </c>
      <c r="M9" s="192">
        <f t="shared" si="1"/>
        <v>0</v>
      </c>
      <c r="N9" s="192">
        <f t="shared" si="2"/>
        <v>0</v>
      </c>
      <c r="O9" s="192">
        <f t="shared" si="3"/>
        <v>0</v>
      </c>
      <c r="P9" s="538">
        <v>0</v>
      </c>
      <c r="Q9" s="193"/>
      <c r="R9" s="192">
        <f t="shared" si="4"/>
        <v>0</v>
      </c>
      <c r="S9" s="192">
        <f t="shared" si="5"/>
        <v>0</v>
      </c>
      <c r="T9" s="192">
        <f t="shared" si="6"/>
        <v>0</v>
      </c>
      <c r="U9" s="192">
        <f t="shared" si="7"/>
        <v>0</v>
      </c>
      <c r="V9" s="615"/>
      <c r="W9" s="615"/>
      <c r="X9" s="538"/>
      <c r="AA9" s="538">
        <v>0</v>
      </c>
    </row>
    <row r="10" spans="1:27">
      <c r="B10" s="214" t="s">
        <v>1443</v>
      </c>
      <c r="C10" s="619"/>
      <c r="D10" s="619"/>
      <c r="E10" s="190"/>
      <c r="F10" s="619"/>
      <c r="G10" s="619"/>
      <c r="H10" s="620" t="s">
        <v>1444</v>
      </c>
      <c r="I10" s="192">
        <v>0</v>
      </c>
      <c r="J10" s="2550">
        <f>+I10</f>
        <v>0</v>
      </c>
      <c r="K10" s="2219">
        <v>0</v>
      </c>
      <c r="L10" s="192">
        <f t="shared" si="0"/>
        <v>0</v>
      </c>
      <c r="M10" s="192">
        <f t="shared" si="1"/>
        <v>0</v>
      </c>
      <c r="N10" s="192">
        <f t="shared" si="2"/>
        <v>0</v>
      </c>
      <c r="O10" s="192">
        <f t="shared" si="3"/>
        <v>0</v>
      </c>
      <c r="P10" s="538">
        <v>0</v>
      </c>
      <c r="Q10" s="193"/>
      <c r="R10" s="192">
        <f t="shared" si="4"/>
        <v>0</v>
      </c>
      <c r="S10" s="192">
        <f t="shared" si="5"/>
        <v>0</v>
      </c>
      <c r="T10" s="192">
        <f t="shared" si="6"/>
        <v>0</v>
      </c>
      <c r="U10" s="192">
        <f t="shared" si="7"/>
        <v>0</v>
      </c>
      <c r="V10" s="615"/>
      <c r="W10" s="615"/>
      <c r="X10" s="538"/>
      <c r="AA10" s="538">
        <v>0</v>
      </c>
    </row>
    <row r="11" spans="1:27">
      <c r="B11" s="214" t="s">
        <v>1445</v>
      </c>
      <c r="C11" s="621" t="s">
        <v>599</v>
      </c>
      <c r="D11" s="619" t="s">
        <v>1586</v>
      </c>
      <c r="E11" s="190">
        <v>2</v>
      </c>
      <c r="F11" s="621" t="s">
        <v>534</v>
      </c>
      <c r="G11" s="621" t="s">
        <v>572</v>
      </c>
      <c r="H11" s="620" t="s">
        <v>1446</v>
      </c>
      <c r="I11" s="192">
        <v>0</v>
      </c>
      <c r="J11" s="2550">
        <v>0</v>
      </c>
      <c r="K11" s="2219">
        <v>0</v>
      </c>
      <c r="L11" s="192">
        <f t="shared" si="0"/>
        <v>0</v>
      </c>
      <c r="M11" s="192">
        <f>+L11</f>
        <v>0</v>
      </c>
      <c r="N11" s="192">
        <f t="shared" si="2"/>
        <v>0</v>
      </c>
      <c r="O11" s="192">
        <f t="shared" si="3"/>
        <v>0</v>
      </c>
      <c r="P11" s="538">
        <v>0</v>
      </c>
      <c r="Q11" s="193"/>
      <c r="R11" s="192">
        <f t="shared" si="4"/>
        <v>0</v>
      </c>
      <c r="S11" s="192">
        <f t="shared" si="5"/>
        <v>0</v>
      </c>
      <c r="T11" s="192">
        <f t="shared" si="6"/>
        <v>0</v>
      </c>
      <c r="U11" s="192">
        <f t="shared" si="7"/>
        <v>0</v>
      </c>
      <c r="V11" s="615"/>
      <c r="W11" s="615"/>
      <c r="X11" s="538"/>
      <c r="AA11" s="538">
        <v>0</v>
      </c>
    </row>
    <row r="12" spans="1:27" ht="12.75" customHeight="1">
      <c r="B12" s="214" t="s">
        <v>83</v>
      </c>
      <c r="C12" s="621" t="s">
        <v>730</v>
      </c>
      <c r="D12" s="619" t="s">
        <v>1587</v>
      </c>
      <c r="E12" s="190">
        <v>2</v>
      </c>
      <c r="F12" s="621" t="s">
        <v>534</v>
      </c>
      <c r="G12" s="621" t="s">
        <v>572</v>
      </c>
      <c r="H12" s="620" t="s">
        <v>1447</v>
      </c>
      <c r="I12" s="192">
        <f>1500000</f>
        <v>1500000</v>
      </c>
      <c r="J12" s="2550">
        <v>741655</v>
      </c>
      <c r="K12" s="2219">
        <f>1500000-500000</f>
        <v>1000000</v>
      </c>
      <c r="L12" s="192">
        <f t="shared" si="0"/>
        <v>1000000</v>
      </c>
      <c r="M12" s="192">
        <f t="shared" si="1"/>
        <v>1000000</v>
      </c>
      <c r="N12" s="192">
        <f t="shared" si="2"/>
        <v>1000000</v>
      </c>
      <c r="O12" s="192">
        <f t="shared" si="3"/>
        <v>1000000</v>
      </c>
      <c r="P12" s="603">
        <f>1188524-350000</f>
        <v>838524</v>
      </c>
      <c r="Q12" s="193">
        <f>+P12/N12</f>
        <v>0.83852400000000005</v>
      </c>
      <c r="R12" s="192">
        <f t="shared" si="4"/>
        <v>0</v>
      </c>
      <c r="S12" s="192">
        <f t="shared" si="5"/>
        <v>0</v>
      </c>
      <c r="T12" s="192">
        <f t="shared" si="6"/>
        <v>0</v>
      </c>
      <c r="U12" s="192">
        <f t="shared" si="7"/>
        <v>0</v>
      </c>
      <c r="V12" s="615">
        <f>+K12/1.27</f>
        <v>787401.57480314956</v>
      </c>
      <c r="W12" s="615">
        <f>+V12*0.27</f>
        <v>212598.42519685038</v>
      </c>
      <c r="X12" s="538">
        <f>+N12-P12</f>
        <v>161476</v>
      </c>
      <c r="AA12" s="603">
        <v>596650</v>
      </c>
    </row>
    <row r="13" spans="1:27">
      <c r="B13" s="208" t="s">
        <v>1588</v>
      </c>
      <c r="C13" s="622"/>
      <c r="D13" s="623"/>
      <c r="E13" s="207"/>
      <c r="F13" s="621" t="s">
        <v>534</v>
      </c>
      <c r="G13" s="621" t="s">
        <v>572</v>
      </c>
      <c r="H13" s="617" t="s">
        <v>1449</v>
      </c>
      <c r="I13" s="209">
        <f>SUM(I7:I12)</f>
        <v>1500000</v>
      </c>
      <c r="J13" s="2549">
        <f t="shared" ref="J13:P13" si="8">SUM(J7:J12)</f>
        <v>741655</v>
      </c>
      <c r="K13" s="2347">
        <f t="shared" si="8"/>
        <v>1000000</v>
      </c>
      <c r="L13" s="209">
        <f t="shared" si="8"/>
        <v>1000000</v>
      </c>
      <c r="M13" s="209">
        <f t="shared" si="8"/>
        <v>1000000</v>
      </c>
      <c r="N13" s="209">
        <f t="shared" si="8"/>
        <v>1000000</v>
      </c>
      <c r="O13" s="209">
        <f t="shared" si="8"/>
        <v>1000000</v>
      </c>
      <c r="P13" s="245">
        <f t="shared" si="8"/>
        <v>838524</v>
      </c>
      <c r="Q13" s="210">
        <f>+P13/N13</f>
        <v>0.83852400000000005</v>
      </c>
      <c r="R13" s="209">
        <f t="shared" si="4"/>
        <v>0</v>
      </c>
      <c r="S13" s="209">
        <f t="shared" si="5"/>
        <v>0</v>
      </c>
      <c r="T13" s="209">
        <f t="shared" si="6"/>
        <v>0</v>
      </c>
      <c r="U13" s="209">
        <f t="shared" si="7"/>
        <v>0</v>
      </c>
      <c r="V13" s="615"/>
      <c r="W13" s="615"/>
      <c r="X13" s="245">
        <f t="shared" ref="X13:X76" si="9">+N13-P13</f>
        <v>161476</v>
      </c>
      <c r="AA13" s="245">
        <f>SUM(AA7:AA12)</f>
        <v>596650</v>
      </c>
    </row>
    <row r="14" spans="1:27">
      <c r="B14" s="214" t="s">
        <v>1450</v>
      </c>
      <c r="C14" s="621"/>
      <c r="D14" s="619"/>
      <c r="E14" s="190"/>
      <c r="F14" s="619"/>
      <c r="G14" s="619"/>
      <c r="H14" s="620" t="s">
        <v>1451</v>
      </c>
      <c r="I14" s="192">
        <v>0</v>
      </c>
      <c r="J14" s="2550">
        <f>+I14</f>
        <v>0</v>
      </c>
      <c r="K14" s="2219">
        <v>0</v>
      </c>
      <c r="L14" s="192">
        <f t="shared" ref="L14:L19" si="10">+K14</f>
        <v>0</v>
      </c>
      <c r="M14" s="192">
        <f t="shared" ref="M14:M19" si="11">+L14</f>
        <v>0</v>
      </c>
      <c r="N14" s="192">
        <f>+M14</f>
        <v>0</v>
      </c>
      <c r="O14" s="192">
        <f t="shared" ref="O14:O19" si="12">+N14</f>
        <v>0</v>
      </c>
      <c r="P14" s="538">
        <v>0</v>
      </c>
      <c r="Q14" s="193"/>
      <c r="R14" s="192">
        <f t="shared" si="4"/>
        <v>0</v>
      </c>
      <c r="S14" s="192">
        <f t="shared" si="5"/>
        <v>0</v>
      </c>
      <c r="T14" s="192">
        <f t="shared" si="6"/>
        <v>0</v>
      </c>
      <c r="U14" s="192">
        <f t="shared" si="7"/>
        <v>0</v>
      </c>
      <c r="V14" s="615"/>
      <c r="W14" s="615"/>
      <c r="X14" s="538">
        <f t="shared" si="9"/>
        <v>0</v>
      </c>
      <c r="AA14" s="538">
        <v>0</v>
      </c>
    </row>
    <row r="15" spans="1:27" ht="25.5">
      <c r="B15" s="214" t="s">
        <v>1452</v>
      </c>
      <c r="C15" s="621"/>
      <c r="D15" s="619"/>
      <c r="E15" s="190"/>
      <c r="F15" s="619"/>
      <c r="G15" s="619"/>
      <c r="H15" s="620" t="s">
        <v>1453</v>
      </c>
      <c r="I15" s="192">
        <v>0</v>
      </c>
      <c r="J15" s="2550">
        <f>+I15</f>
        <v>0</v>
      </c>
      <c r="K15" s="2219">
        <v>0</v>
      </c>
      <c r="L15" s="192">
        <f t="shared" si="10"/>
        <v>0</v>
      </c>
      <c r="M15" s="192">
        <f t="shared" si="11"/>
        <v>0</v>
      </c>
      <c r="N15" s="192">
        <f>+M15</f>
        <v>0</v>
      </c>
      <c r="O15" s="192">
        <f t="shared" si="12"/>
        <v>0</v>
      </c>
      <c r="P15" s="538">
        <v>0</v>
      </c>
      <c r="Q15" s="193"/>
      <c r="R15" s="192">
        <f t="shared" si="4"/>
        <v>0</v>
      </c>
      <c r="S15" s="192">
        <f t="shared" si="5"/>
        <v>0</v>
      </c>
      <c r="T15" s="192">
        <f t="shared" si="6"/>
        <v>0</v>
      </c>
      <c r="U15" s="192">
        <f t="shared" si="7"/>
        <v>0</v>
      </c>
      <c r="V15" s="615"/>
      <c r="W15" s="615"/>
      <c r="X15" s="538">
        <f t="shared" si="9"/>
        <v>0</v>
      </c>
      <c r="AA15" s="538">
        <v>0</v>
      </c>
    </row>
    <row r="16" spans="1:27">
      <c r="B16" s="38" t="s">
        <v>1854</v>
      </c>
      <c r="C16" s="621" t="s">
        <v>583</v>
      </c>
      <c r="D16" s="38" t="s">
        <v>1855</v>
      </c>
      <c r="E16" s="699">
        <v>2</v>
      </c>
      <c r="F16" s="621" t="s">
        <v>534</v>
      </c>
      <c r="G16" s="38">
        <v>9990001</v>
      </c>
      <c r="H16" s="38" t="s">
        <v>1447</v>
      </c>
      <c r="I16" s="38">
        <v>0</v>
      </c>
      <c r="J16" s="2550">
        <f>+I16</f>
        <v>0</v>
      </c>
      <c r="K16" s="2357">
        <v>0</v>
      </c>
      <c r="L16" s="192">
        <f t="shared" si="10"/>
        <v>0</v>
      </c>
      <c r="M16" s="192">
        <f t="shared" si="11"/>
        <v>0</v>
      </c>
      <c r="N16" s="192">
        <f>+M16</f>
        <v>0</v>
      </c>
      <c r="O16" s="192">
        <f t="shared" si="12"/>
        <v>0</v>
      </c>
      <c r="P16" s="538">
        <v>0</v>
      </c>
      <c r="Q16" s="193"/>
      <c r="R16" s="192">
        <f t="shared" si="4"/>
        <v>0</v>
      </c>
      <c r="S16" s="192">
        <f t="shared" si="5"/>
        <v>0</v>
      </c>
      <c r="T16" s="192">
        <f t="shared" si="6"/>
        <v>0</v>
      </c>
      <c r="U16" s="192">
        <f t="shared" si="7"/>
        <v>0</v>
      </c>
      <c r="V16" s="615"/>
      <c r="W16" s="615"/>
      <c r="X16" s="538">
        <f t="shared" si="9"/>
        <v>0</v>
      </c>
      <c r="AA16" s="538">
        <v>0</v>
      </c>
    </row>
    <row r="17" spans="2:27">
      <c r="B17" s="214" t="s">
        <v>1456</v>
      </c>
      <c r="C17" s="621"/>
      <c r="D17" s="619"/>
      <c r="E17" s="190"/>
      <c r="F17" s="619"/>
      <c r="G17" s="619"/>
      <c r="H17" s="620" t="s">
        <v>1457</v>
      </c>
      <c r="I17" s="192">
        <v>0</v>
      </c>
      <c r="J17" s="2550">
        <f>+I17</f>
        <v>0</v>
      </c>
      <c r="K17" s="2219">
        <v>0</v>
      </c>
      <c r="L17" s="192">
        <f t="shared" si="10"/>
        <v>0</v>
      </c>
      <c r="M17" s="192">
        <f t="shared" si="11"/>
        <v>0</v>
      </c>
      <c r="N17" s="192">
        <f>+M17</f>
        <v>0</v>
      </c>
      <c r="O17" s="192">
        <f t="shared" si="12"/>
        <v>0</v>
      </c>
      <c r="P17" s="538">
        <v>0</v>
      </c>
      <c r="Q17" s="193"/>
      <c r="R17" s="192">
        <f t="shared" si="4"/>
        <v>0</v>
      </c>
      <c r="S17" s="192">
        <f t="shared" si="5"/>
        <v>0</v>
      </c>
      <c r="T17" s="192">
        <f t="shared" si="6"/>
        <v>0</v>
      </c>
      <c r="U17" s="192">
        <f t="shared" si="7"/>
        <v>0</v>
      </c>
      <c r="V17" s="615"/>
      <c r="W17" s="615"/>
      <c r="X17" s="538">
        <f t="shared" si="9"/>
        <v>0</v>
      </c>
      <c r="AA17" s="538">
        <v>0</v>
      </c>
    </row>
    <row r="18" spans="2:27">
      <c r="B18" s="214" t="s">
        <v>1458</v>
      </c>
      <c r="C18" s="621"/>
      <c r="D18" s="619"/>
      <c r="E18" s="190"/>
      <c r="F18" s="619"/>
      <c r="G18" s="619"/>
      <c r="H18" s="620" t="s">
        <v>1459</v>
      </c>
      <c r="I18" s="192">
        <v>0</v>
      </c>
      <c r="J18" s="2550">
        <f>+I18</f>
        <v>0</v>
      </c>
      <c r="K18" s="2219">
        <v>0</v>
      </c>
      <c r="L18" s="192">
        <f t="shared" si="10"/>
        <v>0</v>
      </c>
      <c r="M18" s="192">
        <f t="shared" si="11"/>
        <v>0</v>
      </c>
      <c r="N18" s="192">
        <f>+M18</f>
        <v>0</v>
      </c>
      <c r="O18" s="192">
        <f t="shared" si="12"/>
        <v>0</v>
      </c>
      <c r="P18" s="538">
        <v>0</v>
      </c>
      <c r="Q18" s="193"/>
      <c r="R18" s="192">
        <f t="shared" si="4"/>
        <v>0</v>
      </c>
      <c r="S18" s="192">
        <f t="shared" si="5"/>
        <v>0</v>
      </c>
      <c r="T18" s="192">
        <f t="shared" si="6"/>
        <v>0</v>
      </c>
      <c r="U18" s="192">
        <f t="shared" si="7"/>
        <v>0</v>
      </c>
      <c r="V18" s="615"/>
      <c r="W18" s="615"/>
      <c r="X18" s="538">
        <f t="shared" si="9"/>
        <v>0</v>
      </c>
      <c r="AA18" s="538">
        <v>0</v>
      </c>
    </row>
    <row r="19" spans="2:27" ht="25.5">
      <c r="B19" s="214" t="s">
        <v>3297</v>
      </c>
      <c r="C19" s="621" t="s">
        <v>730</v>
      </c>
      <c r="D19" s="619" t="s">
        <v>1593</v>
      </c>
      <c r="E19" s="190">
        <v>2</v>
      </c>
      <c r="F19" s="621" t="s">
        <v>534</v>
      </c>
      <c r="G19" s="621" t="s">
        <v>572</v>
      </c>
      <c r="H19" s="620" t="s">
        <v>1461</v>
      </c>
      <c r="I19" s="192">
        <f>37300+2162700</f>
        <v>2200000</v>
      </c>
      <c r="J19" s="2550">
        <v>2103957</v>
      </c>
      <c r="K19" s="2219">
        <f>2200000+300000-300000</f>
        <v>2200000</v>
      </c>
      <c r="L19" s="192">
        <f t="shared" si="10"/>
        <v>2200000</v>
      </c>
      <c r="M19" s="192">
        <f t="shared" si="11"/>
        <v>2200000</v>
      </c>
      <c r="N19" s="192">
        <f>+M19-630000</f>
        <v>1570000</v>
      </c>
      <c r="O19" s="192">
        <f t="shared" si="12"/>
        <v>1570000</v>
      </c>
      <c r="P19" s="603">
        <f>1570803-1-10664</f>
        <v>1560138</v>
      </c>
      <c r="Q19" s="193">
        <f>+P19/N19</f>
        <v>0.99371847133757962</v>
      </c>
      <c r="R19" s="192">
        <f t="shared" si="4"/>
        <v>0</v>
      </c>
      <c r="S19" s="192">
        <f t="shared" si="5"/>
        <v>0</v>
      </c>
      <c r="T19" s="192">
        <f t="shared" si="6"/>
        <v>-630000</v>
      </c>
      <c r="U19" s="192">
        <f t="shared" si="7"/>
        <v>0</v>
      </c>
      <c r="V19" s="615">
        <f>+K19/1.27</f>
        <v>1732283.464566929</v>
      </c>
      <c r="W19" s="615">
        <f>+V19*0.27</f>
        <v>467716.53543307085</v>
      </c>
      <c r="X19" s="538">
        <f t="shared" si="9"/>
        <v>9862</v>
      </c>
      <c r="Y19" s="172">
        <f>1560138-P19</f>
        <v>0</v>
      </c>
      <c r="AA19" s="603">
        <v>2052904</v>
      </c>
    </row>
    <row r="20" spans="2:27">
      <c r="B20" s="208" t="s">
        <v>129</v>
      </c>
      <c r="C20" s="622"/>
      <c r="D20" s="623"/>
      <c r="E20" s="207"/>
      <c r="F20" s="623"/>
      <c r="G20" s="621" t="s">
        <v>572</v>
      </c>
      <c r="H20" s="617" t="s">
        <v>1463</v>
      </c>
      <c r="I20" s="209">
        <f>SUM(I14:I19)</f>
        <v>2200000</v>
      </c>
      <c r="J20" s="2549">
        <f t="shared" ref="J20:P20" si="13">SUM(J14:J19)</f>
        <v>2103957</v>
      </c>
      <c r="K20" s="2347">
        <f t="shared" si="13"/>
        <v>2200000</v>
      </c>
      <c r="L20" s="209">
        <f t="shared" si="13"/>
        <v>2200000</v>
      </c>
      <c r="M20" s="209">
        <f t="shared" si="13"/>
        <v>2200000</v>
      </c>
      <c r="N20" s="209">
        <f t="shared" si="13"/>
        <v>1570000</v>
      </c>
      <c r="O20" s="209">
        <f t="shared" si="13"/>
        <v>1570000</v>
      </c>
      <c r="P20" s="245">
        <f t="shared" si="13"/>
        <v>1560138</v>
      </c>
      <c r="Q20" s="210">
        <f>+P20/N20</f>
        <v>0.99371847133757962</v>
      </c>
      <c r="R20" s="209">
        <f t="shared" si="4"/>
        <v>0</v>
      </c>
      <c r="S20" s="209">
        <f t="shared" si="5"/>
        <v>0</v>
      </c>
      <c r="T20" s="209">
        <f t="shared" si="6"/>
        <v>-630000</v>
      </c>
      <c r="U20" s="209">
        <f t="shared" si="7"/>
        <v>0</v>
      </c>
      <c r="V20" s="615"/>
      <c r="W20" s="615"/>
      <c r="X20" s="245">
        <f t="shared" si="9"/>
        <v>9862</v>
      </c>
      <c r="AA20" s="245">
        <f>SUM(AA14:AA19)</f>
        <v>2052904</v>
      </c>
    </row>
    <row r="21" spans="2:27">
      <c r="B21" s="214" t="s">
        <v>1464</v>
      </c>
      <c r="C21" s="621"/>
      <c r="D21" s="619"/>
      <c r="E21" s="190"/>
      <c r="F21" s="619"/>
      <c r="G21" s="619"/>
      <c r="H21" s="620" t="s">
        <v>1465</v>
      </c>
      <c r="I21" s="192">
        <v>0</v>
      </c>
      <c r="J21" s="2550">
        <f>+I21</f>
        <v>0</v>
      </c>
      <c r="K21" s="2219">
        <v>0</v>
      </c>
      <c r="L21" s="192">
        <f t="shared" ref="L21:O22" si="14">+K21</f>
        <v>0</v>
      </c>
      <c r="M21" s="192">
        <f>+L21+350000</f>
        <v>350000</v>
      </c>
      <c r="N21" s="192">
        <f t="shared" si="14"/>
        <v>350000</v>
      </c>
      <c r="O21" s="192">
        <f t="shared" si="14"/>
        <v>350000</v>
      </c>
      <c r="P21" s="538">
        <f>0+350000</f>
        <v>350000</v>
      </c>
      <c r="Q21" s="193"/>
      <c r="R21" s="192">
        <f t="shared" si="4"/>
        <v>0</v>
      </c>
      <c r="S21" s="192">
        <f t="shared" si="5"/>
        <v>350000</v>
      </c>
      <c r="T21" s="192">
        <f t="shared" si="6"/>
        <v>0</v>
      </c>
      <c r="U21" s="192">
        <f t="shared" si="7"/>
        <v>0</v>
      </c>
      <c r="V21" s="615"/>
      <c r="W21" s="615"/>
      <c r="X21" s="538">
        <f t="shared" si="9"/>
        <v>0</v>
      </c>
      <c r="AA21" s="538">
        <v>0</v>
      </c>
    </row>
    <row r="22" spans="2:27">
      <c r="B22" s="214" t="s">
        <v>1466</v>
      </c>
      <c r="C22" s="621"/>
      <c r="D22" s="619"/>
      <c r="E22" s="190"/>
      <c r="F22" s="619"/>
      <c r="G22" s="619"/>
      <c r="H22" s="620" t="s">
        <v>1467</v>
      </c>
      <c r="I22" s="192">
        <v>0</v>
      </c>
      <c r="J22" s="2550">
        <f>+I22</f>
        <v>0</v>
      </c>
      <c r="K22" s="2219">
        <v>0</v>
      </c>
      <c r="L22" s="192">
        <f t="shared" si="14"/>
        <v>0</v>
      </c>
      <c r="M22" s="192">
        <f t="shared" si="14"/>
        <v>0</v>
      </c>
      <c r="N22" s="192">
        <f t="shared" si="14"/>
        <v>0</v>
      </c>
      <c r="O22" s="192">
        <f t="shared" si="14"/>
        <v>0</v>
      </c>
      <c r="P22" s="538">
        <v>0</v>
      </c>
      <c r="Q22" s="193"/>
      <c r="R22" s="192">
        <f t="shared" si="4"/>
        <v>0</v>
      </c>
      <c r="S22" s="192">
        <f t="shared" si="5"/>
        <v>0</v>
      </c>
      <c r="T22" s="192">
        <f t="shared" si="6"/>
        <v>0</v>
      </c>
      <c r="U22" s="192">
        <f t="shared" si="7"/>
        <v>0</v>
      </c>
      <c r="V22" s="615"/>
      <c r="W22" s="615"/>
      <c r="X22" s="538">
        <f t="shared" si="9"/>
        <v>0</v>
      </c>
      <c r="AA22" s="538">
        <v>0</v>
      </c>
    </row>
    <row r="23" spans="2:27">
      <c r="B23" s="208" t="s">
        <v>1464</v>
      </c>
      <c r="C23" s="622"/>
      <c r="D23" s="623"/>
      <c r="E23" s="207"/>
      <c r="F23" s="623"/>
      <c r="G23" s="623"/>
      <c r="H23" s="617" t="s">
        <v>1469</v>
      </c>
      <c r="I23" s="209">
        <f>SUM(I21:I22)</f>
        <v>0</v>
      </c>
      <c r="J23" s="2549">
        <f t="shared" ref="J23:P23" si="15">SUM(J21:J22)</f>
        <v>0</v>
      </c>
      <c r="K23" s="2347">
        <f t="shared" si="15"/>
        <v>0</v>
      </c>
      <c r="L23" s="209">
        <f t="shared" si="15"/>
        <v>0</v>
      </c>
      <c r="M23" s="209">
        <f t="shared" si="15"/>
        <v>350000</v>
      </c>
      <c r="N23" s="209">
        <f t="shared" si="15"/>
        <v>350000</v>
      </c>
      <c r="O23" s="209">
        <f t="shared" si="15"/>
        <v>350000</v>
      </c>
      <c r="P23" s="245">
        <f t="shared" si="15"/>
        <v>350000</v>
      </c>
      <c r="Q23" s="210"/>
      <c r="R23" s="209">
        <f t="shared" si="4"/>
        <v>0</v>
      </c>
      <c r="S23" s="209">
        <f t="shared" si="5"/>
        <v>350000</v>
      </c>
      <c r="T23" s="209">
        <f t="shared" si="6"/>
        <v>0</v>
      </c>
      <c r="U23" s="209">
        <f t="shared" si="7"/>
        <v>0</v>
      </c>
      <c r="V23" s="615"/>
      <c r="W23" s="615"/>
      <c r="X23" s="245">
        <f t="shared" si="9"/>
        <v>0</v>
      </c>
      <c r="AA23" s="245">
        <f>SUM(AA21:AA22)</f>
        <v>0</v>
      </c>
    </row>
    <row r="24" spans="2:27">
      <c r="B24" s="208" t="s">
        <v>1596</v>
      </c>
      <c r="C24" s="622"/>
      <c r="D24" s="623"/>
      <c r="E24" s="207"/>
      <c r="F24" s="623"/>
      <c r="G24" s="623"/>
      <c r="H24" s="617" t="s">
        <v>1471</v>
      </c>
      <c r="I24" s="209">
        <f>+I13+I20+I23</f>
        <v>3700000</v>
      </c>
      <c r="J24" s="2549">
        <f t="shared" ref="J24:P24" si="16">+J13+J20+J23</f>
        <v>2845612</v>
      </c>
      <c r="K24" s="2347">
        <f t="shared" si="16"/>
        <v>3200000</v>
      </c>
      <c r="L24" s="209">
        <f t="shared" si="16"/>
        <v>3200000</v>
      </c>
      <c r="M24" s="209">
        <f t="shared" si="16"/>
        <v>3550000</v>
      </c>
      <c r="N24" s="209">
        <f t="shared" si="16"/>
        <v>2920000</v>
      </c>
      <c r="O24" s="209">
        <f t="shared" si="16"/>
        <v>2920000</v>
      </c>
      <c r="P24" s="245">
        <f t="shared" si="16"/>
        <v>2748662</v>
      </c>
      <c r="Q24" s="210">
        <f>+P24/N24</f>
        <v>0.94132260273972601</v>
      </c>
      <c r="R24" s="209">
        <f t="shared" si="4"/>
        <v>0</v>
      </c>
      <c r="S24" s="209">
        <f t="shared" si="5"/>
        <v>350000</v>
      </c>
      <c r="T24" s="209">
        <f t="shared" si="6"/>
        <v>-630000</v>
      </c>
      <c r="U24" s="209">
        <f t="shared" si="7"/>
        <v>0</v>
      </c>
      <c r="V24" s="615"/>
      <c r="W24" s="615"/>
      <c r="X24" s="245">
        <f t="shared" si="9"/>
        <v>171338</v>
      </c>
      <c r="AA24" s="245">
        <f>+AA13+AA20+AA23</f>
        <v>2649554</v>
      </c>
    </row>
    <row r="25" spans="2:27" ht="25.5">
      <c r="B25" s="214" t="s">
        <v>1472</v>
      </c>
      <c r="C25" s="621"/>
      <c r="D25" s="619"/>
      <c r="E25" s="190"/>
      <c r="F25" s="619"/>
      <c r="G25" s="619"/>
      <c r="H25" s="620" t="s">
        <v>1473</v>
      </c>
      <c r="I25" s="192">
        <v>0</v>
      </c>
      <c r="J25" s="2550">
        <f>+I25</f>
        <v>0</v>
      </c>
      <c r="K25" s="2219">
        <v>0</v>
      </c>
      <c r="L25" s="192">
        <f t="shared" ref="L25:L32" si="17">+K25</f>
        <v>0</v>
      </c>
      <c r="M25" s="192">
        <f t="shared" ref="M25:O29" si="18">+L25</f>
        <v>0</v>
      </c>
      <c r="N25" s="192">
        <f t="shared" si="18"/>
        <v>0</v>
      </c>
      <c r="O25" s="192">
        <f t="shared" si="18"/>
        <v>0</v>
      </c>
      <c r="P25" s="538">
        <v>0</v>
      </c>
      <c r="Q25" s="193"/>
      <c r="R25" s="192">
        <f t="shared" si="4"/>
        <v>0</v>
      </c>
      <c r="S25" s="192">
        <f t="shared" si="5"/>
        <v>0</v>
      </c>
      <c r="T25" s="192">
        <f t="shared" si="6"/>
        <v>0</v>
      </c>
      <c r="U25" s="192">
        <f t="shared" si="7"/>
        <v>0</v>
      </c>
      <c r="V25" s="615"/>
      <c r="W25" s="615"/>
      <c r="X25" s="538">
        <f t="shared" si="9"/>
        <v>0</v>
      </c>
      <c r="AA25" s="538">
        <v>0</v>
      </c>
    </row>
    <row r="26" spans="2:27" ht="25.5">
      <c r="B26" s="214" t="s">
        <v>1474</v>
      </c>
      <c r="C26" s="621" t="s">
        <v>599</v>
      </c>
      <c r="D26" s="619" t="s">
        <v>1598</v>
      </c>
      <c r="E26" s="190">
        <v>2</v>
      </c>
      <c r="F26" s="621" t="s">
        <v>534</v>
      </c>
      <c r="G26" s="621" t="s">
        <v>572</v>
      </c>
      <c r="H26" s="620" t="s">
        <v>1475</v>
      </c>
      <c r="I26" s="192">
        <f>4313933+50000000</f>
        <v>54313933</v>
      </c>
      <c r="J26" s="2550">
        <v>55666458</v>
      </c>
      <c r="K26" s="2219">
        <f>60000000</f>
        <v>60000000</v>
      </c>
      <c r="L26" s="192">
        <f>+K26+2565397</f>
        <v>62565397</v>
      </c>
      <c r="M26" s="192">
        <f>+L26+1300000</f>
        <v>63865397</v>
      </c>
      <c r="N26" s="192">
        <f t="shared" si="18"/>
        <v>63865397</v>
      </c>
      <c r="O26" s="192">
        <f t="shared" si="18"/>
        <v>63865397</v>
      </c>
      <c r="P26" s="603">
        <v>57991224</v>
      </c>
      <c r="Q26" s="2241">
        <f>+P26/N26</f>
        <v>0.90802260259965184</v>
      </c>
      <c r="R26" s="192">
        <f t="shared" si="4"/>
        <v>2565397</v>
      </c>
      <c r="S26" s="192">
        <f t="shared" si="5"/>
        <v>1300000</v>
      </c>
      <c r="T26" s="192">
        <f t="shared" si="6"/>
        <v>0</v>
      </c>
      <c r="U26" s="192">
        <f t="shared" si="7"/>
        <v>0</v>
      </c>
      <c r="V26" s="615">
        <f>+K26/1.27</f>
        <v>47244094.488188975</v>
      </c>
      <c r="W26" s="615">
        <f>+V26*0.27</f>
        <v>12755905.511811024</v>
      </c>
      <c r="X26" s="538">
        <f t="shared" si="9"/>
        <v>5874173</v>
      </c>
      <c r="AA26" s="603">
        <v>46854616</v>
      </c>
    </row>
    <row r="27" spans="2:27" ht="38.25">
      <c r="B27" s="214" t="s">
        <v>3140</v>
      </c>
      <c r="C27" s="621"/>
      <c r="D27" s="619"/>
      <c r="E27" s="190"/>
      <c r="F27" s="619"/>
      <c r="G27" s="621" t="s">
        <v>572</v>
      </c>
      <c r="H27" s="620" t="s">
        <v>1477</v>
      </c>
      <c r="I27" s="192">
        <f>2032000+2500000-2000000</f>
        <v>2532000</v>
      </c>
      <c r="J27" s="2550">
        <v>1169035</v>
      </c>
      <c r="K27" s="2219">
        <f>2032000+2500000-1532000</f>
        <v>3000000</v>
      </c>
      <c r="L27" s="192">
        <f t="shared" si="17"/>
        <v>3000000</v>
      </c>
      <c r="M27" s="192">
        <f t="shared" si="18"/>
        <v>3000000</v>
      </c>
      <c r="N27" s="192">
        <f>+M27+3300000-3300000</f>
        <v>3000000</v>
      </c>
      <c r="O27" s="192">
        <f t="shared" si="18"/>
        <v>3000000</v>
      </c>
      <c r="P27" s="603">
        <v>0</v>
      </c>
      <c r="Q27" s="193">
        <f>+P27/N27</f>
        <v>0</v>
      </c>
      <c r="R27" s="192">
        <f t="shared" si="4"/>
        <v>0</v>
      </c>
      <c r="S27" s="192">
        <f t="shared" si="5"/>
        <v>0</v>
      </c>
      <c r="T27" s="192">
        <f t="shared" si="6"/>
        <v>0</v>
      </c>
      <c r="U27" s="192">
        <f t="shared" si="7"/>
        <v>0</v>
      </c>
      <c r="V27" s="615"/>
      <c r="W27" s="615"/>
      <c r="X27" s="538">
        <f t="shared" si="9"/>
        <v>3000000</v>
      </c>
      <c r="AA27" s="603">
        <v>0</v>
      </c>
    </row>
    <row r="28" spans="2:27" ht="12.75" customHeight="1">
      <c r="B28" s="530" t="s">
        <v>131</v>
      </c>
      <c r="C28" s="621" t="s">
        <v>599</v>
      </c>
      <c r="D28" s="619" t="s">
        <v>1856</v>
      </c>
      <c r="E28" s="190">
        <v>2</v>
      </c>
      <c r="F28" s="621" t="s">
        <v>534</v>
      </c>
      <c r="G28" s="621" t="s">
        <v>572</v>
      </c>
      <c r="H28" s="620" t="s">
        <v>1478</v>
      </c>
      <c r="I28" s="199">
        <f>57404+942596</f>
        <v>1000000</v>
      </c>
      <c r="J28" s="2550">
        <v>851639</v>
      </c>
      <c r="K28" s="2250">
        <f>57404+942596</f>
        <v>1000000</v>
      </c>
      <c r="L28" s="192">
        <f t="shared" si="17"/>
        <v>1000000</v>
      </c>
      <c r="M28" s="192">
        <f t="shared" si="18"/>
        <v>1000000</v>
      </c>
      <c r="N28" s="192">
        <f>+M28-20000+12672</f>
        <v>992672</v>
      </c>
      <c r="O28" s="192">
        <f t="shared" si="18"/>
        <v>992672</v>
      </c>
      <c r="P28" s="603">
        <f>891741+1</f>
        <v>891742</v>
      </c>
      <c r="Q28" s="200">
        <f>+P28/N28</f>
        <v>0.89832492505077211</v>
      </c>
      <c r="R28" s="199">
        <f t="shared" si="4"/>
        <v>0</v>
      </c>
      <c r="S28" s="199">
        <f t="shared" si="5"/>
        <v>0</v>
      </c>
      <c r="T28" s="199">
        <f t="shared" si="6"/>
        <v>-7328</v>
      </c>
      <c r="U28" s="199">
        <f t="shared" si="7"/>
        <v>0</v>
      </c>
      <c r="V28" s="615">
        <f>+K28/1.27</f>
        <v>787401.57480314956</v>
      </c>
      <c r="W28" s="615">
        <f>+V28*0.27</f>
        <v>212598.42519685038</v>
      </c>
      <c r="X28" s="538">
        <f t="shared" si="9"/>
        <v>100930</v>
      </c>
      <c r="AA28" s="603">
        <v>851639</v>
      </c>
    </row>
    <row r="29" spans="2:27" ht="12.75" customHeight="1">
      <c r="B29" s="530" t="s">
        <v>1857</v>
      </c>
      <c r="C29" s="621" t="s">
        <v>730</v>
      </c>
      <c r="D29" s="619" t="s">
        <v>1858</v>
      </c>
      <c r="E29" s="190">
        <v>2</v>
      </c>
      <c r="F29" s="621" t="s">
        <v>534</v>
      </c>
      <c r="G29" s="621" t="s">
        <v>572</v>
      </c>
      <c r="H29" s="620" t="s">
        <v>1478</v>
      </c>
      <c r="I29" s="199">
        <f>0</f>
        <v>0</v>
      </c>
      <c r="J29" s="2550">
        <v>0</v>
      </c>
      <c r="K29" s="2250">
        <f>0</f>
        <v>0</v>
      </c>
      <c r="L29" s="192">
        <f t="shared" si="17"/>
        <v>0</v>
      </c>
      <c r="M29" s="192">
        <f t="shared" si="18"/>
        <v>0</v>
      </c>
      <c r="N29" s="192">
        <f t="shared" si="18"/>
        <v>0</v>
      </c>
      <c r="O29" s="192">
        <f t="shared" si="18"/>
        <v>0</v>
      </c>
      <c r="P29" s="538">
        <v>0</v>
      </c>
      <c r="Q29" s="200"/>
      <c r="R29" s="199">
        <f t="shared" si="4"/>
        <v>0</v>
      </c>
      <c r="S29" s="199">
        <f t="shared" si="5"/>
        <v>0</v>
      </c>
      <c r="T29" s="199">
        <f t="shared" si="6"/>
        <v>0</v>
      </c>
      <c r="U29" s="199">
        <f t="shared" si="7"/>
        <v>0</v>
      </c>
      <c r="V29" s="615">
        <f>+K29/1.27</f>
        <v>0</v>
      </c>
      <c r="W29" s="615">
        <f>+V29*0.27</f>
        <v>0</v>
      </c>
      <c r="X29" s="538">
        <f t="shared" si="9"/>
        <v>0</v>
      </c>
      <c r="AA29" s="538">
        <v>0</v>
      </c>
    </row>
    <row r="30" spans="2:27">
      <c r="B30" s="214" t="s">
        <v>130</v>
      </c>
      <c r="C30" s="621"/>
      <c r="D30" s="619"/>
      <c r="E30" s="190"/>
      <c r="F30" s="619"/>
      <c r="G30" s="619"/>
      <c r="H30" s="620" t="s">
        <v>1478</v>
      </c>
      <c r="I30" s="192">
        <f>SUM(I28:I29)</f>
        <v>1000000</v>
      </c>
      <c r="J30" s="2550">
        <f>SUM(J28:J29)</f>
        <v>851639</v>
      </c>
      <c r="K30" s="2219">
        <f>SUM(K28:K29)</f>
        <v>1000000</v>
      </c>
      <c r="L30" s="192">
        <f t="shared" si="17"/>
        <v>1000000</v>
      </c>
      <c r="M30" s="192">
        <f>SUM(M28:M29)</f>
        <v>1000000</v>
      </c>
      <c r="N30" s="192">
        <f>SUM(N28:N29)</f>
        <v>992672</v>
      </c>
      <c r="O30" s="192">
        <f>SUM(O28:O29)</f>
        <v>992672</v>
      </c>
      <c r="P30" s="538">
        <f>SUM(P28:P29)</f>
        <v>891742</v>
      </c>
      <c r="Q30" s="193">
        <f t="shared" ref="Q30:Q37" si="19">+P30/N30</f>
        <v>0.89832492505077211</v>
      </c>
      <c r="R30" s="192">
        <f t="shared" si="4"/>
        <v>0</v>
      </c>
      <c r="S30" s="192">
        <f t="shared" si="5"/>
        <v>0</v>
      </c>
      <c r="T30" s="192">
        <f t="shared" si="6"/>
        <v>-7328</v>
      </c>
      <c r="U30" s="192">
        <f t="shared" si="7"/>
        <v>0</v>
      </c>
      <c r="V30" s="615"/>
      <c r="W30" s="615"/>
      <c r="X30" s="538">
        <f t="shared" si="9"/>
        <v>100930</v>
      </c>
      <c r="AA30" s="538">
        <f>SUM(AA28:AA29)</f>
        <v>851639</v>
      </c>
    </row>
    <row r="31" spans="2:27">
      <c r="B31" s="214" t="s">
        <v>1859</v>
      </c>
      <c r="C31" s="621" t="s">
        <v>599</v>
      </c>
      <c r="D31" s="624" t="s">
        <v>1603</v>
      </c>
      <c r="E31" s="239">
        <v>2</v>
      </c>
      <c r="F31" s="621" t="s">
        <v>534</v>
      </c>
      <c r="G31" s="619">
        <v>9990001</v>
      </c>
      <c r="H31" s="620" t="s">
        <v>1480</v>
      </c>
      <c r="I31" s="192">
        <f>0</f>
        <v>0</v>
      </c>
      <c r="J31" s="2550">
        <v>629032</v>
      </c>
      <c r="K31" s="2219">
        <f>0</f>
        <v>0</v>
      </c>
      <c r="L31" s="192">
        <f t="shared" si="17"/>
        <v>0</v>
      </c>
      <c r="M31" s="192">
        <f>+L31+2000000</f>
        <v>2000000</v>
      </c>
      <c r="N31" s="192">
        <f t="shared" ref="M31:O32" si="20">+M31</f>
        <v>2000000</v>
      </c>
      <c r="O31" s="192">
        <f t="shared" si="20"/>
        <v>2000000</v>
      </c>
      <c r="P31" s="603">
        <v>1560000</v>
      </c>
      <c r="Q31" s="193">
        <f t="shared" si="19"/>
        <v>0.78</v>
      </c>
      <c r="R31" s="192">
        <f t="shared" si="4"/>
        <v>0</v>
      </c>
      <c r="S31" s="192">
        <f t="shared" si="5"/>
        <v>2000000</v>
      </c>
      <c r="T31" s="192">
        <f t="shared" si="6"/>
        <v>0</v>
      </c>
      <c r="U31" s="192">
        <f t="shared" si="7"/>
        <v>0</v>
      </c>
      <c r="V31" s="615"/>
      <c r="W31" s="615"/>
      <c r="X31" s="538">
        <f t="shared" si="9"/>
        <v>440000</v>
      </c>
      <c r="AA31" s="603">
        <v>369032</v>
      </c>
    </row>
    <row r="32" spans="2:27" ht="25.5">
      <c r="B32" s="214" t="s">
        <v>1860</v>
      </c>
      <c r="C32" s="621" t="s">
        <v>599</v>
      </c>
      <c r="D32" s="619" t="s">
        <v>1861</v>
      </c>
      <c r="E32" s="190">
        <v>2</v>
      </c>
      <c r="F32" s="621" t="s">
        <v>534</v>
      </c>
      <c r="G32" s="621" t="s">
        <v>572</v>
      </c>
      <c r="H32" s="620" t="s">
        <v>1482</v>
      </c>
      <c r="I32" s="192">
        <f>3000000</f>
        <v>3000000</v>
      </c>
      <c r="J32" s="2550">
        <v>2992120</v>
      </c>
      <c r="K32" s="2219">
        <f>3000000-1000000</f>
        <v>2000000</v>
      </c>
      <c r="L32" s="192">
        <f t="shared" si="17"/>
        <v>2000000</v>
      </c>
      <c r="M32" s="192">
        <f t="shared" si="20"/>
        <v>2000000</v>
      </c>
      <c r="N32" s="192">
        <f>+M32-12672</f>
        <v>1987328</v>
      </c>
      <c r="O32" s="192">
        <f t="shared" si="20"/>
        <v>1987328</v>
      </c>
      <c r="P32" s="3008">
        <v>1955800</v>
      </c>
      <c r="Q32" s="193">
        <f t="shared" si="19"/>
        <v>0.98413548241659154</v>
      </c>
      <c r="R32" s="192">
        <f t="shared" si="4"/>
        <v>0</v>
      </c>
      <c r="S32" s="192">
        <f t="shared" si="5"/>
        <v>0</v>
      </c>
      <c r="T32" s="192">
        <f t="shared" si="6"/>
        <v>-12672</v>
      </c>
      <c r="U32" s="192">
        <f t="shared" si="7"/>
        <v>0</v>
      </c>
      <c r="V32" s="615">
        <f>+K32/1.27</f>
        <v>1574803.1496062991</v>
      </c>
      <c r="W32" s="615">
        <f>+V32*0.27</f>
        <v>425196.85039370076</v>
      </c>
      <c r="X32" s="538">
        <f t="shared" si="9"/>
        <v>31528</v>
      </c>
      <c r="AA32" s="603">
        <v>1955800</v>
      </c>
    </row>
    <row r="33" spans="2:27">
      <c r="B33" s="208" t="s">
        <v>1604</v>
      </c>
      <c r="C33" s="623"/>
      <c r="D33" s="623"/>
      <c r="E33" s="207"/>
      <c r="F33" s="623"/>
      <c r="G33" s="621" t="s">
        <v>572</v>
      </c>
      <c r="H33" s="617" t="s">
        <v>1484</v>
      </c>
      <c r="I33" s="209">
        <f>SUM(I25:I32)-I28-I29</f>
        <v>60845933</v>
      </c>
      <c r="J33" s="2549">
        <f t="shared" ref="J33:P33" si="21">SUM(J25:J32)-J28-J29</f>
        <v>61308284</v>
      </c>
      <c r="K33" s="2347">
        <f t="shared" si="21"/>
        <v>66000000</v>
      </c>
      <c r="L33" s="209">
        <f t="shared" si="21"/>
        <v>68565397</v>
      </c>
      <c r="M33" s="209">
        <f t="shared" si="21"/>
        <v>71865397</v>
      </c>
      <c r="N33" s="209">
        <f t="shared" si="21"/>
        <v>71845397</v>
      </c>
      <c r="O33" s="209">
        <f t="shared" si="21"/>
        <v>71845397</v>
      </c>
      <c r="P33" s="245">
        <f t="shared" si="21"/>
        <v>62398766</v>
      </c>
      <c r="Q33" s="210">
        <f t="shared" si="19"/>
        <v>0.86851445750936551</v>
      </c>
      <c r="R33" s="209">
        <f t="shared" si="4"/>
        <v>2565397</v>
      </c>
      <c r="S33" s="209">
        <f t="shared" si="5"/>
        <v>3300000</v>
      </c>
      <c r="T33" s="209">
        <f t="shared" si="6"/>
        <v>-20000</v>
      </c>
      <c r="U33" s="209">
        <f t="shared" si="7"/>
        <v>0</v>
      </c>
      <c r="V33" s="615"/>
      <c r="W33" s="615"/>
      <c r="X33" s="245">
        <f t="shared" si="9"/>
        <v>9446631</v>
      </c>
      <c r="AA33" s="245">
        <f>SUM(AA25:AA32)-AA28-AA29</f>
        <v>50031087</v>
      </c>
    </row>
    <row r="34" spans="2:27">
      <c r="B34" s="214" t="s">
        <v>3902</v>
      </c>
      <c r="C34" s="621" t="s">
        <v>599</v>
      </c>
      <c r="D34" s="619" t="s">
        <v>1606</v>
      </c>
      <c r="E34" s="190">
        <v>2</v>
      </c>
      <c r="F34" s="621" t="s">
        <v>534</v>
      </c>
      <c r="G34" s="621" t="s">
        <v>572</v>
      </c>
      <c r="H34" s="620" t="s">
        <v>1486</v>
      </c>
      <c r="I34" s="192">
        <f>0</f>
        <v>0</v>
      </c>
      <c r="J34" s="2550">
        <f>+I34</f>
        <v>0</v>
      </c>
      <c r="K34" s="2219">
        <f>0</f>
        <v>0</v>
      </c>
      <c r="L34" s="192">
        <f t="shared" ref="L34:O35" si="22">+K34</f>
        <v>0</v>
      </c>
      <c r="M34" s="192">
        <f>+L34+2895</f>
        <v>2895</v>
      </c>
      <c r="N34" s="192">
        <f t="shared" si="22"/>
        <v>2895</v>
      </c>
      <c r="O34" s="192">
        <f t="shared" si="22"/>
        <v>2895</v>
      </c>
      <c r="P34" s="538">
        <v>2895</v>
      </c>
      <c r="Q34" s="193">
        <f t="shared" si="19"/>
        <v>1</v>
      </c>
      <c r="R34" s="192">
        <f t="shared" si="4"/>
        <v>0</v>
      </c>
      <c r="S34" s="192">
        <f t="shared" si="5"/>
        <v>2895</v>
      </c>
      <c r="T34" s="192">
        <f t="shared" si="6"/>
        <v>0</v>
      </c>
      <c r="U34" s="192">
        <f t="shared" si="7"/>
        <v>0</v>
      </c>
      <c r="V34" s="615"/>
      <c r="W34" s="615"/>
      <c r="X34" s="538">
        <f t="shared" si="9"/>
        <v>0</v>
      </c>
      <c r="AA34" s="538">
        <v>0</v>
      </c>
    </row>
    <row r="35" spans="2:27" ht="25.5">
      <c r="B35" s="214" t="s">
        <v>1862</v>
      </c>
      <c r="C35" s="621" t="s">
        <v>730</v>
      </c>
      <c r="D35" s="619" t="s">
        <v>1863</v>
      </c>
      <c r="E35" s="190">
        <v>2</v>
      </c>
      <c r="F35" s="621" t="s">
        <v>534</v>
      </c>
      <c r="G35" s="621" t="s">
        <v>572</v>
      </c>
      <c r="H35" s="620" t="s">
        <v>1488</v>
      </c>
      <c r="I35" s="192">
        <f>100000</f>
        <v>100000</v>
      </c>
      <c r="J35" s="2550">
        <v>67212</v>
      </c>
      <c r="K35" s="2219">
        <f>100000</f>
        <v>100000</v>
      </c>
      <c r="L35" s="192">
        <f t="shared" si="22"/>
        <v>100000</v>
      </c>
      <c r="M35" s="192">
        <f>+L35-2895</f>
        <v>97105</v>
      </c>
      <c r="N35" s="192">
        <f t="shared" si="22"/>
        <v>97105</v>
      </c>
      <c r="O35" s="192">
        <f t="shared" si="22"/>
        <v>97105</v>
      </c>
      <c r="P35" s="603">
        <v>79036</v>
      </c>
      <c r="Q35" s="193">
        <f t="shared" si="19"/>
        <v>0.8139230729622573</v>
      </c>
      <c r="R35" s="192">
        <f t="shared" si="4"/>
        <v>0</v>
      </c>
      <c r="S35" s="192">
        <f t="shared" si="5"/>
        <v>-2895</v>
      </c>
      <c r="T35" s="192">
        <f t="shared" si="6"/>
        <v>0</v>
      </c>
      <c r="U35" s="192">
        <f t="shared" si="7"/>
        <v>0</v>
      </c>
      <c r="V35" s="615">
        <f>+K35/1.27</f>
        <v>78740.157480314956</v>
      </c>
      <c r="W35" s="615">
        <f>+V35*0.27</f>
        <v>21259.84251968504</v>
      </c>
      <c r="X35" s="538">
        <f t="shared" si="9"/>
        <v>18069</v>
      </c>
      <c r="AA35" s="603">
        <v>67212</v>
      </c>
    </row>
    <row r="36" spans="2:27">
      <c r="B36" s="208" t="s">
        <v>1609</v>
      </c>
      <c r="C36" s="622"/>
      <c r="D36" s="623"/>
      <c r="E36" s="207"/>
      <c r="F36" s="623"/>
      <c r="G36" s="621" t="s">
        <v>572</v>
      </c>
      <c r="H36" s="617" t="s">
        <v>1490</v>
      </c>
      <c r="I36" s="209">
        <f>SUM(I34:I35)</f>
        <v>100000</v>
      </c>
      <c r="J36" s="2549">
        <f t="shared" ref="J36:O36" si="23">SUM(J34:J35)</f>
        <v>67212</v>
      </c>
      <c r="K36" s="2347">
        <f t="shared" si="23"/>
        <v>100000</v>
      </c>
      <c r="L36" s="209">
        <f t="shared" si="23"/>
        <v>100000</v>
      </c>
      <c r="M36" s="209">
        <f t="shared" si="23"/>
        <v>100000</v>
      </c>
      <c r="N36" s="209">
        <f t="shared" si="23"/>
        <v>100000</v>
      </c>
      <c r="O36" s="209">
        <f t="shared" si="23"/>
        <v>100000</v>
      </c>
      <c r="P36" s="245">
        <f>SUM(P34:P35)</f>
        <v>81931</v>
      </c>
      <c r="Q36" s="210">
        <f t="shared" si="19"/>
        <v>0.81930999999999998</v>
      </c>
      <c r="R36" s="209">
        <f t="shared" si="4"/>
        <v>0</v>
      </c>
      <c r="S36" s="209">
        <f t="shared" si="5"/>
        <v>0</v>
      </c>
      <c r="T36" s="209">
        <f t="shared" si="6"/>
        <v>0</v>
      </c>
      <c r="U36" s="209">
        <f t="shared" si="7"/>
        <v>0</v>
      </c>
      <c r="V36" s="615"/>
      <c r="W36" s="615"/>
      <c r="X36" s="245">
        <f t="shared" si="9"/>
        <v>18069</v>
      </c>
      <c r="AA36" s="245">
        <f>SUM(AA34:AA35)</f>
        <v>67212</v>
      </c>
    </row>
    <row r="37" spans="2:27">
      <c r="B37" s="208" t="s">
        <v>1610</v>
      </c>
      <c r="C37" s="622"/>
      <c r="D37" s="623"/>
      <c r="E37" s="207"/>
      <c r="F37" s="623"/>
      <c r="G37" s="623"/>
      <c r="H37" s="617" t="s">
        <v>1492</v>
      </c>
      <c r="I37" s="209">
        <f>+I33+I36</f>
        <v>60945933</v>
      </c>
      <c r="J37" s="2549">
        <f t="shared" ref="J37:P37" si="24">+J33+J36</f>
        <v>61375496</v>
      </c>
      <c r="K37" s="2347">
        <f t="shared" si="24"/>
        <v>66100000</v>
      </c>
      <c r="L37" s="209">
        <f t="shared" si="24"/>
        <v>68665397</v>
      </c>
      <c r="M37" s="209">
        <f t="shared" si="24"/>
        <v>71965397</v>
      </c>
      <c r="N37" s="209">
        <f t="shared" si="24"/>
        <v>71945397</v>
      </c>
      <c r="O37" s="209">
        <f t="shared" si="24"/>
        <v>71945397</v>
      </c>
      <c r="P37" s="245">
        <f t="shared" si="24"/>
        <v>62480697</v>
      </c>
      <c r="Q37" s="210">
        <f t="shared" si="19"/>
        <v>0.8684460661187261</v>
      </c>
      <c r="R37" s="209">
        <f t="shared" si="4"/>
        <v>2565397</v>
      </c>
      <c r="S37" s="209">
        <f t="shared" si="5"/>
        <v>3300000</v>
      </c>
      <c r="T37" s="209">
        <f t="shared" si="6"/>
        <v>-20000</v>
      </c>
      <c r="U37" s="209">
        <f t="shared" si="7"/>
        <v>0</v>
      </c>
      <c r="V37" s="615"/>
      <c r="W37" s="615"/>
      <c r="X37" s="245">
        <f t="shared" si="9"/>
        <v>9464700</v>
      </c>
      <c r="AA37" s="245">
        <f>+AA33+AA36</f>
        <v>50098299</v>
      </c>
    </row>
    <row r="38" spans="2:27">
      <c r="B38" s="214" t="s">
        <v>1493</v>
      </c>
      <c r="C38" s="621"/>
      <c r="D38" s="619"/>
      <c r="E38" s="190"/>
      <c r="F38" s="619"/>
      <c r="G38" s="619"/>
      <c r="H38" s="621" t="s">
        <v>1494</v>
      </c>
      <c r="I38" s="192">
        <v>0</v>
      </c>
      <c r="J38" s="2550">
        <f>+I38</f>
        <v>0</v>
      </c>
      <c r="K38" s="2219">
        <v>0</v>
      </c>
      <c r="L38" s="192">
        <f t="shared" ref="L38:O40" si="25">+K38</f>
        <v>0</v>
      </c>
      <c r="M38" s="192">
        <f t="shared" si="25"/>
        <v>0</v>
      </c>
      <c r="N38" s="192">
        <f t="shared" si="25"/>
        <v>0</v>
      </c>
      <c r="O38" s="192">
        <f t="shared" si="25"/>
        <v>0</v>
      </c>
      <c r="P38" s="538">
        <v>0</v>
      </c>
      <c r="Q38" s="193"/>
      <c r="R38" s="192">
        <f t="shared" si="4"/>
        <v>0</v>
      </c>
      <c r="S38" s="192">
        <f t="shared" si="5"/>
        <v>0</v>
      </c>
      <c r="T38" s="192">
        <f t="shared" si="6"/>
        <v>0</v>
      </c>
      <c r="U38" s="192">
        <f t="shared" si="7"/>
        <v>0</v>
      </c>
      <c r="V38" s="615"/>
      <c r="W38" s="615"/>
      <c r="X38" s="538">
        <f t="shared" si="9"/>
        <v>0</v>
      </c>
      <c r="AA38" s="538">
        <v>0</v>
      </c>
    </row>
    <row r="39" spans="2:27">
      <c r="B39" s="214" t="s">
        <v>1495</v>
      </c>
      <c r="C39" s="621"/>
      <c r="D39" s="619"/>
      <c r="E39" s="190"/>
      <c r="F39" s="619"/>
      <c r="G39" s="619"/>
      <c r="H39" s="620" t="s">
        <v>1496</v>
      </c>
      <c r="I39" s="532">
        <f>100000</f>
        <v>100000</v>
      </c>
      <c r="J39" s="2550">
        <v>2692510</v>
      </c>
      <c r="K39" s="2348">
        <f>2700000</f>
        <v>2700000</v>
      </c>
      <c r="L39" s="192">
        <f>+K39+23000000</f>
        <v>25700000</v>
      </c>
      <c r="M39" s="192">
        <f t="shared" si="25"/>
        <v>25700000</v>
      </c>
      <c r="N39" s="192">
        <f t="shared" si="25"/>
        <v>25700000</v>
      </c>
      <c r="O39" s="192">
        <f t="shared" si="25"/>
        <v>25700000</v>
      </c>
      <c r="P39" s="2222">
        <f>10653071+101731</f>
        <v>10754802</v>
      </c>
      <c r="Q39" s="200">
        <f>+P39/N39</f>
        <v>0.41847478599221788</v>
      </c>
      <c r="R39" s="532">
        <f t="shared" si="4"/>
        <v>23000000</v>
      </c>
      <c r="S39" s="532">
        <f t="shared" si="5"/>
        <v>0</v>
      </c>
      <c r="T39" s="532">
        <f t="shared" si="6"/>
        <v>0</v>
      </c>
      <c r="U39" s="532">
        <f t="shared" si="7"/>
        <v>0</v>
      </c>
      <c r="V39" s="615"/>
      <c r="W39" s="615"/>
      <c r="X39" s="538">
        <f t="shared" si="9"/>
        <v>14945198</v>
      </c>
      <c r="AA39" s="538">
        <v>276152</v>
      </c>
    </row>
    <row r="40" spans="2:27">
      <c r="B40" s="214" t="s">
        <v>1846</v>
      </c>
      <c r="C40" s="621"/>
      <c r="D40" s="619"/>
      <c r="E40" s="190"/>
      <c r="F40" s="619"/>
      <c r="G40" s="619"/>
      <c r="H40" s="620" t="s">
        <v>1498</v>
      </c>
      <c r="I40" s="192">
        <v>0</v>
      </c>
      <c r="J40" s="2550">
        <f>+I40</f>
        <v>0</v>
      </c>
      <c r="K40" s="2219">
        <v>0</v>
      </c>
      <c r="L40" s="192">
        <f t="shared" si="25"/>
        <v>0</v>
      </c>
      <c r="M40" s="192">
        <f t="shared" si="25"/>
        <v>0</v>
      </c>
      <c r="N40" s="192">
        <f t="shared" si="25"/>
        <v>0</v>
      </c>
      <c r="O40" s="192">
        <f t="shared" si="25"/>
        <v>0</v>
      </c>
      <c r="P40" s="538">
        <v>0</v>
      </c>
      <c r="Q40" s="200"/>
      <c r="R40" s="192">
        <f t="shared" si="4"/>
        <v>0</v>
      </c>
      <c r="S40" s="192">
        <f t="shared" si="5"/>
        <v>0</v>
      </c>
      <c r="T40" s="192">
        <f t="shared" si="6"/>
        <v>0</v>
      </c>
      <c r="U40" s="192">
        <f t="shared" si="7"/>
        <v>0</v>
      </c>
      <c r="V40" s="615"/>
      <c r="W40" s="615"/>
      <c r="X40" s="538">
        <f t="shared" si="9"/>
        <v>0</v>
      </c>
      <c r="AA40" s="538">
        <v>0</v>
      </c>
    </row>
    <row r="41" spans="2:27">
      <c r="B41" s="208" t="s">
        <v>1623</v>
      </c>
      <c r="C41" s="622"/>
      <c r="D41" s="623"/>
      <c r="E41" s="207"/>
      <c r="F41" s="623"/>
      <c r="G41" s="623"/>
      <c r="H41" s="617" t="s">
        <v>1499</v>
      </c>
      <c r="I41" s="209">
        <f>SUM(I38:I40)</f>
        <v>100000</v>
      </c>
      <c r="J41" s="2549">
        <f t="shared" ref="J41:P41" si="26">SUM(J38:J40)</f>
        <v>2692510</v>
      </c>
      <c r="K41" s="2347">
        <f t="shared" si="26"/>
        <v>2700000</v>
      </c>
      <c r="L41" s="209">
        <f t="shared" si="26"/>
        <v>25700000</v>
      </c>
      <c r="M41" s="209">
        <f t="shared" si="26"/>
        <v>25700000</v>
      </c>
      <c r="N41" s="209">
        <f t="shared" si="26"/>
        <v>25700000</v>
      </c>
      <c r="O41" s="209">
        <f t="shared" si="26"/>
        <v>25700000</v>
      </c>
      <c r="P41" s="245">
        <f t="shared" si="26"/>
        <v>10754802</v>
      </c>
      <c r="Q41" s="200">
        <f>+P41/N41</f>
        <v>0.41847478599221788</v>
      </c>
      <c r="R41" s="209">
        <f t="shared" si="4"/>
        <v>23000000</v>
      </c>
      <c r="S41" s="209">
        <f t="shared" si="5"/>
        <v>0</v>
      </c>
      <c r="T41" s="209">
        <f t="shared" si="6"/>
        <v>0</v>
      </c>
      <c r="U41" s="209">
        <f t="shared" si="7"/>
        <v>0</v>
      </c>
      <c r="V41" s="615"/>
      <c r="W41" s="615"/>
      <c r="X41" s="245">
        <f t="shared" si="9"/>
        <v>14945198</v>
      </c>
      <c r="AA41" s="245">
        <f>SUM(AA38:AA40)</f>
        <v>276152</v>
      </c>
    </row>
    <row r="42" spans="2:27">
      <c r="B42" s="236" t="s">
        <v>1864</v>
      </c>
      <c r="C42" s="621" t="s">
        <v>512</v>
      </c>
      <c r="D42" s="619" t="s">
        <v>1865</v>
      </c>
      <c r="E42" s="190">
        <v>2</v>
      </c>
      <c r="F42" s="621" t="s">
        <v>534</v>
      </c>
      <c r="G42" s="619">
        <v>9990001</v>
      </c>
      <c r="H42" s="620" t="s">
        <v>1866</v>
      </c>
      <c r="I42" s="192"/>
      <c r="J42" s="2550"/>
      <c r="K42" s="2219"/>
      <c r="L42" s="192"/>
      <c r="M42" s="192"/>
      <c r="N42" s="192"/>
      <c r="O42" s="192"/>
      <c r="P42" s="538"/>
      <c r="Q42" s="200"/>
      <c r="R42" s="192">
        <f t="shared" si="4"/>
        <v>0</v>
      </c>
      <c r="S42" s="192">
        <f t="shared" si="5"/>
        <v>0</v>
      </c>
      <c r="T42" s="192">
        <f t="shared" si="6"/>
        <v>0</v>
      </c>
      <c r="U42" s="192">
        <f t="shared" si="7"/>
        <v>0</v>
      </c>
      <c r="V42" s="615"/>
      <c r="W42" s="615"/>
      <c r="X42" s="538">
        <f t="shared" si="9"/>
        <v>0</v>
      </c>
      <c r="AA42" s="538"/>
    </row>
    <row r="43" spans="2:27">
      <c r="B43" s="213" t="s">
        <v>1500</v>
      </c>
      <c r="C43" s="622"/>
      <c r="D43" s="623"/>
      <c r="E43" s="207"/>
      <c r="F43" s="623"/>
      <c r="G43" s="623"/>
      <c r="H43" s="617" t="s">
        <v>1501</v>
      </c>
      <c r="I43" s="209">
        <v>0</v>
      </c>
      <c r="J43" s="2550">
        <f>+I43</f>
        <v>0</v>
      </c>
      <c r="K43" s="2347">
        <v>0</v>
      </c>
      <c r="L43" s="192">
        <f t="shared" ref="L43:O44" si="27">+K43</f>
        <v>0</v>
      </c>
      <c r="M43" s="192">
        <f t="shared" si="27"/>
        <v>0</v>
      </c>
      <c r="N43" s="192">
        <f t="shared" si="27"/>
        <v>0</v>
      </c>
      <c r="O43" s="192">
        <f t="shared" si="27"/>
        <v>0</v>
      </c>
      <c r="P43" s="538">
        <v>0</v>
      </c>
      <c r="Q43" s="200"/>
      <c r="R43" s="192">
        <f t="shared" si="4"/>
        <v>0</v>
      </c>
      <c r="S43" s="192">
        <f t="shared" si="5"/>
        <v>0</v>
      </c>
      <c r="T43" s="192">
        <f t="shared" si="6"/>
        <v>0</v>
      </c>
      <c r="U43" s="192">
        <f t="shared" si="7"/>
        <v>0</v>
      </c>
      <c r="V43" s="615"/>
      <c r="W43" s="615"/>
      <c r="X43" s="538">
        <f t="shared" si="9"/>
        <v>0</v>
      </c>
      <c r="AA43" s="538">
        <v>0</v>
      </c>
    </row>
    <row r="44" spans="2:27" ht="26.25" customHeight="1">
      <c r="B44" s="1094" t="s">
        <v>3723</v>
      </c>
      <c r="C44" s="621" t="s">
        <v>736</v>
      </c>
      <c r="D44" s="619" t="s">
        <v>1867</v>
      </c>
      <c r="E44" s="190">
        <v>2</v>
      </c>
      <c r="F44" s="621" t="s">
        <v>534</v>
      </c>
      <c r="G44" s="621" t="s">
        <v>572</v>
      </c>
      <c r="H44" s="620" t="s">
        <v>1503</v>
      </c>
      <c r="I44" s="192">
        <v>0</v>
      </c>
      <c r="J44" s="2550">
        <v>0</v>
      </c>
      <c r="K44" s="2219">
        <v>460000</v>
      </c>
      <c r="L44" s="192">
        <f t="shared" si="27"/>
        <v>460000</v>
      </c>
      <c r="M44" s="192">
        <f t="shared" si="27"/>
        <v>460000</v>
      </c>
      <c r="N44" s="192">
        <f t="shared" si="27"/>
        <v>460000</v>
      </c>
      <c r="O44" s="192">
        <f t="shared" si="27"/>
        <v>460000</v>
      </c>
      <c r="P44" s="603">
        <v>400000</v>
      </c>
      <c r="Q44" s="200">
        <f>+P44/N44</f>
        <v>0.86956521739130432</v>
      </c>
      <c r="R44" s="192">
        <f t="shared" si="4"/>
        <v>0</v>
      </c>
      <c r="S44" s="192">
        <f t="shared" si="5"/>
        <v>0</v>
      </c>
      <c r="T44" s="192">
        <f t="shared" si="6"/>
        <v>0</v>
      </c>
      <c r="U44" s="192">
        <f t="shared" si="7"/>
        <v>0</v>
      </c>
      <c r="V44" s="615">
        <f>+K44/1.27</f>
        <v>362204.7244094488</v>
      </c>
      <c r="W44" s="615">
        <f>+V44*0.27</f>
        <v>97795.275590551188</v>
      </c>
      <c r="X44" s="538">
        <f t="shared" si="9"/>
        <v>60000</v>
      </c>
      <c r="AA44" s="603"/>
    </row>
    <row r="45" spans="2:27">
      <c r="B45" s="213" t="s">
        <v>1624</v>
      </c>
      <c r="C45" s="622"/>
      <c r="D45" s="623"/>
      <c r="E45" s="207"/>
      <c r="F45" s="622"/>
      <c r="G45" s="621" t="s">
        <v>572</v>
      </c>
      <c r="H45" s="622" t="s">
        <v>1505</v>
      </c>
      <c r="I45" s="209">
        <f>SUM(I44)</f>
        <v>0</v>
      </c>
      <c r="J45" s="2549">
        <f t="shared" ref="J45:P45" si="28">SUM(J44)</f>
        <v>0</v>
      </c>
      <c r="K45" s="2347">
        <f t="shared" si="28"/>
        <v>460000</v>
      </c>
      <c r="L45" s="209">
        <f t="shared" si="28"/>
        <v>460000</v>
      </c>
      <c r="M45" s="209">
        <f t="shared" si="28"/>
        <v>460000</v>
      </c>
      <c r="N45" s="209">
        <f t="shared" si="28"/>
        <v>460000</v>
      </c>
      <c r="O45" s="209">
        <f t="shared" si="28"/>
        <v>460000</v>
      </c>
      <c r="P45" s="245">
        <f t="shared" si="28"/>
        <v>400000</v>
      </c>
      <c r="Q45" s="200">
        <f>+P45/N45</f>
        <v>0.86956521739130432</v>
      </c>
      <c r="R45" s="209">
        <f t="shared" si="4"/>
        <v>0</v>
      </c>
      <c r="S45" s="209">
        <f t="shared" si="5"/>
        <v>0</v>
      </c>
      <c r="T45" s="209">
        <f t="shared" si="6"/>
        <v>0</v>
      </c>
      <c r="U45" s="209">
        <f t="shared" si="7"/>
        <v>0</v>
      </c>
      <c r="V45" s="615"/>
      <c r="W45" s="615"/>
      <c r="X45" s="245">
        <f t="shared" si="9"/>
        <v>60000</v>
      </c>
      <c r="AA45" s="245">
        <f>SUM(AA44)</f>
        <v>0</v>
      </c>
    </row>
    <row r="46" spans="2:27">
      <c r="B46" s="530" t="s">
        <v>1868</v>
      </c>
      <c r="C46" s="621" t="s">
        <v>730</v>
      </c>
      <c r="D46" s="619" t="s">
        <v>1626</v>
      </c>
      <c r="E46" s="190">
        <v>2</v>
      </c>
      <c r="F46" s="621" t="s">
        <v>534</v>
      </c>
      <c r="G46" s="621" t="s">
        <v>572</v>
      </c>
      <c r="H46" s="621" t="s">
        <v>1506</v>
      </c>
      <c r="I46" s="199">
        <f>4100000</f>
        <v>4100000</v>
      </c>
      <c r="J46" s="2550">
        <v>4323449</v>
      </c>
      <c r="K46" s="2348">
        <v>4770200</v>
      </c>
      <c r="L46" s="192">
        <f t="shared" ref="L46:L54" si="29">+K46</f>
        <v>4770200</v>
      </c>
      <c r="M46" s="192">
        <f>+L46</f>
        <v>4770200</v>
      </c>
      <c r="N46" s="192">
        <f>+M46+1273467-515915-92491</f>
        <v>5435261</v>
      </c>
      <c r="O46" s="192">
        <f t="shared" ref="O46:O54" si="30">+N46</f>
        <v>5435261</v>
      </c>
      <c r="P46" s="603">
        <v>5110209</v>
      </c>
      <c r="Q46" s="200">
        <f>+P46/N46</f>
        <v>0.94019569621403642</v>
      </c>
      <c r="R46" s="199">
        <f t="shared" si="4"/>
        <v>0</v>
      </c>
      <c r="S46" s="199">
        <f t="shared" si="5"/>
        <v>0</v>
      </c>
      <c r="T46" s="199">
        <f t="shared" si="6"/>
        <v>665061</v>
      </c>
      <c r="U46" s="199">
        <f t="shared" si="7"/>
        <v>0</v>
      </c>
      <c r="V46" s="615">
        <f>+K46/1.27</f>
        <v>3756062.9921259843</v>
      </c>
      <c r="W46" s="615">
        <f>+V46*0.27</f>
        <v>1014137.0078740158</v>
      </c>
      <c r="X46" s="538">
        <f t="shared" si="9"/>
        <v>325052</v>
      </c>
      <c r="AA46" s="603">
        <v>2798318</v>
      </c>
    </row>
    <row r="47" spans="2:27">
      <c r="B47" s="530" t="s">
        <v>1869</v>
      </c>
      <c r="C47" s="621" t="s">
        <v>736</v>
      </c>
      <c r="D47" s="619" t="s">
        <v>1870</v>
      </c>
      <c r="E47" s="190">
        <v>2</v>
      </c>
      <c r="F47" s="621" t="s">
        <v>751</v>
      </c>
      <c r="G47" s="621" t="s">
        <v>1871</v>
      </c>
      <c r="H47" s="621" t="s">
        <v>1506</v>
      </c>
      <c r="I47" s="199">
        <f>2295686</f>
        <v>2295686</v>
      </c>
      <c r="J47" s="2550">
        <v>0</v>
      </c>
      <c r="K47" s="2250">
        <f>2783928</f>
        <v>2783928</v>
      </c>
      <c r="L47" s="192">
        <f t="shared" si="29"/>
        <v>2783928</v>
      </c>
      <c r="M47" s="192">
        <f>+L47</f>
        <v>2783928</v>
      </c>
      <c r="N47" s="192">
        <f t="shared" ref="N47:N54" si="31">+M47</f>
        <v>2783928</v>
      </c>
      <c r="O47" s="192">
        <f t="shared" si="30"/>
        <v>2783928</v>
      </c>
      <c r="P47" s="603">
        <v>1621377</v>
      </c>
      <c r="Q47" s="200">
        <f>+P47/N47</f>
        <v>0.58240622602308678</v>
      </c>
      <c r="R47" s="199">
        <f t="shared" si="4"/>
        <v>0</v>
      </c>
      <c r="S47" s="199">
        <f t="shared" si="5"/>
        <v>0</v>
      </c>
      <c r="T47" s="199">
        <f t="shared" si="6"/>
        <v>0</v>
      </c>
      <c r="U47" s="199">
        <f t="shared" si="7"/>
        <v>0</v>
      </c>
      <c r="V47" s="615"/>
      <c r="W47" s="615"/>
      <c r="X47" s="538">
        <f t="shared" si="9"/>
        <v>1162551</v>
      </c>
      <c r="Y47" s="172"/>
      <c r="AA47" s="603">
        <v>0</v>
      </c>
    </row>
    <row r="48" spans="2:27" ht="38.25" hidden="1">
      <c r="B48" s="530" t="s">
        <v>3071</v>
      </c>
      <c r="C48" s="621"/>
      <c r="D48" s="619"/>
      <c r="E48" s="190"/>
      <c r="F48" s="621"/>
      <c r="G48" s="621"/>
      <c r="H48" s="621"/>
      <c r="I48" s="199">
        <v>0</v>
      </c>
      <c r="J48" s="2550">
        <v>0</v>
      </c>
      <c r="K48" s="2250">
        <v>0</v>
      </c>
      <c r="L48" s="192">
        <f t="shared" si="29"/>
        <v>0</v>
      </c>
      <c r="M48" s="192">
        <f>+L48</f>
        <v>0</v>
      </c>
      <c r="N48" s="192">
        <f t="shared" si="31"/>
        <v>0</v>
      </c>
      <c r="O48" s="192">
        <f t="shared" si="30"/>
        <v>0</v>
      </c>
      <c r="P48" s="603"/>
      <c r="Q48" s="200" t="e">
        <f>+K48/I48</f>
        <v>#DIV/0!</v>
      </c>
      <c r="R48" s="199"/>
      <c r="S48" s="199"/>
      <c r="T48" s="199"/>
      <c r="U48" s="199"/>
      <c r="V48" s="615"/>
      <c r="W48" s="615"/>
      <c r="X48" s="538">
        <f t="shared" si="9"/>
        <v>0</v>
      </c>
      <c r="Y48" s="172"/>
      <c r="AA48" s="603"/>
    </row>
    <row r="49" spans="2:27">
      <c r="B49" s="530" t="s">
        <v>94</v>
      </c>
      <c r="C49" s="621" t="s">
        <v>730</v>
      </c>
      <c r="D49" s="619" t="s">
        <v>1872</v>
      </c>
      <c r="E49" s="190">
        <v>2</v>
      </c>
      <c r="F49" s="621" t="s">
        <v>534</v>
      </c>
      <c r="G49" s="621" t="s">
        <v>572</v>
      </c>
      <c r="H49" s="621" t="s">
        <v>1506</v>
      </c>
      <c r="I49" s="199">
        <v>11000000</v>
      </c>
      <c r="J49" s="2550">
        <v>12780743</v>
      </c>
      <c r="K49" s="2348">
        <v>11950794</v>
      </c>
      <c r="L49" s="192">
        <f t="shared" si="29"/>
        <v>11950794</v>
      </c>
      <c r="M49" s="192">
        <f>+L49</f>
        <v>11950794</v>
      </c>
      <c r="N49" s="192">
        <f>+M49+92491</f>
        <v>12043285</v>
      </c>
      <c r="O49" s="192">
        <f t="shared" si="30"/>
        <v>12043285</v>
      </c>
      <c r="P49" s="603">
        <v>11958954</v>
      </c>
      <c r="Q49" s="200">
        <f t="shared" ref="Q49:Q55" si="32">+P49/N49</f>
        <v>0.99299767463777533</v>
      </c>
      <c r="R49" s="199">
        <f>+L49-K49</f>
        <v>0</v>
      </c>
      <c r="S49" s="199">
        <f t="shared" ref="S49:S75" si="33">+M49-L49</f>
        <v>0</v>
      </c>
      <c r="T49" s="199">
        <f t="shared" ref="T49:T75" si="34">+N49-M49</f>
        <v>92491</v>
      </c>
      <c r="U49" s="199">
        <f t="shared" ref="U49:U75" si="35">+O49-N49</f>
        <v>0</v>
      </c>
      <c r="V49" s="615">
        <f>+K49/1.27</f>
        <v>9410074.0157480314</v>
      </c>
      <c r="W49" s="615">
        <f>+V49*0.27</f>
        <v>2540719.9842519686</v>
      </c>
      <c r="X49" s="538">
        <f t="shared" si="9"/>
        <v>84331</v>
      </c>
      <c r="Y49" s="172"/>
      <c r="AA49" s="603">
        <v>10611908</v>
      </c>
    </row>
    <row r="50" spans="2:27">
      <c r="B50" s="530" t="s">
        <v>122</v>
      </c>
      <c r="C50" s="621" t="s">
        <v>730</v>
      </c>
      <c r="D50" s="619" t="s">
        <v>1873</v>
      </c>
      <c r="E50" s="190">
        <v>2</v>
      </c>
      <c r="F50" s="621" t="s">
        <v>534</v>
      </c>
      <c r="G50" s="621" t="s">
        <v>572</v>
      </c>
      <c r="H50" s="621" t="s">
        <v>1506</v>
      </c>
      <c r="I50" s="199">
        <v>6600000</v>
      </c>
      <c r="J50" s="2550">
        <v>5380072</v>
      </c>
      <c r="K50" s="2250">
        <f>5600000</f>
        <v>5600000</v>
      </c>
      <c r="L50" s="192">
        <f t="shared" si="29"/>
        <v>5600000</v>
      </c>
      <c r="M50" s="192">
        <f>+L50+1500000</f>
        <v>7100000</v>
      </c>
      <c r="N50" s="192">
        <f>+M50+515915</f>
        <v>7615915</v>
      </c>
      <c r="O50" s="192">
        <f t="shared" si="30"/>
        <v>7615915</v>
      </c>
      <c r="P50" s="603">
        <v>7615915</v>
      </c>
      <c r="Q50" s="200">
        <f t="shared" si="32"/>
        <v>1</v>
      </c>
      <c r="R50" s="199">
        <f>+L50-K50</f>
        <v>0</v>
      </c>
      <c r="S50" s="199">
        <f t="shared" si="33"/>
        <v>1500000</v>
      </c>
      <c r="T50" s="199">
        <f t="shared" si="34"/>
        <v>515915</v>
      </c>
      <c r="U50" s="199">
        <f t="shared" si="35"/>
        <v>0</v>
      </c>
      <c r="V50" s="615">
        <f>+K50/1.27</f>
        <v>4409448.8188976375</v>
      </c>
      <c r="W50" s="615">
        <f>+V50*0.27</f>
        <v>1190551.1811023622</v>
      </c>
      <c r="X50" s="538">
        <f t="shared" si="9"/>
        <v>0</v>
      </c>
      <c r="Y50" s="172"/>
      <c r="AA50" s="603">
        <v>3670977</v>
      </c>
    </row>
    <row r="51" spans="2:27" ht="25.5">
      <c r="B51" s="530" t="s">
        <v>3203</v>
      </c>
      <c r="C51" s="621" t="s">
        <v>730</v>
      </c>
      <c r="D51" s="619" t="s">
        <v>1874</v>
      </c>
      <c r="E51" s="190">
        <v>2</v>
      </c>
      <c r="F51" s="621" t="s">
        <v>534</v>
      </c>
      <c r="G51" s="621" t="s">
        <v>572</v>
      </c>
      <c r="H51" s="621" t="s">
        <v>1506</v>
      </c>
      <c r="I51" s="199">
        <f>1000000+500000</f>
        <v>1500000</v>
      </c>
      <c r="J51" s="2550">
        <v>539066</v>
      </c>
      <c r="K51" s="2250">
        <f>1500000</f>
        <v>1500000</v>
      </c>
      <c r="L51" s="192">
        <f t="shared" si="29"/>
        <v>1500000</v>
      </c>
      <c r="M51" s="192">
        <f>+L51+594001</f>
        <v>2094001</v>
      </c>
      <c r="N51" s="192">
        <f>+M51+26000</f>
        <v>2120001</v>
      </c>
      <c r="O51" s="192">
        <f t="shared" si="30"/>
        <v>2120001</v>
      </c>
      <c r="P51" s="603">
        <v>2120001</v>
      </c>
      <c r="Q51" s="200">
        <f t="shared" si="32"/>
        <v>1</v>
      </c>
      <c r="R51" s="199">
        <f>+L51-K51</f>
        <v>0</v>
      </c>
      <c r="S51" s="199">
        <f t="shared" si="33"/>
        <v>594001</v>
      </c>
      <c r="T51" s="199">
        <f t="shared" si="34"/>
        <v>26000</v>
      </c>
      <c r="U51" s="199">
        <f t="shared" si="35"/>
        <v>0</v>
      </c>
      <c r="V51" s="615">
        <f>+K51/1.27</f>
        <v>1181102.3622047245</v>
      </c>
      <c r="W51" s="615">
        <f>+V51*0.27</f>
        <v>318897.6377952756</v>
      </c>
      <c r="X51" s="538">
        <f t="shared" si="9"/>
        <v>0</v>
      </c>
      <c r="Y51" s="172"/>
      <c r="AA51" s="603">
        <v>0</v>
      </c>
    </row>
    <row r="52" spans="2:27">
      <c r="B52" s="530" t="s">
        <v>1875</v>
      </c>
      <c r="C52" s="621" t="s">
        <v>1032</v>
      </c>
      <c r="D52" s="619" t="s">
        <v>1876</v>
      </c>
      <c r="E52" s="190">
        <v>2</v>
      </c>
      <c r="F52" s="621" t="s">
        <v>534</v>
      </c>
      <c r="G52" s="621" t="s">
        <v>572</v>
      </c>
      <c r="H52" s="621" t="s">
        <v>1506</v>
      </c>
      <c r="I52" s="199">
        <f>0</f>
        <v>0</v>
      </c>
      <c r="J52" s="2550">
        <v>0</v>
      </c>
      <c r="K52" s="2250">
        <f>0</f>
        <v>0</v>
      </c>
      <c r="L52" s="192">
        <f t="shared" si="29"/>
        <v>0</v>
      </c>
      <c r="M52" s="192">
        <f>+L52</f>
        <v>0</v>
      </c>
      <c r="N52" s="192">
        <f t="shared" si="31"/>
        <v>0</v>
      </c>
      <c r="O52" s="192">
        <f t="shared" si="30"/>
        <v>0</v>
      </c>
      <c r="P52" s="603">
        <v>0</v>
      </c>
      <c r="Q52" s="200"/>
      <c r="R52" s="199">
        <f>+L52-K52</f>
        <v>0</v>
      </c>
      <c r="S52" s="199">
        <f t="shared" si="33"/>
        <v>0</v>
      </c>
      <c r="T52" s="199">
        <f t="shared" si="34"/>
        <v>0</v>
      </c>
      <c r="U52" s="199">
        <f t="shared" si="35"/>
        <v>0</v>
      </c>
      <c r="V52" s="615"/>
      <c r="W52" s="615"/>
      <c r="X52" s="538">
        <f t="shared" si="9"/>
        <v>0</v>
      </c>
      <c r="Y52" s="172"/>
      <c r="AA52" s="603"/>
    </row>
    <row r="53" spans="2:27" ht="25.5">
      <c r="B53" s="530" t="s">
        <v>1877</v>
      </c>
      <c r="C53" s="621" t="s">
        <v>1032</v>
      </c>
      <c r="D53" s="619" t="s">
        <v>1878</v>
      </c>
      <c r="E53" s="190">
        <v>3</v>
      </c>
      <c r="F53" s="621" t="s">
        <v>1134</v>
      </c>
      <c r="G53" s="621" t="s">
        <v>572</v>
      </c>
      <c r="H53" s="621" t="s">
        <v>1506</v>
      </c>
      <c r="I53" s="199">
        <v>0</v>
      </c>
      <c r="J53" s="2550">
        <v>650621</v>
      </c>
      <c r="K53" s="2250">
        <v>0</v>
      </c>
      <c r="L53" s="192">
        <f t="shared" si="29"/>
        <v>0</v>
      </c>
      <c r="M53" s="192">
        <f>+L53</f>
        <v>0</v>
      </c>
      <c r="N53" s="192">
        <f t="shared" si="31"/>
        <v>0</v>
      </c>
      <c r="O53" s="192">
        <f t="shared" si="30"/>
        <v>0</v>
      </c>
      <c r="P53" s="603">
        <v>0</v>
      </c>
      <c r="Q53" s="200"/>
      <c r="R53" s="199">
        <f>+L53-K53</f>
        <v>0</v>
      </c>
      <c r="S53" s="199">
        <f t="shared" si="33"/>
        <v>0</v>
      </c>
      <c r="T53" s="199">
        <f t="shared" si="34"/>
        <v>0</v>
      </c>
      <c r="U53" s="199">
        <f t="shared" si="35"/>
        <v>0</v>
      </c>
      <c r="V53" s="615"/>
      <c r="W53" s="615"/>
      <c r="X53" s="538">
        <f t="shared" si="9"/>
        <v>0</v>
      </c>
      <c r="Y53" s="172"/>
      <c r="AA53" s="603">
        <f>0+650621</f>
        <v>650621</v>
      </c>
    </row>
    <row r="54" spans="2:27" ht="25.5">
      <c r="B54" s="530" t="s">
        <v>1879</v>
      </c>
      <c r="C54" s="621" t="s">
        <v>1032</v>
      </c>
      <c r="D54" s="619" t="s">
        <v>1880</v>
      </c>
      <c r="E54" s="190">
        <v>2</v>
      </c>
      <c r="F54" s="621" t="s">
        <v>534</v>
      </c>
      <c r="G54" s="621" t="s">
        <v>572</v>
      </c>
      <c r="H54" s="621" t="s">
        <v>1506</v>
      </c>
      <c r="I54" s="199">
        <f>0</f>
        <v>0</v>
      </c>
      <c r="J54" s="2550">
        <v>0</v>
      </c>
      <c r="K54" s="2250">
        <f>0</f>
        <v>0</v>
      </c>
      <c r="L54" s="192">
        <f t="shared" si="29"/>
        <v>0</v>
      </c>
      <c r="M54" s="192">
        <f>+L54</f>
        <v>0</v>
      </c>
      <c r="N54" s="192">
        <f t="shared" si="31"/>
        <v>0</v>
      </c>
      <c r="O54" s="192">
        <f t="shared" si="30"/>
        <v>0</v>
      </c>
      <c r="P54" s="603">
        <v>0</v>
      </c>
      <c r="Q54" s="200"/>
      <c r="R54" s="199">
        <f t="shared" ref="R54:R67" si="36">+L54-K54</f>
        <v>0</v>
      </c>
      <c r="S54" s="199">
        <f t="shared" si="33"/>
        <v>0</v>
      </c>
      <c r="T54" s="199">
        <f t="shared" si="34"/>
        <v>0</v>
      </c>
      <c r="U54" s="199">
        <f t="shared" si="35"/>
        <v>0</v>
      </c>
      <c r="V54" s="615"/>
      <c r="W54" s="615"/>
      <c r="X54" s="538">
        <f t="shared" si="9"/>
        <v>0</v>
      </c>
      <c r="Y54" s="172"/>
      <c r="AA54" s="603"/>
    </row>
    <row r="55" spans="2:27" ht="25.5">
      <c r="B55" s="213" t="s">
        <v>93</v>
      </c>
      <c r="C55" s="623"/>
      <c r="D55" s="623"/>
      <c r="E55" s="207"/>
      <c r="F55" s="623"/>
      <c r="G55" s="623"/>
      <c r="H55" s="617" t="s">
        <v>1506</v>
      </c>
      <c r="I55" s="209">
        <f>SUM(I46:I54)</f>
        <v>25495686</v>
      </c>
      <c r="J55" s="2549">
        <f t="shared" ref="J55:P55" si="37">SUM(J46:J54)</f>
        <v>23673951</v>
      </c>
      <c r="K55" s="2347">
        <f t="shared" si="37"/>
        <v>26604922</v>
      </c>
      <c r="L55" s="209">
        <f t="shared" si="37"/>
        <v>26604922</v>
      </c>
      <c r="M55" s="209">
        <f t="shared" si="37"/>
        <v>28698923</v>
      </c>
      <c r="N55" s="209">
        <f t="shared" si="37"/>
        <v>29998390</v>
      </c>
      <c r="O55" s="209">
        <f t="shared" si="37"/>
        <v>29998390</v>
      </c>
      <c r="P55" s="245">
        <f t="shared" si="37"/>
        <v>28426456</v>
      </c>
      <c r="Q55" s="210">
        <f t="shared" si="32"/>
        <v>0.9475993878338137</v>
      </c>
      <c r="R55" s="209">
        <f t="shared" si="36"/>
        <v>0</v>
      </c>
      <c r="S55" s="209">
        <f t="shared" si="33"/>
        <v>2094001</v>
      </c>
      <c r="T55" s="209">
        <f t="shared" si="34"/>
        <v>1299467</v>
      </c>
      <c r="U55" s="209">
        <f t="shared" si="35"/>
        <v>0</v>
      </c>
      <c r="V55" s="615"/>
      <c r="W55" s="615"/>
      <c r="X55" s="245">
        <f t="shared" si="9"/>
        <v>1571934</v>
      </c>
      <c r="Y55" s="172"/>
      <c r="AA55" s="245">
        <f>SUM(AA46:AA54)</f>
        <v>17731824</v>
      </c>
    </row>
    <row r="56" spans="2:27">
      <c r="B56" s="214" t="s">
        <v>1507</v>
      </c>
      <c r="C56" s="619"/>
      <c r="D56" s="619"/>
      <c r="E56" s="190"/>
      <c r="F56" s="619"/>
      <c r="G56" s="619"/>
      <c r="H56" s="620" t="s">
        <v>1508</v>
      </c>
      <c r="I56" s="192"/>
      <c r="J56" s="2550">
        <f>+I56</f>
        <v>0</v>
      </c>
      <c r="K56" s="2219"/>
      <c r="L56" s="192">
        <f t="shared" ref="L56:O57" si="38">+K56</f>
        <v>0</v>
      </c>
      <c r="M56" s="192">
        <f t="shared" si="38"/>
        <v>0</v>
      </c>
      <c r="N56" s="192">
        <f t="shared" si="38"/>
        <v>0</v>
      </c>
      <c r="O56" s="192">
        <f t="shared" si="38"/>
        <v>0</v>
      </c>
      <c r="P56" s="538">
        <v>0</v>
      </c>
      <c r="Q56" s="193"/>
      <c r="R56" s="192">
        <f t="shared" si="36"/>
        <v>0</v>
      </c>
      <c r="S56" s="192">
        <f t="shared" si="33"/>
        <v>0</v>
      </c>
      <c r="T56" s="192">
        <f t="shared" si="34"/>
        <v>0</v>
      </c>
      <c r="U56" s="192">
        <f t="shared" si="35"/>
        <v>0</v>
      </c>
      <c r="V56" s="615"/>
      <c r="W56" s="615"/>
      <c r="X56" s="538">
        <f t="shared" si="9"/>
        <v>0</v>
      </c>
      <c r="Y56" s="172"/>
      <c r="AA56" s="538">
        <v>0</v>
      </c>
    </row>
    <row r="57" spans="2:27">
      <c r="B57" s="214" t="s">
        <v>1509</v>
      </c>
      <c r="C57" s="619"/>
      <c r="D57" s="619"/>
      <c r="E57" s="190"/>
      <c r="F57" s="619"/>
      <c r="G57" s="619"/>
      <c r="H57" s="620" t="s">
        <v>1510</v>
      </c>
      <c r="I57" s="192"/>
      <c r="J57" s="2550">
        <f>+I57</f>
        <v>0</v>
      </c>
      <c r="K57" s="2219"/>
      <c r="L57" s="192">
        <f t="shared" si="38"/>
        <v>0</v>
      </c>
      <c r="M57" s="192">
        <f t="shared" si="38"/>
        <v>0</v>
      </c>
      <c r="N57" s="192">
        <f t="shared" si="38"/>
        <v>0</v>
      </c>
      <c r="O57" s="192">
        <f t="shared" si="38"/>
        <v>0</v>
      </c>
      <c r="P57" s="538">
        <v>0</v>
      </c>
      <c r="Q57" s="193"/>
      <c r="R57" s="192">
        <f t="shared" si="36"/>
        <v>0</v>
      </c>
      <c r="S57" s="192">
        <f t="shared" si="33"/>
        <v>0</v>
      </c>
      <c r="T57" s="192">
        <f t="shared" si="34"/>
        <v>0</v>
      </c>
      <c r="U57" s="192">
        <f t="shared" si="35"/>
        <v>0</v>
      </c>
      <c r="V57" s="615"/>
      <c r="W57" s="615"/>
      <c r="X57" s="538">
        <f t="shared" si="9"/>
        <v>0</v>
      </c>
      <c r="Y57" s="172"/>
      <c r="AA57" s="538">
        <v>0</v>
      </c>
    </row>
    <row r="58" spans="2:27">
      <c r="B58" s="208" t="s">
        <v>1628</v>
      </c>
      <c r="C58" s="623"/>
      <c r="D58" s="623"/>
      <c r="E58" s="207"/>
      <c r="F58" s="623"/>
      <c r="G58" s="623"/>
      <c r="H58" s="617" t="s">
        <v>1512</v>
      </c>
      <c r="I58" s="209">
        <f>SUM(I56:I57)</f>
        <v>0</v>
      </c>
      <c r="J58" s="2549">
        <f t="shared" ref="J58:P58" si="39">SUM(J56:J57)</f>
        <v>0</v>
      </c>
      <c r="K58" s="2347">
        <f t="shared" si="39"/>
        <v>0</v>
      </c>
      <c r="L58" s="209">
        <f t="shared" si="39"/>
        <v>0</v>
      </c>
      <c r="M58" s="209">
        <f t="shared" si="39"/>
        <v>0</v>
      </c>
      <c r="N58" s="209">
        <f t="shared" si="39"/>
        <v>0</v>
      </c>
      <c r="O58" s="209">
        <f t="shared" si="39"/>
        <v>0</v>
      </c>
      <c r="P58" s="245">
        <f t="shared" si="39"/>
        <v>0</v>
      </c>
      <c r="Q58" s="210"/>
      <c r="R58" s="209">
        <f t="shared" si="36"/>
        <v>0</v>
      </c>
      <c r="S58" s="209">
        <f t="shared" si="33"/>
        <v>0</v>
      </c>
      <c r="T58" s="209">
        <f t="shared" si="34"/>
        <v>0</v>
      </c>
      <c r="U58" s="209">
        <f t="shared" si="35"/>
        <v>0</v>
      </c>
      <c r="V58" s="615"/>
      <c r="W58" s="615"/>
      <c r="X58" s="245">
        <f t="shared" si="9"/>
        <v>0</v>
      </c>
      <c r="Y58" s="172"/>
      <c r="AA58" s="245">
        <f>SUM(AA56:AA57)</f>
        <v>0</v>
      </c>
    </row>
    <row r="59" spans="2:27">
      <c r="B59" s="531" t="s">
        <v>1881</v>
      </c>
      <c r="C59" s="621" t="s">
        <v>583</v>
      </c>
      <c r="D59" s="619" t="s">
        <v>1629</v>
      </c>
      <c r="E59" s="190">
        <v>3</v>
      </c>
      <c r="F59" s="621">
        <v>107053</v>
      </c>
      <c r="G59" s="621" t="s">
        <v>1882</v>
      </c>
      <c r="H59" s="620" t="s">
        <v>1513</v>
      </c>
      <c r="I59" s="199">
        <v>2700000</v>
      </c>
      <c r="J59" s="2555">
        <v>2324717</v>
      </c>
      <c r="K59" s="2250">
        <f>2700000</f>
        <v>2700000</v>
      </c>
      <c r="L59" s="199">
        <f t="shared" ref="L59:L67" si="40">+K59</f>
        <v>2700000</v>
      </c>
      <c r="M59" s="199">
        <f t="shared" ref="M59:M68" si="41">+L59</f>
        <v>2700000</v>
      </c>
      <c r="N59" s="199">
        <f t="shared" ref="N59:N69" si="42">+M59</f>
        <v>2700000</v>
      </c>
      <c r="O59" s="199">
        <f t="shared" ref="O59:O69" si="43">+N59</f>
        <v>2700000</v>
      </c>
      <c r="P59" s="625">
        <v>1487526</v>
      </c>
      <c r="Q59" s="200">
        <f t="shared" ref="Q59:Q65" si="44">+P59/N59</f>
        <v>0.55093555555555551</v>
      </c>
      <c r="R59" s="199">
        <f t="shared" si="36"/>
        <v>0</v>
      </c>
      <c r="S59" s="199">
        <f t="shared" si="33"/>
        <v>0</v>
      </c>
      <c r="T59" s="199">
        <f t="shared" si="34"/>
        <v>0</v>
      </c>
      <c r="U59" s="199">
        <f t="shared" si="35"/>
        <v>0</v>
      </c>
      <c r="V59" s="615">
        <f>+K59/1.27</f>
        <v>2125984.2519685039</v>
      </c>
      <c r="W59" s="615">
        <f>+V59*0.27</f>
        <v>574015.74803149607</v>
      </c>
      <c r="X59" s="626">
        <f t="shared" si="9"/>
        <v>1212474</v>
      </c>
      <c r="Y59" s="172"/>
      <c r="AA59" s="625">
        <v>1978225</v>
      </c>
    </row>
    <row r="60" spans="2:27" ht="25.5">
      <c r="B60" s="530" t="s">
        <v>1883</v>
      </c>
      <c r="C60" s="621" t="s">
        <v>973</v>
      </c>
      <c r="D60" s="619" t="s">
        <v>1884</v>
      </c>
      <c r="E60" s="190">
        <v>2</v>
      </c>
      <c r="F60" s="621" t="s">
        <v>1655</v>
      </c>
      <c r="G60" s="621" t="s">
        <v>1885</v>
      </c>
      <c r="H60" s="620" t="s">
        <v>1513</v>
      </c>
      <c r="I60" s="199">
        <f>300000+1400000</f>
        <v>1700000</v>
      </c>
      <c r="J60" s="2555">
        <v>871000</v>
      </c>
      <c r="K60" s="2250">
        <f>300000+1400000</f>
        <v>1700000</v>
      </c>
      <c r="L60" s="199">
        <f t="shared" si="40"/>
        <v>1700000</v>
      </c>
      <c r="M60" s="199">
        <f t="shared" si="41"/>
        <v>1700000</v>
      </c>
      <c r="N60" s="199">
        <f t="shared" si="42"/>
        <v>1700000</v>
      </c>
      <c r="O60" s="199">
        <f t="shared" si="43"/>
        <v>1700000</v>
      </c>
      <c r="P60" s="625">
        <v>1078000</v>
      </c>
      <c r="Q60" s="200">
        <f t="shared" si="44"/>
        <v>0.63411764705882356</v>
      </c>
      <c r="R60" s="199">
        <f t="shared" si="36"/>
        <v>0</v>
      </c>
      <c r="S60" s="199">
        <f t="shared" si="33"/>
        <v>0</v>
      </c>
      <c r="T60" s="199">
        <f t="shared" si="34"/>
        <v>0</v>
      </c>
      <c r="U60" s="199">
        <f t="shared" si="35"/>
        <v>0</v>
      </c>
      <c r="V60" s="615">
        <f>+K60/1.27</f>
        <v>1338582.6771653544</v>
      </c>
      <c r="W60" s="615">
        <f>+V60*0.27</f>
        <v>361417.32283464569</v>
      </c>
      <c r="X60" s="626">
        <f t="shared" si="9"/>
        <v>622000</v>
      </c>
      <c r="Y60" s="172"/>
      <c r="AA60" s="625">
        <v>796000</v>
      </c>
    </row>
    <row r="61" spans="2:27">
      <c r="B61" s="530" t="s">
        <v>1886</v>
      </c>
      <c r="C61" s="621" t="s">
        <v>583</v>
      </c>
      <c r="D61" s="619" t="s">
        <v>1887</v>
      </c>
      <c r="E61" s="190">
        <v>2</v>
      </c>
      <c r="F61" s="621" t="s">
        <v>1888</v>
      </c>
      <c r="G61" s="621" t="s">
        <v>1889</v>
      </c>
      <c r="H61" s="620" t="s">
        <v>1513</v>
      </c>
      <c r="I61" s="199">
        <v>8000000</v>
      </c>
      <c r="J61" s="2555">
        <v>7500000</v>
      </c>
      <c r="K61" s="2250">
        <f>8000000</f>
        <v>8000000</v>
      </c>
      <c r="L61" s="199">
        <f t="shared" si="40"/>
        <v>8000000</v>
      </c>
      <c r="M61" s="199">
        <f t="shared" si="41"/>
        <v>8000000</v>
      </c>
      <c r="N61" s="199">
        <f t="shared" si="42"/>
        <v>8000000</v>
      </c>
      <c r="O61" s="199">
        <f t="shared" si="43"/>
        <v>8000000</v>
      </c>
      <c r="P61" s="625">
        <v>7500000</v>
      </c>
      <c r="Q61" s="200">
        <f t="shared" si="44"/>
        <v>0.9375</v>
      </c>
      <c r="R61" s="199">
        <f t="shared" si="36"/>
        <v>0</v>
      </c>
      <c r="S61" s="199">
        <f t="shared" si="33"/>
        <v>0</v>
      </c>
      <c r="T61" s="199">
        <f t="shared" si="34"/>
        <v>0</v>
      </c>
      <c r="U61" s="199">
        <f t="shared" si="35"/>
        <v>0</v>
      </c>
      <c r="V61" s="615"/>
      <c r="W61" s="615"/>
      <c r="X61" s="626">
        <f t="shared" si="9"/>
        <v>500000</v>
      </c>
      <c r="Y61" s="172"/>
      <c r="AA61" s="625">
        <v>7500000</v>
      </c>
    </row>
    <row r="62" spans="2:27">
      <c r="B62" s="530" t="s">
        <v>105</v>
      </c>
      <c r="C62" s="621" t="s">
        <v>583</v>
      </c>
      <c r="D62" s="619" t="s">
        <v>1890</v>
      </c>
      <c r="E62" s="190">
        <v>2</v>
      </c>
      <c r="F62" s="621">
        <v>104012</v>
      </c>
      <c r="G62" s="621" t="s">
        <v>1891</v>
      </c>
      <c r="H62" s="620" t="s">
        <v>1513</v>
      </c>
      <c r="I62" s="199">
        <v>9136000</v>
      </c>
      <c r="J62" s="2555">
        <v>14781665</v>
      </c>
      <c r="K62" s="2250">
        <v>9136000</v>
      </c>
      <c r="L62" s="199">
        <f t="shared" si="40"/>
        <v>9136000</v>
      </c>
      <c r="M62" s="199">
        <f t="shared" si="41"/>
        <v>9136000</v>
      </c>
      <c r="N62" s="199">
        <f t="shared" si="42"/>
        <v>9136000</v>
      </c>
      <c r="O62" s="199">
        <f t="shared" si="43"/>
        <v>9136000</v>
      </c>
      <c r="P62" s="625">
        <v>9135950</v>
      </c>
      <c r="Q62" s="200">
        <f t="shared" si="44"/>
        <v>0.99999452714535897</v>
      </c>
      <c r="R62" s="199">
        <f t="shared" si="36"/>
        <v>0</v>
      </c>
      <c r="S62" s="199">
        <f t="shared" si="33"/>
        <v>0</v>
      </c>
      <c r="T62" s="199">
        <f t="shared" si="34"/>
        <v>0</v>
      </c>
      <c r="U62" s="199">
        <f t="shared" si="35"/>
        <v>0</v>
      </c>
      <c r="V62" s="615"/>
      <c r="W62" s="615"/>
      <c r="X62" s="626">
        <f t="shared" si="9"/>
        <v>50</v>
      </c>
      <c r="Y62" s="172"/>
      <c r="AA62" s="625">
        <v>14781665</v>
      </c>
    </row>
    <row r="63" spans="2:27">
      <c r="B63" s="531" t="s">
        <v>1892</v>
      </c>
      <c r="C63" s="621" t="s">
        <v>583</v>
      </c>
      <c r="D63" s="619" t="s">
        <v>1893</v>
      </c>
      <c r="E63" s="190">
        <v>2</v>
      </c>
      <c r="F63" s="621">
        <v>104012</v>
      </c>
      <c r="G63" s="621" t="s">
        <v>1894</v>
      </c>
      <c r="H63" s="620" t="s">
        <v>1513</v>
      </c>
      <c r="I63" s="199">
        <v>2068000</v>
      </c>
      <c r="J63" s="2555">
        <v>1936000</v>
      </c>
      <c r="K63" s="2250">
        <f>2068000</f>
        <v>2068000</v>
      </c>
      <c r="L63" s="199">
        <f t="shared" si="40"/>
        <v>2068000</v>
      </c>
      <c r="M63" s="199">
        <f t="shared" si="41"/>
        <v>2068000</v>
      </c>
      <c r="N63" s="199">
        <f t="shared" si="42"/>
        <v>2068000</v>
      </c>
      <c r="O63" s="199">
        <f t="shared" si="43"/>
        <v>2068000</v>
      </c>
      <c r="P63" s="625">
        <v>1936000</v>
      </c>
      <c r="Q63" s="200">
        <f t="shared" si="44"/>
        <v>0.93617021276595747</v>
      </c>
      <c r="R63" s="199">
        <f t="shared" si="36"/>
        <v>0</v>
      </c>
      <c r="S63" s="199">
        <f t="shared" si="33"/>
        <v>0</v>
      </c>
      <c r="T63" s="199">
        <f t="shared" si="34"/>
        <v>0</v>
      </c>
      <c r="U63" s="199">
        <f t="shared" si="35"/>
        <v>0</v>
      </c>
      <c r="V63" s="615"/>
      <c r="W63" s="615"/>
      <c r="X63" s="626">
        <f t="shared" si="9"/>
        <v>132000</v>
      </c>
      <c r="Y63" s="172"/>
      <c r="AA63" s="625">
        <v>1936000</v>
      </c>
    </row>
    <row r="64" spans="2:27">
      <c r="B64" s="530" t="s">
        <v>1895</v>
      </c>
      <c r="C64" s="621" t="s">
        <v>583</v>
      </c>
      <c r="D64" s="619" t="s">
        <v>1896</v>
      </c>
      <c r="E64" s="190">
        <v>2</v>
      </c>
      <c r="F64" s="621">
        <v>107015</v>
      </c>
      <c r="G64" s="621" t="s">
        <v>1897</v>
      </c>
      <c r="H64" s="620" t="s">
        <v>1513</v>
      </c>
      <c r="I64" s="199">
        <v>1430000</v>
      </c>
      <c r="J64" s="2555">
        <v>1036020</v>
      </c>
      <c r="K64" s="2250">
        <f>1430000</f>
        <v>1430000</v>
      </c>
      <c r="L64" s="199">
        <f t="shared" si="40"/>
        <v>1430000</v>
      </c>
      <c r="M64" s="199">
        <f t="shared" si="41"/>
        <v>1430000</v>
      </c>
      <c r="N64" s="199">
        <f t="shared" si="42"/>
        <v>1430000</v>
      </c>
      <c r="O64" s="199">
        <f t="shared" si="43"/>
        <v>1430000</v>
      </c>
      <c r="P64" s="625">
        <v>1381360</v>
      </c>
      <c r="Q64" s="200">
        <f t="shared" si="44"/>
        <v>0.96598601398601402</v>
      </c>
      <c r="R64" s="199">
        <f t="shared" si="36"/>
        <v>0</v>
      </c>
      <c r="S64" s="199">
        <f t="shared" si="33"/>
        <v>0</v>
      </c>
      <c r="T64" s="199">
        <f t="shared" si="34"/>
        <v>0</v>
      </c>
      <c r="U64" s="199">
        <f t="shared" si="35"/>
        <v>0</v>
      </c>
      <c r="V64" s="615"/>
      <c r="W64" s="615"/>
      <c r="X64" s="626">
        <f t="shared" si="9"/>
        <v>48640</v>
      </c>
      <c r="Y64" s="172"/>
      <c r="AA64" s="625">
        <v>345340</v>
      </c>
    </row>
    <row r="65" spans="2:27">
      <c r="B65" s="531" t="s">
        <v>1898</v>
      </c>
      <c r="C65" s="621" t="s">
        <v>583</v>
      </c>
      <c r="D65" s="619" t="s">
        <v>1899</v>
      </c>
      <c r="E65" s="190">
        <v>2</v>
      </c>
      <c r="F65" s="621">
        <v>107016</v>
      </c>
      <c r="G65" s="621" t="s">
        <v>1900</v>
      </c>
      <c r="H65" s="620" t="s">
        <v>1513</v>
      </c>
      <c r="I65" s="199">
        <v>1430000</v>
      </c>
      <c r="J65" s="2555">
        <v>1036020</v>
      </c>
      <c r="K65" s="2250">
        <f>1430000</f>
        <v>1430000</v>
      </c>
      <c r="L65" s="199">
        <f t="shared" si="40"/>
        <v>1430000</v>
      </c>
      <c r="M65" s="199">
        <f t="shared" si="41"/>
        <v>1430000</v>
      </c>
      <c r="N65" s="199">
        <f t="shared" si="42"/>
        <v>1430000</v>
      </c>
      <c r="O65" s="199">
        <f t="shared" si="43"/>
        <v>1430000</v>
      </c>
      <c r="P65" s="625">
        <v>1381360</v>
      </c>
      <c r="Q65" s="200">
        <f t="shared" si="44"/>
        <v>0.96598601398601402</v>
      </c>
      <c r="R65" s="199">
        <f t="shared" si="36"/>
        <v>0</v>
      </c>
      <c r="S65" s="199">
        <f t="shared" si="33"/>
        <v>0</v>
      </c>
      <c r="T65" s="199">
        <f t="shared" si="34"/>
        <v>0</v>
      </c>
      <c r="U65" s="199">
        <f t="shared" si="35"/>
        <v>0</v>
      </c>
      <c r="V65" s="615"/>
      <c r="W65" s="615"/>
      <c r="X65" s="626">
        <f t="shared" si="9"/>
        <v>48640</v>
      </c>
      <c r="Y65" s="172"/>
      <c r="AA65" s="625">
        <v>345340</v>
      </c>
    </row>
    <row r="66" spans="2:27">
      <c r="B66" s="2532" t="s">
        <v>3885</v>
      </c>
      <c r="C66" s="2533"/>
      <c r="D66" s="2534" t="s">
        <v>1901</v>
      </c>
      <c r="E66" s="2535">
        <v>3</v>
      </c>
      <c r="F66" s="2533"/>
      <c r="G66" s="2533"/>
      <c r="H66" s="2536"/>
      <c r="I66" s="2537">
        <v>0</v>
      </c>
      <c r="J66" s="2555">
        <v>0</v>
      </c>
      <c r="K66" s="2537">
        <v>0</v>
      </c>
      <c r="L66" s="2537">
        <f t="shared" si="40"/>
        <v>0</v>
      </c>
      <c r="M66" s="2537">
        <f>+L66+3175000</f>
        <v>3175000</v>
      </c>
      <c r="N66" s="199">
        <f>+M66+1825000</f>
        <v>5000000</v>
      </c>
      <c r="O66" s="199">
        <f t="shared" si="43"/>
        <v>5000000</v>
      </c>
      <c r="P66" s="626">
        <v>3950335</v>
      </c>
      <c r="Q66" s="200">
        <f t="shared" ref="Q66:Q71" si="45">+P66/N66</f>
        <v>0.79006699999999996</v>
      </c>
      <c r="R66" s="199">
        <f t="shared" si="36"/>
        <v>0</v>
      </c>
      <c r="S66" s="199">
        <f t="shared" si="33"/>
        <v>3175000</v>
      </c>
      <c r="T66" s="199">
        <f t="shared" si="34"/>
        <v>1825000</v>
      </c>
      <c r="U66" s="199">
        <f t="shared" si="35"/>
        <v>0</v>
      </c>
      <c r="V66" s="615"/>
      <c r="W66" s="615"/>
      <c r="X66" s="626">
        <f t="shared" si="9"/>
        <v>1049665</v>
      </c>
      <c r="Y66" s="172"/>
      <c r="AA66" s="626">
        <v>0</v>
      </c>
    </row>
    <row r="67" spans="2:27" ht="38.25">
      <c r="B67" s="530" t="s">
        <v>3307</v>
      </c>
      <c r="C67" s="621" t="s">
        <v>512</v>
      </c>
      <c r="D67" s="619" t="s">
        <v>1902</v>
      </c>
      <c r="E67" s="190">
        <v>3</v>
      </c>
      <c r="F67" s="621" t="s">
        <v>1903</v>
      </c>
      <c r="G67" s="621" t="s">
        <v>572</v>
      </c>
      <c r="H67" s="620" t="s">
        <v>1513</v>
      </c>
      <c r="I67" s="199">
        <v>21976740</v>
      </c>
      <c r="J67" s="2555">
        <v>34423920</v>
      </c>
      <c r="K67" s="2250">
        <f>26861600</f>
        <v>26861600</v>
      </c>
      <c r="L67" s="199">
        <f t="shared" si="40"/>
        <v>26861600</v>
      </c>
      <c r="M67" s="199">
        <f>+L67+10573486</f>
        <v>37435086</v>
      </c>
      <c r="N67" s="199">
        <f t="shared" si="42"/>
        <v>37435086</v>
      </c>
      <c r="O67" s="199">
        <f t="shared" si="43"/>
        <v>37435086</v>
      </c>
      <c r="P67" s="625">
        <v>33733460</v>
      </c>
      <c r="Q67" s="200">
        <f t="shared" si="45"/>
        <v>0.90111880603132577</v>
      </c>
      <c r="R67" s="199">
        <f t="shared" si="36"/>
        <v>0</v>
      </c>
      <c r="S67" s="199">
        <f t="shared" si="33"/>
        <v>10573486</v>
      </c>
      <c r="T67" s="199">
        <f t="shared" si="34"/>
        <v>0</v>
      </c>
      <c r="U67" s="199">
        <f t="shared" si="35"/>
        <v>0</v>
      </c>
      <c r="V67" s="615">
        <f>+K67/1.27</f>
        <v>21150866.141732283</v>
      </c>
      <c r="W67" s="615">
        <f>+V67*0.27</f>
        <v>5710733.8582677171</v>
      </c>
      <c r="X67" s="626">
        <f t="shared" si="9"/>
        <v>3701626</v>
      </c>
      <c r="Y67" s="172"/>
      <c r="AA67" s="625">
        <v>17649720</v>
      </c>
    </row>
    <row r="68" spans="2:27" ht="25.5">
      <c r="B68" s="530" t="s">
        <v>1904</v>
      </c>
      <c r="C68" s="621" t="s">
        <v>583</v>
      </c>
      <c r="D68" s="619" t="s">
        <v>1905</v>
      </c>
      <c r="E68" s="190">
        <v>3</v>
      </c>
      <c r="F68" s="621" t="s">
        <v>534</v>
      </c>
      <c r="G68" s="621" t="s">
        <v>572</v>
      </c>
      <c r="H68" s="620" t="s">
        <v>1513</v>
      </c>
      <c r="I68" s="199">
        <f>952500+1000000</f>
        <v>1952500</v>
      </c>
      <c r="J68" s="2555">
        <v>800000</v>
      </c>
      <c r="K68" s="2250">
        <f>1000000</f>
        <v>1000000</v>
      </c>
      <c r="L68" s="199">
        <f>K68</f>
        <v>1000000</v>
      </c>
      <c r="M68" s="199">
        <f t="shared" si="41"/>
        <v>1000000</v>
      </c>
      <c r="N68" s="199">
        <f>+M68-529155</f>
        <v>470845</v>
      </c>
      <c r="O68" s="199">
        <f t="shared" si="43"/>
        <v>470845</v>
      </c>
      <c r="P68" s="625">
        <v>470845</v>
      </c>
      <c r="Q68" s="200">
        <f t="shared" si="45"/>
        <v>1</v>
      </c>
      <c r="R68" s="199"/>
      <c r="S68" s="199">
        <f t="shared" si="33"/>
        <v>0</v>
      </c>
      <c r="T68" s="199">
        <f t="shared" si="34"/>
        <v>-529155</v>
      </c>
      <c r="U68" s="199">
        <f t="shared" si="35"/>
        <v>0</v>
      </c>
      <c r="V68" s="615"/>
      <c r="W68" s="615"/>
      <c r="X68" s="626">
        <f t="shared" si="9"/>
        <v>0</v>
      </c>
      <c r="Y68" s="172"/>
      <c r="AA68" s="625">
        <v>0</v>
      </c>
    </row>
    <row r="69" spans="2:27" ht="25.5">
      <c r="B69" s="1595" t="s">
        <v>3658</v>
      </c>
      <c r="C69" s="621" t="s">
        <v>583</v>
      </c>
      <c r="D69" s="619" t="s">
        <v>1906</v>
      </c>
      <c r="E69" s="190">
        <v>3</v>
      </c>
      <c r="F69" s="621" t="s">
        <v>3878</v>
      </c>
      <c r="G69" s="621" t="s">
        <v>572</v>
      </c>
      <c r="H69" s="620" t="s">
        <v>1513</v>
      </c>
      <c r="I69" s="199">
        <f>5000000+5000000</f>
        <v>10000000</v>
      </c>
      <c r="J69" s="2555">
        <v>0</v>
      </c>
      <c r="K69" s="2250">
        <f>10000000</f>
        <v>10000000</v>
      </c>
      <c r="L69" s="199">
        <f>K69-8127800+2000000</f>
        <v>3872200</v>
      </c>
      <c r="M69" s="199">
        <f>+L69-655320</f>
        <v>3216880</v>
      </c>
      <c r="N69" s="199">
        <f t="shared" si="42"/>
        <v>3216880</v>
      </c>
      <c r="O69" s="199">
        <f t="shared" si="43"/>
        <v>3216880</v>
      </c>
      <c r="P69" s="625">
        <f>11297370-8497370</f>
        <v>2800000</v>
      </c>
      <c r="Q69" s="200">
        <f t="shared" si="45"/>
        <v>0.8704085946631519</v>
      </c>
      <c r="R69" s="199">
        <f t="shared" ref="R69:R76" si="46">+L69-K69</f>
        <v>-6127800</v>
      </c>
      <c r="S69" s="199">
        <f t="shared" si="33"/>
        <v>-655320</v>
      </c>
      <c r="T69" s="199">
        <f t="shared" si="34"/>
        <v>0</v>
      </c>
      <c r="U69" s="199">
        <f t="shared" si="35"/>
        <v>0</v>
      </c>
      <c r="V69" s="615">
        <f>+K69/1.27</f>
        <v>7874015.7480314961</v>
      </c>
      <c r="W69" s="615">
        <f>+V69*0.27</f>
        <v>2125984.2519685039</v>
      </c>
      <c r="X69" s="626">
        <f t="shared" si="9"/>
        <v>416880</v>
      </c>
      <c r="Y69" s="172"/>
      <c r="AA69" s="625">
        <f>0</f>
        <v>0</v>
      </c>
    </row>
    <row r="70" spans="2:27" s="174" customFormat="1">
      <c r="B70" s="213" t="s">
        <v>104</v>
      </c>
      <c r="C70" s="622"/>
      <c r="D70" s="623"/>
      <c r="E70" s="207"/>
      <c r="F70" s="622"/>
      <c r="G70" s="622"/>
      <c r="H70" s="617"/>
      <c r="I70" s="209">
        <f>SUM(I59:I69)</f>
        <v>60393240</v>
      </c>
      <c r="J70" s="2549">
        <f t="shared" ref="J70:P70" si="47">SUM(J59:J69)</f>
        <v>64709342</v>
      </c>
      <c r="K70" s="2347">
        <f t="shared" si="47"/>
        <v>64325600</v>
      </c>
      <c r="L70" s="209">
        <f t="shared" si="47"/>
        <v>58197800</v>
      </c>
      <c r="M70" s="209">
        <f t="shared" si="47"/>
        <v>71290966</v>
      </c>
      <c r="N70" s="209">
        <f>SUM(N59:N69)</f>
        <v>72586811</v>
      </c>
      <c r="O70" s="209">
        <f t="shared" si="47"/>
        <v>72586811</v>
      </c>
      <c r="P70" s="245">
        <f t="shared" si="47"/>
        <v>64854836</v>
      </c>
      <c r="Q70" s="210">
        <f t="shared" si="45"/>
        <v>0.89347961573900803</v>
      </c>
      <c r="R70" s="209">
        <f t="shared" si="46"/>
        <v>-6127800</v>
      </c>
      <c r="S70" s="209">
        <f t="shared" si="33"/>
        <v>13093166</v>
      </c>
      <c r="T70" s="209">
        <f t="shared" si="34"/>
        <v>1295845</v>
      </c>
      <c r="U70" s="209">
        <f t="shared" si="35"/>
        <v>0</v>
      </c>
      <c r="V70" s="627"/>
      <c r="W70" s="627"/>
      <c r="X70" s="245">
        <f t="shared" si="9"/>
        <v>7731975</v>
      </c>
      <c r="Y70" s="172"/>
      <c r="AA70" s="245">
        <f>SUM(AA59:AA69)</f>
        <v>45332290</v>
      </c>
    </row>
    <row r="71" spans="2:27">
      <c r="B71" s="530" t="s">
        <v>1907</v>
      </c>
      <c r="C71" s="621" t="s">
        <v>512</v>
      </c>
      <c r="D71" s="619" t="s">
        <v>1630</v>
      </c>
      <c r="E71" s="190">
        <v>2</v>
      </c>
      <c r="F71" s="621" t="s">
        <v>534</v>
      </c>
      <c r="G71" s="621" t="s">
        <v>572</v>
      </c>
      <c r="H71" s="620" t="s">
        <v>1515</v>
      </c>
      <c r="I71" s="199">
        <f>10485099+32114901+1219200</f>
        <v>43819200</v>
      </c>
      <c r="J71" s="2555">
        <v>37371041</v>
      </c>
      <c r="K71" s="2250">
        <f>48434627+6748373</f>
        <v>55183000</v>
      </c>
      <c r="L71" s="199">
        <f t="shared" ref="L71:O72" si="48">+K71</f>
        <v>55183000</v>
      </c>
      <c r="M71" s="199">
        <f t="shared" si="48"/>
        <v>55183000</v>
      </c>
      <c r="N71" s="199">
        <f t="shared" si="48"/>
        <v>55183000</v>
      </c>
      <c r="O71" s="199">
        <f t="shared" si="48"/>
        <v>55183000</v>
      </c>
      <c r="P71" s="625">
        <f>37449008-1106565-15267-68000-55598+74200-1842755+1591314-65000-74200-456368+3796130+462578-2640000+25000+50940-1089868</f>
        <v>36035549</v>
      </c>
      <c r="Q71" s="200">
        <f t="shared" si="45"/>
        <v>0.65301902759907937</v>
      </c>
      <c r="R71" s="199">
        <f t="shared" si="46"/>
        <v>0</v>
      </c>
      <c r="S71" s="199">
        <f t="shared" si="33"/>
        <v>0</v>
      </c>
      <c r="T71" s="199">
        <f t="shared" si="34"/>
        <v>0</v>
      </c>
      <c r="U71" s="199">
        <f t="shared" si="35"/>
        <v>0</v>
      </c>
      <c r="V71" s="615">
        <f>+K71/1.27</f>
        <v>43451181.102362201</v>
      </c>
      <c r="W71" s="615">
        <f>+V71*0.27</f>
        <v>11731818.897637796</v>
      </c>
      <c r="X71" s="626">
        <f t="shared" si="9"/>
        <v>19147451</v>
      </c>
      <c r="Y71" s="172">
        <f>39549008-P71</f>
        <v>3513459</v>
      </c>
      <c r="AA71" s="625">
        <f>30411048+1886927</f>
        <v>32297975</v>
      </c>
    </row>
    <row r="72" spans="2:27">
      <c r="B72" s="530" t="s">
        <v>1908</v>
      </c>
      <c r="C72" s="621" t="s">
        <v>583</v>
      </c>
      <c r="D72" s="619" t="s">
        <v>1909</v>
      </c>
      <c r="E72" s="190">
        <v>2</v>
      </c>
      <c r="F72" s="621" t="s">
        <v>534</v>
      </c>
      <c r="G72" s="621" t="s">
        <v>572</v>
      </c>
      <c r="H72" s="620" t="s">
        <v>1515</v>
      </c>
      <c r="I72" s="199">
        <f>0</f>
        <v>0</v>
      </c>
      <c r="J72" s="2555">
        <f>+I72</f>
        <v>0</v>
      </c>
      <c r="K72" s="2250">
        <f>0</f>
        <v>0</v>
      </c>
      <c r="L72" s="199">
        <f t="shared" si="48"/>
        <v>0</v>
      </c>
      <c r="M72" s="199">
        <f t="shared" si="48"/>
        <v>0</v>
      </c>
      <c r="N72" s="199">
        <f t="shared" si="48"/>
        <v>0</v>
      </c>
      <c r="O72" s="199">
        <f t="shared" si="48"/>
        <v>0</v>
      </c>
      <c r="P72" s="625">
        <v>0</v>
      </c>
      <c r="Q72" s="200"/>
      <c r="R72" s="199">
        <f t="shared" si="46"/>
        <v>0</v>
      </c>
      <c r="S72" s="199">
        <f t="shared" si="33"/>
        <v>0</v>
      </c>
      <c r="T72" s="199">
        <f t="shared" si="34"/>
        <v>0</v>
      </c>
      <c r="U72" s="199">
        <f t="shared" si="35"/>
        <v>0</v>
      </c>
      <c r="V72" s="615">
        <f>+K72/1.27</f>
        <v>0</v>
      </c>
      <c r="W72" s="615">
        <f>+V72*0.27</f>
        <v>0</v>
      </c>
      <c r="X72" s="626">
        <f t="shared" si="9"/>
        <v>0</v>
      </c>
      <c r="Y72" s="172"/>
      <c r="AA72" s="625">
        <v>0</v>
      </c>
    </row>
    <row r="73" spans="2:27">
      <c r="B73" s="214" t="s">
        <v>1514</v>
      </c>
      <c r="C73" s="619"/>
      <c r="D73" s="619"/>
      <c r="E73" s="190"/>
      <c r="F73" s="619"/>
      <c r="G73" s="619"/>
      <c r="H73" s="620" t="s">
        <v>1515</v>
      </c>
      <c r="I73" s="192">
        <f>SUM(I71:I72)</f>
        <v>43819200</v>
      </c>
      <c r="J73" s="2550">
        <f t="shared" ref="J73:P73" si="49">SUM(J71:J72)</f>
        <v>37371041</v>
      </c>
      <c r="K73" s="2219">
        <f t="shared" si="49"/>
        <v>55183000</v>
      </c>
      <c r="L73" s="192">
        <f t="shared" si="49"/>
        <v>55183000</v>
      </c>
      <c r="M73" s="192">
        <f t="shared" si="49"/>
        <v>55183000</v>
      </c>
      <c r="N73" s="192">
        <f t="shared" si="49"/>
        <v>55183000</v>
      </c>
      <c r="O73" s="192">
        <f t="shared" si="49"/>
        <v>55183000</v>
      </c>
      <c r="P73" s="538">
        <f t="shared" si="49"/>
        <v>36035549</v>
      </c>
      <c r="Q73" s="193">
        <f>+P73/N73</f>
        <v>0.65301902759907937</v>
      </c>
      <c r="R73" s="192">
        <f t="shared" si="46"/>
        <v>0</v>
      </c>
      <c r="S73" s="192">
        <f t="shared" si="33"/>
        <v>0</v>
      </c>
      <c r="T73" s="192">
        <f t="shared" si="34"/>
        <v>0</v>
      </c>
      <c r="U73" s="192">
        <f t="shared" si="35"/>
        <v>0</v>
      </c>
      <c r="V73" s="615">
        <f>+K73/1.27</f>
        <v>43451181.102362201</v>
      </c>
      <c r="W73" s="615">
        <f>+V73*0.27</f>
        <v>11731818.897637796</v>
      </c>
      <c r="X73" s="538">
        <f t="shared" si="9"/>
        <v>19147451</v>
      </c>
      <c r="Y73" s="172"/>
      <c r="AA73" s="538">
        <f>SUM(AA71:AA72)</f>
        <v>32297975</v>
      </c>
    </row>
    <row r="74" spans="2:27" ht="38.25">
      <c r="B74" s="214" t="s">
        <v>3198</v>
      </c>
      <c r="C74" s="621" t="s">
        <v>583</v>
      </c>
      <c r="D74" s="619" t="s">
        <v>1632</v>
      </c>
      <c r="E74" s="190">
        <v>2</v>
      </c>
      <c r="F74" s="1716" t="s">
        <v>534</v>
      </c>
      <c r="G74" s="621" t="s">
        <v>1910</v>
      </c>
      <c r="H74" s="620" t="s">
        <v>1517</v>
      </c>
      <c r="I74" s="192">
        <f>500000+500000</f>
        <v>1000000</v>
      </c>
      <c r="J74" s="2550">
        <v>295000</v>
      </c>
      <c r="K74" s="2219">
        <f>500000+500000</f>
        <v>1000000</v>
      </c>
      <c r="L74" s="192">
        <f t="shared" ref="L74:M77" si="50">+K74</f>
        <v>1000000</v>
      </c>
      <c r="M74" s="192">
        <f t="shared" si="50"/>
        <v>1000000</v>
      </c>
      <c r="N74" s="192">
        <f>+M74-328328</f>
        <v>671672</v>
      </c>
      <c r="O74" s="192">
        <f t="shared" ref="N74:O77" si="51">+N74</f>
        <v>671672</v>
      </c>
      <c r="P74" s="603">
        <f>24000+65000</f>
        <v>89000</v>
      </c>
      <c r="Q74" s="193">
        <f>+P74/N74</f>
        <v>0.13250515132386045</v>
      </c>
      <c r="R74" s="192">
        <f t="shared" si="46"/>
        <v>0</v>
      </c>
      <c r="S74" s="192">
        <f t="shared" si="33"/>
        <v>0</v>
      </c>
      <c r="T74" s="192">
        <f t="shared" si="34"/>
        <v>-328328</v>
      </c>
      <c r="U74" s="192">
        <f t="shared" si="35"/>
        <v>0</v>
      </c>
      <c r="V74" s="615">
        <f>+K74/1.27</f>
        <v>787401.57480314956</v>
      </c>
      <c r="W74" s="615">
        <f>+V74*0.27</f>
        <v>212598.42519685038</v>
      </c>
      <c r="X74" s="2619">
        <f t="shared" si="9"/>
        <v>582672</v>
      </c>
      <c r="Y74" s="172"/>
      <c r="AA74" s="603">
        <v>100700</v>
      </c>
    </row>
    <row r="75" spans="2:27" ht="38.25">
      <c r="B75" s="214" t="s">
        <v>1911</v>
      </c>
      <c r="C75" s="621" t="s">
        <v>599</v>
      </c>
      <c r="D75" s="619" t="s">
        <v>1634</v>
      </c>
      <c r="E75" s="190">
        <v>2</v>
      </c>
      <c r="F75" s="621" t="s">
        <v>534</v>
      </c>
      <c r="G75" s="621" t="s">
        <v>572</v>
      </c>
      <c r="H75" s="620" t="s">
        <v>1517</v>
      </c>
      <c r="I75" s="192">
        <f>0</f>
        <v>0</v>
      </c>
      <c r="J75" s="2550">
        <f>+I75</f>
        <v>0</v>
      </c>
      <c r="K75" s="2219">
        <f>0</f>
        <v>0</v>
      </c>
      <c r="L75" s="192">
        <f t="shared" si="50"/>
        <v>0</v>
      </c>
      <c r="M75" s="192">
        <f t="shared" si="50"/>
        <v>0</v>
      </c>
      <c r="N75" s="192">
        <f t="shared" si="51"/>
        <v>0</v>
      </c>
      <c r="O75" s="192">
        <f t="shared" si="51"/>
        <v>0</v>
      </c>
      <c r="P75" s="538">
        <v>0</v>
      </c>
      <c r="Q75" s="193"/>
      <c r="R75" s="192">
        <f t="shared" si="46"/>
        <v>0</v>
      </c>
      <c r="S75" s="192">
        <f t="shared" si="33"/>
        <v>0</v>
      </c>
      <c r="T75" s="192">
        <f t="shared" si="34"/>
        <v>0</v>
      </c>
      <c r="U75" s="192">
        <f t="shared" si="35"/>
        <v>0</v>
      </c>
      <c r="V75" s="615"/>
      <c r="W75" s="615"/>
      <c r="X75" s="538">
        <f t="shared" si="9"/>
        <v>0</v>
      </c>
      <c r="Y75" s="172"/>
      <c r="AA75" s="538">
        <v>0</v>
      </c>
    </row>
    <row r="76" spans="2:27">
      <c r="B76" s="214" t="s">
        <v>3578</v>
      </c>
      <c r="C76" s="621"/>
      <c r="D76" s="619" t="s">
        <v>1636</v>
      </c>
      <c r="E76" s="190">
        <v>2</v>
      </c>
      <c r="F76" s="621" t="s">
        <v>534</v>
      </c>
      <c r="G76" s="621" t="s">
        <v>572</v>
      </c>
      <c r="H76" s="620" t="s">
        <v>1517</v>
      </c>
      <c r="I76" s="192">
        <f>8500000</f>
        <v>8500000</v>
      </c>
      <c r="J76" s="2550">
        <v>2183805</v>
      </c>
      <c r="K76" s="2219">
        <f>4500000</f>
        <v>4500000</v>
      </c>
      <c r="L76" s="192">
        <f t="shared" si="50"/>
        <v>4500000</v>
      </c>
      <c r="M76" s="192">
        <f t="shared" si="50"/>
        <v>4500000</v>
      </c>
      <c r="N76" s="192">
        <f t="shared" si="51"/>
        <v>4500000</v>
      </c>
      <c r="O76" s="192">
        <f t="shared" si="51"/>
        <v>4500000</v>
      </c>
      <c r="P76" s="2222">
        <v>2731250</v>
      </c>
      <c r="Q76" s="193">
        <f t="shared" ref="Q76:Q83" si="52">+P76/N76</f>
        <v>0.6069444444444444</v>
      </c>
      <c r="R76" s="192">
        <f t="shared" si="46"/>
        <v>0</v>
      </c>
      <c r="S76" s="192"/>
      <c r="T76" s="192"/>
      <c r="U76" s="192"/>
      <c r="V76" s="615"/>
      <c r="W76" s="615"/>
      <c r="X76" s="538">
        <f t="shared" si="9"/>
        <v>1768750</v>
      </c>
      <c r="Y76" s="172"/>
      <c r="AA76" s="2222">
        <v>1700805</v>
      </c>
    </row>
    <row r="77" spans="2:27" hidden="1">
      <c r="B77" s="214"/>
      <c r="C77" s="621"/>
      <c r="D77" s="619" t="s">
        <v>1912</v>
      </c>
      <c r="E77" s="190">
        <v>2</v>
      </c>
      <c r="F77" s="621" t="s">
        <v>534</v>
      </c>
      <c r="G77" s="621" t="s">
        <v>572</v>
      </c>
      <c r="H77" s="620" t="s">
        <v>1517</v>
      </c>
      <c r="I77" s="192"/>
      <c r="J77" s="2550">
        <f>+I77</f>
        <v>0</v>
      </c>
      <c r="K77" s="2219"/>
      <c r="L77" s="192">
        <f t="shared" si="50"/>
        <v>0</v>
      </c>
      <c r="M77" s="192">
        <f t="shared" si="50"/>
        <v>0</v>
      </c>
      <c r="N77" s="192">
        <f t="shared" si="51"/>
        <v>0</v>
      </c>
      <c r="O77" s="192">
        <f t="shared" si="51"/>
        <v>0</v>
      </c>
      <c r="P77" s="538">
        <v>0</v>
      </c>
      <c r="Q77" s="193" t="e">
        <f t="shared" si="52"/>
        <v>#DIV/0!</v>
      </c>
      <c r="R77" s="192"/>
      <c r="S77" s="192"/>
      <c r="T77" s="192"/>
      <c r="U77" s="192"/>
      <c r="V77" s="615"/>
      <c r="W77" s="615"/>
      <c r="X77" s="538">
        <f t="shared" ref="X77:X134" si="53">+N77-P77</f>
        <v>0</v>
      </c>
      <c r="Y77" s="172"/>
      <c r="AA77" s="538">
        <v>0</v>
      </c>
    </row>
    <row r="78" spans="2:27">
      <c r="B78" s="208" t="s">
        <v>96</v>
      </c>
      <c r="C78" s="623"/>
      <c r="D78" s="623"/>
      <c r="E78" s="207"/>
      <c r="F78" s="623"/>
      <c r="G78" s="623"/>
      <c r="H78" s="617" t="s">
        <v>1518</v>
      </c>
      <c r="I78" s="209">
        <f>I70+I73+I74+I75+I76+I77</f>
        <v>113712440</v>
      </c>
      <c r="J78" s="2549">
        <f t="shared" ref="J78:O78" si="54">J70+J73+J74+J75+J76+J77</f>
        <v>104559188</v>
      </c>
      <c r="K78" s="2347">
        <f t="shared" si="54"/>
        <v>125008600</v>
      </c>
      <c r="L78" s="209">
        <f t="shared" si="54"/>
        <v>118880800</v>
      </c>
      <c r="M78" s="209">
        <f t="shared" si="54"/>
        <v>131973966</v>
      </c>
      <c r="N78" s="209">
        <f t="shared" si="54"/>
        <v>132941483</v>
      </c>
      <c r="O78" s="209">
        <f t="shared" si="54"/>
        <v>132941483</v>
      </c>
      <c r="P78" s="245">
        <f>P70+P73+P74+P75+P76+P77</f>
        <v>103710635</v>
      </c>
      <c r="Q78" s="210">
        <f t="shared" si="52"/>
        <v>0.78012244680616361</v>
      </c>
      <c r="R78" s="209">
        <f t="shared" ref="R78:R94" si="55">+L78-K78</f>
        <v>-6127800</v>
      </c>
      <c r="S78" s="209">
        <f t="shared" ref="S78:S104" si="56">+M78-L78</f>
        <v>13093166</v>
      </c>
      <c r="T78" s="209">
        <f t="shared" ref="T78:T104" si="57">+N78-M78</f>
        <v>967517</v>
      </c>
      <c r="U78" s="209">
        <f t="shared" ref="U78:U103" si="58">+O78-N78</f>
        <v>0</v>
      </c>
      <c r="V78" s="615"/>
      <c r="W78" s="615"/>
      <c r="X78" s="245">
        <f t="shared" si="53"/>
        <v>29230848</v>
      </c>
      <c r="Y78" s="172"/>
      <c r="AA78" s="245">
        <f>AA70+AA73+AA74+AA75+AA76+AA77</f>
        <v>79431770</v>
      </c>
    </row>
    <row r="79" spans="2:27">
      <c r="B79" s="531" t="s">
        <v>1913</v>
      </c>
      <c r="C79" s="621" t="s">
        <v>730</v>
      </c>
      <c r="D79" s="170" t="s">
        <v>1914</v>
      </c>
      <c r="E79" s="187">
        <v>2</v>
      </c>
      <c r="F79" s="621" t="s">
        <v>534</v>
      </c>
      <c r="G79" s="621" t="s">
        <v>572</v>
      </c>
      <c r="H79" s="620" t="s">
        <v>1520</v>
      </c>
      <c r="I79" s="199">
        <f>2600000</f>
        <v>2600000</v>
      </c>
      <c r="J79" s="2550">
        <v>3232722</v>
      </c>
      <c r="K79" s="2250">
        <v>3362000</v>
      </c>
      <c r="L79" s="192">
        <f t="shared" ref="L79:O80" si="59">+K79</f>
        <v>3362000</v>
      </c>
      <c r="M79" s="192">
        <f t="shared" si="59"/>
        <v>3362000</v>
      </c>
      <c r="N79" s="192">
        <f>+M79+116659</f>
        <v>3478659</v>
      </c>
      <c r="O79" s="192">
        <f t="shared" si="59"/>
        <v>3478659</v>
      </c>
      <c r="P79" s="603">
        <v>3478659</v>
      </c>
      <c r="Q79" s="200">
        <f t="shared" si="52"/>
        <v>1</v>
      </c>
      <c r="R79" s="199">
        <f t="shared" si="55"/>
        <v>0</v>
      </c>
      <c r="S79" s="199">
        <f t="shared" si="56"/>
        <v>0</v>
      </c>
      <c r="T79" s="199">
        <f t="shared" si="57"/>
        <v>116659</v>
      </c>
      <c r="U79" s="199">
        <f t="shared" si="58"/>
        <v>0</v>
      </c>
      <c r="V79" s="615"/>
      <c r="W79" s="615"/>
      <c r="X79" s="538">
        <f t="shared" si="53"/>
        <v>0</v>
      </c>
      <c r="Y79" s="172"/>
      <c r="AA79" s="603">
        <v>2549627</v>
      </c>
    </row>
    <row r="80" spans="2:27">
      <c r="B80" s="530" t="s">
        <v>3195</v>
      </c>
      <c r="C80" s="621" t="s">
        <v>736</v>
      </c>
      <c r="D80" s="619" t="s">
        <v>1915</v>
      </c>
      <c r="E80" s="190">
        <v>2</v>
      </c>
      <c r="F80" s="621" t="s">
        <v>534</v>
      </c>
      <c r="G80" s="621" t="s">
        <v>572</v>
      </c>
      <c r="H80" s="620" t="s">
        <v>1520</v>
      </c>
      <c r="I80" s="192">
        <f>14000000</f>
        <v>14000000</v>
      </c>
      <c r="J80" s="2550">
        <v>13852381</v>
      </c>
      <c r="K80" s="2219">
        <f>29983563+1026487+1000000</f>
        <v>32010050</v>
      </c>
      <c r="L80" s="192">
        <f t="shared" si="59"/>
        <v>32010050</v>
      </c>
      <c r="M80" s="192">
        <f t="shared" si="59"/>
        <v>32010050</v>
      </c>
      <c r="N80" s="192">
        <f t="shared" si="59"/>
        <v>32010050</v>
      </c>
      <c r="O80" s="192">
        <f t="shared" si="59"/>
        <v>32010050</v>
      </c>
      <c r="P80" s="603">
        <v>30653288</v>
      </c>
      <c r="Q80" s="200">
        <f t="shared" si="52"/>
        <v>0.95761449919634611</v>
      </c>
      <c r="R80" s="199">
        <f t="shared" si="55"/>
        <v>0</v>
      </c>
      <c r="S80" s="199">
        <f t="shared" si="56"/>
        <v>0</v>
      </c>
      <c r="T80" s="199">
        <f t="shared" si="57"/>
        <v>0</v>
      </c>
      <c r="U80" s="199">
        <f t="shared" si="58"/>
        <v>0</v>
      </c>
      <c r="V80" s="615"/>
      <c r="W80" s="615"/>
      <c r="X80" s="538">
        <f t="shared" si="53"/>
        <v>1356762</v>
      </c>
      <c r="Y80" s="172"/>
      <c r="AA80" s="603">
        <v>13477990</v>
      </c>
    </row>
    <row r="81" spans="2:27" s="174" customFormat="1">
      <c r="B81" s="213" t="s">
        <v>1519</v>
      </c>
      <c r="C81" s="622"/>
      <c r="D81" s="623"/>
      <c r="E81" s="207"/>
      <c r="F81" s="622"/>
      <c r="G81" s="622"/>
      <c r="H81" s="617" t="s">
        <v>1520</v>
      </c>
      <c r="I81" s="209">
        <f>SUM(I79:I80)</f>
        <v>16600000</v>
      </c>
      <c r="J81" s="2549">
        <f t="shared" ref="J81:P81" si="60">SUM(J79:J80)</f>
        <v>17085103</v>
      </c>
      <c r="K81" s="2347">
        <f t="shared" si="60"/>
        <v>35372050</v>
      </c>
      <c r="L81" s="209">
        <f t="shared" si="60"/>
        <v>35372050</v>
      </c>
      <c r="M81" s="209">
        <f t="shared" si="60"/>
        <v>35372050</v>
      </c>
      <c r="N81" s="209">
        <f t="shared" si="60"/>
        <v>35488709</v>
      </c>
      <c r="O81" s="209">
        <f t="shared" si="60"/>
        <v>35488709</v>
      </c>
      <c r="P81" s="245">
        <f t="shared" si="60"/>
        <v>34131947</v>
      </c>
      <c r="Q81" s="210">
        <f t="shared" si="52"/>
        <v>0.9617691925620625</v>
      </c>
      <c r="R81" s="209">
        <f t="shared" si="55"/>
        <v>0</v>
      </c>
      <c r="S81" s="209">
        <f t="shared" si="56"/>
        <v>0</v>
      </c>
      <c r="T81" s="209">
        <f t="shared" si="57"/>
        <v>116659</v>
      </c>
      <c r="U81" s="209">
        <f t="shared" si="58"/>
        <v>0</v>
      </c>
      <c r="V81" s="627"/>
      <c r="W81" s="627"/>
      <c r="X81" s="245">
        <f t="shared" si="53"/>
        <v>1356762</v>
      </c>
      <c r="Y81" s="172"/>
      <c r="AA81" s="245">
        <f>SUM(AA79:AA80)</f>
        <v>16027617</v>
      </c>
    </row>
    <row r="82" spans="2:27">
      <c r="B82" s="214" t="s">
        <v>1521</v>
      </c>
      <c r="C82" s="621" t="s">
        <v>512</v>
      </c>
      <c r="D82" s="619" t="s">
        <v>1637</v>
      </c>
      <c r="E82" s="190">
        <v>2</v>
      </c>
      <c r="F82" s="621" t="s">
        <v>534</v>
      </c>
      <c r="G82" s="621" t="s">
        <v>572</v>
      </c>
      <c r="H82" s="620" t="s">
        <v>1522</v>
      </c>
      <c r="I82" s="192">
        <f>13000000</f>
        <v>13000000</v>
      </c>
      <c r="J82" s="2550">
        <v>21264928</v>
      </c>
      <c r="K82" s="2250">
        <f>17900000</f>
        <v>17900000</v>
      </c>
      <c r="L82" s="192">
        <f t="shared" ref="L82:L87" si="61">+K82</f>
        <v>17900000</v>
      </c>
      <c r="M82" s="192">
        <f t="shared" ref="M82:M95" si="62">+L82</f>
        <v>17900000</v>
      </c>
      <c r="N82" s="199">
        <f>+M82+10000000+759967</f>
        <v>28659967</v>
      </c>
      <c r="O82" s="192">
        <f t="shared" ref="O82:O96" si="63">+N82</f>
        <v>28659967</v>
      </c>
      <c r="P82" s="603">
        <f>28600762+59205</f>
        <v>28659967</v>
      </c>
      <c r="Q82" s="193">
        <f t="shared" si="52"/>
        <v>1</v>
      </c>
      <c r="R82" s="192">
        <f t="shared" si="55"/>
        <v>0</v>
      </c>
      <c r="S82" s="192">
        <f t="shared" si="56"/>
        <v>0</v>
      </c>
      <c r="T82" s="192">
        <f t="shared" si="57"/>
        <v>10759967</v>
      </c>
      <c r="U82" s="192">
        <f t="shared" si="58"/>
        <v>0</v>
      </c>
      <c r="V82" s="615"/>
      <c r="W82" s="615"/>
      <c r="X82" s="538">
        <f t="shared" si="53"/>
        <v>0</v>
      </c>
      <c r="Y82" s="172"/>
      <c r="AA82" s="603">
        <v>13884760</v>
      </c>
    </row>
    <row r="83" spans="2:27" ht="25.5">
      <c r="B83" s="1094" t="s">
        <v>3593</v>
      </c>
      <c r="C83" s="621" t="s">
        <v>730</v>
      </c>
      <c r="D83" s="619" t="s">
        <v>1916</v>
      </c>
      <c r="E83" s="190">
        <v>2</v>
      </c>
      <c r="F83" s="621" t="s">
        <v>534</v>
      </c>
      <c r="G83" s="621" t="s">
        <v>572</v>
      </c>
      <c r="H83" s="620" t="s">
        <v>1524</v>
      </c>
      <c r="I83" s="532">
        <f>610000+9000000+10000000-10000000</f>
        <v>9610000</v>
      </c>
      <c r="J83" s="2550">
        <v>12063380</v>
      </c>
      <c r="K83" s="2250">
        <f>610000+2640000</f>
        <v>3250000</v>
      </c>
      <c r="L83" s="192">
        <f t="shared" si="61"/>
        <v>3250000</v>
      </c>
      <c r="M83" s="192">
        <f t="shared" si="62"/>
        <v>3250000</v>
      </c>
      <c r="N83" s="199">
        <f t="shared" ref="N83:N95" si="64">+M83</f>
        <v>3250000</v>
      </c>
      <c r="O83" s="192">
        <f t="shared" si="63"/>
        <v>3250000</v>
      </c>
      <c r="P83" s="603">
        <f>398290-285750+2640000</f>
        <v>2752540</v>
      </c>
      <c r="Q83" s="533">
        <f t="shared" si="52"/>
        <v>0.84693538461538465</v>
      </c>
      <c r="R83" s="532">
        <f t="shared" si="55"/>
        <v>0</v>
      </c>
      <c r="S83" s="532">
        <f t="shared" si="56"/>
        <v>0</v>
      </c>
      <c r="T83" s="532">
        <f t="shared" si="57"/>
        <v>0</v>
      </c>
      <c r="U83" s="532">
        <f t="shared" si="58"/>
        <v>0</v>
      </c>
      <c r="V83" s="615">
        <f>+K83/1.27</f>
        <v>2559055.1181102362</v>
      </c>
      <c r="W83" s="615">
        <f>+V83*0.27</f>
        <v>690944.88188976387</v>
      </c>
      <c r="X83" s="538">
        <f t="shared" si="53"/>
        <v>497460</v>
      </c>
      <c r="Y83" s="172"/>
      <c r="AA83" s="603">
        <f>24015759-11509299</f>
        <v>12506460</v>
      </c>
    </row>
    <row r="84" spans="2:27">
      <c r="B84" s="530" t="s">
        <v>3296</v>
      </c>
      <c r="C84" s="621" t="s">
        <v>730</v>
      </c>
      <c r="D84" s="619" t="s">
        <v>1639</v>
      </c>
      <c r="E84" s="190">
        <v>2</v>
      </c>
      <c r="F84" s="621" t="s">
        <v>534</v>
      </c>
      <c r="G84" s="621" t="s">
        <v>572</v>
      </c>
      <c r="H84" s="620" t="s">
        <v>1525</v>
      </c>
      <c r="I84" s="535">
        <f>0</f>
        <v>0</v>
      </c>
      <c r="J84" s="2604">
        <v>0</v>
      </c>
      <c r="K84" s="2349">
        <f>0</f>
        <v>0</v>
      </c>
      <c r="L84" s="192">
        <f t="shared" si="61"/>
        <v>0</v>
      </c>
      <c r="M84" s="192">
        <f t="shared" si="62"/>
        <v>0</v>
      </c>
      <c r="N84" s="199">
        <f t="shared" si="64"/>
        <v>0</v>
      </c>
      <c r="O84" s="199">
        <f t="shared" si="63"/>
        <v>0</v>
      </c>
      <c r="P84" s="625">
        <v>0</v>
      </c>
      <c r="Q84" s="534"/>
      <c r="R84" s="535">
        <f t="shared" si="55"/>
        <v>0</v>
      </c>
      <c r="S84" s="535">
        <f t="shared" si="56"/>
        <v>0</v>
      </c>
      <c r="T84" s="535">
        <f t="shared" si="57"/>
        <v>0</v>
      </c>
      <c r="U84" s="535">
        <f t="shared" si="58"/>
        <v>0</v>
      </c>
      <c r="V84" s="615">
        <f>+K84/1.27</f>
        <v>0</v>
      </c>
      <c r="W84" s="529">
        <f>+V84*0.27</f>
        <v>0</v>
      </c>
      <c r="X84" s="626">
        <f t="shared" si="53"/>
        <v>0</v>
      </c>
      <c r="Y84" s="172"/>
      <c r="AA84" s="625"/>
    </row>
    <row r="85" spans="2:27">
      <c r="B85" s="530" t="s">
        <v>1917</v>
      </c>
      <c r="C85" s="621" t="s">
        <v>730</v>
      </c>
      <c r="D85" s="619" t="s">
        <v>1642</v>
      </c>
      <c r="E85" s="190">
        <v>2</v>
      </c>
      <c r="F85" s="621" t="s">
        <v>534</v>
      </c>
      <c r="G85" s="621" t="s">
        <v>572</v>
      </c>
      <c r="H85" s="620" t="s">
        <v>1640</v>
      </c>
      <c r="I85" s="535">
        <f>2500000+600000</f>
        <v>3100000</v>
      </c>
      <c r="J85" s="2555">
        <v>4592145</v>
      </c>
      <c r="K85" s="2349">
        <v>3680000</v>
      </c>
      <c r="L85" s="199">
        <f t="shared" si="61"/>
        <v>3680000</v>
      </c>
      <c r="M85" s="192">
        <f>+L85</f>
        <v>3680000</v>
      </c>
      <c r="N85" s="199">
        <f>+M85+320000+11614</f>
        <v>4011614</v>
      </c>
      <c r="O85" s="199">
        <f t="shared" si="63"/>
        <v>4011614</v>
      </c>
      <c r="P85" s="625">
        <v>4011614</v>
      </c>
      <c r="Q85" s="534">
        <f>+P85/N85</f>
        <v>1</v>
      </c>
      <c r="R85" s="535">
        <f t="shared" si="55"/>
        <v>0</v>
      </c>
      <c r="S85" s="535">
        <f t="shared" si="56"/>
        <v>0</v>
      </c>
      <c r="T85" s="535">
        <f t="shared" si="57"/>
        <v>331614</v>
      </c>
      <c r="U85" s="535">
        <f t="shared" si="58"/>
        <v>0</v>
      </c>
      <c r="V85" s="615"/>
      <c r="W85" s="615"/>
      <c r="X85" s="626">
        <f t="shared" si="53"/>
        <v>0</v>
      </c>
      <c r="Y85" s="172"/>
      <c r="AA85" s="625">
        <v>4005819</v>
      </c>
    </row>
    <row r="86" spans="2:27" ht="25.5">
      <c r="B86" s="530" t="s">
        <v>127</v>
      </c>
      <c r="C86" s="621" t="s">
        <v>736</v>
      </c>
      <c r="D86" s="619" t="s">
        <v>1644</v>
      </c>
      <c r="E86" s="190">
        <v>2</v>
      </c>
      <c r="F86" s="621" t="s">
        <v>751</v>
      </c>
      <c r="G86" s="621" t="s">
        <v>572</v>
      </c>
      <c r="H86" s="620" t="s">
        <v>1525</v>
      </c>
      <c r="I86" s="535">
        <f>2126120+4218000+1500000+100000+2000000+500000+500000+1000000</f>
        <v>11944120</v>
      </c>
      <c r="J86" s="2555">
        <v>9132819</v>
      </c>
      <c r="K86" s="2349">
        <f>2326865+4218000+1800000+100000+2400000+1200000+700000+2000000-3000000</f>
        <v>11744865</v>
      </c>
      <c r="L86" s="199">
        <f t="shared" si="61"/>
        <v>11744865</v>
      </c>
      <c r="M86" s="192">
        <f t="shared" si="62"/>
        <v>11744865</v>
      </c>
      <c r="N86" s="199">
        <f>+M86-759967</f>
        <v>10984898</v>
      </c>
      <c r="O86" s="199">
        <f t="shared" si="63"/>
        <v>10984898</v>
      </c>
      <c r="P86" s="625">
        <f>6329157</f>
        <v>6329157</v>
      </c>
      <c r="Q86" s="534">
        <f>+P86/N86</f>
        <v>0.57616893666195168</v>
      </c>
      <c r="R86" s="535">
        <f t="shared" si="55"/>
        <v>0</v>
      </c>
      <c r="S86" s="535">
        <f t="shared" si="56"/>
        <v>0</v>
      </c>
      <c r="T86" s="535">
        <f t="shared" si="57"/>
        <v>-759967</v>
      </c>
      <c r="U86" s="535">
        <f t="shared" si="58"/>
        <v>0</v>
      </c>
      <c r="V86" s="615">
        <f t="shared" ref="V86:V93" si="65">+K86/1.27</f>
        <v>9247925.196850393</v>
      </c>
      <c r="W86" s="615">
        <f t="shared" ref="W86:W93" si="66">+V86*0.27</f>
        <v>2496939.8031496061</v>
      </c>
      <c r="X86" s="626">
        <f t="shared" si="53"/>
        <v>4655741</v>
      </c>
      <c r="Y86" s="172">
        <f>6329157-P86</f>
        <v>0</v>
      </c>
      <c r="Z86" s="172"/>
      <c r="AA86" s="625">
        <v>7876876</v>
      </c>
    </row>
    <row r="87" spans="2:27" ht="38.25">
      <c r="B87" s="530" t="s">
        <v>3594</v>
      </c>
      <c r="C87" s="621" t="s">
        <v>599</v>
      </c>
      <c r="D87" s="619" t="s">
        <v>1646</v>
      </c>
      <c r="E87" s="190">
        <v>2</v>
      </c>
      <c r="F87" s="621" t="s">
        <v>1918</v>
      </c>
      <c r="G87" s="621" t="s">
        <v>572</v>
      </c>
      <c r="H87" s="620" t="s">
        <v>1525</v>
      </c>
      <c r="I87" s="535">
        <f>5000000+12*400000+400000</f>
        <v>10200000</v>
      </c>
      <c r="J87" s="2604">
        <v>10325524</v>
      </c>
      <c r="K87" s="2349">
        <f>6000000-1000000+12*480000+480000</f>
        <v>11240000</v>
      </c>
      <c r="L87" s="199">
        <f t="shared" si="61"/>
        <v>11240000</v>
      </c>
      <c r="M87" s="199">
        <f t="shared" si="62"/>
        <v>11240000</v>
      </c>
      <c r="N87" s="199">
        <f>+M87+400000</f>
        <v>11640000</v>
      </c>
      <c r="O87" s="199">
        <f t="shared" si="63"/>
        <v>11640000</v>
      </c>
      <c r="P87" s="625">
        <f>6428612+350000+73795+214800+427000+61650+1842755</f>
        <v>9398612</v>
      </c>
      <c r="Q87" s="534">
        <f>+P87/N87</f>
        <v>0.8074408934707904</v>
      </c>
      <c r="R87" s="535">
        <f t="shared" si="55"/>
        <v>0</v>
      </c>
      <c r="S87" s="535">
        <f t="shared" si="56"/>
        <v>0</v>
      </c>
      <c r="T87" s="535">
        <f t="shared" si="57"/>
        <v>400000</v>
      </c>
      <c r="U87" s="535">
        <f t="shared" si="58"/>
        <v>0</v>
      </c>
      <c r="V87" s="615">
        <f t="shared" si="65"/>
        <v>8850393.7007874008</v>
      </c>
      <c r="W87" s="615">
        <f t="shared" si="66"/>
        <v>2389606.2992125982</v>
      </c>
      <c r="X87" s="626">
        <f t="shared" si="53"/>
        <v>2241388</v>
      </c>
      <c r="Y87" s="172">
        <f>4320000+5078612</f>
        <v>9398612</v>
      </c>
      <c r="Z87" s="172">
        <f>+Y87-P87</f>
        <v>0</v>
      </c>
      <c r="AA87" s="625">
        <v>6091984</v>
      </c>
    </row>
    <row r="88" spans="2:27">
      <c r="B88" s="530" t="s">
        <v>1919</v>
      </c>
      <c r="C88" s="621" t="s">
        <v>730</v>
      </c>
      <c r="D88" s="619" t="s">
        <v>1650</v>
      </c>
      <c r="E88" s="190">
        <v>2</v>
      </c>
      <c r="F88" s="621" t="s">
        <v>534</v>
      </c>
      <c r="G88" s="621" t="s">
        <v>572</v>
      </c>
      <c r="H88" s="620" t="s">
        <v>1525</v>
      </c>
      <c r="I88" s="535">
        <f>100000</f>
        <v>100000</v>
      </c>
      <c r="J88" s="2555">
        <v>0</v>
      </c>
      <c r="K88" s="2349">
        <f>0</f>
        <v>0</v>
      </c>
      <c r="L88" s="199">
        <f t="shared" ref="L88:L96" si="67">+K88</f>
        <v>0</v>
      </c>
      <c r="M88" s="199">
        <f t="shared" si="62"/>
        <v>0</v>
      </c>
      <c r="N88" s="199">
        <f t="shared" si="64"/>
        <v>0</v>
      </c>
      <c r="O88" s="199">
        <f t="shared" si="63"/>
        <v>0</v>
      </c>
      <c r="P88" s="625">
        <v>0</v>
      </c>
      <c r="Q88" s="534"/>
      <c r="R88" s="535">
        <f t="shared" si="55"/>
        <v>0</v>
      </c>
      <c r="S88" s="535">
        <f t="shared" si="56"/>
        <v>0</v>
      </c>
      <c r="T88" s="535">
        <f t="shared" si="57"/>
        <v>0</v>
      </c>
      <c r="U88" s="535">
        <f t="shared" si="58"/>
        <v>0</v>
      </c>
      <c r="V88" s="615">
        <f t="shared" si="65"/>
        <v>0</v>
      </c>
      <c r="W88" s="615">
        <f t="shared" si="66"/>
        <v>0</v>
      </c>
      <c r="X88" s="626">
        <f t="shared" si="53"/>
        <v>0</v>
      </c>
      <c r="Y88" s="172"/>
      <c r="AA88" s="625">
        <v>0</v>
      </c>
    </row>
    <row r="89" spans="2:27">
      <c r="B89" s="530" t="s">
        <v>1920</v>
      </c>
      <c r="C89" s="621" t="s">
        <v>599</v>
      </c>
      <c r="D89" s="619" t="s">
        <v>1652</v>
      </c>
      <c r="E89" s="190">
        <v>3</v>
      </c>
      <c r="F89" s="621" t="s">
        <v>534</v>
      </c>
      <c r="G89" s="621" t="s">
        <v>572</v>
      </c>
      <c r="H89" s="620" t="s">
        <v>1525</v>
      </c>
      <c r="I89" s="535">
        <f>300000</f>
        <v>300000</v>
      </c>
      <c r="J89" s="2555">
        <v>52705</v>
      </c>
      <c r="K89" s="2349">
        <f>300000</f>
        <v>300000</v>
      </c>
      <c r="L89" s="199">
        <f t="shared" si="67"/>
        <v>300000</v>
      </c>
      <c r="M89" s="199">
        <f t="shared" si="62"/>
        <v>300000</v>
      </c>
      <c r="N89" s="199">
        <f t="shared" si="64"/>
        <v>300000</v>
      </c>
      <c r="O89" s="199">
        <f t="shared" si="63"/>
        <v>300000</v>
      </c>
      <c r="P89" s="625">
        <v>38100</v>
      </c>
      <c r="Q89" s="534">
        <f t="shared" ref="Q89:Q99" si="68">+P89/N89</f>
        <v>0.127</v>
      </c>
      <c r="R89" s="535">
        <f t="shared" si="55"/>
        <v>0</v>
      </c>
      <c r="S89" s="535">
        <f t="shared" si="56"/>
        <v>0</v>
      </c>
      <c r="T89" s="535">
        <f t="shared" si="57"/>
        <v>0</v>
      </c>
      <c r="U89" s="535">
        <f t="shared" si="58"/>
        <v>0</v>
      </c>
      <c r="V89" s="615">
        <f t="shared" si="65"/>
        <v>236220.47244094487</v>
      </c>
      <c r="W89" s="615">
        <f t="shared" si="66"/>
        <v>63779.527559055117</v>
      </c>
      <c r="X89" s="626">
        <f t="shared" si="53"/>
        <v>261900</v>
      </c>
      <c r="Y89" s="172"/>
      <c r="AA89" s="625">
        <v>52705</v>
      </c>
    </row>
    <row r="90" spans="2:27" ht="25.5">
      <c r="B90" s="3003" t="s">
        <v>3135</v>
      </c>
      <c r="C90" s="621" t="s">
        <v>583</v>
      </c>
      <c r="D90" s="619" t="s">
        <v>1654</v>
      </c>
      <c r="E90" s="190">
        <v>2</v>
      </c>
      <c r="F90" s="621" t="s">
        <v>534</v>
      </c>
      <c r="G90" s="621" t="s">
        <v>572</v>
      </c>
      <c r="H90" s="620" t="s">
        <v>1525</v>
      </c>
      <c r="I90" s="535">
        <f>800000+2*500000</f>
        <v>1800000</v>
      </c>
      <c r="J90" s="2555">
        <v>850070</v>
      </c>
      <c r="K90" s="2349">
        <f>3200000-500000</f>
        <v>2700000</v>
      </c>
      <c r="L90" s="199">
        <f t="shared" si="67"/>
        <v>2700000</v>
      </c>
      <c r="M90" s="199">
        <f t="shared" si="62"/>
        <v>2700000</v>
      </c>
      <c r="N90" s="199">
        <f>+M90-114170</f>
        <v>2585830</v>
      </c>
      <c r="O90" s="199">
        <f t="shared" si="63"/>
        <v>2585830</v>
      </c>
      <c r="P90" s="625">
        <f>1531077-11775</f>
        <v>1519302</v>
      </c>
      <c r="Q90" s="534">
        <f t="shared" si="68"/>
        <v>0.58754906548380981</v>
      </c>
      <c r="R90" s="535">
        <f t="shared" si="55"/>
        <v>0</v>
      </c>
      <c r="S90" s="535">
        <f t="shared" si="56"/>
        <v>0</v>
      </c>
      <c r="T90" s="535">
        <f t="shared" si="57"/>
        <v>-114170</v>
      </c>
      <c r="U90" s="535">
        <f t="shared" si="58"/>
        <v>0</v>
      </c>
      <c r="V90" s="615">
        <f t="shared" si="65"/>
        <v>2125984.2519685039</v>
      </c>
      <c r="W90" s="615">
        <f t="shared" si="66"/>
        <v>574015.74803149607</v>
      </c>
      <c r="X90" s="626">
        <f t="shared" si="53"/>
        <v>1066528</v>
      </c>
      <c r="Y90" s="172">
        <f>834691+684611</f>
        <v>1519302</v>
      </c>
      <c r="AA90" s="625">
        <v>379730</v>
      </c>
    </row>
    <row r="91" spans="2:27" ht="25.5">
      <c r="B91" s="530" t="s">
        <v>3171</v>
      </c>
      <c r="C91" s="621"/>
      <c r="D91" s="619"/>
      <c r="E91" s="190"/>
      <c r="F91" s="621"/>
      <c r="G91" s="621"/>
      <c r="H91" s="620"/>
      <c r="I91" s="535">
        <f>100000</f>
        <v>100000</v>
      </c>
      <c r="J91" s="2555">
        <v>37059</v>
      </c>
      <c r="K91" s="2349">
        <f>100000</f>
        <v>100000</v>
      </c>
      <c r="L91" s="199">
        <f t="shared" si="67"/>
        <v>100000</v>
      </c>
      <c r="M91" s="199">
        <f t="shared" si="62"/>
        <v>100000</v>
      </c>
      <c r="N91" s="199">
        <f t="shared" si="64"/>
        <v>100000</v>
      </c>
      <c r="O91" s="199">
        <f t="shared" si="63"/>
        <v>100000</v>
      </c>
      <c r="P91" s="625">
        <f>0+11775</f>
        <v>11775</v>
      </c>
      <c r="Q91" s="534">
        <f t="shared" si="68"/>
        <v>0.11774999999999999</v>
      </c>
      <c r="R91" s="535">
        <f t="shared" si="55"/>
        <v>0</v>
      </c>
      <c r="S91" s="535">
        <f t="shared" si="56"/>
        <v>0</v>
      </c>
      <c r="T91" s="535">
        <f t="shared" si="57"/>
        <v>0</v>
      </c>
      <c r="U91" s="535">
        <f t="shared" si="58"/>
        <v>0</v>
      </c>
      <c r="V91" s="615"/>
      <c r="W91" s="615"/>
      <c r="X91" s="626">
        <f t="shared" si="53"/>
        <v>88225</v>
      </c>
      <c r="Y91" s="172"/>
      <c r="AA91" s="625">
        <v>0</v>
      </c>
    </row>
    <row r="92" spans="2:27" ht="53.25">
      <c r="B92" s="530" t="s">
        <v>3553</v>
      </c>
      <c r="C92" s="621" t="s">
        <v>730</v>
      </c>
      <c r="D92" s="619" t="s">
        <v>1656</v>
      </c>
      <c r="E92" s="190">
        <v>2</v>
      </c>
      <c r="F92" s="621" t="s">
        <v>534</v>
      </c>
      <c r="G92" s="621" t="s">
        <v>572</v>
      </c>
      <c r="H92" s="620" t="s">
        <v>1525</v>
      </c>
      <c r="I92" s="535">
        <f>500000+530000+60000</f>
        <v>1090000</v>
      </c>
      <c r="J92" s="2555">
        <v>427815</v>
      </c>
      <c r="K92" s="2349">
        <f>500000+530000+60000</f>
        <v>1090000</v>
      </c>
      <c r="L92" s="199">
        <f t="shared" si="67"/>
        <v>1090000</v>
      </c>
      <c r="M92" s="199">
        <f>+L92</f>
        <v>1090000</v>
      </c>
      <c r="N92" s="199">
        <f>+M92</f>
        <v>1090000</v>
      </c>
      <c r="O92" s="199">
        <f t="shared" si="63"/>
        <v>1090000</v>
      </c>
      <c r="P92" s="625">
        <f>357023-73795</f>
        <v>283228</v>
      </c>
      <c r="Q92" s="534">
        <f t="shared" si="68"/>
        <v>0.2598422018348624</v>
      </c>
      <c r="R92" s="535">
        <f t="shared" si="55"/>
        <v>0</v>
      </c>
      <c r="S92" s="535">
        <f t="shared" si="56"/>
        <v>0</v>
      </c>
      <c r="T92" s="535">
        <f t="shared" si="57"/>
        <v>0</v>
      </c>
      <c r="U92" s="535">
        <f t="shared" si="58"/>
        <v>0</v>
      </c>
      <c r="V92" s="615">
        <f t="shared" si="65"/>
        <v>858267.71653543308</v>
      </c>
      <c r="W92" s="615">
        <f t="shared" si="66"/>
        <v>231732.28346456695</v>
      </c>
      <c r="X92" s="626">
        <f t="shared" si="53"/>
        <v>806772</v>
      </c>
      <c r="Y92" s="172">
        <f>228420+54808-P92</f>
        <v>0</v>
      </c>
      <c r="AA92" s="625">
        <f>746344+427815</f>
        <v>1174159</v>
      </c>
    </row>
    <row r="93" spans="2:27" ht="25.5">
      <c r="B93" s="530" t="s">
        <v>1921</v>
      </c>
      <c r="C93" s="621" t="s">
        <v>736</v>
      </c>
      <c r="D93" s="619" t="s">
        <v>1657</v>
      </c>
      <c r="E93" s="190">
        <v>3</v>
      </c>
      <c r="F93" s="621" t="s">
        <v>534</v>
      </c>
      <c r="G93" s="621" t="s">
        <v>572</v>
      </c>
      <c r="H93" s="620" t="s">
        <v>1525</v>
      </c>
      <c r="I93" s="535">
        <f>1000000</f>
        <v>1000000</v>
      </c>
      <c r="J93" s="2555">
        <v>0</v>
      </c>
      <c r="K93" s="2349">
        <f>1000000+9000000</f>
        <v>10000000</v>
      </c>
      <c r="L93" s="199">
        <f t="shared" si="67"/>
        <v>10000000</v>
      </c>
      <c r="M93" s="199">
        <f t="shared" si="62"/>
        <v>10000000</v>
      </c>
      <c r="N93" s="199">
        <f>+M93-10000000</f>
        <v>0</v>
      </c>
      <c r="O93" s="199">
        <f t="shared" si="63"/>
        <v>0</v>
      </c>
      <c r="P93" s="625">
        <v>0</v>
      </c>
      <c r="Q93" s="534"/>
      <c r="R93" s="535">
        <f t="shared" si="55"/>
        <v>0</v>
      </c>
      <c r="S93" s="535">
        <f t="shared" si="56"/>
        <v>0</v>
      </c>
      <c r="T93" s="535">
        <f t="shared" si="57"/>
        <v>-10000000</v>
      </c>
      <c r="U93" s="535">
        <f t="shared" si="58"/>
        <v>0</v>
      </c>
      <c r="V93" s="615">
        <f t="shared" si="65"/>
        <v>7874015.7480314961</v>
      </c>
      <c r="W93" s="615">
        <f t="shared" si="66"/>
        <v>2125984.2519685039</v>
      </c>
      <c r="X93" s="626">
        <f t="shared" si="53"/>
        <v>0</v>
      </c>
      <c r="Y93" s="172"/>
      <c r="AA93" s="625">
        <v>0</v>
      </c>
    </row>
    <row r="94" spans="2:27">
      <c r="B94" s="530" t="s">
        <v>1922</v>
      </c>
      <c r="C94" s="621" t="s">
        <v>656</v>
      </c>
      <c r="D94" s="619" t="s">
        <v>1659</v>
      </c>
      <c r="E94" s="190">
        <v>2</v>
      </c>
      <c r="F94" s="621" t="s">
        <v>534</v>
      </c>
      <c r="G94" s="621" t="s">
        <v>572</v>
      </c>
      <c r="H94" s="620" t="s">
        <v>1525</v>
      </c>
      <c r="I94" s="535">
        <f>1500000-500000</f>
        <v>1000000</v>
      </c>
      <c r="J94" s="2555">
        <v>0</v>
      </c>
      <c r="K94" s="2349">
        <f>1000000</f>
        <v>1000000</v>
      </c>
      <c r="L94" s="199">
        <f t="shared" si="67"/>
        <v>1000000</v>
      </c>
      <c r="M94" s="199">
        <f t="shared" si="62"/>
        <v>1000000</v>
      </c>
      <c r="N94" s="199">
        <f t="shared" si="64"/>
        <v>1000000</v>
      </c>
      <c r="O94" s="199">
        <f t="shared" si="63"/>
        <v>1000000</v>
      </c>
      <c r="P94" s="625">
        <v>95000</v>
      </c>
      <c r="Q94" s="534">
        <f t="shared" si="68"/>
        <v>9.5000000000000001E-2</v>
      </c>
      <c r="R94" s="535">
        <f t="shared" si="55"/>
        <v>0</v>
      </c>
      <c r="S94" s="535">
        <f t="shared" si="56"/>
        <v>0</v>
      </c>
      <c r="T94" s="535">
        <f t="shared" si="57"/>
        <v>0</v>
      </c>
      <c r="U94" s="535">
        <f t="shared" si="58"/>
        <v>0</v>
      </c>
      <c r="V94" s="615"/>
      <c r="W94" s="615"/>
      <c r="X94" s="626">
        <f t="shared" si="53"/>
        <v>905000</v>
      </c>
      <c r="Y94" s="172"/>
      <c r="AA94" s="625">
        <v>0</v>
      </c>
    </row>
    <row r="95" spans="2:27">
      <c r="B95" s="530" t="s">
        <v>3550</v>
      </c>
      <c r="C95" s="621" t="s">
        <v>730</v>
      </c>
      <c r="D95" s="624" t="s">
        <v>1648</v>
      </c>
      <c r="E95" s="239">
        <v>2</v>
      </c>
      <c r="F95" s="621" t="s">
        <v>534</v>
      </c>
      <c r="G95" s="619">
        <v>9990001</v>
      </c>
      <c r="H95" s="620" t="s">
        <v>1525</v>
      </c>
      <c r="I95" s="535">
        <f>18592799-15000000</f>
        <v>3592799</v>
      </c>
      <c r="J95" s="2555">
        <v>2136903</v>
      </c>
      <c r="K95" s="2349">
        <f>2000000+1455896</f>
        <v>3455896</v>
      </c>
      <c r="L95" s="199">
        <f t="shared" si="67"/>
        <v>3455896</v>
      </c>
      <c r="M95" s="199">
        <f t="shared" si="62"/>
        <v>3455896</v>
      </c>
      <c r="N95" s="199">
        <f t="shared" si="64"/>
        <v>3455896</v>
      </c>
      <c r="O95" s="199">
        <f t="shared" si="63"/>
        <v>3455896</v>
      </c>
      <c r="P95" s="625">
        <v>1470402</v>
      </c>
      <c r="Q95" s="534">
        <f t="shared" si="68"/>
        <v>0.42547634535298517</v>
      </c>
      <c r="R95" s="535"/>
      <c r="S95" s="535">
        <f t="shared" si="56"/>
        <v>0</v>
      </c>
      <c r="T95" s="535">
        <f t="shared" si="57"/>
        <v>0</v>
      </c>
      <c r="U95" s="535">
        <f t="shared" si="58"/>
        <v>0</v>
      </c>
      <c r="V95" s="615"/>
      <c r="W95" s="615"/>
      <c r="X95" s="626">
        <f t="shared" si="53"/>
        <v>1985494</v>
      </c>
      <c r="Y95" s="172"/>
      <c r="AA95" s="625">
        <v>699954</v>
      </c>
    </row>
    <row r="96" spans="2:27" s="628" customFormat="1">
      <c r="B96" s="629" t="s">
        <v>3306</v>
      </c>
      <c r="C96" s="630" t="s">
        <v>1032</v>
      </c>
      <c r="D96" s="630" t="s">
        <v>1658</v>
      </c>
      <c r="E96" s="1814">
        <v>3</v>
      </c>
      <c r="F96" s="630" t="s">
        <v>534</v>
      </c>
      <c r="G96" s="630" t="s">
        <v>572</v>
      </c>
      <c r="H96" s="631" t="s">
        <v>1525</v>
      </c>
      <c r="I96" s="535">
        <f>37260532</f>
        <v>37260532</v>
      </c>
      <c r="J96" s="2555">
        <v>42179242</v>
      </c>
      <c r="K96" s="2349">
        <f>10954703*4</f>
        <v>43818812</v>
      </c>
      <c r="L96" s="199">
        <f t="shared" si="67"/>
        <v>43818812</v>
      </c>
      <c r="M96" s="199">
        <f>+L96+810894</f>
        <v>44629706</v>
      </c>
      <c r="N96" s="199">
        <f>+M96+405447</f>
        <v>45035153</v>
      </c>
      <c r="O96" s="199">
        <f t="shared" si="63"/>
        <v>45035153</v>
      </c>
      <c r="P96" s="625">
        <v>45035153</v>
      </c>
      <c r="Q96" s="534">
        <f t="shared" si="68"/>
        <v>1</v>
      </c>
      <c r="R96" s="535">
        <f t="shared" ref="R96:R104" si="69">+L96-K96</f>
        <v>0</v>
      </c>
      <c r="S96" s="535">
        <f t="shared" si="56"/>
        <v>810894</v>
      </c>
      <c r="T96" s="535">
        <f t="shared" si="57"/>
        <v>405447</v>
      </c>
      <c r="U96" s="535">
        <f t="shared" si="58"/>
        <v>0</v>
      </c>
      <c r="V96" s="632"/>
      <c r="W96" s="632"/>
      <c r="X96" s="626">
        <f t="shared" si="53"/>
        <v>0</v>
      </c>
      <c r="Y96" s="172"/>
      <c r="Z96" s="625"/>
      <c r="AA96" s="625">
        <v>31224539</v>
      </c>
    </row>
    <row r="97" spans="2:27">
      <c r="B97" s="214" t="s">
        <v>77</v>
      </c>
      <c r="C97" s="619"/>
      <c r="D97" s="619"/>
      <c r="E97" s="190"/>
      <c r="F97" s="619"/>
      <c r="G97" s="619"/>
      <c r="H97" s="620" t="s">
        <v>1525</v>
      </c>
      <c r="I97" s="192">
        <f>SUM(I84:I96)</f>
        <v>71487451</v>
      </c>
      <c r="J97" s="2550">
        <f t="shared" ref="J97:O97" si="70">SUM(J84:J96)</f>
        <v>69734282</v>
      </c>
      <c r="K97" s="2219">
        <f t="shared" si="70"/>
        <v>89129573</v>
      </c>
      <c r="L97" s="192">
        <f t="shared" si="70"/>
        <v>89129573</v>
      </c>
      <c r="M97" s="192">
        <f t="shared" si="70"/>
        <v>89940467</v>
      </c>
      <c r="N97" s="192">
        <f t="shared" si="70"/>
        <v>80203391</v>
      </c>
      <c r="O97" s="192">
        <f t="shared" si="70"/>
        <v>80203391</v>
      </c>
      <c r="P97" s="538">
        <f>SUM(P84:P96)</f>
        <v>68192343</v>
      </c>
      <c r="Q97" s="193">
        <f t="shared" si="68"/>
        <v>0.85024264123695215</v>
      </c>
      <c r="R97" s="192">
        <f t="shared" si="69"/>
        <v>0</v>
      </c>
      <c r="S97" s="192">
        <f t="shared" si="56"/>
        <v>810894</v>
      </c>
      <c r="T97" s="192">
        <f t="shared" si="57"/>
        <v>-9737076</v>
      </c>
      <c r="U97" s="192">
        <f t="shared" si="58"/>
        <v>0</v>
      </c>
      <c r="V97" s="615"/>
      <c r="W97" s="615"/>
      <c r="X97" s="538">
        <f t="shared" si="53"/>
        <v>12011048</v>
      </c>
      <c r="Y97" s="172"/>
      <c r="AA97" s="538">
        <f>SUM(AA84:AA96)</f>
        <v>51505766</v>
      </c>
    </row>
    <row r="98" spans="2:27">
      <c r="B98" s="208" t="s">
        <v>74</v>
      </c>
      <c r="C98" s="623"/>
      <c r="D98" s="623"/>
      <c r="E98" s="207"/>
      <c r="F98" s="623"/>
      <c r="G98" s="623"/>
      <c r="H98" s="617" t="s">
        <v>1527</v>
      </c>
      <c r="I98" s="209">
        <f>I81+I82+I83+I97</f>
        <v>110697451</v>
      </c>
      <c r="J98" s="2549">
        <f t="shared" ref="J98:P98" si="71">J81+J82+J83+J97</f>
        <v>120147693</v>
      </c>
      <c r="K98" s="2347">
        <f t="shared" si="71"/>
        <v>145651623</v>
      </c>
      <c r="L98" s="209">
        <f t="shared" si="71"/>
        <v>145651623</v>
      </c>
      <c r="M98" s="209">
        <f t="shared" si="71"/>
        <v>146462517</v>
      </c>
      <c r="N98" s="209">
        <f t="shared" si="71"/>
        <v>147602067</v>
      </c>
      <c r="O98" s="209">
        <f t="shared" si="71"/>
        <v>147602067</v>
      </c>
      <c r="P98" s="245">
        <f t="shared" si="71"/>
        <v>133736797</v>
      </c>
      <c r="Q98" s="210">
        <f t="shared" si="68"/>
        <v>0.90606317186601459</v>
      </c>
      <c r="R98" s="209">
        <f t="shared" si="69"/>
        <v>0</v>
      </c>
      <c r="S98" s="209">
        <f t="shared" si="56"/>
        <v>810894</v>
      </c>
      <c r="T98" s="209">
        <f t="shared" si="57"/>
        <v>1139550</v>
      </c>
      <c r="U98" s="209">
        <f t="shared" si="58"/>
        <v>0</v>
      </c>
      <c r="V98" s="615"/>
      <c r="W98" s="615"/>
      <c r="X98" s="245">
        <f t="shared" si="53"/>
        <v>13865270</v>
      </c>
      <c r="Y98" s="172"/>
      <c r="AA98" s="245">
        <f>AA81+AA82+AA83+AA97</f>
        <v>93924603</v>
      </c>
    </row>
    <row r="99" spans="2:27">
      <c r="B99" s="208" t="s">
        <v>1662</v>
      </c>
      <c r="C99" s="623"/>
      <c r="D99" s="623"/>
      <c r="E99" s="207"/>
      <c r="F99" s="623"/>
      <c r="G99" s="623"/>
      <c r="H99" s="617" t="s">
        <v>1529</v>
      </c>
      <c r="I99" s="209">
        <f>+I41+I43+I45+I55+I58+I78+I98</f>
        <v>250005577</v>
      </c>
      <c r="J99" s="2549">
        <f t="shared" ref="J99:P99" si="72">+J41+J43+J45+J55+J58+J78+J98</f>
        <v>251073342</v>
      </c>
      <c r="K99" s="2347">
        <f t="shared" si="72"/>
        <v>300425145</v>
      </c>
      <c r="L99" s="209">
        <f t="shared" si="72"/>
        <v>317297345</v>
      </c>
      <c r="M99" s="209">
        <f t="shared" si="72"/>
        <v>333295406</v>
      </c>
      <c r="N99" s="209">
        <f t="shared" si="72"/>
        <v>336701940</v>
      </c>
      <c r="O99" s="209">
        <f t="shared" si="72"/>
        <v>336701940</v>
      </c>
      <c r="P99" s="245">
        <f t="shared" si="72"/>
        <v>277028690</v>
      </c>
      <c r="Q99" s="210">
        <f t="shared" si="68"/>
        <v>0.82277129142766448</v>
      </c>
      <c r="R99" s="209">
        <f t="shared" si="69"/>
        <v>16872200</v>
      </c>
      <c r="S99" s="209">
        <f t="shared" si="56"/>
        <v>15998061</v>
      </c>
      <c r="T99" s="209">
        <f t="shared" si="57"/>
        <v>3406534</v>
      </c>
      <c r="U99" s="209">
        <f t="shared" si="58"/>
        <v>0</v>
      </c>
      <c r="V99" s="615"/>
      <c r="W99" s="615"/>
      <c r="X99" s="245">
        <f t="shared" si="53"/>
        <v>59673250</v>
      </c>
      <c r="Y99" s="172"/>
      <c r="AA99" s="245">
        <f>+AA41+AA43+AA45+AA55+AA58+AA78+AA98</f>
        <v>191364349</v>
      </c>
    </row>
    <row r="100" spans="2:27">
      <c r="B100" s="214" t="s">
        <v>1530</v>
      </c>
      <c r="C100" s="621" t="s">
        <v>512</v>
      </c>
      <c r="D100" s="619" t="s">
        <v>1666</v>
      </c>
      <c r="E100" s="190">
        <v>3</v>
      </c>
      <c r="F100" s="621" t="s">
        <v>534</v>
      </c>
      <c r="G100" s="621" t="s">
        <v>572</v>
      </c>
      <c r="H100" s="620" t="s">
        <v>1531</v>
      </c>
      <c r="I100" s="192">
        <v>0</v>
      </c>
      <c r="J100" s="2550">
        <f>+I100</f>
        <v>0</v>
      </c>
      <c r="K100" s="2219">
        <v>0</v>
      </c>
      <c r="L100" s="192">
        <f t="shared" ref="L100:O101" si="73">+K100</f>
        <v>0</v>
      </c>
      <c r="M100" s="192">
        <f>+L100+196900</f>
        <v>196900</v>
      </c>
      <c r="N100" s="192">
        <f t="shared" si="73"/>
        <v>196900</v>
      </c>
      <c r="O100" s="192">
        <f t="shared" si="73"/>
        <v>196900</v>
      </c>
      <c r="P100" s="2222">
        <f>411700-214800</f>
        <v>196900</v>
      </c>
      <c r="Q100" s="193">
        <f>+P100/N100</f>
        <v>1</v>
      </c>
      <c r="R100" s="192">
        <f t="shared" si="69"/>
        <v>0</v>
      </c>
      <c r="S100" s="192">
        <f t="shared" si="56"/>
        <v>196900</v>
      </c>
      <c r="T100" s="192">
        <f t="shared" si="57"/>
        <v>0</v>
      </c>
      <c r="U100" s="192">
        <f t="shared" si="58"/>
        <v>0</v>
      </c>
      <c r="V100" s="615"/>
      <c r="W100" s="615"/>
      <c r="X100" s="538">
        <f t="shared" si="53"/>
        <v>0</v>
      </c>
      <c r="Y100" s="172">
        <f>+P100-N100</f>
        <v>0</v>
      </c>
      <c r="AA100" s="538">
        <v>0</v>
      </c>
    </row>
    <row r="101" spans="2:27">
      <c r="B101" s="214" t="s">
        <v>1532</v>
      </c>
      <c r="C101" s="621" t="s">
        <v>512</v>
      </c>
      <c r="D101" s="619" t="s">
        <v>1923</v>
      </c>
      <c r="E101" s="190">
        <v>3</v>
      </c>
      <c r="F101" s="621" t="s">
        <v>534</v>
      </c>
      <c r="G101" s="621" t="s">
        <v>572</v>
      </c>
      <c r="H101" s="620" t="s">
        <v>1533</v>
      </c>
      <c r="I101" s="192">
        <f>10000000-5400000</f>
        <v>4600000</v>
      </c>
      <c r="J101" s="2550">
        <v>4600000</v>
      </c>
      <c r="K101" s="2219">
        <f>10000000-5000000</f>
        <v>5000000</v>
      </c>
      <c r="L101" s="192">
        <f t="shared" si="73"/>
        <v>5000000</v>
      </c>
      <c r="M101" s="192">
        <f>+L101-196900</f>
        <v>4803100</v>
      </c>
      <c r="N101" s="192">
        <f t="shared" si="73"/>
        <v>4803100</v>
      </c>
      <c r="O101" s="192">
        <f t="shared" si="73"/>
        <v>4803100</v>
      </c>
      <c r="P101" s="603">
        <v>2020080</v>
      </c>
      <c r="Q101" s="193">
        <f t="shared" ref="Q101:Q109" si="74">+P101/N101</f>
        <v>0.42057837646519958</v>
      </c>
      <c r="R101" s="192">
        <f t="shared" si="69"/>
        <v>0</v>
      </c>
      <c r="S101" s="192">
        <f t="shared" si="56"/>
        <v>-196900</v>
      </c>
      <c r="T101" s="192">
        <f t="shared" si="57"/>
        <v>0</v>
      </c>
      <c r="U101" s="192">
        <f t="shared" si="58"/>
        <v>0</v>
      </c>
      <c r="V101" s="615"/>
      <c r="W101" s="615"/>
      <c r="X101" s="538">
        <f t="shared" si="53"/>
        <v>2783020</v>
      </c>
      <c r="Y101" s="172"/>
      <c r="AA101" s="603">
        <v>4600000</v>
      </c>
    </row>
    <row r="102" spans="2:27">
      <c r="B102" s="208" t="s">
        <v>1667</v>
      </c>
      <c r="C102" s="623"/>
      <c r="D102" s="623"/>
      <c r="E102" s="207"/>
      <c r="F102" s="623"/>
      <c r="G102" s="621" t="s">
        <v>572</v>
      </c>
      <c r="H102" s="617" t="s">
        <v>1535</v>
      </c>
      <c r="I102" s="209">
        <f>SUM(I100:I101)</f>
        <v>4600000</v>
      </c>
      <c r="J102" s="2549">
        <f t="shared" ref="J102:P102" si="75">SUM(J100:J101)</f>
        <v>4600000</v>
      </c>
      <c r="K102" s="2347">
        <f t="shared" si="75"/>
        <v>5000000</v>
      </c>
      <c r="L102" s="209">
        <f t="shared" si="75"/>
        <v>5000000</v>
      </c>
      <c r="M102" s="209">
        <f t="shared" si="75"/>
        <v>5000000</v>
      </c>
      <c r="N102" s="209">
        <f t="shared" si="75"/>
        <v>5000000</v>
      </c>
      <c r="O102" s="209">
        <f t="shared" si="75"/>
        <v>5000000</v>
      </c>
      <c r="P102" s="245">
        <f t="shared" si="75"/>
        <v>2216980</v>
      </c>
      <c r="Q102" s="210">
        <f t="shared" si="74"/>
        <v>0.44339600000000001</v>
      </c>
      <c r="R102" s="209">
        <f t="shared" si="69"/>
        <v>0</v>
      </c>
      <c r="S102" s="209">
        <f t="shared" si="56"/>
        <v>0</v>
      </c>
      <c r="T102" s="209">
        <f t="shared" si="57"/>
        <v>0</v>
      </c>
      <c r="U102" s="209">
        <f t="shared" si="58"/>
        <v>0</v>
      </c>
      <c r="V102" s="615"/>
      <c r="W102" s="615"/>
      <c r="X102" s="245">
        <f t="shared" si="53"/>
        <v>2783020</v>
      </c>
      <c r="Y102" s="172"/>
      <c r="AA102" s="245">
        <f>SUM(AA100:AA101)</f>
        <v>4600000</v>
      </c>
    </row>
    <row r="103" spans="2:27" s="203" customFormat="1" ht="25.5">
      <c r="B103" s="531" t="s">
        <v>1924</v>
      </c>
      <c r="C103" s="621" t="s">
        <v>599</v>
      </c>
      <c r="D103" s="619" t="s">
        <v>1668</v>
      </c>
      <c r="E103" s="190">
        <v>2</v>
      </c>
      <c r="F103" s="621" t="s">
        <v>534</v>
      </c>
      <c r="G103" s="621" t="s">
        <v>572</v>
      </c>
      <c r="H103" s="620" t="s">
        <v>1925</v>
      </c>
      <c r="I103" s="199">
        <f>750000+10000000</f>
        <v>10750000</v>
      </c>
      <c r="J103" s="2555">
        <v>9711344</v>
      </c>
      <c r="K103" s="2250">
        <f>11750000</f>
        <v>11750000</v>
      </c>
      <c r="L103" s="199">
        <f t="shared" ref="L103:O106" si="76">+K103</f>
        <v>11750000</v>
      </c>
      <c r="M103" s="199">
        <f t="shared" si="76"/>
        <v>11750000</v>
      </c>
      <c r="N103" s="199">
        <f t="shared" si="76"/>
        <v>11750000</v>
      </c>
      <c r="O103" s="199">
        <f t="shared" si="76"/>
        <v>11750000</v>
      </c>
      <c r="P103" s="625">
        <f>9964549-427000</f>
        <v>9537549</v>
      </c>
      <c r="Q103" s="200">
        <f t="shared" si="74"/>
        <v>0.81170629787234039</v>
      </c>
      <c r="R103" s="199">
        <f t="shared" si="69"/>
        <v>0</v>
      </c>
      <c r="S103" s="199">
        <f t="shared" si="56"/>
        <v>0</v>
      </c>
      <c r="T103" s="199">
        <f t="shared" si="57"/>
        <v>0</v>
      </c>
      <c r="U103" s="199">
        <f t="shared" si="58"/>
        <v>0</v>
      </c>
      <c r="V103" s="615">
        <f>+K103/1.27</f>
        <v>9251968.5039370079</v>
      </c>
      <c r="W103" s="615">
        <f>+V103*0.27</f>
        <v>2498031.4960629921</v>
      </c>
      <c r="X103" s="626">
        <f t="shared" si="53"/>
        <v>2212451</v>
      </c>
      <c r="Y103" s="172">
        <f>9537549-P103</f>
        <v>0</v>
      </c>
      <c r="AA103" s="625">
        <v>8278286</v>
      </c>
    </row>
    <row r="104" spans="2:27" s="203" customFormat="1" ht="38.25">
      <c r="B104" s="2532" t="s">
        <v>3302</v>
      </c>
      <c r="C104" s="621" t="s">
        <v>583</v>
      </c>
      <c r="D104" s="619" t="s">
        <v>1926</v>
      </c>
      <c r="E104" s="190">
        <v>2</v>
      </c>
      <c r="F104" s="621" t="s">
        <v>534</v>
      </c>
      <c r="G104" s="621" t="s">
        <v>572</v>
      </c>
      <c r="H104" s="620" t="s">
        <v>1925</v>
      </c>
      <c r="I104" s="199">
        <f>1000000+250000</f>
        <v>1250000</v>
      </c>
      <c r="J104" s="2555">
        <v>740410</v>
      </c>
      <c r="K104" s="2250">
        <f>1000000+250000</f>
        <v>1250000</v>
      </c>
      <c r="L104" s="199">
        <f t="shared" si="76"/>
        <v>1250000</v>
      </c>
      <c r="M104" s="199">
        <f t="shared" si="76"/>
        <v>1250000</v>
      </c>
      <c r="N104" s="199">
        <f>+M104-293800-400000+114170</f>
        <v>670370</v>
      </c>
      <c r="O104" s="199">
        <f t="shared" si="76"/>
        <v>670370</v>
      </c>
      <c r="P104" s="625">
        <v>194310</v>
      </c>
      <c r="Q104" s="200">
        <f t="shared" si="74"/>
        <v>0.28985485627340124</v>
      </c>
      <c r="R104" s="199">
        <f t="shared" si="69"/>
        <v>0</v>
      </c>
      <c r="S104" s="199">
        <f t="shared" si="56"/>
        <v>0</v>
      </c>
      <c r="T104" s="199">
        <f t="shared" si="57"/>
        <v>-579630</v>
      </c>
      <c r="U104" s="199"/>
      <c r="V104" s="615"/>
      <c r="W104" s="615"/>
      <c r="X104" s="626">
        <f t="shared" si="53"/>
        <v>476060</v>
      </c>
      <c r="Y104" s="172"/>
      <c r="AA104" s="625"/>
    </row>
    <row r="105" spans="2:27" s="203" customFormat="1">
      <c r="B105" s="531" t="s">
        <v>1927</v>
      </c>
      <c r="C105" s="621" t="s">
        <v>599</v>
      </c>
      <c r="D105" s="619" t="s">
        <v>1928</v>
      </c>
      <c r="E105" s="190">
        <v>3</v>
      </c>
      <c r="F105" s="621" t="s">
        <v>534</v>
      </c>
      <c r="G105" s="621" t="s">
        <v>572</v>
      </c>
      <c r="H105" s="620" t="s">
        <v>1925</v>
      </c>
      <c r="I105" s="199">
        <f>9388438+45000000-2000000</f>
        <v>52388438</v>
      </c>
      <c r="J105" s="2555">
        <v>40776791</v>
      </c>
      <c r="K105" s="2250">
        <f>54000000-8500000</f>
        <v>45500000</v>
      </c>
      <c r="L105" s="199">
        <f t="shared" si="76"/>
        <v>45500000</v>
      </c>
      <c r="M105" s="199">
        <f>+L105+10000000</f>
        <v>55500000</v>
      </c>
      <c r="N105" s="199">
        <f t="shared" si="76"/>
        <v>55500000</v>
      </c>
      <c r="O105" s="199">
        <f t="shared" si="76"/>
        <v>55500000</v>
      </c>
      <c r="P105" s="625">
        <f>13451306-61650</f>
        <v>13389656</v>
      </c>
      <c r="Q105" s="200">
        <f t="shared" si="74"/>
        <v>0.24125506306306307</v>
      </c>
      <c r="R105" s="199">
        <f t="shared" ref="R105:U106" si="77">+L105-K105</f>
        <v>0</v>
      </c>
      <c r="S105" s="199">
        <f t="shared" si="77"/>
        <v>10000000</v>
      </c>
      <c r="T105" s="199">
        <f t="shared" si="77"/>
        <v>0</v>
      </c>
      <c r="U105" s="199">
        <f t="shared" si="77"/>
        <v>0</v>
      </c>
      <c r="V105" s="615">
        <f>+K105/1.27</f>
        <v>35826771.653543308</v>
      </c>
      <c r="W105" s="615">
        <f>+V105*0.27</f>
        <v>9673228.3464566935</v>
      </c>
      <c r="X105" s="626">
        <f t="shared" si="53"/>
        <v>42110344</v>
      </c>
      <c r="Y105" s="172">
        <f>13389656-P105</f>
        <v>0</v>
      </c>
      <c r="AA105" s="625">
        <v>38406813</v>
      </c>
    </row>
    <row r="106" spans="2:27" s="203" customFormat="1" ht="66" hidden="1">
      <c r="B106" s="633" t="s">
        <v>3565</v>
      </c>
      <c r="C106" s="621" t="s">
        <v>583</v>
      </c>
      <c r="D106" s="619" t="s">
        <v>1929</v>
      </c>
      <c r="E106" s="190">
        <v>3</v>
      </c>
      <c r="F106" s="621" t="s">
        <v>986</v>
      </c>
      <c r="G106" s="621" t="s">
        <v>572</v>
      </c>
      <c r="H106" s="620" t="s">
        <v>1537</v>
      </c>
      <c r="I106" s="199">
        <v>0</v>
      </c>
      <c r="J106" s="2555">
        <v>0</v>
      </c>
      <c r="K106" s="2250">
        <v>0</v>
      </c>
      <c r="L106" s="199">
        <f t="shared" si="76"/>
        <v>0</v>
      </c>
      <c r="M106" s="199">
        <f t="shared" si="76"/>
        <v>0</v>
      </c>
      <c r="N106" s="199">
        <f t="shared" si="76"/>
        <v>0</v>
      </c>
      <c r="O106" s="199">
        <f t="shared" si="76"/>
        <v>0</v>
      </c>
      <c r="P106" s="625">
        <f>0</f>
        <v>0</v>
      </c>
      <c r="Q106" s="200" t="e">
        <f t="shared" si="74"/>
        <v>#DIV/0!</v>
      </c>
      <c r="R106" s="199">
        <f t="shared" si="77"/>
        <v>0</v>
      </c>
      <c r="S106" s="199">
        <f t="shared" si="77"/>
        <v>0</v>
      </c>
      <c r="T106" s="199">
        <f t="shared" si="77"/>
        <v>0</v>
      </c>
      <c r="U106" s="199">
        <f t="shared" si="77"/>
        <v>0</v>
      </c>
      <c r="V106" s="632"/>
      <c r="W106" s="632"/>
      <c r="X106" s="626">
        <f t="shared" si="53"/>
        <v>0</v>
      </c>
      <c r="Y106" s="172"/>
      <c r="AA106" s="625">
        <f>0</f>
        <v>0</v>
      </c>
    </row>
    <row r="107" spans="2:27" s="203" customFormat="1" ht="37.5" hidden="1" customHeight="1">
      <c r="B107" s="531" t="s">
        <v>1930</v>
      </c>
      <c r="C107" s="621" t="s">
        <v>599</v>
      </c>
      <c r="D107" s="619" t="s">
        <v>1931</v>
      </c>
      <c r="E107" s="190">
        <v>3</v>
      </c>
      <c r="F107" s="621" t="s">
        <v>534</v>
      </c>
      <c r="G107" s="621" t="s">
        <v>572</v>
      </c>
      <c r="H107" s="620" t="s">
        <v>1537</v>
      </c>
      <c r="I107" s="199">
        <v>0</v>
      </c>
      <c r="J107" s="2555">
        <v>0</v>
      </c>
      <c r="K107" s="2250">
        <v>0</v>
      </c>
      <c r="L107" s="199">
        <v>0</v>
      </c>
      <c r="M107" s="199">
        <v>0</v>
      </c>
      <c r="N107" s="199"/>
      <c r="O107" s="199"/>
      <c r="P107" s="626">
        <v>0</v>
      </c>
      <c r="Q107" s="200" t="e">
        <f t="shared" si="74"/>
        <v>#DIV/0!</v>
      </c>
      <c r="R107" s="199"/>
      <c r="S107" s="199"/>
      <c r="T107" s="199"/>
      <c r="U107" s="199"/>
      <c r="V107" s="632"/>
      <c r="W107" s="632"/>
      <c r="X107" s="626">
        <f t="shared" si="53"/>
        <v>0</v>
      </c>
      <c r="Y107" s="172"/>
      <c r="AA107" s="626">
        <v>0</v>
      </c>
    </row>
    <row r="108" spans="2:27">
      <c r="B108" s="213" t="s">
        <v>1536</v>
      </c>
      <c r="C108" s="623"/>
      <c r="D108" s="623"/>
      <c r="E108" s="207"/>
      <c r="F108" s="623"/>
      <c r="G108" s="623"/>
      <c r="H108" s="617" t="s">
        <v>1537</v>
      </c>
      <c r="I108" s="209">
        <f>SUM(I103:I107)</f>
        <v>64388438</v>
      </c>
      <c r="J108" s="2549">
        <f t="shared" ref="J108:P108" si="78">SUM(J103:J107)</f>
        <v>51228545</v>
      </c>
      <c r="K108" s="2347">
        <f t="shared" si="78"/>
        <v>58500000</v>
      </c>
      <c r="L108" s="209">
        <f t="shared" si="78"/>
        <v>58500000</v>
      </c>
      <c r="M108" s="209">
        <f t="shared" si="78"/>
        <v>68500000</v>
      </c>
      <c r="N108" s="209">
        <f t="shared" si="78"/>
        <v>67920370</v>
      </c>
      <c r="O108" s="209">
        <f t="shared" si="78"/>
        <v>67920370</v>
      </c>
      <c r="P108" s="245">
        <f t="shared" si="78"/>
        <v>23121515</v>
      </c>
      <c r="Q108" s="210">
        <f t="shared" si="74"/>
        <v>0.34042092232418641</v>
      </c>
      <c r="R108" s="209">
        <f>SUM(R103:R106)</f>
        <v>0</v>
      </c>
      <c r="S108" s="209">
        <f t="shared" ref="S108:S134" si="79">+M108-L108</f>
        <v>10000000</v>
      </c>
      <c r="T108" s="209">
        <f t="shared" ref="T108:T134" si="80">+N108-M108</f>
        <v>-579630</v>
      </c>
      <c r="U108" s="209">
        <f t="shared" ref="U108:U134" si="81">+O108-N108</f>
        <v>0</v>
      </c>
      <c r="V108" s="615"/>
      <c r="W108" s="615"/>
      <c r="X108" s="245">
        <f t="shared" si="53"/>
        <v>44798855</v>
      </c>
      <c r="Y108" s="172"/>
      <c r="AA108" s="245">
        <f>SUM(AA103:AA107)</f>
        <v>46685099</v>
      </c>
    </row>
    <row r="109" spans="2:27">
      <c r="B109" s="208" t="s">
        <v>1669</v>
      </c>
      <c r="C109" s="623"/>
      <c r="D109" s="623"/>
      <c r="E109" s="207"/>
      <c r="F109" s="623"/>
      <c r="G109" s="623"/>
      <c r="H109" s="617" t="s">
        <v>1539</v>
      </c>
      <c r="I109" s="209">
        <f>+I102+I108</f>
        <v>68988438</v>
      </c>
      <c r="J109" s="2549">
        <f t="shared" ref="J109:P109" si="82">+J102+J108</f>
        <v>55828545</v>
      </c>
      <c r="K109" s="2347">
        <f t="shared" si="82"/>
        <v>63500000</v>
      </c>
      <c r="L109" s="209">
        <f t="shared" si="82"/>
        <v>63500000</v>
      </c>
      <c r="M109" s="209">
        <f t="shared" si="82"/>
        <v>73500000</v>
      </c>
      <c r="N109" s="209">
        <f t="shared" si="82"/>
        <v>72920370</v>
      </c>
      <c r="O109" s="209">
        <f t="shared" si="82"/>
        <v>72920370</v>
      </c>
      <c r="P109" s="245">
        <f t="shared" si="82"/>
        <v>25338495</v>
      </c>
      <c r="Q109" s="210">
        <f t="shared" si="74"/>
        <v>0.34748171190025501</v>
      </c>
      <c r="R109" s="209">
        <f t="shared" ref="R109:R134" si="83">+L109-K109</f>
        <v>0</v>
      </c>
      <c r="S109" s="209">
        <f t="shared" si="79"/>
        <v>10000000</v>
      </c>
      <c r="T109" s="209">
        <f t="shared" si="80"/>
        <v>-579630</v>
      </c>
      <c r="U109" s="209">
        <f t="shared" si="81"/>
        <v>0</v>
      </c>
      <c r="V109" s="615"/>
      <c r="W109" s="615"/>
      <c r="X109" s="245">
        <f t="shared" si="53"/>
        <v>47581875</v>
      </c>
      <c r="Y109" s="172"/>
      <c r="AA109" s="245">
        <f>+AA102+AA108</f>
        <v>51285099</v>
      </c>
    </row>
    <row r="110" spans="2:27" ht="25.5">
      <c r="B110" s="214" t="s">
        <v>1540</v>
      </c>
      <c r="C110" s="619"/>
      <c r="D110" s="619"/>
      <c r="E110" s="190"/>
      <c r="F110" s="619"/>
      <c r="G110" s="619"/>
      <c r="H110" s="620" t="s">
        <v>1541</v>
      </c>
      <c r="I110" s="192">
        <v>0</v>
      </c>
      <c r="J110" s="2550">
        <f>+I110</f>
        <v>0</v>
      </c>
      <c r="K110" s="2219">
        <v>0</v>
      </c>
      <c r="L110" s="192">
        <f t="shared" ref="L110:O111" si="84">+K110</f>
        <v>0</v>
      </c>
      <c r="M110" s="192">
        <f t="shared" si="84"/>
        <v>0</v>
      </c>
      <c r="N110" s="192">
        <f t="shared" si="84"/>
        <v>0</v>
      </c>
      <c r="O110" s="192">
        <f t="shared" si="84"/>
        <v>0</v>
      </c>
      <c r="P110" s="538">
        <v>0</v>
      </c>
      <c r="Q110" s="193"/>
      <c r="R110" s="192">
        <f t="shared" si="83"/>
        <v>0</v>
      </c>
      <c r="S110" s="192">
        <f t="shared" si="79"/>
        <v>0</v>
      </c>
      <c r="T110" s="192">
        <f t="shared" si="80"/>
        <v>0</v>
      </c>
      <c r="U110" s="192">
        <f t="shared" si="81"/>
        <v>0</v>
      </c>
      <c r="V110" s="615"/>
      <c r="W110" s="615"/>
      <c r="X110" s="538">
        <f t="shared" si="53"/>
        <v>0</v>
      </c>
      <c r="Y110" s="172"/>
      <c r="AA110" s="538">
        <v>0</v>
      </c>
    </row>
    <row r="111" spans="2:27" ht="25.5">
      <c r="B111" s="214" t="s">
        <v>1542</v>
      </c>
      <c r="C111" s="619"/>
      <c r="D111" s="619"/>
      <c r="E111" s="190"/>
      <c r="F111" s="619"/>
      <c r="G111" s="619"/>
      <c r="H111" s="620" t="s">
        <v>1543</v>
      </c>
      <c r="I111" s="192">
        <v>0</v>
      </c>
      <c r="J111" s="2550">
        <f>+I111</f>
        <v>0</v>
      </c>
      <c r="K111" s="2219">
        <v>0</v>
      </c>
      <c r="L111" s="192">
        <f t="shared" si="84"/>
        <v>0</v>
      </c>
      <c r="M111" s="192">
        <f t="shared" si="84"/>
        <v>0</v>
      </c>
      <c r="N111" s="192">
        <f t="shared" si="84"/>
        <v>0</v>
      </c>
      <c r="O111" s="192">
        <f t="shared" si="84"/>
        <v>0</v>
      </c>
      <c r="P111" s="538">
        <v>0</v>
      </c>
      <c r="Q111" s="193"/>
      <c r="R111" s="192">
        <f t="shared" si="83"/>
        <v>0</v>
      </c>
      <c r="S111" s="192">
        <f t="shared" si="79"/>
        <v>0</v>
      </c>
      <c r="T111" s="192">
        <f t="shared" si="80"/>
        <v>0</v>
      </c>
      <c r="U111" s="192">
        <f t="shared" si="81"/>
        <v>0</v>
      </c>
      <c r="V111" s="615"/>
      <c r="W111" s="615"/>
      <c r="X111" s="538">
        <f t="shared" si="53"/>
        <v>0</v>
      </c>
      <c r="Y111" s="172"/>
      <c r="AA111" s="538">
        <v>0</v>
      </c>
    </row>
    <row r="112" spans="2:27" ht="25.5">
      <c r="B112" s="213" t="s">
        <v>1671</v>
      </c>
      <c r="C112" s="623"/>
      <c r="D112" s="623"/>
      <c r="E112" s="207"/>
      <c r="F112" s="623"/>
      <c r="G112" s="623"/>
      <c r="H112" s="617" t="s">
        <v>1545</v>
      </c>
      <c r="I112" s="209">
        <f>SUM(I110:I111)</f>
        <v>0</v>
      </c>
      <c r="J112" s="2549">
        <f t="shared" ref="J112:P112" si="85">SUM(J110:J111)</f>
        <v>0</v>
      </c>
      <c r="K112" s="2347">
        <f t="shared" si="85"/>
        <v>0</v>
      </c>
      <c r="L112" s="209">
        <f t="shared" si="85"/>
        <v>0</v>
      </c>
      <c r="M112" s="209">
        <f t="shared" si="85"/>
        <v>0</v>
      </c>
      <c r="N112" s="209">
        <f t="shared" si="85"/>
        <v>0</v>
      </c>
      <c r="O112" s="209">
        <f t="shared" si="85"/>
        <v>0</v>
      </c>
      <c r="P112" s="245">
        <f t="shared" si="85"/>
        <v>0</v>
      </c>
      <c r="Q112" s="210"/>
      <c r="R112" s="209">
        <f t="shared" si="83"/>
        <v>0</v>
      </c>
      <c r="S112" s="209">
        <f t="shared" si="79"/>
        <v>0</v>
      </c>
      <c r="T112" s="209">
        <f t="shared" si="80"/>
        <v>0</v>
      </c>
      <c r="U112" s="209">
        <f t="shared" si="81"/>
        <v>0</v>
      </c>
      <c r="V112" s="615"/>
      <c r="W112" s="615"/>
      <c r="X112" s="245">
        <f t="shared" si="53"/>
        <v>0</v>
      </c>
      <c r="Y112" s="172"/>
      <c r="AA112" s="245">
        <f>SUM(AA110:AA111)</f>
        <v>0</v>
      </c>
    </row>
    <row r="113" spans="2:28" ht="25.5">
      <c r="B113" s="214" t="s">
        <v>1546</v>
      </c>
      <c r="C113" s="621" t="s">
        <v>512</v>
      </c>
      <c r="D113" s="619" t="s">
        <v>1670</v>
      </c>
      <c r="E113" s="190">
        <v>2</v>
      </c>
      <c r="F113" s="621" t="s">
        <v>534</v>
      </c>
      <c r="G113" s="621" t="s">
        <v>572</v>
      </c>
      <c r="H113" s="620" t="s">
        <v>1547</v>
      </c>
      <c r="I113" s="192">
        <f>63000000</f>
        <v>63000000</v>
      </c>
      <c r="J113" s="2550">
        <v>67144000</v>
      </c>
      <c r="K113" s="2219">
        <f>67000000</f>
        <v>67000000</v>
      </c>
      <c r="L113" s="192">
        <f t="shared" ref="L113:O115" si="86">+K113</f>
        <v>67000000</v>
      </c>
      <c r="M113" s="192">
        <f t="shared" si="86"/>
        <v>67000000</v>
      </c>
      <c r="N113" s="192">
        <f>+M113+13799000+5378000</f>
        <v>86177000</v>
      </c>
      <c r="O113" s="192">
        <f t="shared" si="86"/>
        <v>86177000</v>
      </c>
      <c r="P113" s="603">
        <v>86177000</v>
      </c>
      <c r="Q113" s="533">
        <f>+P113/N113</f>
        <v>1</v>
      </c>
      <c r="R113" s="532">
        <f t="shared" si="83"/>
        <v>0</v>
      </c>
      <c r="S113" s="532">
        <f t="shared" si="79"/>
        <v>0</v>
      </c>
      <c r="T113" s="532">
        <f t="shared" si="80"/>
        <v>19177000</v>
      </c>
      <c r="U113" s="532">
        <f t="shared" si="81"/>
        <v>0</v>
      </c>
      <c r="V113" s="615"/>
      <c r="W113" s="615"/>
      <c r="X113" s="538">
        <f t="shared" si="53"/>
        <v>0</v>
      </c>
      <c r="Y113" s="172"/>
      <c r="AA113" s="603">
        <v>56692000</v>
      </c>
    </row>
    <row r="114" spans="2:28" ht="25.5">
      <c r="B114" s="214" t="s">
        <v>1548</v>
      </c>
      <c r="C114" s="621" t="s">
        <v>512</v>
      </c>
      <c r="D114" s="619" t="s">
        <v>1672</v>
      </c>
      <c r="E114" s="190">
        <v>2</v>
      </c>
      <c r="F114" s="621" t="s">
        <v>534</v>
      </c>
      <c r="G114" s="621" t="s">
        <v>572</v>
      </c>
      <c r="H114" s="620" t="s">
        <v>1549</v>
      </c>
      <c r="I114" s="192">
        <v>68483906.189999998</v>
      </c>
      <c r="J114" s="2550">
        <v>33030000</v>
      </c>
      <c r="K114" s="2219">
        <v>27803735</v>
      </c>
      <c r="L114" s="192">
        <f>+K114+2993265+1638000</f>
        <v>32435000</v>
      </c>
      <c r="M114" s="192">
        <f t="shared" si="86"/>
        <v>32435000</v>
      </c>
      <c r="N114" s="192">
        <f>+M114+4053000</f>
        <v>36488000</v>
      </c>
      <c r="O114" s="192">
        <f t="shared" si="86"/>
        <v>36488000</v>
      </c>
      <c r="P114" s="603">
        <v>36488000</v>
      </c>
      <c r="Q114" s="537">
        <f>+P114/N114</f>
        <v>1</v>
      </c>
      <c r="R114" s="536">
        <f t="shared" si="83"/>
        <v>4631265</v>
      </c>
      <c r="S114" s="536">
        <f t="shared" si="79"/>
        <v>0</v>
      </c>
      <c r="T114" s="536">
        <f t="shared" si="80"/>
        <v>4053000</v>
      </c>
      <c r="U114" s="536">
        <f t="shared" si="81"/>
        <v>0</v>
      </c>
      <c r="V114" s="615"/>
      <c r="W114" s="615"/>
      <c r="X114" s="538">
        <f t="shared" si="53"/>
        <v>0</v>
      </c>
      <c r="Y114" s="172"/>
      <c r="AA114" s="603">
        <v>32666000</v>
      </c>
    </row>
    <row r="115" spans="2:28" ht="25.5">
      <c r="B115" s="214" t="s">
        <v>121</v>
      </c>
      <c r="C115" s="621" t="s">
        <v>512</v>
      </c>
      <c r="D115" s="619" t="s">
        <v>1673</v>
      </c>
      <c r="E115" s="190">
        <v>2</v>
      </c>
      <c r="F115" s="621" t="s">
        <v>534</v>
      </c>
      <c r="G115" s="621" t="s">
        <v>572</v>
      </c>
      <c r="H115" s="620" t="s">
        <v>1550</v>
      </c>
      <c r="I115" s="192">
        <f>501560-41141-60797-399622</f>
        <v>0</v>
      </c>
      <c r="J115" s="2550">
        <v>1358619565</v>
      </c>
      <c r="K115" s="2219">
        <f>501560-41141-60797-399622</f>
        <v>0</v>
      </c>
      <c r="L115" s="192">
        <f t="shared" si="86"/>
        <v>0</v>
      </c>
      <c r="M115" s="192">
        <f t="shared" si="86"/>
        <v>0</v>
      </c>
      <c r="N115" s="192">
        <f>+M115+317378000</f>
        <v>317378000</v>
      </c>
      <c r="O115" s="192">
        <f t="shared" si="86"/>
        <v>317378000</v>
      </c>
      <c r="P115" s="603">
        <f>0+317378000</f>
        <v>317378000</v>
      </c>
      <c r="Q115" s="537">
        <f>+P115/N115</f>
        <v>1</v>
      </c>
      <c r="R115" s="192">
        <f t="shared" si="83"/>
        <v>0</v>
      </c>
      <c r="S115" s="192">
        <f t="shared" si="79"/>
        <v>0</v>
      </c>
      <c r="T115" s="192">
        <f t="shared" si="80"/>
        <v>317378000</v>
      </c>
      <c r="U115" s="192">
        <f t="shared" si="81"/>
        <v>0</v>
      </c>
      <c r="V115" s="615"/>
      <c r="W115" s="615"/>
      <c r="X115" s="538">
        <f t="shared" si="53"/>
        <v>0</v>
      </c>
      <c r="Y115" s="172"/>
      <c r="AA115" s="603"/>
    </row>
    <row r="116" spans="2:28">
      <c r="B116" s="208" t="s">
        <v>1674</v>
      </c>
      <c r="C116" s="623"/>
      <c r="D116" s="623"/>
      <c r="E116" s="207"/>
      <c r="F116" s="623"/>
      <c r="G116" s="623"/>
      <c r="H116" s="617" t="s">
        <v>1552</v>
      </c>
      <c r="I116" s="209">
        <f>SUM(I113:I115)</f>
        <v>131483906.19</v>
      </c>
      <c r="J116" s="2549">
        <f t="shared" ref="J116:P116" si="87">SUM(J113:J115)</f>
        <v>1458793565</v>
      </c>
      <c r="K116" s="2347">
        <f t="shared" si="87"/>
        <v>94803735</v>
      </c>
      <c r="L116" s="209">
        <f t="shared" si="87"/>
        <v>99435000</v>
      </c>
      <c r="M116" s="209">
        <f t="shared" si="87"/>
        <v>99435000</v>
      </c>
      <c r="N116" s="209">
        <f t="shared" si="87"/>
        <v>440043000</v>
      </c>
      <c r="O116" s="209">
        <f t="shared" si="87"/>
        <v>440043000</v>
      </c>
      <c r="P116" s="245">
        <f t="shared" si="87"/>
        <v>440043000</v>
      </c>
      <c r="Q116" s="210">
        <f>+P116/N116</f>
        <v>1</v>
      </c>
      <c r="R116" s="209">
        <f t="shared" si="83"/>
        <v>4631265</v>
      </c>
      <c r="S116" s="209">
        <f t="shared" si="79"/>
        <v>0</v>
      </c>
      <c r="T116" s="209">
        <f t="shared" si="80"/>
        <v>340608000</v>
      </c>
      <c r="U116" s="209">
        <f t="shared" si="81"/>
        <v>0</v>
      </c>
      <c r="V116" s="615"/>
      <c r="W116" s="615"/>
      <c r="X116" s="245">
        <f t="shared" si="53"/>
        <v>0</v>
      </c>
      <c r="Y116" s="172"/>
      <c r="AA116" s="245">
        <f>SUM(AA113:AA115)</f>
        <v>89358000</v>
      </c>
    </row>
    <row r="117" spans="2:28">
      <c r="B117" s="214" t="s">
        <v>1553</v>
      </c>
      <c r="C117" s="619"/>
      <c r="D117" s="619"/>
      <c r="E117" s="190"/>
      <c r="F117" s="619"/>
      <c r="G117" s="619"/>
      <c r="H117" s="620" t="s">
        <v>1554</v>
      </c>
      <c r="I117" s="192">
        <v>0</v>
      </c>
      <c r="J117" s="2550">
        <f>+I117</f>
        <v>0</v>
      </c>
      <c r="K117" s="2219">
        <v>0</v>
      </c>
      <c r="L117" s="192">
        <f t="shared" ref="L117:O118" si="88">+K117</f>
        <v>0</v>
      </c>
      <c r="M117" s="192">
        <f t="shared" si="88"/>
        <v>0</v>
      </c>
      <c r="N117" s="192">
        <f t="shared" si="88"/>
        <v>0</v>
      </c>
      <c r="O117" s="192">
        <f t="shared" si="88"/>
        <v>0</v>
      </c>
      <c r="P117" s="538">
        <v>0</v>
      </c>
      <c r="Q117" s="193"/>
      <c r="R117" s="192">
        <f t="shared" si="83"/>
        <v>0</v>
      </c>
      <c r="S117" s="192">
        <f t="shared" si="79"/>
        <v>0</v>
      </c>
      <c r="T117" s="192">
        <f t="shared" si="80"/>
        <v>0</v>
      </c>
      <c r="U117" s="192">
        <f t="shared" si="81"/>
        <v>0</v>
      </c>
      <c r="V117" s="615"/>
      <c r="W117" s="615"/>
      <c r="X117" s="538">
        <f t="shared" si="53"/>
        <v>0</v>
      </c>
      <c r="Y117" s="172"/>
      <c r="AA117" s="538">
        <v>0</v>
      </c>
    </row>
    <row r="118" spans="2:28" ht="25.5">
      <c r="B118" s="214" t="s">
        <v>1932</v>
      </c>
      <c r="C118" s="621" t="s">
        <v>512</v>
      </c>
      <c r="D118" s="619" t="s">
        <v>1933</v>
      </c>
      <c r="E118" s="190">
        <v>2</v>
      </c>
      <c r="F118" s="621" t="s">
        <v>534</v>
      </c>
      <c r="G118" s="621" t="s">
        <v>572</v>
      </c>
      <c r="H118" s="620" t="s">
        <v>1556</v>
      </c>
      <c r="I118" s="192">
        <f>0</f>
        <v>0</v>
      </c>
      <c r="J118" s="2550">
        <f>+I118</f>
        <v>0</v>
      </c>
      <c r="K118" s="2219">
        <f>0</f>
        <v>0</v>
      </c>
      <c r="L118" s="192">
        <f t="shared" si="88"/>
        <v>0</v>
      </c>
      <c r="M118" s="192">
        <f t="shared" si="88"/>
        <v>0</v>
      </c>
      <c r="N118" s="192">
        <f>+M118+904835</f>
        <v>904835</v>
      </c>
      <c r="O118" s="192">
        <f t="shared" si="88"/>
        <v>904835</v>
      </c>
      <c r="P118" s="603">
        <f>904835</f>
        <v>904835</v>
      </c>
      <c r="Q118" s="193">
        <f>+P118/N118</f>
        <v>1</v>
      </c>
      <c r="R118" s="192">
        <f t="shared" si="83"/>
        <v>0</v>
      </c>
      <c r="S118" s="192">
        <f t="shared" si="79"/>
        <v>0</v>
      </c>
      <c r="T118" s="192">
        <f t="shared" si="80"/>
        <v>904835</v>
      </c>
      <c r="U118" s="192">
        <f t="shared" si="81"/>
        <v>0</v>
      </c>
      <c r="V118" s="615"/>
      <c r="W118" s="615"/>
      <c r="X118" s="538">
        <f t="shared" si="53"/>
        <v>0</v>
      </c>
      <c r="Y118" s="172"/>
      <c r="AA118" s="603">
        <v>0</v>
      </c>
    </row>
    <row r="119" spans="2:28">
      <c r="B119" s="208" t="s">
        <v>1675</v>
      </c>
      <c r="C119" s="623"/>
      <c r="D119" s="623"/>
      <c r="E119" s="207"/>
      <c r="F119" s="623"/>
      <c r="G119" s="621" t="s">
        <v>572</v>
      </c>
      <c r="H119" s="617" t="s">
        <v>1558</v>
      </c>
      <c r="I119" s="209">
        <f>SUM(I117:I118)</f>
        <v>0</v>
      </c>
      <c r="J119" s="2549">
        <f t="shared" ref="J119:P119" si="89">SUM(J117:J118)</f>
        <v>0</v>
      </c>
      <c r="K119" s="2347">
        <f t="shared" si="89"/>
        <v>0</v>
      </c>
      <c r="L119" s="209">
        <f t="shared" si="89"/>
        <v>0</v>
      </c>
      <c r="M119" s="209">
        <f t="shared" si="89"/>
        <v>0</v>
      </c>
      <c r="N119" s="209">
        <f t="shared" si="89"/>
        <v>904835</v>
      </c>
      <c r="O119" s="209">
        <f t="shared" si="89"/>
        <v>904835</v>
      </c>
      <c r="P119" s="245">
        <f t="shared" si="89"/>
        <v>904835</v>
      </c>
      <c r="Q119" s="210">
        <f>+P119/N119</f>
        <v>1</v>
      </c>
      <c r="R119" s="209">
        <f t="shared" si="83"/>
        <v>0</v>
      </c>
      <c r="S119" s="209">
        <f t="shared" si="79"/>
        <v>0</v>
      </c>
      <c r="T119" s="209">
        <f t="shared" si="80"/>
        <v>904835</v>
      </c>
      <c r="U119" s="209">
        <f t="shared" si="81"/>
        <v>0</v>
      </c>
      <c r="V119" s="615"/>
      <c r="W119" s="615"/>
      <c r="X119" s="245">
        <f t="shared" si="53"/>
        <v>0</v>
      </c>
      <c r="Y119" s="172"/>
      <c r="AA119" s="245">
        <f>SUM(AA117:AA118)</f>
        <v>0</v>
      </c>
    </row>
    <row r="120" spans="2:28">
      <c r="B120" s="208" t="s">
        <v>1559</v>
      </c>
      <c r="C120" s="623"/>
      <c r="D120" s="623"/>
      <c r="E120" s="207"/>
      <c r="F120" s="623"/>
      <c r="G120" s="623"/>
      <c r="H120" s="617" t="s">
        <v>1560</v>
      </c>
      <c r="I120" s="209">
        <v>0</v>
      </c>
      <c r="J120" s="2550">
        <f>+I120</f>
        <v>0</v>
      </c>
      <c r="K120" s="2347">
        <v>0</v>
      </c>
      <c r="L120" s="192">
        <f t="shared" ref="L120:L125" si="90">+K120</f>
        <v>0</v>
      </c>
      <c r="M120" s="192">
        <f t="shared" ref="M120:M125" si="91">+L120</f>
        <v>0</v>
      </c>
      <c r="N120" s="192">
        <f t="shared" ref="N120:N125" si="92">+M120</f>
        <v>0</v>
      </c>
      <c r="O120" s="192">
        <f t="shared" ref="O120:O125" si="93">+N120</f>
        <v>0</v>
      </c>
      <c r="P120" s="538">
        <v>0</v>
      </c>
      <c r="Q120" s="210"/>
      <c r="R120" s="209">
        <f t="shared" si="83"/>
        <v>0</v>
      </c>
      <c r="S120" s="209">
        <f t="shared" si="79"/>
        <v>0</v>
      </c>
      <c r="T120" s="209">
        <f t="shared" si="80"/>
        <v>0</v>
      </c>
      <c r="U120" s="209">
        <f t="shared" si="81"/>
        <v>0</v>
      </c>
      <c r="V120" s="615"/>
      <c r="W120" s="615"/>
      <c r="X120" s="538">
        <f t="shared" si="53"/>
        <v>0</v>
      </c>
      <c r="Y120" s="172"/>
      <c r="AA120" s="538">
        <v>0</v>
      </c>
    </row>
    <row r="121" spans="2:28">
      <c r="B121" s="531" t="s">
        <v>1934</v>
      </c>
      <c r="C121" s="621" t="s">
        <v>730</v>
      </c>
      <c r="D121" s="619" t="s">
        <v>1681</v>
      </c>
      <c r="E121" s="190">
        <v>2</v>
      </c>
      <c r="F121" s="621" t="s">
        <v>534</v>
      </c>
      <c r="G121" s="621" t="s">
        <v>572</v>
      </c>
      <c r="H121" s="620" t="s">
        <v>1561</v>
      </c>
      <c r="I121" s="199">
        <f>300000</f>
        <v>300000</v>
      </c>
      <c r="J121" s="2555">
        <v>273935</v>
      </c>
      <c r="K121" s="2250">
        <f>300000</f>
        <v>300000</v>
      </c>
      <c r="L121" s="199">
        <f t="shared" si="90"/>
        <v>300000</v>
      </c>
      <c r="M121" s="199">
        <f>+L121+100000</f>
        <v>400000</v>
      </c>
      <c r="N121" s="199">
        <f t="shared" si="92"/>
        <v>400000</v>
      </c>
      <c r="O121" s="199">
        <f t="shared" si="93"/>
        <v>400000</v>
      </c>
      <c r="P121" s="625">
        <v>382100</v>
      </c>
      <c r="Q121" s="200">
        <f>+P121/N121</f>
        <v>0.95525000000000004</v>
      </c>
      <c r="R121" s="199">
        <f t="shared" si="83"/>
        <v>0</v>
      </c>
      <c r="S121" s="199">
        <f t="shared" si="79"/>
        <v>100000</v>
      </c>
      <c r="T121" s="199">
        <f t="shared" si="80"/>
        <v>0</v>
      </c>
      <c r="U121" s="199">
        <f t="shared" si="81"/>
        <v>0</v>
      </c>
      <c r="V121" s="615">
        <f>+K121/1.27</f>
        <v>236220.47244094487</v>
      </c>
      <c r="W121" s="615">
        <f>+V121*0.27</f>
        <v>63779.527559055117</v>
      </c>
      <c r="X121" s="626">
        <f t="shared" si="53"/>
        <v>17900</v>
      </c>
      <c r="Y121" s="172"/>
      <c r="AA121" s="625">
        <v>273935</v>
      </c>
    </row>
    <row r="122" spans="2:28">
      <c r="B122" s="531" t="s">
        <v>1935</v>
      </c>
      <c r="C122" s="621" t="s">
        <v>730</v>
      </c>
      <c r="D122" s="619" t="s">
        <v>1677</v>
      </c>
      <c r="E122" s="190">
        <v>2</v>
      </c>
      <c r="F122" s="621" t="s">
        <v>534</v>
      </c>
      <c r="G122" s="621" t="s">
        <v>572</v>
      </c>
      <c r="H122" s="620" t="s">
        <v>1561</v>
      </c>
      <c r="I122" s="199">
        <f>5200000</f>
        <v>5200000</v>
      </c>
      <c r="J122" s="2555">
        <v>3068000</v>
      </c>
      <c r="K122" s="2250">
        <f>5200000-2000000</f>
        <v>3200000</v>
      </c>
      <c r="L122" s="199">
        <f t="shared" si="90"/>
        <v>3200000</v>
      </c>
      <c r="M122" s="199">
        <f t="shared" si="91"/>
        <v>3200000</v>
      </c>
      <c r="N122" s="199">
        <f>+M122-116659</f>
        <v>3083341</v>
      </c>
      <c r="O122" s="199">
        <f t="shared" si="93"/>
        <v>3083341</v>
      </c>
      <c r="P122" s="625">
        <v>2586400</v>
      </c>
      <c r="Q122" s="200">
        <f>+P122/N122</f>
        <v>0.83883034669211087</v>
      </c>
      <c r="R122" s="199">
        <f t="shared" si="83"/>
        <v>0</v>
      </c>
      <c r="S122" s="199">
        <f t="shared" si="79"/>
        <v>0</v>
      </c>
      <c r="T122" s="199">
        <f t="shared" si="80"/>
        <v>-116659</v>
      </c>
      <c r="U122" s="199">
        <f t="shared" si="81"/>
        <v>0</v>
      </c>
      <c r="V122" s="615"/>
      <c r="W122" s="615"/>
      <c r="X122" s="626">
        <f t="shared" si="53"/>
        <v>496941</v>
      </c>
      <c r="Y122" s="172"/>
      <c r="AA122" s="625">
        <v>2668000</v>
      </c>
    </row>
    <row r="123" spans="2:28">
      <c r="B123" s="531" t="s">
        <v>1678</v>
      </c>
      <c r="C123" s="621" t="s">
        <v>512</v>
      </c>
      <c r="D123" s="619" t="s">
        <v>1679</v>
      </c>
      <c r="E123" s="190">
        <v>2</v>
      </c>
      <c r="F123" s="621" t="s">
        <v>534</v>
      </c>
      <c r="G123" s="621" t="s">
        <v>572</v>
      </c>
      <c r="H123" s="620" t="s">
        <v>1561</v>
      </c>
      <c r="I123" s="199">
        <f>700000</f>
        <v>700000</v>
      </c>
      <c r="J123" s="2555">
        <v>579860</v>
      </c>
      <c r="K123" s="2250">
        <f>700000</f>
        <v>700000</v>
      </c>
      <c r="L123" s="199">
        <f t="shared" si="90"/>
        <v>700000</v>
      </c>
      <c r="M123" s="199">
        <f t="shared" si="91"/>
        <v>700000</v>
      </c>
      <c r="N123" s="199">
        <f t="shared" si="92"/>
        <v>700000</v>
      </c>
      <c r="O123" s="199">
        <f t="shared" si="93"/>
        <v>700000</v>
      </c>
      <c r="P123" s="625">
        <v>576860</v>
      </c>
      <c r="Q123" s="200">
        <f>+P123/N123</f>
        <v>0.82408571428571431</v>
      </c>
      <c r="R123" s="199">
        <f t="shared" si="83"/>
        <v>0</v>
      </c>
      <c r="S123" s="199">
        <f t="shared" si="79"/>
        <v>0</v>
      </c>
      <c r="T123" s="199">
        <f t="shared" si="80"/>
        <v>0</v>
      </c>
      <c r="U123" s="199">
        <f t="shared" si="81"/>
        <v>0</v>
      </c>
      <c r="V123" s="615">
        <f>+K123/1.27</f>
        <v>551181.10236220469</v>
      </c>
      <c r="W123" s="615">
        <f>+V123*0.27</f>
        <v>148818.89763779528</v>
      </c>
      <c r="X123" s="626">
        <f t="shared" si="53"/>
        <v>123140</v>
      </c>
      <c r="Y123" s="172"/>
      <c r="AA123" s="625">
        <v>579860</v>
      </c>
    </row>
    <row r="124" spans="2:28">
      <c r="B124" s="531" t="s">
        <v>97</v>
      </c>
      <c r="C124" s="621" t="s">
        <v>512</v>
      </c>
      <c r="D124" s="619" t="s">
        <v>1936</v>
      </c>
      <c r="E124" s="190">
        <v>2</v>
      </c>
      <c r="F124" s="621" t="s">
        <v>534</v>
      </c>
      <c r="G124" s="621" t="s">
        <v>572</v>
      </c>
      <c r="H124" s="620" t="s">
        <v>1561</v>
      </c>
      <c r="I124" s="199">
        <f>8500000</f>
        <v>8500000</v>
      </c>
      <c r="J124" s="2555">
        <v>10094129</v>
      </c>
      <c r="K124" s="2250">
        <f>11150000-2650000</f>
        <v>8500000</v>
      </c>
      <c r="L124" s="199">
        <f t="shared" si="90"/>
        <v>8500000</v>
      </c>
      <c r="M124" s="199">
        <f>+L124+17490+381000</f>
        <v>8898490</v>
      </c>
      <c r="N124" s="199">
        <f>+M124-95255-15463-1299-904835-339100</f>
        <v>7542538</v>
      </c>
      <c r="O124" s="199">
        <f t="shared" si="93"/>
        <v>7542538</v>
      </c>
      <c r="P124" s="625">
        <f>5467761+407730+456368</f>
        <v>6331859</v>
      </c>
      <c r="Q124" s="200">
        <f>+P124/N124</f>
        <v>0.83948652297144544</v>
      </c>
      <c r="R124" s="199">
        <f t="shared" si="83"/>
        <v>0</v>
      </c>
      <c r="S124" s="199">
        <f t="shared" si="79"/>
        <v>398490</v>
      </c>
      <c r="T124" s="199">
        <f t="shared" si="80"/>
        <v>-1355952</v>
      </c>
      <c r="U124" s="199">
        <f t="shared" si="81"/>
        <v>0</v>
      </c>
      <c r="V124" s="615"/>
      <c r="W124" s="615"/>
      <c r="X124" s="626">
        <f t="shared" si="53"/>
        <v>1210679</v>
      </c>
      <c r="Y124" s="172">
        <f>6331859-P124</f>
        <v>0</v>
      </c>
      <c r="AA124" s="625">
        <f>6446493+2655000</f>
        <v>9101493</v>
      </c>
    </row>
    <row r="125" spans="2:28" ht="25.5">
      <c r="B125" s="531" t="s">
        <v>1937</v>
      </c>
      <c r="C125" s="634"/>
      <c r="D125" s="634"/>
      <c r="E125" s="198">
        <v>2</v>
      </c>
      <c r="F125" s="634"/>
      <c r="G125" s="634"/>
      <c r="H125" s="635"/>
      <c r="I125" s="199">
        <f>200000</f>
        <v>200000</v>
      </c>
      <c r="J125" s="2555">
        <v>0</v>
      </c>
      <c r="K125" s="2250">
        <f>0</f>
        <v>0</v>
      </c>
      <c r="L125" s="199">
        <f t="shared" si="90"/>
        <v>0</v>
      </c>
      <c r="M125" s="199">
        <f t="shared" si="91"/>
        <v>0</v>
      </c>
      <c r="N125" s="199">
        <f t="shared" si="92"/>
        <v>0</v>
      </c>
      <c r="O125" s="199">
        <f t="shared" si="93"/>
        <v>0</v>
      </c>
      <c r="P125" s="1795">
        <v>0</v>
      </c>
      <c r="Q125" s="200"/>
      <c r="R125" s="199">
        <f t="shared" si="83"/>
        <v>0</v>
      </c>
      <c r="S125" s="199">
        <f t="shared" si="79"/>
        <v>0</v>
      </c>
      <c r="T125" s="199">
        <f t="shared" si="80"/>
        <v>0</v>
      </c>
      <c r="U125" s="199">
        <f t="shared" si="81"/>
        <v>0</v>
      </c>
      <c r="V125" s="615"/>
      <c r="W125" s="615"/>
      <c r="X125" s="626">
        <f t="shared" si="53"/>
        <v>0</v>
      </c>
      <c r="Y125" s="172"/>
      <c r="AA125" s="1795">
        <v>0</v>
      </c>
    </row>
    <row r="126" spans="2:28">
      <c r="B126" s="530" t="s">
        <v>91</v>
      </c>
      <c r="C126" s="619"/>
      <c r="D126" s="619"/>
      <c r="E126" s="190"/>
      <c r="F126" s="619"/>
      <c r="G126" s="619"/>
      <c r="H126" s="620" t="s">
        <v>1561</v>
      </c>
      <c r="I126" s="192">
        <f>SUM(I121:I125)</f>
        <v>14900000</v>
      </c>
      <c r="J126" s="2550">
        <f>SUM(J121:J125)</f>
        <v>14015924</v>
      </c>
      <c r="K126" s="2219">
        <f t="shared" ref="K126:P126" si="94">SUM(K121:K125)</f>
        <v>12700000</v>
      </c>
      <c r="L126" s="192">
        <f t="shared" si="94"/>
        <v>12700000</v>
      </c>
      <c r="M126" s="192">
        <f t="shared" si="94"/>
        <v>13198490</v>
      </c>
      <c r="N126" s="192">
        <f t="shared" si="94"/>
        <v>11725879</v>
      </c>
      <c r="O126" s="192">
        <f t="shared" si="94"/>
        <v>11725879</v>
      </c>
      <c r="P126" s="192">
        <f t="shared" si="94"/>
        <v>9877219</v>
      </c>
      <c r="Q126" s="193">
        <f>+P126/N126</f>
        <v>0.84234358891133021</v>
      </c>
      <c r="R126" s="192">
        <f t="shared" si="83"/>
        <v>0</v>
      </c>
      <c r="S126" s="192">
        <f t="shared" si="79"/>
        <v>498490</v>
      </c>
      <c r="T126" s="192">
        <f t="shared" si="80"/>
        <v>-1472611</v>
      </c>
      <c r="U126" s="192">
        <f t="shared" si="81"/>
        <v>0</v>
      </c>
      <c r="V126" s="615"/>
      <c r="W126" s="615"/>
      <c r="X126" s="192">
        <f t="shared" si="53"/>
        <v>1848660</v>
      </c>
      <c r="Y126" s="172"/>
      <c r="AA126" s="192">
        <f>SUM(AA121:AA125)</f>
        <v>12623288</v>
      </c>
    </row>
    <row r="127" spans="2:28" ht="41.25" customHeight="1">
      <c r="B127" s="530" t="s">
        <v>1562</v>
      </c>
      <c r="C127" s="621" t="s">
        <v>512</v>
      </c>
      <c r="D127" s="619" t="s">
        <v>1938</v>
      </c>
      <c r="E127" s="190">
        <v>2</v>
      </c>
      <c r="F127" s="621" t="s">
        <v>534</v>
      </c>
      <c r="G127" s="621" t="s">
        <v>572</v>
      </c>
      <c r="H127" s="620" t="s">
        <v>1563</v>
      </c>
      <c r="I127" s="192">
        <f>3000000-2000000</f>
        <v>1000000</v>
      </c>
      <c r="J127" s="2555">
        <v>1061255</v>
      </c>
      <c r="K127" s="2250">
        <f>1100000</f>
        <v>1100000</v>
      </c>
      <c r="L127" s="192">
        <f>+K127</f>
        <v>1100000</v>
      </c>
      <c r="M127" s="192">
        <f>+L127</f>
        <v>1100000</v>
      </c>
      <c r="N127" s="192">
        <f>+M127+95255+15463+1299</f>
        <v>1212017</v>
      </c>
      <c r="O127" s="192">
        <f t="shared" ref="L127:O128" si="95">+N127</f>
        <v>1212017</v>
      </c>
      <c r="P127" s="603">
        <f>1619747-407730</f>
        <v>1212017</v>
      </c>
      <c r="Q127" s="193">
        <f>+P127/N127</f>
        <v>1</v>
      </c>
      <c r="R127" s="192">
        <f t="shared" si="83"/>
        <v>0</v>
      </c>
      <c r="S127" s="192">
        <f t="shared" si="79"/>
        <v>0</v>
      </c>
      <c r="T127" s="192">
        <f t="shared" si="80"/>
        <v>112017</v>
      </c>
      <c r="U127" s="192">
        <f t="shared" si="81"/>
        <v>0</v>
      </c>
      <c r="V127" s="615"/>
      <c r="W127" s="615"/>
      <c r="X127" s="538">
        <f t="shared" si="53"/>
        <v>0</v>
      </c>
      <c r="Y127" s="172">
        <f>1212017-P127</f>
        <v>0</v>
      </c>
      <c r="Z127" s="172">
        <f>1619747+5467761</f>
        <v>7087508</v>
      </c>
      <c r="AA127" s="603">
        <f>764457+111780</f>
        <v>876237</v>
      </c>
      <c r="AB127" s="172">
        <f>+P124+P127</f>
        <v>7543876</v>
      </c>
    </row>
    <row r="128" spans="2:28" ht="25.5">
      <c r="B128" s="530" t="s">
        <v>1850</v>
      </c>
      <c r="C128" s="621" t="s">
        <v>512</v>
      </c>
      <c r="D128" s="619" t="s">
        <v>1939</v>
      </c>
      <c r="E128" s="190">
        <v>2</v>
      </c>
      <c r="F128" s="621" t="s">
        <v>534</v>
      </c>
      <c r="G128" s="621" t="s">
        <v>572</v>
      </c>
      <c r="H128" s="620" t="s">
        <v>1940</v>
      </c>
      <c r="I128" s="192">
        <v>0</v>
      </c>
      <c r="J128" s="2550">
        <v>0</v>
      </c>
      <c r="K128" s="2219">
        <v>0</v>
      </c>
      <c r="L128" s="192">
        <f t="shared" si="95"/>
        <v>0</v>
      </c>
      <c r="M128" s="192">
        <f t="shared" si="95"/>
        <v>0</v>
      </c>
      <c r="N128" s="192">
        <f t="shared" si="95"/>
        <v>0</v>
      </c>
      <c r="O128" s="192">
        <f t="shared" si="95"/>
        <v>0</v>
      </c>
      <c r="P128" s="603">
        <v>0</v>
      </c>
      <c r="Q128" s="193"/>
      <c r="R128" s="192">
        <f t="shared" si="83"/>
        <v>0</v>
      </c>
      <c r="S128" s="192">
        <f t="shared" si="79"/>
        <v>0</v>
      </c>
      <c r="T128" s="192">
        <f t="shared" si="80"/>
        <v>0</v>
      </c>
      <c r="U128" s="192">
        <f t="shared" si="81"/>
        <v>0</v>
      </c>
      <c r="V128" s="615"/>
      <c r="W128" s="615"/>
      <c r="X128" s="538">
        <f t="shared" si="53"/>
        <v>0</v>
      </c>
      <c r="Y128" s="172"/>
      <c r="Z128" s="172">
        <f>+AB127-Z127</f>
        <v>456368</v>
      </c>
      <c r="AA128" s="603">
        <v>0</v>
      </c>
    </row>
    <row r="129" spans="2:27">
      <c r="B129" s="530" t="s">
        <v>1941</v>
      </c>
      <c r="C129" s="621"/>
      <c r="D129" s="619" t="s">
        <v>1694</v>
      </c>
      <c r="E129" s="190">
        <v>2</v>
      </c>
      <c r="F129" s="621" t="s">
        <v>534</v>
      </c>
      <c r="G129" s="621" t="s">
        <v>572</v>
      </c>
      <c r="H129" s="620" t="s">
        <v>1577</v>
      </c>
      <c r="I129" s="192">
        <v>0</v>
      </c>
      <c r="J129" s="2550">
        <f>+I129</f>
        <v>0</v>
      </c>
      <c r="K129" s="2219">
        <v>0</v>
      </c>
      <c r="L129" s="192">
        <v>0</v>
      </c>
      <c r="M129" s="192">
        <f t="shared" ref="M129:N131" si="96">+L129</f>
        <v>0</v>
      </c>
      <c r="N129" s="192">
        <f t="shared" si="96"/>
        <v>0</v>
      </c>
      <c r="O129" s="192"/>
      <c r="P129" s="538">
        <v>0</v>
      </c>
      <c r="Q129" s="193"/>
      <c r="R129" s="192">
        <f t="shared" si="83"/>
        <v>0</v>
      </c>
      <c r="S129" s="192">
        <f t="shared" si="79"/>
        <v>0</v>
      </c>
      <c r="T129" s="192">
        <f t="shared" si="80"/>
        <v>0</v>
      </c>
      <c r="U129" s="192">
        <f t="shared" si="81"/>
        <v>0</v>
      </c>
      <c r="V129" s="615"/>
      <c r="W129" s="615"/>
      <c r="X129" s="538">
        <f t="shared" si="53"/>
        <v>0</v>
      </c>
      <c r="Y129" s="172"/>
      <c r="AA129" s="538">
        <v>0</v>
      </c>
    </row>
    <row r="130" spans="2:27" ht="25.5">
      <c r="B130" s="530" t="s">
        <v>1942</v>
      </c>
      <c r="C130" s="621" t="s">
        <v>736</v>
      </c>
      <c r="D130" s="619" t="s">
        <v>1697</v>
      </c>
      <c r="E130" s="190">
        <v>2</v>
      </c>
      <c r="F130" s="621" t="s">
        <v>534</v>
      </c>
      <c r="G130" s="621" t="s">
        <v>572</v>
      </c>
      <c r="H130" s="620" t="s">
        <v>1577</v>
      </c>
      <c r="I130" s="192">
        <v>0</v>
      </c>
      <c r="J130" s="2550">
        <f>+I130</f>
        <v>0</v>
      </c>
      <c r="K130" s="2219">
        <v>0</v>
      </c>
      <c r="L130" s="192">
        <f>+K130</f>
        <v>0</v>
      </c>
      <c r="M130" s="192">
        <f t="shared" si="96"/>
        <v>0</v>
      </c>
      <c r="N130" s="192">
        <f t="shared" si="96"/>
        <v>0</v>
      </c>
      <c r="O130" s="192">
        <f>+N130</f>
        <v>0</v>
      </c>
      <c r="P130" s="603">
        <v>0</v>
      </c>
      <c r="Q130" s="193"/>
      <c r="R130" s="192">
        <f t="shared" si="83"/>
        <v>0</v>
      </c>
      <c r="S130" s="192">
        <f t="shared" si="79"/>
        <v>0</v>
      </c>
      <c r="T130" s="192">
        <f t="shared" si="80"/>
        <v>0</v>
      </c>
      <c r="U130" s="192">
        <f t="shared" si="81"/>
        <v>0</v>
      </c>
      <c r="V130" s="615"/>
      <c r="W130" s="615"/>
      <c r="X130" s="538">
        <f t="shared" si="53"/>
        <v>0</v>
      </c>
      <c r="Y130" s="172"/>
      <c r="AA130" s="603">
        <v>0</v>
      </c>
    </row>
    <row r="131" spans="2:27">
      <c r="B131" s="530" t="s">
        <v>1576</v>
      </c>
      <c r="C131" s="621" t="s">
        <v>512</v>
      </c>
      <c r="D131" s="619" t="s">
        <v>1694</v>
      </c>
      <c r="E131" s="190">
        <v>2</v>
      </c>
      <c r="F131" s="621" t="s">
        <v>534</v>
      </c>
      <c r="G131" s="621" t="s">
        <v>572</v>
      </c>
      <c r="H131" s="620" t="s">
        <v>1577</v>
      </c>
      <c r="I131" s="192">
        <f>200000</f>
        <v>200000</v>
      </c>
      <c r="J131" s="2550">
        <v>31228</v>
      </c>
      <c r="K131" s="2219">
        <f>200000</f>
        <v>200000</v>
      </c>
      <c r="L131" s="192">
        <f>+K131</f>
        <v>200000</v>
      </c>
      <c r="M131" s="192">
        <f t="shared" si="96"/>
        <v>200000</v>
      </c>
      <c r="N131" s="192">
        <f>+M131+339100</f>
        <v>539100</v>
      </c>
      <c r="O131" s="192">
        <f>+N131</f>
        <v>539100</v>
      </c>
      <c r="P131" s="603">
        <f>10318+125742+403040</f>
        <v>539100</v>
      </c>
      <c r="Q131" s="193">
        <f>+P131/N131</f>
        <v>1</v>
      </c>
      <c r="R131" s="192">
        <f t="shared" si="83"/>
        <v>0</v>
      </c>
      <c r="S131" s="192">
        <f t="shared" si="79"/>
        <v>0</v>
      </c>
      <c r="T131" s="192">
        <f t="shared" si="80"/>
        <v>339100</v>
      </c>
      <c r="U131" s="192">
        <f t="shared" si="81"/>
        <v>0</v>
      </c>
      <c r="V131" s="615"/>
      <c r="W131" s="615"/>
      <c r="X131" s="538">
        <f t="shared" si="53"/>
        <v>0</v>
      </c>
      <c r="Y131" s="172"/>
      <c r="Z131" s="172"/>
      <c r="AA131" s="603">
        <v>12743</v>
      </c>
    </row>
    <row r="132" spans="2:27">
      <c r="B132" s="208" t="s">
        <v>1699</v>
      </c>
      <c r="C132" s="623"/>
      <c r="D132" s="623"/>
      <c r="E132" s="207"/>
      <c r="F132" s="623"/>
      <c r="G132" s="623"/>
      <c r="H132" s="617" t="s">
        <v>1578</v>
      </c>
      <c r="I132" s="209">
        <f t="shared" ref="I132:P132" si="97">SUM(I126:I131)</f>
        <v>16100000</v>
      </c>
      <c r="J132" s="2549">
        <f t="shared" si="97"/>
        <v>15108407</v>
      </c>
      <c r="K132" s="2347">
        <f t="shared" si="97"/>
        <v>14000000</v>
      </c>
      <c r="L132" s="209">
        <f t="shared" si="97"/>
        <v>14000000</v>
      </c>
      <c r="M132" s="209">
        <f t="shared" si="97"/>
        <v>14498490</v>
      </c>
      <c r="N132" s="209">
        <f t="shared" si="97"/>
        <v>13476996</v>
      </c>
      <c r="O132" s="209">
        <f t="shared" si="97"/>
        <v>13476996</v>
      </c>
      <c r="P132" s="245">
        <f t="shared" si="97"/>
        <v>11628336</v>
      </c>
      <c r="Q132" s="210">
        <f>+P132/N132</f>
        <v>0.86282848195547435</v>
      </c>
      <c r="R132" s="209">
        <f t="shared" si="83"/>
        <v>0</v>
      </c>
      <c r="S132" s="209">
        <f t="shared" si="79"/>
        <v>498490</v>
      </c>
      <c r="T132" s="209">
        <f t="shared" si="80"/>
        <v>-1021494</v>
      </c>
      <c r="U132" s="209">
        <f t="shared" si="81"/>
        <v>0</v>
      </c>
      <c r="V132" s="615"/>
      <c r="W132" s="615"/>
      <c r="X132" s="245">
        <f t="shared" si="53"/>
        <v>1848660</v>
      </c>
      <c r="Y132" s="172"/>
      <c r="AA132" s="245">
        <f>SUM(AA126:AA131)</f>
        <v>13512268</v>
      </c>
    </row>
    <row r="133" spans="2:27">
      <c r="B133" s="208" t="s">
        <v>1700</v>
      </c>
      <c r="C133" s="623"/>
      <c r="D133" s="623"/>
      <c r="E133" s="207"/>
      <c r="F133" s="623"/>
      <c r="G133" s="623"/>
      <c r="H133" s="617" t="s">
        <v>1579</v>
      </c>
      <c r="I133" s="209">
        <f t="shared" ref="I133:P133" si="98">+I112+I116+I119+I132</f>
        <v>147583906.19</v>
      </c>
      <c r="J133" s="2549">
        <f t="shared" si="98"/>
        <v>1473901972</v>
      </c>
      <c r="K133" s="2347">
        <f t="shared" si="98"/>
        <v>108803735</v>
      </c>
      <c r="L133" s="209">
        <f t="shared" si="98"/>
        <v>113435000</v>
      </c>
      <c r="M133" s="209">
        <f t="shared" si="98"/>
        <v>113933490</v>
      </c>
      <c r="N133" s="209">
        <f t="shared" si="98"/>
        <v>454424831</v>
      </c>
      <c r="O133" s="209">
        <f t="shared" si="98"/>
        <v>454424831</v>
      </c>
      <c r="P133" s="245">
        <f t="shared" si="98"/>
        <v>452576171</v>
      </c>
      <c r="Q133" s="210">
        <f>+P133/N133</f>
        <v>0.99593186843260328</v>
      </c>
      <c r="R133" s="209">
        <f t="shared" si="83"/>
        <v>4631265</v>
      </c>
      <c r="S133" s="209">
        <f t="shared" si="79"/>
        <v>498490</v>
      </c>
      <c r="T133" s="209">
        <f t="shared" si="80"/>
        <v>340491341</v>
      </c>
      <c r="U133" s="209">
        <f t="shared" si="81"/>
        <v>0</v>
      </c>
      <c r="V133" s="615"/>
      <c r="W133" s="615"/>
      <c r="X133" s="245">
        <f t="shared" si="53"/>
        <v>1848660</v>
      </c>
      <c r="Y133" s="172"/>
      <c r="AA133" s="245">
        <f>+AA112+AA116+AA119+AA132</f>
        <v>102870268</v>
      </c>
    </row>
    <row r="134" spans="2:27" ht="18.75">
      <c r="B134" s="218" t="s">
        <v>10</v>
      </c>
      <c r="C134" s="636"/>
      <c r="D134" s="636"/>
      <c r="E134" s="220"/>
      <c r="F134" s="636"/>
      <c r="G134" s="636"/>
      <c r="H134" s="637" t="s">
        <v>1580</v>
      </c>
      <c r="I134" s="221">
        <f t="shared" ref="I134:P134" si="99">+I24+I37+I99+I109+I133</f>
        <v>531223854.19</v>
      </c>
      <c r="J134" s="2605">
        <f t="shared" si="99"/>
        <v>1845024967</v>
      </c>
      <c r="K134" s="2353">
        <f t="shared" si="99"/>
        <v>542028880</v>
      </c>
      <c r="L134" s="221">
        <f t="shared" si="99"/>
        <v>566097742</v>
      </c>
      <c r="M134" s="221">
        <f t="shared" si="99"/>
        <v>596244293</v>
      </c>
      <c r="N134" s="221">
        <f t="shared" si="99"/>
        <v>938912538</v>
      </c>
      <c r="O134" s="221">
        <f t="shared" si="99"/>
        <v>938912538</v>
      </c>
      <c r="P134" s="638">
        <f t="shared" si="99"/>
        <v>820172715</v>
      </c>
      <c r="Q134" s="223">
        <f>+P134/N134</f>
        <v>0.87353473492543776</v>
      </c>
      <c r="R134" s="221">
        <f t="shared" si="83"/>
        <v>24068862</v>
      </c>
      <c r="S134" s="221">
        <f t="shared" si="79"/>
        <v>30146551</v>
      </c>
      <c r="T134" s="221">
        <f t="shared" si="80"/>
        <v>342668245</v>
      </c>
      <c r="U134" s="221">
        <f t="shared" si="81"/>
        <v>0</v>
      </c>
      <c r="V134" s="615"/>
      <c r="W134" s="615"/>
      <c r="X134" s="638">
        <f t="shared" si="53"/>
        <v>118739823</v>
      </c>
      <c r="Y134" s="172"/>
      <c r="AA134" s="638">
        <f>+AA24+AA37+AA99+AA109+AA133</f>
        <v>398267569</v>
      </c>
    </row>
    <row r="135" spans="2:27">
      <c r="I135" s="169">
        <f>+I11+I12+I19+I26+I27+I28+I31+I32+I39+I34+I35+I44+I46+I47+I48+I49+I50+I51+I52+I53+I59+I60+I61+I62+I63+I64+I65+I67+I68+I69+I71+I72+I76+I74+I79+I80+I82+I83+I84+I85+I86+I87+I88+I89+I90+I91+I92+I93+I94+I95+I96+I100+I101+I103+I104+I105+I113+I114+I115+I121+I122+I123+I124+I125+I127+I128+I131</f>
        <v>531223854.19</v>
      </c>
      <c r="J135" s="169">
        <f>+J11+J12+J19+J26+J27+J28+J31+J32+J39+J34+J35+J44+J46+J47+J48+J49+J50+J51+J52+J53+J59+J60+J61+J62+J63+J64+J65+J67+J68+J69+J71+J72+J74+J76+J79+J80+J82+J83+J84+J85+J86+J87+J88+J89+J90+J91+J92+J93+J94+J95+J96+J100+J101+J103+J104+J105+J113+J114+J115+J121+J122+J123+J124+J125+J127+J128+J131</f>
        <v>1845024967</v>
      </c>
      <c r="K135" s="169">
        <f t="shared" ref="K135:P135" si="100">+K11+K12+K19+K21+K26+K27+K28+K31+K32+K39+K34+K35+K44+K46+K47+K48+K49+K50+K51+K52+K53+K59+K60+K61+K62+K63+K64+K65+K66+K67+K68+K69+K71+K72+K74+K76+K79+K80+K82+K83+K84+K85+K86+K87+K88+K89+K90+K91+K92+K93+K94+K95+K96+K100+K101+K103+K104+K105+K113+K114+K115+K118+K121+K122+K123+K124+K125+K127+K128+K131</f>
        <v>542028880</v>
      </c>
      <c r="L135" s="169">
        <f t="shared" si="100"/>
        <v>566097742</v>
      </c>
      <c r="M135" s="169">
        <f t="shared" si="100"/>
        <v>596244293</v>
      </c>
      <c r="N135" s="169">
        <f t="shared" si="100"/>
        <v>938912538</v>
      </c>
      <c r="O135" s="169">
        <f t="shared" si="100"/>
        <v>938912538</v>
      </c>
      <c r="P135" s="169">
        <f t="shared" si="100"/>
        <v>820172715</v>
      </c>
      <c r="AA135" s="169">
        <f>+AA11+AA12+AA19+AA26+AA27+AA28+AA31+AA32+AA39+AA34+AA35+AA44+AA46+AA47+AA48+AA49+AA50+AA51+AA52+AA53+AA59+AA60+AA61+AA62+AA63+AA64+AA65+AA67+AA68+AA69+AA71+AA72+AA74+AA76+AA79+AA80+AA82+AA83+AA84+AA85+AA86+AA87+AA88+AA89+AA90+AA91+AA92+AA93+AA94+AA95+AA96+AA100+AA101+AA103+AA104+AA105+AA113+AA114+AA115+AA121+AA122+AA123+AA124+AA125+AA127+AA128+AA131</f>
        <v>398267569</v>
      </c>
    </row>
    <row r="136" spans="2:27">
      <c r="H136" s="168" t="s">
        <v>1770</v>
      </c>
      <c r="I136" s="169">
        <f>+I134-'30. mell. ÖNK.-Dologi'!I79</f>
        <v>0</v>
      </c>
      <c r="J136" s="169">
        <f>+J134-'30. mell. ÖNK.-Dologi'!J79</f>
        <v>0</v>
      </c>
      <c r="K136" s="2332">
        <f>+K134-'30. mell. ÖNK.-Dologi'!K79</f>
        <v>0</v>
      </c>
      <c r="L136" s="169">
        <f>+L134-'30. mell. ÖNK.-Dologi'!L79</f>
        <v>0</v>
      </c>
      <c r="M136" s="169">
        <f>+M134-'30. mell. ÖNK.-Dologi'!M79</f>
        <v>0</v>
      </c>
      <c r="N136" s="169">
        <f>+N134-'30. mell. ÖNK.-Dologi'!N79</f>
        <v>0</v>
      </c>
      <c r="O136" s="169">
        <f>+O134-'30. mell. ÖNK.-Dologi'!O79</f>
        <v>0</v>
      </c>
      <c r="P136" s="169">
        <f>+P134-'30. mell. ÖNK.-Dologi'!P79</f>
        <v>0</v>
      </c>
    </row>
    <row r="137" spans="2:27">
      <c r="I137" s="169">
        <f>+I134-I135</f>
        <v>0</v>
      </c>
      <c r="J137" s="169">
        <f>+J134-J135</f>
        <v>0</v>
      </c>
      <c r="K137" s="2332">
        <f>+K134-K135</f>
        <v>0</v>
      </c>
      <c r="L137" s="169" t="s">
        <v>1943</v>
      </c>
    </row>
    <row r="138" spans="2:27">
      <c r="I138" s="169">
        <f t="shared" ref="I138:P138" si="101">+I134-I135</f>
        <v>0</v>
      </c>
      <c r="J138" s="169">
        <f t="shared" si="101"/>
        <v>0</v>
      </c>
      <c r="K138" s="2332">
        <f t="shared" si="101"/>
        <v>0</v>
      </c>
      <c r="L138" s="169">
        <f t="shared" si="101"/>
        <v>0</v>
      </c>
      <c r="M138" s="169">
        <f t="shared" si="101"/>
        <v>0</v>
      </c>
      <c r="N138" s="169">
        <f t="shared" si="101"/>
        <v>0</v>
      </c>
      <c r="O138" s="169">
        <f t="shared" si="101"/>
        <v>0</v>
      </c>
      <c r="P138" s="169">
        <f t="shared" si="101"/>
        <v>0</v>
      </c>
    </row>
    <row r="139" spans="2:27">
      <c r="P139" s="169">
        <f>+P134+'31.mell. Működési kiadások'!P86</f>
        <v>1496934925</v>
      </c>
    </row>
    <row r="140" spans="2:27">
      <c r="P140" s="169">
        <v>1573752521</v>
      </c>
      <c r="Q140" s="169" t="s">
        <v>271</v>
      </c>
    </row>
    <row r="141" spans="2:27">
      <c r="P141" s="169">
        <f>+P139-P140</f>
        <v>-76817596</v>
      </c>
      <c r="Q141" s="169" t="s">
        <v>3689</v>
      </c>
    </row>
  </sheetData>
  <sheetProtection selectLockedCells="1" selectUnlockedCells="1"/>
  <mergeCells count="2">
    <mergeCell ref="A1:L1"/>
    <mergeCell ref="I2:K2"/>
  </mergeCells>
  <printOptions horizontalCentered="1"/>
  <pageMargins left="0.39370078740157483" right="0.19685039370078741" top="0.31496062992125984" bottom="0.43307086614173229" header="0.51181102362204722" footer="0.51181102362204722"/>
  <pageSetup paperSize="9" scale="49" firstPageNumber="0" fitToHeight="2" orientation="portrait" horizontalDpi="300" verticalDpi="300" r:id="rId1"/>
  <headerFooter alignWithMargins="0"/>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7F6F7-BDD1-41EE-93DF-257EA95FF6C9}">
  <sheetPr>
    <tabColor indexed="13"/>
  </sheetPr>
  <dimension ref="A1:AI93"/>
  <sheetViews>
    <sheetView view="pageBreakPreview" zoomScale="90" zoomScaleSheetLayoutView="90" workbookViewId="0">
      <pane xSplit="9" ySplit="6" topLeftCell="J23" activePane="bottomRight" state="frozen"/>
      <selection sqref="A1:AC1"/>
      <selection pane="topRight" sqref="A1:AC1"/>
      <selection pane="bottomLeft" sqref="A1:AC1"/>
      <selection pane="bottomRight" sqref="A1:AC1"/>
    </sheetView>
  </sheetViews>
  <sheetFormatPr defaultRowHeight="12.75"/>
  <cols>
    <col min="1" max="1" width="9.140625" style="164" customWidth="1"/>
    <col min="2" max="2" width="63.140625" style="165" customWidth="1"/>
    <col min="3" max="3" width="6.140625" style="165" hidden="1" customWidth="1"/>
    <col min="4" max="4" width="8.7109375" style="165" hidden="1" customWidth="1"/>
    <col min="5" max="5" width="4.7109375" style="165" hidden="1" customWidth="1"/>
    <col min="6" max="6" width="8.42578125" style="165" hidden="1" customWidth="1"/>
    <col min="7" max="7" width="12.5703125" style="165" hidden="1" customWidth="1"/>
    <col min="8" max="8" width="9" style="168" hidden="1" customWidth="1"/>
    <col min="9" max="10" width="15.7109375" style="169" hidden="1" customWidth="1"/>
    <col min="11" max="11" width="17.5703125" style="2332" customWidth="1"/>
    <col min="12" max="13" width="15.7109375" style="172" hidden="1" customWidth="1"/>
    <col min="14" max="14" width="15.7109375" style="172" customWidth="1"/>
    <col min="15" max="15" width="18" style="172" hidden="1" customWidth="1"/>
    <col min="16" max="16" width="15.28515625" style="172" customWidth="1"/>
    <col min="17" max="17" width="16.28515625" style="172" customWidth="1"/>
    <col min="18" max="18" width="14.42578125" style="172" hidden="1" customWidth="1"/>
    <col min="19" max="19" width="16.7109375" style="172" hidden="1" customWidth="1"/>
    <col min="20" max="20" width="15.140625" style="172" hidden="1" customWidth="1"/>
    <col min="21" max="21" width="11" style="172" hidden="1" customWidth="1"/>
    <col min="22" max="22" width="9.85546875" style="172" hidden="1" customWidth="1"/>
    <col min="23" max="23" width="9.42578125" style="172" hidden="1" customWidth="1"/>
    <col min="24" max="24" width="11.7109375" style="171" hidden="1" customWidth="1"/>
    <col min="25" max="25" width="9.7109375" style="171" hidden="1" customWidth="1"/>
    <col min="26" max="26" width="17" style="171" hidden="1" customWidth="1"/>
    <col min="27" max="27" width="9.42578125" style="171" hidden="1" customWidth="1"/>
    <col min="28" max="34" width="9.140625" style="171"/>
    <col min="35" max="35" width="0" style="171" hidden="1" customWidth="1"/>
    <col min="36" max="16384" width="9.140625" style="171"/>
  </cols>
  <sheetData>
    <row r="1" spans="1:27" ht="29.25" customHeight="1">
      <c r="A1" s="3602" t="s">
        <v>4285</v>
      </c>
      <c r="B1" s="3602"/>
      <c r="C1" s="3602"/>
      <c r="D1" s="3602"/>
      <c r="E1" s="3602"/>
      <c r="F1" s="3602"/>
      <c r="G1" s="3602"/>
      <c r="H1" s="3602"/>
      <c r="I1" s="3602"/>
      <c r="J1" s="3602"/>
      <c r="K1" s="3602"/>
      <c r="L1" s="3602"/>
      <c r="M1" s="3602"/>
      <c r="N1" s="3602"/>
      <c r="O1" s="3602"/>
      <c r="P1" s="3602"/>
      <c r="Q1" s="3602"/>
      <c r="R1" s="3546"/>
      <c r="S1" s="3546"/>
      <c r="T1" s="3546"/>
    </row>
    <row r="2" spans="1:27" s="174" customFormat="1" ht="33" customHeight="1">
      <c r="A2" s="3676" t="s">
        <v>1944</v>
      </c>
      <c r="B2" s="3676"/>
      <c r="C2" s="3676"/>
      <c r="D2" s="3676"/>
      <c r="E2" s="3676"/>
      <c r="F2" s="3676"/>
      <c r="G2" s="3676"/>
      <c r="H2" s="3676"/>
      <c r="I2" s="3676"/>
      <c r="J2" s="3676"/>
      <c r="K2" s="3676"/>
      <c r="L2" s="3676"/>
      <c r="M2" s="3676"/>
      <c r="N2" s="3676"/>
      <c r="O2" s="3676"/>
      <c r="P2" s="3676"/>
      <c r="Q2" s="3676"/>
      <c r="R2" s="3590"/>
      <c r="S2" s="3590"/>
      <c r="T2" s="3590"/>
      <c r="U2" s="173"/>
      <c r="V2" s="173"/>
      <c r="W2" s="173"/>
    </row>
    <row r="3" spans="1:27" s="174" customFormat="1" ht="15" customHeight="1">
      <c r="A3" s="1423"/>
      <c r="B3" s="1479" t="str">
        <f>+'30. mell. ÖNK.-Dologi'!B3</f>
        <v>A</v>
      </c>
      <c r="C3" s="1479">
        <f>+'30. mell. ÖNK.-Dologi'!C3</f>
        <v>0</v>
      </c>
      <c r="D3" s="1479">
        <f>+'30. mell. ÖNK.-Dologi'!D3</f>
        <v>0</v>
      </c>
      <c r="E3" s="1479">
        <f>+'30. mell. ÖNK.-Dologi'!E3</f>
        <v>0</v>
      </c>
      <c r="F3" s="1479">
        <f>+'30. mell. ÖNK.-Dologi'!F3</f>
        <v>0</v>
      </c>
      <c r="G3" s="1479">
        <f>+'30. mell. ÖNK.-Dologi'!G3</f>
        <v>0</v>
      </c>
      <c r="H3" s="1479">
        <f>+'30. mell. ÖNK.-Dologi'!H3</f>
        <v>0</v>
      </c>
      <c r="I3" s="1479" t="str">
        <f>+'30. mell. ÖNK.-Dologi'!I3</f>
        <v>B</v>
      </c>
      <c r="J3" s="1479" t="str">
        <f>+'30. mell. ÖNK.-Dologi'!J3</f>
        <v>B</v>
      </c>
      <c r="K3" s="2358" t="str">
        <f>+'30. mell. ÖNK.-Dologi'!K3</f>
        <v>B</v>
      </c>
      <c r="L3" s="1479" t="str">
        <f>+'30. mell. ÖNK.-Dologi'!L3</f>
        <v>D</v>
      </c>
      <c r="M3" s="1479" t="str">
        <f>+'30. mell. ÖNK.-Dologi'!M3</f>
        <v>E</v>
      </c>
      <c r="N3" s="1479" t="str">
        <f>+'30. mell. ÖNK.-Dologi'!N3</f>
        <v>C</v>
      </c>
      <c r="O3" s="1479" t="str">
        <f>+'30. mell. ÖNK.-Dologi'!O3</f>
        <v>F</v>
      </c>
      <c r="P3" s="1479" t="str">
        <f>+'30. mell. ÖNK.-Dologi'!P3</f>
        <v>D</v>
      </c>
      <c r="Q3" s="1479" t="str">
        <f>+'30. mell. ÖNK.-Dologi'!Q3</f>
        <v>E</v>
      </c>
      <c r="R3" s="1479">
        <f>+'30. mell. ÖNK.-Dologi'!R3</f>
        <v>0</v>
      </c>
      <c r="S3" s="1479" t="str">
        <f>+'30. mell. ÖNK.-Dologi'!S3</f>
        <v>F</v>
      </c>
      <c r="T3" s="1479" t="str">
        <f>+'30. mell. ÖNK.-Dologi'!T3</f>
        <v>G</v>
      </c>
      <c r="U3" s="173"/>
      <c r="V3" s="173"/>
      <c r="W3" s="173"/>
    </row>
    <row r="4" spans="1:27" ht="81.599999999999994" customHeight="1">
      <c r="A4" s="659" t="s">
        <v>6</v>
      </c>
      <c r="B4" s="1420" t="s">
        <v>503</v>
      </c>
      <c r="C4" s="662" t="s">
        <v>504</v>
      </c>
      <c r="D4" s="1421" t="s">
        <v>505</v>
      </c>
      <c r="E4" s="662" t="s">
        <v>506</v>
      </c>
      <c r="F4" s="662" t="s">
        <v>507</v>
      </c>
      <c r="G4" s="662" t="s">
        <v>508</v>
      </c>
      <c r="H4" s="662" t="s">
        <v>509</v>
      </c>
      <c r="I4" s="1422" t="str">
        <f>+'1. mell.ÖSSZEVONT_MÉRLEG'!C5</f>
        <v>2024. évi eredeti előirányzat
forintban</v>
      </c>
      <c r="J4" s="2591" t="str">
        <f>+'1. mell.ÖSSZEVONT_MÉRLEG'!D5</f>
        <v>2024. évi teljesítés forintban</v>
      </c>
      <c r="K4" s="2359" t="str">
        <f>+'1. mell.ÖSSZEVONT_MÉRLEG'!E5</f>
        <v>2025. évi eredeti előirányzat forintban</v>
      </c>
      <c r="L4" s="182" t="str">
        <f>+'1. mell.ÖSSZEVONT_MÉRLEG'!F5</f>
        <v>2025. évi I. számú módosított előirányzat
forintban</v>
      </c>
      <c r="M4" s="182" t="str">
        <f>+'1. mell.ÖSSZEVONT_MÉRLEG'!G5</f>
        <v>2025. évi II. számú módosított előirányzat forintban</v>
      </c>
      <c r="N4" s="182" t="str">
        <f>+'1. mell.ÖSSZEVONT_MÉRLEG'!H5</f>
        <v>2025. évi III. számú módosított előirányzat forintban</v>
      </c>
      <c r="O4" s="182" t="str">
        <f>+'1. mell.ÖSSZEVONT_MÉRLEG'!I5</f>
        <v>2025. évi IV. számú módosított előirányzat forintban</v>
      </c>
      <c r="P4" s="3191" t="str">
        <f>+'1. mell.ÖSSZEVONT_MÉRLEG'!J5</f>
        <v>2025. évi
teljesítés forintban</v>
      </c>
      <c r="Q4" s="182" t="str">
        <f>+'1. mell.ÖSSZEVONT_MÉRLEG'!K5</f>
        <v xml:space="preserve"> 2025. évi teljesítés / 2025. évi III. számú módosított előirányzat</v>
      </c>
      <c r="R4" s="182" t="str">
        <f>+'1. mell.ÖSSZEVONT_MÉRLEG'!L5</f>
        <v>Változás I. módosításnál</v>
      </c>
      <c r="S4" s="182" t="str">
        <f>+'1. mell.ÖSSZEVONT_MÉRLEG'!M5</f>
        <v>Előirányzat-módosítások, előirányzat-átcsoportosítások összegszerű változásai</v>
      </c>
      <c r="T4" s="2760" t="str">
        <f>+'1. mell.ÖSSZEVONT_MÉRLEG'!N5</f>
        <v>Előirányzat-módosítások, előirányzat-átcsoportosítások összegszerű változásai a III. módosításnál</v>
      </c>
      <c r="U4" s="183" t="s">
        <v>175</v>
      </c>
      <c r="V4" s="182" t="s">
        <v>510</v>
      </c>
      <c r="W4" s="182" t="s">
        <v>511</v>
      </c>
      <c r="Z4" s="612" t="s">
        <v>3984</v>
      </c>
    </row>
    <row r="5" spans="1:27" hidden="1">
      <c r="A5" s="179">
        <f>+'30. mell. ÖNK.-Dologi'!A5</f>
        <v>1</v>
      </c>
      <c r="B5" s="179">
        <f>+'30. mell. ÖNK.-Dologi'!B5</f>
        <v>2</v>
      </c>
      <c r="C5" s="179"/>
      <c r="D5" s="179"/>
      <c r="E5" s="179"/>
      <c r="F5" s="179"/>
      <c r="G5" s="179"/>
      <c r="H5" s="179"/>
      <c r="I5" s="179">
        <f>+'30. mell. ÖNK.-Dologi'!I5</f>
        <v>3</v>
      </c>
      <c r="J5" s="2547">
        <f>+'30. mell. ÖNK.-Dologi'!J5</f>
        <v>0</v>
      </c>
      <c r="K5" s="2360">
        <f>+'30. mell. ÖNK.-Dologi'!K5</f>
        <v>3</v>
      </c>
      <c r="L5" s="179">
        <f>+'30. mell. ÖNK.-Dologi'!L5</f>
        <v>4</v>
      </c>
      <c r="M5" s="179">
        <f>+'30. mell. ÖNK.-Dologi'!M5</f>
        <v>5</v>
      </c>
      <c r="N5" s="179">
        <f>+'30. mell. ÖNK.-Dologi'!N5</f>
        <v>6</v>
      </c>
      <c r="O5" s="179">
        <f>+'30. mell. ÖNK.-Dologi'!O5</f>
        <v>7</v>
      </c>
      <c r="P5" s="640">
        <f>+'30. mell. ÖNK.-Dologi'!P5</f>
        <v>0</v>
      </c>
      <c r="Q5" s="179">
        <f>+'30. mell. ÖNK.-Dologi'!Q5</f>
        <v>5</v>
      </c>
      <c r="R5" s="179">
        <f>+'30. mell. ÖNK.-Dologi'!R5</f>
        <v>0</v>
      </c>
      <c r="S5" s="179"/>
      <c r="T5" s="179"/>
      <c r="U5" s="179"/>
      <c r="V5" s="228"/>
      <c r="W5" s="228"/>
      <c r="Z5" s="640"/>
    </row>
    <row r="6" spans="1:27" hidden="1">
      <c r="A6" s="179" t="s">
        <v>6</v>
      </c>
      <c r="B6" s="207" t="s">
        <v>1945</v>
      </c>
      <c r="C6" s="207"/>
      <c r="D6" s="207"/>
      <c r="E6" s="207"/>
      <c r="F6" s="179"/>
      <c r="G6" s="179"/>
      <c r="H6" s="184"/>
      <c r="I6" s="184"/>
      <c r="J6" s="2606"/>
      <c r="K6" s="2346"/>
      <c r="L6" s="184"/>
      <c r="M6" s="184"/>
      <c r="N6" s="184"/>
      <c r="O6" s="184"/>
      <c r="P6" s="244"/>
      <c r="Q6" s="184"/>
      <c r="R6" s="184"/>
      <c r="S6" s="184"/>
      <c r="T6" s="184"/>
      <c r="U6" s="188"/>
      <c r="V6" s="228"/>
      <c r="W6" s="228"/>
      <c r="Z6" s="244"/>
    </row>
    <row r="7" spans="1:27">
      <c r="A7" s="179" t="s">
        <v>12</v>
      </c>
      <c r="B7" s="214" t="s">
        <v>1946</v>
      </c>
      <c r="C7" s="180" t="s">
        <v>973</v>
      </c>
      <c r="D7" s="190" t="s">
        <v>1947</v>
      </c>
      <c r="E7" s="190">
        <v>2</v>
      </c>
      <c r="F7" s="180" t="s">
        <v>975</v>
      </c>
      <c r="G7" s="180" t="s">
        <v>1014</v>
      </c>
      <c r="H7" s="180" t="s">
        <v>1506</v>
      </c>
      <c r="I7" s="192">
        <f>711200+12000000+1000000+1000000-1000000+1000000</f>
        <v>14711200</v>
      </c>
      <c r="J7" s="2550">
        <v>13380847</v>
      </c>
      <c r="K7" s="2219">
        <f>12000000+1000000+1000000+1000000+782320-1000000</f>
        <v>14782320</v>
      </c>
      <c r="L7" s="192">
        <f>+K7</f>
        <v>14782320</v>
      </c>
      <c r="M7" s="192">
        <f>+L7</f>
        <v>14782320</v>
      </c>
      <c r="N7" s="192">
        <f>+M7</f>
        <v>14782320</v>
      </c>
      <c r="O7" s="192">
        <f t="shared" ref="O7:O15" si="0">+N7</f>
        <v>14782320</v>
      </c>
      <c r="P7" s="538">
        <v>13930694</v>
      </c>
      <c r="Q7" s="193">
        <f t="shared" ref="Q7:Q19" si="1">+P7/N7</f>
        <v>0.94238888077108329</v>
      </c>
      <c r="R7" s="192">
        <f t="shared" ref="R7:R36" si="2">+L7-K7</f>
        <v>0</v>
      </c>
      <c r="S7" s="192">
        <f t="shared" ref="S7:S36" si="3">+M7-L7</f>
        <v>0</v>
      </c>
      <c r="T7" s="192">
        <f t="shared" ref="T7:T36" si="4">+N7-M7</f>
        <v>0</v>
      </c>
      <c r="U7" s="194">
        <f t="shared" ref="U7:U36" si="5">+O7-N7</f>
        <v>0</v>
      </c>
      <c r="V7" s="192">
        <f t="shared" ref="V7:V15" si="6">+K7/1.27</f>
        <v>11639622.047244094</v>
      </c>
      <c r="W7" s="194">
        <f t="shared" ref="W7:W15" si="7">+V7*0.27</f>
        <v>3142697.9527559057</v>
      </c>
      <c r="Z7" s="538">
        <f>+N7-P7</f>
        <v>851626</v>
      </c>
    </row>
    <row r="8" spans="1:27">
      <c r="A8" s="179" t="s">
        <v>14</v>
      </c>
      <c r="B8" s="214" t="s">
        <v>102</v>
      </c>
      <c r="C8" s="180" t="s">
        <v>973</v>
      </c>
      <c r="D8" s="190" t="s">
        <v>1948</v>
      </c>
      <c r="E8" s="190">
        <v>2</v>
      </c>
      <c r="F8" s="180" t="s">
        <v>975</v>
      </c>
      <c r="G8" s="180" t="s">
        <v>1014</v>
      </c>
      <c r="H8" s="180" t="s">
        <v>1506</v>
      </c>
      <c r="I8" s="192">
        <f>8296783+76000000+12000000+2000000</f>
        <v>98296783</v>
      </c>
      <c r="J8" s="2550">
        <v>113428718</v>
      </c>
      <c r="K8" s="2219">
        <f>103000000+15000000+2000000+6781565-26000000</f>
        <v>100781565</v>
      </c>
      <c r="L8" s="192">
        <f t="shared" ref="L8:L15" si="8">+K8</f>
        <v>100781565</v>
      </c>
      <c r="M8" s="192">
        <f>+L8</f>
        <v>100781565</v>
      </c>
      <c r="N8" s="192">
        <f>+M8+1500000+2000000+1688600+1104910+59729</f>
        <v>107134804</v>
      </c>
      <c r="O8" s="192">
        <f t="shared" si="0"/>
        <v>107134804</v>
      </c>
      <c r="P8" s="538">
        <v>107104091</v>
      </c>
      <c r="Q8" s="193">
        <f t="shared" si="1"/>
        <v>0.99971332378598465</v>
      </c>
      <c r="R8" s="192">
        <f t="shared" si="2"/>
        <v>0</v>
      </c>
      <c r="S8" s="192">
        <f t="shared" si="3"/>
        <v>0</v>
      </c>
      <c r="T8" s="192">
        <f t="shared" si="4"/>
        <v>6353239</v>
      </c>
      <c r="U8" s="194">
        <f t="shared" si="5"/>
        <v>0</v>
      </c>
      <c r="V8" s="192">
        <f t="shared" si="6"/>
        <v>79355562.992125988</v>
      </c>
      <c r="W8" s="192">
        <f t="shared" si="7"/>
        <v>21426002.007874019</v>
      </c>
      <c r="Z8" s="538">
        <f t="shared" ref="Z8:Z71" si="9">+N8-P8</f>
        <v>30713</v>
      </c>
    </row>
    <row r="9" spans="1:27">
      <c r="A9" s="179" t="s">
        <v>15</v>
      </c>
      <c r="B9" s="214" t="s">
        <v>1949</v>
      </c>
      <c r="C9" s="180" t="s">
        <v>973</v>
      </c>
      <c r="D9" s="190" t="s">
        <v>1950</v>
      </c>
      <c r="E9" s="190">
        <v>2</v>
      </c>
      <c r="F9" s="180" t="s">
        <v>975</v>
      </c>
      <c r="G9" s="180" t="s">
        <v>1014</v>
      </c>
      <c r="H9" s="180" t="s">
        <v>1506</v>
      </c>
      <c r="I9" s="192">
        <f>1000000</f>
        <v>1000000</v>
      </c>
      <c r="J9" s="2550">
        <v>284480</v>
      </c>
      <c r="K9" s="2219">
        <f>4000000</f>
        <v>4000000</v>
      </c>
      <c r="L9" s="192">
        <f t="shared" si="8"/>
        <v>4000000</v>
      </c>
      <c r="M9" s="192">
        <f>+L9</f>
        <v>4000000</v>
      </c>
      <c r="N9" s="192">
        <f>+M9-1688600</f>
        <v>2311400</v>
      </c>
      <c r="O9" s="192">
        <f t="shared" si="0"/>
        <v>2311400</v>
      </c>
      <c r="P9" s="538">
        <v>2311400</v>
      </c>
      <c r="Q9" s="193">
        <f t="shared" si="1"/>
        <v>1</v>
      </c>
      <c r="R9" s="192">
        <f t="shared" si="2"/>
        <v>0</v>
      </c>
      <c r="S9" s="192">
        <f t="shared" si="3"/>
        <v>0</v>
      </c>
      <c r="T9" s="192">
        <f t="shared" si="4"/>
        <v>-1688600</v>
      </c>
      <c r="U9" s="194">
        <f t="shared" si="5"/>
        <v>0</v>
      </c>
      <c r="V9" s="192">
        <f t="shared" si="6"/>
        <v>3149606.2992125982</v>
      </c>
      <c r="W9" s="192">
        <f t="shared" si="7"/>
        <v>850393.70078740153</v>
      </c>
      <c r="Z9" s="538">
        <f t="shared" si="9"/>
        <v>0</v>
      </c>
    </row>
    <row r="10" spans="1:27">
      <c r="A10" s="179" t="s">
        <v>17</v>
      </c>
      <c r="B10" s="214" t="s">
        <v>1951</v>
      </c>
      <c r="C10" s="180" t="s">
        <v>973</v>
      </c>
      <c r="D10" s="190" t="s">
        <v>1952</v>
      </c>
      <c r="E10" s="190">
        <v>2</v>
      </c>
      <c r="F10" s="180" t="s">
        <v>975</v>
      </c>
      <c r="G10" s="180" t="s">
        <v>1014</v>
      </c>
      <c r="H10" s="180" t="s">
        <v>1506</v>
      </c>
      <c r="I10" s="192">
        <f>3147598+1899895+1524000+680000+1167765+13000000+2000000</f>
        <v>23419258</v>
      </c>
      <c r="J10" s="2550">
        <v>24951610</v>
      </c>
      <c r="K10" s="2219">
        <f>15000000+4000000+2000000-2000000+4000000+5171119</f>
        <v>28171119</v>
      </c>
      <c r="L10" s="192">
        <f t="shared" si="8"/>
        <v>28171119</v>
      </c>
      <c r="M10" s="192">
        <f>+L10</f>
        <v>28171119</v>
      </c>
      <c r="N10" s="192">
        <f>+M10-1500000-2000000</f>
        <v>24671119</v>
      </c>
      <c r="O10" s="192">
        <f t="shared" si="0"/>
        <v>24671119</v>
      </c>
      <c r="P10" s="538">
        <v>18040052</v>
      </c>
      <c r="Q10" s="193">
        <f t="shared" si="1"/>
        <v>0.73122147398340542</v>
      </c>
      <c r="R10" s="192">
        <f t="shared" si="2"/>
        <v>0</v>
      </c>
      <c r="S10" s="192">
        <f t="shared" si="3"/>
        <v>0</v>
      </c>
      <c r="T10" s="192">
        <f t="shared" si="4"/>
        <v>-3500000</v>
      </c>
      <c r="U10" s="194">
        <f t="shared" si="5"/>
        <v>0</v>
      </c>
      <c r="V10" s="192">
        <f t="shared" si="6"/>
        <v>22181983.464566927</v>
      </c>
      <c r="W10" s="192">
        <f t="shared" si="7"/>
        <v>5989135.5354330707</v>
      </c>
      <c r="Z10" s="538">
        <f t="shared" si="9"/>
        <v>6631067</v>
      </c>
    </row>
    <row r="11" spans="1:27">
      <c r="A11" s="179" t="s">
        <v>19</v>
      </c>
      <c r="B11" s="214" t="s">
        <v>1953</v>
      </c>
      <c r="C11" s="180" t="s">
        <v>973</v>
      </c>
      <c r="D11" s="190" t="s">
        <v>1954</v>
      </c>
      <c r="E11" s="190">
        <v>2</v>
      </c>
      <c r="F11" s="180" t="s">
        <v>975</v>
      </c>
      <c r="G11" s="180" t="s">
        <v>1014</v>
      </c>
      <c r="H11" s="191" t="s">
        <v>1525</v>
      </c>
      <c r="I11" s="192">
        <f>10000000</f>
        <v>10000000</v>
      </c>
      <c r="J11" s="2550">
        <v>9536900</v>
      </c>
      <c r="K11" s="2219">
        <f>10000000</f>
        <v>10000000</v>
      </c>
      <c r="L11" s="192">
        <f t="shared" si="8"/>
        <v>10000000</v>
      </c>
      <c r="M11" s="192">
        <f>+L11+150000+161874</f>
        <v>10311874</v>
      </c>
      <c r="N11" s="192">
        <f>+M11-59729</f>
        <v>10252145</v>
      </c>
      <c r="O11" s="192">
        <f t="shared" si="0"/>
        <v>10252145</v>
      </c>
      <c r="P11" s="538">
        <v>10252145</v>
      </c>
      <c r="Q11" s="193">
        <f t="shared" si="1"/>
        <v>1</v>
      </c>
      <c r="R11" s="192">
        <f t="shared" si="2"/>
        <v>0</v>
      </c>
      <c r="S11" s="192">
        <f t="shared" si="3"/>
        <v>311874</v>
      </c>
      <c r="T11" s="192">
        <f t="shared" si="4"/>
        <v>-59729</v>
      </c>
      <c r="U11" s="194">
        <f t="shared" si="5"/>
        <v>0</v>
      </c>
      <c r="V11" s="192">
        <f t="shared" si="6"/>
        <v>7874015.7480314961</v>
      </c>
      <c r="W11" s="192">
        <f t="shared" si="7"/>
        <v>2125984.2519685039</v>
      </c>
      <c r="Z11" s="538">
        <f t="shared" si="9"/>
        <v>0</v>
      </c>
    </row>
    <row r="12" spans="1:27" ht="15" customHeight="1">
      <c r="A12" s="179" t="s">
        <v>21</v>
      </c>
      <c r="B12" s="214" t="s">
        <v>3583</v>
      </c>
      <c r="C12" s="180" t="s">
        <v>973</v>
      </c>
      <c r="D12" s="190" t="s">
        <v>3652</v>
      </c>
      <c r="E12" s="190">
        <v>2</v>
      </c>
      <c r="F12" s="180" t="s">
        <v>975</v>
      </c>
      <c r="G12" s="180" t="s">
        <v>1014</v>
      </c>
      <c r="H12" s="191" t="s">
        <v>1525</v>
      </c>
      <c r="I12" s="192">
        <f>4000000-500000+30000000</f>
        <v>33500000</v>
      </c>
      <c r="J12" s="2550">
        <v>21711258</v>
      </c>
      <c r="K12" s="2219">
        <f>4000000-500000+30000000-10000000</f>
        <v>23500000</v>
      </c>
      <c r="L12" s="192">
        <f t="shared" si="8"/>
        <v>23500000</v>
      </c>
      <c r="M12" s="192">
        <f>+L12-150000-161874</f>
        <v>23188126</v>
      </c>
      <c r="N12" s="192">
        <f>+M12</f>
        <v>23188126</v>
      </c>
      <c r="O12" s="192">
        <f t="shared" si="0"/>
        <v>23188126</v>
      </c>
      <c r="P12" s="538">
        <f>3188126+7612436</f>
        <v>10800562</v>
      </c>
      <c r="Q12" s="193">
        <f t="shared" si="1"/>
        <v>0.46577985646619308</v>
      </c>
      <c r="R12" s="192">
        <f t="shared" si="2"/>
        <v>0</v>
      </c>
      <c r="S12" s="192">
        <f t="shared" si="3"/>
        <v>-311874</v>
      </c>
      <c r="T12" s="192">
        <f t="shared" si="4"/>
        <v>0</v>
      </c>
      <c r="U12" s="194">
        <f t="shared" si="5"/>
        <v>0</v>
      </c>
      <c r="V12" s="192">
        <f t="shared" si="6"/>
        <v>18503937.007874016</v>
      </c>
      <c r="W12" s="192">
        <f t="shared" si="7"/>
        <v>4996062.9921259843</v>
      </c>
      <c r="Z12" s="538">
        <f t="shared" si="9"/>
        <v>12387564</v>
      </c>
    </row>
    <row r="13" spans="1:27">
      <c r="A13" s="179" t="s">
        <v>23</v>
      </c>
      <c r="B13" s="214" t="s">
        <v>1955</v>
      </c>
      <c r="C13" s="180" t="s">
        <v>973</v>
      </c>
      <c r="D13" s="190" t="s">
        <v>1956</v>
      </c>
      <c r="E13" s="190">
        <v>2</v>
      </c>
      <c r="F13" s="180" t="s">
        <v>975</v>
      </c>
      <c r="G13" s="180" t="s">
        <v>1014</v>
      </c>
      <c r="H13" s="191" t="s">
        <v>1525</v>
      </c>
      <c r="I13" s="192">
        <f>1000000</f>
        <v>1000000</v>
      </c>
      <c r="J13" s="2550">
        <v>105410</v>
      </c>
      <c r="K13" s="2219">
        <f>5000000</f>
        <v>5000000</v>
      </c>
      <c r="L13" s="192">
        <f>+K13</f>
        <v>5000000</v>
      </c>
      <c r="M13" s="192">
        <f>+L13</f>
        <v>5000000</v>
      </c>
      <c r="N13" s="192">
        <f>+M13-1104910</f>
        <v>3895090</v>
      </c>
      <c r="O13" s="192">
        <f t="shared" si="0"/>
        <v>3895090</v>
      </c>
      <c r="P13" s="538">
        <v>3895090</v>
      </c>
      <c r="Q13" s="193">
        <f t="shared" si="1"/>
        <v>1</v>
      </c>
      <c r="R13" s="192">
        <f t="shared" si="2"/>
        <v>0</v>
      </c>
      <c r="S13" s="192">
        <f t="shared" si="3"/>
        <v>0</v>
      </c>
      <c r="T13" s="192">
        <f t="shared" si="4"/>
        <v>-1104910</v>
      </c>
      <c r="U13" s="194">
        <f t="shared" si="5"/>
        <v>0</v>
      </c>
      <c r="V13" s="192">
        <f t="shared" si="6"/>
        <v>3937007.874015748</v>
      </c>
      <c r="W13" s="192">
        <f t="shared" si="7"/>
        <v>1062992.125984252</v>
      </c>
      <c r="Z13" s="538">
        <f t="shared" si="9"/>
        <v>0</v>
      </c>
    </row>
    <row r="14" spans="1:27">
      <c r="A14" s="179" t="s">
        <v>25</v>
      </c>
      <c r="B14" s="214" t="s">
        <v>1957</v>
      </c>
      <c r="C14" s="180" t="s">
        <v>973</v>
      </c>
      <c r="D14" s="190" t="s">
        <v>1958</v>
      </c>
      <c r="E14" s="190">
        <v>2</v>
      </c>
      <c r="F14" s="180" t="s">
        <v>975</v>
      </c>
      <c r="G14" s="180" t="s">
        <v>1014</v>
      </c>
      <c r="H14" s="191" t="s">
        <v>1498</v>
      </c>
      <c r="I14" s="192">
        <f>10000000+10000000</f>
        <v>20000000</v>
      </c>
      <c r="J14" s="2550">
        <v>25129613</v>
      </c>
      <c r="K14" s="2219">
        <f>25000000</f>
        <v>25000000</v>
      </c>
      <c r="L14" s="192">
        <f>+K14</f>
        <v>25000000</v>
      </c>
      <c r="M14" s="192">
        <f>+L14</f>
        <v>25000000</v>
      </c>
      <c r="N14" s="192">
        <f>+M14+3000000+5000000</f>
        <v>33000000</v>
      </c>
      <c r="O14" s="192">
        <f t="shared" si="0"/>
        <v>33000000</v>
      </c>
      <c r="P14" s="538">
        <f>34291954-12288-1591314</f>
        <v>32688352</v>
      </c>
      <c r="Q14" s="193">
        <f t="shared" si="1"/>
        <v>0.99055612121212122</v>
      </c>
      <c r="R14" s="192">
        <f t="shared" si="2"/>
        <v>0</v>
      </c>
      <c r="S14" s="192">
        <f t="shared" si="3"/>
        <v>0</v>
      </c>
      <c r="T14" s="192">
        <f t="shared" si="4"/>
        <v>8000000</v>
      </c>
      <c r="U14" s="194">
        <f t="shared" si="5"/>
        <v>0</v>
      </c>
      <c r="V14" s="192">
        <f t="shared" si="6"/>
        <v>19685039.370078739</v>
      </c>
      <c r="W14" s="192">
        <f t="shared" si="7"/>
        <v>5314960.6299212594</v>
      </c>
      <c r="Z14" s="538">
        <f t="shared" si="9"/>
        <v>311648</v>
      </c>
      <c r="AA14" s="172">
        <f>32688352-P14</f>
        <v>0</v>
      </c>
    </row>
    <row r="15" spans="1:27">
      <c r="A15" s="179" t="s">
        <v>27</v>
      </c>
      <c r="B15" s="214" t="s">
        <v>3538</v>
      </c>
      <c r="C15" s="180" t="s">
        <v>973</v>
      </c>
      <c r="D15" s="190" t="s">
        <v>1959</v>
      </c>
      <c r="E15" s="190">
        <v>2</v>
      </c>
      <c r="F15" s="180" t="s">
        <v>975</v>
      </c>
      <c r="G15" s="180" t="s">
        <v>1014</v>
      </c>
      <c r="H15" s="180" t="s">
        <v>1494</v>
      </c>
      <c r="I15" s="192">
        <f>97949+6000000</f>
        <v>6097949</v>
      </c>
      <c r="J15" s="2550">
        <v>6118391</v>
      </c>
      <c r="K15" s="2219">
        <f>7000000+115188+12</f>
        <v>7115200</v>
      </c>
      <c r="L15" s="192">
        <f t="shared" si="8"/>
        <v>7115200</v>
      </c>
      <c r="M15" s="192">
        <f>+L15</f>
        <v>7115200</v>
      </c>
      <c r="N15" s="192">
        <f>+M15</f>
        <v>7115200</v>
      </c>
      <c r="O15" s="192">
        <f t="shared" si="0"/>
        <v>7115200</v>
      </c>
      <c r="P15" s="538">
        <f>5655303-14930-8052</f>
        <v>5632321</v>
      </c>
      <c r="Q15" s="193">
        <f t="shared" si="1"/>
        <v>0.79158997638857653</v>
      </c>
      <c r="R15" s="192">
        <f t="shared" si="2"/>
        <v>0</v>
      </c>
      <c r="S15" s="192">
        <f t="shared" si="3"/>
        <v>0</v>
      </c>
      <c r="T15" s="192">
        <f t="shared" si="4"/>
        <v>0</v>
      </c>
      <c r="U15" s="194">
        <f t="shared" si="5"/>
        <v>0</v>
      </c>
      <c r="V15" s="192">
        <f t="shared" si="6"/>
        <v>5602519.6850393703</v>
      </c>
      <c r="W15" s="192">
        <f t="shared" si="7"/>
        <v>1512680.3149606301</v>
      </c>
      <c r="X15" s="172"/>
      <c r="Z15" s="538">
        <f t="shared" si="9"/>
        <v>1482879</v>
      </c>
      <c r="AA15" s="172">
        <f>5632321-P15</f>
        <v>0</v>
      </c>
    </row>
    <row r="16" spans="1:27">
      <c r="A16" s="179" t="s">
        <v>29</v>
      </c>
      <c r="B16" s="208" t="s">
        <v>1960</v>
      </c>
      <c r="C16" s="208"/>
      <c r="D16" s="208"/>
      <c r="E16" s="208"/>
      <c r="F16" s="208"/>
      <c r="G16" s="208"/>
      <c r="H16" s="184"/>
      <c r="I16" s="209">
        <f>SUM(I7:I15)</f>
        <v>208025190</v>
      </c>
      <c r="J16" s="2549">
        <f>SUM(J7:J15)</f>
        <v>214647227</v>
      </c>
      <c r="K16" s="2347">
        <f t="shared" ref="K16:P16" si="10">SUM(K7:K15)</f>
        <v>218350204</v>
      </c>
      <c r="L16" s="209">
        <f t="shared" si="10"/>
        <v>218350204</v>
      </c>
      <c r="M16" s="209">
        <f t="shared" si="10"/>
        <v>218350204</v>
      </c>
      <c r="N16" s="209">
        <f t="shared" si="10"/>
        <v>226350204</v>
      </c>
      <c r="O16" s="209">
        <f t="shared" si="10"/>
        <v>226350204</v>
      </c>
      <c r="P16" s="245">
        <f t="shared" si="10"/>
        <v>204654707</v>
      </c>
      <c r="Q16" s="210">
        <f t="shared" si="1"/>
        <v>0.90415075128450073</v>
      </c>
      <c r="R16" s="209">
        <f t="shared" si="2"/>
        <v>0</v>
      </c>
      <c r="S16" s="209">
        <f t="shared" si="3"/>
        <v>0</v>
      </c>
      <c r="T16" s="209">
        <f t="shared" si="4"/>
        <v>8000000</v>
      </c>
      <c r="U16" s="211">
        <f t="shared" si="5"/>
        <v>0</v>
      </c>
      <c r="V16" s="209"/>
      <c r="W16" s="209"/>
      <c r="Z16" s="245">
        <f t="shared" si="9"/>
        <v>21695497</v>
      </c>
    </row>
    <row r="17" spans="1:27" s="203" customFormat="1" ht="15" customHeight="1">
      <c r="A17" s="2268" t="s">
        <v>289</v>
      </c>
      <c r="B17" s="531" t="s">
        <v>1961</v>
      </c>
      <c r="C17" s="197" t="s">
        <v>1032</v>
      </c>
      <c r="D17" s="198" t="s">
        <v>1962</v>
      </c>
      <c r="E17" s="198">
        <v>2</v>
      </c>
      <c r="F17" s="197" t="s">
        <v>565</v>
      </c>
      <c r="G17" s="198">
        <v>9990001</v>
      </c>
      <c r="H17" s="204" t="s">
        <v>1963</v>
      </c>
      <c r="I17" s="199">
        <f>53000000</f>
        <v>53000000</v>
      </c>
      <c r="J17" s="2555">
        <v>40215146</v>
      </c>
      <c r="K17" s="2250">
        <f>53000000</f>
        <v>53000000</v>
      </c>
      <c r="L17" s="199">
        <f t="shared" ref="L17:O18" si="11">+K17</f>
        <v>53000000</v>
      </c>
      <c r="M17" s="199">
        <f>+L17-3000000</f>
        <v>50000000</v>
      </c>
      <c r="N17" s="199">
        <f t="shared" si="11"/>
        <v>50000000</v>
      </c>
      <c r="O17" s="199">
        <f t="shared" si="11"/>
        <v>50000000</v>
      </c>
      <c r="P17" s="626">
        <v>39358874</v>
      </c>
      <c r="Q17" s="200">
        <f t="shared" si="1"/>
        <v>0.78717747999999998</v>
      </c>
      <c r="R17" s="199">
        <f t="shared" si="2"/>
        <v>0</v>
      </c>
      <c r="S17" s="199">
        <f t="shared" si="3"/>
        <v>-3000000</v>
      </c>
      <c r="T17" s="199">
        <f t="shared" si="4"/>
        <v>0</v>
      </c>
      <c r="U17" s="201">
        <f t="shared" si="5"/>
        <v>0</v>
      </c>
      <c r="V17" s="199"/>
      <c r="W17" s="199"/>
      <c r="Z17" s="626">
        <f t="shared" si="9"/>
        <v>10641126</v>
      </c>
    </row>
    <row r="18" spans="1:27" s="203" customFormat="1" ht="15" customHeight="1">
      <c r="A18" s="2268" t="s">
        <v>291</v>
      </c>
      <c r="B18" s="531" t="s">
        <v>1964</v>
      </c>
      <c r="C18" s="197" t="s">
        <v>1032</v>
      </c>
      <c r="D18" s="198" t="s">
        <v>1965</v>
      </c>
      <c r="E18" s="198">
        <v>2</v>
      </c>
      <c r="F18" s="197" t="s">
        <v>565</v>
      </c>
      <c r="G18" s="198">
        <v>9990001</v>
      </c>
      <c r="H18" s="204" t="s">
        <v>1506</v>
      </c>
      <c r="I18" s="199">
        <f>35000000-5000000-10000000</f>
        <v>20000000</v>
      </c>
      <c r="J18" s="2555">
        <v>22713534</v>
      </c>
      <c r="K18" s="2250">
        <f>29700000+300000-10000000</f>
        <v>20000000</v>
      </c>
      <c r="L18" s="199">
        <f t="shared" si="11"/>
        <v>20000000</v>
      </c>
      <c r="M18" s="199">
        <f>+L18+6000000+3000000</f>
        <v>29000000</v>
      </c>
      <c r="N18" s="199">
        <f>+M18</f>
        <v>29000000</v>
      </c>
      <c r="O18" s="199">
        <f t="shared" si="11"/>
        <v>29000000</v>
      </c>
      <c r="P18" s="626">
        <f>22984758+14930</f>
        <v>22999688</v>
      </c>
      <c r="Q18" s="200">
        <f t="shared" si="1"/>
        <v>0.79309268965517243</v>
      </c>
      <c r="R18" s="199">
        <f t="shared" si="2"/>
        <v>0</v>
      </c>
      <c r="S18" s="199">
        <f t="shared" si="3"/>
        <v>9000000</v>
      </c>
      <c r="T18" s="199">
        <f t="shared" si="4"/>
        <v>0</v>
      </c>
      <c r="U18" s="201">
        <f t="shared" si="5"/>
        <v>0</v>
      </c>
      <c r="V18" s="199">
        <f>+K18/1.27</f>
        <v>15748031.496062992</v>
      </c>
      <c r="W18" s="199">
        <f>+V18*0.27</f>
        <v>4251968.5039370079</v>
      </c>
      <c r="Z18" s="626">
        <f t="shared" si="9"/>
        <v>6000312</v>
      </c>
      <c r="AA18" s="1269">
        <f>22999688-P18</f>
        <v>0</v>
      </c>
    </row>
    <row r="19" spans="1:27" ht="25.5">
      <c r="A19" s="179" t="s">
        <v>31</v>
      </c>
      <c r="B19" s="213" t="s">
        <v>3919</v>
      </c>
      <c r="C19" s="213"/>
      <c r="D19" s="213"/>
      <c r="E19" s="213"/>
      <c r="F19" s="208"/>
      <c r="G19" s="208"/>
      <c r="H19" s="184"/>
      <c r="I19" s="209">
        <f>SUM(I17:I18)</f>
        <v>73000000</v>
      </c>
      <c r="J19" s="2549">
        <f>SUM(J17:J18)</f>
        <v>62928680</v>
      </c>
      <c r="K19" s="2347">
        <f t="shared" ref="K19:P19" si="12">SUM(K17:K18)</f>
        <v>73000000</v>
      </c>
      <c r="L19" s="209">
        <f t="shared" si="12"/>
        <v>73000000</v>
      </c>
      <c r="M19" s="209">
        <f t="shared" si="12"/>
        <v>79000000</v>
      </c>
      <c r="N19" s="209">
        <f t="shared" si="12"/>
        <v>79000000</v>
      </c>
      <c r="O19" s="209">
        <f t="shared" si="12"/>
        <v>79000000</v>
      </c>
      <c r="P19" s="245">
        <f t="shared" si="12"/>
        <v>62358562</v>
      </c>
      <c r="Q19" s="210">
        <f t="shared" si="1"/>
        <v>0.78934888607594933</v>
      </c>
      <c r="R19" s="209">
        <f t="shared" si="2"/>
        <v>0</v>
      </c>
      <c r="S19" s="209">
        <f t="shared" si="3"/>
        <v>6000000</v>
      </c>
      <c r="T19" s="209">
        <f t="shared" si="4"/>
        <v>0</v>
      </c>
      <c r="U19" s="211">
        <f t="shared" si="5"/>
        <v>0</v>
      </c>
      <c r="V19" s="209"/>
      <c r="W19" s="209"/>
      <c r="Z19" s="245">
        <f t="shared" si="9"/>
        <v>16641438</v>
      </c>
    </row>
    <row r="20" spans="1:27" ht="12.75" customHeight="1">
      <c r="A20" s="179" t="s">
        <v>33</v>
      </c>
      <c r="B20" s="214" t="s">
        <v>3726</v>
      </c>
      <c r="C20" s="180" t="s">
        <v>1012</v>
      </c>
      <c r="D20" s="190" t="s">
        <v>1966</v>
      </c>
      <c r="E20" s="190">
        <v>2</v>
      </c>
      <c r="F20" s="180" t="s">
        <v>1967</v>
      </c>
      <c r="G20" s="190">
        <v>9990001</v>
      </c>
      <c r="H20" s="180" t="s">
        <v>1506</v>
      </c>
      <c r="I20" s="192">
        <v>0</v>
      </c>
      <c r="J20" s="2550">
        <v>0</v>
      </c>
      <c r="K20" s="2219">
        <f>4000000-4000000</f>
        <v>0</v>
      </c>
      <c r="L20" s="192">
        <f t="shared" ref="L20:N36" si="13">+K20</f>
        <v>0</v>
      </c>
      <c r="M20" s="192">
        <f t="shared" si="13"/>
        <v>0</v>
      </c>
      <c r="N20" s="192">
        <f t="shared" si="13"/>
        <v>0</v>
      </c>
      <c r="O20" s="192">
        <f t="shared" ref="O20:O36" si="14">+N20</f>
        <v>0</v>
      </c>
      <c r="P20" s="538">
        <v>0</v>
      </c>
      <c r="Q20" s="193"/>
      <c r="R20" s="192">
        <f t="shared" si="2"/>
        <v>0</v>
      </c>
      <c r="S20" s="192">
        <f t="shared" si="3"/>
        <v>0</v>
      </c>
      <c r="T20" s="192">
        <f t="shared" si="4"/>
        <v>0</v>
      </c>
      <c r="U20" s="194">
        <f t="shared" si="5"/>
        <v>0</v>
      </c>
      <c r="V20" s="192">
        <f t="shared" ref="V20:V47" si="15">+K20/1.27</f>
        <v>0</v>
      </c>
      <c r="W20" s="192">
        <f t="shared" ref="W20:W32" si="16">+V20*0.27</f>
        <v>0</v>
      </c>
      <c r="Z20" s="538">
        <f t="shared" si="9"/>
        <v>0</v>
      </c>
    </row>
    <row r="21" spans="1:27" ht="12.75" customHeight="1">
      <c r="A21" s="179" t="s">
        <v>35</v>
      </c>
      <c r="B21" s="214" t="s">
        <v>113</v>
      </c>
      <c r="C21" s="180" t="s">
        <v>1012</v>
      </c>
      <c r="D21" s="190" t="s">
        <v>1968</v>
      </c>
      <c r="E21" s="190">
        <v>2</v>
      </c>
      <c r="F21" s="180" t="s">
        <v>1967</v>
      </c>
      <c r="G21" s="190">
        <v>9990001</v>
      </c>
      <c r="H21" s="180" t="s">
        <v>1506</v>
      </c>
      <c r="I21" s="192">
        <v>60000000</v>
      </c>
      <c r="J21" s="2550">
        <v>59907286</v>
      </c>
      <c r="K21" s="2219">
        <f>60000000-30000000+15500000+3500000</f>
        <v>49000000</v>
      </c>
      <c r="L21" s="192">
        <f t="shared" si="13"/>
        <v>49000000</v>
      </c>
      <c r="M21" s="192">
        <f>+L21+1000000</f>
        <v>50000000</v>
      </c>
      <c r="N21" s="192">
        <f t="shared" si="13"/>
        <v>50000000</v>
      </c>
      <c r="O21" s="192">
        <f t="shared" si="14"/>
        <v>50000000</v>
      </c>
      <c r="P21" s="538">
        <v>49860150</v>
      </c>
      <c r="Q21" s="193">
        <f t="shared" ref="Q21:Q29" si="17">+P21/N21</f>
        <v>0.99720299999999995</v>
      </c>
      <c r="R21" s="192">
        <f t="shared" si="2"/>
        <v>0</v>
      </c>
      <c r="S21" s="192">
        <f t="shared" si="3"/>
        <v>1000000</v>
      </c>
      <c r="T21" s="192">
        <f t="shared" si="4"/>
        <v>0</v>
      </c>
      <c r="U21" s="194">
        <f t="shared" si="5"/>
        <v>0</v>
      </c>
      <c r="V21" s="192">
        <f t="shared" si="15"/>
        <v>38582677.165354334</v>
      </c>
      <c r="W21" s="192">
        <f t="shared" si="16"/>
        <v>10417322.83464567</v>
      </c>
      <c r="Z21" s="538">
        <f t="shared" si="9"/>
        <v>139850</v>
      </c>
    </row>
    <row r="22" spans="1:27" ht="12.75" customHeight="1">
      <c r="A22" s="179" t="s">
        <v>37</v>
      </c>
      <c r="B22" s="214" t="s">
        <v>1969</v>
      </c>
      <c r="C22" s="180" t="s">
        <v>1012</v>
      </c>
      <c r="D22" s="190" t="s">
        <v>1970</v>
      </c>
      <c r="E22" s="190">
        <v>2</v>
      </c>
      <c r="F22" s="180" t="s">
        <v>1967</v>
      </c>
      <c r="G22" s="190">
        <v>9990001</v>
      </c>
      <c r="H22" s="180" t="s">
        <v>1506</v>
      </c>
      <c r="I22" s="192">
        <v>1000000</v>
      </c>
      <c r="J22" s="2550">
        <v>0</v>
      </c>
      <c r="K22" s="2219">
        <f>6500000-5000000</f>
        <v>1500000</v>
      </c>
      <c r="L22" s="192">
        <f>+K22+9500000</f>
        <v>11000000</v>
      </c>
      <c r="M22" s="192">
        <f t="shared" si="13"/>
        <v>11000000</v>
      </c>
      <c r="N22" s="192">
        <f t="shared" si="13"/>
        <v>11000000</v>
      </c>
      <c r="O22" s="192">
        <f t="shared" si="14"/>
        <v>11000000</v>
      </c>
      <c r="P22" s="538">
        <v>10992389</v>
      </c>
      <c r="Q22" s="193">
        <f t="shared" si="17"/>
        <v>0.9993080909090909</v>
      </c>
      <c r="R22" s="192">
        <f t="shared" si="2"/>
        <v>9500000</v>
      </c>
      <c r="S22" s="192">
        <f t="shared" si="3"/>
        <v>0</v>
      </c>
      <c r="T22" s="192">
        <f t="shared" si="4"/>
        <v>0</v>
      </c>
      <c r="U22" s="194">
        <f t="shared" si="5"/>
        <v>0</v>
      </c>
      <c r="V22" s="192">
        <f t="shared" si="15"/>
        <v>1181102.3622047245</v>
      </c>
      <c r="W22" s="192">
        <f t="shared" si="16"/>
        <v>318897.6377952756</v>
      </c>
      <c r="Z22" s="538">
        <f t="shared" si="9"/>
        <v>7611</v>
      </c>
    </row>
    <row r="23" spans="1:27" ht="12.75" customHeight="1">
      <c r="A23" s="179" t="s">
        <v>39</v>
      </c>
      <c r="B23" s="214" t="s">
        <v>1971</v>
      </c>
      <c r="C23" s="180" t="s">
        <v>1012</v>
      </c>
      <c r="D23" s="190" t="s">
        <v>1972</v>
      </c>
      <c r="E23" s="190">
        <v>2</v>
      </c>
      <c r="F23" s="180" t="s">
        <v>1967</v>
      </c>
      <c r="G23" s="190">
        <v>9990001</v>
      </c>
      <c r="H23" s="180" t="s">
        <v>1506</v>
      </c>
      <c r="I23" s="192">
        <f>160020+16000000-8000000</f>
        <v>8160020</v>
      </c>
      <c r="J23" s="2550">
        <v>8157633</v>
      </c>
      <c r="K23" s="2219">
        <f>18000000-10000000</f>
        <v>8000000</v>
      </c>
      <c r="L23" s="192">
        <f t="shared" si="13"/>
        <v>8000000</v>
      </c>
      <c r="M23" s="192">
        <f>+L23+93416</f>
        <v>8093416</v>
      </c>
      <c r="N23" s="192">
        <f t="shared" si="13"/>
        <v>8093416</v>
      </c>
      <c r="O23" s="192">
        <f t="shared" si="14"/>
        <v>8093416</v>
      </c>
      <c r="P23" s="538">
        <v>8093416</v>
      </c>
      <c r="Q23" s="193">
        <f t="shared" si="17"/>
        <v>1</v>
      </c>
      <c r="R23" s="192">
        <f t="shared" si="2"/>
        <v>0</v>
      </c>
      <c r="S23" s="192">
        <f t="shared" si="3"/>
        <v>93416</v>
      </c>
      <c r="T23" s="192">
        <f t="shared" si="4"/>
        <v>0</v>
      </c>
      <c r="U23" s="194">
        <f t="shared" si="5"/>
        <v>0</v>
      </c>
      <c r="V23" s="192">
        <f t="shared" si="15"/>
        <v>6299212.5984251965</v>
      </c>
      <c r="W23" s="192">
        <f t="shared" si="16"/>
        <v>1700787.4015748031</v>
      </c>
      <c r="Z23" s="538">
        <f t="shared" si="9"/>
        <v>0</v>
      </c>
    </row>
    <row r="24" spans="1:27" ht="12.75" customHeight="1">
      <c r="A24" s="179" t="s">
        <v>41</v>
      </c>
      <c r="B24" s="214" t="s">
        <v>99</v>
      </c>
      <c r="C24" s="180" t="s">
        <v>1012</v>
      </c>
      <c r="D24" s="190" t="s">
        <v>1973</v>
      </c>
      <c r="E24" s="190">
        <v>2</v>
      </c>
      <c r="F24" s="180" t="s">
        <v>1967</v>
      </c>
      <c r="G24" s="190">
        <v>9990001</v>
      </c>
      <c r="H24" s="180" t="s">
        <v>1506</v>
      </c>
      <c r="I24" s="192">
        <f>1937182+13000000-3000000</f>
        <v>11937182</v>
      </c>
      <c r="J24" s="2550">
        <v>11642103</v>
      </c>
      <c r="K24" s="2219">
        <f>20000000-15000000</f>
        <v>5000000</v>
      </c>
      <c r="L24" s="192">
        <f t="shared" si="13"/>
        <v>5000000</v>
      </c>
      <c r="M24" s="192">
        <f t="shared" si="13"/>
        <v>5000000</v>
      </c>
      <c r="N24" s="192">
        <f t="shared" si="13"/>
        <v>5000000</v>
      </c>
      <c r="O24" s="192">
        <f t="shared" si="14"/>
        <v>5000000</v>
      </c>
      <c r="P24" s="538">
        <v>4938343</v>
      </c>
      <c r="Q24" s="193">
        <f t="shared" si="17"/>
        <v>0.98766860000000001</v>
      </c>
      <c r="R24" s="192">
        <f t="shared" si="2"/>
        <v>0</v>
      </c>
      <c r="S24" s="192">
        <f t="shared" si="3"/>
        <v>0</v>
      </c>
      <c r="T24" s="192">
        <f t="shared" si="4"/>
        <v>0</v>
      </c>
      <c r="U24" s="194">
        <f t="shared" si="5"/>
        <v>0</v>
      </c>
      <c r="V24" s="192">
        <f t="shared" si="15"/>
        <v>3937007.874015748</v>
      </c>
      <c r="W24" s="192">
        <f t="shared" si="16"/>
        <v>1062992.125984252</v>
      </c>
      <c r="Z24" s="538">
        <f t="shared" si="9"/>
        <v>61657</v>
      </c>
    </row>
    <row r="25" spans="1:27" ht="12.75" customHeight="1">
      <c r="A25" s="179" t="s">
        <v>314</v>
      </c>
      <c r="B25" s="214" t="s">
        <v>1974</v>
      </c>
      <c r="C25" s="180" t="s">
        <v>1012</v>
      </c>
      <c r="D25" s="190" t="s">
        <v>1975</v>
      </c>
      <c r="E25" s="190">
        <v>2</v>
      </c>
      <c r="F25" s="180" t="s">
        <v>1967</v>
      </c>
      <c r="G25" s="190">
        <v>9990001</v>
      </c>
      <c r="H25" s="180" t="s">
        <v>1506</v>
      </c>
      <c r="I25" s="192">
        <v>3000000</v>
      </c>
      <c r="J25" s="2550">
        <v>2948940</v>
      </c>
      <c r="K25" s="2219">
        <f>6000000-3000000</f>
        <v>3000000</v>
      </c>
      <c r="L25" s="192">
        <f t="shared" si="13"/>
        <v>3000000</v>
      </c>
      <c r="M25" s="192">
        <f t="shared" si="13"/>
        <v>3000000</v>
      </c>
      <c r="N25" s="192">
        <f t="shared" si="13"/>
        <v>3000000</v>
      </c>
      <c r="O25" s="192">
        <f t="shared" si="14"/>
        <v>3000000</v>
      </c>
      <c r="P25" s="538">
        <v>2987040</v>
      </c>
      <c r="Q25" s="193">
        <f t="shared" si="17"/>
        <v>0.99568000000000001</v>
      </c>
      <c r="R25" s="192">
        <f t="shared" si="2"/>
        <v>0</v>
      </c>
      <c r="S25" s="192">
        <f t="shared" si="3"/>
        <v>0</v>
      </c>
      <c r="T25" s="192">
        <f t="shared" si="4"/>
        <v>0</v>
      </c>
      <c r="U25" s="194">
        <f t="shared" si="5"/>
        <v>0</v>
      </c>
      <c r="V25" s="192">
        <f t="shared" si="15"/>
        <v>2362204.7244094489</v>
      </c>
      <c r="W25" s="192">
        <f t="shared" si="16"/>
        <v>637795.2755905512</v>
      </c>
      <c r="Z25" s="538">
        <f t="shared" si="9"/>
        <v>12960</v>
      </c>
    </row>
    <row r="26" spans="1:27" ht="12.75" customHeight="1">
      <c r="A26" s="179" t="s">
        <v>402</v>
      </c>
      <c r="B26" s="214" t="s">
        <v>1976</v>
      </c>
      <c r="C26" s="180" t="s">
        <v>1012</v>
      </c>
      <c r="D26" s="190" t="s">
        <v>1977</v>
      </c>
      <c r="E26" s="190">
        <v>2</v>
      </c>
      <c r="F26" s="180" t="s">
        <v>1967</v>
      </c>
      <c r="G26" s="190">
        <v>9990001</v>
      </c>
      <c r="H26" s="180" t="s">
        <v>1978</v>
      </c>
      <c r="I26" s="192">
        <v>380000</v>
      </c>
      <c r="J26" s="2550">
        <v>1294836</v>
      </c>
      <c r="K26" s="2219">
        <f>1760000-1000000</f>
        <v>760000</v>
      </c>
      <c r="L26" s="192">
        <f t="shared" si="13"/>
        <v>760000</v>
      </c>
      <c r="M26" s="192">
        <f t="shared" si="13"/>
        <v>760000</v>
      </c>
      <c r="N26" s="192">
        <f>+M26+1227560+18545+49096</f>
        <v>2055201</v>
      </c>
      <c r="O26" s="192">
        <f t="shared" si="14"/>
        <v>2055201</v>
      </c>
      <c r="P26" s="538">
        <f>2121993-66792</f>
        <v>2055201</v>
      </c>
      <c r="Q26" s="193">
        <f t="shared" si="17"/>
        <v>1</v>
      </c>
      <c r="R26" s="192">
        <f t="shared" si="2"/>
        <v>0</v>
      </c>
      <c r="S26" s="192">
        <f t="shared" si="3"/>
        <v>0</v>
      </c>
      <c r="T26" s="192">
        <f t="shared" si="4"/>
        <v>1295201</v>
      </c>
      <c r="U26" s="194">
        <f t="shared" si="5"/>
        <v>0</v>
      </c>
      <c r="V26" s="192">
        <f t="shared" si="15"/>
        <v>598425.19685039367</v>
      </c>
      <c r="W26" s="192">
        <f t="shared" si="16"/>
        <v>161574.8031496063</v>
      </c>
      <c r="Z26" s="538">
        <f t="shared" si="9"/>
        <v>0</v>
      </c>
      <c r="AA26" s="172">
        <f>2055201-P26</f>
        <v>0</v>
      </c>
    </row>
    <row r="27" spans="1:27">
      <c r="A27" s="179" t="s">
        <v>404</v>
      </c>
      <c r="B27" s="214" t="s">
        <v>1979</v>
      </c>
      <c r="C27" s="180" t="s">
        <v>1012</v>
      </c>
      <c r="D27" s="190" t="s">
        <v>1980</v>
      </c>
      <c r="E27" s="190">
        <v>2</v>
      </c>
      <c r="F27" s="180" t="s">
        <v>1967</v>
      </c>
      <c r="G27" s="190">
        <v>9990001</v>
      </c>
      <c r="H27" s="180" t="s">
        <v>1981</v>
      </c>
      <c r="I27" s="192">
        <v>507000</v>
      </c>
      <c r="J27" s="2550">
        <v>411677</v>
      </c>
      <c r="K27" s="2219">
        <f>608400-101400</f>
        <v>507000</v>
      </c>
      <c r="L27" s="192">
        <f t="shared" si="13"/>
        <v>507000</v>
      </c>
      <c r="M27" s="192">
        <f t="shared" si="13"/>
        <v>507000</v>
      </c>
      <c r="N27" s="192">
        <f t="shared" si="13"/>
        <v>507000</v>
      </c>
      <c r="O27" s="192">
        <f t="shared" si="14"/>
        <v>507000</v>
      </c>
      <c r="P27" s="538">
        <v>367461</v>
      </c>
      <c r="Q27" s="193">
        <f t="shared" si="17"/>
        <v>0.72477514792899411</v>
      </c>
      <c r="R27" s="192">
        <f t="shared" si="2"/>
        <v>0</v>
      </c>
      <c r="S27" s="192">
        <f t="shared" si="3"/>
        <v>0</v>
      </c>
      <c r="T27" s="192">
        <f t="shared" si="4"/>
        <v>0</v>
      </c>
      <c r="U27" s="194">
        <f t="shared" si="5"/>
        <v>0</v>
      </c>
      <c r="V27" s="192">
        <f t="shared" si="15"/>
        <v>399212.59842519683</v>
      </c>
      <c r="W27" s="192">
        <f t="shared" si="16"/>
        <v>107787.40157480315</v>
      </c>
      <c r="Z27" s="538">
        <f t="shared" si="9"/>
        <v>139539</v>
      </c>
    </row>
    <row r="28" spans="1:27" ht="12.75" customHeight="1">
      <c r="A28" s="179" t="s">
        <v>407</v>
      </c>
      <c r="B28" s="214" t="s">
        <v>1982</v>
      </c>
      <c r="C28" s="180" t="s">
        <v>1012</v>
      </c>
      <c r="D28" s="190" t="s">
        <v>1983</v>
      </c>
      <c r="E28" s="190">
        <v>2</v>
      </c>
      <c r="F28" s="180" t="s">
        <v>1967</v>
      </c>
      <c r="G28" s="190">
        <v>9990001</v>
      </c>
      <c r="H28" s="180" t="s">
        <v>1506</v>
      </c>
      <c r="I28" s="192">
        <v>1000000</v>
      </c>
      <c r="J28" s="2550">
        <v>999566</v>
      </c>
      <c r="K28" s="2219">
        <f>2000000-1000000-500000</f>
        <v>500000</v>
      </c>
      <c r="L28" s="192">
        <f t="shared" si="13"/>
        <v>500000</v>
      </c>
      <c r="M28" s="192">
        <f t="shared" si="13"/>
        <v>500000</v>
      </c>
      <c r="N28" s="192">
        <f t="shared" si="13"/>
        <v>500000</v>
      </c>
      <c r="O28" s="192">
        <f t="shared" si="14"/>
        <v>500000</v>
      </c>
      <c r="P28" s="538">
        <v>499783</v>
      </c>
      <c r="Q28" s="193">
        <f t="shared" si="17"/>
        <v>0.99956599999999995</v>
      </c>
      <c r="R28" s="192">
        <f t="shared" si="2"/>
        <v>0</v>
      </c>
      <c r="S28" s="192">
        <f t="shared" si="3"/>
        <v>0</v>
      </c>
      <c r="T28" s="192">
        <f t="shared" si="4"/>
        <v>0</v>
      </c>
      <c r="U28" s="194">
        <f t="shared" si="5"/>
        <v>0</v>
      </c>
      <c r="V28" s="192">
        <f t="shared" si="15"/>
        <v>393700.78740157478</v>
      </c>
      <c r="W28" s="192">
        <f t="shared" si="16"/>
        <v>106299.21259842519</v>
      </c>
      <c r="Z28" s="538">
        <f t="shared" si="9"/>
        <v>217</v>
      </c>
    </row>
    <row r="29" spans="1:27" ht="12.75" customHeight="1">
      <c r="A29" s="179" t="s">
        <v>409</v>
      </c>
      <c r="B29" s="214" t="s">
        <v>1984</v>
      </c>
      <c r="C29" s="180" t="s">
        <v>1012</v>
      </c>
      <c r="D29" s="190" t="s">
        <v>1985</v>
      </c>
      <c r="E29" s="190">
        <v>2</v>
      </c>
      <c r="F29" s="180" t="s">
        <v>1967</v>
      </c>
      <c r="G29" s="190">
        <v>9990001</v>
      </c>
      <c r="H29" s="180" t="s">
        <v>1986</v>
      </c>
      <c r="I29" s="192">
        <v>200000</v>
      </c>
      <c r="J29" s="2550">
        <v>0</v>
      </c>
      <c r="K29" s="2219">
        <f>200000-200000</f>
        <v>0</v>
      </c>
      <c r="L29" s="192">
        <f t="shared" si="13"/>
        <v>0</v>
      </c>
      <c r="M29" s="192">
        <f t="shared" si="13"/>
        <v>0</v>
      </c>
      <c r="N29" s="192">
        <f>+M29+99809</f>
        <v>99809</v>
      </c>
      <c r="O29" s="192">
        <f t="shared" si="14"/>
        <v>99809</v>
      </c>
      <c r="P29" s="538">
        <v>99809</v>
      </c>
      <c r="Q29" s="193">
        <f t="shared" si="17"/>
        <v>1</v>
      </c>
      <c r="R29" s="192">
        <f t="shared" si="2"/>
        <v>0</v>
      </c>
      <c r="S29" s="192">
        <f t="shared" si="3"/>
        <v>0</v>
      </c>
      <c r="T29" s="192">
        <f t="shared" si="4"/>
        <v>99809</v>
      </c>
      <c r="U29" s="194">
        <f t="shared" si="5"/>
        <v>0</v>
      </c>
      <c r="V29" s="192">
        <f t="shared" si="15"/>
        <v>0</v>
      </c>
      <c r="W29" s="192">
        <f t="shared" si="16"/>
        <v>0</v>
      </c>
      <c r="Z29" s="538">
        <f t="shared" si="9"/>
        <v>0</v>
      </c>
    </row>
    <row r="30" spans="1:27" ht="12.75" customHeight="1">
      <c r="A30" s="179" t="s">
        <v>410</v>
      </c>
      <c r="B30" s="214" t="s">
        <v>1987</v>
      </c>
      <c r="C30" s="180" t="s">
        <v>1012</v>
      </c>
      <c r="D30" s="190" t="s">
        <v>1988</v>
      </c>
      <c r="E30" s="190">
        <v>2</v>
      </c>
      <c r="F30" s="180" t="s">
        <v>1967</v>
      </c>
      <c r="G30" s="190">
        <v>9990001</v>
      </c>
      <c r="H30" s="180" t="s">
        <v>1989</v>
      </c>
      <c r="I30" s="192">
        <v>1000000</v>
      </c>
      <c r="J30" s="2550">
        <v>1161576</v>
      </c>
      <c r="K30" s="2219">
        <f>1200000</f>
        <v>1200000</v>
      </c>
      <c r="L30" s="192">
        <f t="shared" si="13"/>
        <v>1200000</v>
      </c>
      <c r="M30" s="192">
        <f t="shared" si="13"/>
        <v>1200000</v>
      </c>
      <c r="N30" s="192">
        <f>+M30+61719</f>
        <v>1261719</v>
      </c>
      <c r="O30" s="192">
        <f t="shared" si="14"/>
        <v>1261719</v>
      </c>
      <c r="P30" s="538">
        <v>1261719</v>
      </c>
      <c r="Q30" s="193">
        <f t="shared" ref="Q30:Q77" si="18">+P30/N30</f>
        <v>1</v>
      </c>
      <c r="R30" s="192">
        <f t="shared" si="2"/>
        <v>0</v>
      </c>
      <c r="S30" s="192">
        <f t="shared" si="3"/>
        <v>0</v>
      </c>
      <c r="T30" s="192">
        <f t="shared" si="4"/>
        <v>61719</v>
      </c>
      <c r="U30" s="194">
        <f t="shared" si="5"/>
        <v>0</v>
      </c>
      <c r="V30" s="192">
        <f t="shared" si="15"/>
        <v>944881.88976377947</v>
      </c>
      <c r="W30" s="192">
        <f t="shared" si="16"/>
        <v>255118.11023622047</v>
      </c>
      <c r="Z30" s="538">
        <f t="shared" si="9"/>
        <v>0</v>
      </c>
    </row>
    <row r="31" spans="1:27" ht="12.75" customHeight="1">
      <c r="A31" s="179" t="s">
        <v>411</v>
      </c>
      <c r="B31" s="214" t="s">
        <v>1990</v>
      </c>
      <c r="C31" s="180" t="s">
        <v>1012</v>
      </c>
      <c r="D31" s="190" t="s">
        <v>1991</v>
      </c>
      <c r="E31" s="190">
        <v>2</v>
      </c>
      <c r="F31" s="180" t="s">
        <v>1967</v>
      </c>
      <c r="G31" s="190">
        <v>9990001</v>
      </c>
      <c r="H31" s="180" t="s">
        <v>1981</v>
      </c>
      <c r="I31" s="192">
        <f>1963102+4600000-1000000</f>
        <v>5563102</v>
      </c>
      <c r="J31" s="2550">
        <v>3101533</v>
      </c>
      <c r="K31" s="2219">
        <f>18000000-15500000</f>
        <v>2500000</v>
      </c>
      <c r="L31" s="192">
        <f t="shared" si="13"/>
        <v>2500000</v>
      </c>
      <c r="M31" s="192">
        <f t="shared" si="13"/>
        <v>2500000</v>
      </c>
      <c r="N31" s="192">
        <f t="shared" si="13"/>
        <v>2500000</v>
      </c>
      <c r="O31" s="192">
        <f t="shared" si="14"/>
        <v>2500000</v>
      </c>
      <c r="P31" s="538">
        <f>2139721-1903</f>
        <v>2137818</v>
      </c>
      <c r="Q31" s="193">
        <f t="shared" si="18"/>
        <v>0.85512719999999998</v>
      </c>
      <c r="R31" s="192">
        <f t="shared" si="2"/>
        <v>0</v>
      </c>
      <c r="S31" s="192">
        <f t="shared" si="3"/>
        <v>0</v>
      </c>
      <c r="T31" s="192">
        <f t="shared" si="4"/>
        <v>0</v>
      </c>
      <c r="U31" s="194">
        <f t="shared" si="5"/>
        <v>0</v>
      </c>
      <c r="V31" s="192">
        <f t="shared" si="15"/>
        <v>1968503.937007874</v>
      </c>
      <c r="W31" s="192">
        <f t="shared" si="16"/>
        <v>531496.06299212598</v>
      </c>
      <c r="Z31" s="538">
        <f t="shared" si="9"/>
        <v>362182</v>
      </c>
      <c r="AA31" s="172">
        <f>2137818-P31</f>
        <v>0</v>
      </c>
    </row>
    <row r="32" spans="1:27" ht="12.75" customHeight="1">
      <c r="A32" s="179" t="s">
        <v>412</v>
      </c>
      <c r="B32" s="214" t="s">
        <v>1992</v>
      </c>
      <c r="C32" s="180" t="s">
        <v>1012</v>
      </c>
      <c r="D32" s="190" t="s">
        <v>1993</v>
      </c>
      <c r="E32" s="190">
        <v>2</v>
      </c>
      <c r="F32" s="180" t="s">
        <v>1967</v>
      </c>
      <c r="G32" s="190">
        <v>9990001</v>
      </c>
      <c r="H32" s="180" t="s">
        <v>1506</v>
      </c>
      <c r="I32" s="192">
        <f>9264222-2000000-2000000</f>
        <v>5264222</v>
      </c>
      <c r="J32" s="2550">
        <v>15665532</v>
      </c>
      <c r="K32" s="2219">
        <f>12000000-10000000</f>
        <v>2000000</v>
      </c>
      <c r="L32" s="192">
        <f t="shared" si="13"/>
        <v>2000000</v>
      </c>
      <c r="M32" s="192">
        <f>+L32+790788+2083562+6731000</f>
        <v>11605350</v>
      </c>
      <c r="N32" s="192">
        <f t="shared" si="13"/>
        <v>11605350</v>
      </c>
      <c r="O32" s="192">
        <f t="shared" si="14"/>
        <v>11605350</v>
      </c>
      <c r="P32" s="538">
        <f>4111198+6731000</f>
        <v>10842198</v>
      </c>
      <c r="Q32" s="193">
        <f t="shared" si="18"/>
        <v>0.93424136281973402</v>
      </c>
      <c r="R32" s="192">
        <f t="shared" si="2"/>
        <v>0</v>
      </c>
      <c r="S32" s="192">
        <f t="shared" si="3"/>
        <v>9605350</v>
      </c>
      <c r="T32" s="192">
        <f t="shared" si="4"/>
        <v>0</v>
      </c>
      <c r="U32" s="194">
        <f t="shared" si="5"/>
        <v>0</v>
      </c>
      <c r="V32" s="192">
        <f t="shared" si="15"/>
        <v>1574803.1496062991</v>
      </c>
      <c r="W32" s="192">
        <f t="shared" si="16"/>
        <v>425196.85039370076</v>
      </c>
      <c r="Z32" s="538">
        <f t="shared" si="9"/>
        <v>763152</v>
      </c>
      <c r="AA32" s="172">
        <f>10842198-P32</f>
        <v>0</v>
      </c>
    </row>
    <row r="33" spans="1:35" ht="12.75" customHeight="1">
      <c r="A33" s="179" t="s">
        <v>413</v>
      </c>
      <c r="B33" s="214" t="s">
        <v>92</v>
      </c>
      <c r="C33" s="180" t="s">
        <v>1012</v>
      </c>
      <c r="D33" s="190" t="s">
        <v>1994</v>
      </c>
      <c r="E33" s="190">
        <v>2</v>
      </c>
      <c r="F33" s="180" t="s">
        <v>1967</v>
      </c>
      <c r="G33" s="190">
        <v>9990001</v>
      </c>
      <c r="H33" s="180" t="s">
        <v>1506</v>
      </c>
      <c r="I33" s="192">
        <v>2000000</v>
      </c>
      <c r="J33" s="2550">
        <v>491372</v>
      </c>
      <c r="K33" s="2219">
        <f>4000000-3000000</f>
        <v>1000000</v>
      </c>
      <c r="L33" s="192">
        <f t="shared" si="13"/>
        <v>1000000</v>
      </c>
      <c r="M33" s="192">
        <f t="shared" si="13"/>
        <v>1000000</v>
      </c>
      <c r="N33" s="192">
        <f t="shared" si="13"/>
        <v>1000000</v>
      </c>
      <c r="O33" s="192">
        <f t="shared" si="14"/>
        <v>1000000</v>
      </c>
      <c r="P33" s="538">
        <v>967726</v>
      </c>
      <c r="Q33" s="193">
        <f t="shared" si="18"/>
        <v>0.96772599999999998</v>
      </c>
      <c r="R33" s="192">
        <f t="shared" si="2"/>
        <v>0</v>
      </c>
      <c r="S33" s="192">
        <f t="shared" si="3"/>
        <v>0</v>
      </c>
      <c r="T33" s="192">
        <f t="shared" si="4"/>
        <v>0</v>
      </c>
      <c r="U33" s="194">
        <f t="shared" si="5"/>
        <v>0</v>
      </c>
      <c r="V33" s="192">
        <f t="shared" si="15"/>
        <v>787401.57480314956</v>
      </c>
      <c r="W33" s="192"/>
      <c r="Z33" s="538">
        <f t="shared" si="9"/>
        <v>32274</v>
      </c>
    </row>
    <row r="34" spans="1:35" ht="12.75" customHeight="1">
      <c r="A34" s="179" t="s">
        <v>417</v>
      </c>
      <c r="B34" s="214" t="s">
        <v>1995</v>
      </c>
      <c r="C34" s="180" t="s">
        <v>1012</v>
      </c>
      <c r="D34" s="190" t="s">
        <v>1996</v>
      </c>
      <c r="E34" s="190">
        <v>2</v>
      </c>
      <c r="F34" s="180" t="s">
        <v>1967</v>
      </c>
      <c r="G34" s="190">
        <v>9990001</v>
      </c>
      <c r="H34" s="180" t="s">
        <v>1506</v>
      </c>
      <c r="I34" s="192">
        <f>1264222+2735778</f>
        <v>4000000</v>
      </c>
      <c r="J34" s="2550">
        <v>3983888</v>
      </c>
      <c r="K34" s="2219">
        <f>4000000-2000000</f>
        <v>2000000</v>
      </c>
      <c r="L34" s="192">
        <f t="shared" si="13"/>
        <v>2000000</v>
      </c>
      <c r="M34" s="192">
        <f t="shared" si="13"/>
        <v>2000000</v>
      </c>
      <c r="N34" s="192">
        <f t="shared" si="13"/>
        <v>2000000</v>
      </c>
      <c r="O34" s="192">
        <f t="shared" si="14"/>
        <v>2000000</v>
      </c>
      <c r="P34" s="538">
        <v>2000000</v>
      </c>
      <c r="Q34" s="193">
        <f t="shared" si="18"/>
        <v>1</v>
      </c>
      <c r="R34" s="192">
        <f t="shared" si="2"/>
        <v>0</v>
      </c>
      <c r="S34" s="192">
        <f t="shared" si="3"/>
        <v>0</v>
      </c>
      <c r="T34" s="192">
        <f t="shared" si="4"/>
        <v>0</v>
      </c>
      <c r="U34" s="194">
        <f t="shared" si="5"/>
        <v>0</v>
      </c>
      <c r="V34" s="192">
        <f t="shared" si="15"/>
        <v>1574803.1496062991</v>
      </c>
      <c r="W34" s="192">
        <f>+V34*0.27</f>
        <v>425196.85039370076</v>
      </c>
      <c r="Z34" s="538">
        <f t="shared" si="9"/>
        <v>0</v>
      </c>
    </row>
    <row r="35" spans="1:35" ht="12.75" customHeight="1">
      <c r="A35" s="179" t="s">
        <v>450</v>
      </c>
      <c r="B35" s="214" t="s">
        <v>3311</v>
      </c>
      <c r="C35" s="180"/>
      <c r="D35" s="190"/>
      <c r="E35" s="190">
        <v>2</v>
      </c>
      <c r="F35" s="180"/>
      <c r="G35" s="190"/>
      <c r="H35" s="180"/>
      <c r="I35" s="192">
        <v>1000000</v>
      </c>
      <c r="J35" s="2550">
        <v>0</v>
      </c>
      <c r="K35" s="2219">
        <f>2000000-1500000</f>
        <v>500000</v>
      </c>
      <c r="L35" s="192">
        <f t="shared" si="13"/>
        <v>500000</v>
      </c>
      <c r="M35" s="192">
        <f t="shared" si="13"/>
        <v>500000</v>
      </c>
      <c r="N35" s="192">
        <f t="shared" si="13"/>
        <v>500000</v>
      </c>
      <c r="O35" s="192">
        <f t="shared" si="14"/>
        <v>500000</v>
      </c>
      <c r="P35" s="538">
        <v>0</v>
      </c>
      <c r="Q35" s="193">
        <f t="shared" si="18"/>
        <v>0</v>
      </c>
      <c r="R35" s="192">
        <f t="shared" si="2"/>
        <v>0</v>
      </c>
      <c r="S35" s="192">
        <f t="shared" si="3"/>
        <v>0</v>
      </c>
      <c r="T35" s="192">
        <f t="shared" si="4"/>
        <v>0</v>
      </c>
      <c r="U35" s="194">
        <f t="shared" si="5"/>
        <v>0</v>
      </c>
      <c r="V35" s="192">
        <f t="shared" si="15"/>
        <v>393700.78740157478</v>
      </c>
      <c r="W35" s="192">
        <f>+V35*0.27</f>
        <v>106299.21259842519</v>
      </c>
      <c r="Z35" s="538">
        <f t="shared" si="9"/>
        <v>500000</v>
      </c>
      <c r="AI35" s="172">
        <f>+P45-2962324</f>
        <v>0</v>
      </c>
    </row>
    <row r="36" spans="1:35" ht="12.75" hidden="1" customHeight="1">
      <c r="A36" s="179"/>
      <c r="B36" s="214" t="s">
        <v>1997</v>
      </c>
      <c r="C36" s="180"/>
      <c r="D36" s="190"/>
      <c r="E36" s="190">
        <v>2</v>
      </c>
      <c r="F36" s="180"/>
      <c r="G36" s="190"/>
      <c r="H36" s="180"/>
      <c r="I36" s="192">
        <f>2000-2000</f>
        <v>0</v>
      </c>
      <c r="J36" s="2550">
        <v>0</v>
      </c>
      <c r="K36" s="2219">
        <f>2000-2000</f>
        <v>0</v>
      </c>
      <c r="L36" s="192">
        <f t="shared" si="13"/>
        <v>0</v>
      </c>
      <c r="M36" s="192">
        <f t="shared" si="13"/>
        <v>0</v>
      </c>
      <c r="N36" s="192">
        <f t="shared" si="13"/>
        <v>0</v>
      </c>
      <c r="O36" s="192">
        <f t="shared" si="14"/>
        <v>0</v>
      </c>
      <c r="P36" s="538">
        <f>+O36</f>
        <v>0</v>
      </c>
      <c r="Q36" s="193" t="e">
        <f t="shared" si="18"/>
        <v>#DIV/0!</v>
      </c>
      <c r="R36" s="192">
        <f t="shared" si="2"/>
        <v>0</v>
      </c>
      <c r="S36" s="192">
        <f t="shared" si="3"/>
        <v>0</v>
      </c>
      <c r="T36" s="192">
        <f t="shared" si="4"/>
        <v>0</v>
      </c>
      <c r="U36" s="194">
        <f t="shared" si="5"/>
        <v>0</v>
      </c>
      <c r="V36" s="192">
        <f t="shared" si="15"/>
        <v>0</v>
      </c>
      <c r="W36" s="192">
        <f>+V36*0.27</f>
        <v>0</v>
      </c>
      <c r="Z36" s="538">
        <f t="shared" si="9"/>
        <v>0</v>
      </c>
    </row>
    <row r="37" spans="1:35">
      <c r="A37" s="179" t="s">
        <v>1379</v>
      </c>
      <c r="B37" s="208" t="s">
        <v>3920</v>
      </c>
      <c r="C37" s="208"/>
      <c r="D37" s="208"/>
      <c r="E37" s="208"/>
      <c r="F37" s="208"/>
      <c r="G37" s="208"/>
      <c r="H37" s="184"/>
      <c r="I37" s="209">
        <f>SUM(I20:I36)</f>
        <v>105011526</v>
      </c>
      <c r="J37" s="2549">
        <f>SUM(J20:J36)</f>
        <v>109765942</v>
      </c>
      <c r="K37" s="2347">
        <f t="shared" ref="K37:P37" si="19">SUM(K20:K36)</f>
        <v>77467000</v>
      </c>
      <c r="L37" s="209">
        <f t="shared" si="19"/>
        <v>86967000</v>
      </c>
      <c r="M37" s="209">
        <f t="shared" si="19"/>
        <v>97665766</v>
      </c>
      <c r="N37" s="209">
        <f t="shared" si="19"/>
        <v>99122495</v>
      </c>
      <c r="O37" s="209">
        <f t="shared" si="19"/>
        <v>99122495</v>
      </c>
      <c r="P37" s="245">
        <f t="shared" si="19"/>
        <v>97103053</v>
      </c>
      <c r="Q37" s="210">
        <f t="shared" si="18"/>
        <v>0.97962680418809067</v>
      </c>
      <c r="R37" s="209">
        <f>SUM(R20:R36)</f>
        <v>9500000</v>
      </c>
      <c r="S37" s="209">
        <f>SUM(S20:S36)</f>
        <v>10698766</v>
      </c>
      <c r="T37" s="209">
        <f>SUM(T20:T36)</f>
        <v>1456729</v>
      </c>
      <c r="U37" s="209">
        <f>SUM(U20:U36)</f>
        <v>0</v>
      </c>
      <c r="V37" s="192">
        <f t="shared" si="15"/>
        <v>60997637.795275591</v>
      </c>
      <c r="W37" s="209"/>
      <c r="Z37" s="245">
        <f t="shared" si="9"/>
        <v>2019442</v>
      </c>
    </row>
    <row r="38" spans="1:35">
      <c r="A38" s="179" t="s">
        <v>619</v>
      </c>
      <c r="B38" s="214" t="s">
        <v>1998</v>
      </c>
      <c r="C38" s="180" t="s">
        <v>736</v>
      </c>
      <c r="D38" s="190" t="s">
        <v>1999</v>
      </c>
      <c r="E38" s="190">
        <v>2</v>
      </c>
      <c r="F38" s="180" t="s">
        <v>751</v>
      </c>
      <c r="G38" s="180" t="s">
        <v>788</v>
      </c>
      <c r="H38" s="180" t="s">
        <v>1525</v>
      </c>
      <c r="I38" s="192">
        <v>34656637</v>
      </c>
      <c r="J38" s="2550">
        <v>30406901</v>
      </c>
      <c r="K38" s="2219">
        <f>31350359</f>
        <v>31350359</v>
      </c>
      <c r="L38" s="192">
        <f t="shared" ref="L38:L47" si="20">+K38</f>
        <v>31350359</v>
      </c>
      <c r="M38" s="192">
        <f t="shared" ref="M38:M47" si="21">+L38</f>
        <v>31350359</v>
      </c>
      <c r="N38" s="192">
        <f>+M38-345414</f>
        <v>31004945</v>
      </c>
      <c r="O38" s="192">
        <f t="shared" ref="O38:O47" si="22">+N38</f>
        <v>31004945</v>
      </c>
      <c r="P38" s="538">
        <v>30119958</v>
      </c>
      <c r="Q38" s="193">
        <f t="shared" si="18"/>
        <v>0.971456585393072</v>
      </c>
      <c r="R38" s="192">
        <f t="shared" ref="R38:R59" si="23">+L38-K38</f>
        <v>0</v>
      </c>
      <c r="S38" s="192">
        <f t="shared" ref="S38:S59" si="24">+M38-L38</f>
        <v>0</v>
      </c>
      <c r="T38" s="192">
        <f t="shared" ref="T38:T55" si="25">+N38-M38</f>
        <v>-345414</v>
      </c>
      <c r="U38" s="194">
        <f t="shared" ref="U38:U55" si="26">+O38-N38</f>
        <v>0</v>
      </c>
      <c r="V38" s="192">
        <f t="shared" si="15"/>
        <v>24685322.047244094</v>
      </c>
      <c r="W38" s="192">
        <v>0</v>
      </c>
      <c r="Z38" s="538">
        <f t="shared" si="9"/>
        <v>884987</v>
      </c>
    </row>
    <row r="39" spans="1:35">
      <c r="A39" s="179" t="s">
        <v>629</v>
      </c>
      <c r="B39" s="214" t="s">
        <v>100</v>
      </c>
      <c r="C39" s="180" t="s">
        <v>736</v>
      </c>
      <c r="D39" s="190" t="s">
        <v>2000</v>
      </c>
      <c r="E39" s="190">
        <v>2</v>
      </c>
      <c r="F39" s="180" t="s">
        <v>751</v>
      </c>
      <c r="G39" s="180" t="s">
        <v>788</v>
      </c>
      <c r="H39" s="180" t="s">
        <v>1525</v>
      </c>
      <c r="I39" s="192">
        <v>11855983</v>
      </c>
      <c r="J39" s="2550">
        <v>5524621</v>
      </c>
      <c r="K39" s="2219">
        <f>18588680-10000000</f>
        <v>8588680</v>
      </c>
      <c r="L39" s="192">
        <f t="shared" si="20"/>
        <v>8588680</v>
      </c>
      <c r="M39" s="192">
        <f t="shared" si="21"/>
        <v>8588680</v>
      </c>
      <c r="N39" s="192">
        <f>+M39+345414</f>
        <v>8934094</v>
      </c>
      <c r="O39" s="192">
        <f t="shared" si="22"/>
        <v>8934094</v>
      </c>
      <c r="P39" s="538">
        <v>8934094</v>
      </c>
      <c r="Q39" s="193">
        <f t="shared" si="18"/>
        <v>1</v>
      </c>
      <c r="R39" s="192">
        <f t="shared" si="23"/>
        <v>0</v>
      </c>
      <c r="S39" s="192">
        <f t="shared" si="24"/>
        <v>0</v>
      </c>
      <c r="T39" s="192">
        <f t="shared" si="25"/>
        <v>345414</v>
      </c>
      <c r="U39" s="194">
        <f t="shared" si="26"/>
        <v>0</v>
      </c>
      <c r="V39" s="192">
        <f t="shared" si="15"/>
        <v>6762740.1574803153</v>
      </c>
      <c r="W39" s="192">
        <v>0</v>
      </c>
      <c r="Z39" s="538">
        <f t="shared" si="9"/>
        <v>0</v>
      </c>
    </row>
    <row r="40" spans="1:35" s="203" customFormat="1" ht="13.5" hidden="1">
      <c r="A40" s="230" t="s">
        <v>3688</v>
      </c>
      <c r="B40" s="530" t="s">
        <v>3685</v>
      </c>
      <c r="C40" s="197" t="s">
        <v>736</v>
      </c>
      <c r="D40" s="198" t="s">
        <v>3682</v>
      </c>
      <c r="E40" s="198">
        <v>2</v>
      </c>
      <c r="F40" s="197" t="s">
        <v>751</v>
      </c>
      <c r="G40" s="197" t="s">
        <v>788</v>
      </c>
      <c r="H40" s="197" t="s">
        <v>1494</v>
      </c>
      <c r="I40" s="192">
        <v>0</v>
      </c>
      <c r="J40" s="2550">
        <v>0</v>
      </c>
      <c r="K40" s="2219"/>
      <c r="L40" s="192">
        <f t="shared" si="20"/>
        <v>0</v>
      </c>
      <c r="M40" s="192">
        <f t="shared" si="21"/>
        <v>0</v>
      </c>
      <c r="N40" s="199">
        <f t="shared" ref="N40:N47" si="27">+M40</f>
        <v>0</v>
      </c>
      <c r="O40" s="199">
        <f t="shared" si="22"/>
        <v>0</v>
      </c>
      <c r="P40" s="626"/>
      <c r="Q40" s="193" t="e">
        <f t="shared" si="18"/>
        <v>#DIV/0!</v>
      </c>
      <c r="R40" s="199">
        <f t="shared" si="23"/>
        <v>0</v>
      </c>
      <c r="S40" s="199">
        <f t="shared" si="24"/>
        <v>0</v>
      </c>
      <c r="T40" s="199">
        <f t="shared" si="25"/>
        <v>0</v>
      </c>
      <c r="U40" s="201">
        <f t="shared" si="26"/>
        <v>0</v>
      </c>
      <c r="V40" s="192">
        <f t="shared" si="15"/>
        <v>0</v>
      </c>
      <c r="W40" s="192">
        <f t="shared" ref="W40:W47" si="28">+V40*0.27</f>
        <v>0</v>
      </c>
      <c r="Z40" s="626">
        <f t="shared" si="9"/>
        <v>0</v>
      </c>
    </row>
    <row r="41" spans="1:35" s="203" customFormat="1" ht="13.5" hidden="1">
      <c r="A41" s="230" t="s">
        <v>3688</v>
      </c>
      <c r="B41" s="530" t="s">
        <v>3686</v>
      </c>
      <c r="C41" s="197" t="s">
        <v>736</v>
      </c>
      <c r="D41" s="198" t="s">
        <v>3683</v>
      </c>
      <c r="E41" s="198">
        <v>2</v>
      </c>
      <c r="F41" s="197" t="s">
        <v>751</v>
      </c>
      <c r="G41" s="197" t="s">
        <v>788</v>
      </c>
      <c r="H41" s="197" t="s">
        <v>1496</v>
      </c>
      <c r="I41" s="192">
        <v>0</v>
      </c>
      <c r="J41" s="2550">
        <v>0</v>
      </c>
      <c r="K41" s="2219"/>
      <c r="L41" s="192">
        <f t="shared" si="20"/>
        <v>0</v>
      </c>
      <c r="M41" s="192">
        <f t="shared" si="21"/>
        <v>0</v>
      </c>
      <c r="N41" s="199">
        <f t="shared" si="27"/>
        <v>0</v>
      </c>
      <c r="O41" s="199">
        <f t="shared" si="22"/>
        <v>0</v>
      </c>
      <c r="P41" s="626"/>
      <c r="Q41" s="193" t="e">
        <f t="shared" si="18"/>
        <v>#DIV/0!</v>
      </c>
      <c r="R41" s="199">
        <f t="shared" si="23"/>
        <v>0</v>
      </c>
      <c r="S41" s="199">
        <f t="shared" si="24"/>
        <v>0</v>
      </c>
      <c r="T41" s="199">
        <f t="shared" si="25"/>
        <v>0</v>
      </c>
      <c r="U41" s="201">
        <f t="shared" si="26"/>
        <v>0</v>
      </c>
      <c r="V41" s="192">
        <f t="shared" si="15"/>
        <v>0</v>
      </c>
      <c r="W41" s="192">
        <f t="shared" si="28"/>
        <v>0</v>
      </c>
      <c r="Z41" s="626">
        <f t="shared" si="9"/>
        <v>0</v>
      </c>
    </row>
    <row r="42" spans="1:35" s="203" customFormat="1" ht="13.5" hidden="1">
      <c r="A42" s="230" t="s">
        <v>3688</v>
      </c>
      <c r="B42" s="530" t="s">
        <v>3687</v>
      </c>
      <c r="C42" s="197" t="s">
        <v>736</v>
      </c>
      <c r="D42" s="198" t="s">
        <v>3684</v>
      </c>
      <c r="E42" s="198">
        <v>2</v>
      </c>
      <c r="F42" s="197" t="s">
        <v>751</v>
      </c>
      <c r="G42" s="197" t="s">
        <v>788</v>
      </c>
      <c r="H42" s="197" t="s">
        <v>1498</v>
      </c>
      <c r="I42" s="192">
        <v>0</v>
      </c>
      <c r="J42" s="2550">
        <v>0</v>
      </c>
      <c r="K42" s="2219"/>
      <c r="L42" s="192">
        <f t="shared" si="20"/>
        <v>0</v>
      </c>
      <c r="M42" s="192">
        <f t="shared" si="21"/>
        <v>0</v>
      </c>
      <c r="N42" s="199">
        <f t="shared" si="27"/>
        <v>0</v>
      </c>
      <c r="O42" s="199">
        <f t="shared" si="22"/>
        <v>0</v>
      </c>
      <c r="P42" s="626"/>
      <c r="Q42" s="193" t="e">
        <f t="shared" si="18"/>
        <v>#DIV/0!</v>
      </c>
      <c r="R42" s="199">
        <f t="shared" si="23"/>
        <v>0</v>
      </c>
      <c r="S42" s="199">
        <f t="shared" si="24"/>
        <v>0</v>
      </c>
      <c r="T42" s="199">
        <f t="shared" si="25"/>
        <v>0</v>
      </c>
      <c r="U42" s="201">
        <f t="shared" si="26"/>
        <v>0</v>
      </c>
      <c r="V42" s="192">
        <f t="shared" si="15"/>
        <v>0</v>
      </c>
      <c r="W42" s="192">
        <f t="shared" si="28"/>
        <v>0</v>
      </c>
      <c r="Z42" s="626">
        <f t="shared" si="9"/>
        <v>0</v>
      </c>
    </row>
    <row r="43" spans="1:35" s="203" customFormat="1" ht="13.5" hidden="1">
      <c r="A43" s="230"/>
      <c r="B43" s="530"/>
      <c r="C43" s="197" t="s">
        <v>736</v>
      </c>
      <c r="D43" s="198" t="s">
        <v>2001</v>
      </c>
      <c r="E43" s="198">
        <v>2</v>
      </c>
      <c r="F43" s="197" t="s">
        <v>751</v>
      </c>
      <c r="G43" s="197" t="s">
        <v>788</v>
      </c>
      <c r="H43" s="197" t="s">
        <v>1510</v>
      </c>
      <c r="I43" s="192"/>
      <c r="J43" s="2550">
        <v>0</v>
      </c>
      <c r="K43" s="2219"/>
      <c r="L43" s="192">
        <f t="shared" si="20"/>
        <v>0</v>
      </c>
      <c r="M43" s="192">
        <f t="shared" si="21"/>
        <v>0</v>
      </c>
      <c r="N43" s="199">
        <f t="shared" si="27"/>
        <v>0</v>
      </c>
      <c r="O43" s="199">
        <f t="shared" si="22"/>
        <v>0</v>
      </c>
      <c r="P43" s="626"/>
      <c r="Q43" s="193" t="e">
        <f t="shared" si="18"/>
        <v>#DIV/0!</v>
      </c>
      <c r="R43" s="199">
        <f t="shared" si="23"/>
        <v>0</v>
      </c>
      <c r="S43" s="199">
        <f t="shared" si="24"/>
        <v>0</v>
      </c>
      <c r="T43" s="199">
        <f t="shared" si="25"/>
        <v>0</v>
      </c>
      <c r="U43" s="201">
        <f t="shared" si="26"/>
        <v>0</v>
      </c>
      <c r="V43" s="192">
        <f t="shared" si="15"/>
        <v>0</v>
      </c>
      <c r="W43" s="192">
        <f t="shared" si="28"/>
        <v>0</v>
      </c>
      <c r="Z43" s="626">
        <f t="shared" si="9"/>
        <v>0</v>
      </c>
    </row>
    <row r="44" spans="1:35" ht="14.25" customHeight="1">
      <c r="A44" s="179" t="s">
        <v>636</v>
      </c>
      <c r="B44" s="214" t="s">
        <v>2002</v>
      </c>
      <c r="C44" s="180" t="s">
        <v>736</v>
      </c>
      <c r="D44" s="190" t="s">
        <v>2001</v>
      </c>
      <c r="E44" s="190">
        <v>2</v>
      </c>
      <c r="F44" s="180" t="s">
        <v>751</v>
      </c>
      <c r="G44" s="180" t="s">
        <v>788</v>
      </c>
      <c r="H44" s="2220" t="s">
        <v>3681</v>
      </c>
      <c r="I44" s="192">
        <v>21150000</v>
      </c>
      <c r="J44" s="2550">
        <v>18755876</v>
      </c>
      <c r="K44" s="2219">
        <f>18909390-9390</f>
        <v>18900000</v>
      </c>
      <c r="L44" s="192">
        <f t="shared" si="20"/>
        <v>18900000</v>
      </c>
      <c r="M44" s="192">
        <f t="shared" si="21"/>
        <v>18900000</v>
      </c>
      <c r="N44" s="192">
        <f t="shared" si="27"/>
        <v>18900000</v>
      </c>
      <c r="O44" s="192">
        <f t="shared" si="22"/>
        <v>18900000</v>
      </c>
      <c r="P44" s="538">
        <f>10427522-50940-25000-889-10016</f>
        <v>10340677</v>
      </c>
      <c r="Q44" s="193">
        <f t="shared" si="18"/>
        <v>0.54712576719576722</v>
      </c>
      <c r="R44" s="192">
        <f t="shared" si="23"/>
        <v>0</v>
      </c>
      <c r="S44" s="192">
        <f t="shared" si="24"/>
        <v>0</v>
      </c>
      <c r="T44" s="192">
        <f t="shared" si="25"/>
        <v>0</v>
      </c>
      <c r="U44" s="194">
        <f t="shared" si="26"/>
        <v>0</v>
      </c>
      <c r="V44" s="192">
        <f t="shared" si="15"/>
        <v>14881889.763779527</v>
      </c>
      <c r="W44" s="192">
        <f t="shared" si="28"/>
        <v>4018110.2362204725</v>
      </c>
      <c r="Z44" s="538">
        <f t="shared" si="9"/>
        <v>8559323</v>
      </c>
      <c r="AA44" s="172">
        <f>10340677-P44</f>
        <v>0</v>
      </c>
    </row>
    <row r="45" spans="1:35">
      <c r="A45" s="179" t="s">
        <v>638</v>
      </c>
      <c r="B45" s="214" t="s">
        <v>2003</v>
      </c>
      <c r="C45" s="180" t="s">
        <v>736</v>
      </c>
      <c r="D45" s="190" t="s">
        <v>2004</v>
      </c>
      <c r="E45" s="190">
        <v>2</v>
      </c>
      <c r="F45" s="180" t="s">
        <v>751</v>
      </c>
      <c r="G45" s="180" t="s">
        <v>788</v>
      </c>
      <c r="H45" s="180" t="s">
        <v>1525</v>
      </c>
      <c r="I45" s="192">
        <f>5055073-455073</f>
        <v>4600000</v>
      </c>
      <c r="J45" s="2550">
        <v>2855421</v>
      </c>
      <c r="K45" s="2219">
        <f>3203964-500000-64</f>
        <v>2703900</v>
      </c>
      <c r="L45" s="192">
        <f t="shared" si="20"/>
        <v>2703900</v>
      </c>
      <c r="M45" s="192">
        <f t="shared" si="21"/>
        <v>2703900</v>
      </c>
      <c r="N45" s="192">
        <f>+M45+309364</f>
        <v>3013264</v>
      </c>
      <c r="O45" s="192">
        <f t="shared" si="22"/>
        <v>3013264</v>
      </c>
      <c r="P45" s="538">
        <f>2962324+50940-50940</f>
        <v>2962324</v>
      </c>
      <c r="Q45" s="193">
        <f t="shared" si="18"/>
        <v>0.98309474377286554</v>
      </c>
      <c r="R45" s="192">
        <f t="shared" si="23"/>
        <v>0</v>
      </c>
      <c r="S45" s="192">
        <f t="shared" si="24"/>
        <v>0</v>
      </c>
      <c r="T45" s="192">
        <f t="shared" si="25"/>
        <v>309364</v>
      </c>
      <c r="U45" s="194">
        <f t="shared" si="26"/>
        <v>0</v>
      </c>
      <c r="V45" s="192">
        <f t="shared" si="15"/>
        <v>2129055.1181102362</v>
      </c>
      <c r="W45" s="192">
        <f t="shared" si="28"/>
        <v>574844.88188976387</v>
      </c>
      <c r="X45" s="172"/>
      <c r="Z45" s="538">
        <f t="shared" si="9"/>
        <v>50940</v>
      </c>
      <c r="AA45" s="172">
        <f>3013264-P45</f>
        <v>50940</v>
      </c>
    </row>
    <row r="46" spans="1:35">
      <c r="A46" s="179" t="s">
        <v>1389</v>
      </c>
      <c r="B46" s="214" t="s">
        <v>164</v>
      </c>
      <c r="C46" s="180" t="s">
        <v>736</v>
      </c>
      <c r="D46" s="190" t="s">
        <v>2005</v>
      </c>
      <c r="E46" s="190">
        <v>2</v>
      </c>
      <c r="F46" s="180" t="s">
        <v>751</v>
      </c>
      <c r="G46" s="180" t="s">
        <v>788</v>
      </c>
      <c r="H46" s="180" t="s">
        <v>1506</v>
      </c>
      <c r="I46" s="192">
        <v>17857610</v>
      </c>
      <c r="J46" s="2550">
        <v>9792052</v>
      </c>
      <c r="K46" s="2219">
        <f>17000000-10000000</f>
        <v>7000000</v>
      </c>
      <c r="L46" s="192">
        <f t="shared" si="20"/>
        <v>7000000</v>
      </c>
      <c r="M46" s="192">
        <f t="shared" si="21"/>
        <v>7000000</v>
      </c>
      <c r="N46" s="192">
        <f t="shared" si="27"/>
        <v>7000000</v>
      </c>
      <c r="O46" s="192">
        <f t="shared" si="22"/>
        <v>7000000</v>
      </c>
      <c r="P46" s="538">
        <f>5383160</f>
        <v>5383160</v>
      </c>
      <c r="Q46" s="193">
        <f t="shared" si="18"/>
        <v>0.76902285714285712</v>
      </c>
      <c r="R46" s="192">
        <f t="shared" si="23"/>
        <v>0</v>
      </c>
      <c r="S46" s="192">
        <f t="shared" si="24"/>
        <v>0</v>
      </c>
      <c r="T46" s="192">
        <f t="shared" si="25"/>
        <v>0</v>
      </c>
      <c r="U46" s="194">
        <f t="shared" si="26"/>
        <v>0</v>
      </c>
      <c r="V46" s="192">
        <f t="shared" si="15"/>
        <v>5511811.0236220472</v>
      </c>
      <c r="W46" s="192">
        <f t="shared" si="28"/>
        <v>1488188.9763779528</v>
      </c>
      <c r="X46" s="172"/>
      <c r="Z46" s="538">
        <f t="shared" si="9"/>
        <v>1616840</v>
      </c>
      <c r="AA46" s="172">
        <f>5408160-P46</f>
        <v>25000</v>
      </c>
    </row>
    <row r="47" spans="1:35">
      <c r="A47" s="179" t="s">
        <v>646</v>
      </c>
      <c r="B47" s="214" t="s">
        <v>2006</v>
      </c>
      <c r="C47" s="180" t="s">
        <v>736</v>
      </c>
      <c r="D47" s="190" t="s">
        <v>2007</v>
      </c>
      <c r="E47" s="190">
        <v>2</v>
      </c>
      <c r="F47" s="180" t="s">
        <v>751</v>
      </c>
      <c r="G47" s="180" t="s">
        <v>788</v>
      </c>
      <c r="H47" s="180" t="s">
        <v>1506</v>
      </c>
      <c r="I47" s="192">
        <f>129842073-50000000</f>
        <v>79842073</v>
      </c>
      <c r="J47" s="2550">
        <v>1807303</v>
      </c>
      <c r="K47" s="2219">
        <f>10000000</f>
        <v>10000000</v>
      </c>
      <c r="L47" s="192">
        <f t="shared" si="20"/>
        <v>10000000</v>
      </c>
      <c r="M47" s="192">
        <f t="shared" si="21"/>
        <v>10000000</v>
      </c>
      <c r="N47" s="192">
        <f t="shared" si="27"/>
        <v>10000000</v>
      </c>
      <c r="O47" s="192">
        <f t="shared" si="22"/>
        <v>10000000</v>
      </c>
      <c r="P47" s="538">
        <v>3179338</v>
      </c>
      <c r="Q47" s="193">
        <f t="shared" si="18"/>
        <v>0.31793379999999999</v>
      </c>
      <c r="R47" s="192">
        <f t="shared" si="23"/>
        <v>0</v>
      </c>
      <c r="S47" s="192">
        <f t="shared" si="24"/>
        <v>0</v>
      </c>
      <c r="T47" s="192">
        <f t="shared" si="25"/>
        <v>0</v>
      </c>
      <c r="U47" s="194">
        <f t="shared" si="26"/>
        <v>0</v>
      </c>
      <c r="V47" s="192">
        <f t="shared" si="15"/>
        <v>7874015.7480314961</v>
      </c>
      <c r="W47" s="192">
        <f t="shared" si="28"/>
        <v>2125984.2519685039</v>
      </c>
      <c r="Z47" s="538">
        <f t="shared" si="9"/>
        <v>6820662</v>
      </c>
    </row>
    <row r="48" spans="1:35" ht="25.5">
      <c r="A48" s="179" t="s">
        <v>648</v>
      </c>
      <c r="B48" s="213" t="s">
        <v>3436</v>
      </c>
      <c r="C48" s="213"/>
      <c r="D48" s="213"/>
      <c r="E48" s="213"/>
      <c r="F48" s="208"/>
      <c r="G48" s="208"/>
      <c r="H48" s="184"/>
      <c r="I48" s="209">
        <f>SUM(I38:I47)</f>
        <v>169962303</v>
      </c>
      <c r="J48" s="2549">
        <f>SUM(J38:J47)</f>
        <v>69142174</v>
      </c>
      <c r="K48" s="2347">
        <f t="shared" ref="K48:P48" si="29">SUM(K38:K47)</f>
        <v>78542939</v>
      </c>
      <c r="L48" s="209">
        <f t="shared" si="29"/>
        <v>78542939</v>
      </c>
      <c r="M48" s="209">
        <f t="shared" si="29"/>
        <v>78542939</v>
      </c>
      <c r="N48" s="209">
        <f t="shared" si="29"/>
        <v>78852303</v>
      </c>
      <c r="O48" s="209">
        <f t="shared" si="29"/>
        <v>78852303</v>
      </c>
      <c r="P48" s="245">
        <f t="shared" si="29"/>
        <v>60919551</v>
      </c>
      <c r="Q48" s="210">
        <f t="shared" si="18"/>
        <v>0.77257795501546733</v>
      </c>
      <c r="R48" s="209">
        <f t="shared" si="23"/>
        <v>0</v>
      </c>
      <c r="S48" s="209">
        <f t="shared" si="24"/>
        <v>0</v>
      </c>
      <c r="T48" s="209">
        <f t="shared" si="25"/>
        <v>309364</v>
      </c>
      <c r="U48" s="211">
        <f t="shared" si="26"/>
        <v>0</v>
      </c>
      <c r="V48" s="209"/>
      <c r="W48" s="209"/>
      <c r="X48" s="172"/>
      <c r="Z48" s="245">
        <f t="shared" si="9"/>
        <v>17932752</v>
      </c>
    </row>
    <row r="49" spans="1:35">
      <c r="A49" s="179" t="s">
        <v>662</v>
      </c>
      <c r="B49" s="214" t="s">
        <v>101</v>
      </c>
      <c r="C49" s="180" t="s">
        <v>736</v>
      </c>
      <c r="D49" s="190" t="s">
        <v>2008</v>
      </c>
      <c r="E49" s="190">
        <v>2</v>
      </c>
      <c r="F49" s="180" t="s">
        <v>751</v>
      </c>
      <c r="G49" s="180" t="s">
        <v>773</v>
      </c>
      <c r="H49" s="191" t="s">
        <v>1496</v>
      </c>
      <c r="I49" s="192">
        <v>16462448</v>
      </c>
      <c r="J49" s="2550">
        <v>14641232</v>
      </c>
      <c r="K49" s="2219">
        <f>15163666-163666</f>
        <v>15000000</v>
      </c>
      <c r="L49" s="192">
        <f t="shared" ref="L49:N59" si="30">+K49</f>
        <v>15000000</v>
      </c>
      <c r="M49" s="192">
        <f t="shared" si="30"/>
        <v>15000000</v>
      </c>
      <c r="N49" s="192">
        <f t="shared" si="30"/>
        <v>15000000</v>
      </c>
      <c r="O49" s="192">
        <f t="shared" ref="O49:O54" si="31">+N49</f>
        <v>15000000</v>
      </c>
      <c r="P49" s="538">
        <v>7003208</v>
      </c>
      <c r="Q49" s="193">
        <f t="shared" si="18"/>
        <v>0.46688053333333335</v>
      </c>
      <c r="R49" s="192">
        <f t="shared" si="23"/>
        <v>0</v>
      </c>
      <c r="S49" s="192">
        <f t="shared" si="24"/>
        <v>0</v>
      </c>
      <c r="T49" s="192">
        <f t="shared" si="25"/>
        <v>0</v>
      </c>
      <c r="U49" s="194">
        <f t="shared" si="26"/>
        <v>0</v>
      </c>
      <c r="V49" s="192">
        <f t="shared" ref="V49:V54" si="32">+K49/1.27</f>
        <v>11811023.622047244</v>
      </c>
      <c r="W49" s="192">
        <f t="shared" ref="W49:W55" si="33">+V49*0.27</f>
        <v>3188976.3779527559</v>
      </c>
      <c r="Z49" s="538">
        <f t="shared" si="9"/>
        <v>7996792</v>
      </c>
    </row>
    <row r="50" spans="1:35">
      <c r="A50" s="179" t="s">
        <v>665</v>
      </c>
      <c r="B50" s="214" t="s">
        <v>3747</v>
      </c>
      <c r="C50" s="180" t="s">
        <v>736</v>
      </c>
      <c r="D50" s="190" t="s">
        <v>2009</v>
      </c>
      <c r="E50" s="190">
        <v>2</v>
      </c>
      <c r="F50" s="180" t="s">
        <v>751</v>
      </c>
      <c r="G50" s="180" t="s">
        <v>773</v>
      </c>
      <c r="H50" s="191" t="s">
        <v>1525</v>
      </c>
      <c r="I50" s="192">
        <v>3444764</v>
      </c>
      <c r="J50" s="2550">
        <v>3087270</v>
      </c>
      <c r="K50" s="2219">
        <f>3403613-3613</f>
        <v>3400000</v>
      </c>
      <c r="L50" s="192">
        <f t="shared" si="30"/>
        <v>3400000</v>
      </c>
      <c r="M50" s="192">
        <f t="shared" si="30"/>
        <v>3400000</v>
      </c>
      <c r="N50" s="192">
        <f t="shared" si="30"/>
        <v>3400000</v>
      </c>
      <c r="O50" s="192">
        <f t="shared" si="31"/>
        <v>3400000</v>
      </c>
      <c r="P50" s="538">
        <f>3331551+23625</f>
        <v>3355176</v>
      </c>
      <c r="Q50" s="193">
        <f t="shared" si="18"/>
        <v>0.98681647058823529</v>
      </c>
      <c r="R50" s="192">
        <f t="shared" si="23"/>
        <v>0</v>
      </c>
      <c r="S50" s="192">
        <f t="shared" si="24"/>
        <v>0</v>
      </c>
      <c r="T50" s="192">
        <f t="shared" si="25"/>
        <v>0</v>
      </c>
      <c r="U50" s="194">
        <f t="shared" si="26"/>
        <v>0</v>
      </c>
      <c r="V50" s="192">
        <f t="shared" si="32"/>
        <v>2677165.3543307087</v>
      </c>
      <c r="W50" s="192">
        <f t="shared" si="33"/>
        <v>722834.64566929138</v>
      </c>
      <c r="Z50" s="538">
        <f t="shared" si="9"/>
        <v>44824</v>
      </c>
    </row>
    <row r="51" spans="1:35" ht="13.5" customHeight="1">
      <c r="A51" s="179" t="s">
        <v>676</v>
      </c>
      <c r="B51" s="214" t="s">
        <v>3748</v>
      </c>
      <c r="C51" s="180" t="s">
        <v>736</v>
      </c>
      <c r="D51" s="190" t="s">
        <v>2010</v>
      </c>
      <c r="E51" s="190">
        <v>2</v>
      </c>
      <c r="F51" s="180" t="s">
        <v>751</v>
      </c>
      <c r="G51" s="180" t="s">
        <v>773</v>
      </c>
      <c r="H51" s="180" t="s">
        <v>3680</v>
      </c>
      <c r="I51" s="192">
        <v>24205286</v>
      </c>
      <c r="J51" s="2550">
        <v>17684058</v>
      </c>
      <c r="K51" s="2219">
        <f>17375991+1000000+9</f>
        <v>18376000</v>
      </c>
      <c r="L51" s="192">
        <f t="shared" si="30"/>
        <v>18376000</v>
      </c>
      <c r="M51" s="192">
        <f t="shared" si="30"/>
        <v>18376000</v>
      </c>
      <c r="N51" s="192">
        <f t="shared" si="30"/>
        <v>18376000</v>
      </c>
      <c r="O51" s="192">
        <f t="shared" si="31"/>
        <v>18376000</v>
      </c>
      <c r="P51" s="538">
        <v>14651137</v>
      </c>
      <c r="Q51" s="193">
        <f t="shared" si="18"/>
        <v>0.79729739878101868</v>
      </c>
      <c r="R51" s="192">
        <f t="shared" si="23"/>
        <v>0</v>
      </c>
      <c r="S51" s="192">
        <f t="shared" si="24"/>
        <v>0</v>
      </c>
      <c r="T51" s="192">
        <f t="shared" si="25"/>
        <v>0</v>
      </c>
      <c r="U51" s="194">
        <f t="shared" si="26"/>
        <v>0</v>
      </c>
      <c r="V51" s="192">
        <f t="shared" si="32"/>
        <v>14469291.338582678</v>
      </c>
      <c r="W51" s="192">
        <f t="shared" si="33"/>
        <v>3906708.6614173232</v>
      </c>
      <c r="Z51" s="538">
        <f t="shared" si="9"/>
        <v>3724863</v>
      </c>
      <c r="AA51" s="172">
        <f>14047841-P51</f>
        <v>-603296</v>
      </c>
    </row>
    <row r="52" spans="1:35" s="203" customFormat="1" ht="12.75" hidden="1" customHeight="1">
      <c r="A52" s="230"/>
      <c r="B52" s="530" t="s">
        <v>2011</v>
      </c>
      <c r="C52" s="197" t="s">
        <v>736</v>
      </c>
      <c r="D52" s="198" t="s">
        <v>2012</v>
      </c>
      <c r="E52" s="198">
        <v>2</v>
      </c>
      <c r="F52" s="197" t="s">
        <v>751</v>
      </c>
      <c r="G52" s="197" t="s">
        <v>773</v>
      </c>
      <c r="H52" s="197" t="s">
        <v>1494</v>
      </c>
      <c r="I52" s="199"/>
      <c r="J52" s="2550">
        <v>0</v>
      </c>
      <c r="K52" s="2250"/>
      <c r="L52" s="192">
        <f t="shared" ref="L52:L58" si="34">+K52</f>
        <v>0</v>
      </c>
      <c r="M52" s="192">
        <f t="shared" si="30"/>
        <v>0</v>
      </c>
      <c r="N52" s="192">
        <f t="shared" ref="N52:O62" si="35">+M52</f>
        <v>0</v>
      </c>
      <c r="O52" s="199">
        <f t="shared" si="31"/>
        <v>0</v>
      </c>
      <c r="P52" s="626"/>
      <c r="Q52" s="193" t="e">
        <f t="shared" si="18"/>
        <v>#DIV/0!</v>
      </c>
      <c r="R52" s="199">
        <f t="shared" si="23"/>
        <v>0</v>
      </c>
      <c r="S52" s="199">
        <f t="shared" si="24"/>
        <v>0</v>
      </c>
      <c r="T52" s="199">
        <f t="shared" si="25"/>
        <v>0</v>
      </c>
      <c r="U52" s="201">
        <f t="shared" si="26"/>
        <v>0</v>
      </c>
      <c r="V52" s="199">
        <f t="shared" si="32"/>
        <v>0</v>
      </c>
      <c r="W52" s="199">
        <f t="shared" si="33"/>
        <v>0</v>
      </c>
      <c r="Z52" s="626">
        <f t="shared" si="9"/>
        <v>0</v>
      </c>
    </row>
    <row r="53" spans="1:35" s="203" customFormat="1" ht="13.5" hidden="1">
      <c r="A53" s="230"/>
      <c r="B53" s="530" t="s">
        <v>2013</v>
      </c>
      <c r="C53" s="197" t="s">
        <v>736</v>
      </c>
      <c r="D53" s="198" t="s">
        <v>2012</v>
      </c>
      <c r="E53" s="198">
        <v>2</v>
      </c>
      <c r="F53" s="197" t="s">
        <v>751</v>
      </c>
      <c r="G53" s="197" t="s">
        <v>773</v>
      </c>
      <c r="H53" s="204" t="s">
        <v>1496</v>
      </c>
      <c r="I53" s="199"/>
      <c r="J53" s="2550">
        <v>0</v>
      </c>
      <c r="K53" s="2250"/>
      <c r="L53" s="192">
        <f t="shared" si="34"/>
        <v>0</v>
      </c>
      <c r="M53" s="192">
        <f t="shared" si="30"/>
        <v>0</v>
      </c>
      <c r="N53" s="192">
        <f t="shared" si="35"/>
        <v>0</v>
      </c>
      <c r="O53" s="199">
        <f t="shared" si="31"/>
        <v>0</v>
      </c>
      <c r="P53" s="626"/>
      <c r="Q53" s="193" t="e">
        <f t="shared" si="18"/>
        <v>#DIV/0!</v>
      </c>
      <c r="R53" s="199">
        <f t="shared" si="23"/>
        <v>0</v>
      </c>
      <c r="S53" s="199">
        <f t="shared" si="24"/>
        <v>0</v>
      </c>
      <c r="T53" s="199">
        <f t="shared" si="25"/>
        <v>0</v>
      </c>
      <c r="U53" s="201">
        <f t="shared" si="26"/>
        <v>0</v>
      </c>
      <c r="V53" s="199">
        <f t="shared" si="32"/>
        <v>0</v>
      </c>
      <c r="W53" s="199">
        <f t="shared" si="33"/>
        <v>0</v>
      </c>
      <c r="Z53" s="626">
        <f t="shared" si="9"/>
        <v>0</v>
      </c>
    </row>
    <row r="54" spans="1:35" s="203" customFormat="1" ht="13.5" hidden="1">
      <c r="A54" s="230"/>
      <c r="B54" s="530" t="s">
        <v>2014</v>
      </c>
      <c r="C54" s="197" t="s">
        <v>736</v>
      </c>
      <c r="D54" s="198" t="s">
        <v>2012</v>
      </c>
      <c r="E54" s="198">
        <v>2</v>
      </c>
      <c r="F54" s="197" t="s">
        <v>751</v>
      </c>
      <c r="G54" s="197" t="s">
        <v>773</v>
      </c>
      <c r="H54" s="204" t="s">
        <v>1498</v>
      </c>
      <c r="I54" s="199"/>
      <c r="J54" s="2550">
        <v>0</v>
      </c>
      <c r="K54" s="2250"/>
      <c r="L54" s="192">
        <f t="shared" si="34"/>
        <v>0</v>
      </c>
      <c r="M54" s="192">
        <f t="shared" si="30"/>
        <v>0</v>
      </c>
      <c r="N54" s="192">
        <f t="shared" si="35"/>
        <v>0</v>
      </c>
      <c r="O54" s="199">
        <f t="shared" si="31"/>
        <v>0</v>
      </c>
      <c r="P54" s="626"/>
      <c r="Q54" s="193" t="e">
        <f t="shared" si="18"/>
        <v>#DIV/0!</v>
      </c>
      <c r="R54" s="199">
        <f t="shared" si="23"/>
        <v>0</v>
      </c>
      <c r="S54" s="199">
        <f t="shared" si="24"/>
        <v>0</v>
      </c>
      <c r="T54" s="199">
        <f t="shared" si="25"/>
        <v>0</v>
      </c>
      <c r="U54" s="201">
        <f t="shared" si="26"/>
        <v>0</v>
      </c>
      <c r="V54" s="199">
        <f t="shared" si="32"/>
        <v>0</v>
      </c>
      <c r="W54" s="199">
        <f t="shared" si="33"/>
        <v>0</v>
      </c>
      <c r="Z54" s="626">
        <f t="shared" si="9"/>
        <v>0</v>
      </c>
    </row>
    <row r="55" spans="1:35" ht="27.75" customHeight="1">
      <c r="A55" s="2360" t="s">
        <v>686</v>
      </c>
      <c r="B55" s="214" t="s">
        <v>3922</v>
      </c>
      <c r="C55" s="180" t="s">
        <v>736</v>
      </c>
      <c r="D55" s="190" t="s">
        <v>2012</v>
      </c>
      <c r="E55" s="190">
        <v>2</v>
      </c>
      <c r="F55" s="180" t="s">
        <v>751</v>
      </c>
      <c r="G55" s="180" t="s">
        <v>788</v>
      </c>
      <c r="H55" s="180" t="s">
        <v>3680</v>
      </c>
      <c r="I55" s="192">
        <f>0</f>
        <v>0</v>
      </c>
      <c r="J55" s="2550">
        <v>0</v>
      </c>
      <c r="K55" s="2219">
        <f>0</f>
        <v>0</v>
      </c>
      <c r="L55" s="192">
        <f>+K55+20000000</f>
        <v>20000000</v>
      </c>
      <c r="M55" s="192">
        <f>+L55+4848628+3030921+1897551+1629151+2700596+1826148+2617722</f>
        <v>38550717</v>
      </c>
      <c r="N55" s="192">
        <f>+M55+2267547+3600530+1206081+1966406+1692081+2714602+3857+1372125</f>
        <v>53373946</v>
      </c>
      <c r="O55" s="192">
        <f t="shared" si="35"/>
        <v>53373946</v>
      </c>
      <c r="P55" s="538">
        <f>53390264-16318</f>
        <v>53373946</v>
      </c>
      <c r="Q55" s="193">
        <f t="shared" si="18"/>
        <v>1</v>
      </c>
      <c r="R55" s="192">
        <f t="shared" si="23"/>
        <v>20000000</v>
      </c>
      <c r="S55" s="199">
        <f t="shared" si="24"/>
        <v>18550717</v>
      </c>
      <c r="T55" s="199">
        <f t="shared" si="25"/>
        <v>14823229</v>
      </c>
      <c r="U55" s="199">
        <f t="shared" si="26"/>
        <v>0</v>
      </c>
      <c r="V55" s="192">
        <f>SUM(V52:V54)</f>
        <v>0</v>
      </c>
      <c r="W55" s="192">
        <f t="shared" si="33"/>
        <v>0</v>
      </c>
      <c r="Z55" s="538">
        <f t="shared" si="9"/>
        <v>0</v>
      </c>
      <c r="AA55" s="172">
        <f>53373946-P55</f>
        <v>0</v>
      </c>
    </row>
    <row r="56" spans="1:35" s="203" customFormat="1" ht="25.5" hidden="1">
      <c r="A56" s="230"/>
      <c r="B56" s="530" t="s">
        <v>2015</v>
      </c>
      <c r="C56" s="197" t="s">
        <v>736</v>
      </c>
      <c r="D56" s="198" t="s">
        <v>2016</v>
      </c>
      <c r="E56" s="198">
        <v>2</v>
      </c>
      <c r="F56" s="197" t="s">
        <v>751</v>
      </c>
      <c r="G56" s="197" t="s">
        <v>788</v>
      </c>
      <c r="H56" s="204" t="s">
        <v>1525</v>
      </c>
      <c r="I56" s="199"/>
      <c r="J56" s="2555">
        <v>0</v>
      </c>
      <c r="K56" s="2250"/>
      <c r="L56" s="192">
        <f t="shared" si="34"/>
        <v>0</v>
      </c>
      <c r="M56" s="192">
        <f t="shared" si="30"/>
        <v>0</v>
      </c>
      <c r="N56" s="192">
        <f t="shared" si="35"/>
        <v>0</v>
      </c>
      <c r="O56" s="199">
        <f>+N56</f>
        <v>0</v>
      </c>
      <c r="P56" s="626"/>
      <c r="Q56" s="193" t="e">
        <f t="shared" si="18"/>
        <v>#DIV/0!</v>
      </c>
      <c r="R56" s="199">
        <f t="shared" si="23"/>
        <v>0</v>
      </c>
      <c r="S56" s="199">
        <f t="shared" si="24"/>
        <v>0</v>
      </c>
      <c r="T56" s="199"/>
      <c r="U56" s="201"/>
      <c r="V56" s="199"/>
      <c r="W56" s="199"/>
      <c r="Z56" s="626">
        <f t="shared" si="9"/>
        <v>0</v>
      </c>
    </row>
    <row r="57" spans="1:35" ht="15.75" customHeight="1">
      <c r="A57" s="179" t="s">
        <v>704</v>
      </c>
      <c r="B57" s="214" t="s">
        <v>3288</v>
      </c>
      <c r="C57" s="180" t="s">
        <v>1032</v>
      </c>
      <c r="D57" s="190" t="s">
        <v>2017</v>
      </c>
      <c r="E57" s="190">
        <v>2</v>
      </c>
      <c r="F57" s="180" t="s">
        <v>1134</v>
      </c>
      <c r="G57" s="180" t="s">
        <v>572</v>
      </c>
      <c r="H57" s="180" t="s">
        <v>3680</v>
      </c>
      <c r="I57" s="192">
        <v>3544973</v>
      </c>
      <c r="J57" s="2550">
        <v>2792597</v>
      </c>
      <c r="K57" s="2219">
        <f>2873979+21</f>
        <v>2874000</v>
      </c>
      <c r="L57" s="192">
        <f t="shared" si="34"/>
        <v>2874000</v>
      </c>
      <c r="M57" s="192">
        <f t="shared" si="30"/>
        <v>2874000</v>
      </c>
      <c r="N57" s="192">
        <f t="shared" si="35"/>
        <v>2874000</v>
      </c>
      <c r="O57" s="192">
        <f>+N57</f>
        <v>2874000</v>
      </c>
      <c r="P57" s="538">
        <v>2701931</v>
      </c>
      <c r="Q57" s="193">
        <f t="shared" si="18"/>
        <v>0.94012908837856646</v>
      </c>
      <c r="R57" s="192">
        <f t="shared" si="23"/>
        <v>0</v>
      </c>
      <c r="S57" s="192">
        <f t="shared" si="24"/>
        <v>0</v>
      </c>
      <c r="T57" s="192">
        <f>+N57-M57</f>
        <v>0</v>
      </c>
      <c r="U57" s="192">
        <f>+O57-N57</f>
        <v>0</v>
      </c>
      <c r="V57" s="192"/>
      <c r="W57" s="192"/>
      <c r="Z57" s="538">
        <f t="shared" si="9"/>
        <v>172069</v>
      </c>
      <c r="AI57" s="172">
        <f>+P58-6042130</f>
        <v>51940</v>
      </c>
    </row>
    <row r="58" spans="1:35" ht="13.5" customHeight="1">
      <c r="A58" s="179" t="s">
        <v>706</v>
      </c>
      <c r="B58" s="214" t="s">
        <v>3749</v>
      </c>
      <c r="C58" s="180" t="s">
        <v>736</v>
      </c>
      <c r="D58" s="190" t="s">
        <v>2018</v>
      </c>
      <c r="E58" s="190">
        <v>2</v>
      </c>
      <c r="F58" s="180" t="s">
        <v>751</v>
      </c>
      <c r="G58" s="180" t="s">
        <v>773</v>
      </c>
      <c r="H58" s="180" t="s">
        <v>1494</v>
      </c>
      <c r="I58" s="192">
        <v>7749446</v>
      </c>
      <c r="J58" s="2550">
        <v>7160387</v>
      </c>
      <c r="K58" s="2219">
        <f>6955487+244513</f>
        <v>7200000</v>
      </c>
      <c r="L58" s="192">
        <f t="shared" si="34"/>
        <v>7200000</v>
      </c>
      <c r="M58" s="192">
        <f t="shared" si="30"/>
        <v>7200000</v>
      </c>
      <c r="N58" s="192">
        <f t="shared" si="35"/>
        <v>7200000</v>
      </c>
      <c r="O58" s="192">
        <f>+N58</f>
        <v>7200000</v>
      </c>
      <c r="P58" s="538">
        <v>6094070</v>
      </c>
      <c r="Q58" s="193">
        <f t="shared" si="18"/>
        <v>0.84639861111111114</v>
      </c>
      <c r="R58" s="192">
        <f t="shared" si="23"/>
        <v>0</v>
      </c>
      <c r="S58" s="192">
        <f t="shared" si="24"/>
        <v>0</v>
      </c>
      <c r="T58" s="192">
        <f>+N58-M58</f>
        <v>0</v>
      </c>
      <c r="U58" s="192">
        <f>+O58-N58</f>
        <v>0</v>
      </c>
      <c r="V58" s="192"/>
      <c r="W58" s="192"/>
      <c r="Z58" s="538">
        <f t="shared" si="9"/>
        <v>1105930</v>
      </c>
      <c r="AA58" s="172">
        <f>6042130-P58</f>
        <v>-51940</v>
      </c>
    </row>
    <row r="59" spans="1:35">
      <c r="A59" s="179" t="s">
        <v>710</v>
      </c>
      <c r="B59" s="214" t="s">
        <v>2019</v>
      </c>
      <c r="C59" s="180" t="s">
        <v>736</v>
      </c>
      <c r="D59" s="190" t="s">
        <v>2016</v>
      </c>
      <c r="E59" s="190">
        <v>2</v>
      </c>
      <c r="F59" s="180" t="s">
        <v>751</v>
      </c>
      <c r="G59" s="180" t="s">
        <v>788</v>
      </c>
      <c r="H59" s="191" t="s">
        <v>1989</v>
      </c>
      <c r="I59" s="192">
        <v>1000000</v>
      </c>
      <c r="J59" s="2550">
        <v>0</v>
      </c>
      <c r="K59" s="2219">
        <f>2000000-1000000</f>
        <v>1000000</v>
      </c>
      <c r="L59" s="192">
        <f>+K59</f>
        <v>1000000</v>
      </c>
      <c r="M59" s="192">
        <f t="shared" si="30"/>
        <v>1000000</v>
      </c>
      <c r="N59" s="192">
        <f t="shared" si="35"/>
        <v>1000000</v>
      </c>
      <c r="O59" s="192">
        <f>+N59</f>
        <v>1000000</v>
      </c>
      <c r="P59" s="538">
        <v>0</v>
      </c>
      <c r="Q59" s="193">
        <f t="shared" si="18"/>
        <v>0</v>
      </c>
      <c r="R59" s="192">
        <f t="shared" si="23"/>
        <v>0</v>
      </c>
      <c r="S59" s="192">
        <f t="shared" si="24"/>
        <v>0</v>
      </c>
      <c r="T59" s="192">
        <f>+N59-M59</f>
        <v>0</v>
      </c>
      <c r="U59" s="194"/>
      <c r="V59" s="192"/>
      <c r="W59" s="192"/>
      <c r="Z59" s="538">
        <f t="shared" si="9"/>
        <v>1000000</v>
      </c>
    </row>
    <row r="60" spans="1:35" s="203" customFormat="1" hidden="1">
      <c r="A60" s="196"/>
      <c r="B60" s="214" t="s">
        <v>2019</v>
      </c>
      <c r="C60" s="197" t="s">
        <v>1032</v>
      </c>
      <c r="D60" s="198" t="s">
        <v>2017</v>
      </c>
      <c r="E60" s="198">
        <v>2</v>
      </c>
      <c r="F60" s="197" t="s">
        <v>1134</v>
      </c>
      <c r="G60" s="197" t="s">
        <v>572</v>
      </c>
      <c r="H60" s="204" t="s">
        <v>1496</v>
      </c>
      <c r="I60" s="199"/>
      <c r="J60" s="2550">
        <v>0</v>
      </c>
      <c r="K60" s="2250"/>
      <c r="L60" s="192">
        <f t="shared" ref="L60:M62" si="36">+K60</f>
        <v>0</v>
      </c>
      <c r="M60" s="192">
        <f t="shared" si="36"/>
        <v>0</v>
      </c>
      <c r="N60" s="192">
        <f t="shared" si="35"/>
        <v>0</v>
      </c>
      <c r="O60" s="199"/>
      <c r="P60" s="626"/>
      <c r="Q60" s="193" t="e">
        <f t="shared" si="18"/>
        <v>#DIV/0!</v>
      </c>
      <c r="R60" s="199"/>
      <c r="S60" s="199"/>
      <c r="T60" s="192">
        <f>+N60-M60</f>
        <v>0</v>
      </c>
      <c r="U60" s="201"/>
      <c r="V60" s="199"/>
      <c r="W60" s="199"/>
      <c r="Z60" s="626">
        <f t="shared" si="9"/>
        <v>0</v>
      </c>
    </row>
    <row r="61" spans="1:35" hidden="1">
      <c r="A61" s="179"/>
      <c r="B61" s="214" t="s">
        <v>2019</v>
      </c>
      <c r="C61" s="180" t="s">
        <v>1032</v>
      </c>
      <c r="D61" s="190" t="s">
        <v>2017</v>
      </c>
      <c r="E61" s="190">
        <v>2</v>
      </c>
      <c r="F61" s="180" t="s">
        <v>1134</v>
      </c>
      <c r="G61" s="180" t="s">
        <v>572</v>
      </c>
      <c r="H61" s="191"/>
      <c r="I61" s="192"/>
      <c r="J61" s="2550">
        <v>0</v>
      </c>
      <c r="K61" s="2219"/>
      <c r="L61" s="192">
        <f t="shared" si="36"/>
        <v>0</v>
      </c>
      <c r="M61" s="192">
        <f t="shared" si="36"/>
        <v>0</v>
      </c>
      <c r="N61" s="192">
        <f t="shared" si="35"/>
        <v>0</v>
      </c>
      <c r="O61" s="192">
        <f>+N61</f>
        <v>0</v>
      </c>
      <c r="P61" s="538"/>
      <c r="Q61" s="193" t="e">
        <f t="shared" si="18"/>
        <v>#DIV/0!</v>
      </c>
      <c r="R61" s="192">
        <f t="shared" ref="R61:R67" si="37">+L61-K61</f>
        <v>0</v>
      </c>
      <c r="S61" s="192">
        <f t="shared" ref="S61:S67" si="38">+M61-L61</f>
        <v>0</v>
      </c>
      <c r="T61" s="192">
        <f>+N61-M61</f>
        <v>0</v>
      </c>
      <c r="U61" s="194">
        <f t="shared" ref="U61:U67" si="39">+O61-N61</f>
        <v>0</v>
      </c>
      <c r="V61" s="192"/>
      <c r="W61" s="192"/>
      <c r="Z61" s="538">
        <f t="shared" si="9"/>
        <v>0</v>
      </c>
    </row>
    <row r="62" spans="1:35">
      <c r="A62" s="179" t="s">
        <v>712</v>
      </c>
      <c r="B62" s="214" t="s">
        <v>2020</v>
      </c>
      <c r="C62" s="180" t="s">
        <v>736</v>
      </c>
      <c r="D62" s="190" t="s">
        <v>2021</v>
      </c>
      <c r="E62" s="180" t="s">
        <v>754</v>
      </c>
      <c r="F62" s="180" t="s">
        <v>751</v>
      </c>
      <c r="G62" s="180" t="s">
        <v>773</v>
      </c>
      <c r="H62" s="180" t="s">
        <v>1506</v>
      </c>
      <c r="I62" s="192">
        <f>1215771+16719000</f>
        <v>17934771</v>
      </c>
      <c r="J62" s="2550">
        <v>9603492</v>
      </c>
      <c r="K62" s="2219">
        <f>582569+16136431-5000000</f>
        <v>11719000</v>
      </c>
      <c r="L62" s="192">
        <f t="shared" si="36"/>
        <v>11719000</v>
      </c>
      <c r="M62" s="192">
        <f t="shared" si="36"/>
        <v>11719000</v>
      </c>
      <c r="N62" s="192">
        <f t="shared" si="35"/>
        <v>11719000</v>
      </c>
      <c r="O62" s="192">
        <f>+N62</f>
        <v>11719000</v>
      </c>
      <c r="P62" s="538">
        <v>5230428</v>
      </c>
      <c r="Q62" s="193">
        <f t="shared" si="18"/>
        <v>0.44632033449953068</v>
      </c>
      <c r="R62" s="192">
        <f t="shared" si="37"/>
        <v>0</v>
      </c>
      <c r="S62" s="192">
        <f t="shared" si="38"/>
        <v>0</v>
      </c>
      <c r="T62" s="192">
        <f t="shared" ref="T62:T67" si="40">+N62-M62</f>
        <v>0</v>
      </c>
      <c r="U62" s="194">
        <f t="shared" si="39"/>
        <v>0</v>
      </c>
      <c r="V62" s="192">
        <f>+K62/1.27</f>
        <v>9227559.05511811</v>
      </c>
      <c r="W62" s="192">
        <f>+V62*0.27</f>
        <v>2491440.94488189</v>
      </c>
      <c r="X62" s="172"/>
      <c r="Z62" s="538">
        <f t="shared" si="9"/>
        <v>6488572</v>
      </c>
    </row>
    <row r="63" spans="1:35" ht="25.5">
      <c r="A63" s="179" t="s">
        <v>715</v>
      </c>
      <c r="B63" s="213" t="s">
        <v>3437</v>
      </c>
      <c r="C63" s="213"/>
      <c r="D63" s="213"/>
      <c r="E63" s="213"/>
      <c r="F63" s="208"/>
      <c r="G63" s="208"/>
      <c r="H63" s="184"/>
      <c r="I63" s="209">
        <f>SUM(I49:I62)</f>
        <v>74341688</v>
      </c>
      <c r="J63" s="2549">
        <f>+J49+J50+J51+J55+J57+J58+J59+J62</f>
        <v>54969036</v>
      </c>
      <c r="K63" s="2347">
        <f t="shared" ref="K63:P63" si="41">SUM(K49:K62)</f>
        <v>59569000</v>
      </c>
      <c r="L63" s="209">
        <f t="shared" si="41"/>
        <v>79569000</v>
      </c>
      <c r="M63" s="209">
        <f t="shared" si="41"/>
        <v>98119717</v>
      </c>
      <c r="N63" s="209">
        <f t="shared" si="41"/>
        <v>112942946</v>
      </c>
      <c r="O63" s="209">
        <f t="shared" si="41"/>
        <v>112942946</v>
      </c>
      <c r="P63" s="245">
        <f t="shared" si="41"/>
        <v>92409896</v>
      </c>
      <c r="Q63" s="210">
        <f t="shared" si="18"/>
        <v>0.81819980151748473</v>
      </c>
      <c r="R63" s="209">
        <f t="shared" si="37"/>
        <v>20000000</v>
      </c>
      <c r="S63" s="209">
        <f t="shared" si="38"/>
        <v>18550717</v>
      </c>
      <c r="T63" s="209">
        <f t="shared" si="40"/>
        <v>14823229</v>
      </c>
      <c r="U63" s="211">
        <f t="shared" si="39"/>
        <v>0</v>
      </c>
      <c r="V63" s="209"/>
      <c r="W63" s="209"/>
      <c r="Z63" s="245">
        <f t="shared" si="9"/>
        <v>20533050</v>
      </c>
    </row>
    <row r="64" spans="1:35" ht="12" customHeight="1">
      <c r="A64" s="179" t="s">
        <v>716</v>
      </c>
      <c r="B64" s="208" t="s">
        <v>2022</v>
      </c>
      <c r="C64" s="180" t="s">
        <v>512</v>
      </c>
      <c r="D64" s="190" t="s">
        <v>2023</v>
      </c>
      <c r="E64" s="190">
        <v>2</v>
      </c>
      <c r="F64" s="180" t="s">
        <v>2024</v>
      </c>
      <c r="G64" s="180" t="s">
        <v>572</v>
      </c>
      <c r="H64" s="191" t="s">
        <v>1525</v>
      </c>
      <c r="I64" s="209">
        <f>500000</f>
        <v>500000</v>
      </c>
      <c r="J64" s="2549">
        <v>107370</v>
      </c>
      <c r="K64" s="2347">
        <f>500000</f>
        <v>500000</v>
      </c>
      <c r="L64" s="209">
        <f t="shared" ref="L64:O66" si="42">+K64</f>
        <v>500000</v>
      </c>
      <c r="M64" s="209">
        <f t="shared" si="42"/>
        <v>500000</v>
      </c>
      <c r="N64" s="209">
        <f t="shared" si="42"/>
        <v>500000</v>
      </c>
      <c r="O64" s="209">
        <f t="shared" si="42"/>
        <v>500000</v>
      </c>
      <c r="P64" s="245">
        <v>500000</v>
      </c>
      <c r="Q64" s="210">
        <f t="shared" si="18"/>
        <v>1</v>
      </c>
      <c r="R64" s="209">
        <f t="shared" si="37"/>
        <v>0</v>
      </c>
      <c r="S64" s="209">
        <f t="shared" si="38"/>
        <v>0</v>
      </c>
      <c r="T64" s="209">
        <f t="shared" si="40"/>
        <v>0</v>
      </c>
      <c r="U64" s="211">
        <f t="shared" si="39"/>
        <v>0</v>
      </c>
      <c r="V64" s="192">
        <f>+K64/1.27</f>
        <v>393700.78740157478</v>
      </c>
      <c r="W64" s="192">
        <f>+V64*0.27</f>
        <v>106299.21259842519</v>
      </c>
      <c r="Z64" s="245">
        <f t="shared" si="9"/>
        <v>0</v>
      </c>
    </row>
    <row r="65" spans="1:27">
      <c r="A65" s="179" t="s">
        <v>717</v>
      </c>
      <c r="B65" s="213" t="s">
        <v>3298</v>
      </c>
      <c r="C65" s="180" t="s">
        <v>973</v>
      </c>
      <c r="D65" s="190" t="s">
        <v>2025</v>
      </c>
      <c r="E65" s="190">
        <v>2</v>
      </c>
      <c r="F65" s="180" t="s">
        <v>2026</v>
      </c>
      <c r="G65" s="180" t="s">
        <v>572</v>
      </c>
      <c r="H65" s="191" t="s">
        <v>1525</v>
      </c>
      <c r="I65" s="209">
        <f>350000+3000000+4000000-1000000+2000000-2000000+8000000-6000000+4000000+4000000-2000000</f>
        <v>14350000</v>
      </c>
      <c r="J65" s="2549">
        <v>12302233</v>
      </c>
      <c r="K65" s="2347">
        <f>3000000+2000000-2000000+45000000+5000000-3000000+546100</f>
        <v>50546100</v>
      </c>
      <c r="L65" s="209">
        <f t="shared" si="42"/>
        <v>50546100</v>
      </c>
      <c r="M65" s="209">
        <f t="shared" si="42"/>
        <v>50546100</v>
      </c>
      <c r="N65" s="209">
        <f>+M65+3010941+1109980</f>
        <v>54667021</v>
      </c>
      <c r="O65" s="209">
        <f t="shared" si="42"/>
        <v>54667021</v>
      </c>
      <c r="P65" s="245">
        <f>6173825+4120921</f>
        <v>10294746</v>
      </c>
      <c r="Q65" s="210">
        <f t="shared" si="18"/>
        <v>0.18831730377259812</v>
      </c>
      <c r="R65" s="209">
        <f t="shared" si="37"/>
        <v>0</v>
      </c>
      <c r="S65" s="209">
        <f t="shared" si="38"/>
        <v>0</v>
      </c>
      <c r="T65" s="209">
        <f t="shared" si="40"/>
        <v>4120921</v>
      </c>
      <c r="U65" s="211">
        <f t="shared" si="39"/>
        <v>0</v>
      </c>
      <c r="V65" s="192">
        <f>+K65/1.27</f>
        <v>39800078.740157478</v>
      </c>
      <c r="W65" s="192">
        <f>+V65*0.27</f>
        <v>10746021.259842519</v>
      </c>
      <c r="Z65" s="245">
        <f t="shared" si="9"/>
        <v>44372275</v>
      </c>
    </row>
    <row r="66" spans="1:27">
      <c r="A66" s="179" t="s">
        <v>759</v>
      </c>
      <c r="B66" s="213" t="s">
        <v>115</v>
      </c>
      <c r="C66" s="180" t="s">
        <v>973</v>
      </c>
      <c r="D66" s="190" t="s">
        <v>2027</v>
      </c>
      <c r="E66" s="190">
        <v>2</v>
      </c>
      <c r="F66" s="180" t="s">
        <v>975</v>
      </c>
      <c r="G66" s="180" t="s">
        <v>2028</v>
      </c>
      <c r="H66" s="191" t="s">
        <v>1525</v>
      </c>
      <c r="I66" s="209">
        <f>2000000+94000000+2000000+460000+1000000-1000000+10000000</f>
        <v>108460000</v>
      </c>
      <c r="J66" s="2549">
        <v>91194660</v>
      </c>
      <c r="K66" s="2347">
        <f>12000000+45000000+2000000-1000000+10000000-4140000</f>
        <v>63860000</v>
      </c>
      <c r="L66" s="209">
        <f t="shared" si="42"/>
        <v>63860000</v>
      </c>
      <c r="M66" s="209">
        <f t="shared" si="42"/>
        <v>63860000</v>
      </c>
      <c r="N66" s="209">
        <f t="shared" si="42"/>
        <v>63860000</v>
      </c>
      <c r="O66" s="209">
        <f t="shared" si="42"/>
        <v>63860000</v>
      </c>
      <c r="P66" s="245">
        <f>53364621+9995058+460000</f>
        <v>63819679</v>
      </c>
      <c r="Q66" s="210">
        <f t="shared" si="18"/>
        <v>0.99936860319448795</v>
      </c>
      <c r="R66" s="209">
        <f t="shared" si="37"/>
        <v>0</v>
      </c>
      <c r="S66" s="209">
        <f t="shared" si="38"/>
        <v>0</v>
      </c>
      <c r="T66" s="209">
        <f t="shared" si="40"/>
        <v>0</v>
      </c>
      <c r="U66" s="211">
        <f t="shared" si="39"/>
        <v>0</v>
      </c>
      <c r="V66" s="192">
        <f>+K66/1.27</f>
        <v>50283464.566929132</v>
      </c>
      <c r="W66" s="192">
        <f>+V66*0.27</f>
        <v>13576535.433070866</v>
      </c>
      <c r="X66" s="172">
        <f>+N66-52116602</f>
        <v>11743398</v>
      </c>
      <c r="Y66" s="172"/>
      <c r="Z66" s="245">
        <f t="shared" si="9"/>
        <v>40321</v>
      </c>
      <c r="AA66" s="172"/>
    </row>
    <row r="67" spans="1:27" ht="25.5">
      <c r="A67" s="179" t="s">
        <v>776</v>
      </c>
      <c r="B67" s="213" t="s">
        <v>3438</v>
      </c>
      <c r="C67" s="213"/>
      <c r="D67" s="213"/>
      <c r="E67" s="213"/>
      <c r="F67" s="208"/>
      <c r="G67" s="208"/>
      <c r="H67" s="184"/>
      <c r="I67" s="209">
        <f>+I16+I19+I37+I48+I63+I64+I65+I66</f>
        <v>753650707</v>
      </c>
      <c r="J67" s="2549">
        <f t="shared" ref="J67:P67" si="43">+J16+J19+J37+J48+J63+J64+J65+J66</f>
        <v>615057322</v>
      </c>
      <c r="K67" s="2347">
        <f t="shared" si="43"/>
        <v>621835243</v>
      </c>
      <c r="L67" s="209">
        <f t="shared" si="43"/>
        <v>651335243</v>
      </c>
      <c r="M67" s="209">
        <f t="shared" si="43"/>
        <v>686584726</v>
      </c>
      <c r="N67" s="209">
        <f t="shared" si="43"/>
        <v>715294969</v>
      </c>
      <c r="O67" s="209">
        <f t="shared" si="43"/>
        <v>715294969</v>
      </c>
      <c r="P67" s="245">
        <f t="shared" si="43"/>
        <v>592060194</v>
      </c>
      <c r="Q67" s="210">
        <f t="shared" si="18"/>
        <v>0.82771474658589417</v>
      </c>
      <c r="R67" s="209">
        <f t="shared" si="37"/>
        <v>29500000</v>
      </c>
      <c r="S67" s="209">
        <f t="shared" si="38"/>
        <v>35249483</v>
      </c>
      <c r="T67" s="209">
        <f t="shared" si="40"/>
        <v>28710243</v>
      </c>
      <c r="U67" s="211">
        <f t="shared" si="39"/>
        <v>0</v>
      </c>
      <c r="V67" s="209"/>
      <c r="W67" s="209"/>
      <c r="Z67" s="245">
        <f t="shared" si="9"/>
        <v>123234775</v>
      </c>
    </row>
    <row r="68" spans="1:27" hidden="1">
      <c r="A68" s="179"/>
      <c r="B68" s="207" t="s">
        <v>2029</v>
      </c>
      <c r="C68" s="207"/>
      <c r="D68" s="207"/>
      <c r="E68" s="207"/>
      <c r="F68" s="214"/>
      <c r="G68" s="214"/>
      <c r="H68" s="180"/>
      <c r="I68" s="192"/>
      <c r="J68" s="2550"/>
      <c r="K68" s="2219"/>
      <c r="L68" s="192"/>
      <c r="M68" s="192"/>
      <c r="N68" s="192"/>
      <c r="O68" s="192"/>
      <c r="P68" s="538"/>
      <c r="Q68" s="193" t="e">
        <f t="shared" si="18"/>
        <v>#DIV/0!</v>
      </c>
      <c r="R68" s="192"/>
      <c r="S68" s="192"/>
      <c r="T68" s="192"/>
      <c r="U68" s="194"/>
      <c r="V68" s="192"/>
      <c r="W68" s="192"/>
      <c r="Z68" s="538">
        <f t="shared" si="9"/>
        <v>0</v>
      </c>
    </row>
    <row r="69" spans="1:27" ht="13.5" customHeight="1">
      <c r="A69" s="179" t="s">
        <v>834</v>
      </c>
      <c r="B69" s="214" t="s">
        <v>103</v>
      </c>
      <c r="C69" s="180" t="s">
        <v>512</v>
      </c>
      <c r="D69" s="190" t="s">
        <v>2030</v>
      </c>
      <c r="E69" s="190">
        <v>3</v>
      </c>
      <c r="F69" s="180" t="s">
        <v>742</v>
      </c>
      <c r="G69" s="180" t="s">
        <v>2031</v>
      </c>
      <c r="H69" s="191" t="s">
        <v>1925</v>
      </c>
      <c r="I69" s="192">
        <f>80000000-2000000</f>
        <v>78000000</v>
      </c>
      <c r="J69" s="2550">
        <v>70141919</v>
      </c>
      <c r="K69" s="2219">
        <f>81000000-3000000</f>
        <v>78000000</v>
      </c>
      <c r="L69" s="192">
        <f t="shared" ref="L69:O71" si="44">+K69</f>
        <v>78000000</v>
      </c>
      <c r="M69" s="192">
        <f t="shared" si="44"/>
        <v>78000000</v>
      </c>
      <c r="N69" s="192">
        <f t="shared" si="44"/>
        <v>78000000</v>
      </c>
      <c r="O69" s="192">
        <f t="shared" si="44"/>
        <v>78000000</v>
      </c>
      <c r="P69" s="538">
        <v>44717294</v>
      </c>
      <c r="Q69" s="193">
        <f t="shared" si="18"/>
        <v>0.57329864102564099</v>
      </c>
      <c r="R69" s="192">
        <f t="shared" ref="R69:R86" si="45">+L69-K69</f>
        <v>0</v>
      </c>
      <c r="S69" s="192">
        <f t="shared" ref="S69:S86" si="46">+M69-L69</f>
        <v>0</v>
      </c>
      <c r="T69" s="192">
        <f t="shared" ref="T69:T86" si="47">+N69-M69</f>
        <v>0</v>
      </c>
      <c r="U69" s="194">
        <f t="shared" ref="U69:U86" si="48">+O69-N69</f>
        <v>0</v>
      </c>
      <c r="V69" s="192">
        <f>+K69/1.27</f>
        <v>61417322.834645666</v>
      </c>
      <c r="W69" s="192">
        <f>+V69*0.27</f>
        <v>16582677.16535433</v>
      </c>
      <c r="Z69" s="538">
        <f t="shared" si="9"/>
        <v>33282706</v>
      </c>
      <c r="AA69" s="172">
        <f>44759294-P69</f>
        <v>42000</v>
      </c>
    </row>
    <row r="70" spans="1:27" s="203" customFormat="1" ht="13.5" hidden="1" customHeight="1">
      <c r="A70" s="196" t="s">
        <v>3688</v>
      </c>
      <c r="B70" s="530" t="s">
        <v>3667</v>
      </c>
      <c r="C70" s="197" t="s">
        <v>730</v>
      </c>
      <c r="D70" s="198" t="s">
        <v>2032</v>
      </c>
      <c r="E70" s="198">
        <v>3</v>
      </c>
      <c r="F70" s="197" t="s">
        <v>732</v>
      </c>
      <c r="G70" s="197" t="s">
        <v>733</v>
      </c>
      <c r="H70" s="204" t="s">
        <v>1525</v>
      </c>
      <c r="I70" s="192">
        <f>6500000</f>
        <v>6500000</v>
      </c>
      <c r="J70" s="2550">
        <v>6978977</v>
      </c>
      <c r="K70" s="2219">
        <v>7350000</v>
      </c>
      <c r="L70" s="192">
        <f t="shared" si="44"/>
        <v>7350000</v>
      </c>
      <c r="M70" s="192">
        <f t="shared" si="44"/>
        <v>7350000</v>
      </c>
      <c r="N70" s="192">
        <f t="shared" si="44"/>
        <v>7350000</v>
      </c>
      <c r="O70" s="199">
        <f t="shared" si="44"/>
        <v>7350000</v>
      </c>
      <c r="P70" s="626">
        <f>6041334-125000+93017+16318+1903+889</f>
        <v>6028461</v>
      </c>
      <c r="Q70" s="200">
        <f t="shared" si="18"/>
        <v>0.82019877551020404</v>
      </c>
      <c r="R70" s="199">
        <f t="shared" si="45"/>
        <v>0</v>
      </c>
      <c r="S70" s="199">
        <f t="shared" si="46"/>
        <v>0</v>
      </c>
      <c r="T70" s="199">
        <f t="shared" si="47"/>
        <v>0</v>
      </c>
      <c r="U70" s="201">
        <f t="shared" si="48"/>
        <v>0</v>
      </c>
      <c r="V70" s="192">
        <f>+K70/1.27</f>
        <v>5787401.5748031493</v>
      </c>
      <c r="W70" s="192">
        <f>+V70*0.27</f>
        <v>1562598.4251968504</v>
      </c>
      <c r="Z70" s="626">
        <f t="shared" si="9"/>
        <v>1321539</v>
      </c>
      <c r="AA70" s="1269">
        <f>6028461-P70</f>
        <v>0</v>
      </c>
    </row>
    <row r="71" spans="1:27" s="203" customFormat="1" ht="13.5" hidden="1" customHeight="1">
      <c r="A71" s="196" t="s">
        <v>3688</v>
      </c>
      <c r="B71" s="530" t="s">
        <v>3668</v>
      </c>
      <c r="C71" s="197" t="s">
        <v>736</v>
      </c>
      <c r="D71" s="198" t="s">
        <v>2033</v>
      </c>
      <c r="E71" s="198">
        <v>3</v>
      </c>
      <c r="F71" s="197" t="s">
        <v>732</v>
      </c>
      <c r="G71" s="197" t="s">
        <v>733</v>
      </c>
      <c r="H71" s="204" t="s">
        <v>1525</v>
      </c>
      <c r="I71" s="199">
        <f>38730+2000000+500000</f>
        <v>2538730</v>
      </c>
      <c r="J71" s="2550">
        <v>3482337</v>
      </c>
      <c r="K71" s="2250">
        <f>512000*12+2000000+1600000-8000000</f>
        <v>1744000</v>
      </c>
      <c r="L71" s="192">
        <f>+K71+200000+529583+1000000</f>
        <v>3473583</v>
      </c>
      <c r="M71" s="192">
        <f>+L71+157481+200000+850000</f>
        <v>4681064</v>
      </c>
      <c r="N71" s="192">
        <f t="shared" si="44"/>
        <v>4681064</v>
      </c>
      <c r="O71" s="199">
        <f t="shared" si="44"/>
        <v>4681064</v>
      </c>
      <c r="P71" s="626">
        <f>2357444+512000+8052+66792+10016</f>
        <v>2954304</v>
      </c>
      <c r="Q71" s="200">
        <f t="shared" si="18"/>
        <v>0.63111805350236616</v>
      </c>
      <c r="R71" s="199">
        <f t="shared" si="45"/>
        <v>1729583</v>
      </c>
      <c r="S71" s="199">
        <f t="shared" si="46"/>
        <v>1207481</v>
      </c>
      <c r="T71" s="199">
        <f t="shared" si="47"/>
        <v>0</v>
      </c>
      <c r="U71" s="201">
        <f t="shared" si="48"/>
        <v>0</v>
      </c>
      <c r="V71" s="192">
        <f>+K71/1.27</f>
        <v>1373228.3464566928</v>
      </c>
      <c r="W71" s="192">
        <f>+V71*0.27</f>
        <v>370771.6535433071</v>
      </c>
      <c r="Z71" s="626">
        <f t="shared" si="9"/>
        <v>1726760</v>
      </c>
      <c r="AA71" s="1269">
        <f>4133070-P71</f>
        <v>1178766</v>
      </c>
    </row>
    <row r="72" spans="1:27">
      <c r="A72" s="179" t="s">
        <v>862</v>
      </c>
      <c r="B72" s="214" t="s">
        <v>2034</v>
      </c>
      <c r="C72" s="180"/>
      <c r="D72" s="190"/>
      <c r="E72" s="190"/>
      <c r="F72" s="180"/>
      <c r="G72" s="180"/>
      <c r="H72" s="191" t="s">
        <v>1525</v>
      </c>
      <c r="I72" s="192">
        <f>SUM(I70:I71)</f>
        <v>9038730</v>
      </c>
      <c r="J72" s="2550">
        <f t="shared" ref="J72:O72" si="49">SUM(J70:J71)</f>
        <v>10461314</v>
      </c>
      <c r="K72" s="2219">
        <f t="shared" si="49"/>
        <v>9094000</v>
      </c>
      <c r="L72" s="192">
        <f t="shared" si="49"/>
        <v>10823583</v>
      </c>
      <c r="M72" s="192">
        <f>SUM(M70:M71)</f>
        <v>12031064</v>
      </c>
      <c r="N72" s="192">
        <f t="shared" si="49"/>
        <v>12031064</v>
      </c>
      <c r="O72" s="192">
        <f t="shared" si="49"/>
        <v>12031064</v>
      </c>
      <c r="P72" s="538">
        <f>SUM(P70:P71)</f>
        <v>8982765</v>
      </c>
      <c r="Q72" s="193">
        <f t="shared" si="18"/>
        <v>0.74663097129231459</v>
      </c>
      <c r="R72" s="192">
        <f t="shared" si="45"/>
        <v>1729583</v>
      </c>
      <c r="S72" s="192">
        <f t="shared" si="46"/>
        <v>1207481</v>
      </c>
      <c r="T72" s="192">
        <f t="shared" si="47"/>
        <v>0</v>
      </c>
      <c r="U72" s="194">
        <f t="shared" si="48"/>
        <v>0</v>
      </c>
      <c r="V72" s="192"/>
      <c r="W72" s="192"/>
      <c r="Z72" s="538">
        <f t="shared" ref="Z72:Z86" si="50">+N72-P72</f>
        <v>3048299</v>
      </c>
    </row>
    <row r="73" spans="1:27" ht="60">
      <c r="A73" s="1633" t="s">
        <v>3532</v>
      </c>
      <c r="B73" s="3000" t="s">
        <v>3939</v>
      </c>
      <c r="C73" s="180" t="s">
        <v>599</v>
      </c>
      <c r="D73" s="190" t="s">
        <v>3533</v>
      </c>
      <c r="E73" s="190">
        <v>3</v>
      </c>
      <c r="F73" s="180" t="s">
        <v>975</v>
      </c>
      <c r="G73" s="180" t="s">
        <v>572</v>
      </c>
      <c r="H73" s="191" t="s">
        <v>1506</v>
      </c>
      <c r="I73" s="192">
        <v>0</v>
      </c>
      <c r="J73" s="2550">
        <v>2996650</v>
      </c>
      <c r="K73" s="2219">
        <v>0</v>
      </c>
      <c r="L73" s="192">
        <f t="shared" ref="L73:O75" si="51">+K73</f>
        <v>0</v>
      </c>
      <c r="M73" s="192">
        <f t="shared" si="51"/>
        <v>0</v>
      </c>
      <c r="N73" s="192">
        <f>+M73+8192+4096</f>
        <v>12288</v>
      </c>
      <c r="O73" s="192">
        <f t="shared" si="51"/>
        <v>12288</v>
      </c>
      <c r="P73" s="538">
        <f>0+12288</f>
        <v>12288</v>
      </c>
      <c r="Q73" s="193">
        <f t="shared" si="18"/>
        <v>1</v>
      </c>
      <c r="R73" s="192">
        <f t="shared" si="45"/>
        <v>0</v>
      </c>
      <c r="S73" s="192">
        <f t="shared" si="46"/>
        <v>0</v>
      </c>
      <c r="T73" s="192">
        <f t="shared" si="47"/>
        <v>12288</v>
      </c>
      <c r="U73" s="194">
        <f t="shared" si="48"/>
        <v>0</v>
      </c>
      <c r="V73" s="192">
        <f>+K73/1.27</f>
        <v>0</v>
      </c>
      <c r="W73" s="192">
        <f>+V73*0.27</f>
        <v>0</v>
      </c>
      <c r="X73" s="171" t="s">
        <v>3531</v>
      </c>
      <c r="Z73" s="538">
        <f t="shared" si="50"/>
        <v>0</v>
      </c>
    </row>
    <row r="74" spans="1:27" ht="15.75" customHeight="1">
      <c r="A74" s="1594" t="s">
        <v>870</v>
      </c>
      <c r="B74" s="214" t="s">
        <v>3276</v>
      </c>
      <c r="C74" s="180" t="s">
        <v>512</v>
      </c>
      <c r="D74" s="190" t="s">
        <v>3236</v>
      </c>
      <c r="E74" s="190">
        <v>3</v>
      </c>
      <c r="F74" s="180" t="s">
        <v>3468</v>
      </c>
      <c r="G74" s="180" t="s">
        <v>572</v>
      </c>
      <c r="H74" s="180"/>
      <c r="I74" s="192">
        <f>0+12*50000+80000*12</f>
        <v>1560000</v>
      </c>
      <c r="J74" s="2550">
        <v>7820167</v>
      </c>
      <c r="K74" s="2219">
        <f>5000000</f>
        <v>5000000</v>
      </c>
      <c r="L74" s="192">
        <f>+K74</f>
        <v>5000000</v>
      </c>
      <c r="M74" s="192">
        <f>+L74</f>
        <v>5000000</v>
      </c>
      <c r="N74" s="192">
        <f>+M74</f>
        <v>5000000</v>
      </c>
      <c r="O74" s="192">
        <f t="shared" si="51"/>
        <v>5000000</v>
      </c>
      <c r="P74" s="538">
        <f>3204606-93017</f>
        <v>3111589</v>
      </c>
      <c r="Q74" s="193">
        <f t="shared" si="18"/>
        <v>0.62231780000000003</v>
      </c>
      <c r="R74" s="192">
        <f t="shared" si="45"/>
        <v>0</v>
      </c>
      <c r="S74" s="192">
        <f t="shared" si="46"/>
        <v>0</v>
      </c>
      <c r="T74" s="192">
        <f t="shared" si="47"/>
        <v>0</v>
      </c>
      <c r="U74" s="194">
        <f t="shared" si="48"/>
        <v>0</v>
      </c>
      <c r="V74" s="192"/>
      <c r="W74" s="192"/>
      <c r="Z74" s="538">
        <f t="shared" si="50"/>
        <v>1888411</v>
      </c>
      <c r="AA74" s="172">
        <f>3111589-P74</f>
        <v>0</v>
      </c>
    </row>
    <row r="75" spans="1:27">
      <c r="A75" s="179" t="s">
        <v>889</v>
      </c>
      <c r="B75" s="214" t="s">
        <v>3833</v>
      </c>
      <c r="C75" s="180" t="s">
        <v>599</v>
      </c>
      <c r="D75" s="190" t="s">
        <v>3293</v>
      </c>
      <c r="E75" s="190">
        <v>3</v>
      </c>
      <c r="F75" s="180" t="s">
        <v>3292</v>
      </c>
      <c r="G75" s="180"/>
      <c r="H75" s="180"/>
      <c r="I75" s="192">
        <v>0</v>
      </c>
      <c r="J75" s="2550">
        <v>0</v>
      </c>
      <c r="K75" s="2219">
        <f>1500000</f>
        <v>1500000</v>
      </c>
      <c r="L75" s="192">
        <f t="shared" si="51"/>
        <v>1500000</v>
      </c>
      <c r="M75" s="192">
        <f t="shared" si="51"/>
        <v>1500000</v>
      </c>
      <c r="N75" s="192">
        <f>+M75</f>
        <v>1500000</v>
      </c>
      <c r="O75" s="192">
        <f t="shared" si="51"/>
        <v>1500000</v>
      </c>
      <c r="P75" s="538">
        <v>1487980</v>
      </c>
      <c r="Q75" s="193">
        <f t="shared" si="18"/>
        <v>0.99198666666666668</v>
      </c>
      <c r="R75" s="192">
        <f>+L75-K75</f>
        <v>0</v>
      </c>
      <c r="S75" s="192">
        <f>+M75-L75</f>
        <v>0</v>
      </c>
      <c r="T75" s="192">
        <f t="shared" si="47"/>
        <v>0</v>
      </c>
      <c r="U75" s="194">
        <f t="shared" si="48"/>
        <v>0</v>
      </c>
      <c r="V75" s="192"/>
      <c r="W75" s="192"/>
      <c r="Z75" s="538">
        <f t="shared" si="50"/>
        <v>12020</v>
      </c>
    </row>
    <row r="76" spans="1:27">
      <c r="A76" s="179" t="s">
        <v>911</v>
      </c>
      <c r="B76" s="214" t="s">
        <v>2035</v>
      </c>
      <c r="C76" s="180" t="s">
        <v>583</v>
      </c>
      <c r="D76" s="190" t="s">
        <v>2036</v>
      </c>
      <c r="E76" s="190">
        <v>3</v>
      </c>
      <c r="F76" s="180" t="s">
        <v>588</v>
      </c>
      <c r="G76" s="180" t="s">
        <v>572</v>
      </c>
      <c r="H76" s="191" t="s">
        <v>1925</v>
      </c>
      <c r="I76" s="192">
        <f>4000000-1000000</f>
        <v>3000000</v>
      </c>
      <c r="J76" s="2550">
        <v>916516</v>
      </c>
      <c r="K76" s="2219">
        <f>540000+793750+350000+500000+900000+200000+150000+500000+66250-1000000</f>
        <v>3000000</v>
      </c>
      <c r="L76" s="192">
        <f t="shared" ref="L76:L84" si="52">+K76</f>
        <v>3000000</v>
      </c>
      <c r="M76" s="192">
        <f t="shared" ref="M76:M84" si="53">+L76</f>
        <v>3000000</v>
      </c>
      <c r="N76" s="192">
        <f t="shared" ref="N76:N83" si="54">+M76</f>
        <v>3000000</v>
      </c>
      <c r="O76" s="192">
        <f t="shared" ref="O76:O84" si="55">+N76</f>
        <v>3000000</v>
      </c>
      <c r="P76" s="538">
        <v>273945</v>
      </c>
      <c r="Q76" s="193">
        <f t="shared" si="18"/>
        <v>9.1314999999999993E-2</v>
      </c>
      <c r="R76" s="192">
        <f t="shared" si="45"/>
        <v>0</v>
      </c>
      <c r="S76" s="192">
        <f t="shared" si="46"/>
        <v>0</v>
      </c>
      <c r="T76" s="192">
        <f t="shared" si="47"/>
        <v>0</v>
      </c>
      <c r="U76" s="194">
        <f t="shared" si="48"/>
        <v>0</v>
      </c>
      <c r="V76" s="192">
        <f>+K76/1.27</f>
        <v>2362204.7244094489</v>
      </c>
      <c r="W76" s="192">
        <f>+V76*0.27</f>
        <v>637795.2755905512</v>
      </c>
      <c r="Z76" s="538">
        <f t="shared" si="50"/>
        <v>2726055</v>
      </c>
    </row>
    <row r="77" spans="1:27">
      <c r="A77" s="179" t="s">
        <v>1405</v>
      </c>
      <c r="B77" s="214" t="s">
        <v>3024</v>
      </c>
      <c r="C77" s="180" t="s">
        <v>599</v>
      </c>
      <c r="D77" s="190" t="s">
        <v>2037</v>
      </c>
      <c r="E77" s="190">
        <v>3</v>
      </c>
      <c r="F77" s="180" t="s">
        <v>2038</v>
      </c>
      <c r="G77" s="180" t="s">
        <v>572</v>
      </c>
      <c r="H77" s="191" t="s">
        <v>2039</v>
      </c>
      <c r="I77" s="192">
        <f>500000</f>
        <v>500000</v>
      </c>
      <c r="J77" s="2550">
        <v>0</v>
      </c>
      <c r="K77" s="2219">
        <f>500000</f>
        <v>500000</v>
      </c>
      <c r="L77" s="192">
        <f t="shared" si="52"/>
        <v>500000</v>
      </c>
      <c r="M77" s="192">
        <f t="shared" si="53"/>
        <v>500000</v>
      </c>
      <c r="N77" s="192">
        <f t="shared" si="54"/>
        <v>500000</v>
      </c>
      <c r="O77" s="192">
        <f t="shared" si="55"/>
        <v>500000</v>
      </c>
      <c r="P77" s="538">
        <v>0</v>
      </c>
      <c r="Q77" s="193">
        <f t="shared" si="18"/>
        <v>0</v>
      </c>
      <c r="R77" s="192">
        <f t="shared" si="45"/>
        <v>0</v>
      </c>
      <c r="S77" s="192">
        <f t="shared" si="46"/>
        <v>0</v>
      </c>
      <c r="T77" s="192">
        <f t="shared" si="47"/>
        <v>0</v>
      </c>
      <c r="U77" s="194">
        <f t="shared" si="48"/>
        <v>0</v>
      </c>
      <c r="V77" s="192">
        <f>+K77/1.27</f>
        <v>393700.78740157478</v>
      </c>
      <c r="W77" s="192">
        <f>+V77*0.27</f>
        <v>106299.21259842519</v>
      </c>
      <c r="Z77" s="538">
        <f t="shared" si="50"/>
        <v>500000</v>
      </c>
    </row>
    <row r="78" spans="1:27">
      <c r="A78" s="179" t="s">
        <v>942</v>
      </c>
      <c r="B78" s="214" t="s">
        <v>3023</v>
      </c>
      <c r="C78" s="180"/>
      <c r="D78" s="190"/>
      <c r="E78" s="1814">
        <v>3</v>
      </c>
      <c r="F78" s="180"/>
      <c r="G78" s="180"/>
      <c r="H78" s="191"/>
      <c r="I78" s="192">
        <f>800000</f>
        <v>800000</v>
      </c>
      <c r="J78" s="2550">
        <v>0</v>
      </c>
      <c r="K78" s="2219">
        <f>800000-800000</f>
        <v>0</v>
      </c>
      <c r="L78" s="192">
        <f>+K78</f>
        <v>0</v>
      </c>
      <c r="M78" s="192">
        <f t="shared" si="53"/>
        <v>0</v>
      </c>
      <c r="N78" s="192">
        <f>+M78</f>
        <v>0</v>
      </c>
      <c r="O78" s="192">
        <f>+N78</f>
        <v>0</v>
      </c>
      <c r="P78" s="538">
        <v>0</v>
      </c>
      <c r="Q78" s="193"/>
      <c r="R78" s="192">
        <f>+L78-K78</f>
        <v>0</v>
      </c>
      <c r="S78" s="192">
        <f>+M78-L78</f>
        <v>0</v>
      </c>
      <c r="T78" s="192">
        <f>+N78-M78</f>
        <v>0</v>
      </c>
      <c r="U78" s="194">
        <f>+O78-N78</f>
        <v>0</v>
      </c>
      <c r="V78" s="192"/>
      <c r="W78" s="192"/>
      <c r="Z78" s="538">
        <f t="shared" si="50"/>
        <v>0</v>
      </c>
    </row>
    <row r="79" spans="1:27">
      <c r="A79" s="179" t="s">
        <v>944</v>
      </c>
      <c r="B79" s="214" t="s">
        <v>2040</v>
      </c>
      <c r="C79" s="180" t="s">
        <v>2041</v>
      </c>
      <c r="D79" s="190" t="s">
        <v>2042</v>
      </c>
      <c r="E79" s="190">
        <v>3</v>
      </c>
      <c r="F79" s="180" t="s">
        <v>534</v>
      </c>
      <c r="G79" s="180" t="s">
        <v>572</v>
      </c>
      <c r="H79" s="191" t="s">
        <v>2043</v>
      </c>
      <c r="I79" s="192">
        <f>27000000</f>
        <v>27000000</v>
      </c>
      <c r="J79" s="2550">
        <v>31731958</v>
      </c>
      <c r="K79" s="2219">
        <f>35000000-2000000</f>
        <v>33000000</v>
      </c>
      <c r="L79" s="192">
        <f t="shared" si="52"/>
        <v>33000000</v>
      </c>
      <c r="M79" s="192">
        <f t="shared" si="53"/>
        <v>33000000</v>
      </c>
      <c r="N79" s="192">
        <f>+M79+3800000+395946-2096650</f>
        <v>35099296</v>
      </c>
      <c r="O79" s="192">
        <f t="shared" si="55"/>
        <v>35099296</v>
      </c>
      <c r="P79" s="538">
        <v>11398194</v>
      </c>
      <c r="Q79" s="193">
        <f t="shared" ref="Q79:Q86" si="56">+P79/N79</f>
        <v>0.32474138512635697</v>
      </c>
      <c r="R79" s="192">
        <f t="shared" si="45"/>
        <v>0</v>
      </c>
      <c r="S79" s="192">
        <f t="shared" si="46"/>
        <v>0</v>
      </c>
      <c r="T79" s="192">
        <f t="shared" si="47"/>
        <v>2099296</v>
      </c>
      <c r="U79" s="194">
        <f t="shared" si="48"/>
        <v>0</v>
      </c>
      <c r="V79" s="192">
        <f>+K79/1.27</f>
        <v>25984251.968503937</v>
      </c>
      <c r="W79" s="192">
        <f>+V79*0.27</f>
        <v>7015748.0314960638</v>
      </c>
      <c r="Z79" s="538">
        <f t="shared" si="50"/>
        <v>23701102</v>
      </c>
    </row>
    <row r="80" spans="1:27">
      <c r="A80" s="179" t="s">
        <v>947</v>
      </c>
      <c r="B80" s="214" t="s">
        <v>2044</v>
      </c>
      <c r="C80" s="180" t="s">
        <v>599</v>
      </c>
      <c r="D80" s="190" t="s">
        <v>2045</v>
      </c>
      <c r="E80" s="190">
        <v>3</v>
      </c>
      <c r="F80" s="180" t="s">
        <v>534</v>
      </c>
      <c r="G80" s="180" t="s">
        <v>572</v>
      </c>
      <c r="H80" s="191" t="s">
        <v>2046</v>
      </c>
      <c r="I80" s="192">
        <f>669000+9331000</f>
        <v>10000000</v>
      </c>
      <c r="J80" s="2550">
        <v>4124116</v>
      </c>
      <c r="K80" s="2219">
        <f>669000+9331000-5000000</f>
        <v>5000000</v>
      </c>
      <c r="L80" s="192">
        <f t="shared" si="52"/>
        <v>5000000</v>
      </c>
      <c r="M80" s="192">
        <f t="shared" si="53"/>
        <v>5000000</v>
      </c>
      <c r="N80" s="192">
        <f t="shared" si="54"/>
        <v>5000000</v>
      </c>
      <c r="O80" s="192">
        <f t="shared" si="55"/>
        <v>5000000</v>
      </c>
      <c r="P80" s="538">
        <v>2963080</v>
      </c>
      <c r="Q80" s="193">
        <f t="shared" si="56"/>
        <v>0.59261600000000003</v>
      </c>
      <c r="R80" s="192">
        <f t="shared" si="45"/>
        <v>0</v>
      </c>
      <c r="S80" s="192">
        <f t="shared" si="46"/>
        <v>0</v>
      </c>
      <c r="T80" s="192">
        <f t="shared" si="47"/>
        <v>0</v>
      </c>
      <c r="U80" s="194">
        <f t="shared" si="48"/>
        <v>0</v>
      </c>
      <c r="V80" s="192"/>
      <c r="W80" s="192"/>
      <c r="Z80" s="538">
        <f t="shared" si="50"/>
        <v>2036920</v>
      </c>
    </row>
    <row r="81" spans="1:26">
      <c r="A81" s="179" t="s">
        <v>959</v>
      </c>
      <c r="B81" s="214" t="s">
        <v>2047</v>
      </c>
      <c r="C81" s="180" t="s">
        <v>583</v>
      </c>
      <c r="D81" s="190" t="s">
        <v>2048</v>
      </c>
      <c r="E81" s="190">
        <v>3</v>
      </c>
      <c r="F81" s="180" t="s">
        <v>534</v>
      </c>
      <c r="G81" s="180" t="s">
        <v>572</v>
      </c>
      <c r="H81" s="191" t="s">
        <v>1577</v>
      </c>
      <c r="I81" s="192">
        <f>583540+8916460-1000000+2000000</f>
        <v>10500000</v>
      </c>
      <c r="J81" s="2550">
        <v>5493190</v>
      </c>
      <c r="K81" s="2219">
        <f>11500000-1000000</f>
        <v>10500000</v>
      </c>
      <c r="L81" s="192">
        <f t="shared" si="52"/>
        <v>10500000</v>
      </c>
      <c r="M81" s="192">
        <f t="shared" si="53"/>
        <v>10500000</v>
      </c>
      <c r="N81" s="192">
        <f t="shared" si="54"/>
        <v>10500000</v>
      </c>
      <c r="O81" s="192">
        <f t="shared" si="55"/>
        <v>10500000</v>
      </c>
      <c r="P81" s="538">
        <v>4058398</v>
      </c>
      <c r="Q81" s="193">
        <f t="shared" si="56"/>
        <v>0.38651409523809521</v>
      </c>
      <c r="R81" s="192">
        <f t="shared" si="45"/>
        <v>0</v>
      </c>
      <c r="S81" s="192">
        <f t="shared" si="46"/>
        <v>0</v>
      </c>
      <c r="T81" s="192">
        <f t="shared" si="47"/>
        <v>0</v>
      </c>
      <c r="U81" s="194">
        <f t="shared" si="48"/>
        <v>0</v>
      </c>
      <c r="V81" s="192"/>
      <c r="W81" s="192"/>
      <c r="Z81" s="538">
        <f t="shared" si="50"/>
        <v>6441602</v>
      </c>
    </row>
    <row r="82" spans="1:26">
      <c r="A82" s="179" t="s">
        <v>998</v>
      </c>
      <c r="B82" s="214" t="s">
        <v>3159</v>
      </c>
      <c r="C82" s="180" t="s">
        <v>599</v>
      </c>
      <c r="D82" s="190" t="s">
        <v>3051</v>
      </c>
      <c r="E82" s="1814">
        <v>3</v>
      </c>
      <c r="F82" s="180"/>
      <c r="G82" s="180"/>
      <c r="H82" s="191"/>
      <c r="I82" s="192">
        <f>5000000+20000000</f>
        <v>25000000</v>
      </c>
      <c r="J82" s="2550">
        <v>0</v>
      </c>
      <c r="K82" s="2219">
        <f>5000000+20000000</f>
        <v>25000000</v>
      </c>
      <c r="L82" s="192">
        <f>+K82</f>
        <v>25000000</v>
      </c>
      <c r="M82" s="192">
        <f t="shared" si="53"/>
        <v>25000000</v>
      </c>
      <c r="N82" s="192">
        <f>+M82-5000000</f>
        <v>20000000</v>
      </c>
      <c r="O82" s="192">
        <f>+N82</f>
        <v>20000000</v>
      </c>
      <c r="P82" s="538">
        <v>0</v>
      </c>
      <c r="Q82" s="193">
        <f t="shared" si="56"/>
        <v>0</v>
      </c>
      <c r="R82" s="192">
        <f t="shared" ref="R82:U83" si="57">+L82-K82</f>
        <v>0</v>
      </c>
      <c r="S82" s="192">
        <f t="shared" si="57"/>
        <v>0</v>
      </c>
      <c r="T82" s="192">
        <f t="shared" si="57"/>
        <v>-5000000</v>
      </c>
      <c r="U82" s="194">
        <f t="shared" si="57"/>
        <v>0</v>
      </c>
      <c r="V82" s="192"/>
      <c r="W82" s="192"/>
      <c r="Z82" s="538">
        <f t="shared" si="50"/>
        <v>20000000</v>
      </c>
    </row>
    <row r="83" spans="1:26">
      <c r="A83" s="184" t="s">
        <v>1000</v>
      </c>
      <c r="B83" s="214" t="s">
        <v>3676</v>
      </c>
      <c r="C83" s="180" t="s">
        <v>599</v>
      </c>
      <c r="D83" s="190" t="s">
        <v>3539</v>
      </c>
      <c r="E83" s="190">
        <v>3</v>
      </c>
      <c r="F83" s="180" t="s">
        <v>3540</v>
      </c>
      <c r="G83" s="180" t="s">
        <v>572</v>
      </c>
      <c r="H83" s="191"/>
      <c r="I83" s="192">
        <f>0+11400000</f>
        <v>11400000</v>
      </c>
      <c r="J83" s="2550">
        <v>858686</v>
      </c>
      <c r="K83" s="2219">
        <f>22170131-858686</f>
        <v>21311445</v>
      </c>
      <c r="L83" s="192">
        <f>+K83</f>
        <v>21311445</v>
      </c>
      <c r="M83" s="192">
        <f t="shared" si="53"/>
        <v>21311445</v>
      </c>
      <c r="N83" s="192">
        <f t="shared" si="54"/>
        <v>21311445</v>
      </c>
      <c r="O83" s="192">
        <f>+N83</f>
        <v>21311445</v>
      </c>
      <c r="P83" s="538">
        <v>6838090</v>
      </c>
      <c r="Q83" s="193">
        <f t="shared" si="56"/>
        <v>0.32086468092614084</v>
      </c>
      <c r="R83" s="192">
        <f t="shared" si="57"/>
        <v>0</v>
      </c>
      <c r="S83" s="192">
        <f t="shared" si="57"/>
        <v>0</v>
      </c>
      <c r="T83" s="192">
        <f t="shared" si="57"/>
        <v>0</v>
      </c>
      <c r="U83" s="194">
        <f t="shared" si="57"/>
        <v>0</v>
      </c>
      <c r="V83" s="192"/>
      <c r="W83" s="192"/>
      <c r="Z83" s="538">
        <f t="shared" si="50"/>
        <v>14473355</v>
      </c>
    </row>
    <row r="84" spans="1:26">
      <c r="A84" s="179" t="s">
        <v>1002</v>
      </c>
      <c r="B84" s="214" t="s">
        <v>2049</v>
      </c>
      <c r="C84" s="180" t="s">
        <v>599</v>
      </c>
      <c r="D84" s="190" t="s">
        <v>3050</v>
      </c>
      <c r="E84" s="190">
        <v>3</v>
      </c>
      <c r="F84" s="180"/>
      <c r="G84" s="180"/>
      <c r="H84" s="191"/>
      <c r="I84" s="192">
        <f>39370+5500000-500000</f>
        <v>5039370</v>
      </c>
      <c r="J84" s="2550">
        <v>1765554</v>
      </c>
      <c r="K84" s="2219">
        <f>5000000-3000000</f>
        <v>2000000</v>
      </c>
      <c r="L84" s="192">
        <f t="shared" si="52"/>
        <v>2000000</v>
      </c>
      <c r="M84" s="192">
        <f t="shared" si="53"/>
        <v>2000000</v>
      </c>
      <c r="N84" s="192">
        <f>+M84</f>
        <v>2000000</v>
      </c>
      <c r="O84" s="192">
        <f t="shared" si="55"/>
        <v>2000000</v>
      </c>
      <c r="P84" s="538">
        <v>858393</v>
      </c>
      <c r="Q84" s="193">
        <f t="shared" si="56"/>
        <v>0.42919649999999998</v>
      </c>
      <c r="R84" s="192">
        <f>+L84-K84</f>
        <v>0</v>
      </c>
      <c r="S84" s="192">
        <f t="shared" si="46"/>
        <v>0</v>
      </c>
      <c r="T84" s="192">
        <f t="shared" si="47"/>
        <v>0</v>
      </c>
      <c r="U84" s="194">
        <f t="shared" si="48"/>
        <v>0</v>
      </c>
      <c r="V84" s="192"/>
      <c r="W84" s="192"/>
      <c r="Z84" s="538">
        <f t="shared" si="50"/>
        <v>1141607</v>
      </c>
    </row>
    <row r="85" spans="1:26">
      <c r="A85" s="179" t="s">
        <v>1008</v>
      </c>
      <c r="B85" s="213" t="s">
        <v>3834</v>
      </c>
      <c r="C85" s="213"/>
      <c r="D85" s="213"/>
      <c r="E85" s="213"/>
      <c r="F85" s="208"/>
      <c r="G85" s="208"/>
      <c r="H85" s="184"/>
      <c r="I85" s="209">
        <f t="shared" ref="I85:P85" si="58">SUM(I69:I84)-I72</f>
        <v>181838100</v>
      </c>
      <c r="J85" s="2549">
        <f t="shared" si="58"/>
        <v>136310070</v>
      </c>
      <c r="K85" s="2347">
        <f t="shared" si="58"/>
        <v>193905445</v>
      </c>
      <c r="L85" s="209">
        <f t="shared" si="58"/>
        <v>195635028</v>
      </c>
      <c r="M85" s="209">
        <f t="shared" si="58"/>
        <v>196842509</v>
      </c>
      <c r="N85" s="209">
        <f t="shared" si="58"/>
        <v>193954093</v>
      </c>
      <c r="O85" s="209">
        <f t="shared" si="58"/>
        <v>193954093</v>
      </c>
      <c r="P85" s="245">
        <f t="shared" si="58"/>
        <v>84702016</v>
      </c>
      <c r="Q85" s="210">
        <f t="shared" si="56"/>
        <v>0.4367116707354044</v>
      </c>
      <c r="R85" s="209">
        <f t="shared" si="45"/>
        <v>1729583</v>
      </c>
      <c r="S85" s="209">
        <f t="shared" si="46"/>
        <v>1207481</v>
      </c>
      <c r="T85" s="209">
        <f t="shared" si="47"/>
        <v>-2888416</v>
      </c>
      <c r="U85" s="211">
        <f t="shared" si="48"/>
        <v>0</v>
      </c>
      <c r="V85" s="209"/>
      <c r="W85" s="209"/>
      <c r="Z85" s="245">
        <f t="shared" si="50"/>
        <v>109252077</v>
      </c>
    </row>
    <row r="86" spans="1:26" ht="18.75">
      <c r="A86" s="179" t="s">
        <v>1016</v>
      </c>
      <c r="B86" s="642" t="s">
        <v>3835</v>
      </c>
      <c r="C86" s="642"/>
      <c r="D86" s="642"/>
      <c r="E86" s="642"/>
      <c r="F86" s="218"/>
      <c r="G86" s="218"/>
      <c r="H86" s="219"/>
      <c r="I86" s="221">
        <f t="shared" ref="I86:P86" si="59">+I67+I85</f>
        <v>935488807</v>
      </c>
      <c r="J86" s="2605">
        <f t="shared" si="59"/>
        <v>751367392</v>
      </c>
      <c r="K86" s="2353">
        <f t="shared" si="59"/>
        <v>815740688</v>
      </c>
      <c r="L86" s="221">
        <f t="shared" si="59"/>
        <v>846970271</v>
      </c>
      <c r="M86" s="221">
        <f t="shared" si="59"/>
        <v>883427235</v>
      </c>
      <c r="N86" s="221">
        <f t="shared" si="59"/>
        <v>909249062</v>
      </c>
      <c r="O86" s="221">
        <f t="shared" si="59"/>
        <v>909249062</v>
      </c>
      <c r="P86" s="638">
        <f t="shared" si="59"/>
        <v>676762210</v>
      </c>
      <c r="Q86" s="223">
        <f t="shared" si="56"/>
        <v>0.74430894491260968</v>
      </c>
      <c r="R86" s="221">
        <f t="shared" si="45"/>
        <v>31229583</v>
      </c>
      <c r="S86" s="221">
        <f t="shared" si="46"/>
        <v>36456964</v>
      </c>
      <c r="T86" s="221">
        <f t="shared" si="47"/>
        <v>25821827</v>
      </c>
      <c r="U86" s="224">
        <f t="shared" si="48"/>
        <v>0</v>
      </c>
      <c r="V86" s="221"/>
      <c r="W86" s="221"/>
      <c r="Z86" s="638">
        <f t="shared" si="50"/>
        <v>232486852</v>
      </c>
    </row>
    <row r="87" spans="1:26" hidden="1">
      <c r="I87" s="172">
        <f>+I7+I8+I9+I10+I11+I12+I13+I14+I15+I17+I18+I20+I21+I22+I23+I24+I25+I26+I27+I28+I29+I30+I31+I32+I33+I34+I35+I38+I39+I44+I45+I46+I47+I49+I50+I51+I55+I56+I57+I58+I59+I62+I64+I65+I66+I69+I70+I71+I73+I74+I75+I76+I77+I78+I79+I80+I81+I82+I83+I84</f>
        <v>935488807</v>
      </c>
      <c r="J87" s="172">
        <f>+J7+J8+J9+J10+J11+J12+J13+J14+J15+J17+J18+J20+J21+J22+J23+J24+J25+J26+J27+J28+J29+J30+J31+J32+J33+J34+J35+J38+J39+J44+J45+J46+J47+J49+J50+J51+J55+J56+J57+J58+J59+J62+J64+J65+J66+J69+J70+J71+J73+J74+J75+J76+J77+J78+J79+J80+J81+J82+J83+J84</f>
        <v>751367392</v>
      </c>
      <c r="K87" s="2361">
        <f t="shared" ref="K87:P87" si="60">+K7+K8+K9+K10+K11+K12+K13+K14+K15+K17+K18+K20+K21+K22+K23+K24+K25+K26+K27+K28+K29+K30+K31+K32+K33+K34+K35+K38+K39+K44+K45+K46+K47+K49+K50+K51+K55+K56+K57+K58+K59+K62+K64+K65+K66+K69+K70+K71+K73+K74+K75+K76+K77+K78+K79+K80+K81+K82+K83+K84</f>
        <v>815740688</v>
      </c>
      <c r="L87" s="172">
        <f t="shared" si="60"/>
        <v>846970271</v>
      </c>
      <c r="M87" s="172">
        <f t="shared" si="60"/>
        <v>883427235</v>
      </c>
      <c r="N87" s="172">
        <f t="shared" si="60"/>
        <v>909249062</v>
      </c>
      <c r="O87" s="172">
        <f t="shared" si="60"/>
        <v>909249062</v>
      </c>
      <c r="P87" s="172">
        <f t="shared" si="60"/>
        <v>676762210</v>
      </c>
    </row>
    <row r="88" spans="1:26" ht="24" hidden="1" customHeight="1">
      <c r="C88" s="175"/>
      <c r="D88" s="175"/>
      <c r="E88" s="175"/>
      <c r="H88" s="296"/>
      <c r="I88" s="172">
        <f t="shared" ref="I88:P88" si="61">+I7+I8+I9+I10+I11+I12+I13+I14+I15+I17+I18+I20+I21+I22+I23+I24+I25+I26+I27+I28+I29+I30+I31+I32+I33+I34+I35+I38+I39+I44+I45+I46+I47+I49+I50+I51+I55+I56+I57+I58+I59+I62+I64+I65+I66+I69+I70+I71+I73+I74+I75+I76+I77+I78+I79+I80+I81+I82+I83+I84</f>
        <v>935488807</v>
      </c>
      <c r="J88" s="172">
        <f t="shared" si="61"/>
        <v>751367392</v>
      </c>
      <c r="K88" s="2361">
        <f t="shared" si="61"/>
        <v>815740688</v>
      </c>
      <c r="L88" s="172">
        <f t="shared" si="61"/>
        <v>846970271</v>
      </c>
      <c r="M88" s="172">
        <f t="shared" si="61"/>
        <v>883427235</v>
      </c>
      <c r="N88" s="172">
        <f t="shared" si="61"/>
        <v>909249062</v>
      </c>
      <c r="O88" s="172">
        <f t="shared" si="61"/>
        <v>909249062</v>
      </c>
      <c r="P88" s="172">
        <f t="shared" si="61"/>
        <v>676762210</v>
      </c>
    </row>
    <row r="89" spans="1:26" hidden="1">
      <c r="I89" s="172">
        <f t="shared" ref="I89:P89" si="62">+I86-I88</f>
        <v>0</v>
      </c>
      <c r="J89" s="172">
        <f t="shared" si="62"/>
        <v>0</v>
      </c>
      <c r="K89" s="2361">
        <f t="shared" si="62"/>
        <v>0</v>
      </c>
      <c r="L89" s="172">
        <f t="shared" si="62"/>
        <v>0</v>
      </c>
      <c r="M89" s="172">
        <f t="shared" si="62"/>
        <v>0</v>
      </c>
      <c r="N89" s="172">
        <f t="shared" si="62"/>
        <v>0</v>
      </c>
      <c r="O89" s="172">
        <f t="shared" si="62"/>
        <v>0</v>
      </c>
      <c r="P89" s="172">
        <f t="shared" si="62"/>
        <v>0</v>
      </c>
    </row>
    <row r="92" spans="1:26" hidden="1">
      <c r="I92" s="212">
        <f t="shared" ref="I92:U92" si="63">+I86</f>
        <v>935488807</v>
      </c>
      <c r="J92" s="212">
        <f t="shared" si="63"/>
        <v>751367392</v>
      </c>
      <c r="K92" s="2333">
        <f t="shared" si="63"/>
        <v>815740688</v>
      </c>
      <c r="L92" s="212">
        <f t="shared" si="63"/>
        <v>846970271</v>
      </c>
      <c r="M92" s="212">
        <f t="shared" si="63"/>
        <v>883427235</v>
      </c>
      <c r="N92" s="212">
        <f t="shared" si="63"/>
        <v>909249062</v>
      </c>
      <c r="O92" s="212">
        <f t="shared" si="63"/>
        <v>909249062</v>
      </c>
      <c r="P92" s="212">
        <f t="shared" si="63"/>
        <v>676762210</v>
      </c>
      <c r="Q92" s="212"/>
      <c r="R92" s="212">
        <f t="shared" si="63"/>
        <v>31229583</v>
      </c>
      <c r="S92" s="212">
        <f t="shared" si="63"/>
        <v>36456964</v>
      </c>
      <c r="T92" s="212">
        <f t="shared" si="63"/>
        <v>25821827</v>
      </c>
      <c r="U92" s="212">
        <f t="shared" si="63"/>
        <v>0</v>
      </c>
      <c r="V92" s="212"/>
      <c r="W92" s="212"/>
    </row>
    <row r="93" spans="1:26" hidden="1">
      <c r="I93" s="172">
        <f t="shared" ref="I93:O93" si="64">+I86-I87</f>
        <v>0</v>
      </c>
      <c r="J93" s="172">
        <f t="shared" si="64"/>
        <v>0</v>
      </c>
      <c r="K93" s="2361">
        <f t="shared" si="64"/>
        <v>0</v>
      </c>
      <c r="L93" s="172">
        <f t="shared" si="64"/>
        <v>0</v>
      </c>
      <c r="M93" s="172">
        <f t="shared" si="64"/>
        <v>0</v>
      </c>
      <c r="N93" s="172">
        <f t="shared" si="64"/>
        <v>0</v>
      </c>
      <c r="O93" s="172">
        <f t="shared" si="64"/>
        <v>0</v>
      </c>
    </row>
  </sheetData>
  <sheetProtection algorithmName="SHA-512" hashValue="+oxB48ZugHhDwsaduZEKYMg9L6dAmlMSvu0ql9jH6FBaFl0SJR5x26wpU9FUPPAilyt18BYyREgfm1ViK0luyA==" saltValue="fo3Jn7DHT9cyVcuixhFqCA==" spinCount="100000" sheet="1" selectLockedCells="1" selectUnlockedCells="1"/>
  <mergeCells count="2">
    <mergeCell ref="A1:T1"/>
    <mergeCell ref="A2:T2"/>
  </mergeCells>
  <phoneticPr fontId="143" type="noConversion"/>
  <printOptions horizontalCentered="1"/>
  <pageMargins left="0.39370078740157483" right="0.19685039370078741" top="0.31496062992125984" bottom="0.23622047244094491" header="0.51181102362204722" footer="0.11811023622047245"/>
  <pageSetup paperSize="9" scale="70" firstPageNumber="0" fitToWidth="2" fitToHeight="2" orientation="portrait" r:id="rId1"/>
  <headerFooter alignWithMargins="0">
    <oddFooter>&amp;C&amp;"Arial CE,Félkövér"&amp;12&amp;P/&amp;N</oddFoot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489D-DF4D-422C-8C37-AD2CAFA9F428}">
  <sheetPr>
    <tabColor indexed="13"/>
  </sheetPr>
  <dimension ref="A1:AB91"/>
  <sheetViews>
    <sheetView view="pageBreakPreview" zoomScale="90" zoomScaleSheetLayoutView="90" workbookViewId="0">
      <pane xSplit="9" ySplit="6" topLeftCell="J7" activePane="bottomRight" state="frozen"/>
      <selection sqref="A1:AC1"/>
      <selection pane="topRight" sqref="A1:AC1"/>
      <selection pane="bottomLeft" sqref="A1:AC1"/>
      <selection pane="bottomRight" sqref="A1:AC1"/>
    </sheetView>
  </sheetViews>
  <sheetFormatPr defaultRowHeight="12.75"/>
  <cols>
    <col min="1" max="1" width="7.42578125" style="164" customWidth="1"/>
    <col min="2" max="2" width="70.28515625" style="165" customWidth="1"/>
    <col min="3" max="3" width="5.5703125" style="165" hidden="1" customWidth="1"/>
    <col min="4" max="4" width="8.7109375" style="165" hidden="1" customWidth="1"/>
    <col min="5" max="5" width="3.85546875" style="165" hidden="1" customWidth="1"/>
    <col min="6" max="6" width="8.42578125" style="165" hidden="1" customWidth="1"/>
    <col min="7" max="7" width="13.42578125" style="165" hidden="1" customWidth="1"/>
    <col min="8" max="8" width="8.28515625" style="168" hidden="1" customWidth="1"/>
    <col min="9" max="9" width="15.7109375" style="169" hidden="1" customWidth="1"/>
    <col min="10" max="10" width="15.5703125" style="169" hidden="1" customWidth="1"/>
    <col min="11" max="11" width="13.7109375" style="2332" customWidth="1"/>
    <col min="12" max="13" width="15.7109375" style="169" hidden="1" customWidth="1"/>
    <col min="14" max="14" width="15.7109375" style="169" customWidth="1"/>
    <col min="15" max="15" width="15.7109375" style="169" hidden="1" customWidth="1"/>
    <col min="16" max="16" width="15.7109375" style="169" customWidth="1"/>
    <col min="17" max="17" width="14.140625" style="169" customWidth="1"/>
    <col min="18" max="18" width="14.140625" style="169" hidden="1" customWidth="1"/>
    <col min="19" max="19" width="15" style="169" hidden="1" customWidth="1"/>
    <col min="20" max="20" width="15.7109375" style="169" hidden="1" customWidth="1"/>
    <col min="21" max="21" width="14.140625" style="169" hidden="1" customWidth="1"/>
    <col min="22" max="22" width="13.5703125" style="171" hidden="1" customWidth="1"/>
    <col min="23" max="23" width="0" style="171" hidden="1" customWidth="1"/>
    <col min="24" max="24" width="12.85546875" style="171" hidden="1" customWidth="1"/>
    <col min="25" max="25" width="9.140625" style="171"/>
    <col min="26" max="28" width="9.140625" style="171" hidden="1" customWidth="1"/>
    <col min="29" max="16384" width="9.140625" style="171"/>
  </cols>
  <sheetData>
    <row r="1" spans="1:28" ht="27" customHeight="1">
      <c r="A1" s="3602" t="s">
        <v>4286</v>
      </c>
      <c r="B1" s="3602"/>
      <c r="C1" s="3602"/>
      <c r="D1" s="3602"/>
      <c r="E1" s="3602"/>
      <c r="F1" s="3602"/>
      <c r="G1" s="3602"/>
      <c r="H1" s="3602"/>
      <c r="I1" s="3602"/>
      <c r="J1" s="3602"/>
      <c r="K1" s="3602"/>
      <c r="L1" s="3602"/>
      <c r="M1" s="3602"/>
      <c r="N1" s="3602"/>
      <c r="O1" s="3602"/>
      <c r="P1" s="3602"/>
      <c r="Q1" s="3602"/>
      <c r="R1" s="3546"/>
      <c r="S1" s="3546"/>
      <c r="T1" s="3546"/>
      <c r="U1" s="292"/>
      <c r="Z1" s="171" t="s">
        <v>2050</v>
      </c>
      <c r="AB1" s="172">
        <f>+K7+K20+K25+K26</f>
        <v>88360000</v>
      </c>
    </row>
    <row r="2" spans="1:28" s="174" customFormat="1" ht="21.75" customHeight="1">
      <c r="A2" s="3676" t="s">
        <v>2051</v>
      </c>
      <c r="B2" s="3676"/>
      <c r="C2" s="3676"/>
      <c r="D2" s="3676"/>
      <c r="E2" s="3676"/>
      <c r="F2" s="3676"/>
      <c r="G2" s="3676"/>
      <c r="H2" s="3676"/>
      <c r="I2" s="3676"/>
      <c r="J2" s="3676"/>
      <c r="K2" s="3676"/>
      <c r="L2" s="3676"/>
      <c r="M2" s="3676"/>
      <c r="N2" s="3676"/>
      <c r="O2" s="3676"/>
      <c r="P2" s="3676"/>
      <c r="Q2" s="3676"/>
      <c r="R2" s="3677"/>
      <c r="S2" s="3677"/>
      <c r="T2" s="3677"/>
      <c r="U2" s="2039"/>
      <c r="Z2" s="171" t="s">
        <v>2052</v>
      </c>
      <c r="AB2" s="172">
        <f>+K8+K9+K11+K17+K18+K21</f>
        <v>48210000</v>
      </c>
    </row>
    <row r="3" spans="1:28" s="174" customFormat="1" ht="21" customHeight="1">
      <c r="A3" s="1423"/>
      <c r="B3" s="2040" t="str">
        <f>+'31.mell. Működési kiadások'!B3</f>
        <v>A</v>
      </c>
      <c r="C3" s="2040">
        <f>+'31.mell. Működési kiadások'!C3</f>
        <v>0</v>
      </c>
      <c r="D3" s="2040">
        <f>+'31.mell. Működési kiadások'!D3</f>
        <v>0</v>
      </c>
      <c r="E3" s="2040">
        <f>+'31.mell. Működési kiadások'!E3</f>
        <v>0</v>
      </c>
      <c r="F3" s="2040">
        <f>+'31.mell. Működési kiadások'!F3</f>
        <v>0</v>
      </c>
      <c r="G3" s="2040">
        <f>+'31.mell. Működési kiadások'!G3</f>
        <v>0</v>
      </c>
      <c r="H3" s="2040">
        <f>+'31.mell. Működési kiadások'!H3</f>
        <v>0</v>
      </c>
      <c r="I3" s="2040" t="str">
        <f>+'31.mell. Működési kiadások'!I3</f>
        <v>B</v>
      </c>
      <c r="J3" s="2040" t="str">
        <f>+'31.mell. Működési kiadások'!J3</f>
        <v>B</v>
      </c>
      <c r="K3" s="2362" t="str">
        <f>+'31.mell. Működési kiadások'!K3</f>
        <v>B</v>
      </c>
      <c r="L3" s="2040" t="str">
        <f>+'31.mell. Működési kiadások'!L3</f>
        <v>D</v>
      </c>
      <c r="M3" s="2040" t="str">
        <f>+'31.mell. Működési kiadások'!M3</f>
        <v>E</v>
      </c>
      <c r="N3" s="2040" t="str">
        <f>+'31.mell. Működési kiadások'!N3</f>
        <v>C</v>
      </c>
      <c r="O3" s="2040" t="str">
        <f>+'31.mell. Működési kiadások'!O3</f>
        <v>F</v>
      </c>
      <c r="P3" s="2362" t="str">
        <f>+'31.mell. Működési kiadások'!P3</f>
        <v>D</v>
      </c>
      <c r="Q3" s="2040" t="str">
        <f>+'31.mell. Működési kiadások'!Q3</f>
        <v>E</v>
      </c>
      <c r="R3" s="2040">
        <f>+'31.mell. Működési kiadások'!R3</f>
        <v>0</v>
      </c>
      <c r="S3" s="2040" t="str">
        <f>+'31.mell. Működési kiadások'!S3</f>
        <v>F</v>
      </c>
      <c r="T3" s="2040" t="str">
        <f>+'31.mell. Működési kiadások'!T3</f>
        <v>G</v>
      </c>
      <c r="U3" s="173"/>
    </row>
    <row r="4" spans="1:28" ht="87.6" customHeight="1">
      <c r="A4" s="1423" t="s">
        <v>6</v>
      </c>
      <c r="B4" s="1540" t="s">
        <v>3641</v>
      </c>
      <c r="C4" s="1541" t="s">
        <v>504</v>
      </c>
      <c r="D4" s="1300" t="s">
        <v>505</v>
      </c>
      <c r="E4" s="1541" t="s">
        <v>506</v>
      </c>
      <c r="F4" s="1541" t="s">
        <v>507</v>
      </c>
      <c r="G4" s="1541" t="s">
        <v>508</v>
      </c>
      <c r="H4" s="1541" t="s">
        <v>509</v>
      </c>
      <c r="I4" s="1341" t="str">
        <f>+'1. mell.ÖSSZEVONT_MÉRLEG'!C5</f>
        <v>2024. évi eredeti előirányzat
forintban</v>
      </c>
      <c r="J4" s="2607" t="str">
        <f>+'1. mell.ÖSSZEVONT_MÉRLEG'!D5</f>
        <v>2024. évi teljesítés forintban</v>
      </c>
      <c r="K4" s="2322" t="str">
        <f>+'1. mell.ÖSSZEVONT_MÉRLEG'!E5</f>
        <v>2025. évi eredeti előirányzat forintban</v>
      </c>
      <c r="L4" s="1341" t="str">
        <f>+'1. mell.ÖSSZEVONT_MÉRLEG'!F5</f>
        <v>2025. évi I. számú módosított előirányzat
forintban</v>
      </c>
      <c r="M4" s="1341" t="str">
        <f>+'1. mell.ÖSSZEVONT_MÉRLEG'!G5</f>
        <v>2025. évi II. számú módosított előirányzat forintban</v>
      </c>
      <c r="N4" s="1341" t="str">
        <f>+'1. mell.ÖSSZEVONT_MÉRLEG'!H5</f>
        <v>2025. évi III. számú módosított előirányzat forintban</v>
      </c>
      <c r="O4" s="1341" t="str">
        <f>+'1. mell.ÖSSZEVONT_MÉRLEG'!I5</f>
        <v>2025. évi IV. számú módosított előirányzat forintban</v>
      </c>
      <c r="P4" s="2614" t="str">
        <f>+'1. mell.ÖSSZEVONT_MÉRLEG'!J5</f>
        <v>2025. évi
teljesítés forintban</v>
      </c>
      <c r="Q4" s="1341" t="str">
        <f>+'1. mell.ÖSSZEVONT_MÉRLEG'!K5</f>
        <v xml:space="preserve"> 2025. évi teljesítés / 2025. évi III. számú módosított előirányzat</v>
      </c>
      <c r="R4" s="1341" t="str">
        <f>+'1. mell.ÖSSZEVONT_MÉRLEG'!L5</f>
        <v>Változás I. módosításnál</v>
      </c>
      <c r="S4" s="1341" t="str">
        <f>+'1. mell.ÖSSZEVONT_MÉRLEG'!M5</f>
        <v>Előirányzat-módosítások, előirányzat-átcsoportosítások összegszerű változásai</v>
      </c>
      <c r="T4" s="2546" t="str">
        <f>+'1. mell.ÖSSZEVONT_MÉRLEG'!N5</f>
        <v>Előirányzat-módosítások, előirányzat-átcsoportosítások összegszerű változásai a III. módosításnál</v>
      </c>
      <c r="U4" s="182" t="s">
        <v>175</v>
      </c>
      <c r="V4" s="2614" t="s">
        <v>3984</v>
      </c>
      <c r="X4" s="1341"/>
    </row>
    <row r="5" spans="1:28" hidden="1">
      <c r="A5" s="1423">
        <f>+'31.mell. Működési kiadások'!A5</f>
        <v>1</v>
      </c>
      <c r="B5" s="1423">
        <f>+'31.mell. Működési kiadások'!B5</f>
        <v>2</v>
      </c>
      <c r="C5" s="1423"/>
      <c r="D5" s="1423"/>
      <c r="E5" s="1423"/>
      <c r="F5" s="1423"/>
      <c r="G5" s="1423"/>
      <c r="H5" s="1423"/>
      <c r="I5" s="1423">
        <f>+'31.mell. Működési kiadások'!I5</f>
        <v>3</v>
      </c>
      <c r="J5" s="2578">
        <f>+'31.mell. Működési kiadások'!J5</f>
        <v>0</v>
      </c>
      <c r="K5" s="2327">
        <f>+'31.mell. Működési kiadások'!K5</f>
        <v>3</v>
      </c>
      <c r="L5" s="1423">
        <f>+'31.mell. Működési kiadások'!L5</f>
        <v>4</v>
      </c>
      <c r="M5" s="1423">
        <f>+'31.mell. Működési kiadások'!M5</f>
        <v>5</v>
      </c>
      <c r="N5" s="1423">
        <f>+'31.mell. Működési kiadások'!N5</f>
        <v>6</v>
      </c>
      <c r="O5" s="1423">
        <f>+'31.mell. Működési kiadások'!O5</f>
        <v>7</v>
      </c>
      <c r="P5" s="2615">
        <f>+'31.mell. Működési kiadások'!P5</f>
        <v>0</v>
      </c>
      <c r="Q5" s="1423">
        <f>+'31.mell. Működési kiadások'!Q5</f>
        <v>5</v>
      </c>
      <c r="R5" s="185"/>
      <c r="S5" s="179"/>
      <c r="T5" s="179"/>
      <c r="U5" s="179"/>
      <c r="V5" s="2615"/>
      <c r="X5" s="1423"/>
    </row>
    <row r="6" spans="1:28" hidden="1">
      <c r="A6" s="1423" t="s">
        <v>6</v>
      </c>
      <c r="B6" s="1423" t="s">
        <v>2053</v>
      </c>
      <c r="C6" s="1423"/>
      <c r="D6" s="1423"/>
      <c r="E6" s="1423"/>
      <c r="F6" s="1423"/>
      <c r="G6" s="1423"/>
      <c r="H6" s="1300"/>
      <c r="I6" s="1300"/>
      <c r="J6" s="2608"/>
      <c r="K6" s="2363"/>
      <c r="L6" s="1300"/>
      <c r="M6" s="1300"/>
      <c r="N6" s="1300"/>
      <c r="O6" s="1300"/>
      <c r="P6" s="2616"/>
      <c r="Q6" s="1300"/>
      <c r="R6" s="217"/>
      <c r="S6" s="184"/>
      <c r="T6" s="184"/>
      <c r="U6" s="184"/>
      <c r="V6" s="2616"/>
      <c r="X6" s="1300"/>
    </row>
    <row r="7" spans="1:28" ht="25.5">
      <c r="A7" s="1423" t="s">
        <v>12</v>
      </c>
      <c r="B7" s="1343" t="s">
        <v>3194</v>
      </c>
      <c r="C7" s="1426" t="s">
        <v>569</v>
      </c>
      <c r="D7" s="1300" t="s">
        <v>2054</v>
      </c>
      <c r="E7" s="1300">
        <v>2</v>
      </c>
      <c r="F7" s="1426">
        <v>104051</v>
      </c>
      <c r="G7" s="1300">
        <v>9990001</v>
      </c>
      <c r="H7" s="1300" t="s">
        <v>2055</v>
      </c>
      <c r="I7" s="1701">
        <f>3000000</f>
        <v>3000000</v>
      </c>
      <c r="J7" s="2576">
        <v>0</v>
      </c>
      <c r="K7" s="2325">
        <f>3000000</f>
        <v>3000000</v>
      </c>
      <c r="L7" s="1701">
        <f t="shared" ref="L7:O9" si="0">+K7</f>
        <v>3000000</v>
      </c>
      <c r="M7" s="1701">
        <f>+L7</f>
        <v>3000000</v>
      </c>
      <c r="N7" s="1701">
        <f t="shared" si="0"/>
        <v>3000000</v>
      </c>
      <c r="O7" s="1701">
        <f t="shared" si="0"/>
        <v>3000000</v>
      </c>
      <c r="P7" s="2617">
        <v>0</v>
      </c>
      <c r="Q7" s="2041">
        <f t="shared" ref="Q7:Q30" si="1">+P7/N7</f>
        <v>0</v>
      </c>
      <c r="R7" s="1702">
        <f t="shared" ref="R7:R30" si="2">+L7-K7</f>
        <v>0</v>
      </c>
      <c r="S7" s="209">
        <f t="shared" ref="S7:S30" si="3">+M7-L7</f>
        <v>0</v>
      </c>
      <c r="T7" s="209">
        <f t="shared" ref="T7:T30" si="4">+N7-M7</f>
        <v>0</v>
      </c>
      <c r="U7" s="209">
        <f t="shared" ref="U7:U30" si="5">+O7-N7</f>
        <v>0</v>
      </c>
      <c r="V7" s="2617">
        <f>+N7-P7</f>
        <v>3000000</v>
      </c>
      <c r="W7" s="172"/>
      <c r="X7" s="1701"/>
    </row>
    <row r="8" spans="1:28">
      <c r="A8" s="1423" t="s">
        <v>14</v>
      </c>
      <c r="B8" s="1300" t="s">
        <v>2056</v>
      </c>
      <c r="C8" s="1541" t="s">
        <v>2041</v>
      </c>
      <c r="D8" s="1300" t="s">
        <v>2057</v>
      </c>
      <c r="E8" s="1300">
        <v>3</v>
      </c>
      <c r="F8" s="1541" t="s">
        <v>2058</v>
      </c>
      <c r="G8" s="1300">
        <v>9990001</v>
      </c>
      <c r="H8" s="1300" t="s">
        <v>2059</v>
      </c>
      <c r="I8" s="1365">
        <f>16000000+1000000</f>
        <v>17000000</v>
      </c>
      <c r="J8" s="2575">
        <v>20007000</v>
      </c>
      <c r="K8" s="2321">
        <f>16000000+1000000-1500000</f>
        <v>15500000</v>
      </c>
      <c r="L8" s="1365">
        <f>+K8-200000</f>
        <v>15300000</v>
      </c>
      <c r="M8" s="1365">
        <f>+L8</f>
        <v>15300000</v>
      </c>
      <c r="N8" s="1365">
        <f>+M8+500000+1100000+100000+278000</f>
        <v>17278000</v>
      </c>
      <c r="O8" s="1365">
        <f t="shared" si="0"/>
        <v>17278000</v>
      </c>
      <c r="P8" s="2618">
        <f>17278000-200000</f>
        <v>17078000</v>
      </c>
      <c r="Q8" s="2041">
        <f t="shared" si="1"/>
        <v>0.9884245861789559</v>
      </c>
      <c r="R8" s="1364">
        <f t="shared" si="2"/>
        <v>-200000</v>
      </c>
      <c r="S8" s="192">
        <f t="shared" si="3"/>
        <v>0</v>
      </c>
      <c r="T8" s="192">
        <f t="shared" si="4"/>
        <v>1978000</v>
      </c>
      <c r="U8" s="192">
        <f t="shared" si="5"/>
        <v>0</v>
      </c>
      <c r="V8" s="2618">
        <f t="shared" ref="V8:V30" si="6">+N8-P8</f>
        <v>200000</v>
      </c>
      <c r="W8" s="172"/>
      <c r="X8" s="2196"/>
    </row>
    <row r="9" spans="1:28" hidden="1">
      <c r="A9" s="1300" t="s">
        <v>198</v>
      </c>
      <c r="B9" s="1300" t="s">
        <v>3063</v>
      </c>
      <c r="C9" s="1300" t="s">
        <v>569</v>
      </c>
      <c r="D9" s="1300" t="s">
        <v>3053</v>
      </c>
      <c r="E9" s="1300">
        <v>3</v>
      </c>
      <c r="F9" s="1300" t="s">
        <v>2058</v>
      </c>
      <c r="G9" s="1300">
        <v>9990001</v>
      </c>
      <c r="H9" s="1300"/>
      <c r="I9" s="1365">
        <f>0</f>
        <v>0</v>
      </c>
      <c r="J9" s="2575">
        <v>0</v>
      </c>
      <c r="K9" s="2321">
        <f>0</f>
        <v>0</v>
      </c>
      <c r="L9" s="1365">
        <f t="shared" si="0"/>
        <v>0</v>
      </c>
      <c r="M9" s="1365">
        <f t="shared" si="0"/>
        <v>0</v>
      </c>
      <c r="N9" s="1365">
        <f t="shared" si="0"/>
        <v>0</v>
      </c>
      <c r="O9" s="1365">
        <f t="shared" si="0"/>
        <v>0</v>
      </c>
      <c r="P9" s="2618">
        <v>0</v>
      </c>
      <c r="Q9" s="2041" t="e">
        <f t="shared" si="1"/>
        <v>#DIV/0!</v>
      </c>
      <c r="R9" s="1364">
        <f t="shared" si="2"/>
        <v>0</v>
      </c>
      <c r="S9" s="192">
        <f>+M9-L9</f>
        <v>0</v>
      </c>
      <c r="T9" s="192">
        <f>+N9-M9</f>
        <v>0</v>
      </c>
      <c r="U9" s="192">
        <f>+O9-N9</f>
        <v>0</v>
      </c>
      <c r="V9" s="2618">
        <f t="shared" si="6"/>
        <v>0</v>
      </c>
      <c r="X9" s="1365"/>
    </row>
    <row r="10" spans="1:28">
      <c r="A10" s="1423" t="s">
        <v>15</v>
      </c>
      <c r="B10" s="1347" t="s">
        <v>3475</v>
      </c>
      <c r="C10" s="1426"/>
      <c r="D10" s="1300"/>
      <c r="E10" s="1300">
        <v>3</v>
      </c>
      <c r="F10" s="1426"/>
      <c r="G10" s="1300"/>
      <c r="H10" s="1300" t="s">
        <v>2060</v>
      </c>
      <c r="I10" s="1701">
        <f>+I8+I9</f>
        <v>17000000</v>
      </c>
      <c r="J10" s="2576">
        <f t="shared" ref="J10:P10" si="7">+J8+J9</f>
        <v>20007000</v>
      </c>
      <c r="K10" s="2325">
        <f t="shared" si="7"/>
        <v>15500000</v>
      </c>
      <c r="L10" s="1701">
        <f t="shared" si="7"/>
        <v>15300000</v>
      </c>
      <c r="M10" s="1701">
        <f t="shared" si="7"/>
        <v>15300000</v>
      </c>
      <c r="N10" s="1701">
        <f t="shared" si="7"/>
        <v>17278000</v>
      </c>
      <c r="O10" s="1701">
        <f t="shared" si="7"/>
        <v>17278000</v>
      </c>
      <c r="P10" s="2617">
        <f t="shared" si="7"/>
        <v>17078000</v>
      </c>
      <c r="Q10" s="2225">
        <f t="shared" si="1"/>
        <v>0.9884245861789559</v>
      </c>
      <c r="R10" s="1702">
        <f t="shared" si="2"/>
        <v>-200000</v>
      </c>
      <c r="S10" s="209">
        <f t="shared" si="3"/>
        <v>0</v>
      </c>
      <c r="T10" s="209">
        <f t="shared" si="4"/>
        <v>1978000</v>
      </c>
      <c r="U10" s="209">
        <f t="shared" si="5"/>
        <v>0</v>
      </c>
      <c r="V10" s="2617">
        <f t="shared" si="6"/>
        <v>200000</v>
      </c>
      <c r="W10" s="172"/>
      <c r="X10" s="1701"/>
    </row>
    <row r="11" spans="1:28">
      <c r="A11" s="1423" t="s">
        <v>17</v>
      </c>
      <c r="B11" s="1300" t="s">
        <v>2061</v>
      </c>
      <c r="C11" s="1541" t="s">
        <v>569</v>
      </c>
      <c r="D11" s="1300" t="s">
        <v>2062</v>
      </c>
      <c r="E11" s="1300">
        <v>3</v>
      </c>
      <c r="F11" s="1541" t="s">
        <v>571</v>
      </c>
      <c r="G11" s="1300">
        <v>9990001</v>
      </c>
      <c r="H11" s="1300" t="s">
        <v>2063</v>
      </c>
      <c r="I11" s="1365">
        <f>3570000</f>
        <v>3570000</v>
      </c>
      <c r="J11" s="2575">
        <v>2220000</v>
      </c>
      <c r="K11" s="2321">
        <f>3210000</f>
        <v>3210000</v>
      </c>
      <c r="L11" s="1365">
        <f>+K11</f>
        <v>3210000</v>
      </c>
      <c r="M11" s="1365">
        <f>+L11</f>
        <v>3210000</v>
      </c>
      <c r="N11" s="1365">
        <f>+M11</f>
        <v>3210000</v>
      </c>
      <c r="O11" s="1365">
        <f>+N11</f>
        <v>3210000</v>
      </c>
      <c r="P11" s="2618">
        <v>2040000</v>
      </c>
      <c r="Q11" s="2041">
        <f t="shared" si="1"/>
        <v>0.63551401869158874</v>
      </c>
      <c r="R11" s="1364">
        <f t="shared" si="2"/>
        <v>0</v>
      </c>
      <c r="S11" s="192">
        <f t="shared" si="3"/>
        <v>0</v>
      </c>
      <c r="T11" s="192">
        <f t="shared" si="4"/>
        <v>0</v>
      </c>
      <c r="U11" s="192">
        <f t="shared" si="5"/>
        <v>0</v>
      </c>
      <c r="V11" s="2618">
        <f t="shared" si="6"/>
        <v>1170000</v>
      </c>
      <c r="X11" s="2196"/>
    </row>
    <row r="12" spans="1:28" ht="28.5" customHeight="1">
      <c r="A12" s="1423" t="s">
        <v>19</v>
      </c>
      <c r="B12" s="1347" t="s">
        <v>2064</v>
      </c>
      <c r="C12" s="1300"/>
      <c r="D12" s="1300"/>
      <c r="E12" s="1300"/>
      <c r="F12" s="1300"/>
      <c r="G12" s="1300"/>
      <c r="H12" s="1300" t="s">
        <v>2065</v>
      </c>
      <c r="I12" s="1701">
        <f>+I7+I10+I11</f>
        <v>23570000</v>
      </c>
      <c r="J12" s="2576">
        <f t="shared" ref="J12:P12" si="8">+J7+J10+J11</f>
        <v>22227000</v>
      </c>
      <c r="K12" s="2325">
        <f t="shared" si="8"/>
        <v>21710000</v>
      </c>
      <c r="L12" s="1701">
        <f t="shared" si="8"/>
        <v>21510000</v>
      </c>
      <c r="M12" s="1701">
        <f t="shared" si="8"/>
        <v>21510000</v>
      </c>
      <c r="N12" s="1701">
        <f t="shared" si="8"/>
        <v>23488000</v>
      </c>
      <c r="O12" s="1701">
        <f t="shared" si="8"/>
        <v>23488000</v>
      </c>
      <c r="P12" s="2617">
        <f t="shared" si="8"/>
        <v>19118000</v>
      </c>
      <c r="Q12" s="2225">
        <f t="shared" si="1"/>
        <v>0.81394754768392374</v>
      </c>
      <c r="R12" s="1702">
        <f t="shared" si="2"/>
        <v>-200000</v>
      </c>
      <c r="S12" s="209">
        <f t="shared" si="3"/>
        <v>0</v>
      </c>
      <c r="T12" s="209">
        <f t="shared" si="4"/>
        <v>1978000</v>
      </c>
      <c r="U12" s="209">
        <f t="shared" si="5"/>
        <v>0</v>
      </c>
      <c r="V12" s="2617">
        <f t="shared" si="6"/>
        <v>4370000</v>
      </c>
      <c r="X12" s="1701"/>
    </row>
    <row r="13" spans="1:28" hidden="1">
      <c r="A13" s="1423"/>
      <c r="B13" s="1300" t="s">
        <v>2066</v>
      </c>
      <c r="C13" s="1541" t="s">
        <v>569</v>
      </c>
      <c r="D13" s="1300" t="s">
        <v>2067</v>
      </c>
      <c r="E13" s="1300">
        <v>2</v>
      </c>
      <c r="F13" s="1300">
        <v>104051</v>
      </c>
      <c r="G13" s="1300">
        <v>9990001</v>
      </c>
      <c r="H13" s="1300" t="s">
        <v>2068</v>
      </c>
      <c r="I13" s="1365"/>
      <c r="J13" s="2575"/>
      <c r="K13" s="2321"/>
      <c r="L13" s="1365"/>
      <c r="M13" s="1365"/>
      <c r="N13" s="1365"/>
      <c r="O13" s="1365"/>
      <c r="P13" s="2618"/>
      <c r="Q13" s="2041" t="e">
        <f t="shared" si="1"/>
        <v>#DIV/0!</v>
      </c>
      <c r="R13" s="1702">
        <f t="shared" si="2"/>
        <v>0</v>
      </c>
      <c r="S13" s="209">
        <f t="shared" si="3"/>
        <v>0</v>
      </c>
      <c r="T13" s="209">
        <f t="shared" si="4"/>
        <v>0</v>
      </c>
      <c r="U13" s="209">
        <f t="shared" si="5"/>
        <v>0</v>
      </c>
      <c r="V13" s="2618">
        <f t="shared" si="6"/>
        <v>0</v>
      </c>
      <c r="X13" s="1365"/>
    </row>
    <row r="14" spans="1:28" hidden="1">
      <c r="A14" s="1423" t="s">
        <v>2069</v>
      </c>
      <c r="B14" s="1300" t="s">
        <v>2070</v>
      </c>
      <c r="C14" s="1426" t="s">
        <v>569</v>
      </c>
      <c r="D14" s="1300" t="s">
        <v>2071</v>
      </c>
      <c r="E14" s="1300">
        <v>2</v>
      </c>
      <c r="F14" s="1300">
        <v>104052</v>
      </c>
      <c r="G14" s="1300">
        <v>9990001</v>
      </c>
      <c r="H14" s="1300" t="s">
        <v>2072</v>
      </c>
      <c r="I14" s="1701">
        <v>0</v>
      </c>
      <c r="J14" s="2576">
        <v>0</v>
      </c>
      <c r="K14" s="2325">
        <v>0</v>
      </c>
      <c r="L14" s="1701">
        <f>+K14</f>
        <v>0</v>
      </c>
      <c r="M14" s="1701">
        <f>+L14</f>
        <v>0</v>
      </c>
      <c r="N14" s="1701">
        <f>+M14</f>
        <v>0</v>
      </c>
      <c r="O14" s="1701">
        <f>+N14</f>
        <v>0</v>
      </c>
      <c r="P14" s="2617"/>
      <c r="Q14" s="2041" t="e">
        <f t="shared" si="1"/>
        <v>#DIV/0!</v>
      </c>
      <c r="R14" s="1364">
        <f t="shared" si="2"/>
        <v>0</v>
      </c>
      <c r="S14" s="192">
        <f t="shared" si="3"/>
        <v>0</v>
      </c>
      <c r="T14" s="192">
        <f t="shared" si="4"/>
        <v>0</v>
      </c>
      <c r="U14" s="192">
        <f t="shared" si="5"/>
        <v>0</v>
      </c>
      <c r="V14" s="2617">
        <f t="shared" si="6"/>
        <v>0</v>
      </c>
      <c r="X14" s="1701"/>
    </row>
    <row r="15" spans="1:28" hidden="1">
      <c r="A15" s="1423"/>
      <c r="B15" s="1300" t="s">
        <v>2073</v>
      </c>
      <c r="C15" s="1300"/>
      <c r="D15" s="1300"/>
      <c r="E15" s="1300"/>
      <c r="F15" s="1300"/>
      <c r="G15" s="1300"/>
      <c r="H15" s="1300" t="s">
        <v>2074</v>
      </c>
      <c r="I15" s="1701">
        <f>SUM(I13:I14)</f>
        <v>0</v>
      </c>
      <c r="J15" s="2576">
        <f t="shared" ref="J15:P15" si="9">SUM(J13:J14)</f>
        <v>0</v>
      </c>
      <c r="K15" s="2325">
        <f t="shared" si="9"/>
        <v>0</v>
      </c>
      <c r="L15" s="1701">
        <f t="shared" si="9"/>
        <v>0</v>
      </c>
      <c r="M15" s="1701">
        <f t="shared" si="9"/>
        <v>0</v>
      </c>
      <c r="N15" s="1701">
        <f t="shared" si="9"/>
        <v>0</v>
      </c>
      <c r="O15" s="1701">
        <f t="shared" si="9"/>
        <v>0</v>
      </c>
      <c r="P15" s="2617">
        <f t="shared" si="9"/>
        <v>0</v>
      </c>
      <c r="Q15" s="2041" t="e">
        <f t="shared" si="1"/>
        <v>#DIV/0!</v>
      </c>
      <c r="R15" s="1702">
        <f t="shared" si="2"/>
        <v>0</v>
      </c>
      <c r="S15" s="209">
        <f t="shared" si="3"/>
        <v>0</v>
      </c>
      <c r="T15" s="209">
        <f t="shared" si="4"/>
        <v>0</v>
      </c>
      <c r="U15" s="209">
        <f t="shared" si="5"/>
        <v>0</v>
      </c>
      <c r="V15" s="2617">
        <f t="shared" si="6"/>
        <v>0</v>
      </c>
      <c r="X15" s="1701"/>
    </row>
    <row r="16" spans="1:28" ht="15.75" hidden="1">
      <c r="A16" s="1423"/>
      <c r="B16" s="1300" t="s">
        <v>2075</v>
      </c>
      <c r="C16" s="1300"/>
      <c r="D16" s="1300"/>
      <c r="E16" s="1300"/>
      <c r="F16" s="1300"/>
      <c r="G16" s="1300"/>
      <c r="H16" s="1300" t="s">
        <v>2076</v>
      </c>
      <c r="I16" s="1300">
        <f>+I12+I15</f>
        <v>23570000</v>
      </c>
      <c r="J16" s="2608">
        <f t="shared" ref="J16:P16" si="10">+J12+J15</f>
        <v>22227000</v>
      </c>
      <c r="K16" s="2363">
        <f t="shared" si="10"/>
        <v>21710000</v>
      </c>
      <c r="L16" s="1300">
        <f t="shared" si="10"/>
        <v>21510000</v>
      </c>
      <c r="M16" s="1300">
        <f t="shared" si="10"/>
        <v>21510000</v>
      </c>
      <c r="N16" s="1300">
        <f t="shared" si="10"/>
        <v>23488000</v>
      </c>
      <c r="O16" s="1300">
        <f t="shared" si="10"/>
        <v>23488000</v>
      </c>
      <c r="P16" s="2616">
        <f t="shared" si="10"/>
        <v>19118000</v>
      </c>
      <c r="Q16" s="2041">
        <f t="shared" si="1"/>
        <v>0.81394754768392374</v>
      </c>
      <c r="R16" s="1790">
        <f t="shared" si="2"/>
        <v>-200000</v>
      </c>
      <c r="S16" s="234">
        <f t="shared" si="3"/>
        <v>0</v>
      </c>
      <c r="T16" s="234">
        <f t="shared" si="4"/>
        <v>1978000</v>
      </c>
      <c r="U16" s="234">
        <f t="shared" si="5"/>
        <v>0</v>
      </c>
      <c r="V16" s="2616">
        <f t="shared" si="6"/>
        <v>4370000</v>
      </c>
      <c r="X16" s="1300"/>
    </row>
    <row r="17" spans="1:25" ht="19.5" customHeight="1">
      <c r="A17" s="1423" t="s">
        <v>21</v>
      </c>
      <c r="B17" s="1300" t="s">
        <v>3642</v>
      </c>
      <c r="C17" s="1541" t="s">
        <v>569</v>
      </c>
      <c r="D17" s="1300" t="s">
        <v>2077</v>
      </c>
      <c r="E17" s="1300">
        <v>3</v>
      </c>
      <c r="F17" s="1541" t="s">
        <v>2058</v>
      </c>
      <c r="G17" s="1300">
        <v>9990001</v>
      </c>
      <c r="H17" s="1300" t="s">
        <v>2078</v>
      </c>
      <c r="I17" s="1365">
        <f>6500000</f>
        <v>6500000</v>
      </c>
      <c r="J17" s="2575">
        <v>626565</v>
      </c>
      <c r="K17" s="2321">
        <f>6500000</f>
        <v>6500000</v>
      </c>
      <c r="L17" s="1365">
        <f t="shared" ref="L17:O18" si="11">+K17</f>
        <v>6500000</v>
      </c>
      <c r="M17" s="1365">
        <f t="shared" si="11"/>
        <v>6500000</v>
      </c>
      <c r="N17" s="1365">
        <f t="shared" si="11"/>
        <v>6500000</v>
      </c>
      <c r="O17" s="1365">
        <f t="shared" si="11"/>
        <v>6500000</v>
      </c>
      <c r="P17" s="2618">
        <f>431700+47815+29700</f>
        <v>509215</v>
      </c>
      <c r="Q17" s="2041">
        <f t="shared" si="1"/>
        <v>7.8340769230769228E-2</v>
      </c>
      <c r="R17" s="1364">
        <f t="shared" si="2"/>
        <v>0</v>
      </c>
      <c r="S17" s="192">
        <f t="shared" si="3"/>
        <v>0</v>
      </c>
      <c r="T17" s="192">
        <f t="shared" si="4"/>
        <v>0</v>
      </c>
      <c r="U17" s="192">
        <f t="shared" si="5"/>
        <v>0</v>
      </c>
      <c r="V17" s="2618">
        <f t="shared" si="6"/>
        <v>5990785</v>
      </c>
      <c r="W17" s="172">
        <f>594870-P17</f>
        <v>85655</v>
      </c>
      <c r="X17" s="2196"/>
    </row>
    <row r="18" spans="1:25" ht="38.25">
      <c r="A18" s="1423" t="s">
        <v>23</v>
      </c>
      <c r="B18" s="1343" t="s">
        <v>3643</v>
      </c>
      <c r="C18" s="1541" t="s">
        <v>569</v>
      </c>
      <c r="D18" s="1300" t="s">
        <v>2079</v>
      </c>
      <c r="E18" s="1300">
        <v>3</v>
      </c>
      <c r="F18" s="1541" t="s">
        <v>2058</v>
      </c>
      <c r="G18" s="1300">
        <v>9990001</v>
      </c>
      <c r="H18" s="1300" t="s">
        <v>2078</v>
      </c>
      <c r="I18" s="1365">
        <f>3000000</f>
        <v>3000000</v>
      </c>
      <c r="J18" s="2575">
        <v>102600</v>
      </c>
      <c r="K18" s="2321">
        <v>3000000</v>
      </c>
      <c r="L18" s="1365">
        <f t="shared" si="11"/>
        <v>3000000</v>
      </c>
      <c r="M18" s="1365">
        <f t="shared" si="11"/>
        <v>3000000</v>
      </c>
      <c r="N18" s="1365">
        <f t="shared" si="11"/>
        <v>3000000</v>
      </c>
      <c r="O18" s="1365">
        <f t="shared" si="11"/>
        <v>3000000</v>
      </c>
      <c r="P18" s="2618">
        <v>85500</v>
      </c>
      <c r="Q18" s="2041">
        <f t="shared" si="1"/>
        <v>2.8500000000000001E-2</v>
      </c>
      <c r="R18" s="1364">
        <f t="shared" si="2"/>
        <v>0</v>
      </c>
      <c r="S18" s="192">
        <f t="shared" si="3"/>
        <v>0</v>
      </c>
      <c r="T18" s="192">
        <f t="shared" si="4"/>
        <v>0</v>
      </c>
      <c r="U18" s="192">
        <f t="shared" si="5"/>
        <v>0</v>
      </c>
      <c r="V18" s="2618">
        <f t="shared" si="6"/>
        <v>2914500</v>
      </c>
      <c r="X18" s="2196"/>
    </row>
    <row r="19" spans="1:25" ht="15.75">
      <c r="A19" s="1423" t="s">
        <v>25</v>
      </c>
      <c r="B19" s="1347" t="s">
        <v>2080</v>
      </c>
      <c r="C19" s="1300"/>
      <c r="D19" s="1300"/>
      <c r="E19" s="1300"/>
      <c r="F19" s="1300"/>
      <c r="G19" s="1300"/>
      <c r="H19" s="1300" t="s">
        <v>2081</v>
      </c>
      <c r="I19" s="1701">
        <f>+I17+I18</f>
        <v>9500000</v>
      </c>
      <c r="J19" s="2576">
        <f t="shared" ref="J19:P19" si="12">+J17+J18</f>
        <v>729165</v>
      </c>
      <c r="K19" s="2325">
        <f t="shared" si="12"/>
        <v>9500000</v>
      </c>
      <c r="L19" s="1300">
        <f t="shared" si="12"/>
        <v>9500000</v>
      </c>
      <c r="M19" s="1300">
        <f t="shared" si="12"/>
        <v>9500000</v>
      </c>
      <c r="N19" s="1701">
        <f t="shared" si="12"/>
        <v>9500000</v>
      </c>
      <c r="O19" s="1701">
        <f t="shared" si="12"/>
        <v>9500000</v>
      </c>
      <c r="P19" s="2617">
        <f t="shared" si="12"/>
        <v>594715</v>
      </c>
      <c r="Q19" s="2225">
        <f t="shared" si="1"/>
        <v>6.2601578947368425E-2</v>
      </c>
      <c r="R19" s="1790">
        <f t="shared" si="2"/>
        <v>0</v>
      </c>
      <c r="S19" s="234">
        <f t="shared" si="3"/>
        <v>0</v>
      </c>
      <c r="T19" s="234">
        <f t="shared" si="4"/>
        <v>0</v>
      </c>
      <c r="U19" s="234">
        <f t="shared" si="5"/>
        <v>0</v>
      </c>
      <c r="V19" s="2617">
        <f t="shared" si="6"/>
        <v>8905285</v>
      </c>
      <c r="X19" s="1701"/>
    </row>
    <row r="20" spans="1:25">
      <c r="A20" s="1423" t="s">
        <v>27</v>
      </c>
      <c r="B20" s="1300" t="s">
        <v>3651</v>
      </c>
      <c r="C20" s="1541" t="s">
        <v>569</v>
      </c>
      <c r="D20" s="1300" t="s">
        <v>2082</v>
      </c>
      <c r="E20" s="1300">
        <v>2</v>
      </c>
      <c r="F20" s="1541" t="s">
        <v>2058</v>
      </c>
      <c r="G20" s="1300">
        <v>9990001</v>
      </c>
      <c r="H20" s="1541" t="s">
        <v>2078</v>
      </c>
      <c r="I20" s="1365">
        <f>16000000</f>
        <v>16000000</v>
      </c>
      <c r="J20" s="2575">
        <v>1362350</v>
      </c>
      <c r="K20" s="2321">
        <f>16000000</f>
        <v>16000000</v>
      </c>
      <c r="L20" s="1365">
        <f t="shared" ref="L20:O21" si="13">+K20</f>
        <v>16000000</v>
      </c>
      <c r="M20" s="1365">
        <f t="shared" si="13"/>
        <v>16000000</v>
      </c>
      <c r="N20" s="1365">
        <f t="shared" si="13"/>
        <v>16000000</v>
      </c>
      <c r="O20" s="1365">
        <f t="shared" si="13"/>
        <v>16000000</v>
      </c>
      <c r="P20" s="2618">
        <f>1201800-29700</f>
        <v>1172100</v>
      </c>
      <c r="Q20" s="2041">
        <f t="shared" si="1"/>
        <v>7.3256249999999995E-2</v>
      </c>
      <c r="R20" s="1364">
        <f t="shared" si="2"/>
        <v>0</v>
      </c>
      <c r="S20" s="192">
        <f t="shared" si="3"/>
        <v>0</v>
      </c>
      <c r="T20" s="192">
        <f t="shared" si="4"/>
        <v>0</v>
      </c>
      <c r="U20" s="192">
        <f t="shared" si="5"/>
        <v>0</v>
      </c>
      <c r="V20" s="2618">
        <f t="shared" si="6"/>
        <v>14827900</v>
      </c>
      <c r="W20" s="172">
        <f>1172100-P20</f>
        <v>0</v>
      </c>
      <c r="X20" s="2196"/>
    </row>
    <row r="21" spans="1:25">
      <c r="A21" s="1423" t="s">
        <v>29</v>
      </c>
      <c r="B21" s="1300" t="s">
        <v>3644</v>
      </c>
      <c r="C21" s="1541" t="s">
        <v>569</v>
      </c>
      <c r="D21" s="1300" t="s">
        <v>2083</v>
      </c>
      <c r="E21" s="1300">
        <v>3</v>
      </c>
      <c r="F21" s="1541" t="s">
        <v>2058</v>
      </c>
      <c r="G21" s="1300">
        <v>9990001</v>
      </c>
      <c r="H21" s="1541" t="s">
        <v>2078</v>
      </c>
      <c r="I21" s="1365">
        <f>20000000</f>
        <v>20000000</v>
      </c>
      <c r="J21" s="2575">
        <v>32000</v>
      </c>
      <c r="K21" s="2321">
        <f>20000000</f>
        <v>20000000</v>
      </c>
      <c r="L21" s="1365">
        <f t="shared" si="13"/>
        <v>20000000</v>
      </c>
      <c r="M21" s="1365">
        <f>+L21-2000000</f>
        <v>18000000</v>
      </c>
      <c r="N21" s="1365">
        <f>+M21-3800000-395946-500000-1100000-100000-278000-1700000-600000-233000</f>
        <v>9293054</v>
      </c>
      <c r="O21" s="1365">
        <f t="shared" si="13"/>
        <v>9293054</v>
      </c>
      <c r="P21" s="2618">
        <v>32000</v>
      </c>
      <c r="Q21" s="2041">
        <f t="shared" si="1"/>
        <v>3.4434320515085784E-3</v>
      </c>
      <c r="R21" s="1790">
        <f t="shared" si="2"/>
        <v>0</v>
      </c>
      <c r="S21" s="532">
        <f t="shared" si="3"/>
        <v>-2000000</v>
      </c>
      <c r="T21" s="532">
        <f t="shared" si="4"/>
        <v>-8706946</v>
      </c>
      <c r="U21" s="532">
        <f t="shared" si="5"/>
        <v>0</v>
      </c>
      <c r="V21" s="2618">
        <f t="shared" si="6"/>
        <v>9261054</v>
      </c>
      <c r="X21" s="2196"/>
    </row>
    <row r="22" spans="1:25">
      <c r="A22" s="1423" t="s">
        <v>31</v>
      </c>
      <c r="B22" s="1300" t="s">
        <v>3287</v>
      </c>
      <c r="C22" s="1541"/>
      <c r="D22" s="1300"/>
      <c r="E22" s="1300">
        <v>3</v>
      </c>
      <c r="F22" s="1541"/>
      <c r="G22" s="1300"/>
      <c r="H22" s="1541"/>
      <c r="I22" s="1365">
        <f>30000000</f>
        <v>30000000</v>
      </c>
      <c r="J22" s="2575">
        <v>9800900</v>
      </c>
      <c r="K22" s="2321">
        <f>30000000</f>
        <v>30000000</v>
      </c>
      <c r="L22" s="1365">
        <f>+K22</f>
        <v>30000000</v>
      </c>
      <c r="M22" s="1365">
        <f>+L22</f>
        <v>30000000</v>
      </c>
      <c r="N22" s="1365">
        <f>+M22</f>
        <v>30000000</v>
      </c>
      <c r="O22" s="1365">
        <f>+N22</f>
        <v>30000000</v>
      </c>
      <c r="P22" s="2618">
        <f>8475100-35000</f>
        <v>8440100</v>
      </c>
      <c r="Q22" s="2041">
        <f t="shared" si="1"/>
        <v>0.28133666666666668</v>
      </c>
      <c r="R22" s="1790">
        <f>+L22-K22</f>
        <v>0</v>
      </c>
      <c r="S22" s="532">
        <f>+M22-L22</f>
        <v>0</v>
      </c>
      <c r="T22" s="532">
        <f>+N22-M22</f>
        <v>0</v>
      </c>
      <c r="U22" s="532">
        <f>+O22-N22</f>
        <v>0</v>
      </c>
      <c r="V22" s="2618">
        <f t="shared" si="6"/>
        <v>21559900</v>
      </c>
      <c r="W22" s="172">
        <f>8440100-P22</f>
        <v>0</v>
      </c>
      <c r="X22" s="2196"/>
    </row>
    <row r="23" spans="1:25">
      <c r="A23" s="1423" t="s">
        <v>33</v>
      </c>
      <c r="B23" s="1347" t="s">
        <v>3284</v>
      </c>
      <c r="C23" s="1300"/>
      <c r="D23" s="1300"/>
      <c r="E23" s="1300"/>
      <c r="F23" s="1300"/>
      <c r="G23" s="1300"/>
      <c r="H23" s="1300" t="s">
        <v>2084</v>
      </c>
      <c r="I23" s="1701">
        <f>+I20+I21+I22</f>
        <v>66000000</v>
      </c>
      <c r="J23" s="2576">
        <f t="shared" ref="J23:O23" si="14">+J20+J21+J22</f>
        <v>11195250</v>
      </c>
      <c r="K23" s="2325">
        <f t="shared" si="14"/>
        <v>66000000</v>
      </c>
      <c r="L23" s="1701">
        <f t="shared" si="14"/>
        <v>66000000</v>
      </c>
      <c r="M23" s="1701">
        <f t="shared" si="14"/>
        <v>64000000</v>
      </c>
      <c r="N23" s="1701">
        <f>+N20+N21+N22</f>
        <v>55293054</v>
      </c>
      <c r="O23" s="1701">
        <f t="shared" si="14"/>
        <v>55293054</v>
      </c>
      <c r="P23" s="2617">
        <f>+P20+P21+P22</f>
        <v>9644200</v>
      </c>
      <c r="Q23" s="2225">
        <f t="shared" si="1"/>
        <v>0.17441973814649486</v>
      </c>
      <c r="R23" s="1702">
        <f t="shared" si="2"/>
        <v>0</v>
      </c>
      <c r="S23" s="209">
        <f t="shared" si="3"/>
        <v>-2000000</v>
      </c>
      <c r="T23" s="209">
        <f t="shared" si="4"/>
        <v>-8706946</v>
      </c>
      <c r="U23" s="209">
        <f t="shared" si="5"/>
        <v>0</v>
      </c>
      <c r="V23" s="2617">
        <f t="shared" si="6"/>
        <v>45648854</v>
      </c>
      <c r="X23" s="1701"/>
    </row>
    <row r="24" spans="1:25" ht="15.75" hidden="1">
      <c r="A24" s="1423">
        <v>13</v>
      </c>
      <c r="B24" s="1300" t="s">
        <v>2085</v>
      </c>
      <c r="C24" s="1300"/>
      <c r="D24" s="1300"/>
      <c r="E24" s="1300"/>
      <c r="F24" s="1300"/>
      <c r="G24" s="1300"/>
      <c r="H24" s="1426" t="s">
        <v>2086</v>
      </c>
      <c r="I24" s="1300">
        <f>+I23</f>
        <v>66000000</v>
      </c>
      <c r="J24" s="2608">
        <f t="shared" ref="J24:P24" si="15">+J23</f>
        <v>11195250</v>
      </c>
      <c r="K24" s="2363">
        <f t="shared" si="15"/>
        <v>66000000</v>
      </c>
      <c r="L24" s="1300">
        <f t="shared" si="15"/>
        <v>66000000</v>
      </c>
      <c r="M24" s="1300">
        <f t="shared" si="15"/>
        <v>64000000</v>
      </c>
      <c r="N24" s="1300">
        <f t="shared" si="15"/>
        <v>55293054</v>
      </c>
      <c r="O24" s="1300">
        <f t="shared" si="15"/>
        <v>55293054</v>
      </c>
      <c r="P24" s="2616">
        <f t="shared" si="15"/>
        <v>9644200</v>
      </c>
      <c r="Q24" s="2041">
        <f t="shared" si="1"/>
        <v>0.17441973814649486</v>
      </c>
      <c r="R24" s="1790">
        <f t="shared" si="2"/>
        <v>0</v>
      </c>
      <c r="S24" s="234">
        <f t="shared" si="3"/>
        <v>-2000000</v>
      </c>
      <c r="T24" s="234">
        <f t="shared" si="4"/>
        <v>-8706946</v>
      </c>
      <c r="U24" s="234">
        <f t="shared" si="5"/>
        <v>0</v>
      </c>
      <c r="V24" s="2616">
        <f t="shared" si="6"/>
        <v>45648854</v>
      </c>
      <c r="X24" s="1300"/>
    </row>
    <row r="25" spans="1:25">
      <c r="A25" s="1423" t="s">
        <v>35</v>
      </c>
      <c r="B25" s="1300" t="s">
        <v>2087</v>
      </c>
      <c r="C25" s="1541" t="s">
        <v>569</v>
      </c>
      <c r="D25" s="1300" t="s">
        <v>2088</v>
      </c>
      <c r="E25" s="1300">
        <v>2</v>
      </c>
      <c r="F25" s="1541" t="s">
        <v>2058</v>
      </c>
      <c r="G25" s="1300">
        <v>9990001</v>
      </c>
      <c r="H25" s="1300" t="s">
        <v>2089</v>
      </c>
      <c r="I25" s="1365">
        <f>6000000</f>
        <v>6000000</v>
      </c>
      <c r="J25" s="2575">
        <v>3624133</v>
      </c>
      <c r="K25" s="2321">
        <f>6000000</f>
        <v>6000000</v>
      </c>
      <c r="L25" s="1365">
        <f>+K25</f>
        <v>6000000</v>
      </c>
      <c r="M25" s="1365">
        <f>+L25</f>
        <v>6000000</v>
      </c>
      <c r="N25" s="1365">
        <f>+M25</f>
        <v>6000000</v>
      </c>
      <c r="O25" s="1365">
        <f>+N25</f>
        <v>6000000</v>
      </c>
      <c r="P25" s="2618">
        <v>3342008</v>
      </c>
      <c r="Q25" s="2041">
        <f t="shared" si="1"/>
        <v>0.55700133333333335</v>
      </c>
      <c r="R25" s="1364">
        <f t="shared" si="2"/>
        <v>0</v>
      </c>
      <c r="S25" s="192">
        <f t="shared" si="3"/>
        <v>0</v>
      </c>
      <c r="T25" s="192">
        <f t="shared" si="4"/>
        <v>0</v>
      </c>
      <c r="U25" s="192">
        <f t="shared" si="5"/>
        <v>0</v>
      </c>
      <c r="V25" s="2618">
        <f t="shared" si="6"/>
        <v>2657992</v>
      </c>
      <c r="X25" s="2196"/>
    </row>
    <row r="26" spans="1:25">
      <c r="A26" s="1423" t="s">
        <v>37</v>
      </c>
      <c r="B26" s="1300" t="s">
        <v>3645</v>
      </c>
      <c r="C26" s="1541"/>
      <c r="D26" s="1300"/>
      <c r="E26" s="1300"/>
      <c r="F26" s="1541"/>
      <c r="G26" s="1300"/>
      <c r="H26" s="1300" t="s">
        <v>2090</v>
      </c>
      <c r="I26" s="1365">
        <f>+I45</f>
        <v>61500000</v>
      </c>
      <c r="J26" s="2575">
        <f t="shared" ref="J26:P26" si="16">+J45</f>
        <v>58479604</v>
      </c>
      <c r="K26" s="2321">
        <f t="shared" si="16"/>
        <v>63360000</v>
      </c>
      <c r="L26" s="1365">
        <f t="shared" si="16"/>
        <v>63360000</v>
      </c>
      <c r="M26" s="1365">
        <f t="shared" si="16"/>
        <v>65360000</v>
      </c>
      <c r="N26" s="1365">
        <f t="shared" si="16"/>
        <v>67893000</v>
      </c>
      <c r="O26" s="1365">
        <f t="shared" si="16"/>
        <v>67893000</v>
      </c>
      <c r="P26" s="2618">
        <f t="shared" si="16"/>
        <v>58782651</v>
      </c>
      <c r="Q26" s="2041">
        <f t="shared" si="1"/>
        <v>0.86581313242896907</v>
      </c>
      <c r="R26" s="1364">
        <f t="shared" si="2"/>
        <v>0</v>
      </c>
      <c r="S26" s="192">
        <f t="shared" si="3"/>
        <v>2000000</v>
      </c>
      <c r="T26" s="192">
        <f t="shared" si="4"/>
        <v>2533000</v>
      </c>
      <c r="U26" s="192">
        <f t="shared" si="5"/>
        <v>0</v>
      </c>
      <c r="V26" s="2618">
        <f t="shared" si="6"/>
        <v>9110349</v>
      </c>
      <c r="X26" s="1365"/>
    </row>
    <row r="27" spans="1:25">
      <c r="A27" s="1423" t="s">
        <v>39</v>
      </c>
      <c r="B27" s="1347" t="s">
        <v>3285</v>
      </c>
      <c r="C27" s="1300"/>
      <c r="D27" s="1300"/>
      <c r="E27" s="1300"/>
      <c r="F27" s="1300"/>
      <c r="G27" s="1300"/>
      <c r="H27" s="1300" t="s">
        <v>2091</v>
      </c>
      <c r="I27" s="1701">
        <f t="shared" ref="I27:P27" si="17">+I25+I26</f>
        <v>67500000</v>
      </c>
      <c r="J27" s="2576">
        <f t="shared" si="17"/>
        <v>62103737</v>
      </c>
      <c r="K27" s="2325">
        <f t="shared" si="17"/>
        <v>69360000</v>
      </c>
      <c r="L27" s="1701">
        <f t="shared" si="17"/>
        <v>69360000</v>
      </c>
      <c r="M27" s="1701">
        <f t="shared" si="17"/>
        <v>71360000</v>
      </c>
      <c r="N27" s="1701">
        <f t="shared" si="17"/>
        <v>73893000</v>
      </c>
      <c r="O27" s="1701">
        <f t="shared" si="17"/>
        <v>73893000</v>
      </c>
      <c r="P27" s="2617">
        <f t="shared" si="17"/>
        <v>62124659</v>
      </c>
      <c r="Q27" s="2225">
        <f t="shared" si="1"/>
        <v>0.84073808073836498</v>
      </c>
      <c r="R27" s="1702">
        <f t="shared" si="2"/>
        <v>0</v>
      </c>
      <c r="S27" s="209">
        <f t="shared" si="3"/>
        <v>2000000</v>
      </c>
      <c r="T27" s="209">
        <f t="shared" si="4"/>
        <v>2533000</v>
      </c>
      <c r="U27" s="209">
        <f t="shared" si="5"/>
        <v>0</v>
      </c>
      <c r="V27" s="2617">
        <f t="shared" si="6"/>
        <v>11768341</v>
      </c>
      <c r="X27" s="1701"/>
    </row>
    <row r="28" spans="1:25" hidden="1">
      <c r="A28" s="1423"/>
      <c r="B28" s="1347" t="s">
        <v>2092</v>
      </c>
      <c r="C28" s="1300"/>
      <c r="D28" s="1300"/>
      <c r="E28" s="1300"/>
      <c r="F28" s="1300"/>
      <c r="G28" s="1300"/>
      <c r="H28" s="1300" t="s">
        <v>1518</v>
      </c>
      <c r="I28" s="1701"/>
      <c r="J28" s="2576"/>
      <c r="K28" s="2325"/>
      <c r="L28" s="1701"/>
      <c r="M28" s="1701"/>
      <c r="N28" s="1701"/>
      <c r="O28" s="1701"/>
      <c r="P28" s="2617"/>
      <c r="Q28" s="2225" t="e">
        <f t="shared" si="1"/>
        <v>#DIV/0!</v>
      </c>
      <c r="R28" s="1702">
        <f t="shared" si="2"/>
        <v>0</v>
      </c>
      <c r="S28" s="209">
        <f t="shared" si="3"/>
        <v>0</v>
      </c>
      <c r="T28" s="209">
        <f t="shared" si="4"/>
        <v>0</v>
      </c>
      <c r="U28" s="209">
        <f t="shared" si="5"/>
        <v>0</v>
      </c>
      <c r="V28" s="2617">
        <f t="shared" si="6"/>
        <v>0</v>
      </c>
      <c r="X28" s="1701"/>
    </row>
    <row r="29" spans="1:25" ht="15.75" hidden="1">
      <c r="A29" s="1423" t="s">
        <v>39</v>
      </c>
      <c r="B29" s="1347" t="s">
        <v>2093</v>
      </c>
      <c r="C29" s="1300"/>
      <c r="D29" s="1300"/>
      <c r="E29" s="1300"/>
      <c r="F29" s="1300"/>
      <c r="G29" s="1300"/>
      <c r="H29" s="1300" t="s">
        <v>2094</v>
      </c>
      <c r="I29" s="1300">
        <f t="shared" ref="I29:P29" si="18">+I27+I28</f>
        <v>67500000</v>
      </c>
      <c r="J29" s="2608">
        <f t="shared" si="18"/>
        <v>62103737</v>
      </c>
      <c r="K29" s="2363">
        <f t="shared" si="18"/>
        <v>69360000</v>
      </c>
      <c r="L29" s="1300">
        <f t="shared" si="18"/>
        <v>69360000</v>
      </c>
      <c r="M29" s="1300">
        <f t="shared" si="18"/>
        <v>71360000</v>
      </c>
      <c r="N29" s="1300">
        <f t="shared" si="18"/>
        <v>73893000</v>
      </c>
      <c r="O29" s="1300">
        <f t="shared" si="18"/>
        <v>73893000</v>
      </c>
      <c r="P29" s="2616">
        <f t="shared" si="18"/>
        <v>62124659</v>
      </c>
      <c r="Q29" s="2225">
        <f t="shared" si="1"/>
        <v>0.84073808073836498</v>
      </c>
      <c r="R29" s="1702">
        <f t="shared" si="2"/>
        <v>0</v>
      </c>
      <c r="S29" s="234">
        <f t="shared" si="3"/>
        <v>2000000</v>
      </c>
      <c r="T29" s="234">
        <f t="shared" si="4"/>
        <v>2533000</v>
      </c>
      <c r="U29" s="234">
        <f t="shared" si="5"/>
        <v>0</v>
      </c>
      <c r="V29" s="2616">
        <f t="shared" si="6"/>
        <v>11768341</v>
      </c>
      <c r="X29" s="1300"/>
    </row>
    <row r="30" spans="1:25" ht="18.75">
      <c r="A30" s="1423" t="s">
        <v>41</v>
      </c>
      <c r="B30" s="1347" t="s">
        <v>3286</v>
      </c>
      <c r="C30" s="1300"/>
      <c r="D30" s="1300"/>
      <c r="E30" s="1300"/>
      <c r="F30" s="1300"/>
      <c r="G30" s="1300"/>
      <c r="H30" s="1300" t="s">
        <v>2095</v>
      </c>
      <c r="I30" s="1701">
        <f t="shared" ref="I30:P30" si="19">+I16+I19+I24+I29</f>
        <v>166570000</v>
      </c>
      <c r="J30" s="2576">
        <f t="shared" si="19"/>
        <v>96255152</v>
      </c>
      <c r="K30" s="2325">
        <f t="shared" si="19"/>
        <v>166570000</v>
      </c>
      <c r="L30" s="1701">
        <f t="shared" si="19"/>
        <v>166370000</v>
      </c>
      <c r="M30" s="1701">
        <f t="shared" si="19"/>
        <v>166370000</v>
      </c>
      <c r="N30" s="1701">
        <f t="shared" si="19"/>
        <v>162174054</v>
      </c>
      <c r="O30" s="1701">
        <f t="shared" si="19"/>
        <v>162174054</v>
      </c>
      <c r="P30" s="2617">
        <f t="shared" si="19"/>
        <v>91481574</v>
      </c>
      <c r="Q30" s="2225">
        <f t="shared" si="1"/>
        <v>0.5640950062209088</v>
      </c>
      <c r="R30" s="1702">
        <f t="shared" si="2"/>
        <v>-200000</v>
      </c>
      <c r="S30" s="221">
        <f t="shared" si="3"/>
        <v>0</v>
      </c>
      <c r="T30" s="221">
        <f t="shared" si="4"/>
        <v>-4195946</v>
      </c>
      <c r="U30" s="221">
        <f t="shared" si="5"/>
        <v>0</v>
      </c>
      <c r="V30" s="2617">
        <f t="shared" si="6"/>
        <v>70692480</v>
      </c>
      <c r="X30" s="1701"/>
      <c r="Y30" s="172"/>
    </row>
    <row r="31" spans="1:25" hidden="1">
      <c r="B31" s="170" t="s">
        <v>494</v>
      </c>
      <c r="I31" s="169">
        <f t="shared" ref="I31:P31" si="20">+I16+I19+I24+I29</f>
        <v>166570000</v>
      </c>
      <c r="J31" s="2609">
        <f t="shared" si="20"/>
        <v>96255152</v>
      </c>
      <c r="K31" s="2332">
        <f t="shared" si="20"/>
        <v>166570000</v>
      </c>
      <c r="L31" s="169">
        <f t="shared" si="20"/>
        <v>166370000</v>
      </c>
      <c r="M31" s="169">
        <f t="shared" si="20"/>
        <v>166370000</v>
      </c>
      <c r="N31" s="169">
        <f t="shared" si="20"/>
        <v>162174054</v>
      </c>
      <c r="O31" s="169">
        <f>+O16+O19+O24+O29</f>
        <v>162174054</v>
      </c>
      <c r="P31" s="3011">
        <f t="shared" si="20"/>
        <v>91481574</v>
      </c>
      <c r="Q31" s="169">
        <f>+I31-K31</f>
        <v>0</v>
      </c>
      <c r="V31" s="169"/>
      <c r="X31" s="169"/>
    </row>
    <row r="32" spans="1:25" hidden="1">
      <c r="I32" s="169">
        <f t="shared" ref="I32:P32" si="21">+I7+I8+I9+I11+I17+I18+I20+I21+I22+I25+I26</f>
        <v>166570000</v>
      </c>
      <c r="J32" s="2609">
        <f t="shared" si="21"/>
        <v>96255152</v>
      </c>
      <c r="K32" s="2332">
        <f t="shared" si="21"/>
        <v>166570000</v>
      </c>
      <c r="L32" s="169">
        <f t="shared" si="21"/>
        <v>166370000</v>
      </c>
      <c r="M32" s="169">
        <f t="shared" si="21"/>
        <v>166370000</v>
      </c>
      <c r="N32" s="169">
        <f t="shared" si="21"/>
        <v>162174054</v>
      </c>
      <c r="O32" s="169">
        <f>+O7+O8+O9+O11+O17+O18+O20+O21+O22+O25+O26</f>
        <v>162174054</v>
      </c>
      <c r="P32" s="3011">
        <f t="shared" si="21"/>
        <v>91481574</v>
      </c>
      <c r="V32" s="169"/>
      <c r="X32" s="169"/>
    </row>
    <row r="33" spans="2:24" hidden="1">
      <c r="I33" s="169">
        <f t="shared" ref="I33:P33" si="22">+I32-I31</f>
        <v>0</v>
      </c>
      <c r="J33" s="2609">
        <f t="shared" si="22"/>
        <v>0</v>
      </c>
      <c r="K33" s="2332">
        <f t="shared" si="22"/>
        <v>0</v>
      </c>
      <c r="L33" s="169">
        <f t="shared" si="22"/>
        <v>0</v>
      </c>
      <c r="M33" s="169">
        <f t="shared" si="22"/>
        <v>0</v>
      </c>
      <c r="N33" s="169">
        <f t="shared" si="22"/>
        <v>0</v>
      </c>
      <c r="O33" s="169">
        <f>+O32-O31</f>
        <v>0</v>
      </c>
      <c r="P33" s="3011">
        <f t="shared" si="22"/>
        <v>0</v>
      </c>
      <c r="V33" s="169"/>
      <c r="X33" s="169">
        <f>+X32-X31</f>
        <v>0</v>
      </c>
    </row>
    <row r="34" spans="2:24" hidden="1">
      <c r="I34" s="212">
        <f t="shared" ref="I34:P34" si="23">+I30</f>
        <v>166570000</v>
      </c>
      <c r="J34" s="2610">
        <f t="shared" si="23"/>
        <v>96255152</v>
      </c>
      <c r="K34" s="2333">
        <f t="shared" si="23"/>
        <v>166570000</v>
      </c>
      <c r="L34" s="212">
        <f t="shared" si="23"/>
        <v>166370000</v>
      </c>
      <c r="M34" s="212">
        <f t="shared" si="23"/>
        <v>166370000</v>
      </c>
      <c r="N34" s="212">
        <f t="shared" si="23"/>
        <v>162174054</v>
      </c>
      <c r="O34" s="212">
        <f>+O30</f>
        <v>162174054</v>
      </c>
      <c r="P34" s="3012">
        <f t="shared" si="23"/>
        <v>91481574</v>
      </c>
      <c r="R34" s="212">
        <f>+R30</f>
        <v>-200000</v>
      </c>
      <c r="S34" s="212">
        <f>+S30</f>
        <v>0</v>
      </c>
      <c r="T34" s="212">
        <f>+T30</f>
        <v>-4195946</v>
      </c>
      <c r="U34" s="212">
        <f>+U30</f>
        <v>0</v>
      </c>
      <c r="V34" s="212"/>
      <c r="X34" s="212">
        <f>+X30</f>
        <v>0</v>
      </c>
    </row>
    <row r="35" spans="2:24" hidden="1">
      <c r="J35" s="2609"/>
      <c r="P35" s="3011"/>
      <c r="V35" s="169"/>
      <c r="X35" s="169"/>
    </row>
    <row r="36" spans="2:24" ht="13.5" hidden="1" thickBot="1">
      <c r="B36" s="175" t="s">
        <v>2096</v>
      </c>
      <c r="J36" s="2609"/>
      <c r="K36" s="2333"/>
      <c r="P36" s="3011"/>
      <c r="V36" s="169"/>
      <c r="X36" s="169"/>
    </row>
    <row r="37" spans="2:24" ht="16.5" hidden="1" thickBot="1">
      <c r="B37" s="643" t="s">
        <v>2097</v>
      </c>
      <c r="C37" s="180" t="s">
        <v>569</v>
      </c>
      <c r="D37" s="644" t="s">
        <v>2098</v>
      </c>
      <c r="E37" s="190">
        <v>2</v>
      </c>
      <c r="F37" s="180" t="s">
        <v>2058</v>
      </c>
      <c r="G37" s="190">
        <v>9990001</v>
      </c>
      <c r="H37" s="645" t="s">
        <v>2090</v>
      </c>
      <c r="I37" s="1365">
        <f>4000000</f>
        <v>4000000</v>
      </c>
      <c r="J37" s="2611">
        <v>3550604</v>
      </c>
      <c r="K37" s="2321">
        <f>4000000</f>
        <v>4000000</v>
      </c>
      <c r="L37" s="1364">
        <f t="shared" ref="L37:L43" si="24">+K37</f>
        <v>4000000</v>
      </c>
      <c r="M37" s="192">
        <f t="shared" ref="M37:M44" si="25">+L37</f>
        <v>4000000</v>
      </c>
      <c r="N37" s="192">
        <f>+M37</f>
        <v>4000000</v>
      </c>
      <c r="O37" s="194">
        <f>+N37</f>
        <v>4000000</v>
      </c>
      <c r="P37" s="2618">
        <f>2602281+35000</f>
        <v>2637281</v>
      </c>
      <c r="Q37" s="533">
        <f t="shared" ref="Q37:Q45" si="26">+P37/N37</f>
        <v>0.65932025000000005</v>
      </c>
      <c r="T37" s="192">
        <f t="shared" ref="T37:T45" si="27">+N37-M37</f>
        <v>0</v>
      </c>
      <c r="V37" s="1365">
        <f t="shared" ref="V37:V45" si="28">+N37-P37</f>
        <v>1362719</v>
      </c>
      <c r="W37" s="172">
        <f>2637281-P37</f>
        <v>0</v>
      </c>
      <c r="X37" s="1363">
        <v>3350604</v>
      </c>
    </row>
    <row r="38" spans="2:24" ht="16.5" hidden="1" thickBot="1">
      <c r="B38" s="646" t="s">
        <v>124</v>
      </c>
      <c r="C38" s="180" t="s">
        <v>569</v>
      </c>
      <c r="D38" s="644" t="s">
        <v>2099</v>
      </c>
      <c r="E38" s="190">
        <v>2</v>
      </c>
      <c r="F38" s="180" t="s">
        <v>2058</v>
      </c>
      <c r="G38" s="190">
        <v>9990001</v>
      </c>
      <c r="H38" s="645" t="s">
        <v>2090</v>
      </c>
      <c r="I38" s="1365">
        <f>37000000</f>
        <v>37000000</v>
      </c>
      <c r="J38" s="2611">
        <v>35711400</v>
      </c>
      <c r="K38" s="2321">
        <f>37000000</f>
        <v>37000000</v>
      </c>
      <c r="L38" s="1364">
        <f t="shared" si="24"/>
        <v>37000000</v>
      </c>
      <c r="M38" s="192">
        <f t="shared" si="25"/>
        <v>37000000</v>
      </c>
      <c r="N38" s="192">
        <f t="shared" ref="N38:O44" si="29">+M38</f>
        <v>37000000</v>
      </c>
      <c r="O38" s="194">
        <f t="shared" si="29"/>
        <v>37000000</v>
      </c>
      <c r="P38" s="2618">
        <v>35358120</v>
      </c>
      <c r="Q38" s="533">
        <f t="shared" si="26"/>
        <v>0.95562486486486486</v>
      </c>
      <c r="T38" s="192">
        <f t="shared" si="27"/>
        <v>0</v>
      </c>
      <c r="V38" s="1365">
        <f t="shared" si="28"/>
        <v>1641880</v>
      </c>
      <c r="X38" s="1363">
        <v>27883000</v>
      </c>
    </row>
    <row r="39" spans="2:24" ht="32.25" hidden="1" thickBot="1">
      <c r="B39" s="643" t="s">
        <v>3136</v>
      </c>
      <c r="C39" s="180" t="s">
        <v>569</v>
      </c>
      <c r="D39" s="644" t="s">
        <v>2100</v>
      </c>
      <c r="E39" s="190">
        <v>2</v>
      </c>
      <c r="F39" s="180" t="s">
        <v>2058</v>
      </c>
      <c r="G39" s="190">
        <v>9990001</v>
      </c>
      <c r="H39" s="645" t="s">
        <v>2090</v>
      </c>
      <c r="I39" s="1365">
        <f>5500000-500000</f>
        <v>5000000</v>
      </c>
      <c r="J39" s="2611">
        <v>9200000</v>
      </c>
      <c r="K39" s="2321">
        <f>10000000-4000000+360000</f>
        <v>6360000</v>
      </c>
      <c r="L39" s="1364">
        <f t="shared" si="24"/>
        <v>6360000</v>
      </c>
      <c r="M39" s="1364">
        <f>+L39+2000000</f>
        <v>8360000</v>
      </c>
      <c r="N39" s="192">
        <f>+M39+1700000</f>
        <v>10060000</v>
      </c>
      <c r="O39" s="194">
        <f t="shared" si="29"/>
        <v>10060000</v>
      </c>
      <c r="P39" s="2618">
        <v>9500000</v>
      </c>
      <c r="Q39" s="533">
        <f t="shared" si="26"/>
        <v>0.94433399602385681</v>
      </c>
      <c r="T39" s="192">
        <f t="shared" si="27"/>
        <v>1700000</v>
      </c>
      <c r="V39" s="1365">
        <f t="shared" si="28"/>
        <v>560000</v>
      </c>
      <c r="X39" s="1363">
        <v>8100000</v>
      </c>
    </row>
    <row r="40" spans="2:24" ht="16.5" hidden="1" thickBot="1">
      <c r="B40" s="646" t="s">
        <v>123</v>
      </c>
      <c r="C40" s="180" t="s">
        <v>569</v>
      </c>
      <c r="D40" s="644" t="s">
        <v>2101</v>
      </c>
      <c r="E40" s="190">
        <v>2</v>
      </c>
      <c r="F40" s="180" t="s">
        <v>2058</v>
      </c>
      <c r="G40" s="190">
        <v>9990001</v>
      </c>
      <c r="H40" s="645" t="s">
        <v>2090</v>
      </c>
      <c r="I40" s="1365">
        <f>9500000-1000000</f>
        <v>8500000</v>
      </c>
      <c r="J40" s="2611">
        <v>8811000</v>
      </c>
      <c r="K40" s="2321">
        <f>9000000</f>
        <v>9000000</v>
      </c>
      <c r="L40" s="1364">
        <f t="shared" si="24"/>
        <v>9000000</v>
      </c>
      <c r="M40" s="192">
        <f t="shared" si="25"/>
        <v>9000000</v>
      </c>
      <c r="N40" s="192">
        <f>+M40+600000+233000</f>
        <v>9833000</v>
      </c>
      <c r="O40" s="194">
        <f t="shared" si="29"/>
        <v>9833000</v>
      </c>
      <c r="P40" s="2618">
        <v>9833000</v>
      </c>
      <c r="Q40" s="533">
        <f t="shared" si="26"/>
        <v>1</v>
      </c>
      <c r="T40" s="192">
        <f t="shared" si="27"/>
        <v>833000</v>
      </c>
      <c r="V40" s="1365">
        <f t="shared" si="28"/>
        <v>0</v>
      </c>
      <c r="X40" s="1363">
        <v>6766000</v>
      </c>
    </row>
    <row r="41" spans="2:24" ht="16.5" hidden="1" thickBot="1">
      <c r="B41" s="646" t="s">
        <v>2102</v>
      </c>
      <c r="C41" s="180" t="s">
        <v>569</v>
      </c>
      <c r="D41" s="644" t="s">
        <v>2103</v>
      </c>
      <c r="E41" s="190">
        <v>2</v>
      </c>
      <c r="F41" s="180" t="s">
        <v>2058</v>
      </c>
      <c r="G41" s="190">
        <v>9990001</v>
      </c>
      <c r="H41" s="645" t="s">
        <v>2090</v>
      </c>
      <c r="I41" s="1365">
        <f>3000000</f>
        <v>3000000</v>
      </c>
      <c r="J41" s="2611">
        <v>400000</v>
      </c>
      <c r="K41" s="2321">
        <f>3000000</f>
        <v>3000000</v>
      </c>
      <c r="L41" s="1364">
        <f t="shared" si="24"/>
        <v>3000000</v>
      </c>
      <c r="M41" s="192">
        <f t="shared" si="25"/>
        <v>3000000</v>
      </c>
      <c r="N41" s="192">
        <f t="shared" si="29"/>
        <v>3000000</v>
      </c>
      <c r="O41" s="194">
        <f t="shared" si="29"/>
        <v>3000000</v>
      </c>
      <c r="P41" s="2618">
        <v>300000</v>
      </c>
      <c r="Q41" s="533">
        <f t="shared" si="26"/>
        <v>0.1</v>
      </c>
      <c r="T41" s="192">
        <f t="shared" si="27"/>
        <v>0</v>
      </c>
      <c r="V41" s="1365">
        <f t="shared" si="28"/>
        <v>2700000</v>
      </c>
      <c r="X41" s="1363">
        <v>200000</v>
      </c>
    </row>
    <row r="42" spans="2:24" ht="16.5" hidden="1" thickBot="1">
      <c r="B42" s="646" t="s">
        <v>2104</v>
      </c>
      <c r="C42" s="180" t="s">
        <v>569</v>
      </c>
      <c r="D42" s="644" t="s">
        <v>2105</v>
      </c>
      <c r="E42" s="190">
        <v>2</v>
      </c>
      <c r="F42" s="180" t="s">
        <v>2058</v>
      </c>
      <c r="G42" s="190">
        <v>9990001</v>
      </c>
      <c r="H42" s="645" t="s">
        <v>2090</v>
      </c>
      <c r="I42" s="1365">
        <f>2000000</f>
        <v>2000000</v>
      </c>
      <c r="J42" s="2611">
        <v>647000</v>
      </c>
      <c r="K42" s="2321">
        <f>2000000</f>
        <v>2000000</v>
      </c>
      <c r="L42" s="1364">
        <f t="shared" si="24"/>
        <v>2000000</v>
      </c>
      <c r="M42" s="192">
        <f t="shared" si="25"/>
        <v>2000000</v>
      </c>
      <c r="N42" s="192">
        <f t="shared" si="29"/>
        <v>2000000</v>
      </c>
      <c r="O42" s="194">
        <f t="shared" si="29"/>
        <v>2000000</v>
      </c>
      <c r="P42" s="2618">
        <v>1054500</v>
      </c>
      <c r="Q42" s="533">
        <f t="shared" si="26"/>
        <v>0.52725</v>
      </c>
      <c r="T42" s="192">
        <f t="shared" si="27"/>
        <v>0</v>
      </c>
      <c r="V42" s="1365">
        <f t="shared" si="28"/>
        <v>945500</v>
      </c>
      <c r="X42" s="1363">
        <v>618500</v>
      </c>
    </row>
    <row r="43" spans="2:24" ht="16.5" hidden="1" thickBot="1">
      <c r="B43" s="646" t="s">
        <v>2106</v>
      </c>
      <c r="C43" s="180" t="s">
        <v>569</v>
      </c>
      <c r="D43" s="644" t="s">
        <v>2107</v>
      </c>
      <c r="E43" s="190">
        <v>2</v>
      </c>
      <c r="F43" s="180" t="s">
        <v>2058</v>
      </c>
      <c r="G43" s="190">
        <v>9990001</v>
      </c>
      <c r="H43" s="645" t="s">
        <v>2090</v>
      </c>
      <c r="I43" s="1365">
        <f>1000000</f>
        <v>1000000</v>
      </c>
      <c r="J43" s="2611">
        <v>159600</v>
      </c>
      <c r="K43" s="2321">
        <f>1000000</f>
        <v>1000000</v>
      </c>
      <c r="L43" s="1364">
        <f t="shared" si="24"/>
        <v>1000000</v>
      </c>
      <c r="M43" s="192">
        <f t="shared" si="25"/>
        <v>1000000</v>
      </c>
      <c r="N43" s="192">
        <f t="shared" si="29"/>
        <v>1000000</v>
      </c>
      <c r="O43" s="194">
        <f t="shared" si="29"/>
        <v>1000000</v>
      </c>
      <c r="P43" s="2618">
        <v>99750</v>
      </c>
      <c r="Q43" s="533">
        <f t="shared" si="26"/>
        <v>9.9750000000000005E-2</v>
      </c>
      <c r="T43" s="192">
        <f t="shared" si="27"/>
        <v>0</v>
      </c>
      <c r="V43" s="1365">
        <f t="shared" si="28"/>
        <v>900250</v>
      </c>
      <c r="X43" s="1363">
        <v>119700</v>
      </c>
    </row>
    <row r="44" spans="2:24" ht="16.5" hidden="1" thickBot="1">
      <c r="B44" s="646" t="s">
        <v>3303</v>
      </c>
      <c r="C44" s="180"/>
      <c r="D44" s="644"/>
      <c r="E44" s="190"/>
      <c r="F44" s="180"/>
      <c r="G44" s="190"/>
      <c r="H44" s="645"/>
      <c r="I44" s="1365">
        <f>2000000-1000000</f>
        <v>1000000</v>
      </c>
      <c r="J44" s="2611">
        <v>0</v>
      </c>
      <c r="K44" s="2321">
        <f>1000000</f>
        <v>1000000</v>
      </c>
      <c r="L44" s="1364">
        <f>+K44</f>
        <v>1000000</v>
      </c>
      <c r="M44" s="192">
        <f t="shared" si="25"/>
        <v>1000000</v>
      </c>
      <c r="N44" s="192">
        <f t="shared" si="29"/>
        <v>1000000</v>
      </c>
      <c r="O44" s="194">
        <f t="shared" si="29"/>
        <v>1000000</v>
      </c>
      <c r="P44" s="2618">
        <v>0</v>
      </c>
      <c r="Q44" s="533">
        <f t="shared" si="26"/>
        <v>0</v>
      </c>
      <c r="T44" s="192">
        <f t="shared" si="27"/>
        <v>0</v>
      </c>
      <c r="V44" s="1365">
        <f t="shared" si="28"/>
        <v>1000000</v>
      </c>
      <c r="X44" s="1363">
        <v>0</v>
      </c>
    </row>
    <row r="45" spans="2:24" ht="16.5" hidden="1" thickBot="1">
      <c r="B45" s="647" t="s">
        <v>43</v>
      </c>
      <c r="C45" s="180"/>
      <c r="D45" s="644"/>
      <c r="E45" s="190"/>
      <c r="F45" s="180"/>
      <c r="G45" s="190"/>
      <c r="H45" s="645"/>
      <c r="I45" s="209">
        <f t="shared" ref="I45:P45" si="30">SUM(I37:I44)</f>
        <v>61500000</v>
      </c>
      <c r="J45" s="2612">
        <f t="shared" si="30"/>
        <v>58479604</v>
      </c>
      <c r="K45" s="2325">
        <f t="shared" si="30"/>
        <v>63360000</v>
      </c>
      <c r="L45" s="1702">
        <f t="shared" si="30"/>
        <v>63360000</v>
      </c>
      <c r="M45" s="209">
        <f t="shared" si="30"/>
        <v>65360000</v>
      </c>
      <c r="N45" s="209">
        <f t="shared" si="30"/>
        <v>67893000</v>
      </c>
      <c r="O45" s="211">
        <f t="shared" si="30"/>
        <v>67893000</v>
      </c>
      <c r="P45" s="2617">
        <f t="shared" si="30"/>
        <v>58782651</v>
      </c>
      <c r="Q45" s="1703">
        <f t="shared" si="26"/>
        <v>0.86581313242896907</v>
      </c>
      <c r="T45" s="192">
        <f t="shared" si="27"/>
        <v>2533000</v>
      </c>
      <c r="V45" s="1701">
        <f t="shared" si="28"/>
        <v>9110349</v>
      </c>
      <c r="X45" s="1701">
        <f>SUM(X37:X44)</f>
        <v>47037804</v>
      </c>
    </row>
    <row r="46" spans="2:24" hidden="1">
      <c r="B46" s="644"/>
      <c r="C46" s="644"/>
      <c r="D46" s="644"/>
      <c r="E46" s="644"/>
      <c r="F46" s="644"/>
      <c r="G46" s="644"/>
      <c r="H46" s="645"/>
      <c r="I46" s="192"/>
      <c r="J46" s="192"/>
      <c r="K46" s="2364"/>
      <c r="P46" s="1365"/>
      <c r="Q46" s="533"/>
      <c r="V46" s="1365"/>
    </row>
    <row r="47" spans="2:24" hidden="1">
      <c r="B47" s="175" t="s">
        <v>2108</v>
      </c>
      <c r="V47" s="169"/>
    </row>
    <row r="48" spans="2:24" hidden="1">
      <c r="B48" s="530" t="s">
        <v>3646</v>
      </c>
      <c r="C48" s="180" t="s">
        <v>569</v>
      </c>
      <c r="D48" s="190" t="s">
        <v>2103</v>
      </c>
      <c r="E48" s="190">
        <v>3</v>
      </c>
      <c r="F48" s="180" t="s">
        <v>2058</v>
      </c>
      <c r="G48" s="190">
        <v>9990001</v>
      </c>
      <c r="H48" s="191" t="s">
        <v>2060</v>
      </c>
      <c r="V48" s="169"/>
    </row>
    <row r="49" spans="2:22" hidden="1">
      <c r="B49" s="530" t="s">
        <v>3647</v>
      </c>
      <c r="C49" s="180" t="s">
        <v>569</v>
      </c>
      <c r="D49" s="190" t="s">
        <v>2105</v>
      </c>
      <c r="E49" s="190">
        <v>3</v>
      </c>
      <c r="F49" s="180" t="s">
        <v>2058</v>
      </c>
      <c r="G49" s="190">
        <v>9990001</v>
      </c>
      <c r="H49" s="191" t="s">
        <v>2060</v>
      </c>
      <c r="V49" s="169"/>
    </row>
    <row r="50" spans="2:22" hidden="1">
      <c r="B50" s="530" t="s">
        <v>3648</v>
      </c>
      <c r="C50" s="180" t="s">
        <v>569</v>
      </c>
      <c r="D50" s="190" t="s">
        <v>2107</v>
      </c>
      <c r="E50" s="190">
        <v>3</v>
      </c>
      <c r="F50" s="180" t="s">
        <v>2058</v>
      </c>
      <c r="G50" s="190">
        <v>9990001</v>
      </c>
      <c r="H50" s="191" t="s">
        <v>2060</v>
      </c>
      <c r="V50" s="169"/>
    </row>
    <row r="51" spans="2:22" hidden="1">
      <c r="V51" s="169"/>
    </row>
    <row r="52" spans="2:22" hidden="1">
      <c r="B52" s="214" t="s">
        <v>2109</v>
      </c>
      <c r="C52" s="180" t="s">
        <v>569</v>
      </c>
      <c r="D52" s="190" t="s">
        <v>2110</v>
      </c>
      <c r="E52" s="190">
        <v>2</v>
      </c>
      <c r="F52" s="180">
        <v>104051</v>
      </c>
      <c r="G52" s="190">
        <v>9990001</v>
      </c>
      <c r="H52" s="191" t="s">
        <v>2111</v>
      </c>
      <c r="V52" s="169"/>
    </row>
    <row r="53" spans="2:22" hidden="1">
      <c r="V53" s="169"/>
    </row>
    <row r="54" spans="2:22" hidden="1">
      <c r="B54" s="214" t="s">
        <v>2112</v>
      </c>
      <c r="C54" s="214"/>
      <c r="D54" s="214"/>
      <c r="E54" s="214"/>
      <c r="F54" s="214"/>
      <c r="G54" s="214"/>
      <c r="H54" s="191" t="s">
        <v>2055</v>
      </c>
      <c r="V54" s="169"/>
    </row>
    <row r="55" spans="2:22" hidden="1">
      <c r="B55" s="214" t="s">
        <v>2066</v>
      </c>
      <c r="C55" s="180" t="s">
        <v>569</v>
      </c>
      <c r="D55" s="190" t="s">
        <v>2067</v>
      </c>
      <c r="E55" s="214">
        <v>2</v>
      </c>
      <c r="F55" s="190">
        <v>104051</v>
      </c>
      <c r="G55" s="190">
        <v>9990001</v>
      </c>
      <c r="H55" s="191" t="s">
        <v>2068</v>
      </c>
      <c r="V55" s="169"/>
    </row>
    <row r="56" spans="2:22" hidden="1">
      <c r="B56" s="214" t="s">
        <v>2113</v>
      </c>
      <c r="C56" s="214"/>
      <c r="D56" s="214"/>
      <c r="E56" s="214"/>
      <c r="F56" s="214"/>
      <c r="G56" s="214"/>
      <c r="H56" s="191" t="s">
        <v>2114</v>
      </c>
      <c r="V56" s="169"/>
    </row>
    <row r="57" spans="2:22" hidden="1">
      <c r="B57" s="214" t="s">
        <v>2115</v>
      </c>
      <c r="C57" s="214"/>
      <c r="D57" s="214"/>
      <c r="E57" s="214"/>
      <c r="F57" s="214"/>
      <c r="G57" s="214"/>
      <c r="H57" s="191" t="s">
        <v>2116</v>
      </c>
      <c r="V57" s="169"/>
    </row>
    <row r="58" spans="2:22" hidden="1">
      <c r="B58" s="213" t="s">
        <v>2073</v>
      </c>
      <c r="C58" s="213"/>
      <c r="D58" s="213"/>
      <c r="E58" s="213"/>
      <c r="F58" s="208"/>
      <c r="G58" s="208"/>
      <c r="H58" s="184" t="s">
        <v>2074</v>
      </c>
      <c r="V58" s="169"/>
    </row>
    <row r="59" spans="2:22" hidden="1">
      <c r="V59" s="169"/>
    </row>
    <row r="60" spans="2:22" hidden="1">
      <c r="B60" s="214" t="s">
        <v>2117</v>
      </c>
      <c r="C60" s="214"/>
      <c r="D60" s="214"/>
      <c r="E60" s="214"/>
      <c r="F60" s="214"/>
      <c r="G60" s="214"/>
      <c r="H60" s="191" t="s">
        <v>2118</v>
      </c>
      <c r="V60" s="169"/>
    </row>
    <row r="61" spans="2:22" hidden="1">
      <c r="B61" s="208" t="s">
        <v>2119</v>
      </c>
      <c r="C61" s="208"/>
      <c r="D61" s="208"/>
      <c r="E61" s="208"/>
      <c r="F61" s="208"/>
      <c r="G61" s="208"/>
      <c r="H61" s="184" t="s">
        <v>2120</v>
      </c>
      <c r="V61" s="169"/>
    </row>
    <row r="62" spans="2:22" hidden="1">
      <c r="V62" s="169"/>
    </row>
    <row r="63" spans="2:22" hidden="1">
      <c r="B63" s="214" t="s">
        <v>2121</v>
      </c>
      <c r="C63" s="180" t="s">
        <v>569</v>
      </c>
      <c r="D63" s="190" t="s">
        <v>2101</v>
      </c>
      <c r="E63" s="190">
        <v>3</v>
      </c>
      <c r="F63" s="180" t="s">
        <v>2122</v>
      </c>
      <c r="G63" s="190">
        <v>99990001</v>
      </c>
      <c r="H63" s="191" t="s">
        <v>2123</v>
      </c>
      <c r="V63" s="169"/>
    </row>
    <row r="64" spans="2:22" hidden="1">
      <c r="V64" s="169"/>
    </row>
    <row r="65" spans="2:22" hidden="1">
      <c r="B65" s="214" t="s">
        <v>2124</v>
      </c>
      <c r="C65" s="180" t="s">
        <v>569</v>
      </c>
      <c r="D65" s="190" t="s">
        <v>2125</v>
      </c>
      <c r="E65" s="190">
        <v>2</v>
      </c>
      <c r="F65" s="180" t="s">
        <v>2126</v>
      </c>
      <c r="G65" s="190">
        <v>890442</v>
      </c>
      <c r="H65" s="191" t="s">
        <v>2127</v>
      </c>
      <c r="V65" s="169"/>
    </row>
    <row r="66" spans="2:22" hidden="1">
      <c r="B66" s="213" t="s">
        <v>2128</v>
      </c>
      <c r="C66" s="213"/>
      <c r="D66" s="213"/>
      <c r="E66" s="213"/>
      <c r="F66" s="208"/>
      <c r="G66" s="208"/>
      <c r="H66" s="184" t="s">
        <v>2129</v>
      </c>
      <c r="V66" s="169"/>
    </row>
    <row r="67" spans="2:22" hidden="1">
      <c r="V67" s="169"/>
    </row>
    <row r="68" spans="2:22" hidden="1">
      <c r="B68" s="214" t="s">
        <v>3649</v>
      </c>
      <c r="C68" s="180" t="s">
        <v>569</v>
      </c>
      <c r="D68" s="190" t="s">
        <v>2098</v>
      </c>
      <c r="E68" s="190">
        <v>2</v>
      </c>
      <c r="F68" s="180">
        <v>106020</v>
      </c>
      <c r="G68" s="190">
        <v>9990001</v>
      </c>
      <c r="H68" s="180" t="s">
        <v>2130</v>
      </c>
      <c r="V68" s="169"/>
    </row>
    <row r="69" spans="2:22" hidden="1">
      <c r="B69" s="214"/>
      <c r="C69" s="180"/>
      <c r="D69" s="190"/>
      <c r="E69" s="190"/>
      <c r="F69" s="180"/>
      <c r="G69" s="190"/>
      <c r="H69" s="180" t="s">
        <v>2131</v>
      </c>
      <c r="V69" s="169"/>
    </row>
    <row r="70" spans="2:22" ht="24" hidden="1">
      <c r="B70" s="214" t="s">
        <v>3650</v>
      </c>
      <c r="C70" s="180" t="s">
        <v>569</v>
      </c>
      <c r="D70" s="190" t="s">
        <v>2132</v>
      </c>
      <c r="E70" s="190">
        <v>2</v>
      </c>
      <c r="F70" s="180">
        <v>106020</v>
      </c>
      <c r="G70" s="190">
        <v>9990001</v>
      </c>
      <c r="H70" s="180" t="s">
        <v>2133</v>
      </c>
      <c r="V70" s="169"/>
    </row>
    <row r="71" spans="2:22" hidden="1">
      <c r="V71" s="169"/>
    </row>
    <row r="72" spans="2:22" hidden="1">
      <c r="B72" s="214" t="s">
        <v>2134</v>
      </c>
      <c r="C72" s="214"/>
      <c r="D72" s="214"/>
      <c r="E72" s="214"/>
      <c r="F72" s="214"/>
      <c r="G72" s="214"/>
      <c r="H72" s="180" t="s">
        <v>2135</v>
      </c>
      <c r="V72" s="169"/>
    </row>
    <row r="73" spans="2:22" hidden="1">
      <c r="B73" s="214" t="s">
        <v>2136</v>
      </c>
      <c r="C73" s="214"/>
      <c r="D73" s="214"/>
      <c r="E73" s="214"/>
      <c r="F73" s="214"/>
      <c r="G73" s="214"/>
      <c r="H73" s="191" t="s">
        <v>2137</v>
      </c>
      <c r="V73" s="169"/>
    </row>
    <row r="74" spans="2:22" hidden="1">
      <c r="B74" s="213" t="s">
        <v>2138</v>
      </c>
      <c r="C74" s="213"/>
      <c r="D74" s="213"/>
      <c r="E74" s="213"/>
      <c r="F74" s="208"/>
      <c r="G74" s="208"/>
      <c r="H74" s="205" t="s">
        <v>2139</v>
      </c>
      <c r="V74" s="169"/>
    </row>
    <row r="75" spans="2:22" hidden="1">
      <c r="V75" s="169"/>
    </row>
    <row r="76" spans="2:22" hidden="1">
      <c r="B76" s="214" t="s">
        <v>2140</v>
      </c>
      <c r="C76" s="180" t="s">
        <v>569</v>
      </c>
      <c r="D76" s="190" t="s">
        <v>2141</v>
      </c>
      <c r="E76" s="190">
        <v>2</v>
      </c>
      <c r="F76" s="180">
        <v>105010</v>
      </c>
      <c r="G76" s="190">
        <v>9990001</v>
      </c>
      <c r="H76" s="191" t="s">
        <v>2142</v>
      </c>
      <c r="V76" s="169"/>
    </row>
    <row r="77" spans="2:22" hidden="1">
      <c r="B77" s="214" t="s">
        <v>2143</v>
      </c>
      <c r="C77" s="214"/>
      <c r="D77" s="214"/>
      <c r="E77" s="214"/>
      <c r="F77" s="190">
        <v>107060</v>
      </c>
      <c r="G77" s="190" t="s">
        <v>2144</v>
      </c>
      <c r="H77" s="191" t="s">
        <v>2090</v>
      </c>
      <c r="V77" s="169"/>
    </row>
    <row r="78" spans="2:22" hidden="1">
      <c r="B78" s="214" t="s">
        <v>2145</v>
      </c>
      <c r="C78" s="214"/>
      <c r="D78" s="214"/>
      <c r="E78" s="214"/>
      <c r="F78" s="190">
        <v>103010</v>
      </c>
      <c r="G78" s="190" t="s">
        <v>2146</v>
      </c>
      <c r="H78" s="191" t="s">
        <v>2089</v>
      </c>
      <c r="V78" s="169"/>
    </row>
    <row r="79" spans="2:22" hidden="1">
      <c r="V79" s="169"/>
    </row>
    <row r="80" spans="2:22" hidden="1">
      <c r="B80" s="214" t="s">
        <v>2147</v>
      </c>
      <c r="C80" s="214"/>
      <c r="D80" s="214"/>
      <c r="E80" s="214"/>
      <c r="F80" s="214"/>
      <c r="G80" s="214"/>
      <c r="H80" s="191" t="s">
        <v>2148</v>
      </c>
      <c r="V80" s="169"/>
    </row>
    <row r="81" spans="2:22" hidden="1">
      <c r="V81" s="169"/>
    </row>
    <row r="82" spans="2:22" hidden="1">
      <c r="B82" s="214" t="s">
        <v>2149</v>
      </c>
      <c r="C82" s="214"/>
      <c r="D82" s="214"/>
      <c r="E82" s="214"/>
      <c r="F82" s="214"/>
      <c r="G82" s="214"/>
      <c r="H82" s="191" t="s">
        <v>2150</v>
      </c>
      <c r="V82" s="169"/>
    </row>
    <row r="83" spans="2:22" hidden="1">
      <c r="B83" s="214" t="s">
        <v>2151</v>
      </c>
      <c r="C83" s="214"/>
      <c r="D83" s="214"/>
      <c r="E83" s="214"/>
      <c r="F83" s="214"/>
      <c r="G83" s="214"/>
      <c r="H83" s="191" t="s">
        <v>2152</v>
      </c>
      <c r="V83" s="169"/>
    </row>
    <row r="84" spans="2:22" hidden="1">
      <c r="B84" s="214" t="s">
        <v>2153</v>
      </c>
      <c r="C84" s="214"/>
      <c r="D84" s="214"/>
      <c r="E84" s="214"/>
      <c r="F84" s="214"/>
      <c r="G84" s="214"/>
      <c r="H84" s="191" t="s">
        <v>2154</v>
      </c>
      <c r="V84" s="169"/>
    </row>
    <row r="85" spans="2:22" hidden="1">
      <c r="B85" s="214" t="s">
        <v>2087</v>
      </c>
      <c r="C85" s="214"/>
      <c r="D85" s="214"/>
      <c r="E85" s="214"/>
      <c r="F85" s="214"/>
      <c r="G85" s="214"/>
      <c r="H85" s="191" t="s">
        <v>2155</v>
      </c>
      <c r="V85" s="169"/>
    </row>
    <row r="86" spans="2:22" hidden="1">
      <c r="B86" s="214" t="s">
        <v>2156</v>
      </c>
      <c r="C86" s="214"/>
      <c r="D86" s="214"/>
      <c r="E86" s="214"/>
      <c r="F86" s="214"/>
      <c r="G86" s="214"/>
      <c r="H86" s="191" t="s">
        <v>2157</v>
      </c>
      <c r="V86" s="169"/>
    </row>
    <row r="87" spans="2:22" ht="25.5" hidden="1">
      <c r="B87" s="214" t="s">
        <v>2158</v>
      </c>
      <c r="C87" s="214"/>
      <c r="D87" s="214"/>
      <c r="E87" s="214"/>
      <c r="F87" s="214"/>
      <c r="G87" s="214"/>
      <c r="H87" s="191" t="s">
        <v>2159</v>
      </c>
      <c r="V87" s="169"/>
    </row>
    <row r="88" spans="2:22" hidden="1">
      <c r="B88" s="213" t="s">
        <v>2092</v>
      </c>
      <c r="C88" s="213"/>
      <c r="D88" s="213"/>
      <c r="E88" s="213"/>
      <c r="F88" s="208"/>
      <c r="G88" s="208"/>
      <c r="H88" s="184" t="s">
        <v>1518</v>
      </c>
      <c r="V88" s="169"/>
    </row>
    <row r="89" spans="2:22">
      <c r="V89" s="169"/>
    </row>
    <row r="90" spans="2:22">
      <c r="V90" s="169"/>
    </row>
    <row r="91" spans="2:22">
      <c r="V91" s="169"/>
    </row>
  </sheetData>
  <sheetProtection algorithmName="SHA-512" hashValue="46f2cIq1e8QMNCFFBDPiusLtPoTUZ3pPIFitM8pQ1kTOYG2dRKjpRRBIufXu/nAOMoM2fbqJ7T6dCNTAbbgRPw==" saltValue="bSf7/Wzksg0UmWJM9mN1+w==" spinCount="100000" sheet="1" selectLockedCells="1" selectUnlockedCells="1"/>
  <mergeCells count="2">
    <mergeCell ref="A1:T1"/>
    <mergeCell ref="A2:T2"/>
  </mergeCells>
  <printOptions horizontalCentered="1"/>
  <pageMargins left="0.11811023622047245" right="0.15748031496062992" top="0.31496062992125984" bottom="0.43307086614173229" header="0.51181102362204722" footer="0.19685039370078741"/>
  <pageSetup paperSize="9" scale="70" firstPageNumber="0" fitToWidth="2" fitToHeight="2" orientation="portrait" r:id="rId1"/>
  <headerFooter alignWithMargins="0">
    <oddFooter>&amp;C&amp;"Arial CE,Félkövér"&amp;12&amp;P/&amp;N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7F2BE-6D8B-44C6-8B78-B49D6B4515B7}">
  <sheetPr>
    <tabColor indexed="13"/>
  </sheetPr>
  <dimension ref="A1:AC114"/>
  <sheetViews>
    <sheetView view="pageBreakPreview" zoomScale="90" zoomScaleSheetLayoutView="90" workbookViewId="0">
      <pane xSplit="11" ySplit="4" topLeftCell="L5" activePane="bottomRight" state="frozen"/>
      <selection sqref="A1:AC1"/>
      <selection pane="topRight" sqref="A1:AC1"/>
      <selection pane="bottomLeft" sqref="A1:AC1"/>
      <selection pane="bottomRight" sqref="A1:T1"/>
    </sheetView>
  </sheetViews>
  <sheetFormatPr defaultRowHeight="12.75"/>
  <cols>
    <col min="1" max="1" width="6.140625" style="164" customWidth="1"/>
    <col min="2" max="2" width="56.7109375" style="165" customWidth="1"/>
    <col min="3" max="3" width="6.5703125" style="165" hidden="1" customWidth="1"/>
    <col min="4" max="4" width="8.85546875" style="167" hidden="1" customWidth="1"/>
    <col min="5" max="5" width="4.5703125" style="167" hidden="1" customWidth="1"/>
    <col min="6" max="6" width="8.85546875" style="166" hidden="1" customWidth="1"/>
    <col min="7" max="7" width="11.5703125" style="165" hidden="1" customWidth="1"/>
    <col min="8" max="8" width="9.5703125" style="168" hidden="1" customWidth="1"/>
    <col min="9" max="10" width="18" style="169" hidden="1" customWidth="1"/>
    <col min="11" max="11" width="18" style="2332" customWidth="1"/>
    <col min="12" max="13" width="18" style="169" hidden="1" customWidth="1"/>
    <col min="14" max="14" width="18" style="169" customWidth="1"/>
    <col min="15" max="15" width="18" style="169" hidden="1" customWidth="1"/>
    <col min="16" max="16" width="18" style="169" customWidth="1"/>
    <col min="17" max="17" width="14.5703125" style="169" customWidth="1"/>
    <col min="18" max="18" width="18.28515625" style="169" hidden="1" customWidth="1"/>
    <col min="19" max="19" width="16.42578125" style="169" hidden="1" customWidth="1"/>
    <col min="20" max="20" width="18.85546875" style="169" hidden="1" customWidth="1"/>
    <col min="21" max="21" width="14.5703125" style="169" hidden="1" customWidth="1"/>
    <col min="22" max="22" width="17.7109375" style="171" hidden="1" customWidth="1"/>
    <col min="23" max="23" width="13.42578125" style="171" hidden="1" customWidth="1"/>
    <col min="24" max="24" width="10.42578125" style="171" hidden="1" customWidth="1"/>
    <col min="25" max="25" width="14.5703125" style="171" hidden="1" customWidth="1"/>
    <col min="26" max="26" width="12" style="171" customWidth="1"/>
    <col min="27" max="27" width="10.85546875" style="171" bestFit="1" customWidth="1"/>
    <col min="28" max="28" width="9.5703125" style="171" customWidth="1"/>
    <col min="29" max="16384" width="9.140625" style="171"/>
  </cols>
  <sheetData>
    <row r="1" spans="1:28" ht="31.5" customHeight="1">
      <c r="A1" s="3602" t="s">
        <v>4287</v>
      </c>
      <c r="B1" s="3602"/>
      <c r="C1" s="3602"/>
      <c r="D1" s="3602"/>
      <c r="E1" s="3602"/>
      <c r="F1" s="3602"/>
      <c r="G1" s="3602"/>
      <c r="H1" s="3602"/>
      <c r="I1" s="3602"/>
      <c r="J1" s="3602"/>
      <c r="K1" s="3602"/>
      <c r="L1" s="3602"/>
      <c r="M1" s="3602"/>
      <c r="N1" s="3602"/>
      <c r="O1" s="3602"/>
      <c r="P1" s="3602"/>
      <c r="Q1" s="3602"/>
      <c r="R1" s="3546"/>
      <c r="S1" s="3546"/>
      <c r="T1" s="3546"/>
      <c r="U1" s="172"/>
    </row>
    <row r="2" spans="1:28" s="174" customFormat="1" ht="44.25" customHeight="1">
      <c r="A2" s="3678" t="s">
        <v>2160</v>
      </c>
      <c r="B2" s="3678"/>
      <c r="C2" s="3678"/>
      <c r="D2" s="3678"/>
      <c r="E2" s="3678"/>
      <c r="F2" s="3678"/>
      <c r="G2" s="3678"/>
      <c r="H2" s="3678"/>
      <c r="I2" s="3678"/>
      <c r="J2" s="3678"/>
      <c r="K2" s="3678"/>
      <c r="L2" s="3678"/>
      <c r="M2" s="3678"/>
      <c r="N2" s="3678"/>
      <c r="O2" s="3678"/>
      <c r="P2" s="3678"/>
      <c r="Q2" s="3678"/>
      <c r="R2" s="3590"/>
      <c r="S2" s="3590"/>
      <c r="T2" s="3590"/>
      <c r="U2" s="173"/>
    </row>
    <row r="3" spans="1:28" s="174" customFormat="1" ht="23.25" customHeight="1">
      <c r="A3" s="1423"/>
      <c r="B3" s="1424" t="str">
        <f>+'32. mell. Ellátottak'!B3</f>
        <v>A</v>
      </c>
      <c r="C3" s="1424">
        <f>+'32. mell. Ellátottak'!C3</f>
        <v>0</v>
      </c>
      <c r="D3" s="1424">
        <f>+'32. mell. Ellátottak'!D3</f>
        <v>0</v>
      </c>
      <c r="E3" s="1424">
        <f>+'32. mell. Ellátottak'!E3</f>
        <v>0</v>
      </c>
      <c r="F3" s="1424">
        <f>+'32. mell. Ellátottak'!F3</f>
        <v>0</v>
      </c>
      <c r="G3" s="1424">
        <f>+'32. mell. Ellátottak'!G3</f>
        <v>0</v>
      </c>
      <c r="H3" s="1424">
        <f>+'32. mell. Ellátottak'!H3</f>
        <v>0</v>
      </c>
      <c r="I3" s="1424" t="str">
        <f>+'32. mell. Ellátottak'!I3</f>
        <v>B</v>
      </c>
      <c r="J3" s="1424" t="str">
        <f>+'32. mell. Ellátottak'!J3</f>
        <v>B</v>
      </c>
      <c r="K3" s="2365" t="str">
        <f>+'32. mell. Ellátottak'!K3</f>
        <v>B</v>
      </c>
      <c r="L3" s="1424" t="str">
        <f>+'32. mell. Ellátottak'!L3</f>
        <v>D</v>
      </c>
      <c r="M3" s="1424" t="str">
        <f>+'32. mell. Ellátottak'!M3</f>
        <v>E</v>
      </c>
      <c r="N3" s="1424" t="str">
        <f>+'32. mell. Ellátottak'!N3</f>
        <v>C</v>
      </c>
      <c r="O3" s="1424" t="str">
        <f>+'32. mell. Ellátottak'!O3</f>
        <v>F</v>
      </c>
      <c r="P3" s="1424" t="str">
        <f>+'32. mell. Ellátottak'!P3</f>
        <v>D</v>
      </c>
      <c r="Q3" s="1424" t="str">
        <f>+'32. mell. Ellátottak'!Q3</f>
        <v>E</v>
      </c>
      <c r="R3" s="1424">
        <f>+'32. mell. Ellátottak'!R3</f>
        <v>0</v>
      </c>
      <c r="S3" s="1424" t="str">
        <f>+'32. mell. Ellátottak'!S3</f>
        <v>F</v>
      </c>
      <c r="T3" s="1424" t="str">
        <f>+'32. mell. Ellátottak'!T3</f>
        <v>G</v>
      </c>
      <c r="U3" s="173"/>
    </row>
    <row r="4" spans="1:28" ht="68.45" customHeight="1">
      <c r="A4" s="659" t="s">
        <v>6</v>
      </c>
      <c r="B4" s="1420" t="s">
        <v>503</v>
      </c>
      <c r="C4" s="662" t="s">
        <v>504</v>
      </c>
      <c r="D4" s="1421" t="s">
        <v>505</v>
      </c>
      <c r="E4" s="662" t="s">
        <v>506</v>
      </c>
      <c r="F4" s="662" t="s">
        <v>1334</v>
      </c>
      <c r="G4" s="662" t="s">
        <v>508</v>
      </c>
      <c r="H4" s="662" t="s">
        <v>509</v>
      </c>
      <c r="I4" s="1422" t="str">
        <f>+'1. mell.ÖSSZEVONT_MÉRLEG'!C5</f>
        <v>2024. évi eredeti előirányzat
forintban</v>
      </c>
      <c r="J4" s="2591" t="str">
        <f>+'1. mell.ÖSSZEVONT_MÉRLEG'!D5</f>
        <v>2024. évi teljesítés forintban</v>
      </c>
      <c r="K4" s="2359" t="str">
        <f>+'1. mell.ÖSSZEVONT_MÉRLEG'!E5</f>
        <v>2025. évi eredeti előirányzat forintban</v>
      </c>
      <c r="L4" s="182" t="str">
        <f>+'1. mell.ÖSSZEVONT_MÉRLEG'!F5</f>
        <v>2025. évi I. számú módosított előirányzat
forintban</v>
      </c>
      <c r="M4" s="182" t="str">
        <f>+'1. mell.ÖSSZEVONT_MÉRLEG'!G5</f>
        <v>2025. évi II. számú módosított előirányzat forintban</v>
      </c>
      <c r="N4" s="182" t="str">
        <f>+'1. mell.ÖSSZEVONT_MÉRLEG'!H5</f>
        <v>2025. évi III. számú módosított előirányzat forintban</v>
      </c>
      <c r="O4" s="182" t="str">
        <f>+'1. mell.ÖSSZEVONT_MÉRLEG'!I5</f>
        <v>2025. évi IV. számú módosított előirányzat forintban</v>
      </c>
      <c r="P4" s="3191" t="str">
        <f>+'1. mell.ÖSSZEVONT_MÉRLEG'!J5</f>
        <v>2025. évi
teljesítés forintban</v>
      </c>
      <c r="Q4" s="182" t="str">
        <f>+'1. mell.ÖSSZEVONT_MÉRLEG'!K5</f>
        <v xml:space="preserve"> 2025. évi teljesítés / 2025. évi III. számú módosított előirányzat</v>
      </c>
      <c r="R4" s="182" t="str">
        <f>+'1. mell.ÖSSZEVONT_MÉRLEG'!L5</f>
        <v>Változás I. módosításnál</v>
      </c>
      <c r="S4" s="2760" t="str">
        <f>+'1. mell.ÖSSZEVONT_MÉRLEG'!M5</f>
        <v>Előirányzat-módosítások, előirányzat-átcsoportosítások összegszerű változásai</v>
      </c>
      <c r="T4" s="2760" t="str">
        <f>+'1. mell.ÖSSZEVONT_MÉRLEG'!N5</f>
        <v>Előirányzat-módosítások, előirányzat-átcsoportosítások összegszerű változásai a III. módosításnál</v>
      </c>
      <c r="U4" s="182" t="s">
        <v>175</v>
      </c>
      <c r="V4" s="612" t="s">
        <v>3984</v>
      </c>
    </row>
    <row r="5" spans="1:28" hidden="1">
      <c r="A5" s="179">
        <f>+'32. mell. Ellátottak'!A5</f>
        <v>1</v>
      </c>
      <c r="B5" s="179">
        <f>+'32. mell. Ellátottak'!B5</f>
        <v>2</v>
      </c>
      <c r="C5" s="179"/>
      <c r="D5" s="179"/>
      <c r="E5" s="179"/>
      <c r="F5" s="179"/>
      <c r="G5" s="179"/>
      <c r="H5" s="179"/>
      <c r="I5" s="179">
        <f>+'32. mell. Ellátottak'!I5</f>
        <v>3</v>
      </c>
      <c r="J5" s="2547">
        <f>+'32. mell. Ellátottak'!J5</f>
        <v>0</v>
      </c>
      <c r="K5" s="2360">
        <f>+'32. mell. Ellátottak'!K5</f>
        <v>3</v>
      </c>
      <c r="L5" s="179">
        <f>+'32. mell. Ellátottak'!L5</f>
        <v>4</v>
      </c>
      <c r="M5" s="179">
        <f>+'32. mell. Ellátottak'!M5</f>
        <v>5</v>
      </c>
      <c r="N5" s="179">
        <f>+'32. mell. Ellátottak'!N5</f>
        <v>6</v>
      </c>
      <c r="O5" s="179">
        <f>+'32. mell. Ellátottak'!O5</f>
        <v>7</v>
      </c>
      <c r="P5" s="640">
        <f>+'32. mell. Ellátottak'!P5</f>
        <v>0</v>
      </c>
      <c r="Q5" s="179">
        <f>+'32. mell. Ellátottak'!Q5</f>
        <v>5</v>
      </c>
      <c r="R5" s="179"/>
      <c r="S5" s="179"/>
      <c r="T5" s="179"/>
      <c r="U5" s="179"/>
      <c r="V5" s="640">
        <v>0</v>
      </c>
    </row>
    <row r="6" spans="1:28" hidden="1">
      <c r="A6" s="179" t="s">
        <v>6</v>
      </c>
      <c r="B6" s="179" t="s">
        <v>2161</v>
      </c>
      <c r="C6" s="179"/>
      <c r="D6" s="179"/>
      <c r="E6" s="179"/>
      <c r="F6" s="184"/>
      <c r="G6" s="179"/>
      <c r="H6" s="184"/>
      <c r="I6" s="184"/>
      <c r="J6" s="2606"/>
      <c r="K6" s="2356"/>
      <c r="L6" s="617"/>
      <c r="M6" s="617"/>
      <c r="N6" s="617"/>
      <c r="O6" s="617"/>
      <c r="P6" s="618"/>
      <c r="Q6" s="617"/>
      <c r="R6" s="617"/>
      <c r="S6" s="617"/>
      <c r="T6" s="617"/>
      <c r="U6" s="617"/>
      <c r="V6" s="618"/>
    </row>
    <row r="7" spans="1:28" ht="12.75" customHeight="1">
      <c r="A7" s="179" t="s">
        <v>12</v>
      </c>
      <c r="B7" s="214" t="s">
        <v>2162</v>
      </c>
      <c r="C7" s="180" t="s">
        <v>512</v>
      </c>
      <c r="D7" s="190" t="s">
        <v>2163</v>
      </c>
      <c r="E7" s="190">
        <v>2</v>
      </c>
      <c r="F7" s="180" t="s">
        <v>2164</v>
      </c>
      <c r="G7" s="180" t="s">
        <v>572</v>
      </c>
      <c r="H7" s="191" t="s">
        <v>2165</v>
      </c>
      <c r="I7" s="192">
        <v>0</v>
      </c>
      <c r="J7" s="2550">
        <f>+I7</f>
        <v>0</v>
      </c>
      <c r="K7" s="2219">
        <v>0</v>
      </c>
      <c r="L7" s="192">
        <f>+K7</f>
        <v>0</v>
      </c>
      <c r="M7" s="192">
        <f>+L7</f>
        <v>0</v>
      </c>
      <c r="N7" s="192">
        <f>+M7</f>
        <v>0</v>
      </c>
      <c r="O7" s="192">
        <f>+N7</f>
        <v>0</v>
      </c>
      <c r="P7" s="538">
        <v>0</v>
      </c>
      <c r="Q7" s="192"/>
      <c r="R7" s="192">
        <f t="shared" ref="R7:R102" si="0">+L7-K7</f>
        <v>0</v>
      </c>
      <c r="S7" s="192">
        <f t="shared" ref="S7:S102" si="1">+M7-L7</f>
        <v>0</v>
      </c>
      <c r="T7" s="192">
        <f t="shared" ref="T7:T33" si="2">+N7-M7</f>
        <v>0</v>
      </c>
      <c r="U7" s="192">
        <f t="shared" ref="U7:U31" si="3">+O7-N7</f>
        <v>0</v>
      </c>
      <c r="V7" s="538">
        <f>+N7-P7</f>
        <v>0</v>
      </c>
    </row>
    <row r="8" spans="1:28" ht="12.75" customHeight="1">
      <c r="A8" s="179" t="s">
        <v>14</v>
      </c>
      <c r="B8" s="214" t="s">
        <v>3439</v>
      </c>
      <c r="C8" s="180"/>
      <c r="D8" s="190"/>
      <c r="E8" s="190"/>
      <c r="F8" s="180"/>
      <c r="G8" s="180"/>
      <c r="H8" s="191"/>
      <c r="I8" s="192">
        <f>+I9+I10+I11+I12</f>
        <v>2473598849</v>
      </c>
      <c r="J8" s="2550">
        <f t="shared" ref="J8:P8" si="4">+J9+J10+J11+J12</f>
        <v>2694820510</v>
      </c>
      <c r="K8" s="2219">
        <f t="shared" si="4"/>
        <v>3018447566</v>
      </c>
      <c r="L8" s="192">
        <f t="shared" si="4"/>
        <v>3018910144</v>
      </c>
      <c r="M8" s="192">
        <f t="shared" si="4"/>
        <v>3018910144</v>
      </c>
      <c r="N8" s="192">
        <f t="shared" si="4"/>
        <v>3103608006</v>
      </c>
      <c r="O8" s="192">
        <f t="shared" si="4"/>
        <v>3103608006</v>
      </c>
      <c r="P8" s="538">
        <f t="shared" si="4"/>
        <v>3103608006</v>
      </c>
      <c r="Q8" s="193">
        <f>+P8/N8</f>
        <v>1</v>
      </c>
      <c r="R8" s="192">
        <f t="shared" si="0"/>
        <v>462578</v>
      </c>
      <c r="S8" s="192">
        <f t="shared" si="1"/>
        <v>0</v>
      </c>
      <c r="T8" s="192">
        <f t="shared" si="2"/>
        <v>84697862</v>
      </c>
      <c r="U8" s="192">
        <f t="shared" si="3"/>
        <v>0</v>
      </c>
      <c r="V8" s="538">
        <f t="shared" ref="V8:V71" si="5">+N8-P8</f>
        <v>0</v>
      </c>
    </row>
    <row r="9" spans="1:28" s="203" customFormat="1" ht="40.9" customHeight="1">
      <c r="A9" s="204" t="s">
        <v>198</v>
      </c>
      <c r="B9" s="530" t="s">
        <v>3934</v>
      </c>
      <c r="C9" s="197" t="s">
        <v>512</v>
      </c>
      <c r="D9" s="198" t="s">
        <v>2166</v>
      </c>
      <c r="E9" s="198">
        <v>2</v>
      </c>
      <c r="F9" s="197" t="s">
        <v>2164</v>
      </c>
      <c r="G9" s="197" t="s">
        <v>572</v>
      </c>
      <c r="H9" s="204" t="s">
        <v>2167</v>
      </c>
      <c r="I9" s="199">
        <f>0</f>
        <v>0</v>
      </c>
      <c r="J9" s="2555">
        <v>68414096</v>
      </c>
      <c r="K9" s="2250">
        <f>0</f>
        <v>0</v>
      </c>
      <c r="L9" s="199">
        <f t="shared" ref="L9:O12" si="6">+K9</f>
        <v>0</v>
      </c>
      <c r="M9" s="199">
        <f>+L9</f>
        <v>0</v>
      </c>
      <c r="N9" s="199">
        <f>+M9+1130236</f>
        <v>1130236</v>
      </c>
      <c r="O9" s="199">
        <f t="shared" si="6"/>
        <v>1130236</v>
      </c>
      <c r="P9" s="626">
        <v>1130236</v>
      </c>
      <c r="Q9" s="193">
        <f>+P9/N9</f>
        <v>1</v>
      </c>
      <c r="R9" s="199">
        <f t="shared" si="0"/>
        <v>0</v>
      </c>
      <c r="S9" s="199">
        <f t="shared" si="1"/>
        <v>0</v>
      </c>
      <c r="T9" s="199">
        <f t="shared" si="2"/>
        <v>1130236</v>
      </c>
      <c r="U9" s="199">
        <f t="shared" si="3"/>
        <v>0</v>
      </c>
      <c r="V9" s="626">
        <f t="shared" si="5"/>
        <v>0</v>
      </c>
      <c r="Z9" s="171"/>
      <c r="AA9" s="171"/>
      <c r="AB9" s="171"/>
    </row>
    <row r="10" spans="1:28" s="203" customFormat="1" ht="30" customHeight="1">
      <c r="A10" s="204" t="s">
        <v>200</v>
      </c>
      <c r="B10" s="530" t="s">
        <v>4015</v>
      </c>
      <c r="C10" s="197" t="s">
        <v>512</v>
      </c>
      <c r="D10" s="198" t="s">
        <v>2168</v>
      </c>
      <c r="E10" s="198">
        <v>2</v>
      </c>
      <c r="F10" s="197" t="s">
        <v>2164</v>
      </c>
      <c r="G10" s="197" t="s">
        <v>572</v>
      </c>
      <c r="H10" s="204" t="s">
        <v>2169</v>
      </c>
      <c r="I10" s="199">
        <f>0</f>
        <v>0</v>
      </c>
      <c r="J10" s="2555">
        <v>41820</v>
      </c>
      <c r="K10" s="2250">
        <f>0</f>
        <v>0</v>
      </c>
      <c r="L10" s="199">
        <f>+K10+462578</f>
        <v>462578</v>
      </c>
      <c r="M10" s="199">
        <f>+L10</f>
        <v>462578</v>
      </c>
      <c r="N10" s="199">
        <f>+M10-462578</f>
        <v>0</v>
      </c>
      <c r="O10" s="199">
        <f t="shared" si="6"/>
        <v>0</v>
      </c>
      <c r="P10" s="626">
        <f>462578-462578</f>
        <v>0</v>
      </c>
      <c r="Q10" s="193"/>
      <c r="R10" s="199">
        <f t="shared" si="0"/>
        <v>462578</v>
      </c>
      <c r="S10" s="199">
        <f t="shared" si="1"/>
        <v>0</v>
      </c>
      <c r="T10" s="199">
        <f t="shared" si="2"/>
        <v>-462578</v>
      </c>
      <c r="U10" s="199">
        <f t="shared" si="3"/>
        <v>0</v>
      </c>
      <c r="V10" s="626">
        <f t="shared" si="5"/>
        <v>0</v>
      </c>
      <c r="Z10" s="171"/>
      <c r="AA10" s="171"/>
      <c r="AB10" s="171"/>
    </row>
    <row r="11" spans="1:28" s="203" customFormat="1" ht="46.5" customHeight="1">
      <c r="A11" s="204" t="s">
        <v>202</v>
      </c>
      <c r="B11" s="530" t="s">
        <v>4017</v>
      </c>
      <c r="C11" s="197" t="s">
        <v>512</v>
      </c>
      <c r="D11" s="198" t="s">
        <v>2166</v>
      </c>
      <c r="E11" s="198">
        <v>2</v>
      </c>
      <c r="F11" s="197" t="s">
        <v>2164</v>
      </c>
      <c r="G11" s="197" t="s">
        <v>572</v>
      </c>
      <c r="H11" s="204" t="s">
        <v>2167</v>
      </c>
      <c r="I11" s="199">
        <f>0+22550956</f>
        <v>22550956</v>
      </c>
      <c r="J11" s="2555">
        <v>175316701</v>
      </c>
      <c r="K11" s="2250">
        <f>0</f>
        <v>0</v>
      </c>
      <c r="L11" s="199">
        <f t="shared" si="6"/>
        <v>0</v>
      </c>
      <c r="M11" s="199">
        <f>+L11</f>
        <v>0</v>
      </c>
      <c r="N11" s="199">
        <f>+M11+84030204</f>
        <v>84030204</v>
      </c>
      <c r="O11" s="199">
        <f t="shared" si="6"/>
        <v>84030204</v>
      </c>
      <c r="P11" s="626">
        <v>84030204</v>
      </c>
      <c r="Q11" s="193">
        <f>+P11/N11</f>
        <v>1</v>
      </c>
      <c r="R11" s="199">
        <f t="shared" si="0"/>
        <v>0</v>
      </c>
      <c r="S11" s="199">
        <f t="shared" si="1"/>
        <v>0</v>
      </c>
      <c r="T11" s="199">
        <f t="shared" si="2"/>
        <v>84030204</v>
      </c>
      <c r="U11" s="199">
        <f t="shared" si="3"/>
        <v>0</v>
      </c>
      <c r="V11" s="626">
        <f t="shared" si="5"/>
        <v>0</v>
      </c>
      <c r="Z11" s="171"/>
      <c r="AA11" s="171"/>
      <c r="AB11" s="171"/>
    </row>
    <row r="12" spans="1:28" s="203" customFormat="1" ht="26.25" customHeight="1">
      <c r="A12" s="204" t="s">
        <v>204</v>
      </c>
      <c r="B12" s="530" t="s">
        <v>4016</v>
      </c>
      <c r="C12" s="231" t="s">
        <v>512</v>
      </c>
      <c r="D12" s="648" t="s">
        <v>2170</v>
      </c>
      <c r="E12" s="648">
        <v>2</v>
      </c>
      <c r="F12" s="231" t="s">
        <v>2164</v>
      </c>
      <c r="G12" s="197" t="s">
        <v>572</v>
      </c>
      <c r="H12" s="204" t="s">
        <v>2171</v>
      </c>
      <c r="I12" s="199">
        <v>2451047893</v>
      </c>
      <c r="J12" s="2555">
        <v>2451047893</v>
      </c>
      <c r="K12" s="2250">
        <f>2451047893+567399673</f>
        <v>3018447566</v>
      </c>
      <c r="L12" s="199">
        <f t="shared" si="6"/>
        <v>3018447566</v>
      </c>
      <c r="M12" s="199">
        <f t="shared" si="6"/>
        <v>3018447566</v>
      </c>
      <c r="N12" s="199">
        <f t="shared" si="6"/>
        <v>3018447566</v>
      </c>
      <c r="O12" s="199">
        <f t="shared" si="6"/>
        <v>3018447566</v>
      </c>
      <c r="P12" s="626">
        <f>3102477770-84030204</f>
        <v>3018447566</v>
      </c>
      <c r="Q12" s="200">
        <f>+P12/N12</f>
        <v>1</v>
      </c>
      <c r="R12" s="199">
        <f t="shared" si="0"/>
        <v>0</v>
      </c>
      <c r="S12" s="199">
        <f t="shared" si="1"/>
        <v>0</v>
      </c>
      <c r="T12" s="199">
        <f t="shared" si="2"/>
        <v>0</v>
      </c>
      <c r="U12" s="199">
        <f t="shared" si="3"/>
        <v>0</v>
      </c>
      <c r="V12" s="626">
        <f t="shared" si="5"/>
        <v>0</v>
      </c>
      <c r="X12" s="1269">
        <f>+P12-N12</f>
        <v>0</v>
      </c>
      <c r="Z12" s="171"/>
      <c r="AA12" s="171"/>
      <c r="AB12" s="171"/>
    </row>
    <row r="13" spans="1:28">
      <c r="A13" s="179" t="s">
        <v>15</v>
      </c>
      <c r="B13" s="208" t="s">
        <v>3277</v>
      </c>
      <c r="C13" s="208"/>
      <c r="D13" s="207"/>
      <c r="E13" s="207"/>
      <c r="F13" s="205"/>
      <c r="G13" s="208"/>
      <c r="H13" s="184" t="s">
        <v>2172</v>
      </c>
      <c r="I13" s="209">
        <f>SUM(I7:I8)</f>
        <v>2473598849</v>
      </c>
      <c r="J13" s="2549">
        <f t="shared" ref="J13:P13" si="7">SUM(J7:J8)</f>
        <v>2694820510</v>
      </c>
      <c r="K13" s="2347">
        <f t="shared" si="7"/>
        <v>3018447566</v>
      </c>
      <c r="L13" s="209">
        <f t="shared" si="7"/>
        <v>3018910144</v>
      </c>
      <c r="M13" s="209">
        <f t="shared" si="7"/>
        <v>3018910144</v>
      </c>
      <c r="N13" s="209">
        <f t="shared" si="7"/>
        <v>3103608006</v>
      </c>
      <c r="O13" s="209">
        <f t="shared" si="7"/>
        <v>3103608006</v>
      </c>
      <c r="P13" s="245">
        <f t="shared" si="7"/>
        <v>3103608006</v>
      </c>
      <c r="Q13" s="210">
        <f>+P13/N13</f>
        <v>1</v>
      </c>
      <c r="R13" s="209">
        <f t="shared" si="0"/>
        <v>462578</v>
      </c>
      <c r="S13" s="209">
        <f t="shared" si="1"/>
        <v>0</v>
      </c>
      <c r="T13" s="209">
        <f t="shared" si="2"/>
        <v>84697862</v>
      </c>
      <c r="U13" s="209">
        <f t="shared" si="3"/>
        <v>0</v>
      </c>
      <c r="V13" s="245">
        <f t="shared" si="5"/>
        <v>0</v>
      </c>
    </row>
    <row r="14" spans="1:28" ht="25.5">
      <c r="A14" s="179" t="s">
        <v>17</v>
      </c>
      <c r="B14" s="213" t="s">
        <v>2173</v>
      </c>
      <c r="C14" s="213"/>
      <c r="D14" s="207"/>
      <c r="E14" s="207"/>
      <c r="F14" s="205"/>
      <c r="G14" s="208"/>
      <c r="H14" s="184" t="s">
        <v>2174</v>
      </c>
      <c r="I14" s="209">
        <v>0</v>
      </c>
      <c r="J14" s="2549">
        <f>+I14</f>
        <v>0</v>
      </c>
      <c r="K14" s="2347">
        <v>0</v>
      </c>
      <c r="L14" s="209">
        <f>+K14</f>
        <v>0</v>
      </c>
      <c r="M14" s="209">
        <f>+L14</f>
        <v>0</v>
      </c>
      <c r="N14" s="209">
        <f>+M14</f>
        <v>0</v>
      </c>
      <c r="O14" s="209">
        <f>+N14</f>
        <v>0</v>
      </c>
      <c r="P14" s="245">
        <v>0</v>
      </c>
      <c r="Q14" s="210"/>
      <c r="R14" s="209">
        <f t="shared" si="0"/>
        <v>0</v>
      </c>
      <c r="S14" s="209">
        <f t="shared" si="1"/>
        <v>0</v>
      </c>
      <c r="T14" s="209">
        <f t="shared" si="2"/>
        <v>0</v>
      </c>
      <c r="U14" s="209">
        <f t="shared" si="3"/>
        <v>0</v>
      </c>
      <c r="V14" s="245">
        <f t="shared" si="5"/>
        <v>0</v>
      </c>
    </row>
    <row r="15" spans="1:28" ht="25.5" hidden="1">
      <c r="A15" s="179"/>
      <c r="B15" s="214" t="s">
        <v>2175</v>
      </c>
      <c r="C15" s="214"/>
      <c r="D15" s="190"/>
      <c r="E15" s="190"/>
      <c r="F15" s="180"/>
      <c r="G15" s="214"/>
      <c r="H15" s="191" t="s">
        <v>2176</v>
      </c>
      <c r="I15" s="192"/>
      <c r="J15" s="2550"/>
      <c r="K15" s="2219"/>
      <c r="L15" s="192"/>
      <c r="M15" s="192"/>
      <c r="N15" s="192"/>
      <c r="O15" s="192"/>
      <c r="P15" s="538"/>
      <c r="Q15" s="193"/>
      <c r="R15" s="192">
        <f t="shared" si="0"/>
        <v>0</v>
      </c>
      <c r="S15" s="192">
        <f t="shared" si="1"/>
        <v>0</v>
      </c>
      <c r="T15" s="192">
        <f t="shared" si="2"/>
        <v>0</v>
      </c>
      <c r="U15" s="192">
        <f t="shared" si="3"/>
        <v>0</v>
      </c>
      <c r="V15" s="538">
        <f t="shared" si="5"/>
        <v>0</v>
      </c>
    </row>
    <row r="16" spans="1:28" ht="25.5" hidden="1">
      <c r="A16" s="179"/>
      <c r="B16" s="214" t="s">
        <v>2177</v>
      </c>
      <c r="C16" s="214"/>
      <c r="D16" s="190"/>
      <c r="E16" s="190"/>
      <c r="F16" s="180"/>
      <c r="G16" s="214"/>
      <c r="H16" s="191" t="s">
        <v>2178</v>
      </c>
      <c r="I16" s="192"/>
      <c r="J16" s="2550"/>
      <c r="K16" s="2219"/>
      <c r="L16" s="192"/>
      <c r="M16" s="192"/>
      <c r="N16" s="192"/>
      <c r="O16" s="192"/>
      <c r="P16" s="538"/>
      <c r="Q16" s="193"/>
      <c r="R16" s="192">
        <f t="shared" si="0"/>
        <v>0</v>
      </c>
      <c r="S16" s="192">
        <f t="shared" si="1"/>
        <v>0</v>
      </c>
      <c r="T16" s="192">
        <f t="shared" si="2"/>
        <v>0</v>
      </c>
      <c r="U16" s="192">
        <f t="shared" si="3"/>
        <v>0</v>
      </c>
      <c r="V16" s="538">
        <f t="shared" si="5"/>
        <v>0</v>
      </c>
    </row>
    <row r="17" spans="1:25" ht="25.5" hidden="1">
      <c r="A17" s="179"/>
      <c r="B17" s="214" t="s">
        <v>2179</v>
      </c>
      <c r="C17" s="214"/>
      <c r="D17" s="190"/>
      <c r="E17" s="190"/>
      <c r="F17" s="180"/>
      <c r="G17" s="214"/>
      <c r="H17" s="191" t="s">
        <v>2180</v>
      </c>
      <c r="I17" s="192"/>
      <c r="J17" s="2550"/>
      <c r="K17" s="2219"/>
      <c r="L17" s="192"/>
      <c r="M17" s="192"/>
      <c r="N17" s="192"/>
      <c r="O17" s="192"/>
      <c r="P17" s="538"/>
      <c r="Q17" s="193"/>
      <c r="R17" s="192">
        <f t="shared" si="0"/>
        <v>0</v>
      </c>
      <c r="S17" s="192">
        <f t="shared" si="1"/>
        <v>0</v>
      </c>
      <c r="T17" s="192">
        <f t="shared" si="2"/>
        <v>0</v>
      </c>
      <c r="U17" s="192">
        <f t="shared" si="3"/>
        <v>0</v>
      </c>
      <c r="V17" s="538">
        <f t="shared" si="5"/>
        <v>0</v>
      </c>
    </row>
    <row r="18" spans="1:25" ht="25.5" hidden="1">
      <c r="A18" s="179"/>
      <c r="B18" s="214" t="s">
        <v>2181</v>
      </c>
      <c r="C18" s="214"/>
      <c r="D18" s="190"/>
      <c r="E18" s="190"/>
      <c r="F18" s="180"/>
      <c r="G18" s="214"/>
      <c r="H18" s="191" t="s">
        <v>2182</v>
      </c>
      <c r="I18" s="192"/>
      <c r="J18" s="2550"/>
      <c r="K18" s="2219"/>
      <c r="L18" s="192"/>
      <c r="M18" s="192"/>
      <c r="N18" s="192"/>
      <c r="O18" s="192"/>
      <c r="P18" s="538"/>
      <c r="Q18" s="193"/>
      <c r="R18" s="192">
        <f t="shared" si="0"/>
        <v>0</v>
      </c>
      <c r="S18" s="192">
        <f t="shared" si="1"/>
        <v>0</v>
      </c>
      <c r="T18" s="192">
        <f t="shared" si="2"/>
        <v>0</v>
      </c>
      <c r="U18" s="192">
        <f t="shared" si="3"/>
        <v>0</v>
      </c>
      <c r="V18" s="538">
        <f t="shared" si="5"/>
        <v>0</v>
      </c>
    </row>
    <row r="19" spans="1:25" ht="25.5" hidden="1">
      <c r="A19" s="179"/>
      <c r="B19" s="214" t="s">
        <v>2183</v>
      </c>
      <c r="C19" s="214"/>
      <c r="D19" s="190"/>
      <c r="E19" s="190"/>
      <c r="F19" s="180"/>
      <c r="G19" s="214"/>
      <c r="H19" s="191" t="s">
        <v>2184</v>
      </c>
      <c r="I19" s="192"/>
      <c r="J19" s="2550"/>
      <c r="K19" s="2219"/>
      <c r="L19" s="192"/>
      <c r="M19" s="192"/>
      <c r="N19" s="192"/>
      <c r="O19" s="192"/>
      <c r="P19" s="538"/>
      <c r="Q19" s="193"/>
      <c r="R19" s="192">
        <f t="shared" si="0"/>
        <v>0</v>
      </c>
      <c r="S19" s="192">
        <f t="shared" si="1"/>
        <v>0</v>
      </c>
      <c r="T19" s="192">
        <f t="shared" si="2"/>
        <v>0</v>
      </c>
      <c r="U19" s="192">
        <f t="shared" si="3"/>
        <v>0</v>
      </c>
      <c r="V19" s="538">
        <f t="shared" si="5"/>
        <v>0</v>
      </c>
    </row>
    <row r="20" spans="1:25" ht="25.5">
      <c r="A20" s="179" t="s">
        <v>19</v>
      </c>
      <c r="B20" s="213" t="s">
        <v>2185</v>
      </c>
      <c r="C20" s="213"/>
      <c r="D20" s="207"/>
      <c r="E20" s="207"/>
      <c r="F20" s="205"/>
      <c r="G20" s="208"/>
      <c r="H20" s="184" t="s">
        <v>2186</v>
      </c>
      <c r="I20" s="209">
        <f>SUM(I15:I19)</f>
        <v>0</v>
      </c>
      <c r="J20" s="2549">
        <f t="shared" ref="J20:P20" si="8">SUM(J15:J19)</f>
        <v>0</v>
      </c>
      <c r="K20" s="2347">
        <f t="shared" si="8"/>
        <v>0</v>
      </c>
      <c r="L20" s="209">
        <f t="shared" si="8"/>
        <v>0</v>
      </c>
      <c r="M20" s="209">
        <f t="shared" si="8"/>
        <v>0</v>
      </c>
      <c r="N20" s="209">
        <f t="shared" si="8"/>
        <v>0</v>
      </c>
      <c r="O20" s="209">
        <f t="shared" si="8"/>
        <v>0</v>
      </c>
      <c r="P20" s="245">
        <f t="shared" si="8"/>
        <v>0</v>
      </c>
      <c r="Q20" s="210"/>
      <c r="R20" s="209">
        <f t="shared" si="0"/>
        <v>0</v>
      </c>
      <c r="S20" s="209">
        <f t="shared" si="1"/>
        <v>0</v>
      </c>
      <c r="T20" s="209">
        <f t="shared" si="2"/>
        <v>0</v>
      </c>
      <c r="U20" s="209">
        <f t="shared" si="3"/>
        <v>0</v>
      </c>
      <c r="V20" s="245">
        <f t="shared" si="5"/>
        <v>0</v>
      </c>
    </row>
    <row r="21" spans="1:25" ht="25.5">
      <c r="A21" s="179" t="s">
        <v>21</v>
      </c>
      <c r="B21" s="213" t="s">
        <v>2187</v>
      </c>
      <c r="C21" s="213"/>
      <c r="D21" s="207"/>
      <c r="E21" s="207"/>
      <c r="F21" s="205"/>
      <c r="G21" s="208"/>
      <c r="H21" s="184" t="s">
        <v>2188</v>
      </c>
      <c r="I21" s="209">
        <v>0</v>
      </c>
      <c r="J21" s="2549">
        <f>+I21</f>
        <v>0</v>
      </c>
      <c r="K21" s="2347">
        <v>0</v>
      </c>
      <c r="L21" s="209">
        <f>+K21</f>
        <v>0</v>
      </c>
      <c r="M21" s="209">
        <f>+L21</f>
        <v>0</v>
      </c>
      <c r="N21" s="209">
        <f>+M21</f>
        <v>0</v>
      </c>
      <c r="O21" s="209">
        <f>+N21</f>
        <v>0</v>
      </c>
      <c r="P21" s="245">
        <v>0</v>
      </c>
      <c r="Q21" s="210"/>
      <c r="R21" s="209">
        <f t="shared" si="0"/>
        <v>0</v>
      </c>
      <c r="S21" s="209">
        <f t="shared" si="1"/>
        <v>0</v>
      </c>
      <c r="T21" s="209">
        <f t="shared" si="2"/>
        <v>0</v>
      </c>
      <c r="U21" s="209">
        <f t="shared" si="3"/>
        <v>0</v>
      </c>
      <c r="V21" s="245">
        <f t="shared" si="5"/>
        <v>0</v>
      </c>
    </row>
    <row r="22" spans="1:25" hidden="1">
      <c r="A22" s="179"/>
      <c r="B22" s="214" t="s">
        <v>2189</v>
      </c>
      <c r="C22" s="214"/>
      <c r="D22" s="190"/>
      <c r="E22" s="190"/>
      <c r="F22" s="180"/>
      <c r="G22" s="214"/>
      <c r="H22" s="191" t="s">
        <v>2190</v>
      </c>
      <c r="I22" s="192"/>
      <c r="J22" s="2550"/>
      <c r="K22" s="2219"/>
      <c r="L22" s="192"/>
      <c r="M22" s="192"/>
      <c r="N22" s="192"/>
      <c r="O22" s="192"/>
      <c r="P22" s="538"/>
      <c r="Q22" s="193"/>
      <c r="R22" s="192">
        <f t="shared" si="0"/>
        <v>0</v>
      </c>
      <c r="S22" s="192">
        <f t="shared" si="1"/>
        <v>0</v>
      </c>
      <c r="T22" s="192">
        <f t="shared" si="2"/>
        <v>0</v>
      </c>
      <c r="U22" s="192">
        <f t="shared" si="3"/>
        <v>0</v>
      </c>
      <c r="V22" s="538">
        <f t="shared" si="5"/>
        <v>0</v>
      </c>
    </row>
    <row r="23" spans="1:25" hidden="1">
      <c r="A23" s="179"/>
      <c r="B23" s="214" t="s">
        <v>2191</v>
      </c>
      <c r="C23" s="214"/>
      <c r="D23" s="190"/>
      <c r="E23" s="190"/>
      <c r="F23" s="180"/>
      <c r="G23" s="214"/>
      <c r="H23" s="191" t="s">
        <v>2192</v>
      </c>
      <c r="I23" s="192"/>
      <c r="J23" s="2550"/>
      <c r="K23" s="2219"/>
      <c r="L23" s="192"/>
      <c r="M23" s="192"/>
      <c r="N23" s="192"/>
      <c r="O23" s="192"/>
      <c r="P23" s="538"/>
      <c r="Q23" s="193"/>
      <c r="R23" s="192">
        <f t="shared" si="0"/>
        <v>0</v>
      </c>
      <c r="S23" s="192">
        <f t="shared" si="1"/>
        <v>0</v>
      </c>
      <c r="T23" s="192">
        <f t="shared" si="2"/>
        <v>0</v>
      </c>
      <c r="U23" s="192">
        <f t="shared" si="3"/>
        <v>0</v>
      </c>
      <c r="V23" s="538">
        <f t="shared" si="5"/>
        <v>0</v>
      </c>
    </row>
    <row r="24" spans="1:25" hidden="1">
      <c r="A24" s="179"/>
      <c r="B24" s="214" t="s">
        <v>2193</v>
      </c>
      <c r="C24" s="214"/>
      <c r="D24" s="190"/>
      <c r="E24" s="190"/>
      <c r="F24" s="180"/>
      <c r="G24" s="214"/>
      <c r="H24" s="191" t="s">
        <v>2194</v>
      </c>
      <c r="I24" s="192"/>
      <c r="J24" s="2550"/>
      <c r="K24" s="2219"/>
      <c r="L24" s="192"/>
      <c r="M24" s="192"/>
      <c r="N24" s="192"/>
      <c r="O24" s="192"/>
      <c r="P24" s="538"/>
      <c r="Q24" s="193"/>
      <c r="R24" s="192">
        <f t="shared" si="0"/>
        <v>0</v>
      </c>
      <c r="S24" s="192">
        <f t="shared" si="1"/>
        <v>0</v>
      </c>
      <c r="T24" s="192">
        <f t="shared" si="2"/>
        <v>0</v>
      </c>
      <c r="U24" s="192">
        <f t="shared" si="3"/>
        <v>0</v>
      </c>
      <c r="V24" s="538">
        <f t="shared" si="5"/>
        <v>0</v>
      </c>
    </row>
    <row r="25" spans="1:25" hidden="1">
      <c r="A25" s="179"/>
      <c r="B25" s="214" t="s">
        <v>2195</v>
      </c>
      <c r="C25" s="180" t="s">
        <v>599</v>
      </c>
      <c r="D25" s="190" t="s">
        <v>2196</v>
      </c>
      <c r="E25" s="190">
        <v>2</v>
      </c>
      <c r="F25" s="180" t="s">
        <v>2197</v>
      </c>
      <c r="G25" s="180" t="s">
        <v>572</v>
      </c>
      <c r="H25" s="191" t="s">
        <v>2198</v>
      </c>
      <c r="I25" s="192">
        <v>0</v>
      </c>
      <c r="J25" s="2550">
        <f>+I25</f>
        <v>0</v>
      </c>
      <c r="K25" s="2219">
        <v>0</v>
      </c>
      <c r="L25" s="192">
        <f t="shared" ref="L25:M34" si="9">+K25</f>
        <v>0</v>
      </c>
      <c r="M25" s="192">
        <f t="shared" si="9"/>
        <v>0</v>
      </c>
      <c r="N25" s="192">
        <f t="shared" ref="N25:N33" si="10">+M25</f>
        <v>0</v>
      </c>
      <c r="O25" s="192">
        <f t="shared" ref="O25:O34" si="11">+N25</f>
        <v>0</v>
      </c>
      <c r="P25" s="538">
        <f>+O25</f>
        <v>0</v>
      </c>
      <c r="Q25" s="193"/>
      <c r="R25" s="192">
        <f t="shared" si="0"/>
        <v>0</v>
      </c>
      <c r="S25" s="192">
        <f t="shared" si="1"/>
        <v>0</v>
      </c>
      <c r="T25" s="192">
        <f t="shared" si="2"/>
        <v>0</v>
      </c>
      <c r="U25" s="192">
        <f t="shared" si="3"/>
        <v>0</v>
      </c>
      <c r="V25" s="538">
        <f t="shared" si="5"/>
        <v>0</v>
      </c>
    </row>
    <row r="26" spans="1:25" hidden="1">
      <c r="A26" s="179"/>
      <c r="B26" s="214" t="s">
        <v>2199</v>
      </c>
      <c r="C26" s="180" t="s">
        <v>599</v>
      </c>
      <c r="D26" s="190" t="s">
        <v>2200</v>
      </c>
      <c r="E26" s="190">
        <v>2</v>
      </c>
      <c r="F26" s="180" t="s">
        <v>986</v>
      </c>
      <c r="G26" s="180" t="s">
        <v>2201</v>
      </c>
      <c r="H26" s="191" t="s">
        <v>2198</v>
      </c>
      <c r="I26" s="192">
        <v>0</v>
      </c>
      <c r="J26" s="2550">
        <f>+I26</f>
        <v>0</v>
      </c>
      <c r="K26" s="2219">
        <v>0</v>
      </c>
      <c r="L26" s="192">
        <f t="shared" si="9"/>
        <v>0</v>
      </c>
      <c r="M26" s="192">
        <f t="shared" si="9"/>
        <v>0</v>
      </c>
      <c r="N26" s="192">
        <f t="shared" si="10"/>
        <v>0</v>
      </c>
      <c r="O26" s="192">
        <f t="shared" si="11"/>
        <v>0</v>
      </c>
      <c r="P26" s="538">
        <f>+O26</f>
        <v>0</v>
      </c>
      <c r="Q26" s="193"/>
      <c r="R26" s="192">
        <f t="shared" si="0"/>
        <v>0</v>
      </c>
      <c r="S26" s="192">
        <f t="shared" si="1"/>
        <v>0</v>
      </c>
      <c r="T26" s="192">
        <f t="shared" si="2"/>
        <v>0</v>
      </c>
      <c r="U26" s="192">
        <f t="shared" si="3"/>
        <v>0</v>
      </c>
      <c r="V26" s="538">
        <f t="shared" si="5"/>
        <v>0</v>
      </c>
    </row>
    <row r="27" spans="1:25" ht="25.5" hidden="1">
      <c r="A27" s="179" t="s">
        <v>3503</v>
      </c>
      <c r="B27" s="214" t="s">
        <v>3497</v>
      </c>
      <c r="C27" s="180" t="s">
        <v>583</v>
      </c>
      <c r="D27" s="190" t="s">
        <v>2203</v>
      </c>
      <c r="E27" s="190">
        <v>3</v>
      </c>
      <c r="F27" s="180" t="s">
        <v>534</v>
      </c>
      <c r="G27" s="180" t="s">
        <v>572</v>
      </c>
      <c r="H27" s="191" t="s">
        <v>2198</v>
      </c>
      <c r="I27" s="192">
        <v>0</v>
      </c>
      <c r="J27" s="2550">
        <v>1689608</v>
      </c>
      <c r="K27" s="2219">
        <v>0</v>
      </c>
      <c r="L27" s="192">
        <f t="shared" si="9"/>
        <v>0</v>
      </c>
      <c r="M27" s="192">
        <f t="shared" si="9"/>
        <v>0</v>
      </c>
      <c r="N27" s="192">
        <f t="shared" si="10"/>
        <v>0</v>
      </c>
      <c r="O27" s="192">
        <f t="shared" si="11"/>
        <v>0</v>
      </c>
      <c r="P27" s="538"/>
      <c r="Q27" s="193"/>
      <c r="R27" s="192">
        <f t="shared" si="0"/>
        <v>0</v>
      </c>
      <c r="S27" s="192">
        <f t="shared" si="1"/>
        <v>0</v>
      </c>
      <c r="T27" s="192">
        <f t="shared" si="2"/>
        <v>0</v>
      </c>
      <c r="U27" s="192">
        <f t="shared" si="3"/>
        <v>0</v>
      </c>
      <c r="V27" s="538">
        <f t="shared" si="5"/>
        <v>0</v>
      </c>
    </row>
    <row r="28" spans="1:25">
      <c r="A28" s="179" t="s">
        <v>23</v>
      </c>
      <c r="B28" s="214" t="s">
        <v>2202</v>
      </c>
      <c r="C28" s="180" t="s">
        <v>583</v>
      </c>
      <c r="D28" s="190" t="s">
        <v>2203</v>
      </c>
      <c r="E28" s="190">
        <v>2</v>
      </c>
      <c r="F28" s="180" t="s">
        <v>534</v>
      </c>
      <c r="G28" s="180" t="s">
        <v>572</v>
      </c>
      <c r="H28" s="191" t="s">
        <v>2198</v>
      </c>
      <c r="I28" s="192">
        <f>250000</f>
        <v>250000</v>
      </c>
      <c r="J28" s="2550">
        <v>45000</v>
      </c>
      <c r="K28" s="2219">
        <f>250000</f>
        <v>250000</v>
      </c>
      <c r="L28" s="192">
        <f t="shared" si="9"/>
        <v>250000</v>
      </c>
      <c r="M28" s="192">
        <f t="shared" si="9"/>
        <v>250000</v>
      </c>
      <c r="N28" s="192">
        <f t="shared" si="10"/>
        <v>250000</v>
      </c>
      <c r="O28" s="192">
        <f t="shared" si="11"/>
        <v>250000</v>
      </c>
      <c r="P28" s="538">
        <v>71250</v>
      </c>
      <c r="Q28" s="193">
        <f t="shared" ref="Q28:Q35" si="12">+P28/N28</f>
        <v>0.28499999999999998</v>
      </c>
      <c r="R28" s="192">
        <f t="shared" si="0"/>
        <v>0</v>
      </c>
      <c r="S28" s="192">
        <f t="shared" si="1"/>
        <v>0</v>
      </c>
      <c r="T28" s="192">
        <f t="shared" si="2"/>
        <v>0</v>
      </c>
      <c r="U28" s="192">
        <f t="shared" si="3"/>
        <v>0</v>
      </c>
      <c r="V28" s="538">
        <f t="shared" si="5"/>
        <v>178750</v>
      </c>
    </row>
    <row r="29" spans="1:25" ht="25.5">
      <c r="A29" s="179" t="s">
        <v>25</v>
      </c>
      <c r="B29" s="214" t="s">
        <v>2204</v>
      </c>
      <c r="C29" s="180" t="s">
        <v>583</v>
      </c>
      <c r="D29" s="190" t="s">
        <v>2205</v>
      </c>
      <c r="E29" s="190">
        <v>2</v>
      </c>
      <c r="F29" s="180" t="s">
        <v>534</v>
      </c>
      <c r="G29" s="180" t="s">
        <v>572</v>
      </c>
      <c r="H29" s="191" t="s">
        <v>2198</v>
      </c>
      <c r="I29" s="192">
        <f>4000000+10000000</f>
        <v>14000000</v>
      </c>
      <c r="J29" s="2550">
        <v>12579136</v>
      </c>
      <c r="K29" s="2219">
        <f>6000000+10000000</f>
        <v>16000000</v>
      </c>
      <c r="L29" s="192">
        <f>+K29-479400</f>
        <v>15520600</v>
      </c>
      <c r="M29" s="192">
        <f>+L29+1000000</f>
        <v>16520600</v>
      </c>
      <c r="N29" s="192">
        <f>+M29</f>
        <v>16520600</v>
      </c>
      <c r="O29" s="192">
        <f t="shared" si="11"/>
        <v>16520600</v>
      </c>
      <c r="P29" s="538">
        <f>16298117-249250-479400</f>
        <v>15569467</v>
      </c>
      <c r="Q29" s="193">
        <f t="shared" si="12"/>
        <v>0.9424274542086849</v>
      </c>
      <c r="R29" s="192">
        <f t="shared" si="0"/>
        <v>-479400</v>
      </c>
      <c r="S29" s="192">
        <f t="shared" si="1"/>
        <v>1000000</v>
      </c>
      <c r="T29" s="192">
        <f t="shared" si="2"/>
        <v>0</v>
      </c>
      <c r="U29" s="192">
        <f t="shared" si="3"/>
        <v>0</v>
      </c>
      <c r="V29" s="538">
        <f t="shared" si="5"/>
        <v>951133</v>
      </c>
      <c r="X29" s="171">
        <f>5676641+10302075-249250-479400</f>
        <v>15250066</v>
      </c>
      <c r="Y29" s="172">
        <f>+P29-X29</f>
        <v>319401</v>
      </c>
    </row>
    <row r="30" spans="1:25">
      <c r="A30" s="179" t="s">
        <v>27</v>
      </c>
      <c r="B30" s="214" t="s">
        <v>59</v>
      </c>
      <c r="C30" s="180" t="s">
        <v>583</v>
      </c>
      <c r="D30" s="190" t="s">
        <v>2206</v>
      </c>
      <c r="E30" s="190">
        <v>2</v>
      </c>
      <c r="F30" s="180" t="s">
        <v>534</v>
      </c>
      <c r="G30" s="180" t="s">
        <v>572</v>
      </c>
      <c r="H30" s="191" t="s">
        <v>2198</v>
      </c>
      <c r="I30" s="192">
        <f>11000000-3100000</f>
        <v>7900000</v>
      </c>
      <c r="J30" s="2550">
        <v>0</v>
      </c>
      <c r="K30" s="2219">
        <f>8000000</f>
        <v>8000000</v>
      </c>
      <c r="L30" s="192">
        <f t="shared" si="9"/>
        <v>8000000</v>
      </c>
      <c r="M30" s="192">
        <f>+L30-4087800</f>
        <v>3912200</v>
      </c>
      <c r="N30" s="192">
        <f>+M30+157700-4069900</f>
        <v>0</v>
      </c>
      <c r="O30" s="192">
        <f t="shared" si="11"/>
        <v>0</v>
      </c>
      <c r="P30" s="538">
        <f>5678388-5678388</f>
        <v>0</v>
      </c>
      <c r="Q30" s="193"/>
      <c r="R30" s="192">
        <f t="shared" si="0"/>
        <v>0</v>
      </c>
      <c r="S30" s="192">
        <f t="shared" si="1"/>
        <v>-4087800</v>
      </c>
      <c r="T30" s="192">
        <f t="shared" si="2"/>
        <v>-3912200</v>
      </c>
      <c r="U30" s="192">
        <f t="shared" si="3"/>
        <v>0</v>
      </c>
      <c r="V30" s="538">
        <f t="shared" si="5"/>
        <v>0</v>
      </c>
    </row>
    <row r="31" spans="1:25">
      <c r="A31" s="179" t="s">
        <v>29</v>
      </c>
      <c r="B31" s="214" t="s">
        <v>3325</v>
      </c>
      <c r="C31" s="180" t="s">
        <v>973</v>
      </c>
      <c r="D31" s="190" t="s">
        <v>2207</v>
      </c>
      <c r="E31" s="190">
        <v>2</v>
      </c>
      <c r="F31" s="180" t="s">
        <v>534</v>
      </c>
      <c r="G31" s="180" t="s">
        <v>572</v>
      </c>
      <c r="H31" s="191" t="s">
        <v>2198</v>
      </c>
      <c r="I31" s="192">
        <f>23804285</f>
        <v>23804285</v>
      </c>
      <c r="J31" s="2550">
        <v>23804285</v>
      </c>
      <c r="K31" s="2219">
        <f>20300939</f>
        <v>20300939</v>
      </c>
      <c r="L31" s="192">
        <f t="shared" si="9"/>
        <v>20300939</v>
      </c>
      <c r="M31" s="192">
        <f t="shared" si="9"/>
        <v>20300939</v>
      </c>
      <c r="N31" s="192">
        <f t="shared" si="10"/>
        <v>20300939</v>
      </c>
      <c r="O31" s="192">
        <f t="shared" si="11"/>
        <v>20300939</v>
      </c>
      <c r="P31" s="538">
        <v>20300939</v>
      </c>
      <c r="Q31" s="193">
        <f t="shared" si="12"/>
        <v>1</v>
      </c>
      <c r="R31" s="192">
        <f t="shared" si="0"/>
        <v>0</v>
      </c>
      <c r="S31" s="192">
        <f t="shared" si="1"/>
        <v>0</v>
      </c>
      <c r="T31" s="192">
        <f t="shared" si="2"/>
        <v>0</v>
      </c>
      <c r="U31" s="192">
        <f t="shared" si="3"/>
        <v>0</v>
      </c>
      <c r="V31" s="538">
        <f t="shared" si="5"/>
        <v>0</v>
      </c>
    </row>
    <row r="32" spans="1:25">
      <c r="A32" s="179" t="s">
        <v>31</v>
      </c>
      <c r="B32" s="214" t="s">
        <v>64</v>
      </c>
      <c r="C32" s="180" t="s">
        <v>583</v>
      </c>
      <c r="D32" s="190" t="s">
        <v>2208</v>
      </c>
      <c r="E32" s="190">
        <v>2</v>
      </c>
      <c r="F32" s="180" t="s">
        <v>534</v>
      </c>
      <c r="G32" s="180" t="s">
        <v>572</v>
      </c>
      <c r="H32" s="191" t="s">
        <v>2198</v>
      </c>
      <c r="I32" s="192">
        <f>5*293800</f>
        <v>1469000</v>
      </c>
      <c r="J32" s="2550">
        <v>0</v>
      </c>
      <c r="K32" s="2219">
        <f>7*293800</f>
        <v>2056600</v>
      </c>
      <c r="L32" s="192">
        <f>+K32-293800-293800-293800</f>
        <v>1175200</v>
      </c>
      <c r="M32" s="192">
        <f>+L32-587600</f>
        <v>587600</v>
      </c>
      <c r="N32" s="192">
        <f>+M32+293800-293800</f>
        <v>587600</v>
      </c>
      <c r="O32" s="192">
        <f t="shared" si="11"/>
        <v>587600</v>
      </c>
      <c r="P32" s="538">
        <f>1275300-1275300+520000</f>
        <v>520000</v>
      </c>
      <c r="Q32" s="193">
        <f t="shared" si="12"/>
        <v>0.88495575221238942</v>
      </c>
      <c r="R32" s="192">
        <f t="shared" si="0"/>
        <v>-881400</v>
      </c>
      <c r="S32" s="192">
        <f t="shared" si="1"/>
        <v>-587600</v>
      </c>
      <c r="T32" s="192">
        <f t="shared" si="2"/>
        <v>0</v>
      </c>
      <c r="U32" s="192"/>
      <c r="V32" s="538">
        <f t="shared" si="5"/>
        <v>67600</v>
      </c>
    </row>
    <row r="33" spans="1:28" ht="25.5">
      <c r="A33" s="179" t="s">
        <v>33</v>
      </c>
      <c r="B33" s="214" t="s">
        <v>3554</v>
      </c>
      <c r="C33" s="180" t="s">
        <v>583</v>
      </c>
      <c r="D33" s="1013" t="s">
        <v>3182</v>
      </c>
      <c r="E33" s="190">
        <v>2</v>
      </c>
      <c r="F33" s="180" t="s">
        <v>534</v>
      </c>
      <c r="G33" s="180" t="s">
        <v>572</v>
      </c>
      <c r="H33" s="191" t="s">
        <v>2198</v>
      </c>
      <c r="I33" s="192">
        <f>1500000</f>
        <v>1500000</v>
      </c>
      <c r="J33" s="2550">
        <v>1500000</v>
      </c>
      <c r="K33" s="2219">
        <f>1500000</f>
        <v>1500000</v>
      </c>
      <c r="L33" s="192">
        <f t="shared" si="9"/>
        <v>1500000</v>
      </c>
      <c r="M33" s="192">
        <f t="shared" si="9"/>
        <v>1500000</v>
      </c>
      <c r="N33" s="192">
        <f t="shared" si="10"/>
        <v>1500000</v>
      </c>
      <c r="O33" s="192">
        <f t="shared" si="11"/>
        <v>1500000</v>
      </c>
      <c r="P33" s="538">
        <v>1496000</v>
      </c>
      <c r="Q33" s="193">
        <f t="shared" si="12"/>
        <v>0.99733333333333329</v>
      </c>
      <c r="R33" s="192">
        <f t="shared" si="0"/>
        <v>0</v>
      </c>
      <c r="S33" s="192">
        <f t="shared" si="1"/>
        <v>0</v>
      </c>
      <c r="T33" s="192">
        <f t="shared" si="2"/>
        <v>0</v>
      </c>
      <c r="U33" s="192"/>
      <c r="V33" s="538">
        <f t="shared" si="5"/>
        <v>4000</v>
      </c>
    </row>
    <row r="34" spans="1:28" ht="25.5">
      <c r="A34" s="179" t="s">
        <v>35</v>
      </c>
      <c r="B34" s="214" t="s">
        <v>2209</v>
      </c>
      <c r="C34" s="180" t="s">
        <v>583</v>
      </c>
      <c r="D34" s="190" t="s">
        <v>2210</v>
      </c>
      <c r="E34" s="190">
        <v>2</v>
      </c>
      <c r="F34" s="180" t="s">
        <v>534</v>
      </c>
      <c r="G34" s="180" t="s">
        <v>572</v>
      </c>
      <c r="H34" s="191" t="s">
        <v>2198</v>
      </c>
      <c r="I34" s="192">
        <f>4000000</f>
        <v>4000000</v>
      </c>
      <c r="J34" s="2550">
        <v>0</v>
      </c>
      <c r="K34" s="2219">
        <f>4000000</f>
        <v>4000000</v>
      </c>
      <c r="L34" s="192">
        <f>+K34-320000-175000</f>
        <v>3505000</v>
      </c>
      <c r="M34" s="192">
        <f t="shared" si="9"/>
        <v>3505000</v>
      </c>
      <c r="N34" s="192">
        <f>+M34</f>
        <v>3505000</v>
      </c>
      <c r="O34" s="192">
        <f t="shared" si="11"/>
        <v>3505000</v>
      </c>
      <c r="P34" s="538">
        <f>495000-495000</f>
        <v>0</v>
      </c>
      <c r="Q34" s="193">
        <f t="shared" si="12"/>
        <v>0</v>
      </c>
      <c r="R34" s="192">
        <f t="shared" si="0"/>
        <v>-495000</v>
      </c>
      <c r="S34" s="192">
        <f t="shared" si="1"/>
        <v>0</v>
      </c>
      <c r="T34" s="192">
        <f t="shared" ref="T34:T102" si="13">+N34-M34</f>
        <v>0</v>
      </c>
      <c r="U34" s="192">
        <f t="shared" ref="U34:U102" si="14">+O34-N34</f>
        <v>0</v>
      </c>
      <c r="V34" s="538">
        <f t="shared" si="5"/>
        <v>3505000</v>
      </c>
    </row>
    <row r="35" spans="1:28" ht="25.5">
      <c r="A35" s="179" t="s">
        <v>37</v>
      </c>
      <c r="B35" s="213" t="s">
        <v>2211</v>
      </c>
      <c r="C35" s="213"/>
      <c r="D35" s="207"/>
      <c r="E35" s="207"/>
      <c r="F35" s="205"/>
      <c r="G35" s="213"/>
      <c r="H35" s="184" t="s">
        <v>2212</v>
      </c>
      <c r="I35" s="209">
        <f>SUM(I25:I34)</f>
        <v>52923285</v>
      </c>
      <c r="J35" s="2549">
        <f t="shared" ref="J35:P35" si="15">SUM(J25:J34)</f>
        <v>39618029</v>
      </c>
      <c r="K35" s="2347">
        <f t="shared" si="15"/>
        <v>52107539</v>
      </c>
      <c r="L35" s="209">
        <f t="shared" si="15"/>
        <v>50251739</v>
      </c>
      <c r="M35" s="209">
        <f t="shared" si="15"/>
        <v>46576339</v>
      </c>
      <c r="N35" s="209">
        <f t="shared" si="15"/>
        <v>42664139</v>
      </c>
      <c r="O35" s="209">
        <f t="shared" si="15"/>
        <v>42664139</v>
      </c>
      <c r="P35" s="245">
        <f t="shared" si="15"/>
        <v>37957656</v>
      </c>
      <c r="Q35" s="210">
        <f t="shared" si="12"/>
        <v>0.88968526940154591</v>
      </c>
      <c r="R35" s="209">
        <f t="shared" si="0"/>
        <v>-1855800</v>
      </c>
      <c r="S35" s="209">
        <f t="shared" si="1"/>
        <v>-3675400</v>
      </c>
      <c r="T35" s="209">
        <f t="shared" si="13"/>
        <v>-3912200</v>
      </c>
      <c r="U35" s="209">
        <f t="shared" si="14"/>
        <v>0</v>
      </c>
      <c r="V35" s="245">
        <f t="shared" si="5"/>
        <v>4706483</v>
      </c>
    </row>
    <row r="36" spans="1:28">
      <c r="A36" s="179" t="s">
        <v>39</v>
      </c>
      <c r="B36" s="213" t="s">
        <v>2213</v>
      </c>
      <c r="C36" s="180" t="s">
        <v>574</v>
      </c>
      <c r="D36" s="190" t="s">
        <v>2214</v>
      </c>
      <c r="E36" s="190">
        <v>2</v>
      </c>
      <c r="F36" s="180" t="s">
        <v>565</v>
      </c>
      <c r="G36" s="180" t="s">
        <v>572</v>
      </c>
      <c r="H36" s="191" t="s">
        <v>1963</v>
      </c>
      <c r="I36" s="209">
        <v>0</v>
      </c>
      <c r="J36" s="2549">
        <f>+I36</f>
        <v>0</v>
      </c>
      <c r="K36" s="2347">
        <v>0</v>
      </c>
      <c r="L36" s="209">
        <f t="shared" ref="L36:O37" si="16">+K36</f>
        <v>0</v>
      </c>
      <c r="M36" s="209">
        <f t="shared" si="16"/>
        <v>0</v>
      </c>
      <c r="N36" s="209">
        <f t="shared" si="16"/>
        <v>0</v>
      </c>
      <c r="O36" s="209">
        <f t="shared" si="16"/>
        <v>0</v>
      </c>
      <c r="P36" s="245">
        <v>0</v>
      </c>
      <c r="Q36" s="210"/>
      <c r="R36" s="209">
        <f t="shared" si="0"/>
        <v>0</v>
      </c>
      <c r="S36" s="209">
        <f t="shared" si="1"/>
        <v>0</v>
      </c>
      <c r="T36" s="209">
        <f t="shared" si="13"/>
        <v>0</v>
      </c>
      <c r="U36" s="209">
        <f t="shared" si="14"/>
        <v>0</v>
      </c>
      <c r="V36" s="245">
        <f t="shared" si="5"/>
        <v>0</v>
      </c>
    </row>
    <row r="37" spans="1:28" ht="25.5">
      <c r="A37" s="179" t="s">
        <v>41</v>
      </c>
      <c r="B37" s="213" t="s">
        <v>3042</v>
      </c>
      <c r="C37" s="180" t="s">
        <v>599</v>
      </c>
      <c r="D37" s="190" t="s">
        <v>2215</v>
      </c>
      <c r="E37" s="190">
        <v>2</v>
      </c>
      <c r="F37" s="180" t="s">
        <v>2216</v>
      </c>
      <c r="G37" s="180" t="s">
        <v>572</v>
      </c>
      <c r="H37" s="184" t="s">
        <v>2217</v>
      </c>
      <c r="I37" s="209">
        <f>3000000</f>
        <v>3000000</v>
      </c>
      <c r="J37" s="2549">
        <v>2960000</v>
      </c>
      <c r="K37" s="2347">
        <f>3500000-1000000</f>
        <v>2500000</v>
      </c>
      <c r="L37" s="209">
        <f t="shared" si="16"/>
        <v>2500000</v>
      </c>
      <c r="M37" s="209">
        <f>+L37</f>
        <v>2500000</v>
      </c>
      <c r="N37" s="209">
        <f>+M37+200000</f>
        <v>2700000</v>
      </c>
      <c r="O37" s="209">
        <f t="shared" si="16"/>
        <v>2700000</v>
      </c>
      <c r="P37" s="245">
        <v>2700000</v>
      </c>
      <c r="Q37" s="210">
        <f>+P37/N37</f>
        <v>1</v>
      </c>
      <c r="R37" s="209">
        <f t="shared" si="0"/>
        <v>0</v>
      </c>
      <c r="S37" s="209">
        <f t="shared" si="1"/>
        <v>0</v>
      </c>
      <c r="T37" s="209">
        <f t="shared" si="13"/>
        <v>200000</v>
      </c>
      <c r="U37" s="209">
        <f t="shared" si="14"/>
        <v>0</v>
      </c>
      <c r="V37" s="245">
        <f t="shared" si="5"/>
        <v>0</v>
      </c>
    </row>
    <row r="38" spans="1:28" ht="25.5">
      <c r="A38" s="179" t="s">
        <v>314</v>
      </c>
      <c r="B38" s="649" t="s">
        <v>2218</v>
      </c>
      <c r="C38" s="649"/>
      <c r="D38" s="650"/>
      <c r="E38" s="650"/>
      <c r="F38" s="651"/>
      <c r="G38" s="652"/>
      <c r="H38" s="653" t="s">
        <v>2219</v>
      </c>
      <c r="I38" s="654">
        <f>+I22+I23+I24+I35+I36+I37</f>
        <v>55923285</v>
      </c>
      <c r="J38" s="2551">
        <f t="shared" ref="J38:P38" si="17">+J22+J23+J24+J35+J36+J37</f>
        <v>42578029</v>
      </c>
      <c r="K38" s="2366">
        <f t="shared" si="17"/>
        <v>54607539</v>
      </c>
      <c r="L38" s="654">
        <f t="shared" si="17"/>
        <v>52751739</v>
      </c>
      <c r="M38" s="654">
        <f t="shared" si="17"/>
        <v>49076339</v>
      </c>
      <c r="N38" s="654">
        <f t="shared" si="17"/>
        <v>45364139</v>
      </c>
      <c r="O38" s="654">
        <f t="shared" si="17"/>
        <v>45364139</v>
      </c>
      <c r="P38" s="655">
        <f t="shared" si="17"/>
        <v>40657656</v>
      </c>
      <c r="Q38" s="656">
        <f>+P38/N38</f>
        <v>0.89625102330278994</v>
      </c>
      <c r="R38" s="654">
        <f t="shared" si="0"/>
        <v>-1855800</v>
      </c>
      <c r="S38" s="654">
        <f t="shared" si="1"/>
        <v>-3675400</v>
      </c>
      <c r="T38" s="654">
        <f t="shared" si="13"/>
        <v>-3712200</v>
      </c>
      <c r="U38" s="654">
        <f t="shared" si="14"/>
        <v>0</v>
      </c>
      <c r="V38" s="655">
        <f t="shared" si="5"/>
        <v>4706483</v>
      </c>
    </row>
    <row r="39" spans="1:28" ht="27.75" customHeight="1">
      <c r="A39" s="179" t="s">
        <v>402</v>
      </c>
      <c r="B39" s="213" t="s">
        <v>2220</v>
      </c>
      <c r="C39" s="213"/>
      <c r="D39" s="207"/>
      <c r="E39" s="207"/>
      <c r="F39" s="205"/>
      <c r="G39" s="208"/>
      <c r="H39" s="184" t="s">
        <v>2221</v>
      </c>
      <c r="I39" s="623">
        <v>0</v>
      </c>
      <c r="J39" s="2552">
        <f>+I39</f>
        <v>0</v>
      </c>
      <c r="K39" s="2367">
        <v>0</v>
      </c>
      <c r="L39" s="623">
        <f t="shared" ref="L39:O40" si="18">+K39</f>
        <v>0</v>
      </c>
      <c r="M39" s="623">
        <f t="shared" si="18"/>
        <v>0</v>
      </c>
      <c r="N39" s="623">
        <f t="shared" si="18"/>
        <v>0</v>
      </c>
      <c r="O39" s="623">
        <f t="shared" si="18"/>
        <v>0</v>
      </c>
      <c r="P39" s="657">
        <v>0</v>
      </c>
      <c r="Q39" s="658"/>
      <c r="R39" s="623">
        <f t="shared" si="0"/>
        <v>0</v>
      </c>
      <c r="S39" s="623">
        <f t="shared" si="1"/>
        <v>0</v>
      </c>
      <c r="T39" s="623">
        <f t="shared" si="13"/>
        <v>0</v>
      </c>
      <c r="U39" s="623">
        <f t="shared" si="14"/>
        <v>0</v>
      </c>
      <c r="V39" s="657">
        <f t="shared" si="5"/>
        <v>0</v>
      </c>
    </row>
    <row r="40" spans="1:28" ht="42.75" customHeight="1">
      <c r="A40" s="179" t="s">
        <v>404</v>
      </c>
      <c r="B40" s="214" t="s">
        <v>3310</v>
      </c>
      <c r="C40" s="180" t="s">
        <v>574</v>
      </c>
      <c r="D40" s="190" t="s">
        <v>2222</v>
      </c>
      <c r="E40" s="190">
        <v>3</v>
      </c>
      <c r="F40" s="180" t="s">
        <v>534</v>
      </c>
      <c r="G40" s="180" t="s">
        <v>572</v>
      </c>
      <c r="H40" s="191" t="s">
        <v>2223</v>
      </c>
      <c r="I40" s="532">
        <f>15000000</f>
        <v>15000000</v>
      </c>
      <c r="J40" s="2550">
        <v>15000000</v>
      </c>
      <c r="K40" s="2348">
        <f>15000000</f>
        <v>15000000</v>
      </c>
      <c r="L40" s="663">
        <f t="shared" si="18"/>
        <v>15000000</v>
      </c>
      <c r="M40" s="663">
        <f t="shared" si="18"/>
        <v>15000000</v>
      </c>
      <c r="N40" s="663">
        <f t="shared" si="18"/>
        <v>15000000</v>
      </c>
      <c r="O40" s="663">
        <f t="shared" si="18"/>
        <v>15000000</v>
      </c>
      <c r="P40" s="664">
        <v>15000000</v>
      </c>
      <c r="Q40" s="665">
        <f>+P40/N40</f>
        <v>1</v>
      </c>
      <c r="R40" s="663">
        <f t="shared" si="0"/>
        <v>0</v>
      </c>
      <c r="S40" s="663">
        <f t="shared" si="1"/>
        <v>0</v>
      </c>
      <c r="T40" s="663">
        <f t="shared" si="13"/>
        <v>0</v>
      </c>
      <c r="U40" s="663">
        <f t="shared" si="14"/>
        <v>0</v>
      </c>
      <c r="V40" s="664">
        <f t="shared" si="5"/>
        <v>0</v>
      </c>
    </row>
    <row r="41" spans="1:28" ht="38.25" hidden="1">
      <c r="A41" s="179"/>
      <c r="B41" s="214" t="s">
        <v>3158</v>
      </c>
      <c r="C41" s="180"/>
      <c r="D41" s="190"/>
      <c r="E41" s="190"/>
      <c r="F41" s="180"/>
      <c r="G41" s="180"/>
      <c r="H41" s="191"/>
      <c r="I41" s="532">
        <f>0</f>
        <v>0</v>
      </c>
      <c r="J41" s="2550">
        <f>+I41</f>
        <v>0</v>
      </c>
      <c r="K41" s="2348">
        <f>0</f>
        <v>0</v>
      </c>
      <c r="L41" s="192">
        <f t="shared" ref="L41:O42" si="19">+K41</f>
        <v>0</v>
      </c>
      <c r="M41" s="192">
        <f t="shared" si="19"/>
        <v>0</v>
      </c>
      <c r="N41" s="192">
        <f t="shared" si="19"/>
        <v>0</v>
      </c>
      <c r="O41" s="192">
        <f t="shared" si="19"/>
        <v>0</v>
      </c>
      <c r="P41" s="538">
        <v>0</v>
      </c>
      <c r="Q41" s="665" t="e">
        <f>+K41/I41</f>
        <v>#DIV/0!</v>
      </c>
      <c r="R41" s="532">
        <f t="shared" si="0"/>
        <v>0</v>
      </c>
      <c r="S41" s="532">
        <f t="shared" si="1"/>
        <v>0</v>
      </c>
      <c r="T41" s="532">
        <f t="shared" si="13"/>
        <v>0</v>
      </c>
      <c r="U41" s="532">
        <f t="shared" si="14"/>
        <v>0</v>
      </c>
      <c r="V41" s="538">
        <f t="shared" si="5"/>
        <v>0</v>
      </c>
    </row>
    <row r="42" spans="1:28" ht="25.5">
      <c r="A42" s="179" t="s">
        <v>407</v>
      </c>
      <c r="B42" s="214" t="s">
        <v>2224</v>
      </c>
      <c r="C42" s="180"/>
      <c r="D42" s="190"/>
      <c r="E42" s="190"/>
      <c r="F42" s="180"/>
      <c r="G42" s="180"/>
      <c r="H42" s="191" t="s">
        <v>2225</v>
      </c>
      <c r="I42" s="532">
        <v>0</v>
      </c>
      <c r="J42" s="2550">
        <f>+I42</f>
        <v>0</v>
      </c>
      <c r="K42" s="2348">
        <v>0</v>
      </c>
      <c r="L42" s="192">
        <f t="shared" si="19"/>
        <v>0</v>
      </c>
      <c r="M42" s="192">
        <f t="shared" si="19"/>
        <v>0</v>
      </c>
      <c r="N42" s="192">
        <f t="shared" si="19"/>
        <v>0</v>
      </c>
      <c r="O42" s="192">
        <f t="shared" si="19"/>
        <v>0</v>
      </c>
      <c r="P42" s="538">
        <v>0</v>
      </c>
      <c r="Q42" s="533"/>
      <c r="R42" s="532">
        <f t="shared" si="0"/>
        <v>0</v>
      </c>
      <c r="S42" s="532">
        <f t="shared" si="1"/>
        <v>0</v>
      </c>
      <c r="T42" s="532">
        <f t="shared" si="13"/>
        <v>0</v>
      </c>
      <c r="U42" s="532">
        <f t="shared" si="14"/>
        <v>0</v>
      </c>
      <c r="V42" s="538">
        <f t="shared" si="5"/>
        <v>0</v>
      </c>
    </row>
    <row r="43" spans="1:28" ht="27.75" customHeight="1">
      <c r="A43" s="179" t="s">
        <v>409</v>
      </c>
      <c r="B43" s="213" t="s">
        <v>3440</v>
      </c>
      <c r="C43" s="213"/>
      <c r="D43" s="207"/>
      <c r="E43" s="207"/>
      <c r="F43" s="205"/>
      <c r="G43" s="208"/>
      <c r="H43" s="184" t="s">
        <v>2226</v>
      </c>
      <c r="I43" s="209">
        <f>SUM(I40:I42)</f>
        <v>15000000</v>
      </c>
      <c r="J43" s="2549">
        <f t="shared" ref="J43:P43" si="20">SUM(J40:J42)</f>
        <v>15000000</v>
      </c>
      <c r="K43" s="2347">
        <f t="shared" si="20"/>
        <v>15000000</v>
      </c>
      <c r="L43" s="209">
        <f t="shared" si="20"/>
        <v>15000000</v>
      </c>
      <c r="M43" s="209">
        <f t="shared" si="20"/>
        <v>15000000</v>
      </c>
      <c r="N43" s="209">
        <f t="shared" si="20"/>
        <v>15000000</v>
      </c>
      <c r="O43" s="209">
        <f t="shared" si="20"/>
        <v>15000000</v>
      </c>
      <c r="P43" s="245">
        <f t="shared" si="20"/>
        <v>15000000</v>
      </c>
      <c r="Q43" s="210">
        <f>+P43/N43</f>
        <v>1</v>
      </c>
      <c r="R43" s="209">
        <f t="shared" si="0"/>
        <v>0</v>
      </c>
      <c r="S43" s="209">
        <f t="shared" si="1"/>
        <v>0</v>
      </c>
      <c r="T43" s="209">
        <f t="shared" si="13"/>
        <v>0</v>
      </c>
      <c r="U43" s="209">
        <f t="shared" si="14"/>
        <v>0</v>
      </c>
      <c r="V43" s="245">
        <f t="shared" si="5"/>
        <v>0</v>
      </c>
    </row>
    <row r="44" spans="1:28" s="203" customFormat="1" hidden="1">
      <c r="A44" s="196" t="s">
        <v>3688</v>
      </c>
      <c r="B44" s="530" t="s">
        <v>2227</v>
      </c>
      <c r="C44" s="197" t="s">
        <v>2041</v>
      </c>
      <c r="D44" s="190" t="s">
        <v>2228</v>
      </c>
      <c r="E44" s="198">
        <v>3</v>
      </c>
      <c r="F44" s="197" t="s">
        <v>534</v>
      </c>
      <c r="G44" s="180" t="s">
        <v>572</v>
      </c>
      <c r="H44" s="197" t="s">
        <v>2229</v>
      </c>
      <c r="I44" s="199">
        <f>1500000</f>
        <v>1500000</v>
      </c>
      <c r="J44" s="2555">
        <v>1700000</v>
      </c>
      <c r="K44" s="2250">
        <f>1500000-500000</f>
        <v>1000000</v>
      </c>
      <c r="L44" s="199">
        <f t="shared" ref="L44:O45" si="21">+K44</f>
        <v>1000000</v>
      </c>
      <c r="M44" s="199">
        <f t="shared" si="21"/>
        <v>1000000</v>
      </c>
      <c r="N44" s="199">
        <f t="shared" si="21"/>
        <v>1000000</v>
      </c>
      <c r="O44" s="199">
        <f t="shared" si="21"/>
        <v>1000000</v>
      </c>
      <c r="P44" s="626"/>
      <c r="Q44" s="200">
        <f>+P44/N44</f>
        <v>0</v>
      </c>
      <c r="R44" s="199">
        <f t="shared" si="0"/>
        <v>0</v>
      </c>
      <c r="S44" s="199">
        <f t="shared" si="1"/>
        <v>0</v>
      </c>
      <c r="T44" s="199">
        <f t="shared" si="13"/>
        <v>0</v>
      </c>
      <c r="U44" s="199">
        <f t="shared" si="14"/>
        <v>0</v>
      </c>
      <c r="V44" s="626">
        <f t="shared" si="5"/>
        <v>1000000</v>
      </c>
      <c r="Z44" s="171"/>
      <c r="AA44" s="171"/>
      <c r="AB44" s="171"/>
    </row>
    <row r="45" spans="1:28" s="203" customFormat="1" hidden="1">
      <c r="A45" s="196" t="s">
        <v>3688</v>
      </c>
      <c r="B45" s="530"/>
      <c r="C45" s="197" t="s">
        <v>569</v>
      </c>
      <c r="D45" s="190" t="s">
        <v>2230</v>
      </c>
      <c r="E45" s="198">
        <v>3</v>
      </c>
      <c r="F45" s="197" t="s">
        <v>534</v>
      </c>
      <c r="G45" s="180" t="s">
        <v>572</v>
      </c>
      <c r="H45" s="197" t="s">
        <v>2229</v>
      </c>
      <c r="I45" s="199">
        <f>0</f>
        <v>0</v>
      </c>
      <c r="J45" s="2555">
        <v>0</v>
      </c>
      <c r="K45" s="2250">
        <f>0</f>
        <v>0</v>
      </c>
      <c r="L45" s="199">
        <f t="shared" si="21"/>
        <v>0</v>
      </c>
      <c r="M45" s="199">
        <f t="shared" si="21"/>
        <v>0</v>
      </c>
      <c r="N45" s="199">
        <f t="shared" si="21"/>
        <v>0</v>
      </c>
      <c r="O45" s="199">
        <f t="shared" si="21"/>
        <v>0</v>
      </c>
      <c r="P45" s="626">
        <v>0</v>
      </c>
      <c r="Q45" s="200"/>
      <c r="R45" s="199">
        <f t="shared" si="0"/>
        <v>0</v>
      </c>
      <c r="S45" s="199">
        <f t="shared" si="1"/>
        <v>0</v>
      </c>
      <c r="T45" s="199">
        <f t="shared" si="13"/>
        <v>0</v>
      </c>
      <c r="U45" s="199">
        <f t="shared" si="14"/>
        <v>0</v>
      </c>
      <c r="V45" s="626">
        <f t="shared" si="5"/>
        <v>0</v>
      </c>
      <c r="Z45" s="171"/>
      <c r="AA45" s="171"/>
      <c r="AB45" s="171"/>
    </row>
    <row r="46" spans="1:28" ht="29.25" customHeight="1">
      <c r="A46" s="179" t="s">
        <v>410</v>
      </c>
      <c r="B46" s="214" t="s">
        <v>3441</v>
      </c>
      <c r="C46" s="180"/>
      <c r="D46" s="190"/>
      <c r="E46" s="190"/>
      <c r="F46" s="180"/>
      <c r="G46" s="180"/>
      <c r="H46" s="180" t="s">
        <v>2229</v>
      </c>
      <c r="I46" s="192">
        <f>SUM(I44:I45)</f>
        <v>1500000</v>
      </c>
      <c r="J46" s="2550">
        <f t="shared" ref="J46:P46" si="22">SUM(J44:J45)</f>
        <v>1700000</v>
      </c>
      <c r="K46" s="2219">
        <f t="shared" si="22"/>
        <v>1000000</v>
      </c>
      <c r="L46" s="192">
        <f t="shared" si="22"/>
        <v>1000000</v>
      </c>
      <c r="M46" s="192">
        <f t="shared" si="22"/>
        <v>1000000</v>
      </c>
      <c r="N46" s="192">
        <f t="shared" si="22"/>
        <v>1000000</v>
      </c>
      <c r="O46" s="192">
        <f t="shared" si="22"/>
        <v>1000000</v>
      </c>
      <c r="P46" s="1014">
        <f t="shared" si="22"/>
        <v>0</v>
      </c>
      <c r="Q46" s="193">
        <f>+P46/N46</f>
        <v>0</v>
      </c>
      <c r="R46" s="192">
        <f t="shared" si="0"/>
        <v>0</v>
      </c>
      <c r="S46" s="192">
        <f t="shared" si="1"/>
        <v>0</v>
      </c>
      <c r="T46" s="192">
        <f t="shared" si="13"/>
        <v>0</v>
      </c>
      <c r="U46" s="192">
        <f t="shared" si="14"/>
        <v>0</v>
      </c>
      <c r="V46" s="1014">
        <f t="shared" si="5"/>
        <v>1000000</v>
      </c>
    </row>
    <row r="47" spans="1:28" ht="25.5">
      <c r="A47" s="179" t="s">
        <v>411</v>
      </c>
      <c r="B47" s="214" t="s">
        <v>2231</v>
      </c>
      <c r="C47" s="214"/>
      <c r="D47" s="190"/>
      <c r="E47" s="190"/>
      <c r="F47" s="180"/>
      <c r="G47" s="214"/>
      <c r="H47" s="180" t="s">
        <v>2232</v>
      </c>
      <c r="I47" s="192">
        <v>0</v>
      </c>
      <c r="J47" s="2550">
        <f>+I47</f>
        <v>0</v>
      </c>
      <c r="K47" s="2219">
        <v>0</v>
      </c>
      <c r="L47" s="192">
        <f t="shared" ref="L47:O48" si="23">+K47</f>
        <v>0</v>
      </c>
      <c r="M47" s="192">
        <f t="shared" si="23"/>
        <v>0</v>
      </c>
      <c r="N47" s="192">
        <f t="shared" si="23"/>
        <v>0</v>
      </c>
      <c r="O47" s="192">
        <f t="shared" si="23"/>
        <v>0</v>
      </c>
      <c r="P47" s="538">
        <v>0</v>
      </c>
      <c r="Q47" s="193"/>
      <c r="R47" s="192">
        <f t="shared" si="0"/>
        <v>0</v>
      </c>
      <c r="S47" s="192">
        <f t="shared" si="1"/>
        <v>0</v>
      </c>
      <c r="T47" s="192">
        <f t="shared" si="13"/>
        <v>0</v>
      </c>
      <c r="U47" s="192">
        <f t="shared" si="14"/>
        <v>0</v>
      </c>
      <c r="V47" s="538">
        <f t="shared" si="5"/>
        <v>0</v>
      </c>
    </row>
    <row r="48" spans="1:28" ht="25.5">
      <c r="A48" s="179" t="s">
        <v>412</v>
      </c>
      <c r="B48" s="214" t="s">
        <v>2233</v>
      </c>
      <c r="C48" s="214"/>
      <c r="D48" s="190"/>
      <c r="E48" s="190"/>
      <c r="F48" s="180"/>
      <c r="G48" s="214"/>
      <c r="H48" s="180" t="s">
        <v>2234</v>
      </c>
      <c r="I48" s="192">
        <v>0</v>
      </c>
      <c r="J48" s="2550">
        <f>+I48</f>
        <v>0</v>
      </c>
      <c r="K48" s="2219">
        <v>0</v>
      </c>
      <c r="L48" s="192">
        <f t="shared" si="23"/>
        <v>0</v>
      </c>
      <c r="M48" s="192">
        <f t="shared" si="23"/>
        <v>0</v>
      </c>
      <c r="N48" s="192">
        <f t="shared" si="23"/>
        <v>0</v>
      </c>
      <c r="O48" s="192">
        <f t="shared" si="23"/>
        <v>0</v>
      </c>
      <c r="P48" s="538">
        <v>0</v>
      </c>
      <c r="Q48" s="193"/>
      <c r="R48" s="192">
        <f t="shared" si="0"/>
        <v>0</v>
      </c>
      <c r="S48" s="192">
        <f t="shared" si="1"/>
        <v>0</v>
      </c>
      <c r="T48" s="192">
        <f t="shared" si="13"/>
        <v>0</v>
      </c>
      <c r="U48" s="192">
        <f t="shared" si="14"/>
        <v>0</v>
      </c>
      <c r="V48" s="538">
        <f t="shared" si="5"/>
        <v>0</v>
      </c>
    </row>
    <row r="49" spans="1:25" ht="25.5">
      <c r="A49" s="179" t="s">
        <v>413</v>
      </c>
      <c r="B49" s="213" t="s">
        <v>2235</v>
      </c>
      <c r="C49" s="213"/>
      <c r="D49" s="207"/>
      <c r="E49" s="207">
        <v>3</v>
      </c>
      <c r="F49" s="205"/>
      <c r="G49" s="208"/>
      <c r="H49" s="205" t="s">
        <v>2236</v>
      </c>
      <c r="I49" s="209">
        <f>+I43+I46+I47+I48</f>
        <v>16500000</v>
      </c>
      <c r="J49" s="2549">
        <f t="shared" ref="J49:P49" si="24">+J43+J46+J47+J48</f>
        <v>16700000</v>
      </c>
      <c r="K49" s="2347">
        <f t="shared" si="24"/>
        <v>16000000</v>
      </c>
      <c r="L49" s="209">
        <f t="shared" si="24"/>
        <v>16000000</v>
      </c>
      <c r="M49" s="209">
        <f t="shared" si="24"/>
        <v>16000000</v>
      </c>
      <c r="N49" s="209">
        <f t="shared" si="24"/>
        <v>16000000</v>
      </c>
      <c r="O49" s="209">
        <f t="shared" si="24"/>
        <v>16000000</v>
      </c>
      <c r="P49" s="245">
        <f t="shared" si="24"/>
        <v>15000000</v>
      </c>
      <c r="Q49" s="210">
        <f>+P49/N49</f>
        <v>0.9375</v>
      </c>
      <c r="R49" s="209">
        <f t="shared" si="0"/>
        <v>0</v>
      </c>
      <c r="S49" s="209">
        <f t="shared" si="1"/>
        <v>0</v>
      </c>
      <c r="T49" s="209">
        <f t="shared" si="13"/>
        <v>0</v>
      </c>
      <c r="U49" s="209">
        <f t="shared" si="14"/>
        <v>0</v>
      </c>
      <c r="V49" s="245">
        <f t="shared" si="5"/>
        <v>1000000</v>
      </c>
    </row>
    <row r="50" spans="1:25" hidden="1">
      <c r="A50" s="179"/>
      <c r="B50" s="208" t="s">
        <v>2237</v>
      </c>
      <c r="C50" s="208"/>
      <c r="D50" s="207"/>
      <c r="E50" s="207"/>
      <c r="F50" s="205"/>
      <c r="G50" s="208"/>
      <c r="H50" s="205" t="s">
        <v>2238</v>
      </c>
      <c r="I50" s="209"/>
      <c r="J50" s="2549"/>
      <c r="K50" s="2347"/>
      <c r="L50" s="209"/>
      <c r="M50" s="209"/>
      <c r="N50" s="209"/>
      <c r="O50" s="209"/>
      <c r="P50" s="245"/>
      <c r="Q50" s="210" t="e">
        <f>+P50/N50</f>
        <v>#DIV/0!</v>
      </c>
      <c r="R50" s="209">
        <f t="shared" si="0"/>
        <v>0</v>
      </c>
      <c r="S50" s="209">
        <f t="shared" si="1"/>
        <v>0</v>
      </c>
      <c r="T50" s="209">
        <f t="shared" si="13"/>
        <v>0</v>
      </c>
      <c r="U50" s="209">
        <f t="shared" si="14"/>
        <v>0</v>
      </c>
      <c r="V50" s="245">
        <f t="shared" si="5"/>
        <v>0</v>
      </c>
    </row>
    <row r="51" spans="1:25" hidden="1">
      <c r="A51" s="179"/>
      <c r="B51" s="213" t="s">
        <v>2239</v>
      </c>
      <c r="C51" s="213"/>
      <c r="D51" s="207"/>
      <c r="E51" s="207"/>
      <c r="F51" s="205"/>
      <c r="G51" s="213"/>
      <c r="H51" s="184" t="s">
        <v>2240</v>
      </c>
      <c r="I51" s="209"/>
      <c r="J51" s="2549"/>
      <c r="K51" s="2347"/>
      <c r="L51" s="209"/>
      <c r="M51" s="209"/>
      <c r="N51" s="209"/>
      <c r="O51" s="209"/>
      <c r="P51" s="245"/>
      <c r="Q51" s="210" t="e">
        <f>+P51/N51</f>
        <v>#DIV/0!</v>
      </c>
      <c r="R51" s="209">
        <f t="shared" si="0"/>
        <v>0</v>
      </c>
      <c r="S51" s="209">
        <f t="shared" si="1"/>
        <v>0</v>
      </c>
      <c r="T51" s="209">
        <f t="shared" si="13"/>
        <v>0</v>
      </c>
      <c r="U51" s="209">
        <f t="shared" si="14"/>
        <v>0</v>
      </c>
      <c r="V51" s="245">
        <f t="shared" si="5"/>
        <v>0</v>
      </c>
    </row>
    <row r="52" spans="1:25" ht="37.5" customHeight="1">
      <c r="A52" s="179" t="s">
        <v>417</v>
      </c>
      <c r="B52" s="214" t="s">
        <v>3067</v>
      </c>
      <c r="C52" s="180" t="s">
        <v>973</v>
      </c>
      <c r="D52" s="190" t="s">
        <v>3066</v>
      </c>
      <c r="E52" s="190">
        <v>3</v>
      </c>
      <c r="F52" s="180" t="s">
        <v>1134</v>
      </c>
      <c r="G52" s="214"/>
      <c r="H52" s="191" t="s">
        <v>2241</v>
      </c>
      <c r="I52" s="192">
        <f>3740531</f>
        <v>3740531</v>
      </c>
      <c r="J52" s="2550">
        <v>3740531</v>
      </c>
      <c r="K52" s="2219">
        <f>0</f>
        <v>0</v>
      </c>
      <c r="L52" s="192">
        <f>+K52</f>
        <v>0</v>
      </c>
      <c r="M52" s="192">
        <f t="shared" ref="M52:O54" si="25">+L52</f>
        <v>0</v>
      </c>
      <c r="N52" s="192">
        <f>+M52</f>
        <v>0</v>
      </c>
      <c r="O52" s="192">
        <f>+N52</f>
        <v>0</v>
      </c>
      <c r="P52" s="538">
        <v>0</v>
      </c>
      <c r="Q52" s="193"/>
      <c r="R52" s="192">
        <f t="shared" si="0"/>
        <v>0</v>
      </c>
      <c r="S52" s="192">
        <f t="shared" si="1"/>
        <v>0</v>
      </c>
      <c r="T52" s="192">
        <f t="shared" si="13"/>
        <v>0</v>
      </c>
      <c r="U52" s="192">
        <f t="shared" si="14"/>
        <v>0</v>
      </c>
      <c r="V52" s="538">
        <f t="shared" si="5"/>
        <v>0</v>
      </c>
      <c r="W52" s="172"/>
    </row>
    <row r="53" spans="1:25" ht="12.75" customHeight="1">
      <c r="A53" s="179" t="s">
        <v>450</v>
      </c>
      <c r="B53" s="214" t="s">
        <v>3054</v>
      </c>
      <c r="C53" s="180" t="s">
        <v>574</v>
      </c>
      <c r="D53" s="190" t="s">
        <v>2242</v>
      </c>
      <c r="E53" s="190">
        <v>2</v>
      </c>
      <c r="F53" s="180" t="s">
        <v>1131</v>
      </c>
      <c r="G53" s="180" t="s">
        <v>572</v>
      </c>
      <c r="H53" s="191" t="s">
        <v>2243</v>
      </c>
      <c r="I53" s="192">
        <f>39830672+400000000-64938899</f>
        <v>374891773</v>
      </c>
      <c r="J53" s="2550">
        <v>331757855</v>
      </c>
      <c r="K53" s="2219">
        <f>45034150+400000000</f>
        <v>445034150</v>
      </c>
      <c r="L53" s="192">
        <f>+K53-38646891</f>
        <v>406387259</v>
      </c>
      <c r="M53" s="192">
        <f t="shared" si="25"/>
        <v>406387259</v>
      </c>
      <c r="N53" s="192">
        <f>+M53+10966519</f>
        <v>417353778</v>
      </c>
      <c r="O53" s="192">
        <f t="shared" si="25"/>
        <v>417353778</v>
      </c>
      <c r="P53" s="538">
        <f>417353778</f>
        <v>417353778</v>
      </c>
      <c r="Q53" s="193">
        <f t="shared" ref="Q53:Q62" si="26">+P53/N53</f>
        <v>1</v>
      </c>
      <c r="R53" s="192">
        <f t="shared" si="0"/>
        <v>-38646891</v>
      </c>
      <c r="S53" s="192">
        <f t="shared" si="1"/>
        <v>0</v>
      </c>
      <c r="T53" s="192">
        <f t="shared" si="13"/>
        <v>10966519</v>
      </c>
      <c r="U53" s="192">
        <f t="shared" si="14"/>
        <v>0</v>
      </c>
      <c r="V53" s="538">
        <f t="shared" si="5"/>
        <v>0</v>
      </c>
    </row>
    <row r="54" spans="1:25" ht="25.5">
      <c r="A54" s="179" t="s">
        <v>1379</v>
      </c>
      <c r="B54" s="214" t="s">
        <v>2244</v>
      </c>
      <c r="C54" s="180" t="s">
        <v>574</v>
      </c>
      <c r="D54" s="190" t="s">
        <v>2245</v>
      </c>
      <c r="E54" s="190">
        <v>3</v>
      </c>
      <c r="F54" s="180" t="s">
        <v>534</v>
      </c>
      <c r="G54" s="180" t="s">
        <v>572</v>
      </c>
      <c r="H54" s="191" t="s">
        <v>2243</v>
      </c>
      <c r="I54" s="192">
        <f>21796198+339402</f>
        <v>22135600</v>
      </c>
      <c r="J54" s="2550">
        <v>22135600</v>
      </c>
      <c r="K54" s="2219">
        <f>22135600+5403810</f>
        <v>27539410</v>
      </c>
      <c r="L54" s="192">
        <f>+K54-1000000</f>
        <v>26539410</v>
      </c>
      <c r="M54" s="192">
        <f t="shared" si="25"/>
        <v>26539410</v>
      </c>
      <c r="N54" s="192">
        <f t="shared" si="25"/>
        <v>26539410</v>
      </c>
      <c r="O54" s="192">
        <f t="shared" si="25"/>
        <v>26539410</v>
      </c>
      <c r="P54" s="538">
        <v>26539410</v>
      </c>
      <c r="Q54" s="193">
        <f t="shared" si="26"/>
        <v>1</v>
      </c>
      <c r="R54" s="192">
        <f t="shared" si="0"/>
        <v>-1000000</v>
      </c>
      <c r="S54" s="192">
        <f t="shared" si="1"/>
        <v>0</v>
      </c>
      <c r="T54" s="192">
        <f t="shared" si="13"/>
        <v>0</v>
      </c>
      <c r="U54" s="192">
        <f t="shared" si="14"/>
        <v>0</v>
      </c>
      <c r="V54" s="538">
        <f t="shared" si="5"/>
        <v>0</v>
      </c>
    </row>
    <row r="55" spans="1:25" ht="25.5">
      <c r="A55" s="179" t="s">
        <v>619</v>
      </c>
      <c r="B55" s="214" t="s">
        <v>3442</v>
      </c>
      <c r="C55" s="214"/>
      <c r="D55" s="190"/>
      <c r="E55" s="190"/>
      <c r="F55" s="180"/>
      <c r="G55" s="214"/>
      <c r="H55" s="191" t="s">
        <v>2243</v>
      </c>
      <c r="I55" s="666">
        <f>SUM(I53:I54)</f>
        <v>397027373</v>
      </c>
      <c r="J55" s="2613">
        <f t="shared" ref="J55:P55" si="27">SUM(J53:J54)</f>
        <v>353893455</v>
      </c>
      <c r="K55" s="2368">
        <f t="shared" si="27"/>
        <v>472573560</v>
      </c>
      <c r="L55" s="666">
        <f t="shared" si="27"/>
        <v>432926669</v>
      </c>
      <c r="M55" s="666">
        <f t="shared" si="27"/>
        <v>432926669</v>
      </c>
      <c r="N55" s="666">
        <f t="shared" si="27"/>
        <v>443893188</v>
      </c>
      <c r="O55" s="666">
        <f t="shared" si="27"/>
        <v>443893188</v>
      </c>
      <c r="P55" s="667">
        <f t="shared" si="27"/>
        <v>443893188</v>
      </c>
      <c r="Q55" s="668">
        <f t="shared" si="26"/>
        <v>1</v>
      </c>
      <c r="R55" s="666">
        <f t="shared" si="0"/>
        <v>-39646891</v>
      </c>
      <c r="S55" s="666">
        <f t="shared" si="1"/>
        <v>0</v>
      </c>
      <c r="T55" s="666">
        <f t="shared" si="13"/>
        <v>10966519</v>
      </c>
      <c r="U55" s="666">
        <f t="shared" si="14"/>
        <v>0</v>
      </c>
      <c r="V55" s="667">
        <f t="shared" si="5"/>
        <v>0</v>
      </c>
    </row>
    <row r="56" spans="1:25" hidden="1">
      <c r="A56" s="179"/>
      <c r="B56" s="214" t="s">
        <v>2246</v>
      </c>
      <c r="C56" s="214"/>
      <c r="D56" s="190"/>
      <c r="E56" s="190"/>
      <c r="F56" s="180"/>
      <c r="G56" s="214"/>
      <c r="H56" s="191" t="s">
        <v>2247</v>
      </c>
      <c r="I56" s="192">
        <v>0</v>
      </c>
      <c r="J56" s="2550">
        <v>0</v>
      </c>
      <c r="K56" s="2219">
        <v>0</v>
      </c>
      <c r="L56" s="192">
        <f>+K56</f>
        <v>0</v>
      </c>
      <c r="M56" s="192">
        <f>+L56</f>
        <v>0</v>
      </c>
      <c r="N56" s="192">
        <f>+M56</f>
        <v>0</v>
      </c>
      <c r="O56" s="192">
        <f>+N56</f>
        <v>0</v>
      </c>
      <c r="P56" s="538">
        <v>0</v>
      </c>
      <c r="Q56" s="193" t="e">
        <f t="shared" si="26"/>
        <v>#DIV/0!</v>
      </c>
      <c r="R56" s="192">
        <f t="shared" si="0"/>
        <v>0</v>
      </c>
      <c r="S56" s="192">
        <f t="shared" si="1"/>
        <v>0</v>
      </c>
      <c r="T56" s="192">
        <f t="shared" si="13"/>
        <v>0</v>
      </c>
      <c r="U56" s="192">
        <f t="shared" si="14"/>
        <v>0</v>
      </c>
      <c r="V56" s="538">
        <f t="shared" si="5"/>
        <v>0</v>
      </c>
    </row>
    <row r="57" spans="1:25" ht="25.5">
      <c r="A57" s="179" t="s">
        <v>629</v>
      </c>
      <c r="B57" s="213" t="s">
        <v>3443</v>
      </c>
      <c r="C57" s="208"/>
      <c r="D57" s="207"/>
      <c r="E57" s="207"/>
      <c r="F57" s="205"/>
      <c r="G57" s="208"/>
      <c r="H57" s="184" t="s">
        <v>2248</v>
      </c>
      <c r="I57" s="209">
        <f>SUM(I52:I56)-I55</f>
        <v>400767904</v>
      </c>
      <c r="J57" s="2549">
        <f t="shared" ref="J57:P57" si="28">SUM(J52:J56)-J55</f>
        <v>357633986</v>
      </c>
      <c r="K57" s="2347">
        <f t="shared" si="28"/>
        <v>472573560</v>
      </c>
      <c r="L57" s="209">
        <f t="shared" si="28"/>
        <v>432926669</v>
      </c>
      <c r="M57" s="209">
        <f t="shared" si="28"/>
        <v>432926669</v>
      </c>
      <c r="N57" s="209">
        <f t="shared" si="28"/>
        <v>443893188</v>
      </c>
      <c r="O57" s="209">
        <f t="shared" si="28"/>
        <v>443893188</v>
      </c>
      <c r="P57" s="245">
        <f t="shared" si="28"/>
        <v>443893188</v>
      </c>
      <c r="Q57" s="210">
        <f t="shared" si="26"/>
        <v>1</v>
      </c>
      <c r="R57" s="209">
        <f t="shared" si="0"/>
        <v>-39646891</v>
      </c>
      <c r="S57" s="209">
        <f t="shared" si="1"/>
        <v>0</v>
      </c>
      <c r="T57" s="209">
        <f t="shared" si="13"/>
        <v>10966519</v>
      </c>
      <c r="U57" s="209">
        <f t="shared" si="14"/>
        <v>0</v>
      </c>
      <c r="V57" s="245">
        <f t="shared" si="5"/>
        <v>0</v>
      </c>
    </row>
    <row r="58" spans="1:25" ht="12.75" customHeight="1">
      <c r="A58" s="179" t="s">
        <v>636</v>
      </c>
      <c r="B58" s="236" t="s">
        <v>2249</v>
      </c>
      <c r="C58" s="180" t="s">
        <v>736</v>
      </c>
      <c r="D58" s="190" t="s">
        <v>2250</v>
      </c>
      <c r="E58" s="190">
        <v>3</v>
      </c>
      <c r="F58" s="180" t="s">
        <v>534</v>
      </c>
      <c r="G58" s="180" t="s">
        <v>572</v>
      </c>
      <c r="H58" s="191" t="s">
        <v>2251</v>
      </c>
      <c r="I58" s="192">
        <f>10860890</f>
        <v>10860890</v>
      </c>
      <c r="J58" s="2550">
        <v>16142421</v>
      </c>
      <c r="K58" s="2219">
        <f>13776175-1000000-8272</f>
        <v>12767903</v>
      </c>
      <c r="L58" s="192">
        <f t="shared" ref="L58:L64" si="29">+K58</f>
        <v>12767903</v>
      </c>
      <c r="M58" s="192">
        <f>+L58+9590-9590</f>
        <v>12767903</v>
      </c>
      <c r="N58" s="192">
        <f t="shared" ref="N58:N64" si="30">+M58</f>
        <v>12767903</v>
      </c>
      <c r="O58" s="192">
        <f t="shared" ref="O58:O64" si="31">+N58</f>
        <v>12767903</v>
      </c>
      <c r="P58" s="538">
        <v>12004891</v>
      </c>
      <c r="Q58" s="193">
        <f t="shared" si="26"/>
        <v>0.94023983421553248</v>
      </c>
      <c r="R58" s="192">
        <f t="shared" si="0"/>
        <v>0</v>
      </c>
      <c r="S58" s="192">
        <f t="shared" si="1"/>
        <v>0</v>
      </c>
      <c r="T58" s="192">
        <f t="shared" si="13"/>
        <v>0</v>
      </c>
      <c r="U58" s="192">
        <f t="shared" si="14"/>
        <v>0</v>
      </c>
      <c r="V58" s="538">
        <f t="shared" si="5"/>
        <v>763012</v>
      </c>
    </row>
    <row r="59" spans="1:25" ht="12.75" customHeight="1">
      <c r="A59" s="179" t="s">
        <v>638</v>
      </c>
      <c r="B59" s="214" t="s">
        <v>3041</v>
      </c>
      <c r="C59" s="180" t="s">
        <v>583</v>
      </c>
      <c r="D59" s="190" t="s">
        <v>2252</v>
      </c>
      <c r="E59" s="190">
        <v>3</v>
      </c>
      <c r="F59" s="180" t="s">
        <v>534</v>
      </c>
      <c r="G59" s="180" t="s">
        <v>572</v>
      </c>
      <c r="H59" s="191" t="s">
        <v>2251</v>
      </c>
      <c r="I59" s="192">
        <f>10000000-1500000</f>
        <v>8500000</v>
      </c>
      <c r="J59" s="2550">
        <v>8420000</v>
      </c>
      <c r="K59" s="2219">
        <f>8500000</f>
        <v>8500000</v>
      </c>
      <c r="L59" s="192">
        <f t="shared" si="29"/>
        <v>8500000</v>
      </c>
      <c r="M59" s="192">
        <f>+L59+9590-9590+500000</f>
        <v>9000000</v>
      </c>
      <c r="N59" s="192">
        <f t="shared" si="30"/>
        <v>9000000</v>
      </c>
      <c r="O59" s="192">
        <f t="shared" si="31"/>
        <v>9000000</v>
      </c>
      <c r="P59" s="538">
        <v>8920000</v>
      </c>
      <c r="Q59" s="193">
        <f t="shared" si="26"/>
        <v>0.99111111111111116</v>
      </c>
      <c r="R59" s="192">
        <f t="shared" si="0"/>
        <v>0</v>
      </c>
      <c r="S59" s="192">
        <f t="shared" si="1"/>
        <v>500000</v>
      </c>
      <c r="T59" s="192">
        <f t="shared" si="13"/>
        <v>0</v>
      </c>
      <c r="U59" s="192">
        <f t="shared" si="14"/>
        <v>0</v>
      </c>
      <c r="V59" s="538">
        <f t="shared" si="5"/>
        <v>80000</v>
      </c>
    </row>
    <row r="60" spans="1:25" ht="12.75" customHeight="1">
      <c r="A60" s="179" t="s">
        <v>1389</v>
      </c>
      <c r="B60" s="214" t="s">
        <v>3160</v>
      </c>
      <c r="C60" s="180" t="s">
        <v>599</v>
      </c>
      <c r="D60" s="190" t="s">
        <v>2253</v>
      </c>
      <c r="E60" s="190">
        <v>3</v>
      </c>
      <c r="F60" s="180" t="s">
        <v>2038</v>
      </c>
      <c r="G60" s="180" t="s">
        <v>572</v>
      </c>
      <c r="H60" s="191" t="s">
        <v>2251</v>
      </c>
      <c r="I60" s="192">
        <f>29275000+360000+40365000-20000000</f>
        <v>50000000</v>
      </c>
      <c r="J60" s="2550">
        <v>48814231</v>
      </c>
      <c r="K60" s="2219">
        <f>60000000-10000000</f>
        <v>50000000</v>
      </c>
      <c r="L60" s="192">
        <f>+K60+9000000</f>
        <v>59000000</v>
      </c>
      <c r="M60" s="192">
        <f>+L60+9590-9590</f>
        <v>59000000</v>
      </c>
      <c r="N60" s="192">
        <f t="shared" si="30"/>
        <v>59000000</v>
      </c>
      <c r="O60" s="192">
        <f t="shared" si="31"/>
        <v>59000000</v>
      </c>
      <c r="P60" s="538">
        <f>56640000+50229</f>
        <v>56690229</v>
      </c>
      <c r="Q60" s="193">
        <f t="shared" si="26"/>
        <v>0.96085133898305086</v>
      </c>
      <c r="R60" s="192">
        <f t="shared" si="0"/>
        <v>9000000</v>
      </c>
      <c r="S60" s="192">
        <f t="shared" si="1"/>
        <v>0</v>
      </c>
      <c r="T60" s="192">
        <f t="shared" si="13"/>
        <v>0</v>
      </c>
      <c r="U60" s="192">
        <f t="shared" si="14"/>
        <v>0</v>
      </c>
      <c r="V60" s="538">
        <f t="shared" si="5"/>
        <v>2309771</v>
      </c>
    </row>
    <row r="61" spans="1:25">
      <c r="A61" s="179" t="s">
        <v>646</v>
      </c>
      <c r="B61" s="214" t="s">
        <v>2254</v>
      </c>
      <c r="C61" s="180" t="s">
        <v>583</v>
      </c>
      <c r="D61" s="190" t="s">
        <v>2255</v>
      </c>
      <c r="E61" s="190">
        <v>3</v>
      </c>
      <c r="F61" s="180" t="s">
        <v>2256</v>
      </c>
      <c r="G61" s="180" t="s">
        <v>572</v>
      </c>
      <c r="H61" s="191" t="s">
        <v>2251</v>
      </c>
      <c r="I61" s="192">
        <f>30000000</f>
        <v>30000000</v>
      </c>
      <c r="J61" s="2550">
        <v>11532678</v>
      </c>
      <c r="K61" s="2219">
        <f>30000000</f>
        <v>30000000</v>
      </c>
      <c r="L61" s="192">
        <f>+K61-985484-13984402</f>
        <v>15030114</v>
      </c>
      <c r="M61" s="192">
        <f>+L61-300000-300000-381000-1483815-300000-300000-1926776</f>
        <v>10038523</v>
      </c>
      <c r="N61" s="192">
        <f>+M61-300000*3-1152715-312080</f>
        <v>7673728</v>
      </c>
      <c r="O61" s="192">
        <f t="shared" si="31"/>
        <v>7673728</v>
      </c>
      <c r="P61" s="538">
        <f>31522402-17394993-5231279+1900000-1900000-3662780-133350+66262+1089868</f>
        <v>6256130</v>
      </c>
      <c r="Q61" s="193">
        <f t="shared" si="26"/>
        <v>0.81526606103317711</v>
      </c>
      <c r="R61" s="192">
        <f t="shared" si="0"/>
        <v>-14969886</v>
      </c>
      <c r="S61" s="192">
        <f t="shared" si="1"/>
        <v>-4991591</v>
      </c>
      <c r="T61" s="192">
        <f t="shared" si="13"/>
        <v>-2364795</v>
      </c>
      <c r="U61" s="192">
        <f t="shared" si="14"/>
        <v>0</v>
      </c>
      <c r="V61" s="538">
        <f t="shared" si="5"/>
        <v>1417598</v>
      </c>
      <c r="W61" s="172">
        <f>-300000*3-1152715-312080</f>
        <v>-2364795</v>
      </c>
      <c r="X61" s="172">
        <f>7598145-2364795</f>
        <v>5233350</v>
      </c>
      <c r="Y61" s="172">
        <f>+P61-X61</f>
        <v>1022780</v>
      </c>
    </row>
    <row r="62" spans="1:25" ht="12.75" customHeight="1">
      <c r="A62" s="179" t="s">
        <v>648</v>
      </c>
      <c r="B62" s="214" t="s">
        <v>65</v>
      </c>
      <c r="C62" s="180" t="s">
        <v>973</v>
      </c>
      <c r="D62" s="190" t="s">
        <v>2257</v>
      </c>
      <c r="E62" s="190">
        <v>3</v>
      </c>
      <c r="F62" s="180" t="s">
        <v>534</v>
      </c>
      <c r="G62" s="180" t="s">
        <v>572</v>
      </c>
      <c r="H62" s="191" t="s">
        <v>1577</v>
      </c>
      <c r="I62" s="192">
        <f>5000000+1000000+1000000+1000000+2500000-1500000</f>
        <v>9000000</v>
      </c>
      <c r="J62" s="2550">
        <v>13402279</v>
      </c>
      <c r="K62" s="2219">
        <f>5000000+1000000+1000000+1000000</f>
        <v>8000000</v>
      </c>
      <c r="L62" s="192">
        <f t="shared" si="29"/>
        <v>8000000</v>
      </c>
      <c r="M62" s="192">
        <f>+L62+9590-9590</f>
        <v>8000000</v>
      </c>
      <c r="N62" s="192">
        <f t="shared" si="30"/>
        <v>8000000</v>
      </c>
      <c r="O62" s="192">
        <f t="shared" si="31"/>
        <v>8000000</v>
      </c>
      <c r="P62" s="538">
        <v>7785796</v>
      </c>
      <c r="Q62" s="193">
        <f t="shared" si="26"/>
        <v>0.97322450000000005</v>
      </c>
      <c r="R62" s="192">
        <f t="shared" si="0"/>
        <v>0</v>
      </c>
      <c r="S62" s="192">
        <f t="shared" si="1"/>
        <v>0</v>
      </c>
      <c r="T62" s="192">
        <f t="shared" si="13"/>
        <v>0</v>
      </c>
      <c r="U62" s="192">
        <f t="shared" si="14"/>
        <v>0</v>
      </c>
      <c r="V62" s="538">
        <f t="shared" si="5"/>
        <v>214204</v>
      </c>
      <c r="X62" s="172">
        <f>-3662780-133350</f>
        <v>-3796130</v>
      </c>
    </row>
    <row r="63" spans="1:25">
      <c r="A63" s="179" t="s">
        <v>662</v>
      </c>
      <c r="B63" s="214" t="s">
        <v>3623</v>
      </c>
      <c r="C63" s="1600"/>
      <c r="D63" s="1601"/>
      <c r="E63" s="1601"/>
      <c r="F63" s="1600"/>
      <c r="G63" s="1600"/>
      <c r="H63" s="1435"/>
      <c r="I63" s="192">
        <f>8500000-8500000</f>
        <v>0</v>
      </c>
      <c r="J63" s="2550">
        <v>0</v>
      </c>
      <c r="K63" s="2219">
        <f>8500000-8500000</f>
        <v>0</v>
      </c>
      <c r="L63" s="192">
        <f t="shared" si="29"/>
        <v>0</v>
      </c>
      <c r="M63" s="192">
        <f>+L63</f>
        <v>0</v>
      </c>
      <c r="N63" s="192">
        <f t="shared" si="30"/>
        <v>0</v>
      </c>
      <c r="O63" s="192">
        <f t="shared" si="31"/>
        <v>0</v>
      </c>
      <c r="P63" s="538">
        <v>0</v>
      </c>
      <c r="Q63" s="193"/>
      <c r="R63" s="192">
        <f t="shared" si="0"/>
        <v>0</v>
      </c>
      <c r="S63" s="192">
        <f t="shared" si="1"/>
        <v>0</v>
      </c>
      <c r="T63" s="192">
        <f t="shared" si="13"/>
        <v>0</v>
      </c>
      <c r="U63" s="192">
        <f t="shared" si="14"/>
        <v>0</v>
      </c>
      <c r="V63" s="538">
        <f t="shared" si="5"/>
        <v>0</v>
      </c>
    </row>
    <row r="64" spans="1:25" ht="25.5">
      <c r="A64" s="179" t="s">
        <v>665</v>
      </c>
      <c r="B64" s="214" t="s">
        <v>3020</v>
      </c>
      <c r="C64" s="180" t="s">
        <v>583</v>
      </c>
      <c r="D64" s="190" t="s">
        <v>2258</v>
      </c>
      <c r="E64" s="190">
        <v>3</v>
      </c>
      <c r="F64" s="180" t="s">
        <v>534</v>
      </c>
      <c r="G64" s="180" t="s">
        <v>572</v>
      </c>
      <c r="H64" s="191" t="s">
        <v>2251</v>
      </c>
      <c r="I64" s="192">
        <f>20000000-1000000</f>
        <v>19000000</v>
      </c>
      <c r="J64" s="2550">
        <v>18406828</v>
      </c>
      <c r="K64" s="2219">
        <f>20000000</f>
        <v>20000000</v>
      </c>
      <c r="L64" s="192">
        <f t="shared" si="29"/>
        <v>20000000</v>
      </c>
      <c r="M64" s="192">
        <f>+L64</f>
        <v>20000000</v>
      </c>
      <c r="N64" s="192">
        <f t="shared" si="30"/>
        <v>20000000</v>
      </c>
      <c r="O64" s="192">
        <f t="shared" si="31"/>
        <v>20000000</v>
      </c>
      <c r="P64" s="538">
        <v>18161286</v>
      </c>
      <c r="Q64" s="193">
        <f t="shared" ref="Q64:Q99" si="32">+P64/N64</f>
        <v>0.90806430000000005</v>
      </c>
      <c r="R64" s="192">
        <f t="shared" si="0"/>
        <v>0</v>
      </c>
      <c r="S64" s="192">
        <f t="shared" si="1"/>
        <v>0</v>
      </c>
      <c r="T64" s="192">
        <f t="shared" si="13"/>
        <v>0</v>
      </c>
      <c r="U64" s="192">
        <f t="shared" si="14"/>
        <v>0</v>
      </c>
      <c r="V64" s="538">
        <f t="shared" si="5"/>
        <v>1838714</v>
      </c>
    </row>
    <row r="65" spans="1:29">
      <c r="A65" s="179" t="s">
        <v>676</v>
      </c>
      <c r="B65" s="213" t="s">
        <v>3025</v>
      </c>
      <c r="C65" s="213"/>
      <c r="D65" s="207"/>
      <c r="E65" s="207">
        <v>3</v>
      </c>
      <c r="F65" s="205"/>
      <c r="G65" s="213"/>
      <c r="H65" s="184" t="s">
        <v>2259</v>
      </c>
      <c r="I65" s="209">
        <f>SUM(I58:I64)</f>
        <v>127360890</v>
      </c>
      <c r="J65" s="2549">
        <f t="shared" ref="J65:P65" si="33">SUM(J58:J64)</f>
        <v>116718437</v>
      </c>
      <c r="K65" s="2347">
        <f t="shared" si="33"/>
        <v>129267903</v>
      </c>
      <c r="L65" s="209">
        <f t="shared" si="33"/>
        <v>123298017</v>
      </c>
      <c r="M65" s="209">
        <f t="shared" si="33"/>
        <v>118806426</v>
      </c>
      <c r="N65" s="209">
        <f t="shared" si="33"/>
        <v>116441631</v>
      </c>
      <c r="O65" s="209">
        <f t="shared" si="33"/>
        <v>116441631</v>
      </c>
      <c r="P65" s="245">
        <f t="shared" si="33"/>
        <v>109818332</v>
      </c>
      <c r="Q65" s="210">
        <f t="shared" si="32"/>
        <v>0.94311914954197096</v>
      </c>
      <c r="R65" s="209">
        <f t="shared" si="0"/>
        <v>-5969886</v>
      </c>
      <c r="S65" s="209">
        <f t="shared" si="1"/>
        <v>-4491591</v>
      </c>
      <c r="T65" s="209">
        <f t="shared" si="13"/>
        <v>-2364795</v>
      </c>
      <c r="U65" s="209">
        <f t="shared" si="14"/>
        <v>0</v>
      </c>
      <c r="V65" s="245">
        <f t="shared" si="5"/>
        <v>6623299</v>
      </c>
    </row>
    <row r="66" spans="1:29" ht="27" hidden="1" customHeight="1">
      <c r="A66" s="179" t="s">
        <v>676</v>
      </c>
      <c r="B66" s="214" t="s">
        <v>3019</v>
      </c>
      <c r="C66" s="180" t="s">
        <v>583</v>
      </c>
      <c r="D66" s="190" t="s">
        <v>2260</v>
      </c>
      <c r="E66" s="190">
        <v>3</v>
      </c>
      <c r="F66" s="180" t="s">
        <v>534</v>
      </c>
      <c r="G66" s="180" t="s">
        <v>572</v>
      </c>
      <c r="H66" s="191" t="s">
        <v>2261</v>
      </c>
      <c r="I66" s="192">
        <f>945-945</f>
        <v>0</v>
      </c>
      <c r="J66" s="2550">
        <f>+I66</f>
        <v>0</v>
      </c>
      <c r="K66" s="2219">
        <f>945-945</f>
        <v>0</v>
      </c>
      <c r="L66" s="192">
        <f t="shared" ref="L66:M84" si="34">+K66</f>
        <v>0</v>
      </c>
      <c r="M66" s="192">
        <f>+L66</f>
        <v>0</v>
      </c>
      <c r="N66" s="192">
        <f t="shared" ref="N66:N84" si="35">+M66</f>
        <v>0</v>
      </c>
      <c r="O66" s="192">
        <f t="shared" ref="O66:O84" si="36">+N66</f>
        <v>0</v>
      </c>
      <c r="P66" s="538">
        <v>0</v>
      </c>
      <c r="Q66" s="193" t="e">
        <f t="shared" si="32"/>
        <v>#DIV/0!</v>
      </c>
      <c r="R66" s="192">
        <f t="shared" si="0"/>
        <v>0</v>
      </c>
      <c r="S66" s="192">
        <f t="shared" si="1"/>
        <v>0</v>
      </c>
      <c r="T66" s="192">
        <f t="shared" si="13"/>
        <v>0</v>
      </c>
      <c r="U66" s="192">
        <f t="shared" si="14"/>
        <v>0</v>
      </c>
      <c r="V66" s="538">
        <f t="shared" si="5"/>
        <v>0</v>
      </c>
    </row>
    <row r="67" spans="1:29" ht="12" customHeight="1">
      <c r="A67" s="179" t="s">
        <v>686</v>
      </c>
      <c r="B67" s="214" t="s">
        <v>3040</v>
      </c>
      <c r="C67" s="180" t="s">
        <v>599</v>
      </c>
      <c r="D67" s="190" t="s">
        <v>2262</v>
      </c>
      <c r="E67" s="190">
        <v>2</v>
      </c>
      <c r="F67" s="180" t="s">
        <v>986</v>
      </c>
      <c r="G67" s="180" t="s">
        <v>2263</v>
      </c>
      <c r="H67" s="191" t="s">
        <v>2261</v>
      </c>
      <c r="I67" s="192">
        <f>14000000-6000000</f>
        <v>8000000</v>
      </c>
      <c r="J67" s="2550">
        <v>8362299</v>
      </c>
      <c r="K67" s="2219">
        <f>10000000-2000000</f>
        <v>8000000</v>
      </c>
      <c r="L67" s="192">
        <f t="shared" si="34"/>
        <v>8000000</v>
      </c>
      <c r="M67" s="192">
        <f>+L67</f>
        <v>8000000</v>
      </c>
      <c r="N67" s="192">
        <f>+M67-210000-200000</f>
        <v>7590000</v>
      </c>
      <c r="O67" s="192">
        <f t="shared" si="36"/>
        <v>7590000</v>
      </c>
      <c r="P67" s="538">
        <f>7010000+230000</f>
        <v>7240000</v>
      </c>
      <c r="Q67" s="193">
        <f t="shared" si="32"/>
        <v>0.95388669301712781</v>
      </c>
      <c r="R67" s="192">
        <f t="shared" si="0"/>
        <v>0</v>
      </c>
      <c r="S67" s="192">
        <f t="shared" si="1"/>
        <v>0</v>
      </c>
      <c r="T67" s="192">
        <f t="shared" si="13"/>
        <v>-410000</v>
      </c>
      <c r="U67" s="192">
        <f t="shared" si="14"/>
        <v>0</v>
      </c>
      <c r="V67" s="538">
        <f t="shared" si="5"/>
        <v>350000</v>
      </c>
    </row>
    <row r="68" spans="1:29" ht="27" customHeight="1">
      <c r="A68" s="179" t="s">
        <v>704</v>
      </c>
      <c r="B68" s="214" t="s">
        <v>3043</v>
      </c>
      <c r="C68" s="180" t="s">
        <v>599</v>
      </c>
      <c r="D68" s="190" t="s">
        <v>2264</v>
      </c>
      <c r="E68" s="190">
        <v>2</v>
      </c>
      <c r="F68" s="180" t="s">
        <v>2197</v>
      </c>
      <c r="G68" s="180" t="s">
        <v>572</v>
      </c>
      <c r="H68" s="191" t="s">
        <v>2265</v>
      </c>
      <c r="I68" s="192">
        <f>109594700+205009550</f>
        <v>314604250</v>
      </c>
      <c r="J68" s="2550">
        <v>259384045</v>
      </c>
      <c r="K68" s="2219">
        <f>225000000+94149600-30000000</f>
        <v>289149600</v>
      </c>
      <c r="L68" s="192">
        <f>+K68+15260500</f>
        <v>304410100</v>
      </c>
      <c r="M68" s="192">
        <f t="shared" si="34"/>
        <v>304410100</v>
      </c>
      <c r="N68" s="192">
        <f t="shared" si="35"/>
        <v>304410100</v>
      </c>
      <c r="O68" s="192">
        <f t="shared" si="36"/>
        <v>304410100</v>
      </c>
      <c r="P68" s="538">
        <v>267796900</v>
      </c>
      <c r="Q68" s="193">
        <f t="shared" si="32"/>
        <v>0.87972409588249534</v>
      </c>
      <c r="R68" s="192">
        <f t="shared" si="0"/>
        <v>15260500</v>
      </c>
      <c r="S68" s="192">
        <f t="shared" si="1"/>
        <v>0</v>
      </c>
      <c r="T68" s="192">
        <f t="shared" si="13"/>
        <v>0</v>
      </c>
      <c r="U68" s="192">
        <f t="shared" si="14"/>
        <v>0</v>
      </c>
      <c r="V68" s="538">
        <f t="shared" si="5"/>
        <v>36613200</v>
      </c>
    </row>
    <row r="69" spans="1:29" s="203" customFormat="1" ht="21.75" hidden="1" customHeight="1">
      <c r="A69" s="204"/>
      <c r="B69" s="530" t="s">
        <v>3062</v>
      </c>
      <c r="C69" s="197"/>
      <c r="D69" s="198"/>
      <c r="E69" s="198"/>
      <c r="F69" s="197"/>
      <c r="G69" s="197"/>
      <c r="H69" s="204"/>
      <c r="I69" s="199">
        <f>0</f>
        <v>0</v>
      </c>
      <c r="J69" s="2555">
        <v>0</v>
      </c>
      <c r="K69" s="2250">
        <f>0</f>
        <v>0</v>
      </c>
      <c r="L69" s="192">
        <f t="shared" si="34"/>
        <v>0</v>
      </c>
      <c r="M69" s="192">
        <f t="shared" ref="M69:M78" si="37">+L69</f>
        <v>0</v>
      </c>
      <c r="N69" s="192">
        <f t="shared" si="35"/>
        <v>0</v>
      </c>
      <c r="O69" s="199">
        <f t="shared" si="36"/>
        <v>0</v>
      </c>
      <c r="P69" s="626">
        <v>0</v>
      </c>
      <c r="Q69" s="200" t="e">
        <f t="shared" si="32"/>
        <v>#DIV/0!</v>
      </c>
      <c r="R69" s="192">
        <f>+L69-K69</f>
        <v>0</v>
      </c>
      <c r="S69" s="192">
        <f>+M69-L69</f>
        <v>0</v>
      </c>
      <c r="T69" s="192">
        <f>+N69-M69</f>
        <v>0</v>
      </c>
      <c r="U69" s="192">
        <f>+O69-N69</f>
        <v>0</v>
      </c>
      <c r="V69" s="626">
        <f t="shared" si="5"/>
        <v>0</v>
      </c>
      <c r="AC69" s="171"/>
    </row>
    <row r="70" spans="1:29">
      <c r="A70" s="179" t="s">
        <v>706</v>
      </c>
      <c r="B70" s="214" t="s">
        <v>2266</v>
      </c>
      <c r="C70" s="180" t="s">
        <v>736</v>
      </c>
      <c r="D70" s="190" t="s">
        <v>2267</v>
      </c>
      <c r="E70" s="190">
        <v>3</v>
      </c>
      <c r="F70" s="180" t="s">
        <v>1131</v>
      </c>
      <c r="G70" s="180" t="s">
        <v>572</v>
      </c>
      <c r="H70" s="191" t="s">
        <v>2268</v>
      </c>
      <c r="I70" s="192">
        <f>2500000-1000000</f>
        <v>1500000</v>
      </c>
      <c r="J70" s="2550">
        <v>1260000</v>
      </c>
      <c r="K70" s="2219">
        <f>2000000-500000</f>
        <v>1500000</v>
      </c>
      <c r="L70" s="192">
        <f t="shared" si="34"/>
        <v>1500000</v>
      </c>
      <c r="M70" s="192">
        <f t="shared" si="37"/>
        <v>1500000</v>
      </c>
      <c r="N70" s="192">
        <f>+M70+210000</f>
        <v>1710000</v>
      </c>
      <c r="O70" s="192">
        <f t="shared" si="36"/>
        <v>1710000</v>
      </c>
      <c r="P70" s="538">
        <v>1710000</v>
      </c>
      <c r="Q70" s="193">
        <f t="shared" si="32"/>
        <v>1</v>
      </c>
      <c r="R70" s="192">
        <f t="shared" si="0"/>
        <v>0</v>
      </c>
      <c r="S70" s="192">
        <f t="shared" si="1"/>
        <v>0</v>
      </c>
      <c r="T70" s="192">
        <f t="shared" si="13"/>
        <v>210000</v>
      </c>
      <c r="U70" s="192">
        <f t="shared" si="14"/>
        <v>0</v>
      </c>
      <c r="V70" s="538">
        <f t="shared" si="5"/>
        <v>0</v>
      </c>
    </row>
    <row r="71" spans="1:29" ht="26.25" hidden="1" customHeight="1">
      <c r="A71" s="179"/>
      <c r="B71" s="214" t="s">
        <v>2269</v>
      </c>
      <c r="C71" s="180" t="s">
        <v>736</v>
      </c>
      <c r="D71" s="190" t="s">
        <v>2270</v>
      </c>
      <c r="E71" s="190">
        <v>3</v>
      </c>
      <c r="F71" s="1012" t="s">
        <v>3052</v>
      </c>
      <c r="G71" s="180" t="s">
        <v>2272</v>
      </c>
      <c r="H71" s="191" t="s">
        <v>2273</v>
      </c>
      <c r="I71" s="192">
        <f>0</f>
        <v>0</v>
      </c>
      <c r="J71" s="2550">
        <v>0</v>
      </c>
      <c r="K71" s="2219">
        <f>0</f>
        <v>0</v>
      </c>
      <c r="L71" s="192">
        <f t="shared" si="34"/>
        <v>0</v>
      </c>
      <c r="M71" s="192">
        <f t="shared" si="37"/>
        <v>0</v>
      </c>
      <c r="N71" s="192">
        <f t="shared" si="35"/>
        <v>0</v>
      </c>
      <c r="O71" s="192">
        <f t="shared" si="36"/>
        <v>0</v>
      </c>
      <c r="P71" s="538">
        <v>0</v>
      </c>
      <c r="Q71" s="193" t="e">
        <f t="shared" si="32"/>
        <v>#DIV/0!</v>
      </c>
      <c r="R71" s="192">
        <f t="shared" si="0"/>
        <v>0</v>
      </c>
      <c r="S71" s="192">
        <f t="shared" si="1"/>
        <v>0</v>
      </c>
      <c r="T71" s="192">
        <f t="shared" si="13"/>
        <v>0</v>
      </c>
      <c r="U71" s="192">
        <f t="shared" si="14"/>
        <v>0</v>
      </c>
      <c r="V71" s="538">
        <f t="shared" si="5"/>
        <v>0</v>
      </c>
    </row>
    <row r="72" spans="1:29" ht="12" hidden="1" customHeight="1">
      <c r="A72" s="179" t="s">
        <v>2274</v>
      </c>
      <c r="B72" s="214" t="s">
        <v>2275</v>
      </c>
      <c r="C72" s="180" t="s">
        <v>583</v>
      </c>
      <c r="D72" s="190" t="s">
        <v>2276</v>
      </c>
      <c r="E72" s="190">
        <v>3</v>
      </c>
      <c r="F72" s="180" t="s">
        <v>2271</v>
      </c>
      <c r="G72" s="180" t="s">
        <v>572</v>
      </c>
      <c r="H72" s="191" t="s">
        <v>2265</v>
      </c>
      <c r="I72" s="192">
        <f>400-400</f>
        <v>0</v>
      </c>
      <c r="J72" s="2550">
        <v>0</v>
      </c>
      <c r="K72" s="2219">
        <f>400-400</f>
        <v>0</v>
      </c>
      <c r="L72" s="192">
        <f t="shared" si="34"/>
        <v>0</v>
      </c>
      <c r="M72" s="192">
        <f t="shared" si="37"/>
        <v>0</v>
      </c>
      <c r="N72" s="192">
        <f t="shared" si="35"/>
        <v>0</v>
      </c>
      <c r="O72" s="192">
        <f t="shared" si="36"/>
        <v>0</v>
      </c>
      <c r="P72" s="538"/>
      <c r="Q72" s="193" t="e">
        <f t="shared" si="32"/>
        <v>#DIV/0!</v>
      </c>
      <c r="R72" s="192">
        <f t="shared" si="0"/>
        <v>0</v>
      </c>
      <c r="S72" s="192">
        <f t="shared" si="1"/>
        <v>0</v>
      </c>
      <c r="T72" s="192">
        <f t="shared" si="13"/>
        <v>0</v>
      </c>
      <c r="U72" s="192">
        <f t="shared" si="14"/>
        <v>0</v>
      </c>
      <c r="V72" s="538">
        <f t="shared" ref="V72:V103" si="38">+N72-P72</f>
        <v>0</v>
      </c>
    </row>
    <row r="73" spans="1:29" ht="12" customHeight="1">
      <c r="A73" s="179" t="s">
        <v>710</v>
      </c>
      <c r="B73" s="214" t="s">
        <v>2277</v>
      </c>
      <c r="C73" s="180" t="s">
        <v>583</v>
      </c>
      <c r="D73" s="190" t="s">
        <v>2278</v>
      </c>
      <c r="E73" s="190">
        <v>3</v>
      </c>
      <c r="F73" s="180" t="s">
        <v>2271</v>
      </c>
      <c r="G73" s="180" t="s">
        <v>572</v>
      </c>
      <c r="H73" s="191" t="s">
        <v>2273</v>
      </c>
      <c r="I73" s="192">
        <f>1000000</f>
        <v>1000000</v>
      </c>
      <c r="J73" s="2550">
        <v>1000000</v>
      </c>
      <c r="K73" s="2219">
        <f>1000000</f>
        <v>1000000</v>
      </c>
      <c r="L73" s="192">
        <f t="shared" si="34"/>
        <v>1000000</v>
      </c>
      <c r="M73" s="192">
        <f t="shared" si="37"/>
        <v>1000000</v>
      </c>
      <c r="N73" s="192">
        <f t="shared" si="35"/>
        <v>1000000</v>
      </c>
      <c r="O73" s="192">
        <f t="shared" si="36"/>
        <v>1000000</v>
      </c>
      <c r="P73" s="538">
        <v>1000000</v>
      </c>
      <c r="Q73" s="193">
        <f t="shared" si="32"/>
        <v>1</v>
      </c>
      <c r="R73" s="192">
        <f t="shared" si="0"/>
        <v>0</v>
      </c>
      <c r="S73" s="192">
        <f t="shared" si="1"/>
        <v>0</v>
      </c>
      <c r="T73" s="192">
        <f t="shared" si="13"/>
        <v>0</v>
      </c>
      <c r="U73" s="192">
        <f t="shared" si="14"/>
        <v>0</v>
      </c>
      <c r="V73" s="538">
        <f t="shared" si="38"/>
        <v>0</v>
      </c>
    </row>
    <row r="74" spans="1:29" ht="12" hidden="1" customHeight="1">
      <c r="A74" s="179" t="s">
        <v>2279</v>
      </c>
      <c r="B74" s="214" t="s">
        <v>2280</v>
      </c>
      <c r="C74" s="180" t="s">
        <v>512</v>
      </c>
      <c r="D74" s="190" t="s">
        <v>2281</v>
      </c>
      <c r="E74" s="190">
        <v>3</v>
      </c>
      <c r="F74" s="180" t="s">
        <v>2282</v>
      </c>
      <c r="G74" s="180" t="s">
        <v>572</v>
      </c>
      <c r="H74" s="191" t="s">
        <v>2273</v>
      </c>
      <c r="I74" s="192"/>
      <c r="J74" s="2550">
        <v>0</v>
      </c>
      <c r="K74" s="2219"/>
      <c r="L74" s="192">
        <f t="shared" si="34"/>
        <v>0</v>
      </c>
      <c r="M74" s="192">
        <f t="shared" si="37"/>
        <v>0</v>
      </c>
      <c r="N74" s="192">
        <f t="shared" si="35"/>
        <v>0</v>
      </c>
      <c r="O74" s="192">
        <f t="shared" si="36"/>
        <v>0</v>
      </c>
      <c r="P74" s="538"/>
      <c r="Q74" s="193" t="e">
        <f t="shared" si="32"/>
        <v>#DIV/0!</v>
      </c>
      <c r="R74" s="192">
        <f t="shared" si="0"/>
        <v>0</v>
      </c>
      <c r="S74" s="192">
        <f t="shared" si="1"/>
        <v>0</v>
      </c>
      <c r="T74" s="192">
        <f t="shared" si="13"/>
        <v>0</v>
      </c>
      <c r="U74" s="192">
        <f t="shared" si="14"/>
        <v>0</v>
      </c>
      <c r="V74" s="538">
        <f t="shared" si="38"/>
        <v>0</v>
      </c>
    </row>
    <row r="75" spans="1:29" ht="12" customHeight="1">
      <c r="A75" s="179" t="s">
        <v>712</v>
      </c>
      <c r="B75" s="214" t="s">
        <v>2283</v>
      </c>
      <c r="C75" s="180" t="s">
        <v>599</v>
      </c>
      <c r="D75" s="190" t="s">
        <v>2284</v>
      </c>
      <c r="E75" s="190">
        <v>3</v>
      </c>
      <c r="F75" s="180" t="s">
        <v>534</v>
      </c>
      <c r="G75" s="180" t="s">
        <v>572</v>
      </c>
      <c r="H75" s="191" t="s">
        <v>2285</v>
      </c>
      <c r="I75" s="192">
        <f>4600000</f>
        <v>4600000</v>
      </c>
      <c r="J75" s="2550">
        <v>1669258</v>
      </c>
      <c r="K75" s="2219">
        <f>4600000-2000000</f>
        <v>2600000</v>
      </c>
      <c r="L75" s="192">
        <f t="shared" si="34"/>
        <v>2600000</v>
      </c>
      <c r="M75" s="192">
        <f t="shared" si="37"/>
        <v>2600000</v>
      </c>
      <c r="N75" s="192">
        <f t="shared" si="35"/>
        <v>2600000</v>
      </c>
      <c r="O75" s="192">
        <f t="shared" si="36"/>
        <v>2600000</v>
      </c>
      <c r="P75" s="538">
        <v>706639</v>
      </c>
      <c r="Q75" s="193">
        <f t="shared" si="32"/>
        <v>0.27178423076923075</v>
      </c>
      <c r="R75" s="192">
        <f t="shared" si="0"/>
        <v>0</v>
      </c>
      <c r="S75" s="192">
        <f t="shared" si="1"/>
        <v>0</v>
      </c>
      <c r="T75" s="192">
        <f t="shared" si="13"/>
        <v>0</v>
      </c>
      <c r="U75" s="192">
        <f t="shared" si="14"/>
        <v>0</v>
      </c>
      <c r="V75" s="538">
        <f t="shared" si="38"/>
        <v>1893361</v>
      </c>
    </row>
    <row r="76" spans="1:29" s="203" customFormat="1" ht="14.25" customHeight="1">
      <c r="A76" s="179" t="s">
        <v>715</v>
      </c>
      <c r="B76" s="214" t="s">
        <v>3142</v>
      </c>
      <c r="C76" s="180" t="s">
        <v>599</v>
      </c>
      <c r="D76" s="190" t="s">
        <v>3143</v>
      </c>
      <c r="E76" s="190">
        <v>3</v>
      </c>
      <c r="F76" s="180" t="s">
        <v>2282</v>
      </c>
      <c r="G76" s="180" t="s">
        <v>1871</v>
      </c>
      <c r="H76" s="204"/>
      <c r="I76" s="192">
        <f>3000000</f>
        <v>3000000</v>
      </c>
      <c r="J76" s="2550">
        <v>3000000</v>
      </c>
      <c r="K76" s="2219">
        <f>3000000</f>
        <v>3000000</v>
      </c>
      <c r="L76" s="192">
        <f t="shared" si="34"/>
        <v>3000000</v>
      </c>
      <c r="M76" s="192">
        <f t="shared" si="37"/>
        <v>3000000</v>
      </c>
      <c r="N76" s="192">
        <f t="shared" si="35"/>
        <v>3000000</v>
      </c>
      <c r="O76" s="192">
        <f t="shared" si="36"/>
        <v>3000000</v>
      </c>
      <c r="P76" s="538">
        <v>3000000</v>
      </c>
      <c r="Q76" s="193">
        <f t="shared" si="32"/>
        <v>1</v>
      </c>
      <c r="R76" s="199">
        <f t="shared" si="0"/>
        <v>0</v>
      </c>
      <c r="S76" s="199">
        <f t="shared" si="1"/>
        <v>0</v>
      </c>
      <c r="T76" s="199">
        <f t="shared" si="13"/>
        <v>0</v>
      </c>
      <c r="U76" s="199">
        <f t="shared" si="14"/>
        <v>0</v>
      </c>
      <c r="V76" s="538">
        <f t="shared" si="38"/>
        <v>0</v>
      </c>
    </row>
    <row r="77" spans="1:29" ht="12" customHeight="1">
      <c r="A77" s="179" t="s">
        <v>716</v>
      </c>
      <c r="B77" s="214" t="s">
        <v>3039</v>
      </c>
      <c r="C77" s="180" t="s">
        <v>599</v>
      </c>
      <c r="D77" s="190" t="s">
        <v>2286</v>
      </c>
      <c r="E77" s="190">
        <v>3</v>
      </c>
      <c r="F77" s="180" t="s">
        <v>2197</v>
      </c>
      <c r="G77" s="180" t="s">
        <v>572</v>
      </c>
      <c r="H77" s="191" t="s">
        <v>2265</v>
      </c>
      <c r="I77" s="192">
        <f>6000000</f>
        <v>6000000</v>
      </c>
      <c r="J77" s="2550">
        <v>6000000</v>
      </c>
      <c r="K77" s="2219">
        <f>6000000-4000000</f>
        <v>2000000</v>
      </c>
      <c r="L77" s="192">
        <f t="shared" si="34"/>
        <v>2000000</v>
      </c>
      <c r="M77" s="192">
        <f t="shared" si="37"/>
        <v>2000000</v>
      </c>
      <c r="N77" s="192">
        <f t="shared" si="35"/>
        <v>2000000</v>
      </c>
      <c r="O77" s="192">
        <f t="shared" si="36"/>
        <v>2000000</v>
      </c>
      <c r="P77" s="538">
        <v>2000000</v>
      </c>
      <c r="Q77" s="193">
        <f t="shared" si="32"/>
        <v>1</v>
      </c>
      <c r="R77" s="192">
        <f t="shared" si="0"/>
        <v>0</v>
      </c>
      <c r="S77" s="192">
        <f t="shared" si="1"/>
        <v>0</v>
      </c>
      <c r="T77" s="192">
        <f t="shared" si="13"/>
        <v>0</v>
      </c>
      <c r="U77" s="192">
        <f t="shared" si="14"/>
        <v>0</v>
      </c>
      <c r="V77" s="538">
        <f t="shared" si="38"/>
        <v>0</v>
      </c>
    </row>
    <row r="78" spans="1:29" ht="12" hidden="1" customHeight="1">
      <c r="A78" s="179"/>
      <c r="B78" s="214" t="s">
        <v>2287</v>
      </c>
      <c r="C78" s="180"/>
      <c r="D78" s="190"/>
      <c r="E78" s="190">
        <v>3</v>
      </c>
      <c r="F78" s="180"/>
      <c r="G78" s="180"/>
      <c r="H78" s="191"/>
      <c r="I78" s="192"/>
      <c r="J78" s="2550">
        <v>0</v>
      </c>
      <c r="K78" s="2219"/>
      <c r="L78" s="192">
        <f t="shared" si="34"/>
        <v>0</v>
      </c>
      <c r="M78" s="192">
        <f t="shared" si="37"/>
        <v>0</v>
      </c>
      <c r="N78" s="192">
        <f t="shared" si="35"/>
        <v>0</v>
      </c>
      <c r="O78" s="192">
        <f t="shared" si="36"/>
        <v>0</v>
      </c>
      <c r="P78" s="538"/>
      <c r="Q78" s="193" t="e">
        <f t="shared" si="32"/>
        <v>#DIV/0!</v>
      </c>
      <c r="R78" s="192">
        <f t="shared" si="0"/>
        <v>0</v>
      </c>
      <c r="S78" s="192">
        <f t="shared" si="1"/>
        <v>0</v>
      </c>
      <c r="T78" s="192">
        <f t="shared" si="13"/>
        <v>0</v>
      </c>
      <c r="U78" s="192">
        <f t="shared" si="14"/>
        <v>0</v>
      </c>
      <c r="V78" s="538">
        <f t="shared" si="38"/>
        <v>0</v>
      </c>
    </row>
    <row r="79" spans="1:29" ht="12" customHeight="1">
      <c r="A79" s="179" t="s">
        <v>717</v>
      </c>
      <c r="B79" s="214" t="s">
        <v>87</v>
      </c>
      <c r="C79" s="180" t="s">
        <v>512</v>
      </c>
      <c r="D79" s="190" t="s">
        <v>2288</v>
      </c>
      <c r="E79" s="190">
        <v>3</v>
      </c>
      <c r="F79" s="180" t="s">
        <v>534</v>
      </c>
      <c r="G79" s="180" t="s">
        <v>572</v>
      </c>
      <c r="H79" s="191" t="s">
        <v>2265</v>
      </c>
      <c r="I79" s="192">
        <f>2000000</f>
        <v>2000000</v>
      </c>
      <c r="J79" s="2550">
        <v>1996000</v>
      </c>
      <c r="K79" s="2219">
        <f>2000000</f>
        <v>2000000</v>
      </c>
      <c r="L79" s="192">
        <f t="shared" si="34"/>
        <v>2000000</v>
      </c>
      <c r="M79" s="192">
        <f>+L79+60000</f>
        <v>2060000</v>
      </c>
      <c r="N79" s="192">
        <f t="shared" si="35"/>
        <v>2060000</v>
      </c>
      <c r="O79" s="192">
        <f t="shared" si="36"/>
        <v>2060000</v>
      </c>
      <c r="P79" s="538">
        <v>2060000</v>
      </c>
      <c r="Q79" s="193">
        <f t="shared" si="32"/>
        <v>1</v>
      </c>
      <c r="R79" s="192">
        <f t="shared" si="0"/>
        <v>0</v>
      </c>
      <c r="S79" s="192">
        <f t="shared" si="1"/>
        <v>60000</v>
      </c>
      <c r="T79" s="192">
        <f t="shared" si="13"/>
        <v>0</v>
      </c>
      <c r="U79" s="192">
        <f t="shared" si="14"/>
        <v>0</v>
      </c>
      <c r="V79" s="538">
        <f t="shared" si="38"/>
        <v>0</v>
      </c>
    </row>
    <row r="80" spans="1:29" ht="12" customHeight="1">
      <c r="A80" s="179" t="s">
        <v>759</v>
      </c>
      <c r="B80" s="214" t="s">
        <v>60</v>
      </c>
      <c r="C80" s="180" t="s">
        <v>512</v>
      </c>
      <c r="D80" s="190" t="s">
        <v>2289</v>
      </c>
      <c r="E80" s="190">
        <v>3</v>
      </c>
      <c r="F80" s="180" t="s">
        <v>534</v>
      </c>
      <c r="G80" s="180" t="s">
        <v>572</v>
      </c>
      <c r="H80" s="191" t="s">
        <v>2265</v>
      </c>
      <c r="I80" s="192">
        <f>1000000+1000000</f>
        <v>2000000</v>
      </c>
      <c r="J80" s="2550">
        <v>833975</v>
      </c>
      <c r="K80" s="2219">
        <f>2000000</f>
        <v>2000000</v>
      </c>
      <c r="L80" s="192">
        <f t="shared" si="34"/>
        <v>2000000</v>
      </c>
      <c r="M80" s="192">
        <f>+L80-60000</f>
        <v>1940000</v>
      </c>
      <c r="N80" s="192">
        <f>+M80-708555</f>
        <v>1231445</v>
      </c>
      <c r="O80" s="192">
        <f t="shared" si="36"/>
        <v>1231445</v>
      </c>
      <c r="P80" s="538">
        <f>758555-708555</f>
        <v>50000</v>
      </c>
      <c r="Q80" s="193">
        <f t="shared" si="32"/>
        <v>4.0602706576420386E-2</v>
      </c>
      <c r="R80" s="192">
        <f t="shared" si="0"/>
        <v>0</v>
      </c>
      <c r="S80" s="192">
        <f t="shared" si="1"/>
        <v>-60000</v>
      </c>
      <c r="T80" s="192">
        <f t="shared" si="13"/>
        <v>-708555</v>
      </c>
      <c r="U80" s="192">
        <f t="shared" si="14"/>
        <v>0</v>
      </c>
      <c r="V80" s="538">
        <f t="shared" si="38"/>
        <v>1181445</v>
      </c>
    </row>
    <row r="81" spans="1:25" ht="12" customHeight="1">
      <c r="A81" s="179" t="s">
        <v>776</v>
      </c>
      <c r="B81" s="214" t="s">
        <v>2290</v>
      </c>
      <c r="C81" s="180" t="s">
        <v>512</v>
      </c>
      <c r="D81" s="190" t="s">
        <v>2291</v>
      </c>
      <c r="E81" s="190">
        <v>3</v>
      </c>
      <c r="F81" s="180" t="s">
        <v>2271</v>
      </c>
      <c r="G81" s="180" t="s">
        <v>572</v>
      </c>
      <c r="H81" s="191" t="s">
        <v>2292</v>
      </c>
      <c r="I81" s="192">
        <f>6000000</f>
        <v>6000000</v>
      </c>
      <c r="J81" s="2550">
        <v>6000000</v>
      </c>
      <c r="K81" s="2219">
        <f>6000000-3000000</f>
        <v>3000000</v>
      </c>
      <c r="L81" s="192">
        <f t="shared" si="34"/>
        <v>3000000</v>
      </c>
      <c r="M81" s="192">
        <f>+L81</f>
        <v>3000000</v>
      </c>
      <c r="N81" s="192">
        <f t="shared" si="35"/>
        <v>3000000</v>
      </c>
      <c r="O81" s="192">
        <f t="shared" si="36"/>
        <v>3000000</v>
      </c>
      <c r="P81" s="538">
        <v>3000000</v>
      </c>
      <c r="Q81" s="193">
        <f t="shared" si="32"/>
        <v>1</v>
      </c>
      <c r="R81" s="192">
        <f t="shared" si="0"/>
        <v>0</v>
      </c>
      <c r="S81" s="192">
        <f t="shared" si="1"/>
        <v>0</v>
      </c>
      <c r="T81" s="192">
        <f t="shared" si="13"/>
        <v>0</v>
      </c>
      <c r="U81" s="192">
        <f t="shared" si="14"/>
        <v>0</v>
      </c>
      <c r="V81" s="538">
        <f t="shared" si="38"/>
        <v>0</v>
      </c>
    </row>
    <row r="82" spans="1:25" ht="12" customHeight="1">
      <c r="A82" s="179" t="s">
        <v>834</v>
      </c>
      <c r="B82" s="214" t="s">
        <v>2293</v>
      </c>
      <c r="C82" s="180" t="s">
        <v>583</v>
      </c>
      <c r="D82" s="190" t="s">
        <v>2294</v>
      </c>
      <c r="E82" s="190">
        <v>3</v>
      </c>
      <c r="F82" s="180" t="s">
        <v>2271</v>
      </c>
      <c r="G82" s="180" t="s">
        <v>1871</v>
      </c>
      <c r="H82" s="191" t="s">
        <v>2292</v>
      </c>
      <c r="I82" s="192">
        <f>11000000</f>
        <v>11000000</v>
      </c>
      <c r="J82" s="2550">
        <v>11000000</v>
      </c>
      <c r="K82" s="2219">
        <f>11000000-5000000</f>
        <v>6000000</v>
      </c>
      <c r="L82" s="192">
        <f t="shared" si="34"/>
        <v>6000000</v>
      </c>
      <c r="M82" s="192">
        <f>+L82</f>
        <v>6000000</v>
      </c>
      <c r="N82" s="192">
        <f t="shared" si="35"/>
        <v>6000000</v>
      </c>
      <c r="O82" s="192">
        <f t="shared" si="36"/>
        <v>6000000</v>
      </c>
      <c r="P82" s="538">
        <v>6000000</v>
      </c>
      <c r="Q82" s="193">
        <f t="shared" si="32"/>
        <v>1</v>
      </c>
      <c r="R82" s="192">
        <f t="shared" si="0"/>
        <v>0</v>
      </c>
      <c r="S82" s="192">
        <f t="shared" si="1"/>
        <v>0</v>
      </c>
      <c r="T82" s="192">
        <f t="shared" si="13"/>
        <v>0</v>
      </c>
      <c r="U82" s="192">
        <f t="shared" si="14"/>
        <v>0</v>
      </c>
      <c r="V82" s="538">
        <f t="shared" si="38"/>
        <v>0</v>
      </c>
    </row>
    <row r="83" spans="1:25" ht="12" hidden="1" customHeight="1">
      <c r="A83" s="179" t="s">
        <v>3021</v>
      </c>
      <c r="B83" s="214" t="s">
        <v>90</v>
      </c>
      <c r="C83" s="180" t="s">
        <v>512</v>
      </c>
      <c r="D83" s="190" t="s">
        <v>2295</v>
      </c>
      <c r="E83" s="190">
        <v>3</v>
      </c>
      <c r="F83" s="180" t="s">
        <v>2271</v>
      </c>
      <c r="G83" s="180" t="s">
        <v>572</v>
      </c>
      <c r="H83" s="191" t="s">
        <v>2265</v>
      </c>
      <c r="I83" s="192">
        <f>0</f>
        <v>0</v>
      </c>
      <c r="J83" s="2550">
        <v>0</v>
      </c>
      <c r="K83" s="2219">
        <f>0</f>
        <v>0</v>
      </c>
      <c r="L83" s="192">
        <f t="shared" si="34"/>
        <v>0</v>
      </c>
      <c r="M83" s="192">
        <f>+L83</f>
        <v>0</v>
      </c>
      <c r="N83" s="192">
        <f t="shared" si="35"/>
        <v>0</v>
      </c>
      <c r="O83" s="192">
        <f t="shared" si="36"/>
        <v>0</v>
      </c>
      <c r="P83" s="538">
        <v>0</v>
      </c>
      <c r="Q83" s="193" t="e">
        <f t="shared" si="32"/>
        <v>#DIV/0!</v>
      </c>
      <c r="R83" s="192">
        <f t="shared" si="0"/>
        <v>0</v>
      </c>
      <c r="S83" s="192">
        <f t="shared" si="1"/>
        <v>0</v>
      </c>
      <c r="T83" s="192">
        <f t="shared" si="13"/>
        <v>0</v>
      </c>
      <c r="U83" s="192">
        <f t="shared" si="14"/>
        <v>0</v>
      </c>
      <c r="V83" s="538">
        <f t="shared" si="38"/>
        <v>0</v>
      </c>
    </row>
    <row r="84" spans="1:25" ht="42" customHeight="1">
      <c r="A84" s="179" t="s">
        <v>862</v>
      </c>
      <c r="B84" s="214" t="s">
        <v>3851</v>
      </c>
      <c r="C84" s="180" t="s">
        <v>512</v>
      </c>
      <c r="D84" s="190" t="s">
        <v>2296</v>
      </c>
      <c r="E84" s="190">
        <v>3</v>
      </c>
      <c r="F84" s="180" t="s">
        <v>2271</v>
      </c>
      <c r="G84" s="180" t="s">
        <v>572</v>
      </c>
      <c r="H84" s="191" t="s">
        <v>2297</v>
      </c>
      <c r="I84" s="192">
        <f>500000</f>
        <v>500000</v>
      </c>
      <c r="J84" s="2550">
        <v>0</v>
      </c>
      <c r="K84" s="2219">
        <f>2*500000</f>
        <v>1000000</v>
      </c>
      <c r="L84" s="192">
        <f t="shared" si="34"/>
        <v>1000000</v>
      </c>
      <c r="M84" s="192">
        <f>+L84</f>
        <v>1000000</v>
      </c>
      <c r="N84" s="192">
        <f t="shared" si="35"/>
        <v>1000000</v>
      </c>
      <c r="O84" s="192">
        <f t="shared" si="36"/>
        <v>1000000</v>
      </c>
      <c r="P84" s="538">
        <v>1000000</v>
      </c>
      <c r="Q84" s="193">
        <f t="shared" si="32"/>
        <v>1</v>
      </c>
      <c r="R84" s="192">
        <f t="shared" si="0"/>
        <v>0</v>
      </c>
      <c r="S84" s="192">
        <f t="shared" si="1"/>
        <v>0</v>
      </c>
      <c r="T84" s="192">
        <f t="shared" si="13"/>
        <v>0</v>
      </c>
      <c r="U84" s="192">
        <f t="shared" si="14"/>
        <v>0</v>
      </c>
      <c r="V84" s="538">
        <f t="shared" si="38"/>
        <v>0</v>
      </c>
    </row>
    <row r="85" spans="1:25" ht="25.5">
      <c r="A85" s="179" t="s">
        <v>870</v>
      </c>
      <c r="B85" s="213" t="s">
        <v>3444</v>
      </c>
      <c r="C85" s="213"/>
      <c r="D85" s="207"/>
      <c r="E85" s="207"/>
      <c r="F85" s="205"/>
      <c r="G85" s="213"/>
      <c r="H85" s="184" t="s">
        <v>2298</v>
      </c>
      <c r="I85" s="209">
        <f>SUM(I66:I84)-I69</f>
        <v>360204250</v>
      </c>
      <c r="J85" s="2549">
        <f t="shared" ref="J85:P85" si="39">SUM(J66:J84)-J69</f>
        <v>300505577</v>
      </c>
      <c r="K85" s="2347">
        <f t="shared" si="39"/>
        <v>321249600</v>
      </c>
      <c r="L85" s="209">
        <f t="shared" si="39"/>
        <v>336510100</v>
      </c>
      <c r="M85" s="209">
        <f t="shared" si="39"/>
        <v>336510100</v>
      </c>
      <c r="N85" s="209">
        <f t="shared" si="39"/>
        <v>335601545</v>
      </c>
      <c r="O85" s="209">
        <f t="shared" si="39"/>
        <v>335601545</v>
      </c>
      <c r="P85" s="1025">
        <f t="shared" si="39"/>
        <v>295563539</v>
      </c>
      <c r="Q85" s="210">
        <f t="shared" si="32"/>
        <v>0.88069778999378567</v>
      </c>
      <c r="R85" s="209">
        <f t="shared" si="0"/>
        <v>15260500</v>
      </c>
      <c r="S85" s="209">
        <f t="shared" si="1"/>
        <v>0</v>
      </c>
      <c r="T85" s="209">
        <f t="shared" si="13"/>
        <v>-908555</v>
      </c>
      <c r="U85" s="209">
        <f t="shared" si="14"/>
        <v>0</v>
      </c>
      <c r="V85" s="1025">
        <f t="shared" si="38"/>
        <v>40038006</v>
      </c>
    </row>
    <row r="86" spans="1:25" ht="25.5">
      <c r="A86" s="179" t="s">
        <v>889</v>
      </c>
      <c r="B86" s="213" t="s">
        <v>3161</v>
      </c>
      <c r="C86" s="180" t="s">
        <v>583</v>
      </c>
      <c r="D86" s="190" t="s">
        <v>2299</v>
      </c>
      <c r="E86" s="190">
        <v>2</v>
      </c>
      <c r="F86" s="180" t="s">
        <v>1043</v>
      </c>
      <c r="G86" s="180" t="s">
        <v>572</v>
      </c>
      <c r="H86" s="184" t="s">
        <v>2300</v>
      </c>
      <c r="I86" s="209">
        <f>15000000</f>
        <v>15000000</v>
      </c>
      <c r="J86" s="2549">
        <v>15000000</v>
      </c>
      <c r="K86" s="2347">
        <f>15000000</f>
        <v>15000000</v>
      </c>
      <c r="L86" s="209">
        <f>+K86</f>
        <v>15000000</v>
      </c>
      <c r="M86" s="209">
        <f>+L86</f>
        <v>15000000</v>
      </c>
      <c r="N86" s="209">
        <f>+M86</f>
        <v>15000000</v>
      </c>
      <c r="O86" s="209">
        <f>+N86</f>
        <v>15000000</v>
      </c>
      <c r="P86" s="245">
        <v>15000000</v>
      </c>
      <c r="Q86" s="210">
        <f t="shared" si="32"/>
        <v>1</v>
      </c>
      <c r="R86" s="209">
        <f t="shared" si="0"/>
        <v>0</v>
      </c>
      <c r="S86" s="209">
        <f t="shared" si="1"/>
        <v>0</v>
      </c>
      <c r="T86" s="209">
        <f t="shared" si="13"/>
        <v>0</v>
      </c>
      <c r="U86" s="209">
        <f t="shared" si="14"/>
        <v>0</v>
      </c>
      <c r="V86" s="245">
        <f t="shared" si="38"/>
        <v>0</v>
      </c>
    </row>
    <row r="87" spans="1:25" ht="25.5">
      <c r="A87" s="179" t="s">
        <v>911</v>
      </c>
      <c r="B87" s="213" t="s">
        <v>3445</v>
      </c>
      <c r="C87" s="213"/>
      <c r="D87" s="207"/>
      <c r="E87" s="207"/>
      <c r="F87" s="205"/>
      <c r="G87" s="213"/>
      <c r="H87" s="184" t="s">
        <v>2301</v>
      </c>
      <c r="I87" s="209">
        <f>I57+I65+I85+I86</f>
        <v>903333044</v>
      </c>
      <c r="J87" s="2549">
        <f t="shared" ref="J87:P87" si="40">J57+J65+J85+J86</f>
        <v>789858000</v>
      </c>
      <c r="K87" s="2347">
        <f t="shared" si="40"/>
        <v>938091063</v>
      </c>
      <c r="L87" s="209">
        <f t="shared" si="40"/>
        <v>907734786</v>
      </c>
      <c r="M87" s="209">
        <f t="shared" si="40"/>
        <v>903243195</v>
      </c>
      <c r="N87" s="209">
        <f t="shared" si="40"/>
        <v>910936364</v>
      </c>
      <c r="O87" s="209">
        <f t="shared" si="40"/>
        <v>910936364</v>
      </c>
      <c r="P87" s="245">
        <f t="shared" si="40"/>
        <v>864275059</v>
      </c>
      <c r="Q87" s="210">
        <f t="shared" si="32"/>
        <v>0.94877654812779</v>
      </c>
      <c r="R87" s="209">
        <f t="shared" si="0"/>
        <v>-30356277</v>
      </c>
      <c r="S87" s="209">
        <f t="shared" si="1"/>
        <v>-4491591</v>
      </c>
      <c r="T87" s="209">
        <f t="shared" si="13"/>
        <v>7693169</v>
      </c>
      <c r="U87" s="209">
        <f t="shared" si="14"/>
        <v>0</v>
      </c>
      <c r="V87" s="245">
        <f t="shared" si="38"/>
        <v>46661305</v>
      </c>
    </row>
    <row r="88" spans="1:25" ht="12.75" customHeight="1">
      <c r="A88" s="179" t="s">
        <v>1405</v>
      </c>
      <c r="B88" s="214" t="s">
        <v>63</v>
      </c>
      <c r="C88" s="180" t="s">
        <v>512</v>
      </c>
      <c r="D88" s="190" t="s">
        <v>2302</v>
      </c>
      <c r="E88" s="190">
        <v>2</v>
      </c>
      <c r="F88" s="180" t="s">
        <v>595</v>
      </c>
      <c r="G88" s="180" t="s">
        <v>572</v>
      </c>
      <c r="H88" s="191" t="s">
        <v>2303</v>
      </c>
      <c r="I88" s="192">
        <f>25000000</f>
        <v>25000000</v>
      </c>
      <c r="J88" s="2550">
        <v>0</v>
      </c>
      <c r="K88" s="2219">
        <f>25000000</f>
        <v>25000000</v>
      </c>
      <c r="L88" s="192">
        <f>+K88-1729583</f>
        <v>23270417</v>
      </c>
      <c r="M88" s="192">
        <f>+L88-2286000-801879-177572-122479-1000000-1000000</f>
        <v>17882487</v>
      </c>
      <c r="N88" s="192">
        <f>+M88-3000000-5000000-1000000-1227560-18545-49096-309364</f>
        <v>7277922</v>
      </c>
      <c r="O88" s="192">
        <f>+N88</f>
        <v>7277922</v>
      </c>
      <c r="P88" s="538">
        <v>0</v>
      </c>
      <c r="Q88" s="193">
        <f t="shared" si="32"/>
        <v>0</v>
      </c>
      <c r="R88" s="192">
        <f t="shared" si="0"/>
        <v>-1729583</v>
      </c>
      <c r="S88" s="192">
        <f t="shared" si="1"/>
        <v>-5387930</v>
      </c>
      <c r="T88" s="192">
        <f t="shared" si="13"/>
        <v>-10604565</v>
      </c>
      <c r="U88" s="192">
        <f t="shared" si="14"/>
        <v>0</v>
      </c>
      <c r="V88" s="538">
        <f t="shared" si="38"/>
        <v>7277922</v>
      </c>
    </row>
    <row r="89" spans="1:25" ht="12.75" customHeight="1">
      <c r="A89" s="179" t="s">
        <v>942</v>
      </c>
      <c r="B89" s="214" t="s">
        <v>2304</v>
      </c>
      <c r="C89" s="180" t="s">
        <v>512</v>
      </c>
      <c r="D89" s="190" t="s">
        <v>2305</v>
      </c>
      <c r="E89" s="190">
        <v>2</v>
      </c>
      <c r="F89" s="180" t="s">
        <v>595</v>
      </c>
      <c r="G89" s="180" t="s">
        <v>572</v>
      </c>
      <c r="H89" s="191" t="s">
        <v>2303</v>
      </c>
      <c r="I89" s="192">
        <f>50000000</f>
        <v>50000000</v>
      </c>
      <c r="J89" s="2550">
        <v>0</v>
      </c>
      <c r="K89" s="2219">
        <f>50000000</f>
        <v>50000000</v>
      </c>
      <c r="L89" s="192">
        <f>+K89-4976151-262128-4268251-7632399-206319-469468-46000</f>
        <v>32139284</v>
      </c>
      <c r="M89" s="192">
        <f>+L89-3116329-3097122-870100-1728000-3570800</f>
        <v>19756933</v>
      </c>
      <c r="N89" s="192">
        <f>+M89-1653540-1045464-1348219-813261-10000000-2643522-300000+71586015+462578</f>
        <v>74001520</v>
      </c>
      <c r="O89" s="192">
        <f>+N89</f>
        <v>74001520</v>
      </c>
      <c r="P89" s="538">
        <f>4976151-4976151</f>
        <v>0</v>
      </c>
      <c r="Q89" s="193">
        <f t="shared" si="32"/>
        <v>0</v>
      </c>
      <c r="R89" s="192">
        <f t="shared" si="0"/>
        <v>-17860716</v>
      </c>
      <c r="S89" s="192">
        <f t="shared" si="1"/>
        <v>-12382351</v>
      </c>
      <c r="T89" s="192">
        <f t="shared" si="13"/>
        <v>54244587</v>
      </c>
      <c r="U89" s="192">
        <f t="shared" si="14"/>
        <v>0</v>
      </c>
      <c r="V89" s="538">
        <f t="shared" si="38"/>
        <v>74001520</v>
      </c>
    </row>
    <row r="90" spans="1:25" ht="12.75" customHeight="1">
      <c r="A90" s="179" t="s">
        <v>944</v>
      </c>
      <c r="B90" s="214" t="s">
        <v>88</v>
      </c>
      <c r="C90" s="180" t="s">
        <v>512</v>
      </c>
      <c r="D90" s="190" t="s">
        <v>2306</v>
      </c>
      <c r="E90" s="190">
        <v>2</v>
      </c>
      <c r="F90" s="180" t="s">
        <v>595</v>
      </c>
      <c r="G90" s="180" t="s">
        <v>572</v>
      </c>
      <c r="H90" s="191" t="s">
        <v>2307</v>
      </c>
      <c r="I90" s="192">
        <f>200000000+207963232-70371752</f>
        <v>337591480</v>
      </c>
      <c r="J90" s="2550">
        <v>0</v>
      </c>
      <c r="K90" s="2219">
        <f>200000000+150000000-9000000-75845093-639771</f>
        <v>264515136</v>
      </c>
      <c r="L90" s="192">
        <f>+K90-462578-15260500-24000000+(55709452+349772953+185846+1879114+3591343)-2565397-9500000-9000000-17728325-2304682-2000000+1000000+38646891+4930666</f>
        <v>637409919</v>
      </c>
      <c r="M90" s="192">
        <f>+L90-3175000-810894-17490-381000-157481-200000-594001-1873464-93416-1500000-100000-(31750000+1000000+498000+127000+2167631)-3449664-6000000-1300000-850000-4000000-1000000-10573486-1000000-500000-10000000-5005800</f>
        <v>549285592</v>
      </c>
      <c r="N90" s="192">
        <f>+M90-3010941-1109980-1825000-26000-2000000-3500000-1130236-13799000-8192-4096-1400000-2600000-4320000-157700-61719-405447-320000-11614-14633462-7120540-12867121-5596085-2904649-44184445-19466701-13874179-952598</f>
        <v>391995887</v>
      </c>
      <c r="O90" s="192">
        <f>+N90</f>
        <v>391995887</v>
      </c>
      <c r="P90" s="538">
        <f>381000-381000</f>
        <v>0</v>
      </c>
      <c r="Q90" s="193">
        <f t="shared" si="32"/>
        <v>0</v>
      </c>
      <c r="R90" s="192">
        <f t="shared" si="0"/>
        <v>372894783</v>
      </c>
      <c r="S90" s="192">
        <f t="shared" si="1"/>
        <v>-88124327</v>
      </c>
      <c r="T90" s="192">
        <f t="shared" si="13"/>
        <v>-157289705</v>
      </c>
      <c r="U90" s="192">
        <f t="shared" si="14"/>
        <v>0</v>
      </c>
      <c r="V90" s="538">
        <f t="shared" si="38"/>
        <v>391995887</v>
      </c>
      <c r="Y90" s="172">
        <v>628619656</v>
      </c>
    </row>
    <row r="91" spans="1:25" hidden="1">
      <c r="A91" s="179"/>
      <c r="B91" s="214"/>
      <c r="C91" s="180" t="s">
        <v>512</v>
      </c>
      <c r="D91" s="190" t="s">
        <v>2308</v>
      </c>
      <c r="E91" s="190">
        <v>2</v>
      </c>
      <c r="F91" s="180" t="s">
        <v>595</v>
      </c>
      <c r="G91" s="180" t="s">
        <v>572</v>
      </c>
      <c r="H91" s="191" t="s">
        <v>2303</v>
      </c>
      <c r="I91" s="192">
        <v>0</v>
      </c>
      <c r="J91" s="2550">
        <v>0</v>
      </c>
      <c r="K91" s="2219">
        <v>0</v>
      </c>
      <c r="L91" s="192">
        <f t="shared" ref="L91:N93" si="41">+K91</f>
        <v>0</v>
      </c>
      <c r="M91" s="192">
        <f t="shared" si="41"/>
        <v>0</v>
      </c>
      <c r="N91" s="192">
        <f t="shared" si="41"/>
        <v>0</v>
      </c>
      <c r="O91" s="192">
        <f t="shared" ref="O91:O98" si="42">+N91</f>
        <v>0</v>
      </c>
      <c r="P91" s="538">
        <v>0</v>
      </c>
      <c r="Q91" s="193" t="e">
        <f t="shared" si="32"/>
        <v>#DIV/0!</v>
      </c>
      <c r="R91" s="192">
        <f t="shared" si="0"/>
        <v>0</v>
      </c>
      <c r="S91" s="192">
        <f t="shared" si="1"/>
        <v>0</v>
      </c>
      <c r="T91" s="192">
        <f t="shared" si="13"/>
        <v>0</v>
      </c>
      <c r="U91" s="192">
        <f t="shared" si="14"/>
        <v>0</v>
      </c>
      <c r="V91" s="538">
        <f t="shared" si="38"/>
        <v>0</v>
      </c>
    </row>
    <row r="92" spans="1:25" ht="12.75" hidden="1" customHeight="1">
      <c r="A92" s="179"/>
      <c r="B92" s="214"/>
      <c r="C92" s="180" t="s">
        <v>512</v>
      </c>
      <c r="D92" s="190" t="s">
        <v>2309</v>
      </c>
      <c r="E92" s="190">
        <v>2</v>
      </c>
      <c r="F92" s="180" t="s">
        <v>595</v>
      </c>
      <c r="G92" s="180" t="s">
        <v>572</v>
      </c>
      <c r="H92" s="191" t="s">
        <v>2303</v>
      </c>
      <c r="I92" s="192">
        <v>0</v>
      </c>
      <c r="J92" s="2550">
        <v>0</v>
      </c>
      <c r="K92" s="2219">
        <v>0</v>
      </c>
      <c r="L92" s="192">
        <f t="shared" si="41"/>
        <v>0</v>
      </c>
      <c r="M92" s="192">
        <f t="shared" si="41"/>
        <v>0</v>
      </c>
      <c r="N92" s="192">
        <f t="shared" si="41"/>
        <v>0</v>
      </c>
      <c r="O92" s="192">
        <f t="shared" si="42"/>
        <v>0</v>
      </c>
      <c r="P92" s="538">
        <v>0</v>
      </c>
      <c r="Q92" s="193" t="e">
        <f t="shared" si="32"/>
        <v>#DIV/0!</v>
      </c>
      <c r="R92" s="192">
        <f t="shared" si="0"/>
        <v>0</v>
      </c>
      <c r="S92" s="192">
        <f t="shared" si="1"/>
        <v>0</v>
      </c>
      <c r="T92" s="192">
        <f t="shared" si="13"/>
        <v>0</v>
      </c>
      <c r="U92" s="192">
        <f t="shared" si="14"/>
        <v>0</v>
      </c>
      <c r="V92" s="538">
        <f t="shared" si="38"/>
        <v>0</v>
      </c>
    </row>
    <row r="93" spans="1:25" ht="12.75" customHeight="1">
      <c r="A93" s="179" t="s">
        <v>947</v>
      </c>
      <c r="B93" s="214" t="s">
        <v>2310</v>
      </c>
      <c r="C93" s="180" t="s">
        <v>512</v>
      </c>
      <c r="D93" s="190" t="s">
        <v>2311</v>
      </c>
      <c r="E93" s="190">
        <v>2</v>
      </c>
      <c r="F93" s="180" t="s">
        <v>595</v>
      </c>
      <c r="G93" s="180" t="s">
        <v>572</v>
      </c>
      <c r="H93" s="191" t="s">
        <v>2303</v>
      </c>
      <c r="I93" s="192">
        <f>227052590-494243-261874-47625000</f>
        <v>178671473</v>
      </c>
      <c r="J93" s="2550">
        <v>0</v>
      </c>
      <c r="K93" s="2219">
        <f>178671473-73900-2540000+2613900</f>
        <v>178671473</v>
      </c>
      <c r="L93" s="192">
        <f t="shared" si="41"/>
        <v>178671473</v>
      </c>
      <c r="M93" s="192">
        <f t="shared" si="41"/>
        <v>178671473</v>
      </c>
      <c r="N93" s="192">
        <f>+M93-173619656+548422</f>
        <v>5600239</v>
      </c>
      <c r="O93" s="192">
        <f t="shared" si="42"/>
        <v>5600239</v>
      </c>
      <c r="P93" s="538">
        <v>0</v>
      </c>
      <c r="Q93" s="193">
        <f t="shared" si="32"/>
        <v>0</v>
      </c>
      <c r="R93" s="192">
        <f t="shared" si="0"/>
        <v>0</v>
      </c>
      <c r="S93" s="192">
        <f t="shared" si="1"/>
        <v>0</v>
      </c>
      <c r="T93" s="192">
        <f t="shared" si="13"/>
        <v>-173071234</v>
      </c>
      <c r="U93" s="192">
        <f t="shared" si="14"/>
        <v>0</v>
      </c>
      <c r="V93" s="538">
        <f t="shared" si="38"/>
        <v>5600239</v>
      </c>
      <c r="W93" s="1619">
        <f>-173619656+548422</f>
        <v>-173071234</v>
      </c>
      <c r="Y93" s="172">
        <f>+Y90-Y94-Y96</f>
        <v>173619656</v>
      </c>
    </row>
    <row r="94" spans="1:25" ht="12.75" customHeight="1">
      <c r="A94" s="179" t="s">
        <v>959</v>
      </c>
      <c r="B94" s="214" t="s">
        <v>2312</v>
      </c>
      <c r="C94" s="180" t="s">
        <v>512</v>
      </c>
      <c r="D94" s="190" t="s">
        <v>2313</v>
      </c>
      <c r="E94" s="190">
        <v>2</v>
      </c>
      <c r="F94" s="180" t="s">
        <v>595</v>
      </c>
      <c r="G94" s="180" t="s">
        <v>572</v>
      </c>
      <c r="H94" s="191" t="s">
        <v>2303</v>
      </c>
      <c r="I94" s="192">
        <f>I95+380000000</f>
        <v>500000000</v>
      </c>
      <c r="J94" s="2550">
        <v>0</v>
      </c>
      <c r="K94" s="2219">
        <f>K95+380000000</f>
        <v>500000000</v>
      </c>
      <c r="L94" s="192">
        <f>+K94-1391000</f>
        <v>498609000</v>
      </c>
      <c r="M94" s="192">
        <f>+L94-21131712-3420222-609600-2048510-23942167-790788-2083562-6731000-1939341-1-1960880-95250-2110928-4077270-1512385-1999868</f>
        <v>424155516</v>
      </c>
      <c r="N94" s="192">
        <f>+M94-1273467-1415974-2400000-467126-125817926-285000000</f>
        <v>7781023</v>
      </c>
      <c r="O94" s="192">
        <f>+N94</f>
        <v>7781023</v>
      </c>
      <c r="P94" s="538">
        <v>0</v>
      </c>
      <c r="Q94" s="193">
        <f t="shared" si="32"/>
        <v>0</v>
      </c>
      <c r="R94" s="192">
        <f t="shared" si="0"/>
        <v>-1391000</v>
      </c>
      <c r="S94" s="192">
        <f t="shared" si="1"/>
        <v>-74453484</v>
      </c>
      <c r="T94" s="192">
        <f t="shared" si="13"/>
        <v>-416374493</v>
      </c>
      <c r="U94" s="192">
        <f t="shared" si="14"/>
        <v>0</v>
      </c>
      <c r="V94" s="538">
        <f t="shared" si="38"/>
        <v>7781023</v>
      </c>
      <c r="Y94" s="172">
        <v>285000000</v>
      </c>
    </row>
    <row r="95" spans="1:25" s="203" customFormat="1" ht="12.75" customHeight="1">
      <c r="A95" s="204" t="s">
        <v>3446</v>
      </c>
      <c r="B95" s="530" t="s">
        <v>2314</v>
      </c>
      <c r="C95" s="197"/>
      <c r="D95" s="198"/>
      <c r="E95" s="198"/>
      <c r="F95" s="197" t="s">
        <v>595</v>
      </c>
      <c r="G95" s="197"/>
      <c r="H95" s="204"/>
      <c r="I95" s="199">
        <f>120000000</f>
        <v>120000000</v>
      </c>
      <c r="J95" s="2555">
        <v>0</v>
      </c>
      <c r="K95" s="2250">
        <f>120000000</f>
        <v>120000000</v>
      </c>
      <c r="L95" s="192">
        <f>+K95-1391000</f>
        <v>118609000</v>
      </c>
      <c r="M95" s="192">
        <f>+L95-21131712-3420222-609600-2048510-23942167-790788-2083562-6731000-1939341-1-1960880-95250-2110928-4077270-1512385-1999868</f>
        <v>44155516</v>
      </c>
      <c r="N95" s="199">
        <f>+M95-1273467-1415974-2400000-31285052</f>
        <v>7781023</v>
      </c>
      <c r="O95" s="192">
        <f>+N95</f>
        <v>7781023</v>
      </c>
      <c r="P95" s="626">
        <v>0</v>
      </c>
      <c r="Q95" s="200">
        <f t="shared" si="32"/>
        <v>0</v>
      </c>
      <c r="R95" s="199">
        <f t="shared" si="0"/>
        <v>-1391000</v>
      </c>
      <c r="S95" s="199">
        <f t="shared" si="1"/>
        <v>-74453484</v>
      </c>
      <c r="T95" s="199">
        <f t="shared" si="13"/>
        <v>-36374493</v>
      </c>
      <c r="U95" s="199">
        <f t="shared" si="14"/>
        <v>0</v>
      </c>
      <c r="V95" s="626">
        <f t="shared" si="38"/>
        <v>7781023</v>
      </c>
      <c r="Y95" s="172"/>
    </row>
    <row r="96" spans="1:25" ht="25.5" customHeight="1">
      <c r="A96" s="179" t="s">
        <v>998</v>
      </c>
      <c r="B96" s="214" t="s">
        <v>3537</v>
      </c>
      <c r="C96" s="180" t="s">
        <v>512</v>
      </c>
      <c r="D96" s="190" t="s">
        <v>2315</v>
      </c>
      <c r="E96" s="190">
        <v>2</v>
      </c>
      <c r="F96" s="180" t="s">
        <v>595</v>
      </c>
      <c r="G96" s="180" t="s">
        <v>572</v>
      </c>
      <c r="H96" s="191" t="s">
        <v>2303</v>
      </c>
      <c r="I96" s="192">
        <f>300000000+242827873-27570545+37500000</f>
        <v>552757328</v>
      </c>
      <c r="J96" s="2550">
        <v>0</v>
      </c>
      <c r="K96" s="2219">
        <f>300000000+325822981-2613900-53000000-1-5403810-110000000+2789936</f>
        <v>457595206</v>
      </c>
      <c r="L96" s="192">
        <f>+K96-7016750-2993265-1638000-(2032000+277495+635000+1638872)-21000000</f>
        <v>420363824</v>
      </c>
      <c r="M96" s="192">
        <f>+L96-20000000-50000000</f>
        <v>350363824</v>
      </c>
      <c r="N96" s="192">
        <f>+M96-40106000-24363786-4528376-7909691-9750000-84030204-170000000</f>
        <v>9675767</v>
      </c>
      <c r="O96" s="192">
        <f>+N96</f>
        <v>9675767</v>
      </c>
      <c r="P96" s="538">
        <f>131398-131398</f>
        <v>0</v>
      </c>
      <c r="Q96" s="193">
        <f t="shared" si="32"/>
        <v>0</v>
      </c>
      <c r="R96" s="192">
        <f t="shared" si="0"/>
        <v>-37231382</v>
      </c>
      <c r="S96" s="192">
        <f t="shared" si="1"/>
        <v>-70000000</v>
      </c>
      <c r="T96" s="192">
        <f t="shared" si="13"/>
        <v>-340688057</v>
      </c>
      <c r="U96" s="192">
        <f t="shared" si="14"/>
        <v>0</v>
      </c>
      <c r="V96" s="538">
        <f t="shared" si="38"/>
        <v>9675767</v>
      </c>
      <c r="Y96" s="172">
        <v>170000000</v>
      </c>
    </row>
    <row r="97" spans="1:25" hidden="1">
      <c r="A97" s="179" t="s">
        <v>1000</v>
      </c>
      <c r="B97" s="214"/>
      <c r="C97" s="180" t="s">
        <v>512</v>
      </c>
      <c r="D97" s="190" t="s">
        <v>2308</v>
      </c>
      <c r="E97" s="190">
        <v>2</v>
      </c>
      <c r="F97" s="180" t="s">
        <v>595</v>
      </c>
      <c r="G97" s="180" t="s">
        <v>572</v>
      </c>
      <c r="H97" s="191" t="s">
        <v>2303</v>
      </c>
      <c r="I97" s="192">
        <f>0</f>
        <v>0</v>
      </c>
      <c r="J97" s="2550">
        <v>0</v>
      </c>
      <c r="K97" s="2219">
        <f>0</f>
        <v>0</v>
      </c>
      <c r="L97" s="192">
        <f t="shared" ref="L97:N98" si="43">+K97</f>
        <v>0</v>
      </c>
      <c r="M97" s="192">
        <f t="shared" si="43"/>
        <v>0</v>
      </c>
      <c r="N97" s="192">
        <f t="shared" si="43"/>
        <v>0</v>
      </c>
      <c r="O97" s="192">
        <f t="shared" si="42"/>
        <v>0</v>
      </c>
      <c r="P97" s="538">
        <v>0</v>
      </c>
      <c r="Q97" s="193" t="e">
        <f t="shared" si="32"/>
        <v>#DIV/0!</v>
      </c>
      <c r="R97" s="192">
        <f t="shared" si="0"/>
        <v>0</v>
      </c>
      <c r="S97" s="192">
        <f t="shared" si="1"/>
        <v>0</v>
      </c>
      <c r="T97" s="192">
        <f t="shared" si="13"/>
        <v>0</v>
      </c>
      <c r="U97" s="192">
        <f t="shared" si="14"/>
        <v>0</v>
      </c>
      <c r="V97" s="538">
        <f t="shared" si="38"/>
        <v>0</v>
      </c>
    </row>
    <row r="98" spans="1:25" hidden="1">
      <c r="A98" s="179" t="s">
        <v>1002</v>
      </c>
      <c r="B98" s="214"/>
      <c r="C98" s="180" t="s">
        <v>512</v>
      </c>
      <c r="D98" s="190" t="s">
        <v>2316</v>
      </c>
      <c r="E98" s="190">
        <v>2</v>
      </c>
      <c r="F98" s="180" t="s">
        <v>595</v>
      </c>
      <c r="G98" s="180" t="s">
        <v>572</v>
      </c>
      <c r="H98" s="191" t="s">
        <v>2303</v>
      </c>
      <c r="I98" s="192">
        <f>58578000-58578000</f>
        <v>0</v>
      </c>
      <c r="J98" s="2550">
        <v>0</v>
      </c>
      <c r="K98" s="2219">
        <f>58578000-58578000</f>
        <v>0</v>
      </c>
      <c r="L98" s="192">
        <f t="shared" si="43"/>
        <v>0</v>
      </c>
      <c r="M98" s="192">
        <f t="shared" si="43"/>
        <v>0</v>
      </c>
      <c r="N98" s="192">
        <f t="shared" si="43"/>
        <v>0</v>
      </c>
      <c r="O98" s="192">
        <f t="shared" si="42"/>
        <v>0</v>
      </c>
      <c r="P98" s="538">
        <v>0</v>
      </c>
      <c r="Q98" s="193" t="e">
        <f t="shared" si="32"/>
        <v>#DIV/0!</v>
      </c>
      <c r="R98" s="192">
        <f t="shared" si="0"/>
        <v>0</v>
      </c>
      <c r="S98" s="192">
        <f t="shared" si="1"/>
        <v>0</v>
      </c>
      <c r="T98" s="192">
        <f t="shared" si="13"/>
        <v>0</v>
      </c>
      <c r="U98" s="192">
        <f t="shared" si="14"/>
        <v>0</v>
      </c>
      <c r="V98" s="538">
        <f t="shared" si="38"/>
        <v>0</v>
      </c>
    </row>
    <row r="99" spans="1:25">
      <c r="A99" s="179" t="s">
        <v>1000</v>
      </c>
      <c r="B99" s="208" t="s">
        <v>3836</v>
      </c>
      <c r="C99" s="208"/>
      <c r="D99" s="207"/>
      <c r="E99" s="207"/>
      <c r="F99" s="205"/>
      <c r="G99" s="208"/>
      <c r="H99" s="184" t="s">
        <v>2317</v>
      </c>
      <c r="I99" s="209">
        <f t="shared" ref="I99:O99" si="44">SUM(I88:I98)-I95</f>
        <v>1644020281</v>
      </c>
      <c r="J99" s="2549">
        <f t="shared" si="44"/>
        <v>0</v>
      </c>
      <c r="K99" s="2347">
        <f t="shared" si="44"/>
        <v>1475781815</v>
      </c>
      <c r="L99" s="209">
        <f t="shared" si="44"/>
        <v>1790463917</v>
      </c>
      <c r="M99" s="209">
        <f t="shared" si="44"/>
        <v>1540115825</v>
      </c>
      <c r="N99" s="209">
        <f t="shared" si="44"/>
        <v>496332358</v>
      </c>
      <c r="O99" s="209">
        <f t="shared" si="44"/>
        <v>496332358</v>
      </c>
      <c r="P99" s="245">
        <f>SUM(P88:P98)-P97</f>
        <v>0</v>
      </c>
      <c r="Q99" s="210">
        <f t="shared" si="32"/>
        <v>0</v>
      </c>
      <c r="R99" s="209">
        <f t="shared" si="0"/>
        <v>314682102</v>
      </c>
      <c r="S99" s="209">
        <f t="shared" si="1"/>
        <v>-250348092</v>
      </c>
      <c r="T99" s="209">
        <f t="shared" si="13"/>
        <v>-1043783467</v>
      </c>
      <c r="U99" s="209">
        <f t="shared" si="14"/>
        <v>0</v>
      </c>
      <c r="V99" s="245">
        <f t="shared" si="38"/>
        <v>496332358</v>
      </c>
    </row>
    <row r="100" spans="1:25">
      <c r="A100" s="179" t="s">
        <v>1002</v>
      </c>
      <c r="B100" s="236" t="s">
        <v>2318</v>
      </c>
      <c r="C100" s="236"/>
      <c r="D100" s="190"/>
      <c r="E100" s="190"/>
      <c r="F100" s="180"/>
      <c r="G100" s="236"/>
      <c r="H100" s="191" t="s">
        <v>2319</v>
      </c>
      <c r="I100" s="192">
        <v>0</v>
      </c>
      <c r="J100" s="2550">
        <f>+I100</f>
        <v>0</v>
      </c>
      <c r="K100" s="2219">
        <v>0</v>
      </c>
      <c r="L100" s="192">
        <f>+K100</f>
        <v>0</v>
      </c>
      <c r="M100" s="192">
        <f>+L100</f>
        <v>0</v>
      </c>
      <c r="N100" s="192">
        <f>+M100</f>
        <v>0</v>
      </c>
      <c r="O100" s="192">
        <f>+N100</f>
        <v>0</v>
      </c>
      <c r="P100" s="538">
        <v>0</v>
      </c>
      <c r="Q100" s="193"/>
      <c r="R100" s="192">
        <f t="shared" si="0"/>
        <v>0</v>
      </c>
      <c r="S100" s="192">
        <f t="shared" si="1"/>
        <v>0</v>
      </c>
      <c r="T100" s="192">
        <f t="shared" si="13"/>
        <v>0</v>
      </c>
      <c r="U100" s="192">
        <f t="shared" si="14"/>
        <v>0</v>
      </c>
      <c r="V100" s="538">
        <f t="shared" si="38"/>
        <v>0</v>
      </c>
    </row>
    <row r="101" spans="1:25" ht="12" customHeight="1">
      <c r="A101" s="179" t="s">
        <v>1008</v>
      </c>
      <c r="B101" s="213" t="s">
        <v>3837</v>
      </c>
      <c r="C101" s="213"/>
      <c r="D101" s="207"/>
      <c r="E101" s="207"/>
      <c r="F101" s="205"/>
      <c r="G101" s="213"/>
      <c r="H101" s="184" t="s">
        <v>2320</v>
      </c>
      <c r="I101" s="209">
        <f t="shared" ref="I101:P101" si="45">SUM(I99:I100)</f>
        <v>1644020281</v>
      </c>
      <c r="J101" s="2549">
        <f t="shared" si="45"/>
        <v>0</v>
      </c>
      <c r="K101" s="2347">
        <f t="shared" si="45"/>
        <v>1475781815</v>
      </c>
      <c r="L101" s="209">
        <f t="shared" si="45"/>
        <v>1790463917</v>
      </c>
      <c r="M101" s="209">
        <f t="shared" si="45"/>
        <v>1540115825</v>
      </c>
      <c r="N101" s="209">
        <f t="shared" si="45"/>
        <v>496332358</v>
      </c>
      <c r="O101" s="209">
        <f t="shared" si="45"/>
        <v>496332358</v>
      </c>
      <c r="P101" s="245">
        <f t="shared" si="45"/>
        <v>0</v>
      </c>
      <c r="Q101" s="210">
        <f>+P101/N101</f>
        <v>0</v>
      </c>
      <c r="R101" s="209">
        <f t="shared" si="0"/>
        <v>314682102</v>
      </c>
      <c r="S101" s="209">
        <f t="shared" si="1"/>
        <v>-250348092</v>
      </c>
      <c r="T101" s="209">
        <f t="shared" si="13"/>
        <v>-1043783467</v>
      </c>
      <c r="U101" s="209">
        <f t="shared" si="14"/>
        <v>0</v>
      </c>
      <c r="V101" s="245">
        <f t="shared" si="38"/>
        <v>496332358</v>
      </c>
    </row>
    <row r="102" spans="1:25" ht="37.5">
      <c r="A102" s="179" t="s">
        <v>1016</v>
      </c>
      <c r="B102" s="246" t="s">
        <v>3838</v>
      </c>
      <c r="C102" s="246"/>
      <c r="D102" s="669"/>
      <c r="E102" s="669"/>
      <c r="F102" s="219"/>
      <c r="G102" s="218"/>
      <c r="H102" s="219" t="s">
        <v>2321</v>
      </c>
      <c r="I102" s="221">
        <f t="shared" ref="I102:P102" si="46">+I13+I14+I20+I21+I38+I39+I49+I87+I101</f>
        <v>5093375459</v>
      </c>
      <c r="J102" s="2605">
        <f t="shared" si="46"/>
        <v>3543956539</v>
      </c>
      <c r="K102" s="2353">
        <f t="shared" si="46"/>
        <v>5502927983</v>
      </c>
      <c r="L102" s="221">
        <f t="shared" si="46"/>
        <v>5785860586</v>
      </c>
      <c r="M102" s="221">
        <f t="shared" si="46"/>
        <v>5527345503</v>
      </c>
      <c r="N102" s="221">
        <f t="shared" si="46"/>
        <v>4572240867</v>
      </c>
      <c r="O102" s="221">
        <f t="shared" si="46"/>
        <v>4572240867</v>
      </c>
      <c r="P102" s="638">
        <f t="shared" si="46"/>
        <v>4023540721</v>
      </c>
      <c r="Q102" s="223">
        <f>+P102/N102</f>
        <v>0.87999316703539709</v>
      </c>
      <c r="R102" s="221">
        <f t="shared" si="0"/>
        <v>282932603</v>
      </c>
      <c r="S102" s="221">
        <f t="shared" si="1"/>
        <v>-258515083</v>
      </c>
      <c r="T102" s="221">
        <f t="shared" si="13"/>
        <v>-955104636</v>
      </c>
      <c r="U102" s="221">
        <f t="shared" si="14"/>
        <v>0</v>
      </c>
      <c r="V102" s="638">
        <f t="shared" si="38"/>
        <v>548700146</v>
      </c>
      <c r="X102"/>
      <c r="Y102"/>
    </row>
    <row r="103" spans="1:25" hidden="1">
      <c r="I103" s="169">
        <f t="shared" ref="I103:P103" si="47">+I7+I9+I10+I11+I12+I14+I20+I21+I27+I28+I29+I30+I31+I32+I33+I34+I37+I40+I41+I42+I44+I45+I47+I48+I52+I53+I54+I56+I58+I59+I60+I61+I62+I63+I64+I67+I68+I70+I71+I73+I75+I76+I77+I79+I80+I81+I82+I83+I84+I86+I88+I89+I90+I91+I93+I94+I96+I97+I98</f>
        <v>5093375459</v>
      </c>
      <c r="J103" s="169">
        <f t="shared" si="47"/>
        <v>3543956539</v>
      </c>
      <c r="K103" s="2332">
        <f t="shared" si="47"/>
        <v>5502927983</v>
      </c>
      <c r="L103" s="169">
        <f t="shared" si="47"/>
        <v>5785860586</v>
      </c>
      <c r="M103" s="169">
        <f t="shared" si="47"/>
        <v>5527345503</v>
      </c>
      <c r="N103" s="169">
        <f t="shared" si="47"/>
        <v>4572240867</v>
      </c>
      <c r="O103" s="169">
        <f t="shared" si="47"/>
        <v>4572240867</v>
      </c>
      <c r="P103" s="169">
        <f t="shared" si="47"/>
        <v>4023540721</v>
      </c>
      <c r="Q103" s="169">
        <f>+K103-K102</f>
        <v>0</v>
      </c>
      <c r="V103" s="172">
        <f t="shared" si="38"/>
        <v>548700146</v>
      </c>
      <c r="Y103"/>
    </row>
    <row r="104" spans="1:25" hidden="1">
      <c r="B104" s="1253"/>
      <c r="I104" s="169">
        <f t="shared" ref="I104:P104" si="48">+I13+I14+I20+I21+I38+I39+I49+I87</f>
        <v>3449355178</v>
      </c>
      <c r="J104" s="169">
        <f t="shared" si="48"/>
        <v>3543956539</v>
      </c>
      <c r="K104" s="2332">
        <f t="shared" si="48"/>
        <v>4027146168</v>
      </c>
      <c r="L104" s="169">
        <f t="shared" si="48"/>
        <v>3995396669</v>
      </c>
      <c r="M104" s="169">
        <f t="shared" si="48"/>
        <v>3987229678</v>
      </c>
      <c r="N104" s="169">
        <f t="shared" si="48"/>
        <v>4075908509</v>
      </c>
      <c r="O104" s="169">
        <f t="shared" si="48"/>
        <v>4075908509</v>
      </c>
      <c r="P104" s="169">
        <f t="shared" si="48"/>
        <v>4023540721</v>
      </c>
      <c r="Q104" s="169">
        <f>+N104+N101</f>
        <v>4572240867</v>
      </c>
    </row>
    <row r="105" spans="1:25" hidden="1">
      <c r="I105" s="169">
        <f t="shared" ref="I105:P105" si="49">+I104-I38</f>
        <v>3393431893</v>
      </c>
      <c r="J105" s="169">
        <f t="shared" si="49"/>
        <v>3501378510</v>
      </c>
      <c r="K105" s="2332">
        <f t="shared" si="49"/>
        <v>3972538629</v>
      </c>
      <c r="L105" s="169">
        <f t="shared" si="49"/>
        <v>3942644930</v>
      </c>
      <c r="M105" s="169">
        <f t="shared" si="49"/>
        <v>3938153339</v>
      </c>
      <c r="N105" s="169">
        <f t="shared" si="49"/>
        <v>4030544370</v>
      </c>
      <c r="O105" s="169">
        <f t="shared" si="49"/>
        <v>4030544370</v>
      </c>
      <c r="P105" s="169">
        <f t="shared" si="49"/>
        <v>3982883065</v>
      </c>
    </row>
    <row r="106" spans="1:25" hidden="1">
      <c r="I106" s="169">
        <f>+I102-I103</f>
        <v>0</v>
      </c>
      <c r="J106" s="169">
        <f t="shared" ref="J106:O106" si="50">+J102-J103</f>
        <v>0</v>
      </c>
      <c r="K106" s="2332">
        <f t="shared" si="50"/>
        <v>0</v>
      </c>
      <c r="L106" s="169">
        <f t="shared" si="50"/>
        <v>0</v>
      </c>
      <c r="M106" s="169">
        <f t="shared" si="50"/>
        <v>0</v>
      </c>
      <c r="N106" s="169">
        <f t="shared" si="50"/>
        <v>0</v>
      </c>
      <c r="O106" s="169">
        <f t="shared" si="50"/>
        <v>0</v>
      </c>
      <c r="P106" s="169">
        <f>+P102-P103</f>
        <v>0</v>
      </c>
    </row>
    <row r="107" spans="1:25" hidden="1"/>
    <row r="108" spans="1:25" hidden="1">
      <c r="I108" s="212">
        <f t="shared" ref="I108:O108" si="51">+I102</f>
        <v>5093375459</v>
      </c>
      <c r="J108" s="212">
        <f t="shared" si="51"/>
        <v>3543956539</v>
      </c>
      <c r="K108" s="2333">
        <f t="shared" si="51"/>
        <v>5502927983</v>
      </c>
      <c r="L108" s="212">
        <f t="shared" si="51"/>
        <v>5785860586</v>
      </c>
      <c r="M108" s="212">
        <f t="shared" si="51"/>
        <v>5527345503</v>
      </c>
      <c r="N108" s="212">
        <f t="shared" si="51"/>
        <v>4572240867</v>
      </c>
      <c r="O108" s="212">
        <f t="shared" si="51"/>
        <v>4572240867</v>
      </c>
      <c r="P108" s="212">
        <f>+P102</f>
        <v>4023540721</v>
      </c>
      <c r="Q108" s="212"/>
      <c r="R108" s="212"/>
      <c r="S108" s="212">
        <f>+S102</f>
        <v>-258515083</v>
      </c>
      <c r="T108" s="212">
        <f>+T102</f>
        <v>-955104636</v>
      </c>
      <c r="U108" s="212">
        <f>+U102</f>
        <v>0</v>
      </c>
    </row>
    <row r="109" spans="1:25" hidden="1">
      <c r="I109" s="169">
        <f>+I8+I27+I28+I29+I30+I31+I32+I34+I37+I40+I41+I44+I45+I52+I53+I54+I58+I59+I60+I61+I62+I63+I64+I67+I68+I70+I71+I72+I73+I75+I76+I77+I79+I80+I81+I82+I84+I86+I88+I89+I90+I92+I93+I94+I96+I97+I98</f>
        <v>5091875459</v>
      </c>
      <c r="J109" s="169">
        <f t="shared" ref="J109:P109" si="52">+J8+J27+J28+J29+J30+J31+J32+J33+J34+J37+J40+J41+J44+J45+J52+J53+J54+J58+J59+J60+J61+J62+J63+J64+J67+J68+J70+J71+J72+J73+J75+J76+J77+J79+J80+J81+J82+J84+J86+J88+J89+J90+J92+J93+J94+J96+J97+J98</f>
        <v>3543956539</v>
      </c>
      <c r="K109" s="2332">
        <f t="shared" si="52"/>
        <v>5502927983</v>
      </c>
      <c r="L109" s="169">
        <f t="shared" si="52"/>
        <v>5785860586</v>
      </c>
      <c r="M109" s="169">
        <f t="shared" si="52"/>
        <v>5527345503</v>
      </c>
      <c r="N109" s="169">
        <f t="shared" si="52"/>
        <v>4572240867</v>
      </c>
      <c r="O109" s="169">
        <f t="shared" si="52"/>
        <v>4572240867</v>
      </c>
      <c r="P109" s="169">
        <f t="shared" si="52"/>
        <v>4023540721</v>
      </c>
    </row>
    <row r="110" spans="1:25" hidden="1">
      <c r="I110" s="169">
        <f t="shared" ref="I110:P110" si="53">+I108-I109</f>
        <v>1500000</v>
      </c>
      <c r="J110" s="169">
        <f t="shared" si="53"/>
        <v>0</v>
      </c>
      <c r="K110" s="2332">
        <f t="shared" si="53"/>
        <v>0</v>
      </c>
      <c r="L110" s="169">
        <f t="shared" si="53"/>
        <v>0</v>
      </c>
      <c r="M110" s="169">
        <f t="shared" si="53"/>
        <v>0</v>
      </c>
      <c r="N110" s="169">
        <f t="shared" si="53"/>
        <v>0</v>
      </c>
      <c r="O110" s="169">
        <f t="shared" si="53"/>
        <v>0</v>
      </c>
      <c r="P110" s="169">
        <f t="shared" si="53"/>
        <v>0</v>
      </c>
      <c r="Q110" s="169">
        <f>+N13+N38+N49+N87+N101</f>
        <v>4572240867</v>
      </c>
    </row>
    <row r="111" spans="1:25" hidden="1"/>
    <row r="112" spans="1:25" hidden="1"/>
    <row r="113" spans="14:14" hidden="1">
      <c r="N113" s="169">
        <f>+N95-N94</f>
        <v>0</v>
      </c>
    </row>
    <row r="114" spans="14:14" hidden="1"/>
  </sheetData>
  <sheetProtection algorithmName="SHA-512" hashValue="H+sa/jf6b0l7u/uubCE+ZbOvptmIjcaq7lSmsoWm+JtUhJgZZlGHBXZhziM2EhERUiV3m6j+AVtsM7TCM6Xd3Q==" saltValue="WfJfj4AkAxb1rVNJomqXGw==" spinCount="100000" sheet="1" selectLockedCells="1" selectUnlockedCells="1"/>
  <mergeCells count="2">
    <mergeCell ref="A1:T1"/>
    <mergeCell ref="A2:T2"/>
  </mergeCells>
  <printOptions horizontalCentered="1"/>
  <pageMargins left="0" right="0" top="0.23622047244094491" bottom="0.31496062992125984" header="0.51181102362204722" footer="0.31496062992125984"/>
  <pageSetup paperSize="9" scale="70" firstPageNumber="0" fitToWidth="2" fitToHeight="2" orientation="portrait" r:id="rId1"/>
  <headerFooter alignWithMargins="0">
    <oddFooter>&amp;C&amp;"Arial CE,Félkövér"&amp;12&amp;P/&amp;N</oddFooter>
  </headerFooter>
  <rowBreaks count="1" manualBreakCount="1">
    <brk id="66" max="19" man="1"/>
  </rowBreaks>
  <colBreaks count="1" manualBreakCount="1">
    <brk id="23"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ADF8F-7767-4FE6-9235-265135C5EC2B}">
  <sheetPr>
    <tabColor indexed="13"/>
  </sheetPr>
  <dimension ref="A1:AI249"/>
  <sheetViews>
    <sheetView view="pageBreakPreview" zoomScale="90" zoomScaleSheetLayoutView="90" workbookViewId="0">
      <pane xSplit="10" ySplit="6" topLeftCell="K20" activePane="bottomRight" state="frozen"/>
      <selection sqref="A1:AC1"/>
      <selection pane="topRight" sqref="A1:AC1"/>
      <selection pane="bottomLeft" sqref="A1:AC1"/>
      <selection pane="bottomRight" sqref="A1:AC1"/>
    </sheetView>
  </sheetViews>
  <sheetFormatPr defaultRowHeight="12.75"/>
  <cols>
    <col min="1" max="1" width="9.140625" style="164" customWidth="1"/>
    <col min="2" max="2" width="68.85546875" style="165" customWidth="1"/>
    <col min="3" max="3" width="5" style="167" hidden="1" customWidth="1"/>
    <col min="4" max="4" width="9.28515625" style="167" hidden="1" customWidth="1"/>
    <col min="5" max="5" width="3.28515625" style="167" hidden="1" customWidth="1"/>
    <col min="6" max="6" width="7.5703125" style="167" hidden="1" customWidth="1"/>
    <col min="7" max="7" width="9.5703125" style="167" hidden="1" customWidth="1"/>
    <col min="8" max="8" width="9.140625" style="166" hidden="1" customWidth="1"/>
    <col min="9" max="9" width="21.5703125" style="169" hidden="1" customWidth="1"/>
    <col min="10" max="10" width="20.5703125" style="169" hidden="1" customWidth="1"/>
    <col min="11" max="11" width="20.5703125" style="2332" customWidth="1"/>
    <col min="12" max="12" width="21" style="169" hidden="1" customWidth="1"/>
    <col min="13" max="13" width="20.42578125" style="169" hidden="1" customWidth="1"/>
    <col min="14" max="14" width="20.7109375" style="169" customWidth="1"/>
    <col min="15" max="15" width="23.140625" style="169" hidden="1" customWidth="1"/>
    <col min="16" max="16" width="20.5703125" style="169" customWidth="1"/>
    <col min="17" max="17" width="14.5703125" style="169" customWidth="1"/>
    <col min="18" max="19" width="18.42578125" style="169" hidden="1" customWidth="1"/>
    <col min="20" max="20" width="19.42578125" style="169" hidden="1" customWidth="1"/>
    <col min="21" max="21" width="14.42578125" style="169" hidden="1" customWidth="1"/>
    <col min="22" max="22" width="12.85546875" style="172" hidden="1" customWidth="1"/>
    <col min="23" max="23" width="13.140625" style="172" hidden="1" customWidth="1"/>
    <col min="24" max="24" width="12.7109375" style="171" hidden="1" customWidth="1"/>
    <col min="25" max="25" width="13.5703125" style="171" hidden="1" customWidth="1"/>
    <col min="26" max="26" width="14.28515625" style="171" hidden="1" customWidth="1"/>
    <col min="27" max="27" width="22.140625" style="171" hidden="1" customWidth="1"/>
    <col min="28" max="28" width="11.85546875" style="171" hidden="1" customWidth="1"/>
    <col min="29" max="29" width="16.140625" style="171" customWidth="1"/>
    <col min="30" max="30" width="19.5703125" style="171" hidden="1" customWidth="1"/>
    <col min="31" max="31" width="11.140625" style="171" hidden="1" customWidth="1"/>
    <col min="32" max="32" width="0" style="171" hidden="1" customWidth="1"/>
    <col min="33" max="33" width="10.5703125" style="171" hidden="1" customWidth="1"/>
    <col min="34" max="34" width="13.5703125" style="171" hidden="1" customWidth="1"/>
    <col min="35" max="35" width="0" style="171" hidden="1" customWidth="1"/>
    <col min="36" max="16384" width="9.140625" style="171"/>
  </cols>
  <sheetData>
    <row r="1" spans="1:30" ht="18.75" customHeight="1">
      <c r="A1" s="3602" t="s">
        <v>4288</v>
      </c>
      <c r="B1" s="3567"/>
      <c r="C1" s="3567"/>
      <c r="D1" s="3567"/>
      <c r="E1" s="3567"/>
      <c r="F1" s="3567"/>
      <c r="G1" s="3567"/>
      <c r="H1" s="3567"/>
      <c r="I1" s="3567"/>
      <c r="J1" s="3567"/>
      <c r="K1" s="3567"/>
      <c r="L1" s="3567"/>
      <c r="M1" s="3567"/>
      <c r="N1" s="3567"/>
      <c r="O1" s="3567"/>
      <c r="P1" s="3680"/>
      <c r="Q1" s="3680"/>
      <c r="R1" s="3672"/>
      <c r="S1" s="3672"/>
      <c r="T1" s="3672"/>
      <c r="U1" s="172"/>
    </row>
    <row r="2" spans="1:30" s="174" customFormat="1" ht="39.75" customHeight="1">
      <c r="A2" s="3681" t="s">
        <v>2322</v>
      </c>
      <c r="B2" s="3681"/>
      <c r="C2" s="3681"/>
      <c r="D2" s="3681"/>
      <c r="E2" s="3681"/>
      <c r="F2" s="3681"/>
      <c r="G2" s="3681"/>
      <c r="H2" s="3681"/>
      <c r="I2" s="3681"/>
      <c r="J2" s="3681"/>
      <c r="K2" s="3681"/>
      <c r="L2" s="3681"/>
      <c r="M2" s="3681"/>
      <c r="N2" s="3681"/>
      <c r="O2" s="3681"/>
      <c r="P2" s="3681"/>
      <c r="Q2" s="3681"/>
      <c r="R2" s="3674"/>
      <c r="S2" s="3674"/>
      <c r="T2" s="3674"/>
      <c r="U2" s="173"/>
      <c r="V2" s="173"/>
      <c r="W2" s="173"/>
      <c r="X2" s="171"/>
    </row>
    <row r="3" spans="1:30" s="174" customFormat="1" ht="30" customHeight="1">
      <c r="A3" s="1427"/>
      <c r="B3" s="1553" t="str">
        <f>+'33. mell. E.műk.c.kiad.'!B3</f>
        <v>A</v>
      </c>
      <c r="C3" s="1553">
        <f>+'33. mell. E.műk.c.kiad.'!C3</f>
        <v>0</v>
      </c>
      <c r="D3" s="1553">
        <f>+'33. mell. E.műk.c.kiad.'!D3</f>
        <v>0</v>
      </c>
      <c r="E3" s="1553">
        <f>+'33. mell. E.műk.c.kiad.'!E3</f>
        <v>0</v>
      </c>
      <c r="F3" s="1553">
        <f>+'33. mell. E.műk.c.kiad.'!F3</f>
        <v>0</v>
      </c>
      <c r="G3" s="1553">
        <f>+'33. mell. E.műk.c.kiad.'!G3</f>
        <v>0</v>
      </c>
      <c r="H3" s="1553">
        <f>+'33. mell. E.műk.c.kiad.'!H3</f>
        <v>0</v>
      </c>
      <c r="I3" s="1553" t="str">
        <f>+'33. mell. E.műk.c.kiad.'!I3</f>
        <v>B</v>
      </c>
      <c r="J3" s="1553" t="str">
        <f>+'33. mell. E.műk.c.kiad.'!J3</f>
        <v>B</v>
      </c>
      <c r="K3" s="2369" t="str">
        <f>+'33. mell. E.műk.c.kiad.'!K3</f>
        <v>B</v>
      </c>
      <c r="L3" s="1553" t="str">
        <f>+'33. mell. E.műk.c.kiad.'!L3</f>
        <v>D</v>
      </c>
      <c r="M3" s="1553" t="str">
        <f>+'33. mell. E.műk.c.kiad.'!M3</f>
        <v>E</v>
      </c>
      <c r="N3" s="1553" t="str">
        <f>+'33. mell. E.műk.c.kiad.'!N3</f>
        <v>C</v>
      </c>
      <c r="O3" s="1553" t="str">
        <f>+'33. mell. E.műk.c.kiad.'!O3</f>
        <v>F</v>
      </c>
      <c r="P3" s="1553" t="str">
        <f>+'33. mell. E.műk.c.kiad.'!P3</f>
        <v>D</v>
      </c>
      <c r="Q3" s="1553" t="str">
        <f>+'33. mell. E.műk.c.kiad.'!Q3</f>
        <v>E</v>
      </c>
      <c r="R3" s="1553">
        <f>+'33. mell. E.műk.c.kiad.'!R3</f>
        <v>0</v>
      </c>
      <c r="S3" s="1553" t="str">
        <f>+'33. mell. E.műk.c.kiad.'!S3</f>
        <v>F</v>
      </c>
      <c r="T3" s="1553" t="str">
        <f>+'33. mell. E.műk.c.kiad.'!T3</f>
        <v>G</v>
      </c>
      <c r="U3" s="173"/>
      <c r="V3" s="173"/>
      <c r="W3" s="173"/>
      <c r="X3" s="171"/>
    </row>
    <row r="4" spans="1:30" ht="67.5" customHeight="1">
      <c r="A4" s="659" t="s">
        <v>6</v>
      </c>
      <c r="B4" s="1420" t="str">
        <f>+'33. mell. E.műk.c.kiad.'!B4</f>
        <v>Előirányzat megnevezése                                                                                             (Rovatrend szerint)</v>
      </c>
      <c r="C4" s="662" t="s">
        <v>504</v>
      </c>
      <c r="D4" s="1421" t="s">
        <v>505</v>
      </c>
      <c r="E4" s="662" t="s">
        <v>506</v>
      </c>
      <c r="F4" s="662" t="s">
        <v>1334</v>
      </c>
      <c r="G4" s="662" t="s">
        <v>508</v>
      </c>
      <c r="H4" s="662" t="s">
        <v>509</v>
      </c>
      <c r="I4" s="1422" t="str">
        <f>+'1. mell.ÖSSZEVONT_MÉRLEG'!C5</f>
        <v>2024. évi eredeti előirányzat
forintban</v>
      </c>
      <c r="J4" s="2591" t="str">
        <f>+'1. mell.ÖSSZEVONT_MÉRLEG'!D5</f>
        <v>2024. évi teljesítés forintban</v>
      </c>
      <c r="K4" s="2359" t="str">
        <f>+'1. mell.ÖSSZEVONT_MÉRLEG'!E5</f>
        <v>2025. évi eredeti előirányzat forintban</v>
      </c>
      <c r="L4" s="182" t="str">
        <f>+'1. mell.ÖSSZEVONT_MÉRLEG'!F5</f>
        <v>2025. évi I. számú módosított előirányzat
forintban</v>
      </c>
      <c r="M4" s="182" t="str">
        <f>+'1. mell.ÖSSZEVONT_MÉRLEG'!G5</f>
        <v>2025. évi II. számú módosított előirányzat forintban</v>
      </c>
      <c r="N4" s="182" t="str">
        <f>+'1. mell.ÖSSZEVONT_MÉRLEG'!H5</f>
        <v>2025. évi III. számú módosított előirányzat forintban</v>
      </c>
      <c r="O4" s="182" t="str">
        <f>+'1. mell.ÖSSZEVONT_MÉRLEG'!I5</f>
        <v>2025. évi IV. számú módosított előirányzat forintban</v>
      </c>
      <c r="P4" s="3191" t="str">
        <f>+'1. mell.ÖSSZEVONT_MÉRLEG'!J5</f>
        <v>2025. évi
teljesítés forintban</v>
      </c>
      <c r="Q4" s="182" t="str">
        <f>+'1. mell.ÖSSZEVONT_MÉRLEG'!K5</f>
        <v xml:space="preserve"> 2025. évi teljesítés / 2025. évi III. számú módosított előirányzat</v>
      </c>
      <c r="R4" s="182" t="str">
        <f>+'1. mell.ÖSSZEVONT_MÉRLEG'!L5</f>
        <v>Változás I. módosításnál</v>
      </c>
      <c r="S4" s="182" t="str">
        <f>+'1. mell.ÖSSZEVONT_MÉRLEG'!M5</f>
        <v>Előirányzat-módosítások, előirányzat-átcsoportosítások összegszerű változásai</v>
      </c>
      <c r="T4" s="2760" t="str">
        <f>+'1. mell.ÖSSZEVONT_MÉRLEG'!N5</f>
        <v>Előirányzat-módosítások, előirányzat-átcsoportosítások összegszerű változásai a III. módosításnál</v>
      </c>
      <c r="U4" s="182" t="s">
        <v>175</v>
      </c>
      <c r="V4" s="172" t="s">
        <v>510</v>
      </c>
      <c r="W4" s="172" t="s">
        <v>511</v>
      </c>
      <c r="X4" s="169"/>
      <c r="AA4" s="612" t="s">
        <v>3984</v>
      </c>
      <c r="AD4" s="167" t="s">
        <v>3813</v>
      </c>
    </row>
    <row r="5" spans="1:30" hidden="1">
      <c r="A5" s="179">
        <f>+'33. mell. E.műk.c.kiad.'!A5</f>
        <v>1</v>
      </c>
      <c r="B5" s="179">
        <f>+'33. mell. E.műk.c.kiad.'!B5</f>
        <v>2</v>
      </c>
      <c r="C5" s="179"/>
      <c r="D5" s="179"/>
      <c r="E5" s="179"/>
      <c r="F5" s="179"/>
      <c r="G5" s="179"/>
      <c r="H5" s="179"/>
      <c r="I5" s="179">
        <f>+'33. mell. E.műk.c.kiad.'!I5</f>
        <v>3</v>
      </c>
      <c r="J5" s="2547">
        <f>+'33. mell. E.műk.c.kiad.'!J5</f>
        <v>0</v>
      </c>
      <c r="K5" s="2360">
        <f>+'33. mell. E.műk.c.kiad.'!K5</f>
        <v>3</v>
      </c>
      <c r="L5" s="179">
        <f>+'33. mell. E.műk.c.kiad.'!L5</f>
        <v>4</v>
      </c>
      <c r="M5" s="179">
        <f>+'33. mell. E.műk.c.kiad.'!M5</f>
        <v>5</v>
      </c>
      <c r="N5" s="179">
        <f>+'33. mell. E.műk.c.kiad.'!N5</f>
        <v>6</v>
      </c>
      <c r="O5" s="179">
        <f>+'33. mell. E.műk.c.kiad.'!O5</f>
        <v>7</v>
      </c>
      <c r="P5" s="640">
        <f>+'33. mell. E.műk.c.kiad.'!P5</f>
        <v>0</v>
      </c>
      <c r="Q5" s="179">
        <f>+'33. mell. E.műk.c.kiad.'!Q5</f>
        <v>5</v>
      </c>
      <c r="R5" s="179"/>
      <c r="S5" s="179"/>
      <c r="T5" s="179"/>
      <c r="U5" s="179"/>
      <c r="AA5" s="640"/>
    </row>
    <row r="6" spans="1:30" hidden="1">
      <c r="A6" s="179"/>
      <c r="B6" s="185"/>
      <c r="C6" s="185"/>
      <c r="D6" s="185"/>
      <c r="E6" s="185"/>
      <c r="F6" s="179"/>
      <c r="G6" s="179"/>
      <c r="H6" s="184"/>
      <c r="I6" s="617"/>
      <c r="J6" s="2548"/>
      <c r="K6" s="2356"/>
      <c r="L6" s="617"/>
      <c r="M6" s="617"/>
      <c r="N6" s="617"/>
      <c r="O6" s="617"/>
      <c r="P6" s="618"/>
      <c r="Q6" s="617"/>
      <c r="R6" s="617"/>
      <c r="S6" s="617"/>
      <c r="T6" s="617"/>
      <c r="U6" s="617"/>
      <c r="V6" s="169"/>
      <c r="W6" s="169"/>
      <c r="AA6" s="618"/>
    </row>
    <row r="7" spans="1:30">
      <c r="A7" s="179" t="s">
        <v>12</v>
      </c>
      <c r="B7" s="670" t="s">
        <v>2323</v>
      </c>
      <c r="C7" s="181"/>
      <c r="D7" s="181"/>
      <c r="E7" s="181"/>
      <c r="F7" s="187"/>
      <c r="G7" s="187"/>
      <c r="H7" s="191" t="s">
        <v>2324</v>
      </c>
      <c r="I7" s="620" t="s">
        <v>524</v>
      </c>
      <c r="J7" s="2550" t="str">
        <f>+I7</f>
        <v>0</v>
      </c>
      <c r="K7" s="2370" t="s">
        <v>524</v>
      </c>
      <c r="L7" s="192" t="str">
        <f t="shared" ref="L7:O8" si="0">+K7</f>
        <v>0</v>
      </c>
      <c r="M7" s="192" t="str">
        <f t="shared" si="0"/>
        <v>0</v>
      </c>
      <c r="N7" s="192" t="str">
        <f t="shared" si="0"/>
        <v>0</v>
      </c>
      <c r="O7" s="192" t="str">
        <f t="shared" si="0"/>
        <v>0</v>
      </c>
      <c r="P7" s="538">
        <v>0</v>
      </c>
      <c r="Q7" s="671"/>
      <c r="R7" s="192">
        <f t="shared" ref="R7:R53" si="1">+L7-K7</f>
        <v>0</v>
      </c>
      <c r="S7" s="192">
        <f t="shared" ref="S7:S60" si="2">+M7-L7</f>
        <v>0</v>
      </c>
      <c r="T7" s="192">
        <f t="shared" ref="T7:T53" si="3">+N7-M7</f>
        <v>0</v>
      </c>
      <c r="U7" s="192">
        <f t="shared" ref="U7:U53" si="4">+O7-N7</f>
        <v>0</v>
      </c>
      <c r="V7" s="169"/>
      <c r="W7" s="169"/>
      <c r="AA7" s="538"/>
      <c r="AD7" s="538">
        <v>0</v>
      </c>
    </row>
    <row r="8" spans="1:30">
      <c r="A8" s="179" t="s">
        <v>14</v>
      </c>
      <c r="B8" s="670" t="s">
        <v>2325</v>
      </c>
      <c r="C8" s="181"/>
      <c r="D8" s="181"/>
      <c r="E8" s="181"/>
      <c r="F8" s="187"/>
      <c r="G8" s="187"/>
      <c r="H8" s="191" t="s">
        <v>2326</v>
      </c>
      <c r="I8" s="620" t="s">
        <v>524</v>
      </c>
      <c r="J8" s="2550" t="str">
        <f>+I8</f>
        <v>0</v>
      </c>
      <c r="K8" s="2370" t="s">
        <v>524</v>
      </c>
      <c r="L8" s="192" t="str">
        <f t="shared" si="0"/>
        <v>0</v>
      </c>
      <c r="M8" s="192" t="str">
        <f t="shared" si="0"/>
        <v>0</v>
      </c>
      <c r="N8" s="192" t="str">
        <f t="shared" si="0"/>
        <v>0</v>
      </c>
      <c r="O8" s="192" t="str">
        <f t="shared" si="0"/>
        <v>0</v>
      </c>
      <c r="P8" s="538">
        <v>0</v>
      </c>
      <c r="Q8" s="193"/>
      <c r="R8" s="192">
        <f t="shared" si="1"/>
        <v>0</v>
      </c>
      <c r="S8" s="192">
        <f t="shared" si="2"/>
        <v>0</v>
      </c>
      <c r="T8" s="192">
        <f t="shared" si="3"/>
        <v>0</v>
      </c>
      <c r="U8" s="192">
        <f t="shared" si="4"/>
        <v>0</v>
      </c>
      <c r="V8" s="169"/>
      <c r="W8" s="169"/>
      <c r="AA8" s="538"/>
      <c r="AD8" s="538">
        <v>0</v>
      </c>
    </row>
    <row r="9" spans="1:30">
      <c r="A9" s="179" t="s">
        <v>15</v>
      </c>
      <c r="B9" s="240" t="s">
        <v>2327</v>
      </c>
      <c r="C9" s="206"/>
      <c r="D9" s="206"/>
      <c r="E9" s="206"/>
      <c r="F9" s="207"/>
      <c r="G9" s="207"/>
      <c r="H9" s="184" t="s">
        <v>2328</v>
      </c>
      <c r="I9" s="209">
        <f t="shared" ref="I9:P9" si="5">SUM(I7:I8)</f>
        <v>0</v>
      </c>
      <c r="J9" s="2549">
        <f t="shared" si="5"/>
        <v>0</v>
      </c>
      <c r="K9" s="2347">
        <f t="shared" si="5"/>
        <v>0</v>
      </c>
      <c r="L9" s="209">
        <f t="shared" si="5"/>
        <v>0</v>
      </c>
      <c r="M9" s="209">
        <f t="shared" si="5"/>
        <v>0</v>
      </c>
      <c r="N9" s="209">
        <f t="shared" si="5"/>
        <v>0</v>
      </c>
      <c r="O9" s="209">
        <f t="shared" si="5"/>
        <v>0</v>
      </c>
      <c r="P9" s="245">
        <f t="shared" si="5"/>
        <v>0</v>
      </c>
      <c r="Q9" s="210"/>
      <c r="R9" s="192">
        <f t="shared" si="1"/>
        <v>0</v>
      </c>
      <c r="S9" s="192">
        <f t="shared" si="2"/>
        <v>0</v>
      </c>
      <c r="T9" s="192">
        <f t="shared" si="3"/>
        <v>0</v>
      </c>
      <c r="U9" s="192">
        <f t="shared" si="4"/>
        <v>0</v>
      </c>
      <c r="V9" s="169"/>
      <c r="W9" s="169"/>
      <c r="AA9" s="245"/>
      <c r="AD9" s="245">
        <v>0</v>
      </c>
    </row>
    <row r="10" spans="1:30">
      <c r="A10" s="179" t="s">
        <v>17</v>
      </c>
      <c r="B10" s="670" t="s">
        <v>2329</v>
      </c>
      <c r="C10" s="191" t="s">
        <v>736</v>
      </c>
      <c r="D10" s="181" t="s">
        <v>2330</v>
      </c>
      <c r="E10" s="181">
        <v>3</v>
      </c>
      <c r="F10" s="191" t="s">
        <v>751</v>
      </c>
      <c r="G10" s="187">
        <v>9990001</v>
      </c>
      <c r="H10" s="191" t="s">
        <v>2331</v>
      </c>
      <c r="I10" s="192">
        <f>165100-165100</f>
        <v>0</v>
      </c>
      <c r="J10" s="2550">
        <f t="shared" ref="J10:J15" si="6">+I10</f>
        <v>0</v>
      </c>
      <c r="K10" s="2219">
        <f>165100-165100</f>
        <v>0</v>
      </c>
      <c r="L10" s="192">
        <f t="shared" ref="L10:L15" si="7">+K10</f>
        <v>0</v>
      </c>
      <c r="M10" s="192">
        <f t="shared" ref="M10:M15" si="8">+L10</f>
        <v>0</v>
      </c>
      <c r="N10" s="192">
        <f t="shared" ref="N10:N15" si="9">+M10</f>
        <v>0</v>
      </c>
      <c r="O10" s="192">
        <f t="shared" ref="O10:O15" si="10">+N10</f>
        <v>0</v>
      </c>
      <c r="P10" s="538">
        <v>0</v>
      </c>
      <c r="Q10" s="193"/>
      <c r="R10" s="192">
        <f t="shared" si="1"/>
        <v>0</v>
      </c>
      <c r="S10" s="192">
        <f t="shared" si="2"/>
        <v>0</v>
      </c>
      <c r="T10" s="192">
        <f t="shared" si="3"/>
        <v>0</v>
      </c>
      <c r="U10" s="192">
        <f t="shared" si="4"/>
        <v>0</v>
      </c>
      <c r="V10" s="169"/>
      <c r="W10" s="169"/>
      <c r="AA10" s="538"/>
      <c r="AD10" s="538">
        <v>0</v>
      </c>
    </row>
    <row r="11" spans="1:30">
      <c r="A11" s="179" t="s">
        <v>19</v>
      </c>
      <c r="B11" s="670" t="s">
        <v>2332</v>
      </c>
      <c r="C11" s="191" t="s">
        <v>736</v>
      </c>
      <c r="D11" s="181" t="s">
        <v>2333</v>
      </c>
      <c r="E11" s="181">
        <v>3</v>
      </c>
      <c r="F11" s="191" t="s">
        <v>751</v>
      </c>
      <c r="G11" s="187">
        <v>9990001</v>
      </c>
      <c r="H11" s="191" t="s">
        <v>2334</v>
      </c>
      <c r="I11" s="192">
        <f>20000-20000</f>
        <v>0</v>
      </c>
      <c r="J11" s="2550">
        <f t="shared" si="6"/>
        <v>0</v>
      </c>
      <c r="K11" s="2219">
        <f>20000-20000</f>
        <v>0</v>
      </c>
      <c r="L11" s="192">
        <f t="shared" si="7"/>
        <v>0</v>
      </c>
      <c r="M11" s="192">
        <f t="shared" si="8"/>
        <v>0</v>
      </c>
      <c r="N11" s="192">
        <f t="shared" si="9"/>
        <v>0</v>
      </c>
      <c r="O11" s="192">
        <f t="shared" si="10"/>
        <v>0</v>
      </c>
      <c r="P11" s="538">
        <v>0</v>
      </c>
      <c r="Q11" s="193"/>
      <c r="R11" s="192">
        <f t="shared" si="1"/>
        <v>0</v>
      </c>
      <c r="S11" s="192">
        <f t="shared" si="2"/>
        <v>0</v>
      </c>
      <c r="T11" s="192">
        <f t="shared" si="3"/>
        <v>0</v>
      </c>
      <c r="U11" s="192">
        <f t="shared" si="4"/>
        <v>0</v>
      </c>
      <c r="V11" s="169"/>
      <c r="W11" s="169"/>
      <c r="AA11" s="538"/>
      <c r="AD11" s="538">
        <v>0</v>
      </c>
    </row>
    <row r="12" spans="1:30">
      <c r="A12" s="179" t="s">
        <v>21</v>
      </c>
      <c r="B12" s="670" t="s">
        <v>3548</v>
      </c>
      <c r="C12" s="238" t="s">
        <v>736</v>
      </c>
      <c r="D12" s="181" t="s">
        <v>2335</v>
      </c>
      <c r="E12" s="181">
        <v>3</v>
      </c>
      <c r="F12" s="191" t="s">
        <v>751</v>
      </c>
      <c r="G12" s="187">
        <v>9990001</v>
      </c>
      <c r="H12" s="191" t="s">
        <v>2334</v>
      </c>
      <c r="I12" s="192">
        <f>37465000+10160000</f>
        <v>47625000</v>
      </c>
      <c r="J12" s="2550">
        <v>73900</v>
      </c>
      <c r="K12" s="2219">
        <f>50165000-50165000</f>
        <v>0</v>
      </c>
      <c r="L12" s="192">
        <f t="shared" si="7"/>
        <v>0</v>
      </c>
      <c r="M12" s="192">
        <f t="shared" si="8"/>
        <v>0</v>
      </c>
      <c r="N12" s="192">
        <f t="shared" si="9"/>
        <v>0</v>
      </c>
      <c r="O12" s="192">
        <f t="shared" si="10"/>
        <v>0</v>
      </c>
      <c r="P12" s="538">
        <v>0</v>
      </c>
      <c r="Q12" s="193"/>
      <c r="R12" s="192">
        <f t="shared" si="1"/>
        <v>0</v>
      </c>
      <c r="S12" s="192">
        <f t="shared" si="2"/>
        <v>0</v>
      </c>
      <c r="T12" s="192">
        <f t="shared" si="3"/>
        <v>0</v>
      </c>
      <c r="U12" s="192">
        <f t="shared" si="4"/>
        <v>0</v>
      </c>
      <c r="V12" s="169"/>
      <c r="W12" s="169"/>
      <c r="AA12" s="538"/>
      <c r="AD12" s="603">
        <v>73900</v>
      </c>
    </row>
    <row r="13" spans="1:30">
      <c r="A13" s="179" t="s">
        <v>23</v>
      </c>
      <c r="B13" s="237" t="s">
        <v>2336</v>
      </c>
      <c r="C13" s="238" t="s">
        <v>736</v>
      </c>
      <c r="D13" s="181" t="s">
        <v>2337</v>
      </c>
      <c r="E13" s="181">
        <v>3</v>
      </c>
      <c r="F13" s="191" t="s">
        <v>751</v>
      </c>
      <c r="G13" s="187">
        <v>9990001</v>
      </c>
      <c r="H13" s="191" t="s">
        <v>2334</v>
      </c>
      <c r="I13" s="192">
        <f>0</f>
        <v>0</v>
      </c>
      <c r="J13" s="2550">
        <f t="shared" si="6"/>
        <v>0</v>
      </c>
      <c r="K13" s="2219">
        <f>0</f>
        <v>0</v>
      </c>
      <c r="L13" s="192">
        <f t="shared" si="7"/>
        <v>0</v>
      </c>
      <c r="M13" s="192">
        <f t="shared" si="8"/>
        <v>0</v>
      </c>
      <c r="N13" s="192">
        <f t="shared" si="9"/>
        <v>0</v>
      </c>
      <c r="O13" s="192">
        <f t="shared" si="10"/>
        <v>0</v>
      </c>
      <c r="P13" s="538">
        <v>0</v>
      </c>
      <c r="Q13" s="193"/>
      <c r="R13" s="192">
        <f t="shared" si="1"/>
        <v>0</v>
      </c>
      <c r="S13" s="192">
        <f t="shared" si="2"/>
        <v>0</v>
      </c>
      <c r="T13" s="192">
        <f t="shared" si="3"/>
        <v>0</v>
      </c>
      <c r="U13" s="192">
        <f t="shared" si="4"/>
        <v>0</v>
      </c>
      <c r="V13" s="169"/>
      <c r="W13" s="169"/>
      <c r="AA13" s="538"/>
      <c r="AD13" s="538">
        <v>0</v>
      </c>
    </row>
    <row r="14" spans="1:30">
      <c r="A14" s="179" t="s">
        <v>25</v>
      </c>
      <c r="B14" s="237" t="s">
        <v>3189</v>
      </c>
      <c r="C14" s="191" t="s">
        <v>736</v>
      </c>
      <c r="D14" s="181" t="s">
        <v>2338</v>
      </c>
      <c r="E14" s="181">
        <v>3</v>
      </c>
      <c r="F14" s="191" t="s">
        <v>751</v>
      </c>
      <c r="G14" s="187">
        <v>9990001</v>
      </c>
      <c r="H14" s="191" t="s">
        <v>2334</v>
      </c>
      <c r="I14" s="192">
        <f>52832+11000000+77368400</f>
        <v>88421232</v>
      </c>
      <c r="J14" s="2550">
        <v>281400</v>
      </c>
      <c r="K14" s="2219">
        <f>0+52832+92842080+4140000-92842080-4140000+4140000</f>
        <v>4192832</v>
      </c>
      <c r="L14" s="192">
        <f t="shared" si="7"/>
        <v>4192832</v>
      </c>
      <c r="M14" s="192">
        <f t="shared" si="8"/>
        <v>4192832</v>
      </c>
      <c r="N14" s="192">
        <f t="shared" si="9"/>
        <v>4192832</v>
      </c>
      <c r="O14" s="192">
        <f t="shared" si="10"/>
        <v>4192832</v>
      </c>
      <c r="P14" s="538">
        <v>4140000</v>
      </c>
      <c r="Q14" s="193">
        <f>+P14/N14</f>
        <v>0.98739944743791308</v>
      </c>
      <c r="R14" s="192">
        <f t="shared" si="1"/>
        <v>0</v>
      </c>
      <c r="S14" s="192">
        <f t="shared" si="2"/>
        <v>0</v>
      </c>
      <c r="T14" s="192">
        <f t="shared" si="3"/>
        <v>0</v>
      </c>
      <c r="U14" s="192">
        <f t="shared" si="4"/>
        <v>0</v>
      </c>
      <c r="V14" s="169"/>
      <c r="W14" s="169"/>
      <c r="AA14" s="538">
        <f>+N14-P14</f>
        <v>52832</v>
      </c>
      <c r="AD14" s="603">
        <v>281400</v>
      </c>
    </row>
    <row r="15" spans="1:30" ht="12.75" hidden="1" customHeight="1">
      <c r="A15" s="179"/>
      <c r="B15" s="237"/>
      <c r="C15" s="238"/>
      <c r="D15" s="181"/>
      <c r="E15" s="181"/>
      <c r="F15" s="191"/>
      <c r="G15" s="187"/>
      <c r="H15" s="191"/>
      <c r="I15" s="192">
        <v>0</v>
      </c>
      <c r="J15" s="2550">
        <f t="shared" si="6"/>
        <v>0</v>
      </c>
      <c r="K15" s="2219">
        <v>0</v>
      </c>
      <c r="L15" s="192">
        <f t="shared" si="7"/>
        <v>0</v>
      </c>
      <c r="M15" s="192">
        <f t="shared" si="8"/>
        <v>0</v>
      </c>
      <c r="N15" s="192">
        <f t="shared" si="9"/>
        <v>0</v>
      </c>
      <c r="O15" s="192">
        <f t="shared" si="10"/>
        <v>0</v>
      </c>
      <c r="P15" s="538">
        <f>+O15</f>
        <v>0</v>
      </c>
      <c r="Q15" s="193" t="e">
        <f>+K15/I15</f>
        <v>#DIV/0!</v>
      </c>
      <c r="R15" s="192">
        <f t="shared" si="1"/>
        <v>0</v>
      </c>
      <c r="S15" s="192">
        <f t="shared" si="2"/>
        <v>0</v>
      </c>
      <c r="T15" s="192">
        <f t="shared" si="3"/>
        <v>0</v>
      </c>
      <c r="U15" s="192">
        <f t="shared" si="4"/>
        <v>0</v>
      </c>
      <c r="V15" s="169"/>
      <c r="W15" s="169"/>
      <c r="AA15" s="538"/>
      <c r="AD15" s="538">
        <v>0</v>
      </c>
    </row>
    <row r="16" spans="1:30">
      <c r="A16" s="179" t="s">
        <v>27</v>
      </c>
      <c r="B16" s="672" t="s">
        <v>3345</v>
      </c>
      <c r="C16" s="185"/>
      <c r="D16" s="185"/>
      <c r="E16" s="185">
        <v>3</v>
      </c>
      <c r="F16" s="179"/>
      <c r="G16" s="179"/>
      <c r="H16" s="184" t="s">
        <v>2339</v>
      </c>
      <c r="I16" s="209">
        <f>SUM(I10:I15)</f>
        <v>136046232</v>
      </c>
      <c r="J16" s="2549">
        <f>SUM(J10:J15)</f>
        <v>355300</v>
      </c>
      <c r="K16" s="2347">
        <f t="shared" ref="K16:P16" si="11">SUM(K10:K15)</f>
        <v>4192832</v>
      </c>
      <c r="L16" s="209">
        <f t="shared" si="11"/>
        <v>4192832</v>
      </c>
      <c r="M16" s="209">
        <f t="shared" si="11"/>
        <v>4192832</v>
      </c>
      <c r="N16" s="209">
        <f t="shared" si="11"/>
        <v>4192832</v>
      </c>
      <c r="O16" s="209">
        <f t="shared" si="11"/>
        <v>4192832</v>
      </c>
      <c r="P16" s="245">
        <f t="shared" si="11"/>
        <v>4140000</v>
      </c>
      <c r="Q16" s="210">
        <f>+P16/N16</f>
        <v>0.98739944743791308</v>
      </c>
      <c r="R16" s="192">
        <f t="shared" si="1"/>
        <v>0</v>
      </c>
      <c r="S16" s="192">
        <f t="shared" si="2"/>
        <v>0</v>
      </c>
      <c r="T16" s="192">
        <f t="shared" si="3"/>
        <v>0</v>
      </c>
      <c r="U16" s="192">
        <f t="shared" si="4"/>
        <v>0</v>
      </c>
      <c r="V16" s="169"/>
      <c r="W16" s="169"/>
      <c r="AA16" s="245">
        <f t="shared" ref="AA16:AA79" si="12">+N16-P16</f>
        <v>52832</v>
      </c>
      <c r="AD16" s="245">
        <v>355300</v>
      </c>
    </row>
    <row r="17" spans="1:34">
      <c r="A17" s="1377" t="s">
        <v>29</v>
      </c>
      <c r="B17" s="38" t="s">
        <v>3134</v>
      </c>
      <c r="C17" s="191" t="s">
        <v>736</v>
      </c>
      <c r="D17" s="673" t="s">
        <v>2347</v>
      </c>
      <c r="E17" s="187">
        <v>3</v>
      </c>
      <c r="F17" s="191" t="s">
        <v>751</v>
      </c>
      <c r="G17" s="187">
        <v>9990001</v>
      </c>
      <c r="H17" s="191" t="s">
        <v>2341</v>
      </c>
      <c r="I17" s="192">
        <f>6400000+1170000+4973579</f>
        <v>12543579</v>
      </c>
      <c r="J17" s="2550">
        <v>1069150</v>
      </c>
      <c r="K17" s="2219">
        <f>6400000+1170000+4973579-12543579</f>
        <v>0</v>
      </c>
      <c r="L17" s="192">
        <f t="shared" ref="L17:L24" si="13">+K17</f>
        <v>0</v>
      </c>
      <c r="M17" s="192">
        <f>+L17+21131712+3420222</f>
        <v>24551934</v>
      </c>
      <c r="N17" s="192">
        <f t="shared" ref="N17:N24" si="14">+M17</f>
        <v>24551934</v>
      </c>
      <c r="O17" s="192">
        <f t="shared" ref="O17:O24" si="15">+N17</f>
        <v>24551934</v>
      </c>
      <c r="P17" s="538">
        <v>24551934</v>
      </c>
      <c r="Q17" s="193">
        <f>+P17/N17</f>
        <v>1</v>
      </c>
      <c r="R17" s="192">
        <f t="shared" si="1"/>
        <v>0</v>
      </c>
      <c r="S17" s="192">
        <f t="shared" si="2"/>
        <v>24551934</v>
      </c>
      <c r="T17" s="192">
        <f t="shared" si="3"/>
        <v>0</v>
      </c>
      <c r="U17" s="192">
        <f t="shared" si="4"/>
        <v>0</v>
      </c>
      <c r="V17" s="169"/>
      <c r="W17" s="169"/>
      <c r="AA17" s="538">
        <f t="shared" si="12"/>
        <v>0</v>
      </c>
      <c r="AD17" s="603">
        <v>1069150</v>
      </c>
    </row>
    <row r="18" spans="1:34" ht="25.5" hidden="1" customHeight="1">
      <c r="A18" s="207" t="s">
        <v>2342</v>
      </c>
      <c r="B18" s="214" t="s">
        <v>2343</v>
      </c>
      <c r="C18" s="191" t="s">
        <v>736</v>
      </c>
      <c r="D18" s="673" t="s">
        <v>2344</v>
      </c>
      <c r="E18" s="187">
        <v>3</v>
      </c>
      <c r="F18" s="191" t="s">
        <v>751</v>
      </c>
      <c r="G18" s="187">
        <v>9990001</v>
      </c>
      <c r="H18" s="191" t="s">
        <v>2345</v>
      </c>
      <c r="I18" s="192">
        <v>0</v>
      </c>
      <c r="J18" s="2550">
        <v>0</v>
      </c>
      <c r="K18" s="2219">
        <v>0</v>
      </c>
      <c r="L18" s="192">
        <f t="shared" si="13"/>
        <v>0</v>
      </c>
      <c r="M18" s="192">
        <f t="shared" ref="M18:M24" si="16">+L18</f>
        <v>0</v>
      </c>
      <c r="N18" s="192">
        <f t="shared" si="14"/>
        <v>0</v>
      </c>
      <c r="O18" s="192">
        <f t="shared" si="15"/>
        <v>0</v>
      </c>
      <c r="P18" s="538"/>
      <c r="Q18" s="193" t="e">
        <f>+K18/I18</f>
        <v>#DIV/0!</v>
      </c>
      <c r="R18" s="192">
        <f t="shared" si="1"/>
        <v>0</v>
      </c>
      <c r="S18" s="192">
        <f t="shared" si="2"/>
        <v>0</v>
      </c>
      <c r="T18" s="192">
        <f t="shared" si="3"/>
        <v>0</v>
      </c>
      <c r="U18" s="192">
        <f t="shared" si="4"/>
        <v>0</v>
      </c>
      <c r="V18" s="169"/>
      <c r="W18" s="169"/>
      <c r="AA18" s="538">
        <f t="shared" si="12"/>
        <v>0</v>
      </c>
      <c r="AD18" s="538"/>
    </row>
    <row r="19" spans="1:34" ht="25.5" hidden="1" customHeight="1">
      <c r="A19" s="207" t="s">
        <v>2342</v>
      </c>
      <c r="B19" s="38"/>
      <c r="C19" s="189"/>
      <c r="D19" s="189"/>
      <c r="E19" s="189"/>
      <c r="F19" s="190"/>
      <c r="G19" s="190"/>
      <c r="H19" s="191"/>
      <c r="I19" s="192">
        <f>52070-52070</f>
        <v>0</v>
      </c>
      <c r="J19" s="2550">
        <v>0</v>
      </c>
      <c r="K19" s="2219">
        <f>52070-52070</f>
        <v>0</v>
      </c>
      <c r="L19" s="192">
        <f t="shared" si="13"/>
        <v>0</v>
      </c>
      <c r="M19" s="192">
        <f t="shared" si="16"/>
        <v>0</v>
      </c>
      <c r="N19" s="192">
        <f t="shared" si="14"/>
        <v>0</v>
      </c>
      <c r="O19" s="192">
        <f t="shared" si="15"/>
        <v>0</v>
      </c>
      <c r="P19" s="538"/>
      <c r="Q19" s="193" t="e">
        <f>+K19/I19</f>
        <v>#DIV/0!</v>
      </c>
      <c r="R19" s="192">
        <f t="shared" si="1"/>
        <v>0</v>
      </c>
      <c r="S19" s="192">
        <f t="shared" si="2"/>
        <v>0</v>
      </c>
      <c r="T19" s="192">
        <f t="shared" si="3"/>
        <v>0</v>
      </c>
      <c r="U19" s="192">
        <f t="shared" si="4"/>
        <v>0</v>
      </c>
      <c r="V19" s="169"/>
      <c r="W19" s="169"/>
      <c r="AA19" s="538">
        <f t="shared" si="12"/>
        <v>0</v>
      </c>
      <c r="AD19" s="538"/>
    </row>
    <row r="20" spans="1:34">
      <c r="A20" s="1377" t="s">
        <v>31</v>
      </c>
      <c r="B20" s="670" t="s">
        <v>2346</v>
      </c>
      <c r="C20" s="191" t="s">
        <v>736</v>
      </c>
      <c r="D20" s="187" t="s">
        <v>2340</v>
      </c>
      <c r="E20" s="187">
        <v>3</v>
      </c>
      <c r="F20" s="191" t="s">
        <v>751</v>
      </c>
      <c r="G20" s="187">
        <v>9990001</v>
      </c>
      <c r="H20" s="191" t="s">
        <v>2348</v>
      </c>
      <c r="I20" s="192">
        <f>0</f>
        <v>0</v>
      </c>
      <c r="J20" s="2550">
        <v>0</v>
      </c>
      <c r="K20" s="2219">
        <f>0</f>
        <v>0</v>
      </c>
      <c r="L20" s="192">
        <f t="shared" si="13"/>
        <v>0</v>
      </c>
      <c r="M20" s="192">
        <f t="shared" si="16"/>
        <v>0</v>
      </c>
      <c r="N20" s="192">
        <f t="shared" si="14"/>
        <v>0</v>
      </c>
      <c r="O20" s="192">
        <f t="shared" si="15"/>
        <v>0</v>
      </c>
      <c r="P20" s="538">
        <v>0</v>
      </c>
      <c r="Q20" s="193"/>
      <c r="R20" s="192">
        <f t="shared" si="1"/>
        <v>0</v>
      </c>
      <c r="S20" s="192">
        <f t="shared" si="2"/>
        <v>0</v>
      </c>
      <c r="T20" s="192">
        <f t="shared" si="3"/>
        <v>0</v>
      </c>
      <c r="U20" s="192">
        <f t="shared" si="4"/>
        <v>0</v>
      </c>
      <c r="V20" s="169">
        <f>+K20/1.27</f>
        <v>0</v>
      </c>
      <c r="W20" s="169">
        <f>+V20*0.27</f>
        <v>0</v>
      </c>
      <c r="AA20" s="538">
        <f t="shared" si="12"/>
        <v>0</v>
      </c>
      <c r="AD20" s="603">
        <v>0</v>
      </c>
    </row>
    <row r="21" spans="1:34" ht="12.75" hidden="1" customHeight="1">
      <c r="A21" s="179" t="s">
        <v>2349</v>
      </c>
      <c r="B21" s="38" t="s">
        <v>2350</v>
      </c>
      <c r="C21" s="191" t="s">
        <v>736</v>
      </c>
      <c r="D21" s="673" t="s">
        <v>2351</v>
      </c>
      <c r="E21" s="187">
        <v>3</v>
      </c>
      <c r="F21" s="191" t="s">
        <v>751</v>
      </c>
      <c r="G21" s="187">
        <v>9990001</v>
      </c>
      <c r="H21" s="191" t="s">
        <v>2341</v>
      </c>
      <c r="I21" s="192">
        <f>52070-52070</f>
        <v>0</v>
      </c>
      <c r="J21" s="2550">
        <v>0</v>
      </c>
      <c r="K21" s="2219">
        <f>52070-52070</f>
        <v>0</v>
      </c>
      <c r="L21" s="192">
        <f t="shared" si="13"/>
        <v>0</v>
      </c>
      <c r="M21" s="192">
        <f t="shared" si="16"/>
        <v>0</v>
      </c>
      <c r="N21" s="192">
        <f t="shared" si="14"/>
        <v>0</v>
      </c>
      <c r="O21" s="192">
        <f t="shared" si="15"/>
        <v>0</v>
      </c>
      <c r="P21" s="538"/>
      <c r="Q21" s="193"/>
      <c r="R21" s="192">
        <f t="shared" si="1"/>
        <v>0</v>
      </c>
      <c r="S21" s="192">
        <f t="shared" si="2"/>
        <v>0</v>
      </c>
      <c r="T21" s="192">
        <f t="shared" si="3"/>
        <v>0</v>
      </c>
      <c r="U21" s="192">
        <f t="shared" si="4"/>
        <v>0</v>
      </c>
      <c r="V21" s="169"/>
      <c r="W21" s="169"/>
      <c r="AA21" s="538">
        <f t="shared" si="12"/>
        <v>0</v>
      </c>
      <c r="AD21" s="538"/>
    </row>
    <row r="22" spans="1:34" ht="25.5" hidden="1" customHeight="1">
      <c r="A22" s="179" t="s">
        <v>25</v>
      </c>
      <c r="B22" s="674" t="s">
        <v>2352</v>
      </c>
      <c r="C22" s="662" t="s">
        <v>1032</v>
      </c>
      <c r="D22" s="661" t="s">
        <v>2353</v>
      </c>
      <c r="E22" s="661">
        <v>3</v>
      </c>
      <c r="F22" s="191" t="s">
        <v>751</v>
      </c>
      <c r="G22" s="187">
        <v>9990001</v>
      </c>
      <c r="H22" s="191" t="s">
        <v>2348</v>
      </c>
      <c r="I22" s="192">
        <v>0</v>
      </c>
      <c r="J22" s="2550">
        <v>0</v>
      </c>
      <c r="K22" s="2219">
        <v>0</v>
      </c>
      <c r="L22" s="192">
        <f t="shared" si="13"/>
        <v>0</v>
      </c>
      <c r="M22" s="192">
        <f t="shared" si="16"/>
        <v>0</v>
      </c>
      <c r="N22" s="192">
        <f t="shared" si="14"/>
        <v>0</v>
      </c>
      <c r="O22" s="192">
        <f t="shared" si="15"/>
        <v>0</v>
      </c>
      <c r="P22" s="538"/>
      <c r="Q22" s="193"/>
      <c r="R22" s="192">
        <f t="shared" si="1"/>
        <v>0</v>
      </c>
      <c r="S22" s="192">
        <f t="shared" si="2"/>
        <v>0</v>
      </c>
      <c r="T22" s="192">
        <f t="shared" si="3"/>
        <v>0</v>
      </c>
      <c r="U22" s="192">
        <f t="shared" si="4"/>
        <v>0</v>
      </c>
      <c r="V22" s="169">
        <f>+K22/1.27</f>
        <v>0</v>
      </c>
      <c r="W22" s="169">
        <f>+V22*0.27</f>
        <v>0</v>
      </c>
      <c r="AA22" s="538">
        <f t="shared" si="12"/>
        <v>0</v>
      </c>
      <c r="AD22" s="538"/>
    </row>
    <row r="23" spans="1:34" ht="25.5" hidden="1" customHeight="1">
      <c r="A23" s="179" t="s">
        <v>2354</v>
      </c>
      <c r="B23" s="675" t="s">
        <v>2355</v>
      </c>
      <c r="C23" s="676" t="s">
        <v>1032</v>
      </c>
      <c r="D23" s="673" t="s">
        <v>2356</v>
      </c>
      <c r="E23" s="673">
        <v>3</v>
      </c>
      <c r="F23" s="191" t="s">
        <v>751</v>
      </c>
      <c r="G23" s="187">
        <v>9990001</v>
      </c>
      <c r="H23" s="191" t="s">
        <v>2357</v>
      </c>
      <c r="I23" s="192">
        <v>0</v>
      </c>
      <c r="J23" s="2550">
        <v>0</v>
      </c>
      <c r="K23" s="2219">
        <v>0</v>
      </c>
      <c r="L23" s="192">
        <f t="shared" si="13"/>
        <v>0</v>
      </c>
      <c r="M23" s="192">
        <f t="shared" si="16"/>
        <v>0</v>
      </c>
      <c r="N23" s="192">
        <f t="shared" si="14"/>
        <v>0</v>
      </c>
      <c r="O23" s="192">
        <f t="shared" si="15"/>
        <v>0</v>
      </c>
      <c r="P23" s="538"/>
      <c r="Q23" s="193"/>
      <c r="R23" s="192">
        <f t="shared" si="1"/>
        <v>0</v>
      </c>
      <c r="S23" s="192">
        <f t="shared" si="2"/>
        <v>0</v>
      </c>
      <c r="T23" s="192">
        <f t="shared" si="3"/>
        <v>0</v>
      </c>
      <c r="U23" s="192">
        <f t="shared" si="4"/>
        <v>0</v>
      </c>
      <c r="V23" s="169"/>
      <c r="W23" s="169"/>
      <c r="AA23" s="538">
        <f t="shared" si="12"/>
        <v>0</v>
      </c>
      <c r="AD23" s="538"/>
    </row>
    <row r="24" spans="1:34">
      <c r="A24" s="179" t="s">
        <v>33</v>
      </c>
      <c r="B24" s="674" t="s">
        <v>3026</v>
      </c>
      <c r="C24" s="676" t="s">
        <v>736</v>
      </c>
      <c r="D24" s="673" t="s">
        <v>2358</v>
      </c>
      <c r="E24" s="673">
        <v>3</v>
      </c>
      <c r="F24" s="187">
        <v>13350</v>
      </c>
      <c r="G24" s="187">
        <v>9990001</v>
      </c>
      <c r="H24" s="187" t="s">
        <v>2341</v>
      </c>
      <c r="I24" s="192">
        <f>0+45000-45000</f>
        <v>0</v>
      </c>
      <c r="J24" s="2550">
        <v>0</v>
      </c>
      <c r="K24" s="2219">
        <f>0+45000-45000</f>
        <v>0</v>
      </c>
      <c r="L24" s="192">
        <f t="shared" si="13"/>
        <v>0</v>
      </c>
      <c r="M24" s="192">
        <f t="shared" si="16"/>
        <v>0</v>
      </c>
      <c r="N24" s="192">
        <f t="shared" si="14"/>
        <v>0</v>
      </c>
      <c r="O24" s="192">
        <f t="shared" si="15"/>
        <v>0</v>
      </c>
      <c r="P24" s="538">
        <v>0</v>
      </c>
      <c r="Q24" s="193"/>
      <c r="R24" s="192">
        <f t="shared" si="1"/>
        <v>0</v>
      </c>
      <c r="S24" s="192">
        <f t="shared" si="2"/>
        <v>0</v>
      </c>
      <c r="T24" s="192">
        <f t="shared" si="3"/>
        <v>0</v>
      </c>
      <c r="U24" s="192">
        <f t="shared" si="4"/>
        <v>0</v>
      </c>
      <c r="V24" s="169"/>
      <c r="W24" s="169"/>
      <c r="AA24" s="538">
        <f t="shared" si="12"/>
        <v>0</v>
      </c>
      <c r="AD24" s="603">
        <v>0</v>
      </c>
    </row>
    <row r="25" spans="1:34">
      <c r="A25" s="179" t="s">
        <v>35</v>
      </c>
      <c r="B25" s="672" t="s">
        <v>2359</v>
      </c>
      <c r="C25" s="185"/>
      <c r="D25" s="185"/>
      <c r="E25" s="185">
        <v>3</v>
      </c>
      <c r="F25" s="179"/>
      <c r="G25" s="179"/>
      <c r="H25" s="184" t="s">
        <v>2360</v>
      </c>
      <c r="I25" s="209">
        <f>SUM(I17:I24)</f>
        <v>12543579</v>
      </c>
      <c r="J25" s="2549">
        <f>SUM(J17:J24)</f>
        <v>1069150</v>
      </c>
      <c r="K25" s="2347">
        <f t="shared" ref="K25:P25" si="17">SUM(K17:K24)</f>
        <v>0</v>
      </c>
      <c r="L25" s="209">
        <f t="shared" si="17"/>
        <v>0</v>
      </c>
      <c r="M25" s="209">
        <f t="shared" si="17"/>
        <v>24551934</v>
      </c>
      <c r="N25" s="209">
        <f t="shared" si="17"/>
        <v>24551934</v>
      </c>
      <c r="O25" s="209">
        <f t="shared" si="17"/>
        <v>24551934</v>
      </c>
      <c r="P25" s="245">
        <f t="shared" si="17"/>
        <v>24551934</v>
      </c>
      <c r="Q25" s="210">
        <f t="shared" ref="Q25:Q30" si="18">+P25/N25</f>
        <v>1</v>
      </c>
      <c r="R25" s="192">
        <f t="shared" si="1"/>
        <v>0</v>
      </c>
      <c r="S25" s="192">
        <f t="shared" si="2"/>
        <v>24551934</v>
      </c>
      <c r="T25" s="192">
        <f t="shared" si="3"/>
        <v>0</v>
      </c>
      <c r="U25" s="192">
        <f t="shared" si="4"/>
        <v>0</v>
      </c>
      <c r="V25" s="169"/>
      <c r="W25" s="169"/>
      <c r="AA25" s="245">
        <f t="shared" si="12"/>
        <v>0</v>
      </c>
      <c r="AD25" s="245">
        <v>1069150</v>
      </c>
    </row>
    <row r="26" spans="1:34" ht="12.75" customHeight="1">
      <c r="A26" s="179" t="s">
        <v>37</v>
      </c>
      <c r="B26" s="670" t="s">
        <v>116</v>
      </c>
      <c r="C26" s="191" t="s">
        <v>1012</v>
      </c>
      <c r="D26" s="187" t="s">
        <v>2361</v>
      </c>
      <c r="E26" s="187">
        <v>2</v>
      </c>
      <c r="F26" s="191" t="s">
        <v>1146</v>
      </c>
      <c r="G26" s="187">
        <v>9990001</v>
      </c>
      <c r="H26" s="191" t="s">
        <v>2362</v>
      </c>
      <c r="I26" s="192">
        <f>113000+28553000-28553000+24500000-24500000+16000000-16000000+6000000+3000000-2000000+300000</f>
        <v>7413000</v>
      </c>
      <c r="J26" s="2550">
        <v>1619460</v>
      </c>
      <c r="K26" s="2219">
        <f>50000+4700000+370000+28553000+635000+571500+3000000+3000000-40829500</f>
        <v>50000</v>
      </c>
      <c r="L26" s="199">
        <f t="shared" ref="L26:M34" si="19">+K26</f>
        <v>50000</v>
      </c>
      <c r="M26" s="192">
        <f t="shared" si="19"/>
        <v>50000</v>
      </c>
      <c r="N26" s="199">
        <f t="shared" ref="N26:N33" si="20">+M26</f>
        <v>50000</v>
      </c>
      <c r="O26" s="192">
        <f t="shared" ref="O26:O34" si="21">+N26</f>
        <v>50000</v>
      </c>
      <c r="P26" s="538">
        <v>0</v>
      </c>
      <c r="Q26" s="193">
        <f t="shared" si="18"/>
        <v>0</v>
      </c>
      <c r="R26" s="192">
        <f t="shared" si="1"/>
        <v>0</v>
      </c>
      <c r="S26" s="192">
        <f t="shared" si="2"/>
        <v>0</v>
      </c>
      <c r="T26" s="192">
        <f t="shared" si="3"/>
        <v>0</v>
      </c>
      <c r="U26" s="192">
        <f t="shared" si="4"/>
        <v>0</v>
      </c>
      <c r="V26" s="169">
        <f t="shared" ref="V26:V38" si="22">+K26/1.27</f>
        <v>39370.078740157478</v>
      </c>
      <c r="W26" s="169">
        <f t="shared" ref="W26:W38" si="23">+V26*0.27</f>
        <v>10629.92125984252</v>
      </c>
      <c r="AA26" s="538">
        <f t="shared" si="12"/>
        <v>50000</v>
      </c>
      <c r="AD26" s="603">
        <v>1619460</v>
      </c>
    </row>
    <row r="27" spans="1:34" s="203" customFormat="1" ht="13.5" customHeight="1">
      <c r="A27" s="204" t="s">
        <v>3447</v>
      </c>
      <c r="B27" s="677" t="s">
        <v>3797</v>
      </c>
      <c r="C27" s="204" t="s">
        <v>1012</v>
      </c>
      <c r="D27" s="196" t="s">
        <v>2363</v>
      </c>
      <c r="E27" s="196">
        <v>2</v>
      </c>
      <c r="F27" s="204" t="s">
        <v>1142</v>
      </c>
      <c r="G27" s="196">
        <v>9990001</v>
      </c>
      <c r="H27" s="204" t="s">
        <v>2362</v>
      </c>
      <c r="I27" s="199">
        <f>42807503+55083546+1524000+1714500+6323696+578700000-578700000+13200000+249300000-249300000+154350000-154350000+302400000+292950000-292950000+234900000-234900000+234900000+145350000-145350000+81000000+220950000-220950000+71100000+95400000-95400000</f>
        <v>810053245</v>
      </c>
      <c r="J27" s="2555">
        <v>569432947</v>
      </c>
      <c r="K27" s="2250">
        <f>1041400+863600+698500+255000+158750+578700000+128000000-578700000-128000000+350000000</f>
        <v>353017250</v>
      </c>
      <c r="L27" s="199">
        <f t="shared" si="19"/>
        <v>353017250</v>
      </c>
      <c r="M27" s="192">
        <f>+L27</f>
        <v>353017250</v>
      </c>
      <c r="N27" s="199">
        <f>+M27-2858500+7909691</f>
        <v>358068441</v>
      </c>
      <c r="O27" s="199">
        <f t="shared" si="21"/>
        <v>358068441</v>
      </c>
      <c r="P27" s="626">
        <f>82190647+335000</f>
        <v>82525647</v>
      </c>
      <c r="Q27" s="200">
        <f t="shared" si="18"/>
        <v>0.23047450585012602</v>
      </c>
      <c r="R27" s="192">
        <f t="shared" si="1"/>
        <v>0</v>
      </c>
      <c r="S27" s="192">
        <f t="shared" si="2"/>
        <v>0</v>
      </c>
      <c r="T27" s="192">
        <f t="shared" si="3"/>
        <v>5051191</v>
      </c>
      <c r="U27" s="192">
        <f t="shared" si="4"/>
        <v>0</v>
      </c>
      <c r="V27" s="202">
        <f t="shared" si="22"/>
        <v>277966338.58267719</v>
      </c>
      <c r="W27" s="202">
        <f t="shared" si="23"/>
        <v>75050911.417322844</v>
      </c>
      <c r="X27" s="169">
        <f>13200000+302400000+81000000+71100000</f>
        <v>467700000</v>
      </c>
      <c r="Y27" s="169">
        <f>101129549+6323696</f>
        <v>107453245</v>
      </c>
      <c r="Z27" s="172">
        <f>+X27+Y27</f>
        <v>575153245</v>
      </c>
      <c r="AA27" s="626">
        <f t="shared" si="12"/>
        <v>275542794</v>
      </c>
      <c r="AB27" s="1269">
        <f>82525647-P27</f>
        <v>0</v>
      </c>
      <c r="AD27" s="625">
        <v>569432947</v>
      </c>
      <c r="AG27" s="169"/>
      <c r="AH27" s="169"/>
    </row>
    <row r="28" spans="1:34" s="203" customFormat="1" ht="25.5" hidden="1">
      <c r="A28" s="204" t="s">
        <v>3448</v>
      </c>
      <c r="B28" s="241" t="s">
        <v>3227</v>
      </c>
      <c r="C28" s="204" t="s">
        <v>1012</v>
      </c>
      <c r="D28" s="196" t="s">
        <v>2364</v>
      </c>
      <c r="E28" s="196">
        <v>2</v>
      </c>
      <c r="F28" s="204" t="s">
        <v>1142</v>
      </c>
      <c r="G28" s="196">
        <v>9990001</v>
      </c>
      <c r="H28" s="204" t="s">
        <v>2362</v>
      </c>
      <c r="I28" s="199">
        <f>0</f>
        <v>0</v>
      </c>
      <c r="J28" s="2555">
        <v>0</v>
      </c>
      <c r="K28" s="2250">
        <f>0</f>
        <v>0</v>
      </c>
      <c r="L28" s="199">
        <f t="shared" si="19"/>
        <v>0</v>
      </c>
      <c r="M28" s="192">
        <f t="shared" si="19"/>
        <v>0</v>
      </c>
      <c r="N28" s="199">
        <f t="shared" si="20"/>
        <v>0</v>
      </c>
      <c r="O28" s="199">
        <f t="shared" si="21"/>
        <v>0</v>
      </c>
      <c r="P28" s="626">
        <v>0</v>
      </c>
      <c r="Q28" s="200" t="e">
        <f t="shared" si="18"/>
        <v>#DIV/0!</v>
      </c>
      <c r="R28" s="192">
        <f t="shared" si="1"/>
        <v>0</v>
      </c>
      <c r="S28" s="192">
        <f t="shared" si="2"/>
        <v>0</v>
      </c>
      <c r="T28" s="192">
        <f t="shared" si="3"/>
        <v>0</v>
      </c>
      <c r="U28" s="192">
        <f t="shared" si="4"/>
        <v>0</v>
      </c>
      <c r="V28" s="202">
        <f t="shared" si="22"/>
        <v>0</v>
      </c>
      <c r="W28" s="202">
        <f t="shared" si="23"/>
        <v>0</v>
      </c>
      <c r="X28" s="171"/>
      <c r="Y28" s="171"/>
      <c r="Z28" s="171"/>
      <c r="AA28" s="626">
        <f t="shared" si="12"/>
        <v>0</v>
      </c>
      <c r="AB28" s="1269"/>
      <c r="AD28" s="625">
        <v>0</v>
      </c>
    </row>
    <row r="29" spans="1:34" s="203" customFormat="1">
      <c r="A29" s="204" t="s">
        <v>3448</v>
      </c>
      <c r="B29" s="241" t="s">
        <v>3727</v>
      </c>
      <c r="C29" s="204" t="s">
        <v>1012</v>
      </c>
      <c r="D29" s="196" t="s">
        <v>2364</v>
      </c>
      <c r="E29" s="196">
        <v>2</v>
      </c>
      <c r="F29" s="204" t="s">
        <v>1142</v>
      </c>
      <c r="G29" s="196">
        <v>9990001</v>
      </c>
      <c r="H29" s="204" t="s">
        <v>2362</v>
      </c>
      <c r="I29" s="199">
        <f>1157594+(19500000+78000000+11700000)-109200000+(19500000+78000000+11700000)+108000000-108000000+87000000-87000000+144000000-144000000+203300000-203300000+82160000-82160000+81760000-81760000+275000000-275000000+227520000-227520000</f>
        <v>110357594</v>
      </c>
      <c r="J29" s="2555">
        <v>91393111</v>
      </c>
      <c r="K29" s="2250">
        <f>162000000-162000000+162000000+135000000+316000000-316000000+325500000-325500000+172900000-172900000+105660000-105660000+188650000-188650000+250000000-250000000+53000000-350000000</f>
        <v>0</v>
      </c>
      <c r="L29" s="199">
        <f t="shared" si="19"/>
        <v>0</v>
      </c>
      <c r="M29" s="192">
        <f t="shared" si="19"/>
        <v>0</v>
      </c>
      <c r="N29" s="199">
        <f t="shared" si="20"/>
        <v>0</v>
      </c>
      <c r="O29" s="199">
        <f t="shared" si="21"/>
        <v>0</v>
      </c>
      <c r="P29" s="626">
        <v>0</v>
      </c>
      <c r="Q29" s="200"/>
      <c r="R29" s="192">
        <f t="shared" si="1"/>
        <v>0</v>
      </c>
      <c r="S29" s="192">
        <f t="shared" si="2"/>
        <v>0</v>
      </c>
      <c r="T29" s="192">
        <f t="shared" si="3"/>
        <v>0</v>
      </c>
      <c r="U29" s="192">
        <f t="shared" si="4"/>
        <v>0</v>
      </c>
      <c r="V29" s="202">
        <f t="shared" si="22"/>
        <v>0</v>
      </c>
      <c r="W29" s="202">
        <f t="shared" si="23"/>
        <v>0</v>
      </c>
      <c r="X29" s="169">
        <v>227520000</v>
      </c>
      <c r="Y29" s="169">
        <v>1157594</v>
      </c>
      <c r="Z29" s="172">
        <f>+X29+Y29</f>
        <v>228677594</v>
      </c>
      <c r="AA29" s="626">
        <f t="shared" si="12"/>
        <v>0</v>
      </c>
      <c r="AB29" s="1269"/>
      <c r="AD29" s="625">
        <v>91393111</v>
      </c>
    </row>
    <row r="30" spans="1:34" s="203" customFormat="1">
      <c r="A30" s="204" t="s">
        <v>3449</v>
      </c>
      <c r="B30" s="677" t="s">
        <v>114</v>
      </c>
      <c r="C30" s="204" t="s">
        <v>1012</v>
      </c>
      <c r="D30" s="196" t="s">
        <v>2365</v>
      </c>
      <c r="E30" s="196">
        <v>2</v>
      </c>
      <c r="F30" s="204" t="s">
        <v>1142</v>
      </c>
      <c r="G30" s="196">
        <v>9990001</v>
      </c>
      <c r="H30" s="204" t="s">
        <v>2362</v>
      </c>
      <c r="I30" s="199">
        <f>25600000+42800000-42800000+2553000-2553000+12143000-12143000+7200000-7200000+20250000-20250000</f>
        <v>25600000</v>
      </c>
      <c r="J30" s="2555">
        <v>24724570</v>
      </c>
      <c r="K30" s="2250">
        <f>4500000+17550000+20250000+7725000-50025000</f>
        <v>0</v>
      </c>
      <c r="L30" s="199">
        <f>+K30+7016750</f>
        <v>7016750</v>
      </c>
      <c r="M30" s="192">
        <f t="shared" si="19"/>
        <v>7016750</v>
      </c>
      <c r="N30" s="199">
        <f t="shared" si="20"/>
        <v>7016750</v>
      </c>
      <c r="O30" s="199">
        <f t="shared" si="21"/>
        <v>7016750</v>
      </c>
      <c r="P30" s="626">
        <v>7016750</v>
      </c>
      <c r="Q30" s="200">
        <f t="shared" si="18"/>
        <v>1</v>
      </c>
      <c r="R30" s="192">
        <f t="shared" si="1"/>
        <v>7016750</v>
      </c>
      <c r="S30" s="192">
        <f t="shared" si="2"/>
        <v>0</v>
      </c>
      <c r="T30" s="192">
        <f t="shared" si="3"/>
        <v>0</v>
      </c>
      <c r="U30" s="192">
        <f t="shared" si="4"/>
        <v>0</v>
      </c>
      <c r="V30" s="202">
        <f t="shared" si="22"/>
        <v>0</v>
      </c>
      <c r="W30" s="202">
        <f t="shared" si="23"/>
        <v>0</v>
      </c>
      <c r="X30" s="169">
        <f>25600000+42800000</f>
        <v>68400000</v>
      </c>
      <c r="Y30" s="171"/>
      <c r="Z30" s="171"/>
      <c r="AA30" s="626">
        <f t="shared" si="12"/>
        <v>0</v>
      </c>
      <c r="AB30" s="1269"/>
      <c r="AD30" s="625">
        <v>24724570</v>
      </c>
    </row>
    <row r="31" spans="1:34" s="203" customFormat="1">
      <c r="A31" s="204" t="s">
        <v>3450</v>
      </c>
      <c r="B31" s="677" t="s">
        <v>132</v>
      </c>
      <c r="C31" s="204" t="s">
        <v>1012</v>
      </c>
      <c r="D31" s="196" t="s">
        <v>2366</v>
      </c>
      <c r="E31" s="196">
        <v>2</v>
      </c>
      <c r="F31" s="204" t="s">
        <v>1142</v>
      </c>
      <c r="G31" s="196">
        <v>9990001</v>
      </c>
      <c r="H31" s="204" t="s">
        <v>2362</v>
      </c>
      <c r="I31" s="199">
        <f>29500000+14000000+12750000-56250000</f>
        <v>0</v>
      </c>
      <c r="J31" s="2555">
        <v>0</v>
      </c>
      <c r="K31" s="2250">
        <f>44250000+21000000+26400000+6150000+9900000-107700000</f>
        <v>0</v>
      </c>
      <c r="L31" s="199">
        <f t="shared" si="19"/>
        <v>0</v>
      </c>
      <c r="M31" s="199">
        <f t="shared" si="19"/>
        <v>0</v>
      </c>
      <c r="N31" s="199">
        <f t="shared" si="20"/>
        <v>0</v>
      </c>
      <c r="O31" s="199">
        <f t="shared" si="21"/>
        <v>0</v>
      </c>
      <c r="P31" s="626">
        <v>0</v>
      </c>
      <c r="Q31" s="200"/>
      <c r="R31" s="192">
        <f t="shared" si="1"/>
        <v>0</v>
      </c>
      <c r="S31" s="192">
        <f t="shared" si="2"/>
        <v>0</v>
      </c>
      <c r="T31" s="192">
        <f t="shared" si="3"/>
        <v>0</v>
      </c>
      <c r="U31" s="192">
        <f t="shared" si="4"/>
        <v>0</v>
      </c>
      <c r="V31" s="202">
        <f t="shared" si="22"/>
        <v>0</v>
      </c>
      <c r="W31" s="202">
        <f t="shared" si="23"/>
        <v>0</v>
      </c>
      <c r="X31" s="171"/>
      <c r="Y31" s="171"/>
      <c r="Z31" s="171"/>
      <c r="AA31" s="626">
        <f t="shared" si="12"/>
        <v>0</v>
      </c>
      <c r="AB31" s="1269"/>
      <c r="AD31" s="625">
        <v>0</v>
      </c>
    </row>
    <row r="32" spans="1:34" s="203" customFormat="1">
      <c r="A32" s="204" t="s">
        <v>3451</v>
      </c>
      <c r="B32" s="677" t="s">
        <v>2367</v>
      </c>
      <c r="C32" s="204" t="s">
        <v>1012</v>
      </c>
      <c r="D32" s="196" t="s">
        <v>2368</v>
      </c>
      <c r="E32" s="196">
        <v>3</v>
      </c>
      <c r="F32" s="204" t="s">
        <v>1142</v>
      </c>
      <c r="G32" s="196">
        <v>9990001</v>
      </c>
      <c r="H32" s="204" t="s">
        <v>2362</v>
      </c>
      <c r="I32" s="199">
        <f>14000000+60721000-60721000-14000000</f>
        <v>0</v>
      </c>
      <c r="J32" s="2555">
        <v>0</v>
      </c>
      <c r="K32" s="2250">
        <f>2500000+6000000+12500000+10000000+700000-31700000</f>
        <v>0</v>
      </c>
      <c r="L32" s="199">
        <f t="shared" si="19"/>
        <v>0</v>
      </c>
      <c r="M32" s="199">
        <f t="shared" si="19"/>
        <v>0</v>
      </c>
      <c r="N32" s="199">
        <f t="shared" si="20"/>
        <v>0</v>
      </c>
      <c r="O32" s="199">
        <f t="shared" si="21"/>
        <v>0</v>
      </c>
      <c r="P32" s="626">
        <v>0</v>
      </c>
      <c r="Q32" s="200"/>
      <c r="R32" s="192">
        <f t="shared" si="1"/>
        <v>0</v>
      </c>
      <c r="S32" s="192">
        <f t="shared" si="2"/>
        <v>0</v>
      </c>
      <c r="T32" s="192">
        <f t="shared" si="3"/>
        <v>0</v>
      </c>
      <c r="U32" s="192">
        <f t="shared" si="4"/>
        <v>0</v>
      </c>
      <c r="V32" s="202">
        <f t="shared" si="22"/>
        <v>0</v>
      </c>
      <c r="W32" s="202">
        <f t="shared" si="23"/>
        <v>0</v>
      </c>
      <c r="X32" s="171"/>
      <c r="Y32" s="171"/>
      <c r="Z32" s="171"/>
      <c r="AA32" s="626">
        <f t="shared" si="12"/>
        <v>0</v>
      </c>
      <c r="AB32" s="1269"/>
      <c r="AD32" s="625">
        <v>0</v>
      </c>
    </row>
    <row r="33" spans="1:30" s="203" customFormat="1" ht="12.75" customHeight="1">
      <c r="A33" s="204" t="s">
        <v>3640</v>
      </c>
      <c r="B33" s="677" t="s">
        <v>3730</v>
      </c>
      <c r="C33" s="204" t="s">
        <v>1012</v>
      </c>
      <c r="D33" s="196" t="s">
        <v>2369</v>
      </c>
      <c r="E33" s="196">
        <v>2</v>
      </c>
      <c r="F33" s="204" t="s">
        <v>1142</v>
      </c>
      <c r="G33" s="196">
        <v>9990001</v>
      </c>
      <c r="H33" s="204" t="s">
        <v>2362</v>
      </c>
      <c r="I33" s="199">
        <f>136500000+108000000+234500000+157480000+81760000-718240000</f>
        <v>0</v>
      </c>
      <c r="J33" s="2555">
        <v>0</v>
      </c>
      <c r="K33" s="2250">
        <f>5000000-5000000</f>
        <v>0</v>
      </c>
      <c r="L33" s="199">
        <f t="shared" si="19"/>
        <v>0</v>
      </c>
      <c r="M33" s="199">
        <f t="shared" si="19"/>
        <v>0</v>
      </c>
      <c r="N33" s="199">
        <f t="shared" si="20"/>
        <v>0</v>
      </c>
      <c r="O33" s="199">
        <f t="shared" si="21"/>
        <v>0</v>
      </c>
      <c r="P33" s="626">
        <v>0</v>
      </c>
      <c r="Q33" s="200"/>
      <c r="R33" s="192">
        <f t="shared" si="1"/>
        <v>0</v>
      </c>
      <c r="S33" s="192">
        <f t="shared" si="2"/>
        <v>0</v>
      </c>
      <c r="T33" s="192">
        <f t="shared" si="3"/>
        <v>0</v>
      </c>
      <c r="U33" s="192">
        <f t="shared" si="4"/>
        <v>0</v>
      </c>
      <c r="V33" s="202">
        <f t="shared" si="22"/>
        <v>0</v>
      </c>
      <c r="W33" s="202">
        <f t="shared" si="23"/>
        <v>0</v>
      </c>
      <c r="X33" s="171"/>
      <c r="Y33" s="171"/>
      <c r="Z33" s="171"/>
      <c r="AA33" s="626">
        <f t="shared" si="12"/>
        <v>0</v>
      </c>
      <c r="AD33" s="625"/>
    </row>
    <row r="34" spans="1:30" s="203" customFormat="1">
      <c r="A34" s="204" t="s">
        <v>3728</v>
      </c>
      <c r="B34" s="677" t="s">
        <v>111</v>
      </c>
      <c r="C34" s="204" t="s">
        <v>1012</v>
      </c>
      <c r="D34" s="196" t="s">
        <v>2370</v>
      </c>
      <c r="E34" s="196">
        <v>2</v>
      </c>
      <c r="F34" s="204" t="s">
        <v>1142</v>
      </c>
      <c r="G34" s="196">
        <v>9990001</v>
      </c>
      <c r="H34" s="204" t="s">
        <v>2362</v>
      </c>
      <c r="I34" s="199">
        <f>60000+1409700+129042+335280+952500+4000000+3300000-3300000+3792000-3792000+702000-702000+624000+1272000-1272000+1392000-1392000+1728000-1728000+1800000-1800000+1950000-1950000+2352000-2352000+2874000-2874000+2754000-2754000+1098000-1098000+2712000-2712000+1290000-1290000+1320000-1320000+750000-750000+684000-684000+864000-864000+2550000+1116000-1116000+2000000-1500000</f>
        <v>10560522</v>
      </c>
      <c r="J34" s="2555">
        <v>5320294</v>
      </c>
      <c r="K34" s="2250">
        <f>5236022+155950000-64000000-10000000-60950000-2000000-4000000-3500000-3500000</f>
        <v>13236022</v>
      </c>
      <c r="L34" s="199">
        <f t="shared" si="19"/>
        <v>13236022</v>
      </c>
      <c r="M34" s="192">
        <f>+L34+609600</f>
        <v>13845622</v>
      </c>
      <c r="N34" s="199">
        <f>+M34+2858500</f>
        <v>16704122</v>
      </c>
      <c r="O34" s="199">
        <f t="shared" si="21"/>
        <v>16704122</v>
      </c>
      <c r="P34" s="626">
        <f>7167815-335000</f>
        <v>6832815</v>
      </c>
      <c r="Q34" s="200">
        <f t="shared" ref="Q34:Q49" si="24">+P34/N34</f>
        <v>0.40904963457522642</v>
      </c>
      <c r="R34" s="192">
        <f t="shared" si="1"/>
        <v>0</v>
      </c>
      <c r="S34" s="192">
        <f t="shared" si="2"/>
        <v>609600</v>
      </c>
      <c r="T34" s="192">
        <f t="shared" si="3"/>
        <v>2858500</v>
      </c>
      <c r="U34" s="192">
        <f t="shared" si="4"/>
        <v>0</v>
      </c>
      <c r="V34" s="202">
        <f t="shared" si="22"/>
        <v>10422064.566929134</v>
      </c>
      <c r="W34" s="202">
        <f t="shared" si="23"/>
        <v>2813957.4330708664</v>
      </c>
      <c r="X34" s="169">
        <f>60000+1409700+129042+335280+952500</f>
        <v>2886522</v>
      </c>
      <c r="Y34" s="169">
        <f>3792000+624000+2550000+4000000+500000</f>
        <v>11466000</v>
      </c>
      <c r="Z34" s="172">
        <f>+X34+Y34</f>
        <v>14352522</v>
      </c>
      <c r="AA34" s="626">
        <f t="shared" si="12"/>
        <v>9871307</v>
      </c>
      <c r="AB34" s="1269">
        <f>6832815-P34</f>
        <v>0</v>
      </c>
      <c r="AD34" s="625">
        <v>5320294</v>
      </c>
    </row>
    <row r="35" spans="1:30">
      <c r="A35" s="179" t="s">
        <v>39</v>
      </c>
      <c r="B35" s="670" t="s">
        <v>3729</v>
      </c>
      <c r="C35" s="181"/>
      <c r="D35" s="181" t="s">
        <v>2371</v>
      </c>
      <c r="E35" s="181"/>
      <c r="F35" s="187"/>
      <c r="G35" s="187"/>
      <c r="H35" s="191"/>
      <c r="I35" s="192">
        <f>SUM(I27:I34)</f>
        <v>956571361</v>
      </c>
      <c r="J35" s="2550">
        <f t="shared" ref="J35:P35" si="25">SUM(J27:J34)</f>
        <v>690870922</v>
      </c>
      <c r="K35" s="2219">
        <f t="shared" si="25"/>
        <v>366253272</v>
      </c>
      <c r="L35" s="192">
        <f t="shared" si="25"/>
        <v>373270022</v>
      </c>
      <c r="M35" s="192">
        <f>SUM(M27:M34)</f>
        <v>373879622</v>
      </c>
      <c r="N35" s="192">
        <f t="shared" si="25"/>
        <v>381789313</v>
      </c>
      <c r="O35" s="192">
        <f t="shared" si="25"/>
        <v>381789313</v>
      </c>
      <c r="P35" s="538">
        <f t="shared" si="25"/>
        <v>96375212</v>
      </c>
      <c r="Q35" s="193">
        <f t="shared" si="24"/>
        <v>0.25243035548247522</v>
      </c>
      <c r="R35" s="192">
        <f t="shared" si="1"/>
        <v>7016750</v>
      </c>
      <c r="S35" s="192">
        <f t="shared" si="2"/>
        <v>609600</v>
      </c>
      <c r="T35" s="192">
        <f t="shared" si="3"/>
        <v>7909691</v>
      </c>
      <c r="U35" s="192">
        <f t="shared" si="4"/>
        <v>0</v>
      </c>
      <c r="V35" s="169">
        <f t="shared" si="22"/>
        <v>288388403.14960629</v>
      </c>
      <c r="W35" s="169">
        <f t="shared" si="23"/>
        <v>77864868.850393698</v>
      </c>
      <c r="Y35" s="169">
        <f>3792000+624000+2550000</f>
        <v>6966000</v>
      </c>
      <c r="AA35" s="538">
        <f t="shared" si="12"/>
        <v>285414101</v>
      </c>
      <c r="AD35" s="538">
        <v>690870922</v>
      </c>
    </row>
    <row r="36" spans="1:30">
      <c r="A36" s="179" t="s">
        <v>41</v>
      </c>
      <c r="B36" s="670" t="s">
        <v>109</v>
      </c>
      <c r="C36" s="191" t="s">
        <v>1012</v>
      </c>
      <c r="D36" s="187" t="s">
        <v>2372</v>
      </c>
      <c r="E36" s="187">
        <v>2</v>
      </c>
      <c r="F36" s="191" t="s">
        <v>1153</v>
      </c>
      <c r="G36" s="187">
        <v>9990001</v>
      </c>
      <c r="H36" s="191" t="s">
        <v>2362</v>
      </c>
      <c r="I36" s="192">
        <f>3000000-2000000</f>
        <v>1000000</v>
      </c>
      <c r="J36" s="2550">
        <v>0</v>
      </c>
      <c r="K36" s="2219">
        <f>3000000-3000000</f>
        <v>0</v>
      </c>
      <c r="L36" s="192">
        <f>+K36</f>
        <v>0</v>
      </c>
      <c r="M36" s="192">
        <f t="shared" ref="L36:O40" si="26">+L36</f>
        <v>0</v>
      </c>
      <c r="N36" s="192">
        <f t="shared" si="26"/>
        <v>0</v>
      </c>
      <c r="O36" s="192">
        <f t="shared" si="26"/>
        <v>0</v>
      </c>
      <c r="P36" s="538">
        <v>0</v>
      </c>
      <c r="Q36" s="193"/>
      <c r="R36" s="192">
        <f t="shared" si="1"/>
        <v>0</v>
      </c>
      <c r="S36" s="192">
        <f t="shared" si="2"/>
        <v>0</v>
      </c>
      <c r="T36" s="192">
        <f t="shared" si="3"/>
        <v>0</v>
      </c>
      <c r="U36" s="192">
        <f t="shared" si="4"/>
        <v>0</v>
      </c>
      <c r="V36" s="169">
        <f t="shared" si="22"/>
        <v>0</v>
      </c>
      <c r="W36" s="169">
        <f t="shared" si="23"/>
        <v>0</v>
      </c>
      <c r="AA36" s="538">
        <f t="shared" si="12"/>
        <v>0</v>
      </c>
      <c r="AD36" s="603">
        <v>0</v>
      </c>
    </row>
    <row r="37" spans="1:30" ht="12" customHeight="1">
      <c r="A37" s="179" t="s">
        <v>314</v>
      </c>
      <c r="B37" s="670" t="s">
        <v>110</v>
      </c>
      <c r="C37" s="191" t="s">
        <v>1012</v>
      </c>
      <c r="D37" s="187" t="s">
        <v>2373</v>
      </c>
      <c r="E37" s="187">
        <v>2</v>
      </c>
      <c r="F37" s="191" t="s">
        <v>1146</v>
      </c>
      <c r="G37" s="187">
        <v>9990001</v>
      </c>
      <c r="H37" s="191" t="s">
        <v>2362</v>
      </c>
      <c r="I37" s="192">
        <f>1999996+(283500000+411600000+320600000+499800000)-1515500000+(3716000+800000+100000+3419000+6337000+1882000+4262000+3728000+12000000+3200000+4200000+28000000+3200000+9500000+10000000+6225000+11000000+4500000+3000000+3600000+3200000+12000000+2500000+3200000+3200000+13300000+2334000+3500000+4500000+3500000)-60000000+10000000+3950000-3950000+2000000</f>
        <v>127902996</v>
      </c>
      <c r="J37" s="2550">
        <v>119960716</v>
      </c>
      <c r="K37" s="2219">
        <f>1000000+1700000+1800000+1300000+4900000+450000+650000+1250000+3500000+4300000+700000+(7620000+1749552+10000000+5114400+5040000+7470000+10000000+3840000+2540000+6096000+3000000+3600000+3200000+12000000+4473600+3200000+3000000+7620000+4000000+2500000+7620000+8000000+9900000)+2000000-135133552+500000</f>
        <v>20500000</v>
      </c>
      <c r="L37" s="192">
        <f>+K37</f>
        <v>20500000</v>
      </c>
      <c r="M37" s="192">
        <f>+L37+2048510</f>
        <v>22548510</v>
      </c>
      <c r="N37" s="192">
        <f t="shared" si="26"/>
        <v>22548510</v>
      </c>
      <c r="O37" s="192">
        <f t="shared" si="26"/>
        <v>22548510</v>
      </c>
      <c r="P37" s="538">
        <v>22248783</v>
      </c>
      <c r="Q37" s="193">
        <f t="shared" si="24"/>
        <v>0.98670745871900178</v>
      </c>
      <c r="R37" s="192">
        <f t="shared" si="1"/>
        <v>0</v>
      </c>
      <c r="S37" s="192">
        <f t="shared" si="2"/>
        <v>2048510</v>
      </c>
      <c r="T37" s="192">
        <f t="shared" si="3"/>
        <v>0</v>
      </c>
      <c r="U37" s="192">
        <f t="shared" si="4"/>
        <v>0</v>
      </c>
      <c r="V37" s="169">
        <f t="shared" si="22"/>
        <v>16141732.283464566</v>
      </c>
      <c r="W37" s="169">
        <f t="shared" si="23"/>
        <v>4358267.7165354332</v>
      </c>
      <c r="X37" s="169">
        <f>1999996</f>
        <v>1999996</v>
      </c>
      <c r="Y37" s="169">
        <f>113903000+2000000</f>
        <v>115903000</v>
      </c>
      <c r="Z37" s="172">
        <f>+X37+Y37</f>
        <v>117902996</v>
      </c>
      <c r="AA37" s="538">
        <f t="shared" si="12"/>
        <v>299727</v>
      </c>
      <c r="AD37" s="603">
        <v>119960716</v>
      </c>
    </row>
    <row r="38" spans="1:30">
      <c r="A38" s="179" t="s">
        <v>402</v>
      </c>
      <c r="B38" s="670" t="s">
        <v>106</v>
      </c>
      <c r="C38" s="191" t="s">
        <v>1012</v>
      </c>
      <c r="D38" s="187" t="s">
        <v>2374</v>
      </c>
      <c r="E38" s="187">
        <v>2</v>
      </c>
      <c r="F38" s="191" t="s">
        <v>2375</v>
      </c>
      <c r="G38" s="187">
        <v>9990001</v>
      </c>
      <c r="H38" s="191" t="s">
        <v>2362</v>
      </c>
      <c r="I38" s="192">
        <f>1143000+635000-635000+952500-952500+736600-736600+736600+635000-635000+127000-127000+571500+635000-635000+635000-635000+571500+827000-827000+571500-571500+8636000-8636000+23495000-23495000+3810000-3810000+3810000+21590000-21590000+21590000+12065000-12065000+38735000-38735000+6096000+6286500-6286500+6286500-6286500+3302000+24942000-24942000+500000+300000-500000</f>
        <v>38120600</v>
      </c>
      <c r="J38" s="2550">
        <v>27859863</v>
      </c>
      <c r="K38" s="2219">
        <f>11043200+29294000+15158000+250000+46482000+8223800+8223800+31030400+2500000+500000+40000000+1200000-11043200-29294000-15158000-250000-46482000-8223800-8223800-31030400-2500000-500000-1000000</f>
        <v>40200000</v>
      </c>
      <c r="L38" s="192">
        <f>+K38</f>
        <v>40200000</v>
      </c>
      <c r="M38" s="192">
        <f t="shared" si="26"/>
        <v>40200000</v>
      </c>
      <c r="N38" s="192">
        <f>+M38-99809</f>
        <v>40100191</v>
      </c>
      <c r="O38" s="192">
        <f t="shared" si="26"/>
        <v>40100191</v>
      </c>
      <c r="P38" s="538">
        <v>38545770</v>
      </c>
      <c r="Q38" s="193">
        <f t="shared" si="24"/>
        <v>0.96123656867370033</v>
      </c>
      <c r="R38" s="192">
        <f t="shared" si="1"/>
        <v>0</v>
      </c>
      <c r="S38" s="192">
        <f t="shared" si="2"/>
        <v>0</v>
      </c>
      <c r="T38" s="192">
        <f t="shared" si="3"/>
        <v>-99809</v>
      </c>
      <c r="U38" s="192">
        <f t="shared" si="4"/>
        <v>0</v>
      </c>
      <c r="V38" s="169">
        <f t="shared" si="22"/>
        <v>31653543.307086613</v>
      </c>
      <c r="W38" s="169">
        <f t="shared" si="23"/>
        <v>8546456.692913387</v>
      </c>
      <c r="X38" s="169">
        <v>1143000</v>
      </c>
      <c r="Y38" s="169">
        <f>571500+635000+571500</f>
        <v>1778000</v>
      </c>
      <c r="Z38" s="172">
        <f>6096000+6286500+3302000</f>
        <v>15684500</v>
      </c>
      <c r="AA38" s="538">
        <f t="shared" si="12"/>
        <v>1554421</v>
      </c>
      <c r="AB38" s="172"/>
      <c r="AD38" s="603">
        <v>27859863</v>
      </c>
    </row>
    <row r="39" spans="1:30" s="203" customFormat="1" ht="12.75" customHeight="1">
      <c r="A39" s="204" t="s">
        <v>3452</v>
      </c>
      <c r="B39" s="677" t="s">
        <v>2376</v>
      </c>
      <c r="C39" s="204" t="s">
        <v>1823</v>
      </c>
      <c r="D39" s="196" t="s">
        <v>2377</v>
      </c>
      <c r="E39" s="196">
        <v>2</v>
      </c>
      <c r="F39" s="204" t="s">
        <v>1134</v>
      </c>
      <c r="G39" s="196">
        <v>9990001</v>
      </c>
      <c r="H39" s="204" t="s">
        <v>2326</v>
      </c>
      <c r="I39" s="199">
        <f>17970500+520700+2000000+6000000-6000000+8000000-8000000+10000000-10000000+5000000-5000000+8000000-8000000</f>
        <v>20491200</v>
      </c>
      <c r="J39" s="2555">
        <v>18491200</v>
      </c>
      <c r="K39" s="2250">
        <f>2000000+5000000+7000000+1000000+32000000-40000000</f>
        <v>7000000</v>
      </c>
      <c r="L39" s="192">
        <f>+K39</f>
        <v>7000000</v>
      </c>
      <c r="M39" s="192">
        <f t="shared" si="26"/>
        <v>7000000</v>
      </c>
      <c r="N39" s="192">
        <f t="shared" si="26"/>
        <v>7000000</v>
      </c>
      <c r="O39" s="199">
        <f t="shared" si="26"/>
        <v>7000000</v>
      </c>
      <c r="P39" s="626">
        <v>4889500</v>
      </c>
      <c r="Q39" s="200">
        <f t="shared" si="24"/>
        <v>0.69850000000000001</v>
      </c>
      <c r="R39" s="192">
        <f t="shared" si="1"/>
        <v>0</v>
      </c>
      <c r="S39" s="192">
        <f t="shared" si="2"/>
        <v>0</v>
      </c>
      <c r="T39" s="192">
        <f t="shared" si="3"/>
        <v>0</v>
      </c>
      <c r="U39" s="192">
        <f t="shared" si="4"/>
        <v>0</v>
      </c>
      <c r="V39" s="202"/>
      <c r="W39" s="169">
        <f>17970500+520700+2000000</f>
        <v>20491200</v>
      </c>
      <c r="X39" s="171"/>
      <c r="Z39" s="171"/>
      <c r="AA39" s="626">
        <f t="shared" si="12"/>
        <v>2110500</v>
      </c>
      <c r="AD39" s="625">
        <v>18491200</v>
      </c>
    </row>
    <row r="40" spans="1:30" s="203" customFormat="1" ht="12.75" customHeight="1">
      <c r="A40" s="1480" t="s">
        <v>3453</v>
      </c>
      <c r="B40" s="677" t="s">
        <v>3233</v>
      </c>
      <c r="C40" s="204" t="s">
        <v>1032</v>
      </c>
      <c r="D40" s="196" t="s">
        <v>2378</v>
      </c>
      <c r="E40" s="196">
        <v>2</v>
      </c>
      <c r="F40" s="204" t="s">
        <v>751</v>
      </c>
      <c r="G40" s="196">
        <v>9990001</v>
      </c>
      <c r="H40" s="204" t="s">
        <v>2326</v>
      </c>
      <c r="I40" s="199">
        <f>158750+5943600+500000+2844800+7772400+2857500+13970000+26000000+23100000+11000000-11000000+10000000+38000000+2000000</f>
        <v>133147050</v>
      </c>
      <c r="J40" s="2555">
        <v>100246218</v>
      </c>
      <c r="K40" s="2250">
        <f>50000000-50000000+12000000-12000000+15000000-10000000+8500000-8500000+4000000+10000000-10000000+14859000+2603500+3454400+1377000+1981200</f>
        <v>33275100</v>
      </c>
      <c r="L40" s="199">
        <f t="shared" si="26"/>
        <v>33275100</v>
      </c>
      <c r="M40" s="192">
        <f t="shared" si="26"/>
        <v>33275100</v>
      </c>
      <c r="N40" s="192">
        <f t="shared" si="26"/>
        <v>33275100</v>
      </c>
      <c r="O40" s="199">
        <f t="shared" si="26"/>
        <v>33275100</v>
      </c>
      <c r="P40" s="626">
        <f>15446800-6692900</f>
        <v>8753900</v>
      </c>
      <c r="Q40" s="200">
        <f t="shared" si="24"/>
        <v>0.26307659481113504</v>
      </c>
      <c r="R40" s="192">
        <f t="shared" si="1"/>
        <v>0</v>
      </c>
      <c r="S40" s="192">
        <f t="shared" si="2"/>
        <v>0</v>
      </c>
      <c r="T40" s="192">
        <f t="shared" si="3"/>
        <v>0</v>
      </c>
      <c r="U40" s="192">
        <f t="shared" si="4"/>
        <v>0</v>
      </c>
      <c r="V40" s="202"/>
      <c r="W40" s="169"/>
      <c r="X40" s="169"/>
      <c r="Y40" s="169"/>
      <c r="Z40" s="172"/>
      <c r="AA40" s="626">
        <f t="shared" si="12"/>
        <v>24521200</v>
      </c>
      <c r="AB40" s="1269">
        <f>8753900-P40</f>
        <v>0</v>
      </c>
      <c r="AD40" s="625">
        <v>100246218</v>
      </c>
    </row>
    <row r="41" spans="1:30">
      <c r="A41" s="179" t="s">
        <v>404</v>
      </c>
      <c r="B41" s="670" t="s">
        <v>3454</v>
      </c>
      <c r="C41" s="191"/>
      <c r="D41" s="187"/>
      <c r="E41" s="187"/>
      <c r="F41" s="191"/>
      <c r="G41" s="187"/>
      <c r="H41" s="191"/>
      <c r="I41" s="192">
        <f t="shared" ref="I41:O41" si="27">+I40+I39</f>
        <v>153638250</v>
      </c>
      <c r="J41" s="2550">
        <f t="shared" si="27"/>
        <v>118737418</v>
      </c>
      <c r="K41" s="2219">
        <f t="shared" si="27"/>
        <v>40275100</v>
      </c>
      <c r="L41" s="192">
        <f t="shared" si="27"/>
        <v>40275100</v>
      </c>
      <c r="M41" s="192">
        <f t="shared" si="27"/>
        <v>40275100</v>
      </c>
      <c r="N41" s="192">
        <f t="shared" si="27"/>
        <v>40275100</v>
      </c>
      <c r="O41" s="192">
        <f t="shared" si="27"/>
        <v>40275100</v>
      </c>
      <c r="P41" s="538">
        <f>+P39+P40</f>
        <v>13643400</v>
      </c>
      <c r="Q41" s="193">
        <f t="shared" si="24"/>
        <v>0.33875521103609924</v>
      </c>
      <c r="R41" s="192">
        <f t="shared" si="1"/>
        <v>0</v>
      </c>
      <c r="S41" s="192">
        <f t="shared" si="2"/>
        <v>0</v>
      </c>
      <c r="T41" s="192">
        <f t="shared" si="3"/>
        <v>0</v>
      </c>
      <c r="U41" s="192">
        <f t="shared" si="4"/>
        <v>0</v>
      </c>
      <c r="V41" s="169">
        <f>+K41/1.27</f>
        <v>31712677.16535433</v>
      </c>
      <c r="W41" s="169">
        <f>+V41*0.27</f>
        <v>8562422.8346456699</v>
      </c>
      <c r="AA41" s="538">
        <f t="shared" si="12"/>
        <v>26631700</v>
      </c>
      <c r="AD41" s="538">
        <v>118737418</v>
      </c>
    </row>
    <row r="42" spans="1:30">
      <c r="A42" s="187" t="s">
        <v>407</v>
      </c>
      <c r="B42" s="670" t="s">
        <v>3146</v>
      </c>
      <c r="C42" s="191" t="s">
        <v>1012</v>
      </c>
      <c r="D42" s="187" t="s">
        <v>2379</v>
      </c>
      <c r="E42" s="187">
        <v>2</v>
      </c>
      <c r="F42" s="191" t="s">
        <v>2380</v>
      </c>
      <c r="G42" s="187">
        <v>9990001</v>
      </c>
      <c r="H42" s="191" t="s">
        <v>2362</v>
      </c>
      <c r="I42" s="192">
        <f>356054790+18445307+714272518+469367085</f>
        <v>1558139700</v>
      </c>
      <c r="J42" s="2550">
        <v>0</v>
      </c>
      <c r="K42" s="2219">
        <f>22492556+265930921+59240506+9176407</f>
        <v>356840390</v>
      </c>
      <c r="L42" s="192">
        <f t="shared" ref="L42:N45" si="28">+K42</f>
        <v>356840390</v>
      </c>
      <c r="M42" s="192">
        <f t="shared" si="28"/>
        <v>356840390</v>
      </c>
      <c r="N42" s="192">
        <f>+M42-317378000-5378000-4053000</f>
        <v>30031390</v>
      </c>
      <c r="O42" s="192">
        <f t="shared" ref="O42:O63" si="29">+N42</f>
        <v>30031390</v>
      </c>
      <c r="P42" s="538">
        <f>317378000-317378000</f>
        <v>0</v>
      </c>
      <c r="Q42" s="193">
        <f t="shared" si="24"/>
        <v>0</v>
      </c>
      <c r="R42" s="192">
        <f t="shared" si="1"/>
        <v>0</v>
      </c>
      <c r="S42" s="192">
        <f t="shared" si="2"/>
        <v>0</v>
      </c>
      <c r="T42" s="192">
        <f t="shared" si="3"/>
        <v>-326809000</v>
      </c>
      <c r="U42" s="192">
        <f t="shared" si="4"/>
        <v>0</v>
      </c>
      <c r="V42" s="169">
        <f>+K42/1.27</f>
        <v>280976685.03937006</v>
      </c>
      <c r="W42" s="169">
        <f>+V42*0.27</f>
        <v>75863704.960629925</v>
      </c>
      <c r="AA42" s="538">
        <f t="shared" si="12"/>
        <v>30031390</v>
      </c>
      <c r="AD42" s="603">
        <v>0</v>
      </c>
    </row>
    <row r="43" spans="1:30">
      <c r="A43" s="187" t="s">
        <v>409</v>
      </c>
      <c r="B43" s="670" t="s">
        <v>2381</v>
      </c>
      <c r="C43" s="191" t="s">
        <v>1032</v>
      </c>
      <c r="D43" s="187" t="s">
        <v>2382</v>
      </c>
      <c r="E43" s="187">
        <v>3</v>
      </c>
      <c r="F43" s="191" t="s">
        <v>1134</v>
      </c>
      <c r="G43" s="187">
        <v>9990001</v>
      </c>
      <c r="H43" s="191" t="s">
        <v>2362</v>
      </c>
      <c r="I43" s="192">
        <f>104143414+190400000-190400000+190400000+234850000-234850000+280000000-280000000+8000000</f>
        <v>302543414</v>
      </c>
      <c r="J43" s="2550">
        <v>107017623</v>
      </c>
      <c r="K43" s="2219">
        <f>190400000-190400000+234850000-234850000+280000000-280000000</f>
        <v>0</v>
      </c>
      <c r="L43" s="192">
        <f t="shared" si="28"/>
        <v>0</v>
      </c>
      <c r="M43" s="192">
        <f t="shared" si="28"/>
        <v>0</v>
      </c>
      <c r="N43" s="192">
        <f t="shared" si="28"/>
        <v>0</v>
      </c>
      <c r="O43" s="192">
        <f t="shared" si="29"/>
        <v>0</v>
      </c>
      <c r="P43" s="538">
        <v>0</v>
      </c>
      <c r="Q43" s="193"/>
      <c r="R43" s="192">
        <f t="shared" si="1"/>
        <v>0</v>
      </c>
      <c r="S43" s="192">
        <f t="shared" si="2"/>
        <v>0</v>
      </c>
      <c r="T43" s="192">
        <f t="shared" si="3"/>
        <v>0</v>
      </c>
      <c r="U43" s="192">
        <f t="shared" si="4"/>
        <v>0</v>
      </c>
      <c r="V43" s="169"/>
      <c r="W43" s="169">
        <v>104143414</v>
      </c>
      <c r="X43" s="169">
        <v>280000000</v>
      </c>
      <c r="Y43" s="169">
        <f>+W43+X43</f>
        <v>384143414</v>
      </c>
      <c r="AA43" s="538">
        <f t="shared" si="12"/>
        <v>0</v>
      </c>
      <c r="AB43" s="1269"/>
      <c r="AD43" s="603">
        <v>107017623</v>
      </c>
    </row>
    <row r="44" spans="1:30" ht="12.75" hidden="1" customHeight="1">
      <c r="A44" s="179"/>
      <c r="B44" s="237"/>
      <c r="C44" s="191"/>
      <c r="D44" s="187" t="s">
        <v>2383</v>
      </c>
      <c r="E44" s="187">
        <v>3</v>
      </c>
      <c r="F44" s="191" t="s">
        <v>1134</v>
      </c>
      <c r="G44" s="187">
        <v>9990001</v>
      </c>
      <c r="H44" s="191" t="s">
        <v>2362</v>
      </c>
      <c r="I44" s="192">
        <f>1462-1462</f>
        <v>0</v>
      </c>
      <c r="J44" s="2550">
        <v>0</v>
      </c>
      <c r="K44" s="2219">
        <f>1462-1462</f>
        <v>0</v>
      </c>
      <c r="L44" s="192">
        <f t="shared" si="28"/>
        <v>0</v>
      </c>
      <c r="M44" s="192">
        <f t="shared" si="28"/>
        <v>0</v>
      </c>
      <c r="N44" s="192">
        <f t="shared" si="28"/>
        <v>0</v>
      </c>
      <c r="O44" s="192">
        <f t="shared" si="29"/>
        <v>0</v>
      </c>
      <c r="P44" s="538"/>
      <c r="Q44" s="193" t="e">
        <f t="shared" si="24"/>
        <v>#DIV/0!</v>
      </c>
      <c r="R44" s="192">
        <f t="shared" si="1"/>
        <v>0</v>
      </c>
      <c r="S44" s="192">
        <f t="shared" si="2"/>
        <v>0</v>
      </c>
      <c r="T44" s="192">
        <f t="shared" si="3"/>
        <v>0</v>
      </c>
      <c r="U44" s="192">
        <f t="shared" si="4"/>
        <v>0</v>
      </c>
      <c r="V44" s="169">
        <f>+K44/1.27</f>
        <v>0</v>
      </c>
      <c r="W44" s="169">
        <f>+V44*0.27</f>
        <v>0</v>
      </c>
      <c r="AA44" s="538">
        <f t="shared" si="12"/>
        <v>0</v>
      </c>
      <c r="AD44" s="603"/>
    </row>
    <row r="45" spans="1:30">
      <c r="A45" s="187" t="s">
        <v>410</v>
      </c>
      <c r="B45" s="670" t="s">
        <v>3196</v>
      </c>
      <c r="C45" s="191" t="s">
        <v>599</v>
      </c>
      <c r="D45" s="1307" t="s">
        <v>2384</v>
      </c>
      <c r="E45" s="187">
        <v>3</v>
      </c>
      <c r="F45" s="191" t="s">
        <v>1134</v>
      </c>
      <c r="G45" s="187">
        <v>9990001</v>
      </c>
      <c r="H45" s="191" t="s">
        <v>2362</v>
      </c>
      <c r="I45" s="192">
        <f>3000000+4000000+999458+233680+1500000+20000000+8397052+7000000-2000000+469900+4000000-4000000+3000000-3000000+12000000-10000000+1900000-1900000+476250+1500000+1000000-1000000+1200000+297180+18000000-18000000+58833600+460000+7000000-7000000+25872400+2500000-2500000+8650000+2000000-2000000+5334400-I46</f>
        <v>49533520</v>
      </c>
      <c r="J45" s="2550">
        <v>30198159</v>
      </c>
      <c r="K45" s="2219">
        <f>2000000+30000000-28000000-2000000+5000000-3000000+133604+2000000+12000000+1387475+5550000-3000000+5207000+1250000+2500000-2000000+2500000-1500000+3000000-3000000+1000000-500000+2500000-2500000-500000+4445000+30000000-30000000+8000000-4000000+5500000-3000000+460000+3000000-3000000+1000000-500000</f>
        <v>41933079</v>
      </c>
      <c r="L45" s="192">
        <f t="shared" si="28"/>
        <v>41933079</v>
      </c>
      <c r="M45" s="192">
        <f t="shared" si="28"/>
        <v>41933079</v>
      </c>
      <c r="N45" s="192">
        <f t="shared" si="28"/>
        <v>41933079</v>
      </c>
      <c r="O45" s="192">
        <f t="shared" si="29"/>
        <v>41933079</v>
      </c>
      <c r="P45" s="538">
        <v>18320307</v>
      </c>
      <c r="Q45" s="193">
        <f t="shared" si="24"/>
        <v>0.43689391375243397</v>
      </c>
      <c r="R45" s="192">
        <f t="shared" si="1"/>
        <v>0</v>
      </c>
      <c r="S45" s="192">
        <f t="shared" si="2"/>
        <v>0</v>
      </c>
      <c r="T45" s="192">
        <f t="shared" si="3"/>
        <v>0</v>
      </c>
      <c r="U45" s="192">
        <f t="shared" si="4"/>
        <v>0</v>
      </c>
      <c r="V45" s="169">
        <f>3000000+4000000+999458+233680+1500000+20000000+320040+1270000+4946650+1860362+5000000+469900+2000000+476250+1500000+1200000+297180+460000</f>
        <v>49533520</v>
      </c>
      <c r="W45" s="169">
        <f>-2000000-3000000-10000000-1900000-1000000-18000000-7000000-2500000-2000000</f>
        <v>-47400000</v>
      </c>
      <c r="X45" s="169">
        <v>199623920</v>
      </c>
      <c r="Y45" s="169">
        <f>SUM(W45:X45)</f>
        <v>152223920</v>
      </c>
      <c r="AA45" s="538">
        <f t="shared" si="12"/>
        <v>23612772</v>
      </c>
      <c r="AB45" s="1269">
        <f>16557187-18320307</f>
        <v>-1763120</v>
      </c>
      <c r="AD45" s="603">
        <v>30198159</v>
      </c>
    </row>
    <row r="46" spans="1:30" ht="38.25" hidden="1">
      <c r="A46" s="187" t="s">
        <v>3575</v>
      </c>
      <c r="B46" s="2221" t="s">
        <v>3595</v>
      </c>
      <c r="C46" s="238" t="s">
        <v>1032</v>
      </c>
      <c r="D46" s="187" t="s">
        <v>2385</v>
      </c>
      <c r="E46" s="187">
        <v>3</v>
      </c>
      <c r="F46" s="191" t="s">
        <v>1131</v>
      </c>
      <c r="G46" s="187">
        <v>9311021</v>
      </c>
      <c r="H46" s="191" t="s">
        <v>2362</v>
      </c>
      <c r="I46" s="192">
        <f>58833600+25872400+8650000+5334400</f>
        <v>98690400</v>
      </c>
      <c r="J46" s="2550">
        <v>0</v>
      </c>
      <c r="K46" s="2219">
        <f>0</f>
        <v>0</v>
      </c>
      <c r="L46" s="192">
        <f t="shared" ref="L46:L63" si="30">+K46</f>
        <v>0</v>
      </c>
      <c r="M46" s="192">
        <f>+L46</f>
        <v>0</v>
      </c>
      <c r="N46" s="192">
        <f>+M46</f>
        <v>0</v>
      </c>
      <c r="O46" s="192">
        <f t="shared" si="29"/>
        <v>0</v>
      </c>
      <c r="P46" s="538">
        <v>0</v>
      </c>
      <c r="Q46" s="193" t="e">
        <f t="shared" si="24"/>
        <v>#DIV/0!</v>
      </c>
      <c r="R46" s="192">
        <f t="shared" si="1"/>
        <v>0</v>
      </c>
      <c r="S46" s="192">
        <f t="shared" si="2"/>
        <v>0</v>
      </c>
      <c r="T46" s="192">
        <f t="shared" si="3"/>
        <v>0</v>
      </c>
      <c r="U46" s="192">
        <f t="shared" si="4"/>
        <v>0</v>
      </c>
      <c r="V46" s="169">
        <f>58833600+25872400+8650000+5334400</f>
        <v>98690400</v>
      </c>
      <c r="W46" s="169"/>
      <c r="Y46" s="172">
        <f>+K45+K46</f>
        <v>41933079</v>
      </c>
      <c r="AA46" s="538">
        <f t="shared" si="12"/>
        <v>0</v>
      </c>
      <c r="AB46" s="171">
        <f>28000000+3000000+3000000+2000000+1500000+3000000+500000+2500000+30000000+4000000+3000000+3000000+500000</f>
        <v>84000000</v>
      </c>
      <c r="AD46" s="603">
        <v>0</v>
      </c>
    </row>
    <row r="47" spans="1:30" ht="12.75" customHeight="1">
      <c r="A47" s="659" t="s">
        <v>411</v>
      </c>
      <c r="B47" s="674" t="s">
        <v>3669</v>
      </c>
      <c r="C47" s="191" t="s">
        <v>1032</v>
      </c>
      <c r="D47" s="187" t="s">
        <v>3502</v>
      </c>
      <c r="E47" s="187">
        <v>3</v>
      </c>
      <c r="F47" s="191" t="s">
        <v>751</v>
      </c>
      <c r="G47" s="187">
        <v>9990001</v>
      </c>
      <c r="H47" s="191" t="s">
        <v>2360</v>
      </c>
      <c r="I47" s="192">
        <f>841290906-180301304-18273808</f>
        <v>642715794</v>
      </c>
      <c r="J47" s="2550">
        <v>559410031</v>
      </c>
      <c r="K47" s="2219">
        <f>49465378+33840385</f>
        <v>83305763</v>
      </c>
      <c r="L47" s="192">
        <f t="shared" si="30"/>
        <v>83305763</v>
      </c>
      <c r="M47" s="192">
        <f>+L47</f>
        <v>83305763</v>
      </c>
      <c r="N47" s="192">
        <f t="shared" ref="N47:N61" si="31">+M47</f>
        <v>83305763</v>
      </c>
      <c r="O47" s="192">
        <f t="shared" si="29"/>
        <v>83305763</v>
      </c>
      <c r="P47" s="538">
        <v>45996545</v>
      </c>
      <c r="Q47" s="193">
        <f t="shared" si="24"/>
        <v>0.55214121260734383</v>
      </c>
      <c r="R47" s="192">
        <f t="shared" si="1"/>
        <v>0</v>
      </c>
      <c r="S47" s="192">
        <f t="shared" si="2"/>
        <v>0</v>
      </c>
      <c r="T47" s="192">
        <f t="shared" si="3"/>
        <v>0</v>
      </c>
      <c r="U47" s="192">
        <f t="shared" si="4"/>
        <v>0</v>
      </c>
      <c r="V47" s="169">
        <f>575035023+67680771</f>
        <v>642715794</v>
      </c>
      <c r="W47" s="169"/>
      <c r="AA47" s="538">
        <f t="shared" si="12"/>
        <v>37309218</v>
      </c>
      <c r="AD47" s="603">
        <v>559410031</v>
      </c>
    </row>
    <row r="48" spans="1:30">
      <c r="A48" s="179" t="s">
        <v>412</v>
      </c>
      <c r="B48" s="237" t="s">
        <v>3501</v>
      </c>
      <c r="C48" s="191" t="s">
        <v>1032</v>
      </c>
      <c r="D48" s="187" t="s">
        <v>3498</v>
      </c>
      <c r="E48" s="187">
        <v>3</v>
      </c>
      <c r="F48" s="191" t="s">
        <v>3499</v>
      </c>
      <c r="G48" s="187">
        <v>9990001</v>
      </c>
      <c r="H48" s="191" t="s">
        <v>2360</v>
      </c>
      <c r="I48" s="192">
        <f>62000000+73500000+52500000+55000000+57000000+50000000+373171355+100000000-180000000-500000000</f>
        <v>143171355</v>
      </c>
      <c r="J48" s="2550">
        <v>0</v>
      </c>
      <c r="K48" s="2219">
        <f>450000000-450000000+100000000+700000000-700000000</f>
        <v>100000000</v>
      </c>
      <c r="L48" s="192">
        <f t="shared" si="30"/>
        <v>100000000</v>
      </c>
      <c r="M48" s="192">
        <f>+L48</f>
        <v>100000000</v>
      </c>
      <c r="N48" s="192">
        <f t="shared" si="31"/>
        <v>100000000</v>
      </c>
      <c r="O48" s="192">
        <f t="shared" si="29"/>
        <v>100000000</v>
      </c>
      <c r="P48" s="538">
        <v>0</v>
      </c>
      <c r="Q48" s="193">
        <f t="shared" si="24"/>
        <v>0</v>
      </c>
      <c r="R48" s="192">
        <f t="shared" si="1"/>
        <v>0</v>
      </c>
      <c r="S48" s="192">
        <f t="shared" si="2"/>
        <v>0</v>
      </c>
      <c r="T48" s="192">
        <f t="shared" si="3"/>
        <v>0</v>
      </c>
      <c r="U48" s="192">
        <f t="shared" si="4"/>
        <v>0</v>
      </c>
      <c r="V48" s="169"/>
      <c r="W48" s="169"/>
      <c r="AA48" s="538">
        <f t="shared" si="12"/>
        <v>100000000</v>
      </c>
      <c r="AD48" s="603">
        <v>0</v>
      </c>
    </row>
    <row r="49" spans="1:30" ht="13.5" hidden="1" customHeight="1">
      <c r="A49" s="179"/>
      <c r="B49" s="237"/>
      <c r="C49" s="191" t="s">
        <v>1032</v>
      </c>
      <c r="D49" s="187" t="s">
        <v>2386</v>
      </c>
      <c r="E49" s="187">
        <v>3</v>
      </c>
      <c r="F49" s="191" t="s">
        <v>1134</v>
      </c>
      <c r="G49" s="187">
        <v>9990001</v>
      </c>
      <c r="H49" s="191" t="s">
        <v>2362</v>
      </c>
      <c r="I49" s="192">
        <f>0</f>
        <v>0</v>
      </c>
      <c r="J49" s="2550">
        <v>0</v>
      </c>
      <c r="K49" s="2219">
        <f>0</f>
        <v>0</v>
      </c>
      <c r="L49" s="192">
        <f t="shared" si="30"/>
        <v>0</v>
      </c>
      <c r="M49" s="192">
        <f t="shared" ref="M49:M62" si="32">+L49</f>
        <v>0</v>
      </c>
      <c r="N49" s="192">
        <f t="shared" si="31"/>
        <v>0</v>
      </c>
      <c r="O49" s="192">
        <f t="shared" si="29"/>
        <v>0</v>
      </c>
      <c r="P49" s="538">
        <v>0</v>
      </c>
      <c r="Q49" s="193" t="e">
        <f t="shared" si="24"/>
        <v>#DIV/0!</v>
      </c>
      <c r="R49" s="192">
        <f t="shared" si="1"/>
        <v>0</v>
      </c>
      <c r="S49" s="192">
        <f t="shared" si="2"/>
        <v>0</v>
      </c>
      <c r="T49" s="192">
        <f t="shared" si="3"/>
        <v>0</v>
      </c>
      <c r="U49" s="192">
        <f t="shared" si="4"/>
        <v>0</v>
      </c>
      <c r="V49" s="169"/>
      <c r="W49" s="169"/>
      <c r="AA49" s="538">
        <f t="shared" si="12"/>
        <v>0</v>
      </c>
      <c r="AD49" s="603">
        <v>0</v>
      </c>
    </row>
    <row r="50" spans="1:30">
      <c r="A50" s="179" t="s">
        <v>413</v>
      </c>
      <c r="B50" s="237" t="s">
        <v>3192</v>
      </c>
      <c r="C50" s="191" t="s">
        <v>1032</v>
      </c>
      <c r="D50" s="187" t="s">
        <v>2387</v>
      </c>
      <c r="E50" s="187">
        <v>3</v>
      </c>
      <c r="F50" s="191" t="s">
        <v>751</v>
      </c>
      <c r="G50" s="187">
        <v>9990001</v>
      </c>
      <c r="H50" s="191" t="s">
        <v>2362</v>
      </c>
      <c r="I50" s="192">
        <f>118434893</f>
        <v>118434893</v>
      </c>
      <c r="J50" s="2550">
        <v>117713533</v>
      </c>
      <c r="K50" s="2219">
        <f>0</f>
        <v>0</v>
      </c>
      <c r="L50" s="192">
        <f t="shared" si="30"/>
        <v>0</v>
      </c>
      <c r="M50" s="192">
        <f t="shared" si="32"/>
        <v>0</v>
      </c>
      <c r="N50" s="192">
        <f t="shared" si="31"/>
        <v>0</v>
      </c>
      <c r="O50" s="192">
        <f t="shared" si="29"/>
        <v>0</v>
      </c>
      <c r="P50" s="538">
        <v>0</v>
      </c>
      <c r="Q50" s="193"/>
      <c r="R50" s="192">
        <f t="shared" si="1"/>
        <v>0</v>
      </c>
      <c r="S50" s="192">
        <f t="shared" si="2"/>
        <v>0</v>
      </c>
      <c r="T50" s="192">
        <f t="shared" si="3"/>
        <v>0</v>
      </c>
      <c r="U50" s="192">
        <f t="shared" si="4"/>
        <v>0</v>
      </c>
      <c r="V50" s="169"/>
      <c r="W50" s="169"/>
      <c r="AA50" s="538">
        <f t="shared" si="12"/>
        <v>0</v>
      </c>
      <c r="AD50" s="603">
        <v>117713533</v>
      </c>
    </row>
    <row r="51" spans="1:30" ht="27.75" hidden="1" customHeight="1">
      <c r="A51" s="179"/>
      <c r="B51" s="237" t="s">
        <v>2388</v>
      </c>
      <c r="C51" s="191" t="s">
        <v>1032</v>
      </c>
      <c r="D51" s="187" t="s">
        <v>2389</v>
      </c>
      <c r="E51" s="187">
        <v>3</v>
      </c>
      <c r="F51" s="191" t="s">
        <v>751</v>
      </c>
      <c r="G51" s="187">
        <v>9990001</v>
      </c>
      <c r="H51" s="191" t="s">
        <v>2390</v>
      </c>
      <c r="I51" s="192">
        <f>118000-118000</f>
        <v>0</v>
      </c>
      <c r="J51" s="2550">
        <v>0</v>
      </c>
      <c r="K51" s="2219">
        <f>118000-118000</f>
        <v>0</v>
      </c>
      <c r="L51" s="192">
        <f t="shared" si="30"/>
        <v>0</v>
      </c>
      <c r="M51" s="192">
        <f t="shared" si="32"/>
        <v>0</v>
      </c>
      <c r="N51" s="192">
        <f t="shared" si="31"/>
        <v>0</v>
      </c>
      <c r="O51" s="192">
        <f t="shared" si="29"/>
        <v>0</v>
      </c>
      <c r="P51" s="538">
        <v>0</v>
      </c>
      <c r="Q51" s="193" t="e">
        <f>+K51/I51</f>
        <v>#DIV/0!</v>
      </c>
      <c r="R51" s="192">
        <f t="shared" si="1"/>
        <v>0</v>
      </c>
      <c r="S51" s="192">
        <f t="shared" si="2"/>
        <v>0</v>
      </c>
      <c r="T51" s="192">
        <f t="shared" si="3"/>
        <v>0</v>
      </c>
      <c r="U51" s="192">
        <f t="shared" si="4"/>
        <v>0</v>
      </c>
      <c r="V51" s="169"/>
      <c r="W51" s="169"/>
      <c r="AA51" s="538">
        <f t="shared" si="12"/>
        <v>0</v>
      </c>
      <c r="AD51" s="603">
        <v>0</v>
      </c>
    </row>
    <row r="52" spans="1:30">
      <c r="A52" s="179" t="s">
        <v>417</v>
      </c>
      <c r="B52" s="237" t="s">
        <v>3881</v>
      </c>
      <c r="C52" s="191" t="s">
        <v>1032</v>
      </c>
      <c r="D52" s="187" t="s">
        <v>2391</v>
      </c>
      <c r="E52" s="187">
        <v>3</v>
      </c>
      <c r="F52" s="191" t="s">
        <v>751</v>
      </c>
      <c r="G52" s="187">
        <v>9990001</v>
      </c>
      <c r="H52" s="191" t="s">
        <v>2390</v>
      </c>
      <c r="I52" s="209">
        <f>0</f>
        <v>0</v>
      </c>
      <c r="J52" s="2550">
        <v>0</v>
      </c>
      <c r="K52" s="2219">
        <f>161108513-161108513</f>
        <v>0</v>
      </c>
      <c r="L52" s="192">
        <f t="shared" si="30"/>
        <v>0</v>
      </c>
      <c r="M52" s="192">
        <f t="shared" si="32"/>
        <v>0</v>
      </c>
      <c r="N52" s="192">
        <f t="shared" si="31"/>
        <v>0</v>
      </c>
      <c r="O52" s="192">
        <f t="shared" si="29"/>
        <v>0</v>
      </c>
      <c r="P52" s="538">
        <v>0</v>
      </c>
      <c r="Q52" s="193"/>
      <c r="R52" s="192">
        <f t="shared" si="1"/>
        <v>0</v>
      </c>
      <c r="S52" s="192">
        <f t="shared" si="2"/>
        <v>0</v>
      </c>
      <c r="T52" s="192">
        <f t="shared" si="3"/>
        <v>0</v>
      </c>
      <c r="U52" s="192">
        <f t="shared" si="4"/>
        <v>0</v>
      </c>
      <c r="V52" s="169"/>
      <c r="W52" s="169"/>
      <c r="AA52" s="538">
        <f t="shared" si="12"/>
        <v>0</v>
      </c>
      <c r="AD52" s="603">
        <v>0</v>
      </c>
    </row>
    <row r="53" spans="1:30" ht="25.5">
      <c r="A53" s="179" t="s">
        <v>450</v>
      </c>
      <c r="B53" s="237" t="s">
        <v>3199</v>
      </c>
      <c r="C53" s="191" t="s">
        <v>1032</v>
      </c>
      <c r="D53" s="187"/>
      <c r="E53" s="187">
        <v>3</v>
      </c>
      <c r="F53" s="191" t="s">
        <v>751</v>
      </c>
      <c r="G53" s="187">
        <v>9990001</v>
      </c>
      <c r="H53" s="191"/>
      <c r="I53" s="192">
        <f>3355546977-18445307-694938696</f>
        <v>2642162974</v>
      </c>
      <c r="J53" s="2550">
        <v>1657233638</v>
      </c>
      <c r="K53" s="2219">
        <f>984929336</f>
        <v>984929336</v>
      </c>
      <c r="L53" s="192">
        <f t="shared" si="30"/>
        <v>984929336</v>
      </c>
      <c r="M53" s="192">
        <f t="shared" si="32"/>
        <v>984929336</v>
      </c>
      <c r="N53" s="192">
        <f t="shared" si="31"/>
        <v>984929336</v>
      </c>
      <c r="O53" s="192">
        <f t="shared" si="29"/>
        <v>984929336</v>
      </c>
      <c r="P53" s="538">
        <v>926985005</v>
      </c>
      <c r="Q53" s="193">
        <f t="shared" ref="Q53:Q58" si="33">+P53/N53</f>
        <v>0.94116904748179819</v>
      </c>
      <c r="R53" s="192">
        <f t="shared" si="1"/>
        <v>0</v>
      </c>
      <c r="S53" s="192">
        <f t="shared" si="2"/>
        <v>0</v>
      </c>
      <c r="T53" s="192">
        <f t="shared" si="3"/>
        <v>0</v>
      </c>
      <c r="U53" s="192">
        <f t="shared" si="4"/>
        <v>0</v>
      </c>
      <c r="V53" s="169"/>
      <c r="W53" s="169"/>
      <c r="AA53" s="538">
        <f t="shared" si="12"/>
        <v>57944331</v>
      </c>
      <c r="AD53" s="603">
        <v>1657233638</v>
      </c>
    </row>
    <row r="54" spans="1:30" ht="26.25" hidden="1" customHeight="1">
      <c r="A54" s="1594" t="s">
        <v>3496</v>
      </c>
      <c r="B54" s="237" t="s">
        <v>3187</v>
      </c>
      <c r="C54" s="191" t="s">
        <v>1032</v>
      </c>
      <c r="D54" s="187" t="s">
        <v>3186</v>
      </c>
      <c r="E54" s="187">
        <v>3</v>
      </c>
      <c r="F54" s="191" t="s">
        <v>1131</v>
      </c>
      <c r="G54" s="187"/>
      <c r="H54" s="191"/>
      <c r="I54" s="192">
        <f>0</f>
        <v>0</v>
      </c>
      <c r="J54" s="2550">
        <v>0</v>
      </c>
      <c r="K54" s="2219">
        <f>0</f>
        <v>0</v>
      </c>
      <c r="L54" s="192">
        <f t="shared" si="30"/>
        <v>0</v>
      </c>
      <c r="M54" s="192">
        <f t="shared" si="32"/>
        <v>0</v>
      </c>
      <c r="N54" s="192">
        <f t="shared" si="31"/>
        <v>0</v>
      </c>
      <c r="O54" s="192">
        <f t="shared" si="29"/>
        <v>0</v>
      </c>
      <c r="P54" s="538"/>
      <c r="Q54" s="193" t="e">
        <f t="shared" si="33"/>
        <v>#DIV/0!</v>
      </c>
      <c r="R54" s="192">
        <f>+L54-K54</f>
        <v>0</v>
      </c>
      <c r="S54" s="192">
        <f t="shared" si="2"/>
        <v>0</v>
      </c>
      <c r="T54" s="192"/>
      <c r="U54" s="192"/>
      <c r="V54" s="169"/>
      <c r="W54" s="169"/>
      <c r="AA54" s="538">
        <f t="shared" si="12"/>
        <v>0</v>
      </c>
      <c r="AD54" s="603"/>
    </row>
    <row r="55" spans="1:30" ht="12.75" customHeight="1">
      <c r="A55" s="179" t="s">
        <v>1379</v>
      </c>
      <c r="B55" s="670" t="s">
        <v>117</v>
      </c>
      <c r="C55" s="191" t="s">
        <v>973</v>
      </c>
      <c r="D55" s="187" t="s">
        <v>2393</v>
      </c>
      <c r="E55" s="187">
        <v>2</v>
      </c>
      <c r="F55" s="191" t="s">
        <v>975</v>
      </c>
      <c r="G55" s="187">
        <v>8130001</v>
      </c>
      <c r="H55" s="191" t="s">
        <v>2362</v>
      </c>
      <c r="I55" s="192">
        <f>2286000+20000000-20000000+10000000-10000000+80000000+26732230</f>
        <v>109018230</v>
      </c>
      <c r="J55" s="2550">
        <v>21527491</v>
      </c>
      <c r="K55" s="2219">
        <f>40000000+222000000+40000000+3000000-305000000</f>
        <v>0</v>
      </c>
      <c r="L55" s="192">
        <f t="shared" si="30"/>
        <v>0</v>
      </c>
      <c r="M55" s="192">
        <f t="shared" si="32"/>
        <v>0</v>
      </c>
      <c r="N55" s="192">
        <f t="shared" si="31"/>
        <v>0</v>
      </c>
      <c r="O55" s="192">
        <f t="shared" si="29"/>
        <v>0</v>
      </c>
      <c r="P55" s="538">
        <v>0</v>
      </c>
      <c r="Q55" s="193"/>
      <c r="R55" s="192">
        <f t="shared" ref="R55:R86" si="34">+L55-K55</f>
        <v>0</v>
      </c>
      <c r="S55" s="192">
        <f t="shared" si="2"/>
        <v>0</v>
      </c>
      <c r="T55" s="192">
        <f t="shared" ref="T55:T86" si="35">+N55-M55</f>
        <v>0</v>
      </c>
      <c r="U55" s="192">
        <f>+O55-N55</f>
        <v>0</v>
      </c>
      <c r="V55" s="169">
        <f>+K55/1.27</f>
        <v>0</v>
      </c>
      <c r="W55" s="169">
        <f>+V55*0.27</f>
        <v>0</v>
      </c>
      <c r="AA55" s="538">
        <f t="shared" si="12"/>
        <v>0</v>
      </c>
      <c r="AD55" s="603">
        <v>21527491</v>
      </c>
    </row>
    <row r="56" spans="1:30">
      <c r="A56" s="179" t="s">
        <v>619</v>
      </c>
      <c r="B56" s="670" t="s">
        <v>118</v>
      </c>
      <c r="C56" s="191" t="s">
        <v>1012</v>
      </c>
      <c r="D56" s="187" t="s">
        <v>2394</v>
      </c>
      <c r="E56" s="187">
        <v>2</v>
      </c>
      <c r="F56" s="191" t="s">
        <v>1134</v>
      </c>
      <c r="G56" s="187">
        <v>9990001</v>
      </c>
      <c r="H56" s="191" t="s">
        <v>2362</v>
      </c>
      <c r="I56" s="192">
        <f>599440+2000000-2000000+8500000+2500600-2500600+4000000</f>
        <v>13099440</v>
      </c>
      <c r="J56" s="2550">
        <v>9156700</v>
      </c>
      <c r="K56" s="2219">
        <f>140000000-140000000+58000000-58000000+65400000-65400000+25000000-25000000+5200000-5200000+2000000+9200000-9200000+4900000-4900000+4000000-4000000</f>
        <v>2000000</v>
      </c>
      <c r="L56" s="192">
        <f t="shared" si="30"/>
        <v>2000000</v>
      </c>
      <c r="M56" s="192">
        <f t="shared" si="32"/>
        <v>2000000</v>
      </c>
      <c r="N56" s="192">
        <f>+M56+1415974</f>
        <v>3415974</v>
      </c>
      <c r="O56" s="192">
        <f t="shared" si="29"/>
        <v>3415974</v>
      </c>
      <c r="P56" s="538">
        <f>9392844-6731000</f>
        <v>2661844</v>
      </c>
      <c r="Q56" s="193">
        <f t="shared" si="33"/>
        <v>0.7792342681765142</v>
      </c>
      <c r="R56" s="192">
        <f t="shared" si="34"/>
        <v>0</v>
      </c>
      <c r="S56" s="192">
        <f t="shared" si="2"/>
        <v>0</v>
      </c>
      <c r="T56" s="192">
        <f t="shared" si="35"/>
        <v>1415974</v>
      </c>
      <c r="U56" s="192">
        <f>+O56-N56</f>
        <v>0</v>
      </c>
      <c r="V56" s="169">
        <f>+K56/1.27</f>
        <v>1574803.1496062991</v>
      </c>
      <c r="W56" s="169">
        <f>+V56*0.27</f>
        <v>425196.85039370076</v>
      </c>
      <c r="AA56" s="538">
        <f t="shared" si="12"/>
        <v>754130</v>
      </c>
      <c r="AB56" s="172">
        <f>2661844-P56</f>
        <v>0</v>
      </c>
      <c r="AD56" s="603">
        <v>9156700</v>
      </c>
    </row>
    <row r="57" spans="1:30" ht="32.25" hidden="1" customHeight="1">
      <c r="A57" s="179" t="s">
        <v>619</v>
      </c>
      <c r="B57" s="237" t="s">
        <v>120</v>
      </c>
      <c r="C57" s="238" t="s">
        <v>1012</v>
      </c>
      <c r="D57" s="181">
        <v>6214281</v>
      </c>
      <c r="E57" s="187">
        <v>3</v>
      </c>
      <c r="F57" s="191" t="s">
        <v>1048</v>
      </c>
      <c r="G57" s="187">
        <v>9990001</v>
      </c>
      <c r="H57" s="191" t="s">
        <v>2362</v>
      </c>
      <c r="I57" s="192">
        <f>0</f>
        <v>0</v>
      </c>
      <c r="J57" s="2550">
        <v>0</v>
      </c>
      <c r="K57" s="2219">
        <f>0</f>
        <v>0</v>
      </c>
      <c r="L57" s="192">
        <f t="shared" si="30"/>
        <v>0</v>
      </c>
      <c r="M57" s="192">
        <f t="shared" si="32"/>
        <v>0</v>
      </c>
      <c r="N57" s="192">
        <f t="shared" si="31"/>
        <v>0</v>
      </c>
      <c r="O57" s="192">
        <f t="shared" si="29"/>
        <v>0</v>
      </c>
      <c r="P57" s="538">
        <v>0</v>
      </c>
      <c r="Q57" s="193" t="e">
        <f t="shared" si="33"/>
        <v>#DIV/0!</v>
      </c>
      <c r="R57" s="192">
        <f t="shared" si="34"/>
        <v>0</v>
      </c>
      <c r="S57" s="192">
        <f t="shared" si="2"/>
        <v>0</v>
      </c>
      <c r="T57" s="192">
        <f t="shared" si="35"/>
        <v>0</v>
      </c>
      <c r="U57" s="192"/>
      <c r="V57" s="169"/>
      <c r="W57" s="169">
        <f>602576-576960</f>
        <v>25616</v>
      </c>
      <c r="AA57" s="538">
        <f t="shared" si="12"/>
        <v>0</v>
      </c>
      <c r="AD57" s="603">
        <v>0</v>
      </c>
    </row>
    <row r="58" spans="1:30">
      <c r="A58" s="179" t="s">
        <v>629</v>
      </c>
      <c r="B58" s="237" t="s">
        <v>3549</v>
      </c>
      <c r="C58" s="238" t="s">
        <v>1012</v>
      </c>
      <c r="D58" s="181" t="s">
        <v>2395</v>
      </c>
      <c r="E58" s="187">
        <v>3</v>
      </c>
      <c r="F58" s="191" t="s">
        <v>1134</v>
      </c>
      <c r="G58" s="187">
        <v>999001</v>
      </c>
      <c r="H58" s="191" t="s">
        <v>2362</v>
      </c>
      <c r="I58" s="192">
        <f>10000000</f>
        <v>10000000</v>
      </c>
      <c r="J58" s="2550">
        <v>6453700</v>
      </c>
      <c r="K58" s="2219">
        <f>133350+635000+480000+46000000</f>
        <v>47248350</v>
      </c>
      <c r="L58" s="192">
        <f t="shared" si="30"/>
        <v>47248350</v>
      </c>
      <c r="M58" s="192">
        <f t="shared" si="32"/>
        <v>47248350</v>
      </c>
      <c r="N58" s="192">
        <f>+M58+40106000</f>
        <v>87354350</v>
      </c>
      <c r="O58" s="192">
        <f t="shared" si="29"/>
        <v>87354350</v>
      </c>
      <c r="P58" s="538">
        <v>1191200</v>
      </c>
      <c r="Q58" s="193">
        <f t="shared" si="33"/>
        <v>1.3636413069297637E-2</v>
      </c>
      <c r="R58" s="192">
        <f t="shared" si="34"/>
        <v>0</v>
      </c>
      <c r="S58" s="192">
        <f t="shared" si="2"/>
        <v>0</v>
      </c>
      <c r="T58" s="192">
        <f t="shared" si="35"/>
        <v>40106000</v>
      </c>
      <c r="U58" s="192"/>
      <c r="V58" s="169"/>
      <c r="W58" s="169"/>
      <c r="AA58" s="538">
        <f t="shared" si="12"/>
        <v>86163150</v>
      </c>
      <c r="AD58" s="603">
        <v>6453700</v>
      </c>
    </row>
    <row r="59" spans="1:30">
      <c r="A59" s="179" t="s">
        <v>636</v>
      </c>
      <c r="B59" s="670" t="s">
        <v>3882</v>
      </c>
      <c r="C59" s="238" t="s">
        <v>1032</v>
      </c>
      <c r="D59" s="181" t="s">
        <v>2396</v>
      </c>
      <c r="E59" s="190">
        <v>3</v>
      </c>
      <c r="F59" s="180" t="s">
        <v>565</v>
      </c>
      <c r="G59" s="190">
        <v>9990001</v>
      </c>
      <c r="H59" s="191" t="s">
        <v>2362</v>
      </c>
      <c r="I59" s="192">
        <f>0</f>
        <v>0</v>
      </c>
      <c r="J59" s="2550">
        <v>0</v>
      </c>
      <c r="K59" s="2219">
        <f>1050000000-1050000000</f>
        <v>0</v>
      </c>
      <c r="L59" s="192">
        <f t="shared" si="30"/>
        <v>0</v>
      </c>
      <c r="M59" s="192">
        <f t="shared" si="32"/>
        <v>0</v>
      </c>
      <c r="N59" s="192">
        <f t="shared" si="31"/>
        <v>0</v>
      </c>
      <c r="O59" s="192">
        <f t="shared" si="29"/>
        <v>0</v>
      </c>
      <c r="P59" s="538">
        <v>0</v>
      </c>
      <c r="Q59" s="193"/>
      <c r="R59" s="192">
        <f t="shared" si="34"/>
        <v>0</v>
      </c>
      <c r="S59" s="192">
        <f t="shared" si="2"/>
        <v>0</v>
      </c>
      <c r="T59" s="192">
        <f t="shared" si="35"/>
        <v>0</v>
      </c>
      <c r="U59" s="192">
        <f>+O59-N59</f>
        <v>0</v>
      </c>
      <c r="V59" s="169"/>
      <c r="W59" s="169"/>
      <c r="AA59" s="538">
        <f t="shared" si="12"/>
        <v>0</v>
      </c>
      <c r="AD59" s="603">
        <v>0</v>
      </c>
    </row>
    <row r="60" spans="1:30" ht="25.5" hidden="1" customHeight="1">
      <c r="A60" s="179"/>
      <c r="B60" s="237" t="s">
        <v>3183</v>
      </c>
      <c r="C60" s="238" t="s">
        <v>1032</v>
      </c>
      <c r="D60" s="181"/>
      <c r="E60" s="189">
        <v>3</v>
      </c>
      <c r="F60" s="180"/>
      <c r="G60" s="190"/>
      <c r="H60" s="191"/>
      <c r="I60" s="192">
        <f>78000-78000</f>
        <v>0</v>
      </c>
      <c r="J60" s="2550">
        <v>0</v>
      </c>
      <c r="K60" s="2219">
        <f>78000-78000</f>
        <v>0</v>
      </c>
      <c r="L60" s="192">
        <f t="shared" si="30"/>
        <v>0</v>
      </c>
      <c r="M60" s="192">
        <f t="shared" si="32"/>
        <v>0</v>
      </c>
      <c r="N60" s="192">
        <f t="shared" si="31"/>
        <v>0</v>
      </c>
      <c r="O60" s="192">
        <f t="shared" si="29"/>
        <v>0</v>
      </c>
      <c r="P60" s="538"/>
      <c r="Q60" s="193" t="e">
        <f>+K60/I60</f>
        <v>#DIV/0!</v>
      </c>
      <c r="R60" s="192">
        <f t="shared" si="34"/>
        <v>0</v>
      </c>
      <c r="S60" s="192">
        <f t="shared" si="2"/>
        <v>0</v>
      </c>
      <c r="T60" s="192">
        <f t="shared" si="35"/>
        <v>0</v>
      </c>
      <c r="U60" s="192"/>
      <c r="V60" s="169"/>
      <c r="W60" s="169"/>
      <c r="AA60" s="538">
        <f t="shared" si="12"/>
        <v>0</v>
      </c>
      <c r="AD60" s="603"/>
    </row>
    <row r="61" spans="1:30" ht="25.5">
      <c r="A61" s="179" t="s">
        <v>638</v>
      </c>
      <c r="B61" s="237" t="s">
        <v>3584</v>
      </c>
      <c r="C61" s="238" t="s">
        <v>973</v>
      </c>
      <c r="D61" s="181" t="s">
        <v>3172</v>
      </c>
      <c r="E61" s="189">
        <v>3</v>
      </c>
      <c r="F61" s="180" t="s">
        <v>975</v>
      </c>
      <c r="G61" s="187">
        <v>8130001</v>
      </c>
      <c r="H61" s="191" t="s">
        <v>2362</v>
      </c>
      <c r="I61" s="192">
        <f>2207763697-469367085</f>
        <v>1738396612</v>
      </c>
      <c r="J61" s="2550">
        <v>1518987330</v>
      </c>
      <c r="K61" s="2219">
        <f>168776371+50632911</f>
        <v>219409282</v>
      </c>
      <c r="L61" s="192">
        <f t="shared" si="30"/>
        <v>219409282</v>
      </c>
      <c r="M61" s="192">
        <f t="shared" si="32"/>
        <v>219409282</v>
      </c>
      <c r="N61" s="2219">
        <f t="shared" si="31"/>
        <v>219409282</v>
      </c>
      <c r="O61" s="192">
        <f t="shared" si="29"/>
        <v>219409282</v>
      </c>
      <c r="P61" s="538">
        <v>168776371</v>
      </c>
      <c r="Q61" s="193">
        <f>+P61/N61</f>
        <v>0.76923077028254438</v>
      </c>
      <c r="R61" s="192">
        <f t="shared" si="34"/>
        <v>0</v>
      </c>
      <c r="S61" s="192">
        <f t="shared" ref="S61:S86" si="36">+M61-L61</f>
        <v>0</v>
      </c>
      <c r="T61" s="192">
        <f t="shared" si="35"/>
        <v>0</v>
      </c>
      <c r="U61" s="192">
        <f t="shared" ref="U61:U86" si="37">+O61-N61</f>
        <v>0</v>
      </c>
      <c r="V61" s="169"/>
      <c r="W61" s="169"/>
      <c r="AA61" s="538">
        <f t="shared" si="12"/>
        <v>50632911</v>
      </c>
      <c r="AD61" s="603">
        <v>1518987330</v>
      </c>
    </row>
    <row r="62" spans="1:30" ht="25.5">
      <c r="A62" s="179" t="s">
        <v>1389</v>
      </c>
      <c r="B62" s="237" t="s">
        <v>3964</v>
      </c>
      <c r="C62" s="191" t="s">
        <v>736</v>
      </c>
      <c r="D62" s="181" t="s">
        <v>3055</v>
      </c>
      <c r="E62" s="189">
        <v>3</v>
      </c>
      <c r="F62" s="180" t="s">
        <v>751</v>
      </c>
      <c r="G62" s="187">
        <v>9990001</v>
      </c>
      <c r="H62" s="191" t="s">
        <v>2362</v>
      </c>
      <c r="I62" s="192">
        <f>0+50000000-50000000</f>
        <v>0</v>
      </c>
      <c r="J62" s="2550">
        <v>0</v>
      </c>
      <c r="K62" s="2219">
        <f>0+50000000-50000000</f>
        <v>0</v>
      </c>
      <c r="L62" s="192">
        <f t="shared" si="30"/>
        <v>0</v>
      </c>
      <c r="M62" s="192">
        <f t="shared" si="32"/>
        <v>0</v>
      </c>
      <c r="N62" s="192">
        <f>+M62+24363786+5000000+4528376</f>
        <v>33892162</v>
      </c>
      <c r="O62" s="192">
        <f>+N62</f>
        <v>33892162</v>
      </c>
      <c r="P62" s="538">
        <v>0</v>
      </c>
      <c r="Q62" s="193"/>
      <c r="R62" s="192">
        <f>+L62-K62</f>
        <v>0</v>
      </c>
      <c r="S62" s="192">
        <f>+M62-L62</f>
        <v>0</v>
      </c>
      <c r="T62" s="192">
        <f>+N62-M62</f>
        <v>33892162</v>
      </c>
      <c r="U62" s="192">
        <f>+O62-N62</f>
        <v>0</v>
      </c>
      <c r="V62" s="169"/>
      <c r="W62" s="169"/>
      <c r="AA62" s="538">
        <f t="shared" si="12"/>
        <v>33892162</v>
      </c>
      <c r="AD62" s="603">
        <v>0</v>
      </c>
    </row>
    <row r="63" spans="1:30">
      <c r="A63" s="179" t="s">
        <v>646</v>
      </c>
      <c r="B63" s="670" t="s">
        <v>3657</v>
      </c>
      <c r="C63" s="191" t="s">
        <v>1032</v>
      </c>
      <c r="D63" s="187" t="s">
        <v>2383</v>
      </c>
      <c r="E63" s="187">
        <v>3</v>
      </c>
      <c r="F63" s="191" t="s">
        <v>3663</v>
      </c>
      <c r="G63" s="187">
        <v>9990001</v>
      </c>
      <c r="H63" s="191" t="s">
        <v>2362</v>
      </c>
      <c r="I63" s="192">
        <f>0</f>
        <v>0</v>
      </c>
      <c r="J63" s="2550">
        <v>0</v>
      </c>
      <c r="K63" s="2219">
        <f>55880000</f>
        <v>55880000</v>
      </c>
      <c r="L63" s="192">
        <f t="shared" si="30"/>
        <v>55880000</v>
      </c>
      <c r="M63" s="192">
        <f>+L63</f>
        <v>55880000</v>
      </c>
      <c r="N63" s="192">
        <f>+M63</f>
        <v>55880000</v>
      </c>
      <c r="O63" s="192">
        <f t="shared" si="29"/>
        <v>55880000</v>
      </c>
      <c r="P63" s="538">
        <v>55802086</v>
      </c>
      <c r="Q63" s="193">
        <f>+P63/N63</f>
        <v>0.99860569076592698</v>
      </c>
      <c r="R63" s="192">
        <f t="shared" si="34"/>
        <v>0</v>
      </c>
      <c r="S63" s="192">
        <f t="shared" si="36"/>
        <v>0</v>
      </c>
      <c r="T63" s="192">
        <f t="shared" si="35"/>
        <v>0</v>
      </c>
      <c r="U63" s="192">
        <f t="shared" si="37"/>
        <v>0</v>
      </c>
      <c r="V63" s="169"/>
      <c r="W63" s="169"/>
      <c r="AA63" s="538">
        <f t="shared" si="12"/>
        <v>77914</v>
      </c>
      <c r="AD63" s="603">
        <v>0</v>
      </c>
    </row>
    <row r="64" spans="1:30">
      <c r="A64" s="179" t="s">
        <v>648</v>
      </c>
      <c r="B64" s="672" t="s">
        <v>3346</v>
      </c>
      <c r="C64" s="185"/>
      <c r="D64" s="185"/>
      <c r="E64" s="185"/>
      <c r="F64" s="179"/>
      <c r="G64" s="179"/>
      <c r="H64" s="184" t="s">
        <v>2362</v>
      </c>
      <c r="I64" s="209">
        <f>SUM(I26:I63)-I35-I39-I40</f>
        <v>8710552539</v>
      </c>
      <c r="J64" s="2549">
        <f>SUM(J26:J63)-J35-J39-J40</f>
        <v>4986746584</v>
      </c>
      <c r="K64" s="2347">
        <f t="shared" ref="K64:P64" si="38">SUM(K26:K63)-K35-K39-K40</f>
        <v>2358824572</v>
      </c>
      <c r="L64" s="209">
        <f t="shared" si="38"/>
        <v>2365841322</v>
      </c>
      <c r="M64" s="209">
        <f t="shared" si="38"/>
        <v>2368499432</v>
      </c>
      <c r="N64" s="209">
        <f t="shared" si="38"/>
        <v>2124914450</v>
      </c>
      <c r="O64" s="209">
        <f t="shared" si="38"/>
        <v>2124914450</v>
      </c>
      <c r="P64" s="245">
        <f t="shared" si="38"/>
        <v>1390546523</v>
      </c>
      <c r="Q64" s="210">
        <f>+P64/N64</f>
        <v>0.65440117977455514</v>
      </c>
      <c r="R64" s="192">
        <f t="shared" si="34"/>
        <v>7016750</v>
      </c>
      <c r="S64" s="192">
        <f t="shared" si="36"/>
        <v>2658110</v>
      </c>
      <c r="T64" s="192">
        <f t="shared" si="35"/>
        <v>-243584982</v>
      </c>
      <c r="U64" s="192">
        <f t="shared" si="37"/>
        <v>0</v>
      </c>
      <c r="V64" s="169">
        <f>+K26+K27+K28+K29+K30+K31+K32+K34+K36+K37+K38+K41+K42+K43+K44+K45+K46+K55+K56+K57+K58+K59+K60+K61+K63</f>
        <v>1190589473</v>
      </c>
      <c r="W64" s="169"/>
      <c r="AA64" s="245">
        <f t="shared" si="12"/>
        <v>734367927</v>
      </c>
      <c r="AD64" s="245">
        <v>4986746584</v>
      </c>
    </row>
    <row r="65" spans="1:33">
      <c r="A65" s="179" t="s">
        <v>662</v>
      </c>
      <c r="B65" s="240" t="s">
        <v>2397</v>
      </c>
      <c r="C65" s="185"/>
      <c r="D65" s="185"/>
      <c r="E65" s="185"/>
      <c r="F65" s="179"/>
      <c r="G65" s="179"/>
      <c r="H65" s="184" t="s">
        <v>2398</v>
      </c>
      <c r="I65" s="617" t="s">
        <v>524</v>
      </c>
      <c r="J65" s="2549" t="str">
        <f>+I65</f>
        <v>0</v>
      </c>
      <c r="K65" s="2356" t="s">
        <v>524</v>
      </c>
      <c r="L65" s="209" t="str">
        <f>+K65</f>
        <v>0</v>
      </c>
      <c r="M65" s="209" t="str">
        <f>+L65</f>
        <v>0</v>
      </c>
      <c r="N65" s="209" t="str">
        <f>+M65</f>
        <v>0</v>
      </c>
      <c r="O65" s="209" t="str">
        <f>+N65</f>
        <v>0</v>
      </c>
      <c r="P65" s="245">
        <v>0</v>
      </c>
      <c r="Q65" s="210"/>
      <c r="R65" s="192">
        <f t="shared" si="34"/>
        <v>0</v>
      </c>
      <c r="S65" s="192">
        <f t="shared" si="36"/>
        <v>0</v>
      </c>
      <c r="T65" s="192">
        <f t="shared" si="35"/>
        <v>0</v>
      </c>
      <c r="U65" s="192">
        <f t="shared" si="37"/>
        <v>0</v>
      </c>
      <c r="V65" s="169"/>
      <c r="W65" s="169"/>
      <c r="AA65" s="245">
        <f t="shared" si="12"/>
        <v>0</v>
      </c>
      <c r="AD65" s="245">
        <v>0</v>
      </c>
    </row>
    <row r="66" spans="1:33">
      <c r="A66" s="179" t="s">
        <v>665</v>
      </c>
      <c r="B66" s="240" t="s">
        <v>3220</v>
      </c>
      <c r="C66" s="206"/>
      <c r="D66" s="206"/>
      <c r="E66" s="206"/>
      <c r="F66" s="207"/>
      <c r="G66" s="207"/>
      <c r="H66" s="184" t="s">
        <v>2399</v>
      </c>
      <c r="I66" s="209">
        <f>+I16+I25+I64+I65</f>
        <v>8859142350</v>
      </c>
      <c r="J66" s="2549">
        <f>+J16+J25+J64+J65</f>
        <v>4988171034</v>
      </c>
      <c r="K66" s="2347">
        <f t="shared" ref="K66:P66" si="39">+K16+K25+K64+K65</f>
        <v>2363017404</v>
      </c>
      <c r="L66" s="209">
        <f t="shared" si="39"/>
        <v>2370034154</v>
      </c>
      <c r="M66" s="209">
        <f t="shared" si="39"/>
        <v>2397244198</v>
      </c>
      <c r="N66" s="209">
        <f t="shared" si="39"/>
        <v>2153659216</v>
      </c>
      <c r="O66" s="209">
        <f t="shared" si="39"/>
        <v>2153659216</v>
      </c>
      <c r="P66" s="245">
        <f t="shared" si="39"/>
        <v>1419238457</v>
      </c>
      <c r="Q66" s="210">
        <f t="shared" ref="Q66:Q76" si="40">+P66/N66</f>
        <v>0.65898933612902666</v>
      </c>
      <c r="R66" s="192">
        <f t="shared" si="34"/>
        <v>7016750</v>
      </c>
      <c r="S66" s="192">
        <f t="shared" si="36"/>
        <v>27210044</v>
      </c>
      <c r="T66" s="192">
        <f t="shared" si="35"/>
        <v>-243584982</v>
      </c>
      <c r="U66" s="192">
        <f t="shared" si="37"/>
        <v>0</v>
      </c>
      <c r="V66" s="169"/>
      <c r="W66" s="169"/>
      <c r="AA66" s="245">
        <f t="shared" si="12"/>
        <v>734420759</v>
      </c>
      <c r="AD66" s="245">
        <v>4988171034</v>
      </c>
    </row>
    <row r="67" spans="1:33">
      <c r="A67" s="179" t="s">
        <v>676</v>
      </c>
      <c r="B67" s="237" t="s">
        <v>2400</v>
      </c>
      <c r="C67" s="180" t="s">
        <v>599</v>
      </c>
      <c r="D67" s="190" t="s">
        <v>2401</v>
      </c>
      <c r="E67" s="3460">
        <v>2</v>
      </c>
      <c r="F67" s="180" t="s">
        <v>534</v>
      </c>
      <c r="G67" s="187">
        <v>9990001</v>
      </c>
      <c r="H67" s="191" t="s">
        <v>2402</v>
      </c>
      <c r="I67" s="192">
        <f>5000000</f>
        <v>5000000</v>
      </c>
      <c r="J67" s="2550">
        <v>5044350</v>
      </c>
      <c r="K67" s="2219">
        <f>5000000</f>
        <v>5000000</v>
      </c>
      <c r="L67" s="192">
        <f t="shared" ref="L67:O71" si="41">+K67</f>
        <v>5000000</v>
      </c>
      <c r="M67" s="192">
        <f>+L67+1999868</f>
        <v>6999868</v>
      </c>
      <c r="N67" s="192">
        <f>+M67+630000+20000</f>
        <v>7649868</v>
      </c>
      <c r="O67" s="192">
        <f t="shared" si="41"/>
        <v>7649868</v>
      </c>
      <c r="P67" s="538">
        <f>7646548-1989868+1989868</f>
        <v>7646548</v>
      </c>
      <c r="Q67" s="193">
        <f t="shared" si="40"/>
        <v>0.99956600558336428</v>
      </c>
      <c r="R67" s="192">
        <f t="shared" si="34"/>
        <v>0</v>
      </c>
      <c r="S67" s="192">
        <f t="shared" si="36"/>
        <v>1999868</v>
      </c>
      <c r="T67" s="192">
        <f t="shared" si="35"/>
        <v>650000</v>
      </c>
      <c r="U67" s="192">
        <f t="shared" si="37"/>
        <v>0</v>
      </c>
      <c r="V67" s="169">
        <f>+K67/1.27</f>
        <v>3937007.874015748</v>
      </c>
      <c r="W67" s="169">
        <f>+V67*0.27</f>
        <v>1062992.125984252</v>
      </c>
      <c r="AA67" s="538">
        <f t="shared" si="12"/>
        <v>3320</v>
      </c>
      <c r="AB67" s="172">
        <f>5646680-P67</f>
        <v>-1999868</v>
      </c>
      <c r="AD67" s="603">
        <v>5044350</v>
      </c>
    </row>
    <row r="68" spans="1:33" s="203" customFormat="1" ht="13.5" hidden="1" customHeight="1">
      <c r="A68" s="230"/>
      <c r="B68" s="241"/>
      <c r="C68" s="197"/>
      <c r="D68" s="198"/>
      <c r="E68" s="198"/>
      <c r="F68" s="197"/>
      <c r="G68" s="196"/>
      <c r="H68" s="204"/>
      <c r="I68" s="199"/>
      <c r="J68" s="2555">
        <v>0</v>
      </c>
      <c r="K68" s="2250"/>
      <c r="L68" s="199">
        <f t="shared" si="41"/>
        <v>0</v>
      </c>
      <c r="M68" s="199">
        <f t="shared" si="41"/>
        <v>0</v>
      </c>
      <c r="N68" s="192">
        <f>+M68</f>
        <v>0</v>
      </c>
      <c r="O68" s="199">
        <f t="shared" si="41"/>
        <v>0</v>
      </c>
      <c r="P68" s="626">
        <f>+O68</f>
        <v>0</v>
      </c>
      <c r="Q68" s="193" t="e">
        <f t="shared" si="40"/>
        <v>#DIV/0!</v>
      </c>
      <c r="R68" s="199">
        <f t="shared" si="34"/>
        <v>0</v>
      </c>
      <c r="S68" s="199">
        <f t="shared" si="36"/>
        <v>0</v>
      </c>
      <c r="T68" s="199">
        <f t="shared" si="35"/>
        <v>0</v>
      </c>
      <c r="U68" s="199">
        <f t="shared" si="37"/>
        <v>0</v>
      </c>
      <c r="V68" s="202"/>
      <c r="W68" s="202"/>
      <c r="AA68" s="626">
        <f t="shared" si="12"/>
        <v>0</v>
      </c>
      <c r="AD68" s="626">
        <v>0</v>
      </c>
    </row>
    <row r="69" spans="1:33">
      <c r="A69" s="179" t="s">
        <v>686</v>
      </c>
      <c r="B69" s="237" t="s">
        <v>3592</v>
      </c>
      <c r="C69" s="180" t="s">
        <v>674</v>
      </c>
      <c r="D69" s="190" t="s">
        <v>2403</v>
      </c>
      <c r="E69" s="3460">
        <v>3</v>
      </c>
      <c r="F69" s="180" t="s">
        <v>534</v>
      </c>
      <c r="G69" s="187">
        <v>9990001</v>
      </c>
      <c r="H69" s="191" t="s">
        <v>2402</v>
      </c>
      <c r="I69" s="192">
        <f>7090000*2+12*25000*2</f>
        <v>14780000</v>
      </c>
      <c r="J69" s="2550">
        <v>8191500</v>
      </c>
      <c r="K69" s="2219">
        <f>0</f>
        <v>0</v>
      </c>
      <c r="L69" s="192">
        <f t="shared" si="41"/>
        <v>0</v>
      </c>
      <c r="M69" s="192">
        <f t="shared" si="41"/>
        <v>0</v>
      </c>
      <c r="N69" s="192">
        <f>+M69</f>
        <v>0</v>
      </c>
      <c r="O69" s="192">
        <f t="shared" si="41"/>
        <v>0</v>
      </c>
      <c r="P69" s="538">
        <v>0</v>
      </c>
      <c r="Q69" s="193"/>
      <c r="R69" s="192">
        <f t="shared" si="34"/>
        <v>0</v>
      </c>
      <c r="S69" s="192">
        <f t="shared" si="36"/>
        <v>0</v>
      </c>
      <c r="T69" s="192">
        <f t="shared" si="35"/>
        <v>0</v>
      </c>
      <c r="U69" s="192">
        <f t="shared" si="37"/>
        <v>0</v>
      </c>
      <c r="V69" s="169">
        <f>+K69/1.27</f>
        <v>0</v>
      </c>
      <c r="W69" s="169">
        <f>+V69*0.27</f>
        <v>0</v>
      </c>
      <c r="AA69" s="538">
        <f t="shared" si="12"/>
        <v>0</v>
      </c>
      <c r="AD69" s="603">
        <v>8191500</v>
      </c>
    </row>
    <row r="70" spans="1:33" ht="12.75" hidden="1" customHeight="1">
      <c r="A70" s="179" t="s">
        <v>2404</v>
      </c>
      <c r="B70" s="237" t="s">
        <v>2405</v>
      </c>
      <c r="C70" s="180" t="s">
        <v>574</v>
      </c>
      <c r="D70" s="190" t="s">
        <v>2406</v>
      </c>
      <c r="E70" s="190">
        <v>2</v>
      </c>
      <c r="F70" s="180" t="s">
        <v>534</v>
      </c>
      <c r="G70" s="187">
        <v>9990001</v>
      </c>
      <c r="H70" s="191" t="s">
        <v>2402</v>
      </c>
      <c r="I70" s="192">
        <f>38189-38189</f>
        <v>0</v>
      </c>
      <c r="J70" s="2550">
        <v>0</v>
      </c>
      <c r="K70" s="2219">
        <f>38189-38189</f>
        <v>0</v>
      </c>
      <c r="L70" s="192">
        <f t="shared" si="41"/>
        <v>0</v>
      </c>
      <c r="M70" s="192">
        <f t="shared" si="41"/>
        <v>0</v>
      </c>
      <c r="N70" s="192">
        <f t="shared" si="41"/>
        <v>0</v>
      </c>
      <c r="O70" s="192">
        <f t="shared" si="41"/>
        <v>0</v>
      </c>
      <c r="P70" s="538"/>
      <c r="Q70" s="193" t="e">
        <f t="shared" si="40"/>
        <v>#DIV/0!</v>
      </c>
      <c r="R70" s="192">
        <f t="shared" si="34"/>
        <v>0</v>
      </c>
      <c r="S70" s="192">
        <f t="shared" si="36"/>
        <v>0</v>
      </c>
      <c r="T70" s="192">
        <f t="shared" si="35"/>
        <v>0</v>
      </c>
      <c r="U70" s="192">
        <f t="shared" si="37"/>
        <v>0</v>
      </c>
      <c r="V70" s="169">
        <f>+K70/1.27</f>
        <v>0</v>
      </c>
      <c r="W70" s="169">
        <f>+V70*0.27</f>
        <v>0</v>
      </c>
      <c r="AA70" s="538">
        <f t="shared" si="12"/>
        <v>0</v>
      </c>
      <c r="AD70" s="538"/>
    </row>
    <row r="71" spans="1:33" ht="25.5">
      <c r="A71" s="179" t="s">
        <v>704</v>
      </c>
      <c r="B71" s="237" t="s">
        <v>2407</v>
      </c>
      <c r="C71" s="180" t="s">
        <v>599</v>
      </c>
      <c r="D71" s="190" t="s">
        <v>2408</v>
      </c>
      <c r="E71" s="190">
        <v>2</v>
      </c>
      <c r="F71" s="180" t="s">
        <v>534</v>
      </c>
      <c r="G71" s="187">
        <v>9990001</v>
      </c>
      <c r="H71" s="191" t="s">
        <v>2409</v>
      </c>
      <c r="I71" s="192">
        <f>6358036+32000000-10000000</f>
        <v>28358036</v>
      </c>
      <c r="J71" s="2550">
        <v>26219982</v>
      </c>
      <c r="K71" s="2219">
        <f>30000000+2000000-4000000</f>
        <v>28000000</v>
      </c>
      <c r="L71" s="192">
        <f t="shared" si="41"/>
        <v>28000000</v>
      </c>
      <c r="M71" s="192">
        <f>+L71</f>
        <v>28000000</v>
      </c>
      <c r="N71" s="192">
        <f>+M71+9750000</f>
        <v>37750000</v>
      </c>
      <c r="O71" s="192">
        <f t="shared" si="41"/>
        <v>37750000</v>
      </c>
      <c r="P71" s="538">
        <v>16021399</v>
      </c>
      <c r="Q71" s="193">
        <f t="shared" si="40"/>
        <v>0.42440792052980131</v>
      </c>
      <c r="R71" s="192">
        <f t="shared" si="34"/>
        <v>0</v>
      </c>
      <c r="S71" s="192">
        <f t="shared" si="36"/>
        <v>0</v>
      </c>
      <c r="T71" s="192">
        <f t="shared" si="35"/>
        <v>9750000</v>
      </c>
      <c r="U71" s="192">
        <f t="shared" si="37"/>
        <v>0</v>
      </c>
      <c r="V71" s="169">
        <f>+K71/1.27</f>
        <v>22047244.094488189</v>
      </c>
      <c r="W71" s="169">
        <f>+V71*0.27</f>
        <v>5952755.9055118114</v>
      </c>
      <c r="AA71" s="538">
        <f t="shared" si="12"/>
        <v>21728601</v>
      </c>
      <c r="AB71" s="172">
        <f>15976389-P71</f>
        <v>-45010</v>
      </c>
      <c r="AD71" s="603">
        <v>26219982</v>
      </c>
    </row>
    <row r="72" spans="1:33">
      <c r="A72" s="179" t="s">
        <v>706</v>
      </c>
      <c r="B72" s="174" t="s">
        <v>3221</v>
      </c>
      <c r="C72" s="164"/>
      <c r="D72" s="164"/>
      <c r="E72" s="164"/>
      <c r="F72" s="164"/>
      <c r="G72" s="164"/>
      <c r="H72" s="184" t="s">
        <v>2410</v>
      </c>
      <c r="I72" s="209">
        <f>SUM(I67:I71)-I68</f>
        <v>48138036</v>
      </c>
      <c r="J72" s="2549">
        <f>SUM(J67:J71)-J68</f>
        <v>39455832</v>
      </c>
      <c r="K72" s="2347">
        <f t="shared" ref="K72:P72" si="42">SUM(K67:K71)-K68</f>
        <v>33000000</v>
      </c>
      <c r="L72" s="209">
        <f t="shared" si="42"/>
        <v>33000000</v>
      </c>
      <c r="M72" s="209">
        <f t="shared" si="42"/>
        <v>34999868</v>
      </c>
      <c r="N72" s="209">
        <f t="shared" si="42"/>
        <v>45399868</v>
      </c>
      <c r="O72" s="209">
        <f t="shared" si="42"/>
        <v>45399868</v>
      </c>
      <c r="P72" s="245">
        <f t="shared" si="42"/>
        <v>23667947</v>
      </c>
      <c r="Q72" s="210">
        <f t="shared" si="40"/>
        <v>0.52132193423998496</v>
      </c>
      <c r="R72" s="192">
        <f t="shared" si="34"/>
        <v>0</v>
      </c>
      <c r="S72" s="192">
        <f t="shared" si="36"/>
        <v>1999868</v>
      </c>
      <c r="T72" s="192">
        <f t="shared" si="35"/>
        <v>10400000</v>
      </c>
      <c r="U72" s="192">
        <f t="shared" si="37"/>
        <v>0</v>
      </c>
      <c r="V72" s="169"/>
      <c r="W72" s="169"/>
      <c r="AA72" s="245">
        <f t="shared" si="12"/>
        <v>21731921</v>
      </c>
      <c r="AD72" s="245">
        <v>39455832</v>
      </c>
    </row>
    <row r="73" spans="1:33">
      <c r="A73" s="179" t="s">
        <v>710</v>
      </c>
      <c r="B73" s="678" t="s">
        <v>98</v>
      </c>
      <c r="C73" s="191" t="s">
        <v>730</v>
      </c>
      <c r="D73" s="187" t="s">
        <v>1711</v>
      </c>
      <c r="E73" s="187">
        <v>3</v>
      </c>
      <c r="F73" s="180" t="s">
        <v>534</v>
      </c>
      <c r="G73" s="187">
        <v>9990001</v>
      </c>
      <c r="H73" s="191" t="s">
        <v>1712</v>
      </c>
      <c r="I73" s="192">
        <f>2000000</f>
        <v>2000000</v>
      </c>
      <c r="J73" s="2550">
        <v>357927</v>
      </c>
      <c r="K73" s="2219">
        <f>2000000-1800000+300000</f>
        <v>500000</v>
      </c>
      <c r="L73" s="192">
        <f>+K73</f>
        <v>500000</v>
      </c>
      <c r="M73" s="192">
        <f>+L73+1939341+1+1960880+95250</f>
        <v>4495472</v>
      </c>
      <c r="N73" s="192">
        <f>+M73+1400000</f>
        <v>5895472</v>
      </c>
      <c r="O73" s="192">
        <f t="shared" ref="O73:O81" si="43">+N73</f>
        <v>5895472</v>
      </c>
      <c r="P73" s="538">
        <f>3593262+1989868+10664+55598-1989868-66262</f>
        <v>3593262</v>
      </c>
      <c r="Q73" s="193">
        <f t="shared" si="40"/>
        <v>0.60949521938192563</v>
      </c>
      <c r="R73" s="192">
        <f t="shared" si="34"/>
        <v>0</v>
      </c>
      <c r="S73" s="192">
        <f t="shared" si="36"/>
        <v>3995472</v>
      </c>
      <c r="T73" s="192">
        <f t="shared" si="35"/>
        <v>1400000</v>
      </c>
      <c r="U73" s="192">
        <f t="shared" si="37"/>
        <v>0</v>
      </c>
      <c r="V73" s="169">
        <f>+K73/1.27</f>
        <v>393700.78740157478</v>
      </c>
      <c r="W73" s="169">
        <f>+V73*0.27</f>
        <v>106299.21259842519</v>
      </c>
      <c r="AA73" s="538">
        <f t="shared" si="12"/>
        <v>2302210</v>
      </c>
      <c r="AB73" s="172">
        <f>5649392-P73</f>
        <v>2056130</v>
      </c>
      <c r="AD73" s="603">
        <v>357927</v>
      </c>
      <c r="AG73" s="172">
        <f>+P73-3593262</f>
        <v>0</v>
      </c>
    </row>
    <row r="74" spans="1:33" ht="28.5" hidden="1" customHeight="1">
      <c r="A74" s="179"/>
      <c r="B74" s="237" t="s">
        <v>3038</v>
      </c>
      <c r="C74" s="191" t="s">
        <v>736</v>
      </c>
      <c r="D74" s="187" t="s">
        <v>2411</v>
      </c>
      <c r="E74" s="187">
        <v>3</v>
      </c>
      <c r="F74" s="180" t="s">
        <v>751</v>
      </c>
      <c r="G74" s="187">
        <v>9990001</v>
      </c>
      <c r="H74" s="191" t="s">
        <v>1712</v>
      </c>
      <c r="I74" s="192">
        <v>0</v>
      </c>
      <c r="J74" s="2550">
        <v>0</v>
      </c>
      <c r="K74" s="2219">
        <v>0</v>
      </c>
      <c r="L74" s="192">
        <f>+K74</f>
        <v>0</v>
      </c>
      <c r="M74" s="192">
        <f t="shared" ref="M74:N81" si="44">+L74</f>
        <v>0</v>
      </c>
      <c r="N74" s="192">
        <f t="shared" si="44"/>
        <v>0</v>
      </c>
      <c r="O74" s="192">
        <f t="shared" si="43"/>
        <v>0</v>
      </c>
      <c r="P74" s="538"/>
      <c r="Q74" s="193" t="e">
        <f t="shared" si="40"/>
        <v>#DIV/0!</v>
      </c>
      <c r="R74" s="192">
        <f t="shared" si="34"/>
        <v>0</v>
      </c>
      <c r="S74" s="192">
        <f t="shared" si="36"/>
        <v>0</v>
      </c>
      <c r="T74" s="192">
        <f t="shared" si="35"/>
        <v>0</v>
      </c>
      <c r="U74" s="192">
        <f t="shared" si="37"/>
        <v>0</v>
      </c>
      <c r="V74" s="192" t="e">
        <f>+Q74-O74</f>
        <v>#DIV/0!</v>
      </c>
      <c r="W74" s="192" t="e">
        <f>+R74-Q74</f>
        <v>#DIV/0!</v>
      </c>
      <c r="AA74" s="538">
        <f t="shared" si="12"/>
        <v>0</v>
      </c>
      <c r="AD74" s="603"/>
    </row>
    <row r="75" spans="1:33" ht="12.75" hidden="1" customHeight="1">
      <c r="A75" s="1378"/>
      <c r="B75" s="237" t="s">
        <v>2412</v>
      </c>
      <c r="C75" s="191" t="s">
        <v>1032</v>
      </c>
      <c r="D75" s="187" t="s">
        <v>2413</v>
      </c>
      <c r="E75" s="187">
        <v>3</v>
      </c>
      <c r="F75" s="180" t="s">
        <v>751</v>
      </c>
      <c r="G75" s="187">
        <v>9990001</v>
      </c>
      <c r="H75" s="191" t="s">
        <v>1712</v>
      </c>
      <c r="I75" s="192">
        <f>52741-52741</f>
        <v>0</v>
      </c>
      <c r="J75" s="2550">
        <v>0</v>
      </c>
      <c r="K75" s="2219">
        <f>52741-52741</f>
        <v>0</v>
      </c>
      <c r="L75" s="192">
        <f t="shared" ref="L75:L81" si="45">+K75</f>
        <v>0</v>
      </c>
      <c r="M75" s="192">
        <f t="shared" si="44"/>
        <v>0</v>
      </c>
      <c r="N75" s="192">
        <f t="shared" si="44"/>
        <v>0</v>
      </c>
      <c r="O75" s="192">
        <f t="shared" si="43"/>
        <v>0</v>
      </c>
      <c r="P75" s="538"/>
      <c r="Q75" s="193" t="e">
        <f t="shared" si="40"/>
        <v>#DIV/0!</v>
      </c>
      <c r="R75" s="192">
        <f t="shared" si="34"/>
        <v>0</v>
      </c>
      <c r="S75" s="192">
        <f t="shared" si="36"/>
        <v>0</v>
      </c>
      <c r="T75" s="192">
        <f t="shared" si="35"/>
        <v>0</v>
      </c>
      <c r="U75" s="192">
        <f t="shared" si="37"/>
        <v>0</v>
      </c>
      <c r="V75" s="169"/>
      <c r="W75" s="169"/>
      <c r="AA75" s="538">
        <f t="shared" si="12"/>
        <v>0</v>
      </c>
      <c r="AD75" s="538"/>
    </row>
    <row r="76" spans="1:33">
      <c r="A76" s="179" t="s">
        <v>712</v>
      </c>
      <c r="B76" s="237" t="s">
        <v>61</v>
      </c>
      <c r="C76" s="191" t="s">
        <v>512</v>
      </c>
      <c r="D76" s="187" t="s">
        <v>2414</v>
      </c>
      <c r="E76" s="187">
        <v>2</v>
      </c>
      <c r="F76" s="180" t="s">
        <v>534</v>
      </c>
      <c r="G76" s="187">
        <v>9990001</v>
      </c>
      <c r="H76" s="191" t="s">
        <v>1712</v>
      </c>
      <c r="I76" s="192">
        <f>+I77+9328379+30000000+2500000-2500000+2500000+32000000+5200000</f>
        <v>89513579</v>
      </c>
      <c r="J76" s="2550">
        <v>29750459</v>
      </c>
      <c r="K76" s="2219">
        <f>+K77+21232129+30000000+2500000-2500000+6000000+32000000-20000000</f>
        <v>69232129</v>
      </c>
      <c r="L76" s="192">
        <f>+K76</f>
        <v>69232129</v>
      </c>
      <c r="M76" s="192">
        <f>+L76+1512385</f>
        <v>70744514</v>
      </c>
      <c r="N76" s="192">
        <f>+M76-51232129-7512385</f>
        <v>12000000</v>
      </c>
      <c r="O76" s="192">
        <f t="shared" si="43"/>
        <v>12000000</v>
      </c>
      <c r="P76" s="538">
        <v>77914</v>
      </c>
      <c r="Q76" s="193">
        <f t="shared" si="40"/>
        <v>6.4928333333333331E-3</v>
      </c>
      <c r="R76" s="192">
        <f t="shared" si="34"/>
        <v>0</v>
      </c>
      <c r="S76" s="192">
        <f t="shared" si="36"/>
        <v>1512385</v>
      </c>
      <c r="T76" s="192">
        <f t="shared" si="35"/>
        <v>-58744514</v>
      </c>
      <c r="U76" s="192">
        <f t="shared" si="37"/>
        <v>0</v>
      </c>
      <c r="V76" s="169">
        <f>+K76/1.27</f>
        <v>54513487.401574805</v>
      </c>
      <c r="W76" s="169">
        <f>+V76*0.27</f>
        <v>14718641.598425198</v>
      </c>
      <c r="X76" s="169">
        <v>34289808</v>
      </c>
      <c r="Y76" s="169">
        <v>39328379</v>
      </c>
      <c r="Z76" s="193">
        <f>+Y76/X76</f>
        <v>1.1469407761046664</v>
      </c>
      <c r="AA76" s="538">
        <f t="shared" si="12"/>
        <v>11922086</v>
      </c>
      <c r="AB76" s="172">
        <f>21232129-P76</f>
        <v>21154215</v>
      </c>
      <c r="AD76" s="603">
        <v>29750459</v>
      </c>
    </row>
    <row r="77" spans="1:33" hidden="1">
      <c r="A77" s="179" t="s">
        <v>3635</v>
      </c>
      <c r="B77" s="237" t="s">
        <v>3636</v>
      </c>
      <c r="C77" s="238" t="s">
        <v>512</v>
      </c>
      <c r="D77" s="187" t="s">
        <v>2415</v>
      </c>
      <c r="E77" s="181">
        <v>3</v>
      </c>
      <c r="F77" s="190" t="s">
        <v>986</v>
      </c>
      <c r="G77" s="190">
        <v>9105011</v>
      </c>
      <c r="H77" s="191" t="s">
        <v>2416</v>
      </c>
      <c r="I77" s="192">
        <f>0+10485200</f>
        <v>10485200</v>
      </c>
      <c r="J77" s="2550">
        <v>10485200</v>
      </c>
      <c r="K77" s="2219">
        <f>0</f>
        <v>0</v>
      </c>
      <c r="L77" s="192">
        <f t="shared" si="45"/>
        <v>0</v>
      </c>
      <c r="M77" s="192">
        <f t="shared" si="44"/>
        <v>0</v>
      </c>
      <c r="N77" s="192">
        <f>+M77</f>
        <v>0</v>
      </c>
      <c r="O77" s="192">
        <f t="shared" si="43"/>
        <v>0</v>
      </c>
      <c r="P77" s="538">
        <v>0</v>
      </c>
      <c r="Q77" s="193">
        <f t="shared" ref="Q77:Q85" si="46">+K77/I77</f>
        <v>0</v>
      </c>
      <c r="R77" s="192">
        <f t="shared" si="34"/>
        <v>0</v>
      </c>
      <c r="S77" s="192">
        <f t="shared" si="36"/>
        <v>0</v>
      </c>
      <c r="T77" s="192">
        <f t="shared" si="35"/>
        <v>0</v>
      </c>
      <c r="U77" s="192">
        <f t="shared" si="37"/>
        <v>0</v>
      </c>
      <c r="V77" s="169"/>
      <c r="W77" s="169"/>
      <c r="AA77" s="538">
        <f t="shared" si="12"/>
        <v>0</v>
      </c>
      <c r="AD77" s="603">
        <v>0</v>
      </c>
    </row>
    <row r="78" spans="1:33" s="203" customFormat="1" ht="25.5" hidden="1">
      <c r="A78" s="3460" t="s">
        <v>3145</v>
      </c>
      <c r="B78" s="3460" t="s">
        <v>2417</v>
      </c>
      <c r="C78" s="679" t="s">
        <v>736</v>
      </c>
      <c r="D78" s="187" t="s">
        <v>2418</v>
      </c>
      <c r="E78" s="680">
        <v>3</v>
      </c>
      <c r="F78" s="180" t="s">
        <v>2419</v>
      </c>
      <c r="G78" s="190">
        <v>9990001</v>
      </c>
      <c r="H78" s="204" t="s">
        <v>2420</v>
      </c>
      <c r="I78" s="199">
        <f>0</f>
        <v>0</v>
      </c>
      <c r="J78" s="2555">
        <v>0</v>
      </c>
      <c r="K78" s="2250">
        <f>0</f>
        <v>0</v>
      </c>
      <c r="L78" s="199">
        <f t="shared" si="45"/>
        <v>0</v>
      </c>
      <c r="M78" s="192">
        <f t="shared" si="44"/>
        <v>0</v>
      </c>
      <c r="N78" s="192">
        <f>+M78</f>
        <v>0</v>
      </c>
      <c r="O78" s="199">
        <f t="shared" si="43"/>
        <v>0</v>
      </c>
      <c r="P78" s="626">
        <v>0</v>
      </c>
      <c r="Q78" s="193" t="e">
        <f t="shared" si="46"/>
        <v>#DIV/0!</v>
      </c>
      <c r="R78" s="192">
        <f t="shared" si="34"/>
        <v>0</v>
      </c>
      <c r="S78" s="192">
        <f t="shared" si="36"/>
        <v>0</v>
      </c>
      <c r="T78" s="192">
        <f t="shared" si="35"/>
        <v>0</v>
      </c>
      <c r="U78" s="192">
        <f t="shared" si="37"/>
        <v>0</v>
      </c>
      <c r="V78" s="202"/>
      <c r="W78" s="202"/>
      <c r="AA78" s="626">
        <f t="shared" si="12"/>
        <v>0</v>
      </c>
      <c r="AD78" s="626">
        <v>0</v>
      </c>
    </row>
    <row r="79" spans="1:33">
      <c r="A79" s="179" t="s">
        <v>715</v>
      </c>
      <c r="B79" s="237" t="s">
        <v>3624</v>
      </c>
      <c r="C79" s="191" t="s">
        <v>512</v>
      </c>
      <c r="D79" s="181" t="s">
        <v>3279</v>
      </c>
      <c r="E79" s="181">
        <v>3</v>
      </c>
      <c r="F79" s="180" t="s">
        <v>2421</v>
      </c>
      <c r="G79" s="187">
        <v>9990001</v>
      </c>
      <c r="H79" s="191" t="s">
        <v>2416</v>
      </c>
      <c r="I79" s="192">
        <f>0</f>
        <v>0</v>
      </c>
      <c r="J79" s="2550">
        <v>0</v>
      </c>
      <c r="K79" s="2219">
        <f>0</f>
        <v>0</v>
      </c>
      <c r="L79" s="192">
        <f>+K79</f>
        <v>0</v>
      </c>
      <c r="M79" s="192">
        <f t="shared" si="44"/>
        <v>0</v>
      </c>
      <c r="N79" s="192">
        <f>+M79</f>
        <v>0</v>
      </c>
      <c r="O79" s="192">
        <f t="shared" si="43"/>
        <v>0</v>
      </c>
      <c r="P79" s="538">
        <v>0</v>
      </c>
      <c r="Q79" s="193"/>
      <c r="R79" s="192">
        <f t="shared" si="34"/>
        <v>0</v>
      </c>
      <c r="S79" s="192">
        <f t="shared" si="36"/>
        <v>0</v>
      </c>
      <c r="T79" s="192">
        <f t="shared" si="35"/>
        <v>0</v>
      </c>
      <c r="U79" s="192">
        <f t="shared" si="37"/>
        <v>0</v>
      </c>
      <c r="V79" s="169"/>
      <c r="W79" s="169"/>
      <c r="AA79" s="538">
        <f t="shared" si="12"/>
        <v>0</v>
      </c>
      <c r="AD79" s="603">
        <v>0</v>
      </c>
    </row>
    <row r="80" spans="1:33">
      <c r="A80" s="179" t="s">
        <v>716</v>
      </c>
      <c r="B80" s="237" t="s">
        <v>3625</v>
      </c>
      <c r="C80" s="1680" t="s">
        <v>1032</v>
      </c>
      <c r="D80" s="189" t="s">
        <v>3542</v>
      </c>
      <c r="E80" s="189">
        <v>3</v>
      </c>
      <c r="F80" s="180" t="s">
        <v>2421</v>
      </c>
      <c r="G80" s="187">
        <v>9990001</v>
      </c>
      <c r="H80" s="191" t="s">
        <v>2422</v>
      </c>
      <c r="I80" s="192">
        <v>0</v>
      </c>
      <c r="J80" s="2550">
        <v>0</v>
      </c>
      <c r="K80" s="2219">
        <v>0</v>
      </c>
      <c r="L80" s="192">
        <f t="shared" si="45"/>
        <v>0</v>
      </c>
      <c r="M80" s="192">
        <f t="shared" si="44"/>
        <v>0</v>
      </c>
      <c r="N80" s="192">
        <f>+M80</f>
        <v>0</v>
      </c>
      <c r="O80" s="192">
        <f t="shared" si="43"/>
        <v>0</v>
      </c>
      <c r="P80" s="538">
        <v>0</v>
      </c>
      <c r="Q80" s="193"/>
      <c r="R80" s="192">
        <f t="shared" si="34"/>
        <v>0</v>
      </c>
      <c r="S80" s="192">
        <f t="shared" si="36"/>
        <v>0</v>
      </c>
      <c r="T80" s="192">
        <f t="shared" si="35"/>
        <v>0</v>
      </c>
      <c r="U80" s="192">
        <f t="shared" si="37"/>
        <v>0</v>
      </c>
      <c r="V80" s="169"/>
      <c r="W80" s="169"/>
      <c r="AA80" s="538">
        <f t="shared" ref="AA80:AA86" si="47">+N80-P80</f>
        <v>0</v>
      </c>
      <c r="AD80" s="603">
        <v>0</v>
      </c>
    </row>
    <row r="81" spans="1:35">
      <c r="A81" s="179" t="s">
        <v>717</v>
      </c>
      <c r="B81" s="678" t="s">
        <v>2423</v>
      </c>
      <c r="C81" s="191" t="s">
        <v>730</v>
      </c>
      <c r="D81" s="181" t="s">
        <v>1711</v>
      </c>
      <c r="E81" s="181">
        <v>3</v>
      </c>
      <c r="F81" s="180" t="s">
        <v>534</v>
      </c>
      <c r="G81" s="187">
        <v>9990001</v>
      </c>
      <c r="H81" s="191" t="s">
        <v>1715</v>
      </c>
      <c r="I81" s="192">
        <f>0</f>
        <v>0</v>
      </c>
      <c r="J81" s="2550">
        <v>0</v>
      </c>
      <c r="K81" s="2219">
        <f>0</f>
        <v>0</v>
      </c>
      <c r="L81" s="192">
        <f t="shared" si="45"/>
        <v>0</v>
      </c>
      <c r="M81" s="192">
        <f t="shared" si="44"/>
        <v>0</v>
      </c>
      <c r="N81" s="192">
        <f>+M81</f>
        <v>0</v>
      </c>
      <c r="O81" s="192">
        <f t="shared" si="43"/>
        <v>0</v>
      </c>
      <c r="P81" s="538">
        <v>0</v>
      </c>
      <c r="Q81" s="193"/>
      <c r="R81" s="192">
        <f t="shared" si="34"/>
        <v>0</v>
      </c>
      <c r="S81" s="192">
        <f t="shared" si="36"/>
        <v>0</v>
      </c>
      <c r="T81" s="192">
        <f t="shared" si="35"/>
        <v>0</v>
      </c>
      <c r="U81" s="192">
        <f t="shared" si="37"/>
        <v>0</v>
      </c>
      <c r="V81" s="169"/>
      <c r="W81" s="169"/>
      <c r="AA81" s="538">
        <f t="shared" si="47"/>
        <v>0</v>
      </c>
      <c r="AD81" s="603">
        <v>0</v>
      </c>
    </row>
    <row r="82" spans="1:35">
      <c r="A82" s="179" t="s">
        <v>759</v>
      </c>
      <c r="B82" s="240" t="s">
        <v>3222</v>
      </c>
      <c r="C82" s="206"/>
      <c r="D82" s="206"/>
      <c r="E82" s="206"/>
      <c r="F82" s="207"/>
      <c r="G82" s="207"/>
      <c r="H82" s="184" t="s">
        <v>2424</v>
      </c>
      <c r="I82" s="209">
        <f t="shared" ref="I82:P82" si="48">SUM(I73:I81)-I77-I78</f>
        <v>91513579</v>
      </c>
      <c r="J82" s="2549">
        <f t="shared" si="48"/>
        <v>30108386</v>
      </c>
      <c r="K82" s="2347">
        <f t="shared" si="48"/>
        <v>69732129</v>
      </c>
      <c r="L82" s="209">
        <f t="shared" si="48"/>
        <v>69732129</v>
      </c>
      <c r="M82" s="209">
        <f t="shared" si="48"/>
        <v>75239986</v>
      </c>
      <c r="N82" s="209">
        <f t="shared" si="48"/>
        <v>17895472</v>
      </c>
      <c r="O82" s="209">
        <f t="shared" si="48"/>
        <v>17895472</v>
      </c>
      <c r="P82" s="245">
        <f t="shared" si="48"/>
        <v>3671176</v>
      </c>
      <c r="Q82" s="210">
        <f>+P82/N82</f>
        <v>0.20514552508031081</v>
      </c>
      <c r="R82" s="192">
        <f t="shared" si="34"/>
        <v>0</v>
      </c>
      <c r="S82" s="192">
        <f t="shared" si="36"/>
        <v>5507857</v>
      </c>
      <c r="T82" s="192">
        <f t="shared" si="35"/>
        <v>-57344514</v>
      </c>
      <c r="U82" s="192">
        <f t="shared" si="37"/>
        <v>0</v>
      </c>
      <c r="V82" s="169"/>
      <c r="W82" s="169"/>
      <c r="AA82" s="245">
        <f t="shared" si="47"/>
        <v>14224296</v>
      </c>
      <c r="AD82" s="245">
        <v>30108386</v>
      </c>
    </row>
    <row r="83" spans="1:35" hidden="1">
      <c r="A83" s="179"/>
      <c r="B83" s="240" t="s">
        <v>2425</v>
      </c>
      <c r="C83" s="206"/>
      <c r="D83" s="206"/>
      <c r="E83" s="206"/>
      <c r="F83" s="207"/>
      <c r="G83" s="207"/>
      <c r="H83" s="184" t="s">
        <v>2426</v>
      </c>
      <c r="I83" s="617"/>
      <c r="J83" s="2548"/>
      <c r="K83" s="2356"/>
      <c r="L83" s="617"/>
      <c r="M83" s="617"/>
      <c r="N83" s="617"/>
      <c r="O83" s="617"/>
      <c r="P83" s="618"/>
      <c r="Q83" s="210" t="e">
        <f t="shared" si="46"/>
        <v>#DIV/0!</v>
      </c>
      <c r="R83" s="209">
        <f t="shared" si="34"/>
        <v>0</v>
      </c>
      <c r="S83" s="209">
        <f t="shared" si="36"/>
        <v>0</v>
      </c>
      <c r="T83" s="209">
        <f t="shared" si="35"/>
        <v>0</v>
      </c>
      <c r="U83" s="209">
        <f t="shared" si="37"/>
        <v>0</v>
      </c>
      <c r="V83" s="169"/>
      <c r="W83" s="169"/>
      <c r="AA83" s="618">
        <f t="shared" si="47"/>
        <v>0</v>
      </c>
      <c r="AD83" s="618"/>
    </row>
    <row r="84" spans="1:35" ht="17.25" customHeight="1">
      <c r="A84" s="179" t="s">
        <v>776</v>
      </c>
      <c r="B84" s="237" t="s">
        <v>2427</v>
      </c>
      <c r="C84" s="189" t="s">
        <v>736</v>
      </c>
      <c r="D84" s="189" t="s">
        <v>2428</v>
      </c>
      <c r="E84" s="189">
        <v>3</v>
      </c>
      <c r="F84" s="190" t="s">
        <v>534</v>
      </c>
      <c r="G84" s="190">
        <v>9990001</v>
      </c>
      <c r="H84" s="191" t="s">
        <v>2429</v>
      </c>
      <c r="I84" s="192">
        <v>0</v>
      </c>
      <c r="J84" s="2550">
        <f>+I84</f>
        <v>0</v>
      </c>
      <c r="K84" s="2219">
        <v>0</v>
      </c>
      <c r="L84" s="192">
        <f>+K84</f>
        <v>0</v>
      </c>
      <c r="M84" s="192">
        <f>+L84</f>
        <v>0</v>
      </c>
      <c r="N84" s="192">
        <f>+M84</f>
        <v>0</v>
      </c>
      <c r="O84" s="192">
        <f>+N84</f>
        <v>0</v>
      </c>
      <c r="P84" s="538">
        <v>0</v>
      </c>
      <c r="Q84" s="193"/>
      <c r="R84" s="192">
        <f t="shared" si="34"/>
        <v>0</v>
      </c>
      <c r="S84" s="192">
        <f t="shared" si="36"/>
        <v>0</v>
      </c>
      <c r="T84" s="192">
        <f t="shared" si="35"/>
        <v>0</v>
      </c>
      <c r="U84" s="192">
        <f t="shared" si="37"/>
        <v>0</v>
      </c>
      <c r="V84" s="169"/>
      <c r="W84" s="169">
        <f>+P16+P25+P64</f>
        <v>1419238457</v>
      </c>
      <c r="AA84" s="538">
        <f t="shared" si="47"/>
        <v>0</v>
      </c>
      <c r="AD84" s="538">
        <v>0</v>
      </c>
    </row>
    <row r="85" spans="1:35" hidden="1">
      <c r="A85" s="179"/>
      <c r="B85" s="240" t="s">
        <v>2430</v>
      </c>
      <c r="C85" s="206"/>
      <c r="D85" s="206"/>
      <c r="E85" s="206"/>
      <c r="F85" s="179"/>
      <c r="G85" s="179"/>
      <c r="H85" s="184" t="s">
        <v>2431</v>
      </c>
      <c r="I85" s="617"/>
      <c r="J85" s="2548"/>
      <c r="K85" s="2356"/>
      <c r="L85" s="617"/>
      <c r="M85" s="617"/>
      <c r="N85" s="617"/>
      <c r="O85" s="617"/>
      <c r="P85" s="618"/>
      <c r="Q85" s="210" t="e">
        <f t="shared" si="46"/>
        <v>#DIV/0!</v>
      </c>
      <c r="R85" s="209">
        <f t="shared" si="34"/>
        <v>0</v>
      </c>
      <c r="S85" s="209">
        <f t="shared" si="36"/>
        <v>0</v>
      </c>
      <c r="T85" s="209">
        <f t="shared" si="35"/>
        <v>0</v>
      </c>
      <c r="U85" s="209">
        <f t="shared" si="37"/>
        <v>0</v>
      </c>
      <c r="V85" s="169"/>
      <c r="W85" s="169"/>
      <c r="AA85" s="618">
        <f t="shared" si="47"/>
        <v>0</v>
      </c>
      <c r="AD85" s="618"/>
    </row>
    <row r="86" spans="1:35" ht="21" thickBot="1">
      <c r="A86" s="179" t="s">
        <v>834</v>
      </c>
      <c r="B86" s="681" t="s">
        <v>3223</v>
      </c>
      <c r="C86" s="682"/>
      <c r="D86" s="682"/>
      <c r="E86" s="682"/>
      <c r="F86" s="683"/>
      <c r="G86" s="683"/>
      <c r="H86" s="683" t="s">
        <v>2432</v>
      </c>
      <c r="I86" s="684">
        <f t="shared" ref="I86:P86" si="49">+I9+I66+I72+I82+I83+I84+I85</f>
        <v>8998793965</v>
      </c>
      <c r="J86" s="2556">
        <f t="shared" si="49"/>
        <v>5057735252</v>
      </c>
      <c r="K86" s="2371">
        <f t="shared" si="49"/>
        <v>2465749533</v>
      </c>
      <c r="L86" s="684">
        <f t="shared" si="49"/>
        <v>2472766283</v>
      </c>
      <c r="M86" s="684">
        <f t="shared" si="49"/>
        <v>2507484052</v>
      </c>
      <c r="N86" s="684">
        <f t="shared" si="49"/>
        <v>2216954556</v>
      </c>
      <c r="O86" s="684">
        <f t="shared" si="49"/>
        <v>2216954556</v>
      </c>
      <c r="P86" s="685">
        <f t="shared" si="49"/>
        <v>1446577580</v>
      </c>
      <c r="Q86" s="686">
        <f>+P86/N86</f>
        <v>0.65250664524672375</v>
      </c>
      <c r="R86" s="684">
        <f t="shared" si="34"/>
        <v>7016750</v>
      </c>
      <c r="S86" s="684">
        <f t="shared" si="36"/>
        <v>34717769</v>
      </c>
      <c r="T86" s="684">
        <f t="shared" si="35"/>
        <v>-290529496</v>
      </c>
      <c r="U86" s="684">
        <f t="shared" si="37"/>
        <v>0</v>
      </c>
      <c r="V86" s="169">
        <f>+K12+K14+K17+K20+K26+K27+K28+K29+K30+K31+K32+K34+K36+K37+K38+K41+K42+K43+K45+K46+K47+K48+K50+K52+K53+K55+K56+K57+K58+K61+K62+K63+K67+K69+K71+K73+K76</f>
        <v>2465749533</v>
      </c>
      <c r="W86" s="169">
        <f>+P14+P20+P26+P27+P28+P30+P31+P32+P34+P36+P37+P38+P39+P40+P42+P43+P44+P45+P47+P48+P49+P50+P51+P52+P53+P54+P55+P56+P57+P58+P59+P60+P61+P63</f>
        <v>1394686523</v>
      </c>
      <c r="AA86" s="685">
        <f t="shared" si="47"/>
        <v>770376976</v>
      </c>
      <c r="AD86" s="685">
        <v>5057735252</v>
      </c>
      <c r="AH86" s="172">
        <v>1278245703</v>
      </c>
      <c r="AI86" s="171" t="s">
        <v>271</v>
      </c>
    </row>
    <row r="87" spans="1:35" ht="10.5" customHeight="1" thickBot="1">
      <c r="A87" s="3679"/>
      <c r="B87" s="3679"/>
      <c r="C87" s="3679"/>
      <c r="D87" s="3679"/>
      <c r="E87" s="3679"/>
      <c r="F87" s="3679"/>
      <c r="G87" s="3679"/>
      <c r="H87" s="3679"/>
      <c r="I87" s="3679"/>
      <c r="J87" s="3679"/>
      <c r="K87" s="3679"/>
      <c r="L87" s="3679"/>
      <c r="M87" s="3679"/>
      <c r="N87" s="3679"/>
      <c r="O87" s="3679"/>
      <c r="P87" s="3679"/>
      <c r="Q87" s="3679"/>
      <c r="R87" s="687"/>
      <c r="S87" s="687"/>
      <c r="T87" s="687"/>
      <c r="U87" s="687"/>
      <c r="V87" s="1656" t="s">
        <v>3147</v>
      </c>
      <c r="W87" s="1700">
        <f>+K86-V86</f>
        <v>0</v>
      </c>
      <c r="X87" s="1699"/>
      <c r="AH87" s="172">
        <f>+P86-AH86</f>
        <v>168331877</v>
      </c>
    </row>
    <row r="88" spans="1:35" ht="21" customHeight="1">
      <c r="A88" s="3602" t="s">
        <v>4289</v>
      </c>
      <c r="B88" s="3567"/>
      <c r="C88" s="3567"/>
      <c r="D88" s="3567"/>
      <c r="E88" s="3567"/>
      <c r="F88" s="3567"/>
      <c r="G88" s="3567"/>
      <c r="H88" s="3567"/>
      <c r="I88" s="3567"/>
      <c r="J88" s="3567"/>
      <c r="K88" s="3567"/>
      <c r="L88" s="3567"/>
      <c r="M88" s="3567"/>
      <c r="N88" s="3567"/>
      <c r="O88" s="3567"/>
      <c r="P88" s="3680"/>
      <c r="Q88" s="3680"/>
      <c r="R88" s="3672"/>
      <c r="S88" s="3672"/>
      <c r="T88" s="3672"/>
      <c r="U88" s="688"/>
    </row>
    <row r="89" spans="1:35" ht="32.25" customHeight="1">
      <c r="A89" s="3682" t="s">
        <v>2433</v>
      </c>
      <c r="B89" s="3682"/>
      <c r="C89" s="3682"/>
      <c r="D89" s="3682"/>
      <c r="E89" s="3682"/>
      <c r="F89" s="3682"/>
      <c r="G89" s="3682"/>
      <c r="H89" s="3682"/>
      <c r="I89" s="3682"/>
      <c r="J89" s="3682"/>
      <c r="K89" s="3682"/>
      <c r="L89" s="3682"/>
      <c r="M89" s="3682"/>
      <c r="N89" s="3682"/>
      <c r="O89" s="3682"/>
      <c r="P89" s="3682"/>
      <c r="Q89" s="3682"/>
      <c r="R89" s="3672"/>
      <c r="S89" s="3672"/>
      <c r="T89" s="3672"/>
      <c r="U89" s="688"/>
    </row>
    <row r="90" spans="1:35" ht="28.5" customHeight="1">
      <c r="A90" s="179"/>
      <c r="B90" s="1429" t="str">
        <f t="shared" ref="B90:J90" si="50">+B3</f>
        <v>A</v>
      </c>
      <c r="C90" s="1429">
        <f t="shared" si="50"/>
        <v>0</v>
      </c>
      <c r="D90" s="1429">
        <f t="shared" si="50"/>
        <v>0</v>
      </c>
      <c r="E90" s="1429">
        <f t="shared" si="50"/>
        <v>0</v>
      </c>
      <c r="F90" s="1429">
        <f t="shared" si="50"/>
        <v>0</v>
      </c>
      <c r="G90" s="1429">
        <f t="shared" si="50"/>
        <v>0</v>
      </c>
      <c r="H90" s="1429">
        <f t="shared" si="50"/>
        <v>0</v>
      </c>
      <c r="I90" s="1429" t="str">
        <f t="shared" si="50"/>
        <v>B</v>
      </c>
      <c r="J90" s="1536" t="str">
        <f t="shared" si="50"/>
        <v>B</v>
      </c>
      <c r="K90" s="2372" t="str">
        <f>+K3</f>
        <v>B</v>
      </c>
      <c r="L90" s="1554" t="str">
        <f t="shared" ref="L90:T90" si="51">+L3</f>
        <v>D</v>
      </c>
      <c r="M90" s="1554" t="str">
        <f t="shared" si="51"/>
        <v>E</v>
      </c>
      <c r="N90" s="1554" t="str">
        <f t="shared" si="51"/>
        <v>C</v>
      </c>
      <c r="O90" s="1554" t="str">
        <f t="shared" si="51"/>
        <v>F</v>
      </c>
      <c r="P90" s="1554" t="str">
        <f t="shared" si="51"/>
        <v>D</v>
      </c>
      <c r="Q90" s="1554" t="str">
        <f t="shared" si="51"/>
        <v>E</v>
      </c>
      <c r="R90" s="1554">
        <f t="shared" si="51"/>
        <v>0</v>
      </c>
      <c r="S90" s="1554" t="str">
        <f t="shared" si="51"/>
        <v>F</v>
      </c>
      <c r="T90" s="1554" t="str">
        <f t="shared" si="51"/>
        <v>G</v>
      </c>
      <c r="U90" s="688"/>
    </row>
    <row r="91" spans="1:35" ht="66" customHeight="1">
      <c r="A91" s="179" t="s">
        <v>6</v>
      </c>
      <c r="B91" s="639" t="str">
        <f>+B4</f>
        <v>Előirányzat megnevezése                                                                                             (Rovatrend szerint)</v>
      </c>
      <c r="C91" s="180" t="s">
        <v>504</v>
      </c>
      <c r="D91" s="191" t="s">
        <v>505</v>
      </c>
      <c r="E91" s="180" t="s">
        <v>506</v>
      </c>
      <c r="F91" s="180" t="s">
        <v>1334</v>
      </c>
      <c r="G91" s="180" t="s">
        <v>508</v>
      </c>
      <c r="H91" s="180" t="s">
        <v>509</v>
      </c>
      <c r="I91" s="182" t="str">
        <f>+'1. mell.ÖSSZEVONT_MÉRLEG'!C5</f>
        <v>2024. évi eredeti előirányzat
forintban</v>
      </c>
      <c r="J91" s="2591" t="str">
        <f>+'1. mell.ÖSSZEVONT_MÉRLEG'!D5</f>
        <v>2024. évi teljesítés forintban</v>
      </c>
      <c r="K91" s="2359" t="str">
        <f>+'1. mell.ÖSSZEVONT_MÉRLEG'!E5</f>
        <v>2025. évi eredeti előirányzat forintban</v>
      </c>
      <c r="L91" s="1422" t="str">
        <f>+'1. mell.ÖSSZEVONT_MÉRLEG'!F5</f>
        <v>2025. évi I. számú módosított előirányzat
forintban</v>
      </c>
      <c r="M91" s="1422" t="str">
        <f>+'1. mell.ÖSSZEVONT_MÉRLEG'!G5</f>
        <v>2025. évi II. számú módosított előirányzat forintban</v>
      </c>
      <c r="N91" s="1422" t="str">
        <f>+'1. mell.ÖSSZEVONT_MÉRLEG'!H5</f>
        <v>2025. évi III. számú módosított előirányzat forintban</v>
      </c>
      <c r="O91" s="1422" t="str">
        <f>+'1. mell.ÖSSZEVONT_MÉRLEG'!I5</f>
        <v>2025. évi IV. számú módosított előirányzat forintban</v>
      </c>
      <c r="P91" s="1422" t="str">
        <f>+'1. mell.ÖSSZEVONT_MÉRLEG'!J5</f>
        <v>2025. évi
teljesítés forintban</v>
      </c>
      <c r="Q91" s="1422" t="str">
        <f>+'1. mell.ÖSSZEVONT_MÉRLEG'!K5</f>
        <v xml:space="preserve"> 2025. évi teljesítés / 2025. évi III. számú módosított előirányzat</v>
      </c>
      <c r="R91" s="1422" t="str">
        <f>+'1. mell.ÖSSZEVONT_MÉRLEG'!L5</f>
        <v>Változás I. módosításnál</v>
      </c>
      <c r="S91" s="1422" t="str">
        <f>+'1. mell.ÖSSZEVONT_MÉRLEG'!M5</f>
        <v>Előirányzat-módosítások, előirányzat-átcsoportosítások összegszerű változásai</v>
      </c>
      <c r="T91" s="2760" t="str">
        <f>+T4</f>
        <v>Előirányzat-módosítások, előirányzat-átcsoportosítások összegszerű változásai a III. módosításnál</v>
      </c>
      <c r="U91" s="182" t="s">
        <v>175</v>
      </c>
      <c r="X91" s="172"/>
      <c r="AA91" s="1537" t="str">
        <f>+AA4</f>
        <v>Eltérés a III. módosítás és a teljesítés között, ha mínusz, akkor rendezni kell!</v>
      </c>
      <c r="AD91" s="171" t="str">
        <f>+AD4</f>
        <v>2024. évi teljesítés</v>
      </c>
    </row>
    <row r="92" spans="1:35" ht="20.25" hidden="1">
      <c r="B92" s="689"/>
      <c r="C92" s="690"/>
      <c r="D92" s="689"/>
      <c r="E92" s="689"/>
      <c r="F92" s="689"/>
      <c r="G92" s="689"/>
      <c r="H92" s="691"/>
      <c r="I92" s="692"/>
      <c r="J92" s="3462"/>
      <c r="K92" s="2373"/>
      <c r="L92" s="692"/>
      <c r="M92" s="692"/>
      <c r="N92" s="692"/>
      <c r="O92" s="692"/>
      <c r="P92" s="693"/>
      <c r="Q92" s="694">
        <f>+K92-I92</f>
        <v>0</v>
      </c>
      <c r="R92" s="692">
        <f>+L92-K92</f>
        <v>0</v>
      </c>
      <c r="S92" s="692">
        <f>+M92-L92</f>
        <v>0</v>
      </c>
      <c r="T92" s="692">
        <f>+N92-M92</f>
        <v>0</v>
      </c>
      <c r="U92" s="692"/>
    </row>
    <row r="93" spans="1:35" hidden="1">
      <c r="A93" s="179">
        <f>+A5</f>
        <v>1</v>
      </c>
      <c r="B93" s="179">
        <f>+B5</f>
        <v>2</v>
      </c>
      <c r="C93" s="179"/>
      <c r="D93" s="179"/>
      <c r="E93" s="179"/>
      <c r="F93" s="179"/>
      <c r="G93" s="179"/>
      <c r="H93" s="179"/>
      <c r="I93" s="179">
        <f>+I5</f>
        <v>3</v>
      </c>
      <c r="J93" s="184"/>
      <c r="K93" s="2360">
        <f t="shared" ref="K93:Q93" si="52">+K5</f>
        <v>3</v>
      </c>
      <c r="L93" s="179">
        <f t="shared" si="52"/>
        <v>4</v>
      </c>
      <c r="M93" s="179">
        <f t="shared" si="52"/>
        <v>5</v>
      </c>
      <c r="N93" s="179">
        <f t="shared" si="52"/>
        <v>6</v>
      </c>
      <c r="O93" s="179">
        <f t="shared" si="52"/>
        <v>7</v>
      </c>
      <c r="P93" s="640">
        <f t="shared" si="52"/>
        <v>0</v>
      </c>
      <c r="Q93" s="179">
        <f t="shared" si="52"/>
        <v>5</v>
      </c>
      <c r="R93" s="179"/>
      <c r="S93" s="179"/>
      <c r="T93" s="179"/>
      <c r="U93" s="179"/>
    </row>
    <row r="94" spans="1:35" ht="14.25" hidden="1" customHeight="1">
      <c r="A94" s="179"/>
      <c r="B94" s="179"/>
      <c r="C94" s="184"/>
      <c r="D94" s="179"/>
      <c r="E94" s="179"/>
      <c r="F94" s="179"/>
      <c r="G94" s="179"/>
      <c r="H94" s="184"/>
      <c r="I94" s="184"/>
      <c r="J94" s="184"/>
      <c r="K94" s="2356"/>
      <c r="L94" s="617"/>
      <c r="M94" s="617"/>
      <c r="N94" s="617"/>
      <c r="O94" s="617"/>
      <c r="P94" s="618"/>
      <c r="Q94" s="210"/>
      <c r="R94" s="617"/>
      <c r="S94" s="617"/>
      <c r="T94" s="617"/>
      <c r="U94" s="617"/>
      <c r="V94" s="169"/>
      <c r="W94" s="169"/>
    </row>
    <row r="95" spans="1:35">
      <c r="A95" s="179" t="s">
        <v>12</v>
      </c>
      <c r="B95" s="644" t="s">
        <v>2434</v>
      </c>
      <c r="C95" s="191" t="s">
        <v>736</v>
      </c>
      <c r="D95" s="187" t="s">
        <v>2435</v>
      </c>
      <c r="E95" s="187">
        <v>2</v>
      </c>
      <c r="F95" s="191" t="s">
        <v>751</v>
      </c>
      <c r="G95" s="187">
        <v>680001</v>
      </c>
      <c r="H95" s="187" t="s">
        <v>2420</v>
      </c>
      <c r="I95" s="192">
        <f>50000000</f>
        <v>50000000</v>
      </c>
      <c r="J95" s="2550">
        <v>44058840</v>
      </c>
      <c r="K95" s="2219">
        <f>50000000</f>
        <v>50000000</v>
      </c>
      <c r="L95" s="192">
        <f t="shared" ref="L95:O96" si="53">+K95</f>
        <v>50000000</v>
      </c>
      <c r="M95" s="192">
        <f t="shared" si="53"/>
        <v>50000000</v>
      </c>
      <c r="N95" s="192">
        <f t="shared" si="53"/>
        <v>50000000</v>
      </c>
      <c r="O95" s="192">
        <f t="shared" si="53"/>
        <v>50000000</v>
      </c>
      <c r="P95" s="538">
        <v>16745364</v>
      </c>
      <c r="Q95" s="193">
        <f>+P95/N95</f>
        <v>0.33490727999999997</v>
      </c>
      <c r="R95" s="192">
        <f t="shared" ref="R95:R106" si="54">+L95-K95</f>
        <v>0</v>
      </c>
      <c r="S95" s="192">
        <f t="shared" ref="S95:S105" si="55">+M95-L95</f>
        <v>0</v>
      </c>
      <c r="T95" s="192">
        <f t="shared" ref="T95:T106" si="56">+N95-M95</f>
        <v>0</v>
      </c>
      <c r="U95" s="192">
        <f t="shared" ref="U95:U105" si="57">+O95-N95</f>
        <v>0</v>
      </c>
      <c r="V95" s="169">
        <f>+K95/1.27</f>
        <v>39370078.740157478</v>
      </c>
      <c r="W95" s="169">
        <f>+V95*0.27</f>
        <v>10629921.259842519</v>
      </c>
      <c r="AA95" s="538">
        <f t="shared" ref="AA95:AA158" si="58">+N95-P95</f>
        <v>33254636</v>
      </c>
      <c r="AD95" s="603">
        <v>44058840</v>
      </c>
    </row>
    <row r="96" spans="1:35">
      <c r="A96" s="179" t="s">
        <v>14</v>
      </c>
      <c r="B96" s="644" t="s">
        <v>3141</v>
      </c>
      <c r="C96" s="191" t="s">
        <v>736</v>
      </c>
      <c r="D96" s="187" t="s">
        <v>2436</v>
      </c>
      <c r="E96" s="187">
        <v>2</v>
      </c>
      <c r="F96" s="191" t="s">
        <v>751</v>
      </c>
      <c r="G96" s="187">
        <v>680001</v>
      </c>
      <c r="H96" s="187" t="s">
        <v>2420</v>
      </c>
      <c r="I96" s="192">
        <f>1000000-1000000</f>
        <v>0</v>
      </c>
      <c r="J96" s="2550">
        <v>0</v>
      </c>
      <c r="K96" s="2219">
        <f>1000000-1000000</f>
        <v>0</v>
      </c>
      <c r="L96" s="192">
        <f t="shared" si="53"/>
        <v>0</v>
      </c>
      <c r="M96" s="192">
        <f t="shared" si="53"/>
        <v>0</v>
      </c>
      <c r="N96" s="192">
        <f t="shared" si="53"/>
        <v>0</v>
      </c>
      <c r="O96" s="192">
        <f t="shared" si="53"/>
        <v>0</v>
      </c>
      <c r="P96" s="538">
        <v>0</v>
      </c>
      <c r="Q96" s="193"/>
      <c r="R96" s="192">
        <f t="shared" si="54"/>
        <v>0</v>
      </c>
      <c r="S96" s="192">
        <f t="shared" si="55"/>
        <v>0</v>
      </c>
      <c r="T96" s="192">
        <f t="shared" si="56"/>
        <v>0</v>
      </c>
      <c r="U96" s="192">
        <f t="shared" si="57"/>
        <v>0</v>
      </c>
      <c r="V96" s="169">
        <f>+K96/1.27</f>
        <v>0</v>
      </c>
      <c r="W96" s="169">
        <f>+V96*0.27</f>
        <v>0</v>
      </c>
      <c r="AA96" s="538">
        <f t="shared" si="58"/>
        <v>0</v>
      </c>
      <c r="AD96" s="603">
        <v>0</v>
      </c>
    </row>
    <row r="97" spans="1:30">
      <c r="A97" s="179" t="s">
        <v>15</v>
      </c>
      <c r="B97" s="695" t="s">
        <v>2437</v>
      </c>
      <c r="C97" s="184"/>
      <c r="D97" s="179"/>
      <c r="E97" s="179"/>
      <c r="F97" s="179"/>
      <c r="G97" s="179"/>
      <c r="H97" s="179" t="s">
        <v>2420</v>
      </c>
      <c r="I97" s="209">
        <f>SUM(I95:I96)</f>
        <v>50000000</v>
      </c>
      <c r="J97" s="2549">
        <f t="shared" ref="J97:P97" si="59">SUM(J95:J96)</f>
        <v>44058840</v>
      </c>
      <c r="K97" s="2347">
        <f t="shared" si="59"/>
        <v>50000000</v>
      </c>
      <c r="L97" s="209">
        <f t="shared" si="59"/>
        <v>50000000</v>
      </c>
      <c r="M97" s="209">
        <f t="shared" si="59"/>
        <v>50000000</v>
      </c>
      <c r="N97" s="209">
        <f t="shared" si="59"/>
        <v>50000000</v>
      </c>
      <c r="O97" s="209">
        <f t="shared" si="59"/>
        <v>50000000</v>
      </c>
      <c r="P97" s="245">
        <f t="shared" si="59"/>
        <v>16745364</v>
      </c>
      <c r="Q97" s="210">
        <f>+P97/N97</f>
        <v>0.33490727999999997</v>
      </c>
      <c r="R97" s="192">
        <f t="shared" si="54"/>
        <v>0</v>
      </c>
      <c r="S97" s="192">
        <f t="shared" si="55"/>
        <v>0</v>
      </c>
      <c r="T97" s="192">
        <f t="shared" si="56"/>
        <v>0</v>
      </c>
      <c r="U97" s="192">
        <f t="shared" si="57"/>
        <v>0</v>
      </c>
      <c r="V97" s="169"/>
      <c r="W97" s="169"/>
      <c r="AA97" s="245">
        <f t="shared" si="58"/>
        <v>33254636</v>
      </c>
      <c r="AD97" s="245">
        <v>44058840</v>
      </c>
    </row>
    <row r="98" spans="1:30">
      <c r="A98" s="179" t="s">
        <v>17</v>
      </c>
      <c r="B98" s="213" t="s">
        <v>2438</v>
      </c>
      <c r="C98" s="205"/>
      <c r="D98" s="207"/>
      <c r="E98" s="207"/>
      <c r="F98" s="179"/>
      <c r="G98" s="179"/>
      <c r="H98" s="179" t="s">
        <v>2439</v>
      </c>
      <c r="I98" s="209">
        <f>0</f>
        <v>0</v>
      </c>
      <c r="J98" s="2549">
        <v>0</v>
      </c>
      <c r="K98" s="2347">
        <f>0</f>
        <v>0</v>
      </c>
      <c r="L98" s="209">
        <f t="shared" ref="L98:L123" si="60">+K98</f>
        <v>0</v>
      </c>
      <c r="M98" s="209">
        <f t="shared" ref="M98:M124" si="61">+L98</f>
        <v>0</v>
      </c>
      <c r="N98" s="209">
        <f t="shared" ref="N98:N116" si="62">+M98</f>
        <v>0</v>
      </c>
      <c r="O98" s="209">
        <f t="shared" ref="O98:O116" si="63">+N98</f>
        <v>0</v>
      </c>
      <c r="P98" s="245">
        <v>0</v>
      </c>
      <c r="Q98" s="210"/>
      <c r="R98" s="192">
        <f t="shared" si="54"/>
        <v>0</v>
      </c>
      <c r="S98" s="192">
        <f t="shared" si="55"/>
        <v>0</v>
      </c>
      <c r="T98" s="192">
        <f t="shared" si="56"/>
        <v>0</v>
      </c>
      <c r="U98" s="192">
        <f t="shared" si="57"/>
        <v>0</v>
      </c>
      <c r="V98" s="169"/>
      <c r="W98" s="169"/>
      <c r="AA98" s="245">
        <f t="shared" si="58"/>
        <v>0</v>
      </c>
      <c r="AD98" s="245">
        <v>0</v>
      </c>
    </row>
    <row r="99" spans="1:30">
      <c r="A99" s="179" t="s">
        <v>19</v>
      </c>
      <c r="B99" s="213" t="s">
        <v>2440</v>
      </c>
      <c r="C99" s="205" t="s">
        <v>1032</v>
      </c>
      <c r="D99" s="190" t="s">
        <v>2441</v>
      </c>
      <c r="E99" s="190">
        <v>3</v>
      </c>
      <c r="F99" s="191" t="s">
        <v>751</v>
      </c>
      <c r="G99" s="187">
        <v>9990001</v>
      </c>
      <c r="H99" s="187" t="s">
        <v>2442</v>
      </c>
      <c r="I99" s="209">
        <f>10000000-10000000</f>
        <v>0</v>
      </c>
      <c r="J99" s="2549">
        <v>0</v>
      </c>
      <c r="K99" s="2347">
        <f>10000000-10000000</f>
        <v>0</v>
      </c>
      <c r="L99" s="209">
        <f t="shared" si="60"/>
        <v>0</v>
      </c>
      <c r="M99" s="209">
        <f t="shared" si="61"/>
        <v>0</v>
      </c>
      <c r="N99" s="209">
        <f t="shared" si="62"/>
        <v>0</v>
      </c>
      <c r="O99" s="209">
        <f t="shared" si="63"/>
        <v>0</v>
      </c>
      <c r="P99" s="245">
        <v>0</v>
      </c>
      <c r="Q99" s="210"/>
      <c r="R99" s="192">
        <f t="shared" si="54"/>
        <v>0</v>
      </c>
      <c r="S99" s="192">
        <f t="shared" si="55"/>
        <v>0</v>
      </c>
      <c r="T99" s="192">
        <f t="shared" si="56"/>
        <v>0</v>
      </c>
      <c r="U99" s="192">
        <f t="shared" si="57"/>
        <v>0</v>
      </c>
      <c r="V99" s="169">
        <f>+K99/1.27</f>
        <v>0</v>
      </c>
      <c r="W99" s="169">
        <f>+V99*0.27</f>
        <v>0</v>
      </c>
      <c r="AA99" s="245">
        <f t="shared" si="58"/>
        <v>0</v>
      </c>
      <c r="AD99" s="641">
        <v>0</v>
      </c>
    </row>
    <row r="100" spans="1:30">
      <c r="A100" s="179" t="s">
        <v>21</v>
      </c>
      <c r="B100" s="213" t="s">
        <v>2443</v>
      </c>
      <c r="C100" s="205" t="s">
        <v>736</v>
      </c>
      <c r="D100" s="190" t="s">
        <v>2444</v>
      </c>
      <c r="E100" s="190">
        <v>2</v>
      </c>
      <c r="F100" s="191" t="s">
        <v>751</v>
      </c>
      <c r="G100" s="187">
        <v>6800021</v>
      </c>
      <c r="H100" s="187" t="s">
        <v>2442</v>
      </c>
      <c r="I100" s="209">
        <f>6697135+2286000+1622000+716551-2338551</f>
        <v>8983135</v>
      </c>
      <c r="J100" s="2549">
        <v>0</v>
      </c>
      <c r="K100" s="2347">
        <f>10240554+3000000</f>
        <v>13240554</v>
      </c>
      <c r="L100" s="209">
        <f t="shared" si="60"/>
        <v>13240554</v>
      </c>
      <c r="M100" s="209">
        <f>+L100+4000000</f>
        <v>17240554</v>
      </c>
      <c r="N100" s="209">
        <f t="shared" si="62"/>
        <v>17240554</v>
      </c>
      <c r="O100" s="209">
        <f t="shared" si="63"/>
        <v>17240554</v>
      </c>
      <c r="P100" s="245">
        <v>15755275</v>
      </c>
      <c r="Q100" s="210">
        <f>+P100/N100</f>
        <v>0.91384969415715989</v>
      </c>
      <c r="R100" s="192">
        <f t="shared" si="54"/>
        <v>0</v>
      </c>
      <c r="S100" s="192">
        <f t="shared" si="55"/>
        <v>4000000</v>
      </c>
      <c r="T100" s="192">
        <f t="shared" si="56"/>
        <v>0</v>
      </c>
      <c r="U100" s="192">
        <f t="shared" si="57"/>
        <v>0</v>
      </c>
      <c r="V100" s="169">
        <f>+K100/1.27</f>
        <v>10425633.070866141</v>
      </c>
      <c r="W100" s="169">
        <f>+V100*0.27</f>
        <v>2814920.9291338585</v>
      </c>
      <c r="X100" s="169">
        <f>6697135+2286000</f>
        <v>8983135</v>
      </c>
      <c r="Y100" s="169">
        <f>11321686-X100</f>
        <v>2338551</v>
      </c>
      <c r="Z100" s="169"/>
      <c r="AA100" s="245">
        <f t="shared" si="58"/>
        <v>1485279</v>
      </c>
      <c r="AD100" s="641">
        <v>0</v>
      </c>
    </row>
    <row r="101" spans="1:30" hidden="1">
      <c r="A101" s="179"/>
      <c r="B101" s="213" t="s">
        <v>119</v>
      </c>
      <c r="C101" s="205" t="s">
        <v>1032</v>
      </c>
      <c r="D101" s="190" t="s">
        <v>2445</v>
      </c>
      <c r="E101" s="190">
        <v>3</v>
      </c>
      <c r="F101" s="191" t="s">
        <v>751</v>
      </c>
      <c r="G101" s="187">
        <v>9990001</v>
      </c>
      <c r="H101" s="187" t="s">
        <v>2442</v>
      </c>
      <c r="I101" s="209">
        <v>0</v>
      </c>
      <c r="J101" s="2549">
        <v>0</v>
      </c>
      <c r="K101" s="2347">
        <v>0</v>
      </c>
      <c r="L101" s="209">
        <f t="shared" si="60"/>
        <v>0</v>
      </c>
      <c r="M101" s="209">
        <f t="shared" si="61"/>
        <v>0</v>
      </c>
      <c r="N101" s="209">
        <f t="shared" si="62"/>
        <v>0</v>
      </c>
      <c r="O101" s="209">
        <f t="shared" si="63"/>
        <v>0</v>
      </c>
      <c r="P101" s="245">
        <v>0</v>
      </c>
      <c r="Q101" s="210" t="e">
        <f t="shared" ref="Q101:Q149" si="64">+K101/I101</f>
        <v>#DIV/0!</v>
      </c>
      <c r="R101" s="192">
        <f t="shared" si="54"/>
        <v>0</v>
      </c>
      <c r="S101" s="192">
        <f t="shared" si="55"/>
        <v>0</v>
      </c>
      <c r="T101" s="192">
        <f t="shared" si="56"/>
        <v>0</v>
      </c>
      <c r="U101" s="192">
        <f t="shared" si="57"/>
        <v>0</v>
      </c>
      <c r="V101" s="169"/>
      <c r="W101" s="169"/>
      <c r="AA101" s="245">
        <f t="shared" si="58"/>
        <v>0</v>
      </c>
      <c r="AD101" s="245">
        <v>0</v>
      </c>
    </row>
    <row r="102" spans="1:30" ht="25.5" hidden="1">
      <c r="A102" s="179"/>
      <c r="B102" s="213" t="s">
        <v>2446</v>
      </c>
      <c r="C102" s="205" t="s">
        <v>1032</v>
      </c>
      <c r="D102" s="190" t="s">
        <v>2447</v>
      </c>
      <c r="E102" s="190">
        <v>3</v>
      </c>
      <c r="F102" s="191" t="s">
        <v>751</v>
      </c>
      <c r="G102" s="187">
        <v>9990001</v>
      </c>
      <c r="H102" s="187" t="s">
        <v>2442</v>
      </c>
      <c r="I102" s="209">
        <f>1402-1402</f>
        <v>0</v>
      </c>
      <c r="J102" s="2549">
        <v>0</v>
      </c>
      <c r="K102" s="2347">
        <f>1402-1402</f>
        <v>0</v>
      </c>
      <c r="L102" s="209">
        <f t="shared" si="60"/>
        <v>0</v>
      </c>
      <c r="M102" s="209">
        <f t="shared" si="61"/>
        <v>0</v>
      </c>
      <c r="N102" s="209">
        <f t="shared" si="62"/>
        <v>0</v>
      </c>
      <c r="O102" s="209">
        <f t="shared" si="63"/>
        <v>0</v>
      </c>
      <c r="P102" s="245">
        <v>0</v>
      </c>
      <c r="Q102" s="210" t="e">
        <f t="shared" si="64"/>
        <v>#DIV/0!</v>
      </c>
      <c r="R102" s="192">
        <f t="shared" si="54"/>
        <v>0</v>
      </c>
      <c r="S102" s="192">
        <f t="shared" si="55"/>
        <v>0</v>
      </c>
      <c r="T102" s="192">
        <f t="shared" si="56"/>
        <v>0</v>
      </c>
      <c r="U102" s="192">
        <f t="shared" si="57"/>
        <v>0</v>
      </c>
      <c r="V102" s="169">
        <f t="shared" ref="V102:V144" si="65">+K102/1.27</f>
        <v>0</v>
      </c>
      <c r="W102" s="169">
        <f t="shared" ref="W102:W144" si="66">+V102*0.27</f>
        <v>0</v>
      </c>
      <c r="AA102" s="245">
        <f t="shared" si="58"/>
        <v>0</v>
      </c>
      <c r="AD102" s="245">
        <v>0</v>
      </c>
    </row>
    <row r="103" spans="1:30" hidden="1">
      <c r="A103" s="179"/>
      <c r="B103" s="213" t="s">
        <v>3304</v>
      </c>
      <c r="C103" s="205" t="s">
        <v>1032</v>
      </c>
      <c r="D103" s="190" t="s">
        <v>2448</v>
      </c>
      <c r="E103" s="190">
        <v>3</v>
      </c>
      <c r="F103" s="191" t="s">
        <v>751</v>
      </c>
      <c r="G103" s="187">
        <v>9990001</v>
      </c>
      <c r="H103" s="187" t="s">
        <v>2442</v>
      </c>
      <c r="I103" s="209">
        <f>0</f>
        <v>0</v>
      </c>
      <c r="J103" s="2549">
        <v>0</v>
      </c>
      <c r="K103" s="2347">
        <f>0</f>
        <v>0</v>
      </c>
      <c r="L103" s="192">
        <f t="shared" si="60"/>
        <v>0</v>
      </c>
      <c r="M103" s="209">
        <f t="shared" si="61"/>
        <v>0</v>
      </c>
      <c r="N103" s="209">
        <f t="shared" si="62"/>
        <v>0</v>
      </c>
      <c r="O103" s="209">
        <f t="shared" si="63"/>
        <v>0</v>
      </c>
      <c r="P103" s="245">
        <v>0</v>
      </c>
      <c r="Q103" s="210" t="e">
        <f t="shared" si="64"/>
        <v>#DIV/0!</v>
      </c>
      <c r="R103" s="192">
        <f t="shared" si="54"/>
        <v>0</v>
      </c>
      <c r="S103" s="192">
        <f t="shared" si="55"/>
        <v>0</v>
      </c>
      <c r="T103" s="192">
        <f t="shared" si="56"/>
        <v>0</v>
      </c>
      <c r="U103" s="192">
        <f t="shared" si="57"/>
        <v>0</v>
      </c>
      <c r="V103" s="169">
        <f t="shared" si="65"/>
        <v>0</v>
      </c>
      <c r="W103" s="169">
        <f t="shared" si="66"/>
        <v>0</v>
      </c>
      <c r="AA103" s="245">
        <f t="shared" si="58"/>
        <v>0</v>
      </c>
      <c r="AD103" s="641">
        <v>0</v>
      </c>
    </row>
    <row r="104" spans="1:30" hidden="1">
      <c r="A104" s="179"/>
      <c r="B104" s="7" t="s">
        <v>2449</v>
      </c>
      <c r="C104" s="513" t="s">
        <v>1032</v>
      </c>
      <c r="D104" s="5" t="s">
        <v>2450</v>
      </c>
      <c r="E104" s="5">
        <v>3</v>
      </c>
      <c r="F104" s="191" t="s">
        <v>751</v>
      </c>
      <c r="G104" s="187">
        <v>9990001</v>
      </c>
      <c r="H104" s="187" t="s">
        <v>2442</v>
      </c>
      <c r="I104" s="192">
        <v>0</v>
      </c>
      <c r="J104" s="2550">
        <v>0</v>
      </c>
      <c r="K104" s="2219">
        <v>0</v>
      </c>
      <c r="L104" s="192">
        <f t="shared" si="60"/>
        <v>0</v>
      </c>
      <c r="M104" s="209">
        <f t="shared" si="61"/>
        <v>0</v>
      </c>
      <c r="N104" s="192">
        <f t="shared" si="62"/>
        <v>0</v>
      </c>
      <c r="O104" s="192">
        <f t="shared" si="63"/>
        <v>0</v>
      </c>
      <c r="P104" s="538">
        <v>0</v>
      </c>
      <c r="Q104" s="193" t="e">
        <f t="shared" si="64"/>
        <v>#DIV/0!</v>
      </c>
      <c r="R104" s="192">
        <f t="shared" si="54"/>
        <v>0</v>
      </c>
      <c r="S104" s="192">
        <f t="shared" si="55"/>
        <v>0</v>
      </c>
      <c r="T104" s="192">
        <f t="shared" si="56"/>
        <v>0</v>
      </c>
      <c r="U104" s="192">
        <f t="shared" si="57"/>
        <v>0</v>
      </c>
      <c r="V104" s="169">
        <f t="shared" si="65"/>
        <v>0</v>
      </c>
      <c r="W104" s="169">
        <f t="shared" si="66"/>
        <v>0</v>
      </c>
      <c r="AA104" s="538">
        <f t="shared" si="58"/>
        <v>0</v>
      </c>
      <c r="AD104" s="538">
        <v>0</v>
      </c>
    </row>
    <row r="105" spans="1:30" ht="25.5" hidden="1">
      <c r="A105" s="196"/>
      <c r="B105" s="696" t="s">
        <v>2451</v>
      </c>
      <c r="C105" s="697" t="s">
        <v>1032</v>
      </c>
      <c r="D105" s="698" t="s">
        <v>2452</v>
      </c>
      <c r="E105" s="698">
        <v>3</v>
      </c>
      <c r="F105" s="191" t="s">
        <v>751</v>
      </c>
      <c r="G105" s="196">
        <v>9990001</v>
      </c>
      <c r="H105" s="196" t="s">
        <v>2442</v>
      </c>
      <c r="I105" s="199">
        <f>0</f>
        <v>0</v>
      </c>
      <c r="J105" s="2555">
        <v>0</v>
      </c>
      <c r="K105" s="2250">
        <f>0</f>
        <v>0</v>
      </c>
      <c r="L105" s="192">
        <f t="shared" si="60"/>
        <v>0</v>
      </c>
      <c r="M105" s="209">
        <f t="shared" si="61"/>
        <v>0</v>
      </c>
      <c r="N105" s="199">
        <f t="shared" si="62"/>
        <v>0</v>
      </c>
      <c r="O105" s="199">
        <f t="shared" si="63"/>
        <v>0</v>
      </c>
      <c r="P105" s="626"/>
      <c r="Q105" s="200" t="e">
        <f t="shared" si="64"/>
        <v>#DIV/0!</v>
      </c>
      <c r="R105" s="192">
        <f t="shared" si="54"/>
        <v>0</v>
      </c>
      <c r="S105" s="192">
        <f t="shared" si="55"/>
        <v>0</v>
      </c>
      <c r="T105" s="192">
        <f t="shared" si="56"/>
        <v>0</v>
      </c>
      <c r="U105" s="192">
        <f t="shared" si="57"/>
        <v>0</v>
      </c>
      <c r="V105" s="169">
        <f t="shared" si="65"/>
        <v>0</v>
      </c>
      <c r="W105" s="169">
        <f t="shared" si="66"/>
        <v>0</v>
      </c>
      <c r="AA105" s="626">
        <f t="shared" si="58"/>
        <v>0</v>
      </c>
      <c r="AD105" s="626"/>
    </row>
    <row r="106" spans="1:30" hidden="1">
      <c r="A106" s="196"/>
      <c r="B106" s="696" t="s">
        <v>2453</v>
      </c>
      <c r="C106" s="697" t="s">
        <v>1032</v>
      </c>
      <c r="D106" s="698" t="s">
        <v>2454</v>
      </c>
      <c r="E106" s="698">
        <v>3</v>
      </c>
      <c r="F106" s="191" t="s">
        <v>751</v>
      </c>
      <c r="G106" s="196">
        <v>9990001</v>
      </c>
      <c r="H106" s="196" t="s">
        <v>2442</v>
      </c>
      <c r="I106" s="199">
        <f>0</f>
        <v>0</v>
      </c>
      <c r="J106" s="2555">
        <v>0</v>
      </c>
      <c r="K106" s="2250">
        <f>0</f>
        <v>0</v>
      </c>
      <c r="L106" s="192">
        <f t="shared" si="60"/>
        <v>0</v>
      </c>
      <c r="M106" s="209">
        <f t="shared" si="61"/>
        <v>0</v>
      </c>
      <c r="N106" s="199">
        <f t="shared" si="62"/>
        <v>0</v>
      </c>
      <c r="O106" s="199">
        <f t="shared" si="63"/>
        <v>0</v>
      </c>
      <c r="P106" s="626"/>
      <c r="Q106" s="200" t="e">
        <f t="shared" si="64"/>
        <v>#DIV/0!</v>
      </c>
      <c r="R106" s="192">
        <f t="shared" si="54"/>
        <v>0</v>
      </c>
      <c r="S106" s="192"/>
      <c r="T106" s="192">
        <f t="shared" si="56"/>
        <v>0</v>
      </c>
      <c r="U106" s="192"/>
      <c r="V106" s="169">
        <f t="shared" si="65"/>
        <v>0</v>
      </c>
      <c r="W106" s="169">
        <f t="shared" si="66"/>
        <v>0</v>
      </c>
      <c r="AA106" s="626">
        <f t="shared" si="58"/>
        <v>0</v>
      </c>
      <c r="AD106" s="626"/>
    </row>
    <row r="107" spans="1:30" ht="25.5" hidden="1">
      <c r="A107" s="196"/>
      <c r="B107" s="696" t="s">
        <v>2455</v>
      </c>
      <c r="C107" s="697"/>
      <c r="D107" s="698"/>
      <c r="E107" s="698"/>
      <c r="F107" s="196"/>
      <c r="G107" s="196"/>
      <c r="H107" s="196"/>
      <c r="I107" s="199"/>
      <c r="J107" s="2555">
        <v>0</v>
      </c>
      <c r="K107" s="2250"/>
      <c r="L107" s="192">
        <f t="shared" si="60"/>
        <v>0</v>
      </c>
      <c r="M107" s="209">
        <f t="shared" si="61"/>
        <v>0</v>
      </c>
      <c r="N107" s="199">
        <f t="shared" si="62"/>
        <v>0</v>
      </c>
      <c r="O107" s="199">
        <f t="shared" si="63"/>
        <v>0</v>
      </c>
      <c r="P107" s="626">
        <f>+O107</f>
        <v>0</v>
      </c>
      <c r="Q107" s="200" t="e">
        <f t="shared" si="64"/>
        <v>#DIV/0!</v>
      </c>
      <c r="R107" s="192"/>
      <c r="S107" s="192"/>
      <c r="T107" s="192"/>
      <c r="U107" s="192"/>
      <c r="V107" s="169">
        <f t="shared" si="65"/>
        <v>0</v>
      </c>
      <c r="W107" s="169">
        <f t="shared" si="66"/>
        <v>0</v>
      </c>
      <c r="AA107" s="626">
        <f t="shared" si="58"/>
        <v>0</v>
      </c>
      <c r="AD107" s="626">
        <v>0</v>
      </c>
    </row>
    <row r="108" spans="1:30" ht="25.5" hidden="1">
      <c r="A108" s="196"/>
      <c r="B108" s="696" t="s">
        <v>2456</v>
      </c>
      <c r="C108" s="697"/>
      <c r="D108" s="698"/>
      <c r="E108" s="698"/>
      <c r="F108" s="196"/>
      <c r="G108" s="196"/>
      <c r="H108" s="196"/>
      <c r="I108" s="199"/>
      <c r="J108" s="2555">
        <v>0</v>
      </c>
      <c r="K108" s="2250"/>
      <c r="L108" s="192">
        <f t="shared" si="60"/>
        <v>0</v>
      </c>
      <c r="M108" s="209">
        <f t="shared" si="61"/>
        <v>0</v>
      </c>
      <c r="N108" s="199">
        <f t="shared" si="62"/>
        <v>0</v>
      </c>
      <c r="O108" s="199">
        <f t="shared" si="63"/>
        <v>0</v>
      </c>
      <c r="P108" s="626">
        <f>+O108</f>
        <v>0</v>
      </c>
      <c r="Q108" s="200" t="e">
        <f t="shared" si="64"/>
        <v>#DIV/0!</v>
      </c>
      <c r="R108" s="192"/>
      <c r="S108" s="192"/>
      <c r="T108" s="192"/>
      <c r="U108" s="192"/>
      <c r="V108" s="169">
        <f t="shared" si="65"/>
        <v>0</v>
      </c>
      <c r="W108" s="169">
        <f t="shared" si="66"/>
        <v>0</v>
      </c>
      <c r="AA108" s="626">
        <f t="shared" si="58"/>
        <v>0</v>
      </c>
      <c r="AD108" s="626">
        <v>0</v>
      </c>
    </row>
    <row r="109" spans="1:30" ht="25.5" hidden="1">
      <c r="A109" s="196"/>
      <c r="B109" s="696" t="s">
        <v>2457</v>
      </c>
      <c r="C109" s="697"/>
      <c r="D109" s="698"/>
      <c r="E109" s="698"/>
      <c r="F109" s="196"/>
      <c r="G109" s="196"/>
      <c r="H109" s="196"/>
      <c r="I109" s="199"/>
      <c r="J109" s="2555">
        <v>0</v>
      </c>
      <c r="K109" s="2250"/>
      <c r="L109" s="192">
        <f t="shared" si="60"/>
        <v>0</v>
      </c>
      <c r="M109" s="209">
        <f t="shared" si="61"/>
        <v>0</v>
      </c>
      <c r="N109" s="199">
        <f t="shared" si="62"/>
        <v>0</v>
      </c>
      <c r="O109" s="199">
        <f t="shared" si="63"/>
        <v>0</v>
      </c>
      <c r="P109" s="626">
        <f>+O109</f>
        <v>0</v>
      </c>
      <c r="Q109" s="200" t="e">
        <f t="shared" si="64"/>
        <v>#DIV/0!</v>
      </c>
      <c r="R109" s="192"/>
      <c r="S109" s="192"/>
      <c r="T109" s="192"/>
      <c r="U109" s="192"/>
      <c r="V109" s="169">
        <f t="shared" si="65"/>
        <v>0</v>
      </c>
      <c r="W109" s="169">
        <f t="shared" si="66"/>
        <v>0</v>
      </c>
      <c r="AA109" s="626">
        <f t="shared" si="58"/>
        <v>0</v>
      </c>
      <c r="AD109" s="626">
        <v>0</v>
      </c>
    </row>
    <row r="110" spans="1:30" ht="25.5" hidden="1">
      <c r="A110" s="196"/>
      <c r="B110" s="696" t="s">
        <v>2458</v>
      </c>
      <c r="C110" s="697"/>
      <c r="D110" s="698"/>
      <c r="E110" s="698"/>
      <c r="F110" s="196"/>
      <c r="G110" s="196"/>
      <c r="H110" s="196"/>
      <c r="I110" s="199"/>
      <c r="J110" s="2555">
        <v>0</v>
      </c>
      <c r="K110" s="2250"/>
      <c r="L110" s="192">
        <f t="shared" si="60"/>
        <v>0</v>
      </c>
      <c r="M110" s="209">
        <f t="shared" si="61"/>
        <v>0</v>
      </c>
      <c r="N110" s="199">
        <f t="shared" si="62"/>
        <v>0</v>
      </c>
      <c r="O110" s="199">
        <f t="shared" si="63"/>
        <v>0</v>
      </c>
      <c r="P110" s="626">
        <f>+O110</f>
        <v>0</v>
      </c>
      <c r="Q110" s="200" t="e">
        <f t="shared" si="64"/>
        <v>#DIV/0!</v>
      </c>
      <c r="R110" s="192"/>
      <c r="S110" s="192"/>
      <c r="T110" s="192"/>
      <c r="U110" s="192"/>
      <c r="V110" s="169">
        <f t="shared" si="65"/>
        <v>0</v>
      </c>
      <c r="W110" s="169">
        <f t="shared" si="66"/>
        <v>0</v>
      </c>
      <c r="AA110" s="626">
        <f t="shared" si="58"/>
        <v>0</v>
      </c>
      <c r="AD110" s="626">
        <v>0</v>
      </c>
    </row>
    <row r="111" spans="1:30" ht="25.5" hidden="1">
      <c r="A111" s="196"/>
      <c r="B111" s="696" t="s">
        <v>2459</v>
      </c>
      <c r="C111" s="697"/>
      <c r="D111" s="698"/>
      <c r="E111" s="698"/>
      <c r="F111" s="196"/>
      <c r="G111" s="196"/>
      <c r="H111" s="196"/>
      <c r="I111" s="199"/>
      <c r="J111" s="2555">
        <v>0</v>
      </c>
      <c r="K111" s="2250"/>
      <c r="L111" s="192">
        <f t="shared" si="60"/>
        <v>0</v>
      </c>
      <c r="M111" s="209">
        <f t="shared" si="61"/>
        <v>0</v>
      </c>
      <c r="N111" s="199">
        <f t="shared" si="62"/>
        <v>0</v>
      </c>
      <c r="O111" s="199">
        <f t="shared" si="63"/>
        <v>0</v>
      </c>
      <c r="P111" s="626">
        <f>+O111</f>
        <v>0</v>
      </c>
      <c r="Q111" s="200" t="e">
        <f t="shared" si="64"/>
        <v>#DIV/0!</v>
      </c>
      <c r="R111" s="192">
        <f t="shared" ref="R111:R140" si="67">+L111-K111</f>
        <v>0</v>
      </c>
      <c r="S111" s="192">
        <f t="shared" ref="S111:S172" si="68">+M111-L111</f>
        <v>0</v>
      </c>
      <c r="T111" s="192">
        <f t="shared" ref="T111:T172" si="69">+N111-M111</f>
        <v>0</v>
      </c>
      <c r="U111" s="192">
        <f t="shared" ref="U111:U136" si="70">+O111-N111</f>
        <v>0</v>
      </c>
      <c r="V111" s="169">
        <f t="shared" si="65"/>
        <v>0</v>
      </c>
      <c r="W111" s="169">
        <f t="shared" si="66"/>
        <v>0</v>
      </c>
      <c r="AA111" s="626">
        <f t="shared" si="58"/>
        <v>0</v>
      </c>
      <c r="AD111" s="626">
        <v>0</v>
      </c>
    </row>
    <row r="112" spans="1:30" hidden="1">
      <c r="A112" s="196"/>
      <c r="B112" s="696" t="s">
        <v>2460</v>
      </c>
      <c r="C112" s="697" t="s">
        <v>730</v>
      </c>
      <c r="D112" s="698" t="s">
        <v>1711</v>
      </c>
      <c r="E112" s="698">
        <v>3</v>
      </c>
      <c r="F112" s="191" t="s">
        <v>534</v>
      </c>
      <c r="G112" s="196">
        <v>9990001</v>
      </c>
      <c r="H112" s="196" t="s">
        <v>1712</v>
      </c>
      <c r="I112" s="199">
        <f>0</f>
        <v>0</v>
      </c>
      <c r="J112" s="2555">
        <v>0</v>
      </c>
      <c r="K112" s="2250">
        <f>0</f>
        <v>0</v>
      </c>
      <c r="L112" s="192">
        <f t="shared" si="60"/>
        <v>0</v>
      </c>
      <c r="M112" s="209">
        <f t="shared" si="61"/>
        <v>0</v>
      </c>
      <c r="N112" s="199">
        <f t="shared" si="62"/>
        <v>0</v>
      </c>
      <c r="O112" s="199">
        <f t="shared" si="63"/>
        <v>0</v>
      </c>
      <c r="P112" s="626"/>
      <c r="Q112" s="200" t="e">
        <f t="shared" si="64"/>
        <v>#DIV/0!</v>
      </c>
      <c r="R112" s="192">
        <f t="shared" si="67"/>
        <v>0</v>
      </c>
      <c r="S112" s="192">
        <f t="shared" si="68"/>
        <v>0</v>
      </c>
      <c r="T112" s="192">
        <f t="shared" si="69"/>
        <v>0</v>
      </c>
      <c r="U112" s="192">
        <f t="shared" si="70"/>
        <v>0</v>
      </c>
      <c r="V112" s="169">
        <f t="shared" si="65"/>
        <v>0</v>
      </c>
      <c r="W112" s="169">
        <f t="shared" si="66"/>
        <v>0</v>
      </c>
      <c r="AA112" s="626">
        <f t="shared" si="58"/>
        <v>0</v>
      </c>
      <c r="AD112" s="626"/>
    </row>
    <row r="113" spans="1:30" s="203" customFormat="1" ht="38.25" hidden="1">
      <c r="A113" s="196"/>
      <c r="B113" s="696" t="s">
        <v>2461</v>
      </c>
      <c r="C113" s="697"/>
      <c r="D113" s="698"/>
      <c r="E113" s="698"/>
      <c r="F113" s="196"/>
      <c r="G113" s="196"/>
      <c r="H113" s="196"/>
      <c r="I113" s="199"/>
      <c r="J113" s="2555">
        <v>0</v>
      </c>
      <c r="K113" s="2250"/>
      <c r="L113" s="192">
        <f t="shared" si="60"/>
        <v>0</v>
      </c>
      <c r="M113" s="209">
        <f t="shared" si="61"/>
        <v>0</v>
      </c>
      <c r="N113" s="199">
        <f t="shared" si="62"/>
        <v>0</v>
      </c>
      <c r="O113" s="199">
        <f t="shared" si="63"/>
        <v>0</v>
      </c>
      <c r="P113" s="626">
        <f>+O113</f>
        <v>0</v>
      </c>
      <c r="Q113" s="200" t="e">
        <f t="shared" si="64"/>
        <v>#DIV/0!</v>
      </c>
      <c r="R113" s="199">
        <f t="shared" si="67"/>
        <v>0</v>
      </c>
      <c r="S113" s="199">
        <f t="shared" si="68"/>
        <v>0</v>
      </c>
      <c r="T113" s="199">
        <f t="shared" si="69"/>
        <v>0</v>
      </c>
      <c r="U113" s="199">
        <f t="shared" si="70"/>
        <v>0</v>
      </c>
      <c r="V113" s="169">
        <f t="shared" si="65"/>
        <v>0</v>
      </c>
      <c r="W113" s="169">
        <f t="shared" si="66"/>
        <v>0</v>
      </c>
      <c r="AA113" s="626">
        <f t="shared" si="58"/>
        <v>0</v>
      </c>
      <c r="AD113" s="626">
        <v>0</v>
      </c>
    </row>
    <row r="114" spans="1:30" hidden="1">
      <c r="A114" s="196"/>
      <c r="B114" s="696" t="s">
        <v>2462</v>
      </c>
      <c r="C114" s="697"/>
      <c r="D114" s="698"/>
      <c r="E114" s="698"/>
      <c r="F114" s="196"/>
      <c r="G114" s="196"/>
      <c r="H114" s="196"/>
      <c r="I114" s="199"/>
      <c r="J114" s="2555">
        <v>0</v>
      </c>
      <c r="K114" s="2250"/>
      <c r="L114" s="192">
        <f t="shared" si="60"/>
        <v>0</v>
      </c>
      <c r="M114" s="209">
        <f t="shared" si="61"/>
        <v>0</v>
      </c>
      <c r="N114" s="199">
        <f t="shared" si="62"/>
        <v>0</v>
      </c>
      <c r="O114" s="199">
        <f t="shared" si="63"/>
        <v>0</v>
      </c>
      <c r="P114" s="626">
        <f>+O114</f>
        <v>0</v>
      </c>
      <c r="Q114" s="200" t="e">
        <f t="shared" si="64"/>
        <v>#DIV/0!</v>
      </c>
      <c r="R114" s="192">
        <f t="shared" si="67"/>
        <v>0</v>
      </c>
      <c r="S114" s="192">
        <f t="shared" si="68"/>
        <v>0</v>
      </c>
      <c r="T114" s="192">
        <f t="shared" si="69"/>
        <v>0</v>
      </c>
      <c r="U114" s="192">
        <f t="shared" si="70"/>
        <v>0</v>
      </c>
      <c r="V114" s="169">
        <f t="shared" si="65"/>
        <v>0</v>
      </c>
      <c r="W114" s="169">
        <f t="shared" si="66"/>
        <v>0</v>
      </c>
      <c r="AA114" s="626">
        <f t="shared" si="58"/>
        <v>0</v>
      </c>
      <c r="AD114" s="626">
        <v>0</v>
      </c>
    </row>
    <row r="115" spans="1:30" hidden="1">
      <c r="A115" s="196"/>
      <c r="B115" s="696" t="s">
        <v>2463</v>
      </c>
      <c r="C115" s="699" t="s">
        <v>1032</v>
      </c>
      <c r="D115" s="699" t="s">
        <v>2464</v>
      </c>
      <c r="E115" s="190">
        <v>3</v>
      </c>
      <c r="F115" s="191" t="s">
        <v>751</v>
      </c>
      <c r="G115" s="187">
        <v>9990001</v>
      </c>
      <c r="H115" s="187" t="s">
        <v>2442</v>
      </c>
      <c r="I115" s="199">
        <f>0</f>
        <v>0</v>
      </c>
      <c r="J115" s="2555">
        <v>0</v>
      </c>
      <c r="K115" s="2250">
        <f>0</f>
        <v>0</v>
      </c>
      <c r="L115" s="192">
        <f t="shared" si="60"/>
        <v>0</v>
      </c>
      <c r="M115" s="209">
        <f t="shared" si="61"/>
        <v>0</v>
      </c>
      <c r="N115" s="199">
        <f t="shared" si="62"/>
        <v>0</v>
      </c>
      <c r="O115" s="199">
        <f t="shared" si="63"/>
        <v>0</v>
      </c>
      <c r="P115" s="626"/>
      <c r="Q115" s="200" t="e">
        <f t="shared" si="64"/>
        <v>#DIV/0!</v>
      </c>
      <c r="R115" s="192">
        <f t="shared" si="67"/>
        <v>0</v>
      </c>
      <c r="S115" s="192">
        <f t="shared" si="68"/>
        <v>0</v>
      </c>
      <c r="T115" s="192">
        <f t="shared" si="69"/>
        <v>0</v>
      </c>
      <c r="U115" s="192">
        <f t="shared" si="70"/>
        <v>0</v>
      </c>
      <c r="V115" s="169">
        <f t="shared" si="65"/>
        <v>0</v>
      </c>
      <c r="W115" s="169">
        <f t="shared" si="66"/>
        <v>0</v>
      </c>
      <c r="AA115" s="626">
        <f t="shared" si="58"/>
        <v>0</v>
      </c>
      <c r="AD115" s="626"/>
    </row>
    <row r="116" spans="1:30" hidden="1">
      <c r="A116" s="196"/>
      <c r="B116" s="696" t="s">
        <v>2465</v>
      </c>
      <c r="C116" s="699" t="s">
        <v>1032</v>
      </c>
      <c r="D116" s="699" t="s">
        <v>2466</v>
      </c>
      <c r="E116" s="190">
        <v>3</v>
      </c>
      <c r="F116" s="191" t="s">
        <v>751</v>
      </c>
      <c r="G116" s="187">
        <v>9990001</v>
      </c>
      <c r="H116" s="187" t="s">
        <v>2442</v>
      </c>
      <c r="I116" s="199"/>
      <c r="J116" s="2555">
        <v>0</v>
      </c>
      <c r="K116" s="2250"/>
      <c r="L116" s="192">
        <f t="shared" si="60"/>
        <v>0</v>
      </c>
      <c r="M116" s="209">
        <f t="shared" si="61"/>
        <v>0</v>
      </c>
      <c r="N116" s="199">
        <f t="shared" si="62"/>
        <v>0</v>
      </c>
      <c r="O116" s="199">
        <f t="shared" si="63"/>
        <v>0</v>
      </c>
      <c r="P116" s="626">
        <f>+O116</f>
        <v>0</v>
      </c>
      <c r="Q116" s="200" t="e">
        <f t="shared" si="64"/>
        <v>#DIV/0!</v>
      </c>
      <c r="R116" s="192">
        <f t="shared" si="67"/>
        <v>0</v>
      </c>
      <c r="S116" s="192">
        <f t="shared" si="68"/>
        <v>0</v>
      </c>
      <c r="T116" s="192">
        <f t="shared" si="69"/>
        <v>0</v>
      </c>
      <c r="U116" s="192">
        <f t="shared" si="70"/>
        <v>0</v>
      </c>
      <c r="V116" s="169">
        <f t="shared" si="65"/>
        <v>0</v>
      </c>
      <c r="W116" s="169">
        <f t="shared" si="66"/>
        <v>0</v>
      </c>
      <c r="AA116" s="626">
        <f t="shared" si="58"/>
        <v>0</v>
      </c>
      <c r="AD116" s="626">
        <v>0</v>
      </c>
    </row>
    <row r="117" spans="1:30" hidden="1">
      <c r="A117" s="179"/>
      <c r="B117" s="213" t="s">
        <v>2467</v>
      </c>
      <c r="C117" s="205"/>
      <c r="D117" s="207"/>
      <c r="E117" s="207">
        <v>3</v>
      </c>
      <c r="F117" s="184"/>
      <c r="G117" s="179"/>
      <c r="H117" s="179" t="s">
        <v>2442</v>
      </c>
      <c r="I117" s="209">
        <f>SUM(I104:I116)</f>
        <v>0</v>
      </c>
      <c r="J117" s="2549">
        <v>0</v>
      </c>
      <c r="K117" s="2347">
        <f t="shared" ref="K117:P117" si="71">SUM(K104:K116)</f>
        <v>0</v>
      </c>
      <c r="L117" s="192">
        <f t="shared" si="60"/>
        <v>0</v>
      </c>
      <c r="M117" s="209">
        <f t="shared" si="61"/>
        <v>0</v>
      </c>
      <c r="N117" s="209">
        <f t="shared" si="71"/>
        <v>0</v>
      </c>
      <c r="O117" s="209">
        <f t="shared" si="71"/>
        <v>0</v>
      </c>
      <c r="P117" s="245">
        <f t="shared" si="71"/>
        <v>0</v>
      </c>
      <c r="Q117" s="210" t="e">
        <f t="shared" si="64"/>
        <v>#DIV/0!</v>
      </c>
      <c r="R117" s="192">
        <f t="shared" si="67"/>
        <v>0</v>
      </c>
      <c r="S117" s="192">
        <f t="shared" si="68"/>
        <v>0</v>
      </c>
      <c r="T117" s="192">
        <f t="shared" si="69"/>
        <v>0</v>
      </c>
      <c r="U117" s="192">
        <f t="shared" si="70"/>
        <v>0</v>
      </c>
      <c r="V117" s="169">
        <f t="shared" si="65"/>
        <v>0</v>
      </c>
      <c r="W117" s="169">
        <f t="shared" si="66"/>
        <v>0</v>
      </c>
      <c r="AA117" s="245">
        <f t="shared" si="58"/>
        <v>0</v>
      </c>
      <c r="AD117" s="245">
        <v>0</v>
      </c>
    </row>
    <row r="118" spans="1:30" ht="25.5" hidden="1">
      <c r="A118" s="179"/>
      <c r="B118" s="214" t="s">
        <v>2468</v>
      </c>
      <c r="C118" s="700" t="s">
        <v>1032</v>
      </c>
      <c r="D118" s="700" t="s">
        <v>2469</v>
      </c>
      <c r="E118" s="190">
        <v>3</v>
      </c>
      <c r="F118" s="191" t="s">
        <v>751</v>
      </c>
      <c r="G118" s="187">
        <v>9990001</v>
      </c>
      <c r="H118" s="187" t="s">
        <v>2442</v>
      </c>
      <c r="I118" s="192">
        <f>0</f>
        <v>0</v>
      </c>
      <c r="J118" s="2550">
        <v>0</v>
      </c>
      <c r="K118" s="2219">
        <f>0</f>
        <v>0</v>
      </c>
      <c r="L118" s="192">
        <f t="shared" si="60"/>
        <v>0</v>
      </c>
      <c r="M118" s="209">
        <f t="shared" si="61"/>
        <v>0</v>
      </c>
      <c r="N118" s="192">
        <f t="shared" ref="N118:N143" si="72">+M118</f>
        <v>0</v>
      </c>
      <c r="O118" s="192">
        <f t="shared" ref="O118:O143" si="73">+N118</f>
        <v>0</v>
      </c>
      <c r="P118" s="538"/>
      <c r="Q118" s="193" t="e">
        <f t="shared" si="64"/>
        <v>#DIV/0!</v>
      </c>
      <c r="R118" s="192">
        <f t="shared" si="67"/>
        <v>0</v>
      </c>
      <c r="S118" s="192">
        <f t="shared" si="68"/>
        <v>0</v>
      </c>
      <c r="T118" s="192">
        <f t="shared" si="69"/>
        <v>0</v>
      </c>
      <c r="U118" s="192">
        <f t="shared" si="70"/>
        <v>0</v>
      </c>
      <c r="V118" s="169">
        <f t="shared" si="65"/>
        <v>0</v>
      </c>
      <c r="W118" s="169">
        <f t="shared" si="66"/>
        <v>0</v>
      </c>
      <c r="AA118" s="538">
        <f t="shared" si="58"/>
        <v>0</v>
      </c>
      <c r="AD118" s="538"/>
    </row>
    <row r="119" spans="1:30" ht="25.5" hidden="1">
      <c r="A119" s="179"/>
      <c r="B119" s="214" t="s">
        <v>2470</v>
      </c>
      <c r="C119" s="205" t="s">
        <v>1032</v>
      </c>
      <c r="D119" s="207" t="s">
        <v>2471</v>
      </c>
      <c r="E119" s="207">
        <v>3</v>
      </c>
      <c r="F119" s="184" t="s">
        <v>751</v>
      </c>
      <c r="G119" s="179">
        <v>9990001</v>
      </c>
      <c r="H119" s="187" t="s">
        <v>2442</v>
      </c>
      <c r="I119" s="192">
        <f>0</f>
        <v>0</v>
      </c>
      <c r="J119" s="2550">
        <v>0</v>
      </c>
      <c r="K119" s="2219">
        <f>0</f>
        <v>0</v>
      </c>
      <c r="L119" s="192">
        <f t="shared" si="60"/>
        <v>0</v>
      </c>
      <c r="M119" s="209">
        <f t="shared" si="61"/>
        <v>0</v>
      </c>
      <c r="N119" s="209">
        <f t="shared" si="72"/>
        <v>0</v>
      </c>
      <c r="O119" s="209">
        <f t="shared" si="73"/>
        <v>0</v>
      </c>
      <c r="P119" s="245">
        <f>+O119</f>
        <v>0</v>
      </c>
      <c r="Q119" s="193" t="e">
        <f t="shared" si="64"/>
        <v>#DIV/0!</v>
      </c>
      <c r="R119" s="192">
        <f t="shared" si="67"/>
        <v>0</v>
      </c>
      <c r="S119" s="192">
        <f t="shared" si="68"/>
        <v>0</v>
      </c>
      <c r="T119" s="192">
        <f t="shared" si="69"/>
        <v>0</v>
      </c>
      <c r="U119" s="192">
        <f t="shared" si="70"/>
        <v>0</v>
      </c>
      <c r="V119" s="169">
        <f t="shared" si="65"/>
        <v>0</v>
      </c>
      <c r="W119" s="169">
        <f t="shared" si="66"/>
        <v>0</v>
      </c>
      <c r="AA119" s="245">
        <f t="shared" si="58"/>
        <v>0</v>
      </c>
      <c r="AD119" s="245">
        <v>0</v>
      </c>
    </row>
    <row r="120" spans="1:30" ht="12.75" hidden="1" customHeight="1">
      <c r="A120" s="179"/>
      <c r="B120" s="660" t="s">
        <v>2472</v>
      </c>
      <c r="C120" s="701" t="s">
        <v>1012</v>
      </c>
      <c r="D120" s="702" t="s">
        <v>2473</v>
      </c>
      <c r="E120" s="702">
        <v>3</v>
      </c>
      <c r="F120" s="184" t="s">
        <v>751</v>
      </c>
      <c r="G120" s="179">
        <v>9990001</v>
      </c>
      <c r="H120" s="187" t="s">
        <v>2442</v>
      </c>
      <c r="I120" s="192">
        <f>0</f>
        <v>0</v>
      </c>
      <c r="J120" s="2550">
        <v>0</v>
      </c>
      <c r="K120" s="2219">
        <f>0</f>
        <v>0</v>
      </c>
      <c r="L120" s="192">
        <f t="shared" si="60"/>
        <v>0</v>
      </c>
      <c r="M120" s="209">
        <f t="shared" si="61"/>
        <v>0</v>
      </c>
      <c r="N120" s="192">
        <f t="shared" si="72"/>
        <v>0</v>
      </c>
      <c r="O120" s="192">
        <f t="shared" si="73"/>
        <v>0</v>
      </c>
      <c r="P120" s="538">
        <f>+O120</f>
        <v>0</v>
      </c>
      <c r="Q120" s="193" t="e">
        <f t="shared" si="64"/>
        <v>#DIV/0!</v>
      </c>
      <c r="R120" s="192">
        <f t="shared" si="67"/>
        <v>0</v>
      </c>
      <c r="S120" s="192">
        <f t="shared" si="68"/>
        <v>0</v>
      </c>
      <c r="T120" s="192">
        <f t="shared" si="69"/>
        <v>0</v>
      </c>
      <c r="U120" s="192">
        <f t="shared" si="70"/>
        <v>0</v>
      </c>
      <c r="V120" s="169">
        <f t="shared" si="65"/>
        <v>0</v>
      </c>
      <c r="W120" s="169">
        <f t="shared" si="66"/>
        <v>0</v>
      </c>
      <c r="AA120" s="538">
        <f t="shared" si="58"/>
        <v>0</v>
      </c>
      <c r="AD120" s="538">
        <v>0</v>
      </c>
    </row>
    <row r="121" spans="1:30" hidden="1">
      <c r="A121" s="179"/>
      <c r="B121" s="660" t="s">
        <v>2474</v>
      </c>
      <c r="C121" s="701" t="s">
        <v>1032</v>
      </c>
      <c r="D121" s="702" t="s">
        <v>2454</v>
      </c>
      <c r="E121" s="702">
        <v>3</v>
      </c>
      <c r="F121" s="184" t="s">
        <v>751</v>
      </c>
      <c r="G121" s="179">
        <v>9990001</v>
      </c>
      <c r="H121" s="187" t="s">
        <v>2442</v>
      </c>
      <c r="I121" s="192">
        <f>0</f>
        <v>0</v>
      </c>
      <c r="J121" s="2550">
        <v>0</v>
      </c>
      <c r="K121" s="2219">
        <f>0</f>
        <v>0</v>
      </c>
      <c r="L121" s="192">
        <f t="shared" si="60"/>
        <v>0</v>
      </c>
      <c r="M121" s="209">
        <f t="shared" si="61"/>
        <v>0</v>
      </c>
      <c r="N121" s="209">
        <f t="shared" si="72"/>
        <v>0</v>
      </c>
      <c r="O121" s="209">
        <f t="shared" si="73"/>
        <v>0</v>
      </c>
      <c r="P121" s="245"/>
      <c r="Q121" s="193" t="e">
        <f t="shared" si="64"/>
        <v>#DIV/0!</v>
      </c>
      <c r="R121" s="192">
        <f t="shared" si="67"/>
        <v>0</v>
      </c>
      <c r="S121" s="192">
        <f t="shared" si="68"/>
        <v>0</v>
      </c>
      <c r="T121" s="192">
        <f t="shared" si="69"/>
        <v>0</v>
      </c>
      <c r="U121" s="192">
        <f t="shared" si="70"/>
        <v>0</v>
      </c>
      <c r="V121" s="169">
        <f t="shared" si="65"/>
        <v>0</v>
      </c>
      <c r="W121" s="169">
        <f t="shared" si="66"/>
        <v>0</v>
      </c>
      <c r="AA121" s="245">
        <f t="shared" si="58"/>
        <v>0</v>
      </c>
      <c r="AD121" s="245"/>
    </row>
    <row r="122" spans="1:30" hidden="1">
      <c r="A122" s="179"/>
      <c r="B122" s="660" t="s">
        <v>2475</v>
      </c>
      <c r="C122" s="701" t="s">
        <v>1032</v>
      </c>
      <c r="D122" s="702" t="s">
        <v>2476</v>
      </c>
      <c r="E122" s="702">
        <v>3</v>
      </c>
      <c r="F122" s="184" t="s">
        <v>751</v>
      </c>
      <c r="G122" s="179">
        <v>9990001</v>
      </c>
      <c r="H122" s="187" t="s">
        <v>2442</v>
      </c>
      <c r="I122" s="192">
        <f>48500-48500</f>
        <v>0</v>
      </c>
      <c r="J122" s="2550">
        <v>0</v>
      </c>
      <c r="K122" s="2219">
        <f>48500-48500</f>
        <v>0</v>
      </c>
      <c r="L122" s="192">
        <f t="shared" si="60"/>
        <v>0</v>
      </c>
      <c r="M122" s="209">
        <f t="shared" si="61"/>
        <v>0</v>
      </c>
      <c r="N122" s="192">
        <f t="shared" si="72"/>
        <v>0</v>
      </c>
      <c r="O122" s="192">
        <f t="shared" si="73"/>
        <v>0</v>
      </c>
      <c r="P122" s="538">
        <v>0</v>
      </c>
      <c r="Q122" s="193" t="e">
        <f t="shared" si="64"/>
        <v>#DIV/0!</v>
      </c>
      <c r="R122" s="192">
        <f t="shared" si="67"/>
        <v>0</v>
      </c>
      <c r="S122" s="192">
        <f t="shared" si="68"/>
        <v>0</v>
      </c>
      <c r="T122" s="192">
        <f t="shared" si="69"/>
        <v>0</v>
      </c>
      <c r="U122" s="192">
        <f t="shared" si="70"/>
        <v>0</v>
      </c>
      <c r="V122" s="169">
        <f t="shared" si="65"/>
        <v>0</v>
      </c>
      <c r="W122" s="169">
        <f t="shared" si="66"/>
        <v>0</v>
      </c>
      <c r="AA122" s="538">
        <f t="shared" si="58"/>
        <v>0</v>
      </c>
      <c r="AD122" s="538">
        <v>0</v>
      </c>
    </row>
    <row r="123" spans="1:30" hidden="1">
      <c r="A123" s="179"/>
      <c r="B123" s="660"/>
      <c r="C123" s="701" t="s">
        <v>1032</v>
      </c>
      <c r="D123" s="702" t="s">
        <v>2477</v>
      </c>
      <c r="E123" s="702">
        <v>3</v>
      </c>
      <c r="F123" s="184" t="s">
        <v>751</v>
      </c>
      <c r="G123" s="179">
        <v>9990001</v>
      </c>
      <c r="H123" s="187" t="s">
        <v>2442</v>
      </c>
      <c r="I123" s="192">
        <f>0</f>
        <v>0</v>
      </c>
      <c r="J123" s="2550">
        <v>0</v>
      </c>
      <c r="K123" s="2219">
        <f>0</f>
        <v>0</v>
      </c>
      <c r="L123" s="192">
        <f t="shared" si="60"/>
        <v>0</v>
      </c>
      <c r="M123" s="209">
        <f t="shared" si="61"/>
        <v>0</v>
      </c>
      <c r="N123" s="209">
        <f t="shared" si="72"/>
        <v>0</v>
      </c>
      <c r="O123" s="209">
        <f t="shared" si="73"/>
        <v>0</v>
      </c>
      <c r="P123" s="245">
        <f>+O123</f>
        <v>0</v>
      </c>
      <c r="Q123" s="193" t="e">
        <f t="shared" si="64"/>
        <v>#DIV/0!</v>
      </c>
      <c r="R123" s="192">
        <f t="shared" si="67"/>
        <v>0</v>
      </c>
      <c r="S123" s="192">
        <f t="shared" si="68"/>
        <v>0</v>
      </c>
      <c r="T123" s="192">
        <f t="shared" si="69"/>
        <v>0</v>
      </c>
      <c r="U123" s="192">
        <f t="shared" si="70"/>
        <v>0</v>
      </c>
      <c r="V123" s="169">
        <f t="shared" si="65"/>
        <v>0</v>
      </c>
      <c r="W123" s="169">
        <f t="shared" si="66"/>
        <v>0</v>
      </c>
      <c r="AA123" s="245">
        <f t="shared" si="58"/>
        <v>0</v>
      </c>
      <c r="AD123" s="245">
        <v>0</v>
      </c>
    </row>
    <row r="124" spans="1:30" ht="30.75" hidden="1" customHeight="1">
      <c r="A124" s="179"/>
      <c r="B124" s="660" t="s">
        <v>2478</v>
      </c>
      <c r="C124" s="701" t="s">
        <v>1032</v>
      </c>
      <c r="D124" s="702" t="s">
        <v>2479</v>
      </c>
      <c r="E124" s="702">
        <v>3</v>
      </c>
      <c r="F124" s="184" t="s">
        <v>751</v>
      </c>
      <c r="G124" s="179">
        <v>9990001</v>
      </c>
      <c r="H124" s="187" t="s">
        <v>2442</v>
      </c>
      <c r="I124" s="192">
        <v>0</v>
      </c>
      <c r="J124" s="2550">
        <v>0</v>
      </c>
      <c r="K124" s="2219">
        <v>0</v>
      </c>
      <c r="L124" s="192">
        <f t="shared" ref="L124:L143" si="74">+K124</f>
        <v>0</v>
      </c>
      <c r="M124" s="209">
        <f t="shared" si="61"/>
        <v>0</v>
      </c>
      <c r="N124" s="192">
        <f t="shared" si="72"/>
        <v>0</v>
      </c>
      <c r="O124" s="192">
        <f t="shared" si="73"/>
        <v>0</v>
      </c>
      <c r="P124" s="538">
        <v>0</v>
      </c>
      <c r="Q124" s="193" t="e">
        <f t="shared" si="64"/>
        <v>#DIV/0!</v>
      </c>
      <c r="R124" s="192">
        <f t="shared" si="67"/>
        <v>0</v>
      </c>
      <c r="S124" s="192">
        <f t="shared" si="68"/>
        <v>0</v>
      </c>
      <c r="T124" s="192">
        <f t="shared" si="69"/>
        <v>0</v>
      </c>
      <c r="U124" s="192">
        <f t="shared" si="70"/>
        <v>0</v>
      </c>
      <c r="V124" s="169">
        <f t="shared" si="65"/>
        <v>0</v>
      </c>
      <c r="W124" s="169">
        <f t="shared" si="66"/>
        <v>0</v>
      </c>
      <c r="AA124" s="538">
        <f t="shared" si="58"/>
        <v>0</v>
      </c>
      <c r="AD124" s="604">
        <v>0</v>
      </c>
    </row>
    <row r="125" spans="1:30">
      <c r="A125" s="179" t="s">
        <v>23</v>
      </c>
      <c r="B125" s="660" t="s">
        <v>3551</v>
      </c>
      <c r="C125" s="701" t="s">
        <v>1032</v>
      </c>
      <c r="D125" s="702" t="s">
        <v>2480</v>
      </c>
      <c r="E125" s="702">
        <v>3</v>
      </c>
      <c r="F125" s="184" t="s">
        <v>751</v>
      </c>
      <c r="G125" s="179">
        <v>9990001</v>
      </c>
      <c r="H125" s="187" t="s">
        <v>2442</v>
      </c>
      <c r="I125" s="192">
        <f>0</f>
        <v>0</v>
      </c>
      <c r="J125" s="2550">
        <v>0</v>
      </c>
      <c r="K125" s="2219">
        <f>605921123-605921123</f>
        <v>0</v>
      </c>
      <c r="L125" s="192">
        <f t="shared" si="74"/>
        <v>0</v>
      </c>
      <c r="M125" s="192">
        <f t="shared" ref="M125:M143" si="75">+L125</f>
        <v>0</v>
      </c>
      <c r="N125" s="192">
        <f t="shared" si="72"/>
        <v>0</v>
      </c>
      <c r="O125" s="209">
        <f t="shared" si="73"/>
        <v>0</v>
      </c>
      <c r="P125" s="538">
        <v>0</v>
      </c>
      <c r="Q125" s="193"/>
      <c r="R125" s="192">
        <f t="shared" si="67"/>
        <v>0</v>
      </c>
      <c r="S125" s="192">
        <f t="shared" si="68"/>
        <v>0</v>
      </c>
      <c r="T125" s="192">
        <f t="shared" si="69"/>
        <v>0</v>
      </c>
      <c r="U125" s="192">
        <f t="shared" si="70"/>
        <v>0</v>
      </c>
      <c r="V125" s="169">
        <f t="shared" si="65"/>
        <v>0</v>
      </c>
      <c r="W125" s="169">
        <f t="shared" si="66"/>
        <v>0</v>
      </c>
      <c r="AA125" s="538">
        <f t="shared" si="58"/>
        <v>0</v>
      </c>
      <c r="AD125" s="603">
        <v>0</v>
      </c>
    </row>
    <row r="126" spans="1:30">
      <c r="A126" s="179" t="s">
        <v>25</v>
      </c>
      <c r="B126" s="660" t="s">
        <v>3724</v>
      </c>
      <c r="C126" s="701" t="s">
        <v>1032</v>
      </c>
      <c r="D126" s="702" t="s">
        <v>2481</v>
      </c>
      <c r="E126" s="702">
        <v>3</v>
      </c>
      <c r="F126" s="184" t="s">
        <v>751</v>
      </c>
      <c r="G126" s="179">
        <v>9990001</v>
      </c>
      <c r="H126" s="187" t="s">
        <v>2442</v>
      </c>
      <c r="I126" s="192">
        <f>0</f>
        <v>0</v>
      </c>
      <c r="J126" s="2550">
        <v>0</v>
      </c>
      <c r="K126" s="2219">
        <f>650017565-650017565</f>
        <v>0</v>
      </c>
      <c r="L126" s="192">
        <f t="shared" si="74"/>
        <v>0</v>
      </c>
      <c r="M126" s="192">
        <f t="shared" si="75"/>
        <v>0</v>
      </c>
      <c r="N126" s="192">
        <f t="shared" si="72"/>
        <v>0</v>
      </c>
      <c r="O126" s="192">
        <f t="shared" si="73"/>
        <v>0</v>
      </c>
      <c r="P126" s="538">
        <v>0</v>
      </c>
      <c r="Q126" s="193"/>
      <c r="R126" s="192">
        <f t="shared" si="67"/>
        <v>0</v>
      </c>
      <c r="S126" s="192">
        <f t="shared" si="68"/>
        <v>0</v>
      </c>
      <c r="T126" s="192">
        <f t="shared" si="69"/>
        <v>0</v>
      </c>
      <c r="U126" s="192">
        <f t="shared" si="70"/>
        <v>0</v>
      </c>
      <c r="V126" s="169">
        <f t="shared" si="65"/>
        <v>0</v>
      </c>
      <c r="W126" s="169">
        <f t="shared" si="66"/>
        <v>0</v>
      </c>
      <c r="AA126" s="538">
        <f t="shared" si="58"/>
        <v>0</v>
      </c>
      <c r="AD126" s="603">
        <v>0</v>
      </c>
    </row>
    <row r="127" spans="1:30" hidden="1">
      <c r="A127" s="179"/>
      <c r="B127" s="660"/>
      <c r="C127" s="701" t="s">
        <v>1032</v>
      </c>
      <c r="D127" s="702" t="s">
        <v>2482</v>
      </c>
      <c r="E127" s="702">
        <v>3</v>
      </c>
      <c r="F127" s="184" t="s">
        <v>751</v>
      </c>
      <c r="G127" s="179">
        <v>9990001</v>
      </c>
      <c r="H127" s="187" t="s">
        <v>2442</v>
      </c>
      <c r="I127" s="192">
        <f>0</f>
        <v>0</v>
      </c>
      <c r="J127" s="2550">
        <v>0</v>
      </c>
      <c r="K127" s="2219">
        <f>0</f>
        <v>0</v>
      </c>
      <c r="L127" s="192">
        <f t="shared" si="74"/>
        <v>0</v>
      </c>
      <c r="M127" s="192">
        <f t="shared" si="75"/>
        <v>0</v>
      </c>
      <c r="N127" s="209">
        <f t="shared" si="72"/>
        <v>0</v>
      </c>
      <c r="O127" s="209">
        <f t="shared" si="73"/>
        <v>0</v>
      </c>
      <c r="P127" s="538"/>
      <c r="Q127" s="193"/>
      <c r="R127" s="192">
        <f t="shared" si="67"/>
        <v>0</v>
      </c>
      <c r="S127" s="192">
        <f t="shared" si="68"/>
        <v>0</v>
      </c>
      <c r="T127" s="192">
        <f t="shared" si="69"/>
        <v>0</v>
      </c>
      <c r="U127" s="192">
        <f t="shared" si="70"/>
        <v>0</v>
      </c>
      <c r="V127" s="169">
        <f t="shared" si="65"/>
        <v>0</v>
      </c>
      <c r="W127" s="169">
        <f t="shared" si="66"/>
        <v>0</v>
      </c>
      <c r="AA127" s="538">
        <f t="shared" si="58"/>
        <v>0</v>
      </c>
      <c r="AD127" s="538"/>
    </row>
    <row r="128" spans="1:30" ht="25.5" hidden="1">
      <c r="A128" s="179"/>
      <c r="B128" s="660" t="s">
        <v>2483</v>
      </c>
      <c r="C128" s="662"/>
      <c r="D128" s="661"/>
      <c r="E128" s="661"/>
      <c r="F128" s="187"/>
      <c r="G128" s="187"/>
      <c r="H128" s="187"/>
      <c r="I128" s="192"/>
      <c r="J128" s="2550">
        <v>0</v>
      </c>
      <c r="K128" s="2219"/>
      <c r="L128" s="192">
        <f t="shared" si="74"/>
        <v>0</v>
      </c>
      <c r="M128" s="192">
        <f t="shared" si="75"/>
        <v>0</v>
      </c>
      <c r="N128" s="192">
        <f t="shared" si="72"/>
        <v>0</v>
      </c>
      <c r="O128" s="192">
        <f t="shared" si="73"/>
        <v>0</v>
      </c>
      <c r="P128" s="538">
        <f>+O128</f>
        <v>0</v>
      </c>
      <c r="Q128" s="193"/>
      <c r="R128" s="192">
        <f t="shared" si="67"/>
        <v>0</v>
      </c>
      <c r="S128" s="192">
        <f t="shared" si="68"/>
        <v>0</v>
      </c>
      <c r="T128" s="192">
        <f t="shared" si="69"/>
        <v>0</v>
      </c>
      <c r="U128" s="192">
        <f t="shared" si="70"/>
        <v>0</v>
      </c>
      <c r="V128" s="169">
        <f t="shared" si="65"/>
        <v>0</v>
      </c>
      <c r="W128" s="169">
        <f t="shared" si="66"/>
        <v>0</v>
      </c>
      <c r="AA128" s="538">
        <f t="shared" si="58"/>
        <v>0</v>
      </c>
      <c r="AD128" s="538">
        <v>0</v>
      </c>
    </row>
    <row r="129" spans="1:30" ht="25.5" hidden="1">
      <c r="A129" s="179"/>
      <c r="B129" s="660" t="s">
        <v>2484</v>
      </c>
      <c r="C129" s="662"/>
      <c r="D129" s="661"/>
      <c r="E129" s="661"/>
      <c r="F129" s="187"/>
      <c r="G129" s="187"/>
      <c r="H129" s="187"/>
      <c r="I129" s="192"/>
      <c r="J129" s="2550">
        <v>0</v>
      </c>
      <c r="K129" s="2219"/>
      <c r="L129" s="192">
        <f t="shared" si="74"/>
        <v>0</v>
      </c>
      <c r="M129" s="192">
        <f t="shared" si="75"/>
        <v>0</v>
      </c>
      <c r="N129" s="192">
        <f t="shared" si="72"/>
        <v>0</v>
      </c>
      <c r="O129" s="192">
        <f t="shared" si="73"/>
        <v>0</v>
      </c>
      <c r="P129" s="538">
        <f>+O129</f>
        <v>0</v>
      </c>
      <c r="Q129" s="193"/>
      <c r="R129" s="192">
        <f t="shared" si="67"/>
        <v>0</v>
      </c>
      <c r="S129" s="192">
        <f t="shared" si="68"/>
        <v>0</v>
      </c>
      <c r="T129" s="192">
        <f t="shared" si="69"/>
        <v>0</v>
      </c>
      <c r="U129" s="192">
        <f t="shared" si="70"/>
        <v>0</v>
      </c>
      <c r="V129" s="169">
        <f t="shared" si="65"/>
        <v>0</v>
      </c>
      <c r="W129" s="169">
        <f t="shared" si="66"/>
        <v>0</v>
      </c>
      <c r="AA129" s="538">
        <f t="shared" si="58"/>
        <v>0</v>
      </c>
      <c r="AD129" s="538">
        <v>0</v>
      </c>
    </row>
    <row r="130" spans="1:30" ht="16.5" hidden="1" customHeight="1">
      <c r="A130" s="179"/>
      <c r="B130" s="660" t="s">
        <v>3028</v>
      </c>
      <c r="C130" s="701" t="s">
        <v>1032</v>
      </c>
      <c r="D130" s="702" t="s">
        <v>2485</v>
      </c>
      <c r="E130" s="702">
        <v>3</v>
      </c>
      <c r="F130" s="184" t="s">
        <v>751</v>
      </c>
      <c r="G130" s="179">
        <v>9990001</v>
      </c>
      <c r="H130" s="187" t="s">
        <v>2442</v>
      </c>
      <c r="I130" s="192">
        <v>0</v>
      </c>
      <c r="J130" s="2550">
        <v>0</v>
      </c>
      <c r="K130" s="2219">
        <v>0</v>
      </c>
      <c r="L130" s="192">
        <f t="shared" si="74"/>
        <v>0</v>
      </c>
      <c r="M130" s="192">
        <f t="shared" si="75"/>
        <v>0</v>
      </c>
      <c r="N130" s="209">
        <f t="shared" si="72"/>
        <v>0</v>
      </c>
      <c r="O130" s="209">
        <f t="shared" si="73"/>
        <v>0</v>
      </c>
      <c r="P130" s="538">
        <v>0</v>
      </c>
      <c r="Q130" s="193"/>
      <c r="R130" s="995">
        <f t="shared" si="67"/>
        <v>0</v>
      </c>
      <c r="S130" s="995">
        <f t="shared" si="68"/>
        <v>0</v>
      </c>
      <c r="T130" s="995">
        <f t="shared" si="69"/>
        <v>0</v>
      </c>
      <c r="U130" s="995">
        <f t="shared" si="70"/>
        <v>0</v>
      </c>
      <c r="V130" s="169">
        <f t="shared" si="65"/>
        <v>0</v>
      </c>
      <c r="W130" s="169">
        <f t="shared" si="66"/>
        <v>0</v>
      </c>
      <c r="AA130" s="538">
        <f t="shared" si="58"/>
        <v>0</v>
      </c>
      <c r="AD130" s="604">
        <v>0</v>
      </c>
    </row>
    <row r="131" spans="1:30" hidden="1">
      <c r="A131" s="179"/>
      <c r="B131" s="660" t="s">
        <v>2486</v>
      </c>
      <c r="C131" s="662"/>
      <c r="D131" s="661"/>
      <c r="E131" s="661"/>
      <c r="F131" s="187"/>
      <c r="G131" s="187"/>
      <c r="H131" s="187"/>
      <c r="I131" s="192"/>
      <c r="J131" s="2550">
        <v>0</v>
      </c>
      <c r="K131" s="2219"/>
      <c r="L131" s="192">
        <f t="shared" si="74"/>
        <v>0</v>
      </c>
      <c r="M131" s="192">
        <f t="shared" si="75"/>
        <v>0</v>
      </c>
      <c r="N131" s="192">
        <f t="shared" si="72"/>
        <v>0</v>
      </c>
      <c r="O131" s="192">
        <f t="shared" si="73"/>
        <v>0</v>
      </c>
      <c r="P131" s="538">
        <f>+O131</f>
        <v>0</v>
      </c>
      <c r="Q131" s="193"/>
      <c r="R131" s="192">
        <f t="shared" si="67"/>
        <v>0</v>
      </c>
      <c r="S131" s="192">
        <f t="shared" si="68"/>
        <v>0</v>
      </c>
      <c r="T131" s="192">
        <f t="shared" si="69"/>
        <v>0</v>
      </c>
      <c r="U131" s="192">
        <f t="shared" si="70"/>
        <v>0</v>
      </c>
      <c r="V131" s="169">
        <f t="shared" si="65"/>
        <v>0</v>
      </c>
      <c r="W131" s="169">
        <f t="shared" si="66"/>
        <v>0</v>
      </c>
      <c r="AA131" s="538">
        <f t="shared" si="58"/>
        <v>0</v>
      </c>
      <c r="AD131" s="538">
        <v>0</v>
      </c>
    </row>
    <row r="132" spans="1:30" hidden="1">
      <c r="A132" s="179"/>
      <c r="B132" s="660"/>
      <c r="C132" s="701" t="s">
        <v>1032</v>
      </c>
      <c r="D132" s="702" t="s">
        <v>2487</v>
      </c>
      <c r="E132" s="702">
        <v>3</v>
      </c>
      <c r="F132" s="184" t="s">
        <v>751</v>
      </c>
      <c r="G132" s="179">
        <v>9990001</v>
      </c>
      <c r="H132" s="187" t="s">
        <v>2442</v>
      </c>
      <c r="I132" s="192">
        <f>0</f>
        <v>0</v>
      </c>
      <c r="J132" s="2550">
        <v>0</v>
      </c>
      <c r="K132" s="2219">
        <f>0</f>
        <v>0</v>
      </c>
      <c r="L132" s="192">
        <f t="shared" si="74"/>
        <v>0</v>
      </c>
      <c r="M132" s="192">
        <f t="shared" si="75"/>
        <v>0</v>
      </c>
      <c r="N132" s="209">
        <f t="shared" si="72"/>
        <v>0</v>
      </c>
      <c r="O132" s="209">
        <f t="shared" si="73"/>
        <v>0</v>
      </c>
      <c r="P132" s="245">
        <f>+O132</f>
        <v>0</v>
      </c>
      <c r="Q132" s="193"/>
      <c r="R132" s="192">
        <f t="shared" si="67"/>
        <v>0</v>
      </c>
      <c r="S132" s="192">
        <f t="shared" si="68"/>
        <v>0</v>
      </c>
      <c r="T132" s="192">
        <f t="shared" si="69"/>
        <v>0</v>
      </c>
      <c r="U132" s="192">
        <f t="shared" si="70"/>
        <v>0</v>
      </c>
      <c r="V132" s="169">
        <f t="shared" si="65"/>
        <v>0</v>
      </c>
      <c r="W132" s="169">
        <f t="shared" si="66"/>
        <v>0</v>
      </c>
      <c r="AA132" s="245">
        <f t="shared" si="58"/>
        <v>0</v>
      </c>
      <c r="AD132" s="245">
        <v>0</v>
      </c>
    </row>
    <row r="133" spans="1:30" ht="25.5" hidden="1">
      <c r="A133" s="179"/>
      <c r="B133" s="660" t="s">
        <v>2488</v>
      </c>
      <c r="C133" s="662"/>
      <c r="D133" s="661"/>
      <c r="E133" s="661"/>
      <c r="F133" s="187"/>
      <c r="G133" s="187"/>
      <c r="H133" s="187"/>
      <c r="I133" s="192"/>
      <c r="J133" s="2550">
        <v>0</v>
      </c>
      <c r="K133" s="2219"/>
      <c r="L133" s="192">
        <f t="shared" si="74"/>
        <v>0</v>
      </c>
      <c r="M133" s="192">
        <f t="shared" si="75"/>
        <v>0</v>
      </c>
      <c r="N133" s="192">
        <f t="shared" si="72"/>
        <v>0</v>
      </c>
      <c r="O133" s="192">
        <f t="shared" si="73"/>
        <v>0</v>
      </c>
      <c r="P133" s="538">
        <f>+O133</f>
        <v>0</v>
      </c>
      <c r="Q133" s="193"/>
      <c r="R133" s="192">
        <f t="shared" si="67"/>
        <v>0</v>
      </c>
      <c r="S133" s="192">
        <f t="shared" si="68"/>
        <v>0</v>
      </c>
      <c r="T133" s="192">
        <f t="shared" si="69"/>
        <v>0</v>
      </c>
      <c r="U133" s="192">
        <f t="shared" si="70"/>
        <v>0</v>
      </c>
      <c r="V133" s="169">
        <f t="shared" si="65"/>
        <v>0</v>
      </c>
      <c r="W133" s="169">
        <f t="shared" si="66"/>
        <v>0</v>
      </c>
      <c r="AA133" s="538">
        <f t="shared" si="58"/>
        <v>0</v>
      </c>
      <c r="AD133" s="538">
        <v>0</v>
      </c>
    </row>
    <row r="134" spans="1:30" hidden="1">
      <c r="A134" s="179"/>
      <c r="B134" s="660"/>
      <c r="C134" s="701" t="s">
        <v>1032</v>
      </c>
      <c r="D134" s="702" t="s">
        <v>2489</v>
      </c>
      <c r="E134" s="702">
        <v>3</v>
      </c>
      <c r="F134" s="184" t="s">
        <v>751</v>
      </c>
      <c r="G134" s="179">
        <v>9990001</v>
      </c>
      <c r="H134" s="187" t="s">
        <v>2442</v>
      </c>
      <c r="I134" s="192">
        <f>0</f>
        <v>0</v>
      </c>
      <c r="J134" s="2550">
        <v>0</v>
      </c>
      <c r="K134" s="2219">
        <f>0</f>
        <v>0</v>
      </c>
      <c r="L134" s="192">
        <f t="shared" si="74"/>
        <v>0</v>
      </c>
      <c r="M134" s="192">
        <f t="shared" si="75"/>
        <v>0</v>
      </c>
      <c r="N134" s="209">
        <f t="shared" si="72"/>
        <v>0</v>
      </c>
      <c r="O134" s="209">
        <f t="shared" si="73"/>
        <v>0</v>
      </c>
      <c r="P134" s="245">
        <f>+O134</f>
        <v>0</v>
      </c>
      <c r="Q134" s="193"/>
      <c r="R134" s="192">
        <f t="shared" si="67"/>
        <v>0</v>
      </c>
      <c r="S134" s="192">
        <f t="shared" si="68"/>
        <v>0</v>
      </c>
      <c r="T134" s="192">
        <f t="shared" si="69"/>
        <v>0</v>
      </c>
      <c r="U134" s="192">
        <f t="shared" si="70"/>
        <v>0</v>
      </c>
      <c r="V134" s="169">
        <f t="shared" si="65"/>
        <v>0</v>
      </c>
      <c r="W134" s="169">
        <f t="shared" si="66"/>
        <v>0</v>
      </c>
      <c r="AA134" s="245">
        <f t="shared" si="58"/>
        <v>0</v>
      </c>
      <c r="AD134" s="245">
        <v>0</v>
      </c>
    </row>
    <row r="135" spans="1:30" hidden="1">
      <c r="A135" s="179"/>
      <c r="B135" s="660" t="s">
        <v>2490</v>
      </c>
      <c r="C135" s="662"/>
      <c r="D135" s="661"/>
      <c r="E135" s="661"/>
      <c r="F135" s="187"/>
      <c r="G135" s="187"/>
      <c r="H135" s="187"/>
      <c r="I135" s="192">
        <v>0</v>
      </c>
      <c r="J135" s="2550">
        <v>0</v>
      </c>
      <c r="K135" s="2219">
        <v>0</v>
      </c>
      <c r="L135" s="192">
        <f t="shared" si="74"/>
        <v>0</v>
      </c>
      <c r="M135" s="192">
        <f t="shared" si="75"/>
        <v>0</v>
      </c>
      <c r="N135" s="192">
        <f t="shared" si="72"/>
        <v>0</v>
      </c>
      <c r="O135" s="192">
        <f t="shared" si="73"/>
        <v>0</v>
      </c>
      <c r="P135" s="538">
        <f>+O135</f>
        <v>0</v>
      </c>
      <c r="Q135" s="193"/>
      <c r="R135" s="192">
        <f t="shared" si="67"/>
        <v>0</v>
      </c>
      <c r="S135" s="192">
        <f t="shared" si="68"/>
        <v>0</v>
      </c>
      <c r="T135" s="192">
        <f t="shared" si="69"/>
        <v>0</v>
      </c>
      <c r="U135" s="192">
        <f t="shared" si="70"/>
        <v>0</v>
      </c>
      <c r="V135" s="169">
        <f t="shared" si="65"/>
        <v>0</v>
      </c>
      <c r="W135" s="169">
        <f t="shared" si="66"/>
        <v>0</v>
      </c>
      <c r="AA135" s="538">
        <f t="shared" si="58"/>
        <v>0</v>
      </c>
      <c r="AD135" s="538">
        <v>0</v>
      </c>
    </row>
    <row r="136" spans="1:30">
      <c r="A136" s="179" t="s">
        <v>27</v>
      </c>
      <c r="B136" s="660" t="s">
        <v>3731</v>
      </c>
      <c r="C136" s="701" t="s">
        <v>1032</v>
      </c>
      <c r="D136" s="702" t="s">
        <v>2491</v>
      </c>
      <c r="E136" s="702">
        <v>3</v>
      </c>
      <c r="F136" s="184" t="s">
        <v>751</v>
      </c>
      <c r="G136" s="179">
        <v>9990001</v>
      </c>
      <c r="H136" s="179" t="s">
        <v>2442</v>
      </c>
      <c r="I136" s="192">
        <f>0</f>
        <v>0</v>
      </c>
      <c r="J136" s="2550">
        <v>0</v>
      </c>
      <c r="K136" s="2219">
        <f>754147365-754147365</f>
        <v>0</v>
      </c>
      <c r="L136" s="192">
        <f t="shared" si="74"/>
        <v>0</v>
      </c>
      <c r="M136" s="192">
        <f t="shared" si="75"/>
        <v>0</v>
      </c>
      <c r="N136" s="192">
        <f t="shared" si="72"/>
        <v>0</v>
      </c>
      <c r="O136" s="192">
        <f t="shared" si="73"/>
        <v>0</v>
      </c>
      <c r="P136" s="538">
        <v>0</v>
      </c>
      <c r="Q136" s="193"/>
      <c r="R136" s="192">
        <f t="shared" si="67"/>
        <v>0</v>
      </c>
      <c r="S136" s="192">
        <f t="shared" si="68"/>
        <v>0</v>
      </c>
      <c r="T136" s="192">
        <f t="shared" si="69"/>
        <v>0</v>
      </c>
      <c r="U136" s="192">
        <f t="shared" si="70"/>
        <v>0</v>
      </c>
      <c r="V136" s="169">
        <f t="shared" si="65"/>
        <v>0</v>
      </c>
      <c r="W136" s="169">
        <f t="shared" si="66"/>
        <v>0</v>
      </c>
      <c r="AA136" s="538">
        <f t="shared" si="58"/>
        <v>0</v>
      </c>
      <c r="AD136" s="603">
        <v>0</v>
      </c>
    </row>
    <row r="137" spans="1:30" hidden="1">
      <c r="A137" s="179"/>
      <c r="B137" s="660"/>
      <c r="C137" s="701"/>
      <c r="D137" s="702"/>
      <c r="E137" s="702"/>
      <c r="F137" s="184"/>
      <c r="G137" s="179"/>
      <c r="H137" s="179"/>
      <c r="I137" s="192">
        <f>68000-68000</f>
        <v>0</v>
      </c>
      <c r="J137" s="2550">
        <f t="shared" ref="J137:J143" si="76">+I137</f>
        <v>0</v>
      </c>
      <c r="K137" s="2219">
        <f>68000-68000</f>
        <v>0</v>
      </c>
      <c r="L137" s="192">
        <f t="shared" si="74"/>
        <v>0</v>
      </c>
      <c r="M137" s="192">
        <f t="shared" si="75"/>
        <v>0</v>
      </c>
      <c r="N137" s="192">
        <f t="shared" si="72"/>
        <v>0</v>
      </c>
      <c r="O137" s="192">
        <f t="shared" si="73"/>
        <v>0</v>
      </c>
      <c r="P137" s="538">
        <f>+O137</f>
        <v>0</v>
      </c>
      <c r="Q137" s="193"/>
      <c r="R137" s="192">
        <f t="shared" si="67"/>
        <v>0</v>
      </c>
      <c r="S137" s="192">
        <f t="shared" si="68"/>
        <v>0</v>
      </c>
      <c r="T137" s="192">
        <f t="shared" si="69"/>
        <v>0</v>
      </c>
      <c r="U137" s="192"/>
      <c r="V137" s="169">
        <f t="shared" si="65"/>
        <v>0</v>
      </c>
      <c r="W137" s="169">
        <f t="shared" si="66"/>
        <v>0</v>
      </c>
      <c r="AA137" s="538">
        <f t="shared" si="58"/>
        <v>0</v>
      </c>
      <c r="AD137" s="538">
        <v>0</v>
      </c>
    </row>
    <row r="138" spans="1:30" hidden="1">
      <c r="A138" s="179"/>
      <c r="B138" s="703" t="s">
        <v>3305</v>
      </c>
      <c r="C138" s="701"/>
      <c r="D138" s="702"/>
      <c r="E138" s="702"/>
      <c r="F138" s="184"/>
      <c r="G138" s="179"/>
      <c r="H138" s="179"/>
      <c r="I138" s="192">
        <f>85000-85000</f>
        <v>0</v>
      </c>
      <c r="J138" s="2550">
        <f t="shared" si="76"/>
        <v>0</v>
      </c>
      <c r="K138" s="2219">
        <f>85000-85000</f>
        <v>0</v>
      </c>
      <c r="L138" s="192">
        <f t="shared" si="74"/>
        <v>0</v>
      </c>
      <c r="M138" s="192">
        <f t="shared" si="75"/>
        <v>0</v>
      </c>
      <c r="N138" s="192">
        <f t="shared" si="72"/>
        <v>0</v>
      </c>
      <c r="O138" s="192">
        <f t="shared" si="73"/>
        <v>0</v>
      </c>
      <c r="P138" s="538">
        <f>+O138</f>
        <v>0</v>
      </c>
      <c r="Q138" s="193"/>
      <c r="R138" s="192">
        <f t="shared" si="67"/>
        <v>0</v>
      </c>
      <c r="S138" s="192">
        <f t="shared" si="68"/>
        <v>0</v>
      </c>
      <c r="T138" s="192">
        <f t="shared" si="69"/>
        <v>0</v>
      </c>
      <c r="U138" s="192"/>
      <c r="V138" s="169">
        <f t="shared" si="65"/>
        <v>0</v>
      </c>
      <c r="W138" s="169">
        <f t="shared" si="66"/>
        <v>0</v>
      </c>
      <c r="AA138" s="538">
        <f t="shared" si="58"/>
        <v>0</v>
      </c>
      <c r="AD138" s="538">
        <v>0</v>
      </c>
    </row>
    <row r="139" spans="1:30" ht="38.25" hidden="1">
      <c r="A139" s="179"/>
      <c r="B139" s="660" t="s">
        <v>2492</v>
      </c>
      <c r="C139" s="701" t="s">
        <v>1032</v>
      </c>
      <c r="D139" s="702" t="s">
        <v>2481</v>
      </c>
      <c r="E139" s="702">
        <v>3</v>
      </c>
      <c r="F139" s="184" t="s">
        <v>751</v>
      </c>
      <c r="G139" s="179">
        <v>9990001</v>
      </c>
      <c r="H139" s="187" t="s">
        <v>2442</v>
      </c>
      <c r="I139" s="192">
        <v>0</v>
      </c>
      <c r="J139" s="2550">
        <f t="shared" si="76"/>
        <v>0</v>
      </c>
      <c r="K139" s="2219">
        <v>0</v>
      </c>
      <c r="L139" s="192">
        <f t="shared" si="74"/>
        <v>0</v>
      </c>
      <c r="M139" s="192">
        <f t="shared" si="75"/>
        <v>0</v>
      </c>
      <c r="N139" s="192">
        <f t="shared" si="72"/>
        <v>0</v>
      </c>
      <c r="O139" s="192">
        <f t="shared" si="73"/>
        <v>0</v>
      </c>
      <c r="P139" s="538">
        <v>0</v>
      </c>
      <c r="Q139" s="193"/>
      <c r="R139" s="192">
        <f t="shared" si="67"/>
        <v>0</v>
      </c>
      <c r="S139" s="192">
        <f t="shared" si="68"/>
        <v>0</v>
      </c>
      <c r="T139" s="192">
        <f t="shared" si="69"/>
        <v>0</v>
      </c>
      <c r="U139" s="192"/>
      <c r="V139" s="169">
        <f t="shared" si="65"/>
        <v>0</v>
      </c>
      <c r="W139" s="169">
        <f t="shared" si="66"/>
        <v>0</v>
      </c>
      <c r="AA139" s="538">
        <f t="shared" si="58"/>
        <v>0</v>
      </c>
      <c r="AD139" s="538">
        <v>0</v>
      </c>
    </row>
    <row r="140" spans="1:30" hidden="1">
      <c r="A140" s="179"/>
      <c r="B140" s="660" t="s">
        <v>2493</v>
      </c>
      <c r="C140" s="701" t="s">
        <v>1032</v>
      </c>
      <c r="D140" s="702" t="s">
        <v>2482</v>
      </c>
      <c r="E140" s="702">
        <v>3</v>
      </c>
      <c r="F140" s="184" t="s">
        <v>751</v>
      </c>
      <c r="G140" s="179">
        <v>9990001</v>
      </c>
      <c r="H140" s="179" t="s">
        <v>2494</v>
      </c>
      <c r="I140" s="192">
        <v>0</v>
      </c>
      <c r="J140" s="2550">
        <f t="shared" si="76"/>
        <v>0</v>
      </c>
      <c r="K140" s="2219">
        <v>0</v>
      </c>
      <c r="L140" s="192">
        <f t="shared" si="74"/>
        <v>0</v>
      </c>
      <c r="M140" s="192">
        <f t="shared" si="75"/>
        <v>0</v>
      </c>
      <c r="N140" s="192">
        <f t="shared" si="72"/>
        <v>0</v>
      </c>
      <c r="O140" s="192">
        <f t="shared" si="73"/>
        <v>0</v>
      </c>
      <c r="P140" s="538">
        <v>0</v>
      </c>
      <c r="Q140" s="193"/>
      <c r="R140" s="192">
        <f t="shared" si="67"/>
        <v>0</v>
      </c>
      <c r="S140" s="192">
        <f t="shared" si="68"/>
        <v>0</v>
      </c>
      <c r="T140" s="192">
        <f t="shared" si="69"/>
        <v>0</v>
      </c>
      <c r="U140" s="192"/>
      <c r="V140" s="169">
        <f t="shared" si="65"/>
        <v>0</v>
      </c>
      <c r="W140" s="169">
        <f t="shared" si="66"/>
        <v>0</v>
      </c>
      <c r="AA140" s="538">
        <f t="shared" si="58"/>
        <v>0</v>
      </c>
      <c r="AD140" s="603">
        <v>0</v>
      </c>
    </row>
    <row r="141" spans="1:30" ht="25.5" hidden="1">
      <c r="A141" s="179"/>
      <c r="B141" s="660" t="s">
        <v>2495</v>
      </c>
      <c r="C141" s="701"/>
      <c r="D141" s="702"/>
      <c r="E141" s="702">
        <v>4</v>
      </c>
      <c r="F141" s="184" t="s">
        <v>2496</v>
      </c>
      <c r="G141" s="179">
        <v>9990002</v>
      </c>
      <c r="H141" s="179"/>
      <c r="I141" s="192">
        <f>210000-210000</f>
        <v>0</v>
      </c>
      <c r="J141" s="2550">
        <f t="shared" si="76"/>
        <v>0</v>
      </c>
      <c r="K141" s="2219">
        <f>210000-210000</f>
        <v>0</v>
      </c>
      <c r="L141" s="192">
        <f t="shared" si="74"/>
        <v>0</v>
      </c>
      <c r="M141" s="192">
        <f t="shared" si="75"/>
        <v>0</v>
      </c>
      <c r="N141" s="192">
        <f t="shared" si="72"/>
        <v>0</v>
      </c>
      <c r="O141" s="192">
        <f t="shared" si="73"/>
        <v>0</v>
      </c>
      <c r="P141" s="538"/>
      <c r="Q141" s="193"/>
      <c r="R141" s="192"/>
      <c r="S141" s="192">
        <f t="shared" si="68"/>
        <v>0</v>
      </c>
      <c r="T141" s="192">
        <f t="shared" si="69"/>
        <v>0</v>
      </c>
      <c r="U141" s="192"/>
      <c r="V141" s="169">
        <f t="shared" si="65"/>
        <v>0</v>
      </c>
      <c r="W141" s="169">
        <f t="shared" si="66"/>
        <v>0</v>
      </c>
      <c r="AA141" s="538">
        <f t="shared" si="58"/>
        <v>0</v>
      </c>
      <c r="AD141" s="538"/>
    </row>
    <row r="142" spans="1:30" hidden="1">
      <c r="A142" s="179"/>
      <c r="B142" s="660" t="s">
        <v>2497</v>
      </c>
      <c r="C142" s="662" t="s">
        <v>1032</v>
      </c>
      <c r="D142" s="661" t="s">
        <v>2498</v>
      </c>
      <c r="E142" s="702">
        <v>3</v>
      </c>
      <c r="F142" s="184" t="s">
        <v>751</v>
      </c>
      <c r="G142" s="179">
        <v>9990001</v>
      </c>
      <c r="H142" s="187" t="s">
        <v>2499</v>
      </c>
      <c r="I142" s="192">
        <f>0</f>
        <v>0</v>
      </c>
      <c r="J142" s="2550">
        <f t="shared" si="76"/>
        <v>0</v>
      </c>
      <c r="K142" s="2219">
        <f>0</f>
        <v>0</v>
      </c>
      <c r="L142" s="192">
        <f t="shared" si="74"/>
        <v>0</v>
      </c>
      <c r="M142" s="192">
        <f t="shared" si="75"/>
        <v>0</v>
      </c>
      <c r="N142" s="192">
        <f t="shared" si="72"/>
        <v>0</v>
      </c>
      <c r="O142" s="192">
        <f t="shared" si="73"/>
        <v>0</v>
      </c>
      <c r="P142" s="538"/>
      <c r="Q142" s="193"/>
      <c r="R142" s="192">
        <f t="shared" ref="R142:R172" si="77">+L142-K142</f>
        <v>0</v>
      </c>
      <c r="S142" s="192">
        <f t="shared" si="68"/>
        <v>0</v>
      </c>
      <c r="T142" s="192">
        <f t="shared" si="69"/>
        <v>0</v>
      </c>
      <c r="U142" s="192">
        <f t="shared" ref="U142:U172" si="78">+O142-N142</f>
        <v>0</v>
      </c>
      <c r="V142" s="169">
        <f t="shared" si="65"/>
        <v>0</v>
      </c>
      <c r="W142" s="169">
        <f t="shared" si="66"/>
        <v>0</v>
      </c>
      <c r="AA142" s="538">
        <f t="shared" si="58"/>
        <v>0</v>
      </c>
      <c r="AD142" s="603"/>
    </row>
    <row r="143" spans="1:30" hidden="1">
      <c r="A143" s="179"/>
      <c r="B143" s="660" t="s">
        <v>2500</v>
      </c>
      <c r="C143" s="662" t="s">
        <v>1032</v>
      </c>
      <c r="D143" s="661" t="s">
        <v>2501</v>
      </c>
      <c r="E143" s="702">
        <v>3</v>
      </c>
      <c r="F143" s="184" t="s">
        <v>751</v>
      </c>
      <c r="G143" s="179">
        <v>9990001</v>
      </c>
      <c r="H143" s="187" t="s">
        <v>2499</v>
      </c>
      <c r="I143" s="192">
        <v>0</v>
      </c>
      <c r="J143" s="2550">
        <f t="shared" si="76"/>
        <v>0</v>
      </c>
      <c r="K143" s="2219">
        <v>0</v>
      </c>
      <c r="L143" s="192">
        <f t="shared" si="74"/>
        <v>0</v>
      </c>
      <c r="M143" s="192">
        <f t="shared" si="75"/>
        <v>0</v>
      </c>
      <c r="N143" s="192">
        <f t="shared" si="72"/>
        <v>0</v>
      </c>
      <c r="O143" s="192">
        <f t="shared" si="73"/>
        <v>0</v>
      </c>
      <c r="P143" s="538">
        <v>0</v>
      </c>
      <c r="Q143" s="200"/>
      <c r="R143" s="192">
        <f t="shared" si="77"/>
        <v>0</v>
      </c>
      <c r="S143" s="192">
        <f t="shared" si="68"/>
        <v>0</v>
      </c>
      <c r="T143" s="192">
        <f t="shared" si="69"/>
        <v>0</v>
      </c>
      <c r="U143" s="192">
        <f t="shared" si="78"/>
        <v>0</v>
      </c>
      <c r="V143" s="169">
        <f t="shared" si="65"/>
        <v>0</v>
      </c>
      <c r="W143" s="169">
        <f t="shared" si="66"/>
        <v>0</v>
      </c>
      <c r="AA143" s="538">
        <f t="shared" si="58"/>
        <v>0</v>
      </c>
      <c r="AD143" s="538">
        <v>0</v>
      </c>
    </row>
    <row r="144" spans="1:30" ht="15.75" customHeight="1">
      <c r="A144" s="179" t="s">
        <v>29</v>
      </c>
      <c r="B144" s="703" t="s">
        <v>3338</v>
      </c>
      <c r="C144" s="701"/>
      <c r="D144" s="702"/>
      <c r="E144" s="702">
        <v>3</v>
      </c>
      <c r="F144" s="184"/>
      <c r="G144" s="179"/>
      <c r="H144" s="179" t="s">
        <v>2442</v>
      </c>
      <c r="I144" s="209">
        <f>SUM(I118:I143)</f>
        <v>0</v>
      </c>
      <c r="J144" s="2549">
        <f t="shared" ref="J144:P144" si="79">SUM(J118:J143)</f>
        <v>0</v>
      </c>
      <c r="K144" s="2347">
        <f t="shared" si="79"/>
        <v>0</v>
      </c>
      <c r="L144" s="209">
        <f t="shared" si="79"/>
        <v>0</v>
      </c>
      <c r="M144" s="209">
        <f t="shared" si="79"/>
        <v>0</v>
      </c>
      <c r="N144" s="209">
        <f t="shared" si="79"/>
        <v>0</v>
      </c>
      <c r="O144" s="209">
        <f t="shared" si="79"/>
        <v>0</v>
      </c>
      <c r="P144" s="245">
        <f t="shared" si="79"/>
        <v>0</v>
      </c>
      <c r="Q144" s="210"/>
      <c r="R144" s="192">
        <f t="shared" si="77"/>
        <v>0</v>
      </c>
      <c r="S144" s="192">
        <f t="shared" si="68"/>
        <v>0</v>
      </c>
      <c r="T144" s="192">
        <f t="shared" si="69"/>
        <v>0</v>
      </c>
      <c r="U144" s="192">
        <f t="shared" si="78"/>
        <v>0</v>
      </c>
      <c r="V144" s="169">
        <f t="shared" si="65"/>
        <v>0</v>
      </c>
      <c r="W144" s="169">
        <f t="shared" si="66"/>
        <v>0</v>
      </c>
      <c r="AA144" s="245">
        <f t="shared" si="58"/>
        <v>0</v>
      </c>
      <c r="AD144" s="245">
        <v>0</v>
      </c>
    </row>
    <row r="145" spans="1:33" s="20" customFormat="1" ht="51" hidden="1">
      <c r="A145" s="179"/>
      <c r="B145" s="660" t="s">
        <v>2502</v>
      </c>
      <c r="C145" s="701" t="s">
        <v>1032</v>
      </c>
      <c r="D145" s="702" t="s">
        <v>2503</v>
      </c>
      <c r="E145" s="702">
        <v>3</v>
      </c>
      <c r="F145" s="184" t="s">
        <v>751</v>
      </c>
      <c r="G145" s="179">
        <v>9990001</v>
      </c>
      <c r="H145" s="187" t="s">
        <v>2499</v>
      </c>
      <c r="I145" s="192">
        <v>0</v>
      </c>
      <c r="J145" s="2550">
        <f>+I145</f>
        <v>0</v>
      </c>
      <c r="K145" s="2219">
        <v>0</v>
      </c>
      <c r="L145" s="192">
        <f t="shared" ref="L145:L152" si="80">+K145</f>
        <v>0</v>
      </c>
      <c r="M145" s="192">
        <f t="shared" ref="M145:M151" si="81">+L145</f>
        <v>0</v>
      </c>
      <c r="N145" s="192">
        <f t="shared" ref="N145:N152" si="82">+M145</f>
        <v>0</v>
      </c>
      <c r="O145" s="192">
        <f t="shared" ref="O145:O152" si="83">+N145</f>
        <v>0</v>
      </c>
      <c r="P145" s="538">
        <v>0</v>
      </c>
      <c r="Q145" s="193" t="e">
        <f t="shared" si="64"/>
        <v>#DIV/0!</v>
      </c>
      <c r="R145" s="192">
        <f t="shared" si="77"/>
        <v>0</v>
      </c>
      <c r="S145" s="192">
        <f t="shared" si="68"/>
        <v>0</v>
      </c>
      <c r="T145" s="192">
        <f t="shared" si="69"/>
        <v>0</v>
      </c>
      <c r="U145" s="192">
        <f t="shared" si="78"/>
        <v>0</v>
      </c>
      <c r="V145" s="3462"/>
      <c r="W145" s="3462"/>
      <c r="X145" s="3462"/>
      <c r="Y145" s="3462"/>
      <c r="Z145" s="3462"/>
      <c r="AA145" s="538">
        <f t="shared" si="58"/>
        <v>0</v>
      </c>
      <c r="AB145" s="3462"/>
      <c r="AC145" s="3462"/>
      <c r="AD145" s="604">
        <v>0</v>
      </c>
    </row>
    <row r="146" spans="1:33" s="20" customFormat="1" ht="38.25" hidden="1">
      <c r="A146" s="179"/>
      <c r="B146" s="660" t="s">
        <v>3193</v>
      </c>
      <c r="C146" s="701" t="s">
        <v>1032</v>
      </c>
      <c r="D146" s="702" t="s">
        <v>2504</v>
      </c>
      <c r="E146" s="702">
        <v>3</v>
      </c>
      <c r="F146" s="184" t="s">
        <v>751</v>
      </c>
      <c r="G146" s="179">
        <v>9990001</v>
      </c>
      <c r="H146" s="187" t="s">
        <v>2442</v>
      </c>
      <c r="I146" s="192">
        <f>430000-430000</f>
        <v>0</v>
      </c>
      <c r="J146" s="2550">
        <v>0</v>
      </c>
      <c r="K146" s="2219">
        <f>430000-430000</f>
        <v>0</v>
      </c>
      <c r="L146" s="192">
        <f t="shared" si="80"/>
        <v>0</v>
      </c>
      <c r="M146" s="192">
        <f t="shared" si="81"/>
        <v>0</v>
      </c>
      <c r="N146" s="192">
        <f t="shared" si="82"/>
        <v>0</v>
      </c>
      <c r="O146" s="192">
        <f t="shared" si="83"/>
        <v>0</v>
      </c>
      <c r="P146" s="538">
        <f>0</f>
        <v>0</v>
      </c>
      <c r="Q146" s="193" t="e">
        <f t="shared" si="64"/>
        <v>#DIV/0!</v>
      </c>
      <c r="R146" s="192">
        <f t="shared" si="77"/>
        <v>0</v>
      </c>
      <c r="S146" s="192">
        <f t="shared" si="68"/>
        <v>0</v>
      </c>
      <c r="T146" s="192">
        <f t="shared" si="69"/>
        <v>0</v>
      </c>
      <c r="U146" s="192">
        <f t="shared" si="78"/>
        <v>0</v>
      </c>
      <c r="V146" s="3462"/>
      <c r="W146" s="3462"/>
      <c r="X146" s="3462"/>
      <c r="Y146" s="3462"/>
      <c r="Z146" s="3462"/>
      <c r="AA146" s="538">
        <f t="shared" si="58"/>
        <v>0</v>
      </c>
      <c r="AB146" s="3462"/>
      <c r="AC146" s="3462"/>
      <c r="AD146" s="603">
        <v>0</v>
      </c>
    </row>
    <row r="147" spans="1:33" s="20" customFormat="1" ht="28.5" hidden="1" customHeight="1">
      <c r="A147" s="179"/>
      <c r="B147" s="660" t="s">
        <v>3162</v>
      </c>
      <c r="C147" s="701" t="s">
        <v>1032</v>
      </c>
      <c r="D147" s="702" t="s">
        <v>3064</v>
      </c>
      <c r="E147" s="702">
        <v>2</v>
      </c>
      <c r="F147" s="184" t="s">
        <v>751</v>
      </c>
      <c r="G147" s="179"/>
      <c r="H147" s="187" t="s">
        <v>3065</v>
      </c>
      <c r="I147" s="192">
        <f>0</f>
        <v>0</v>
      </c>
      <c r="J147" s="2550">
        <v>0</v>
      </c>
      <c r="K147" s="2219">
        <f>0</f>
        <v>0</v>
      </c>
      <c r="L147" s="192">
        <f t="shared" si="80"/>
        <v>0</v>
      </c>
      <c r="M147" s="192">
        <f t="shared" si="81"/>
        <v>0</v>
      </c>
      <c r="N147" s="192">
        <f t="shared" si="82"/>
        <v>0</v>
      </c>
      <c r="O147" s="192">
        <f t="shared" si="83"/>
        <v>0</v>
      </c>
      <c r="P147" s="538">
        <v>0</v>
      </c>
      <c r="Q147" s="193" t="e">
        <f t="shared" si="64"/>
        <v>#DIV/0!</v>
      </c>
      <c r="R147" s="192">
        <f t="shared" si="77"/>
        <v>0</v>
      </c>
      <c r="S147" s="192">
        <f t="shared" si="68"/>
        <v>0</v>
      </c>
      <c r="T147" s="192">
        <f t="shared" si="69"/>
        <v>0</v>
      </c>
      <c r="U147" s="192">
        <f t="shared" si="78"/>
        <v>0</v>
      </c>
      <c r="V147" s="3462"/>
      <c r="W147" s="3462"/>
      <c r="X147" s="3462"/>
      <c r="Y147" s="3462"/>
      <c r="Z147" s="3462"/>
      <c r="AA147" s="538">
        <f t="shared" si="58"/>
        <v>0</v>
      </c>
      <c r="AB147" s="3462"/>
      <c r="AC147" s="3462"/>
      <c r="AD147" s="603">
        <v>0</v>
      </c>
    </row>
    <row r="148" spans="1:33" s="20" customFormat="1" ht="32.25" hidden="1" customHeight="1">
      <c r="A148" s="179"/>
      <c r="B148" s="660"/>
      <c r="C148" s="701"/>
      <c r="D148" s="702"/>
      <c r="E148" s="702">
        <v>3</v>
      </c>
      <c r="F148" s="184"/>
      <c r="G148" s="179"/>
      <c r="H148" s="187"/>
      <c r="I148" s="192">
        <f>118000-118000</f>
        <v>0</v>
      </c>
      <c r="J148" s="2550">
        <f>+I148</f>
        <v>0</v>
      </c>
      <c r="K148" s="2219">
        <f>118000-118000</f>
        <v>0</v>
      </c>
      <c r="L148" s="192">
        <f t="shared" si="80"/>
        <v>0</v>
      </c>
      <c r="M148" s="192">
        <f t="shared" si="81"/>
        <v>0</v>
      </c>
      <c r="N148" s="192">
        <f t="shared" si="82"/>
        <v>0</v>
      </c>
      <c r="O148" s="192">
        <f t="shared" si="83"/>
        <v>0</v>
      </c>
      <c r="P148" s="538"/>
      <c r="Q148" s="193" t="e">
        <f t="shared" si="64"/>
        <v>#DIV/0!</v>
      </c>
      <c r="R148" s="192">
        <f t="shared" si="77"/>
        <v>0</v>
      </c>
      <c r="S148" s="192">
        <f t="shared" si="68"/>
        <v>0</v>
      </c>
      <c r="T148" s="192">
        <f t="shared" si="69"/>
        <v>0</v>
      </c>
      <c r="U148" s="192">
        <f t="shared" si="78"/>
        <v>0</v>
      </c>
      <c r="V148" s="3462"/>
      <c r="W148" s="3462"/>
      <c r="X148" s="3462"/>
      <c r="Y148" s="3462"/>
      <c r="Z148" s="3462"/>
      <c r="AA148" s="538">
        <f t="shared" si="58"/>
        <v>0</v>
      </c>
      <c r="AB148" s="3462"/>
      <c r="AC148" s="3462"/>
      <c r="AD148" s="603"/>
    </row>
    <row r="149" spans="1:33" s="20" customFormat="1" ht="32.25" hidden="1" customHeight="1">
      <c r="A149" s="179"/>
      <c r="B149" s="660"/>
      <c r="C149" s="701"/>
      <c r="D149" s="702"/>
      <c r="E149" s="702"/>
      <c r="F149" s="184"/>
      <c r="G149" s="179"/>
      <c r="H149" s="187"/>
      <c r="I149" s="192">
        <v>0</v>
      </c>
      <c r="J149" s="2550">
        <f>+I149</f>
        <v>0</v>
      </c>
      <c r="K149" s="2219">
        <v>0</v>
      </c>
      <c r="L149" s="192">
        <f t="shared" si="80"/>
        <v>0</v>
      </c>
      <c r="M149" s="192">
        <f t="shared" si="81"/>
        <v>0</v>
      </c>
      <c r="N149" s="192">
        <f t="shared" si="82"/>
        <v>0</v>
      </c>
      <c r="O149" s="192">
        <f t="shared" si="83"/>
        <v>0</v>
      </c>
      <c r="P149" s="538"/>
      <c r="Q149" s="193" t="e">
        <f t="shared" si="64"/>
        <v>#DIV/0!</v>
      </c>
      <c r="R149" s="192">
        <f t="shared" si="77"/>
        <v>0</v>
      </c>
      <c r="S149" s="192">
        <f t="shared" si="68"/>
        <v>0</v>
      </c>
      <c r="T149" s="192">
        <f t="shared" si="69"/>
        <v>0</v>
      </c>
      <c r="U149" s="192">
        <f t="shared" si="78"/>
        <v>0</v>
      </c>
      <c r="V149" s="3462"/>
      <c r="W149" s="3462"/>
      <c r="X149" s="3462"/>
      <c r="Y149" s="3462"/>
      <c r="Z149" s="3462"/>
      <c r="AA149" s="538">
        <f t="shared" si="58"/>
        <v>0</v>
      </c>
      <c r="AB149" s="3462"/>
      <c r="AC149" s="3462"/>
      <c r="AD149" s="603"/>
    </row>
    <row r="150" spans="1:33" s="20" customFormat="1">
      <c r="A150" s="1594" t="s">
        <v>289</v>
      </c>
      <c r="B150" s="660" t="s">
        <v>3875</v>
      </c>
      <c r="C150" s="701" t="s">
        <v>1032</v>
      </c>
      <c r="D150" s="702" t="s">
        <v>2505</v>
      </c>
      <c r="E150" s="702">
        <v>3</v>
      </c>
      <c r="F150" s="184" t="s">
        <v>751</v>
      </c>
      <c r="G150" s="179">
        <v>9990001</v>
      </c>
      <c r="H150" s="187" t="s">
        <v>2442</v>
      </c>
      <c r="I150" s="192">
        <f>320000000-120000000</f>
        <v>200000000</v>
      </c>
      <c r="J150" s="2550">
        <v>191433572</v>
      </c>
      <c r="K150" s="2219">
        <f>0</f>
        <v>0</v>
      </c>
      <c r="L150" s="192">
        <f>+K150+21000000</f>
        <v>21000000</v>
      </c>
      <c r="M150" s="192">
        <f>+L150</f>
        <v>21000000</v>
      </c>
      <c r="N150" s="192">
        <f t="shared" si="82"/>
        <v>21000000</v>
      </c>
      <c r="O150" s="192">
        <f t="shared" si="83"/>
        <v>21000000</v>
      </c>
      <c r="P150" s="538">
        <v>19049989</v>
      </c>
      <c r="Q150" s="193">
        <f t="shared" ref="Q150:Q158" si="84">+P150/N150</f>
        <v>0.90714233333333338</v>
      </c>
      <c r="R150" s="192">
        <f t="shared" si="77"/>
        <v>21000000</v>
      </c>
      <c r="S150" s="192">
        <f t="shared" si="68"/>
        <v>0</v>
      </c>
      <c r="T150" s="192">
        <f t="shared" si="69"/>
        <v>0</v>
      </c>
      <c r="U150" s="192">
        <f t="shared" si="78"/>
        <v>0</v>
      </c>
      <c r="V150" s="3462"/>
      <c r="W150" s="3462"/>
      <c r="X150" s="3462"/>
      <c r="Y150" s="3462"/>
      <c r="Z150" s="3462"/>
      <c r="AA150" s="538">
        <f t="shared" si="58"/>
        <v>1950011</v>
      </c>
      <c r="AB150" s="3462"/>
      <c r="AC150" s="3462"/>
      <c r="AD150" s="603">
        <v>191433572</v>
      </c>
    </row>
    <row r="151" spans="1:33" s="20" customFormat="1">
      <c r="A151" s="1594" t="s">
        <v>291</v>
      </c>
      <c r="B151" s="660" t="s">
        <v>3793</v>
      </c>
      <c r="C151" s="701" t="s">
        <v>1032</v>
      </c>
      <c r="D151" s="702" t="s">
        <v>3791</v>
      </c>
      <c r="E151" s="702">
        <v>3</v>
      </c>
      <c r="F151" s="184" t="s">
        <v>1050</v>
      </c>
      <c r="G151" s="179">
        <v>9990001</v>
      </c>
      <c r="H151" s="187"/>
      <c r="I151" s="192">
        <f>0</f>
        <v>0</v>
      </c>
      <c r="J151" s="2550">
        <f>+I151</f>
        <v>0</v>
      </c>
      <c r="K151" s="2219">
        <f>563000000</f>
        <v>563000000</v>
      </c>
      <c r="L151" s="192">
        <f t="shared" si="80"/>
        <v>563000000</v>
      </c>
      <c r="M151" s="192">
        <f t="shared" si="81"/>
        <v>563000000</v>
      </c>
      <c r="N151" s="192">
        <f t="shared" si="82"/>
        <v>563000000</v>
      </c>
      <c r="O151" s="192">
        <f t="shared" si="83"/>
        <v>563000000</v>
      </c>
      <c r="P151" s="538">
        <f>196804291+133350</f>
        <v>196937641</v>
      </c>
      <c r="Q151" s="193">
        <f t="shared" si="84"/>
        <v>0.34980042806394318</v>
      </c>
      <c r="R151" s="192">
        <f t="shared" si="77"/>
        <v>0</v>
      </c>
      <c r="S151" s="192">
        <f t="shared" si="68"/>
        <v>0</v>
      </c>
      <c r="T151" s="192">
        <f t="shared" si="69"/>
        <v>0</v>
      </c>
      <c r="U151" s="192">
        <f t="shared" si="78"/>
        <v>0</v>
      </c>
      <c r="V151" s="3462"/>
      <c r="W151" s="3462"/>
      <c r="X151" s="3462"/>
      <c r="Y151" s="3462"/>
      <c r="Z151" s="3462"/>
      <c r="AA151" s="538">
        <f t="shared" si="58"/>
        <v>366062359</v>
      </c>
      <c r="AB151" s="3463">
        <f>196804291-P151</f>
        <v>-133350</v>
      </c>
      <c r="AC151" s="3462"/>
      <c r="AD151" s="603">
        <v>0</v>
      </c>
      <c r="AE151" s="192"/>
    </row>
    <row r="152" spans="1:33" s="20" customFormat="1">
      <c r="A152" s="2538" t="s">
        <v>3896</v>
      </c>
      <c r="B152" s="660" t="s">
        <v>3895</v>
      </c>
      <c r="C152" s="701"/>
      <c r="D152" s="702"/>
      <c r="E152" s="702">
        <v>3</v>
      </c>
      <c r="F152" s="184"/>
      <c r="G152" s="179"/>
      <c r="H152" s="187"/>
      <c r="I152" s="192">
        <f>20000-20000</f>
        <v>0</v>
      </c>
      <c r="J152" s="2550">
        <f>+I152</f>
        <v>0</v>
      </c>
      <c r="K152" s="2219">
        <f>20000-20000</f>
        <v>0</v>
      </c>
      <c r="L152" s="192">
        <f t="shared" si="80"/>
        <v>0</v>
      </c>
      <c r="M152" s="192">
        <f>+L152+60000000</f>
        <v>60000000</v>
      </c>
      <c r="N152" s="192">
        <f t="shared" si="82"/>
        <v>60000000</v>
      </c>
      <c r="O152" s="192">
        <f t="shared" si="83"/>
        <v>60000000</v>
      </c>
      <c r="P152" s="538">
        <f>6692900</f>
        <v>6692900</v>
      </c>
      <c r="Q152" s="193">
        <f t="shared" si="84"/>
        <v>0.11154833333333333</v>
      </c>
      <c r="R152" s="192">
        <f t="shared" si="77"/>
        <v>0</v>
      </c>
      <c r="S152" s="192">
        <f t="shared" si="68"/>
        <v>60000000</v>
      </c>
      <c r="T152" s="192">
        <f t="shared" si="69"/>
        <v>0</v>
      </c>
      <c r="U152" s="192">
        <f t="shared" si="78"/>
        <v>0</v>
      </c>
      <c r="V152" s="3462"/>
      <c r="W152" s="3462"/>
      <c r="X152" s="3462"/>
      <c r="Y152" s="3462"/>
      <c r="Z152" s="3462"/>
      <c r="AA152" s="538">
        <f t="shared" si="58"/>
        <v>53307100</v>
      </c>
      <c r="AB152" s="3462"/>
      <c r="AC152" s="3462"/>
      <c r="AD152" s="538">
        <v>0</v>
      </c>
    </row>
    <row r="153" spans="1:33" ht="15.75" customHeight="1">
      <c r="A153" s="179" t="s">
        <v>33</v>
      </c>
      <c r="B153" s="703" t="s">
        <v>3921</v>
      </c>
      <c r="C153" s="701"/>
      <c r="D153" s="702"/>
      <c r="E153" s="702">
        <v>3</v>
      </c>
      <c r="F153" s="184"/>
      <c r="G153" s="179"/>
      <c r="H153" s="179"/>
      <c r="I153" s="209">
        <f>SUM(I145:I152)</f>
        <v>200000000</v>
      </c>
      <c r="J153" s="2549">
        <f t="shared" ref="J153:P153" si="85">SUM(J145:J152)</f>
        <v>191433572</v>
      </c>
      <c r="K153" s="2347">
        <f t="shared" si="85"/>
        <v>563000000</v>
      </c>
      <c r="L153" s="209">
        <f t="shared" si="85"/>
        <v>584000000</v>
      </c>
      <c r="M153" s="209">
        <f t="shared" si="85"/>
        <v>644000000</v>
      </c>
      <c r="N153" s="209">
        <f t="shared" si="85"/>
        <v>644000000</v>
      </c>
      <c r="O153" s="209">
        <f t="shared" si="85"/>
        <v>644000000</v>
      </c>
      <c r="P153" s="245">
        <f t="shared" si="85"/>
        <v>222680530</v>
      </c>
      <c r="Q153" s="210">
        <f t="shared" si="84"/>
        <v>0.34577722049689441</v>
      </c>
      <c r="R153" s="192">
        <f t="shared" si="77"/>
        <v>21000000</v>
      </c>
      <c r="S153" s="192">
        <f t="shared" si="68"/>
        <v>60000000</v>
      </c>
      <c r="T153" s="192">
        <f t="shared" si="69"/>
        <v>0</v>
      </c>
      <c r="U153" s="192">
        <f t="shared" si="78"/>
        <v>0</v>
      </c>
      <c r="V153" s="169"/>
      <c r="W153" s="169"/>
      <c r="AA153" s="245">
        <f t="shared" si="58"/>
        <v>421319470</v>
      </c>
      <c r="AD153" s="245">
        <v>191433572</v>
      </c>
    </row>
    <row r="154" spans="1:33" hidden="1">
      <c r="A154" s="179"/>
      <c r="B154" s="660" t="s">
        <v>2506</v>
      </c>
      <c r="C154" s="662" t="s">
        <v>1032</v>
      </c>
      <c r="D154" s="661" t="s">
        <v>2507</v>
      </c>
      <c r="E154" s="661">
        <v>2</v>
      </c>
      <c r="F154" s="191" t="s">
        <v>751</v>
      </c>
      <c r="G154" s="187">
        <v>9990001</v>
      </c>
      <c r="H154" s="187" t="s">
        <v>2508</v>
      </c>
      <c r="I154" s="192">
        <f>0</f>
        <v>0</v>
      </c>
      <c r="J154" s="2550">
        <f>+I154</f>
        <v>0</v>
      </c>
      <c r="K154" s="2219">
        <f>0</f>
        <v>0</v>
      </c>
      <c r="L154" s="192">
        <f t="shared" ref="L154:O156" si="86">+K154</f>
        <v>0</v>
      </c>
      <c r="M154" s="192">
        <f t="shared" si="86"/>
        <v>0</v>
      </c>
      <c r="N154" s="192">
        <f t="shared" si="86"/>
        <v>0</v>
      </c>
      <c r="O154" s="192">
        <f t="shared" si="86"/>
        <v>0</v>
      </c>
      <c r="P154" s="538">
        <v>0</v>
      </c>
      <c r="Q154" s="193" t="e">
        <f t="shared" si="84"/>
        <v>#DIV/0!</v>
      </c>
      <c r="R154" s="192">
        <f t="shared" si="77"/>
        <v>0</v>
      </c>
      <c r="S154" s="192">
        <f t="shared" si="68"/>
        <v>0</v>
      </c>
      <c r="T154" s="192">
        <f t="shared" si="69"/>
        <v>0</v>
      </c>
      <c r="U154" s="192">
        <f t="shared" si="78"/>
        <v>0</v>
      </c>
      <c r="V154" s="169">
        <f t="shared" ref="V154:V171" si="87">+K154/1.27</f>
        <v>0</v>
      </c>
      <c r="W154" s="169">
        <f t="shared" ref="W154:W172" si="88">+V154*0.27</f>
        <v>0</v>
      </c>
      <c r="AA154" s="538">
        <f t="shared" si="58"/>
        <v>0</v>
      </c>
      <c r="AD154" s="538">
        <v>0</v>
      </c>
    </row>
    <row r="155" spans="1:33">
      <c r="A155" s="179" t="s">
        <v>35</v>
      </c>
      <c r="B155" s="660" t="s">
        <v>2509</v>
      </c>
      <c r="C155" s="662" t="s">
        <v>1032</v>
      </c>
      <c r="D155" s="661" t="s">
        <v>2510</v>
      </c>
      <c r="E155" s="661">
        <v>2</v>
      </c>
      <c r="F155" s="191" t="s">
        <v>751</v>
      </c>
      <c r="G155" s="187">
        <v>9990001</v>
      </c>
      <c r="H155" s="187" t="s">
        <v>2442</v>
      </c>
      <c r="I155" s="192">
        <f>2549943+56077650+63922350-60000000+30000000</f>
        <v>92549943</v>
      </c>
      <c r="J155" s="2550">
        <v>44373667</v>
      </c>
      <c r="K155" s="2219">
        <f>42000000+20500000+40000000+59900000+66200000+38500000+53500000+38500000+34000000+6882411-300000000-1+90</f>
        <v>99982500</v>
      </c>
      <c r="L155" s="192">
        <f>+K155-40640-99060-882650-437198</f>
        <v>98522952</v>
      </c>
      <c r="M155" s="192">
        <f>+L155+23942167-488950-666750</f>
        <v>121309419</v>
      </c>
      <c r="N155" s="192">
        <f>+M155-75057-98108-154254-1241171-275230-165100-2441550</f>
        <v>116858949</v>
      </c>
      <c r="O155" s="192">
        <f t="shared" si="86"/>
        <v>116858949</v>
      </c>
      <c r="P155" s="538">
        <f>102475087-2441550-4624168</f>
        <v>95409369</v>
      </c>
      <c r="Q155" s="193">
        <f t="shared" si="84"/>
        <v>0.81644897388217996</v>
      </c>
      <c r="R155" s="192">
        <f t="shared" si="77"/>
        <v>-1459548</v>
      </c>
      <c r="S155" s="192">
        <f t="shared" si="68"/>
        <v>22786467</v>
      </c>
      <c r="T155" s="192">
        <f t="shared" si="69"/>
        <v>-4450470</v>
      </c>
      <c r="U155" s="192">
        <f t="shared" si="78"/>
        <v>0</v>
      </c>
      <c r="V155" s="169">
        <f t="shared" si="87"/>
        <v>78726377.952755898</v>
      </c>
      <c r="W155" s="169">
        <f t="shared" si="88"/>
        <v>21256122.047244094</v>
      </c>
      <c r="AA155" s="538">
        <f t="shared" si="58"/>
        <v>21449580</v>
      </c>
      <c r="AB155" s="172">
        <f>98646489-P155</f>
        <v>3237120</v>
      </c>
      <c r="AD155" s="603">
        <v>44373667</v>
      </c>
    </row>
    <row r="156" spans="1:33">
      <c r="A156" s="179" t="s">
        <v>37</v>
      </c>
      <c r="B156" s="660" t="s">
        <v>128</v>
      </c>
      <c r="C156" s="662" t="s">
        <v>1032</v>
      </c>
      <c r="D156" s="661" t="s">
        <v>2511</v>
      </c>
      <c r="E156" s="661">
        <v>2</v>
      </c>
      <c r="F156" s="191" t="s">
        <v>751</v>
      </c>
      <c r="G156" s="187">
        <v>9990001</v>
      </c>
      <c r="H156" s="187" t="s">
        <v>2442</v>
      </c>
      <c r="I156" s="192">
        <f>324720887-141400000+141400000+162074490+185695798+45814405-162074490-185695798-45814405</f>
        <v>324720887</v>
      </c>
      <c r="J156" s="2550">
        <v>0</v>
      </c>
      <c r="K156" s="2219">
        <f>324720887-324720887+162074490-162074490+185695798-185695798+45814405-45814405+45814405+193431063-193431063</f>
        <v>45814405</v>
      </c>
      <c r="L156" s="192">
        <f t="shared" si="86"/>
        <v>45814405</v>
      </c>
      <c r="M156" s="192">
        <f>+L156</f>
        <v>45814405</v>
      </c>
      <c r="N156" s="192">
        <f>+M156</f>
        <v>45814405</v>
      </c>
      <c r="O156" s="192">
        <f>+N156</f>
        <v>45814405</v>
      </c>
      <c r="P156" s="538">
        <v>45804666</v>
      </c>
      <c r="Q156" s="193">
        <f t="shared" si="84"/>
        <v>0.99978742493763695</v>
      </c>
      <c r="R156" s="192">
        <f t="shared" si="77"/>
        <v>0</v>
      </c>
      <c r="S156" s="192">
        <f t="shared" si="68"/>
        <v>0</v>
      </c>
      <c r="T156" s="192">
        <f t="shared" si="69"/>
        <v>0</v>
      </c>
      <c r="U156" s="192">
        <f t="shared" si="78"/>
        <v>0</v>
      </c>
      <c r="V156" s="169">
        <f t="shared" si="87"/>
        <v>36074334.645669289</v>
      </c>
      <c r="W156" s="169">
        <f t="shared" si="88"/>
        <v>9740070.3543307092</v>
      </c>
      <c r="AA156" s="538">
        <f t="shared" si="58"/>
        <v>9739</v>
      </c>
      <c r="AD156" s="603">
        <v>0</v>
      </c>
    </row>
    <row r="157" spans="1:33">
      <c r="A157" s="179" t="s">
        <v>39</v>
      </c>
      <c r="B157" s="695" t="s">
        <v>3339</v>
      </c>
      <c r="C157" s="701"/>
      <c r="D157" s="702"/>
      <c r="E157" s="702"/>
      <c r="F157" s="184"/>
      <c r="G157" s="179"/>
      <c r="H157" s="179" t="s">
        <v>2442</v>
      </c>
      <c r="I157" s="209">
        <f t="shared" ref="I157:P157" si="89">SUM(I99:I156)-I117-I144-I153</f>
        <v>626253965</v>
      </c>
      <c r="J157" s="2549">
        <f t="shared" si="89"/>
        <v>235807239</v>
      </c>
      <c r="K157" s="2347">
        <f t="shared" si="89"/>
        <v>722037459</v>
      </c>
      <c r="L157" s="209">
        <f t="shared" si="89"/>
        <v>741577911</v>
      </c>
      <c r="M157" s="209">
        <f t="shared" si="89"/>
        <v>828364378</v>
      </c>
      <c r="N157" s="209">
        <f t="shared" si="89"/>
        <v>823913908</v>
      </c>
      <c r="O157" s="209">
        <f t="shared" si="89"/>
        <v>823913908</v>
      </c>
      <c r="P157" s="245">
        <f t="shared" si="89"/>
        <v>379649840</v>
      </c>
      <c r="Q157" s="210">
        <f t="shared" si="84"/>
        <v>0.46078824051116757</v>
      </c>
      <c r="R157" s="192">
        <f t="shared" si="77"/>
        <v>19540452</v>
      </c>
      <c r="S157" s="192">
        <f t="shared" si="68"/>
        <v>86786467</v>
      </c>
      <c r="T157" s="192">
        <f t="shared" si="69"/>
        <v>-4450470</v>
      </c>
      <c r="U157" s="192">
        <f t="shared" si="78"/>
        <v>0</v>
      </c>
      <c r="V157" s="169">
        <f t="shared" si="87"/>
        <v>568533432.28346455</v>
      </c>
      <c r="W157" s="169">
        <f t="shared" si="88"/>
        <v>153504026.71653545</v>
      </c>
      <c r="X157" s="172">
        <f>+K99+K100+K144+K153+K155+K156</f>
        <v>722037459</v>
      </c>
      <c r="AA157" s="245">
        <f t="shared" si="58"/>
        <v>444264068</v>
      </c>
      <c r="AD157" s="245">
        <v>235807239</v>
      </c>
    </row>
    <row r="158" spans="1:33">
      <c r="A158" s="179" t="s">
        <v>41</v>
      </c>
      <c r="B158" s="213" t="s">
        <v>3340</v>
      </c>
      <c r="C158" s="205"/>
      <c r="D158" s="207"/>
      <c r="E158" s="207"/>
      <c r="F158" s="207"/>
      <c r="G158" s="207"/>
      <c r="H158" s="184" t="s">
        <v>2494</v>
      </c>
      <c r="I158" s="209">
        <f t="shared" ref="I158:P158" si="90">I97+I98+I157</f>
        <v>676253965</v>
      </c>
      <c r="J158" s="2549">
        <f t="shared" si="90"/>
        <v>279866079</v>
      </c>
      <c r="K158" s="2347">
        <f t="shared" si="90"/>
        <v>772037459</v>
      </c>
      <c r="L158" s="209">
        <f t="shared" si="90"/>
        <v>791577911</v>
      </c>
      <c r="M158" s="209">
        <f t="shared" si="90"/>
        <v>878364378</v>
      </c>
      <c r="N158" s="209">
        <f t="shared" si="90"/>
        <v>873913908</v>
      </c>
      <c r="O158" s="209">
        <f t="shared" si="90"/>
        <v>873913908</v>
      </c>
      <c r="P158" s="245">
        <f t="shared" si="90"/>
        <v>396395204</v>
      </c>
      <c r="Q158" s="210">
        <f t="shared" si="84"/>
        <v>0.45358610312905101</v>
      </c>
      <c r="R158" s="192">
        <f t="shared" si="77"/>
        <v>19540452</v>
      </c>
      <c r="S158" s="192">
        <f t="shared" si="68"/>
        <v>86786467</v>
      </c>
      <c r="T158" s="192">
        <f t="shared" si="69"/>
        <v>-4450470</v>
      </c>
      <c r="U158" s="192">
        <f t="shared" si="78"/>
        <v>0</v>
      </c>
      <c r="V158" s="169">
        <f t="shared" si="87"/>
        <v>607903511.02362204</v>
      </c>
      <c r="W158" s="169">
        <f t="shared" si="88"/>
        <v>164133947.97637796</v>
      </c>
      <c r="X158" s="172">
        <f>+K97+K98+K157</f>
        <v>772037459</v>
      </c>
      <c r="AA158" s="245">
        <f t="shared" si="58"/>
        <v>477518704</v>
      </c>
      <c r="AD158" s="245">
        <v>279866079</v>
      </c>
      <c r="AG158" s="172">
        <v>98646489</v>
      </c>
    </row>
    <row r="159" spans="1:33">
      <c r="A159" s="179" t="s">
        <v>314</v>
      </c>
      <c r="B159" s="213" t="s">
        <v>3677</v>
      </c>
      <c r="C159" s="205" t="s">
        <v>1032</v>
      </c>
      <c r="D159" s="207" t="s">
        <v>2512</v>
      </c>
      <c r="E159" s="702">
        <v>3</v>
      </c>
      <c r="F159" s="184" t="s">
        <v>1134</v>
      </c>
      <c r="G159" s="179">
        <v>9990001</v>
      </c>
      <c r="H159" s="184" t="s">
        <v>2499</v>
      </c>
      <c r="I159" s="209">
        <f>0</f>
        <v>0</v>
      </c>
      <c r="J159" s="2549">
        <f>+I159</f>
        <v>0</v>
      </c>
      <c r="K159" s="2347">
        <f>0</f>
        <v>0</v>
      </c>
      <c r="L159" s="209">
        <f>+K159</f>
        <v>0</v>
      </c>
      <c r="M159" s="209">
        <f>+L159</f>
        <v>0</v>
      </c>
      <c r="N159" s="209">
        <f>+M159</f>
        <v>0</v>
      </c>
      <c r="O159" s="209">
        <f>+N159</f>
        <v>0</v>
      </c>
      <c r="P159" s="245">
        <v>0</v>
      </c>
      <c r="Q159" s="210"/>
      <c r="R159" s="192">
        <f t="shared" si="77"/>
        <v>0</v>
      </c>
      <c r="S159" s="192">
        <f t="shared" si="68"/>
        <v>0</v>
      </c>
      <c r="T159" s="192">
        <f t="shared" si="69"/>
        <v>0</v>
      </c>
      <c r="U159" s="192">
        <f t="shared" si="78"/>
        <v>0</v>
      </c>
      <c r="V159" s="169">
        <f t="shared" si="87"/>
        <v>0</v>
      </c>
      <c r="W159" s="169">
        <f t="shared" si="88"/>
        <v>0</v>
      </c>
      <c r="AA159" s="245">
        <f>+N159-P159</f>
        <v>0</v>
      </c>
      <c r="AD159" s="245">
        <v>0</v>
      </c>
      <c r="AG159" s="172">
        <v>4450470</v>
      </c>
    </row>
    <row r="160" spans="1:33">
      <c r="A160" s="179" t="s">
        <v>402</v>
      </c>
      <c r="B160" s="213" t="s">
        <v>3341</v>
      </c>
      <c r="C160" s="205"/>
      <c r="D160" s="207"/>
      <c r="E160" s="207"/>
      <c r="F160" s="207"/>
      <c r="G160" s="207"/>
      <c r="H160" s="184" t="s">
        <v>2513</v>
      </c>
      <c r="I160" s="209">
        <f t="shared" ref="I160:P160" si="91">+I158+I159</f>
        <v>676253965</v>
      </c>
      <c r="J160" s="2549">
        <f t="shared" si="91"/>
        <v>279866079</v>
      </c>
      <c r="K160" s="2347">
        <f>+K158+K159</f>
        <v>772037459</v>
      </c>
      <c r="L160" s="209">
        <f t="shared" si="91"/>
        <v>791577911</v>
      </c>
      <c r="M160" s="209">
        <f t="shared" si="91"/>
        <v>878364378</v>
      </c>
      <c r="N160" s="209">
        <f t="shared" si="91"/>
        <v>873913908</v>
      </c>
      <c r="O160" s="209">
        <f t="shared" si="91"/>
        <v>873913908</v>
      </c>
      <c r="P160" s="245">
        <f t="shared" si="91"/>
        <v>396395204</v>
      </c>
      <c r="Q160" s="210">
        <f>+P160/N160</f>
        <v>0.45358610312905101</v>
      </c>
      <c r="R160" s="192">
        <f t="shared" si="77"/>
        <v>19540452</v>
      </c>
      <c r="S160" s="192">
        <f t="shared" si="68"/>
        <v>86786467</v>
      </c>
      <c r="T160" s="192">
        <f t="shared" si="69"/>
        <v>-4450470</v>
      </c>
      <c r="U160" s="192">
        <f t="shared" si="78"/>
        <v>0</v>
      </c>
      <c r="V160" s="169">
        <f t="shared" si="87"/>
        <v>607903511.02362204</v>
      </c>
      <c r="W160" s="169">
        <f t="shared" si="88"/>
        <v>164133947.97637796</v>
      </c>
      <c r="AA160" s="245">
        <f>+N160-P160</f>
        <v>477518704</v>
      </c>
      <c r="AD160" s="245">
        <v>279866079</v>
      </c>
      <c r="AG160" s="172">
        <f>+AG158-AG159</f>
        <v>94196019</v>
      </c>
    </row>
    <row r="161" spans="1:35">
      <c r="A161" s="179" t="s">
        <v>404</v>
      </c>
      <c r="B161" s="214" t="s">
        <v>2514</v>
      </c>
      <c r="C161" s="180"/>
      <c r="D161" s="190"/>
      <c r="E161" s="190"/>
      <c r="F161" s="190"/>
      <c r="G161" s="190"/>
      <c r="H161" s="191" t="s">
        <v>2515</v>
      </c>
      <c r="I161" s="192">
        <f>0</f>
        <v>0</v>
      </c>
      <c r="J161" s="2550">
        <f>+I161</f>
        <v>0</v>
      </c>
      <c r="K161" s="2219">
        <f>0</f>
        <v>0</v>
      </c>
      <c r="L161" s="192">
        <f t="shared" ref="L161:O162" si="92">+K161</f>
        <v>0</v>
      </c>
      <c r="M161" s="192">
        <f t="shared" si="92"/>
        <v>0</v>
      </c>
      <c r="N161" s="192">
        <f t="shared" si="92"/>
        <v>0</v>
      </c>
      <c r="O161" s="192">
        <f t="shared" si="92"/>
        <v>0</v>
      </c>
      <c r="P161" s="538">
        <v>0</v>
      </c>
      <c r="Q161" s="193"/>
      <c r="R161" s="192">
        <f t="shared" si="77"/>
        <v>0</v>
      </c>
      <c r="S161" s="192">
        <f t="shared" si="68"/>
        <v>0</v>
      </c>
      <c r="T161" s="192">
        <f t="shared" si="69"/>
        <v>0</v>
      </c>
      <c r="U161" s="192">
        <f t="shared" si="78"/>
        <v>0</v>
      </c>
      <c r="V161" s="169">
        <f t="shared" si="87"/>
        <v>0</v>
      </c>
      <c r="W161" s="169">
        <f t="shared" si="88"/>
        <v>0</v>
      </c>
      <c r="AA161" s="538"/>
      <c r="AD161" s="538">
        <v>0</v>
      </c>
      <c r="AG161" s="172">
        <f>+P155-AG160</f>
        <v>1213350</v>
      </c>
    </row>
    <row r="162" spans="1:35">
      <c r="A162" s="179" t="s">
        <v>407</v>
      </c>
      <c r="B162" s="214" t="s">
        <v>2516</v>
      </c>
      <c r="C162" s="180"/>
      <c r="D162" s="190"/>
      <c r="E162" s="190"/>
      <c r="F162" s="190"/>
      <c r="G162" s="190"/>
      <c r="H162" s="191" t="s">
        <v>2517</v>
      </c>
      <c r="I162" s="192">
        <f>0</f>
        <v>0</v>
      </c>
      <c r="J162" s="2550">
        <f>+I162</f>
        <v>0</v>
      </c>
      <c r="K162" s="2219">
        <f>0</f>
        <v>0</v>
      </c>
      <c r="L162" s="192">
        <f t="shared" si="92"/>
        <v>0</v>
      </c>
      <c r="M162" s="192">
        <f t="shared" si="92"/>
        <v>0</v>
      </c>
      <c r="N162" s="192">
        <f t="shared" si="92"/>
        <v>0</v>
      </c>
      <c r="O162" s="192">
        <f t="shared" si="92"/>
        <v>0</v>
      </c>
      <c r="P162" s="538">
        <v>0</v>
      </c>
      <c r="Q162" s="193"/>
      <c r="R162" s="192">
        <f t="shared" si="77"/>
        <v>0</v>
      </c>
      <c r="S162" s="192">
        <f t="shared" si="68"/>
        <v>0</v>
      </c>
      <c r="T162" s="192">
        <f t="shared" si="69"/>
        <v>0</v>
      </c>
      <c r="U162" s="192">
        <f t="shared" si="78"/>
        <v>0</v>
      </c>
      <c r="V162" s="169">
        <f t="shared" si="87"/>
        <v>0</v>
      </c>
      <c r="W162" s="169">
        <f t="shared" si="88"/>
        <v>0</v>
      </c>
      <c r="AA162" s="538"/>
      <c r="AD162" s="538">
        <v>0</v>
      </c>
    </row>
    <row r="163" spans="1:35">
      <c r="A163" s="179" t="s">
        <v>409</v>
      </c>
      <c r="B163" s="213" t="s">
        <v>3342</v>
      </c>
      <c r="C163" s="205"/>
      <c r="D163" s="207"/>
      <c r="E163" s="207"/>
      <c r="F163" s="207"/>
      <c r="G163" s="207"/>
      <c r="H163" s="184" t="s">
        <v>2518</v>
      </c>
      <c r="I163" s="209">
        <f t="shared" ref="I163:P163" si="93">SUM(I161:I162)</f>
        <v>0</v>
      </c>
      <c r="J163" s="2549">
        <f t="shared" si="93"/>
        <v>0</v>
      </c>
      <c r="K163" s="2347">
        <f t="shared" si="93"/>
        <v>0</v>
      </c>
      <c r="L163" s="209">
        <f t="shared" si="93"/>
        <v>0</v>
      </c>
      <c r="M163" s="209">
        <f t="shared" si="93"/>
        <v>0</v>
      </c>
      <c r="N163" s="209">
        <f t="shared" si="93"/>
        <v>0</v>
      </c>
      <c r="O163" s="209">
        <f t="shared" si="93"/>
        <v>0</v>
      </c>
      <c r="P163" s="245">
        <f t="shared" si="93"/>
        <v>0</v>
      </c>
      <c r="Q163" s="210"/>
      <c r="R163" s="192">
        <f t="shared" si="77"/>
        <v>0</v>
      </c>
      <c r="S163" s="192">
        <f t="shared" si="68"/>
        <v>0</v>
      </c>
      <c r="T163" s="192">
        <f t="shared" si="69"/>
        <v>0</v>
      </c>
      <c r="U163" s="192">
        <f t="shared" si="78"/>
        <v>0</v>
      </c>
      <c r="V163" s="169">
        <f t="shared" si="87"/>
        <v>0</v>
      </c>
      <c r="W163" s="169">
        <f t="shared" si="88"/>
        <v>0</v>
      </c>
      <c r="AA163" s="245"/>
      <c r="AD163" s="245">
        <v>0</v>
      </c>
    </row>
    <row r="164" spans="1:35">
      <c r="A164" s="179" t="s">
        <v>410</v>
      </c>
      <c r="B164" s="215" t="s">
        <v>2519</v>
      </c>
      <c r="C164" s="191"/>
      <c r="D164" s="187"/>
      <c r="E164" s="187"/>
      <c r="F164" s="187"/>
      <c r="G164" s="187"/>
      <c r="H164" s="191" t="s">
        <v>2520</v>
      </c>
      <c r="I164" s="192">
        <f>0</f>
        <v>0</v>
      </c>
      <c r="J164" s="2550">
        <f>+I164</f>
        <v>0</v>
      </c>
      <c r="K164" s="2219">
        <f>0</f>
        <v>0</v>
      </c>
      <c r="L164" s="192">
        <f t="shared" ref="L164:O170" si="94">+K164</f>
        <v>0</v>
      </c>
      <c r="M164" s="192">
        <f t="shared" si="94"/>
        <v>0</v>
      </c>
      <c r="N164" s="192">
        <f t="shared" si="94"/>
        <v>0</v>
      </c>
      <c r="O164" s="192">
        <f t="shared" si="94"/>
        <v>0</v>
      </c>
      <c r="P164" s="538">
        <v>0</v>
      </c>
      <c r="Q164" s="193"/>
      <c r="R164" s="192">
        <f t="shared" si="77"/>
        <v>0</v>
      </c>
      <c r="S164" s="192">
        <f t="shared" si="68"/>
        <v>0</v>
      </c>
      <c r="T164" s="192">
        <f t="shared" si="69"/>
        <v>0</v>
      </c>
      <c r="U164" s="192">
        <f t="shared" si="78"/>
        <v>0</v>
      </c>
      <c r="V164" s="169">
        <f t="shared" si="87"/>
        <v>0</v>
      </c>
      <c r="W164" s="169">
        <f t="shared" si="88"/>
        <v>0</v>
      </c>
      <c r="AA164" s="538"/>
      <c r="AD164" s="538">
        <v>0</v>
      </c>
    </row>
    <row r="165" spans="1:35">
      <c r="A165" s="179" t="s">
        <v>411</v>
      </c>
      <c r="B165" s="215" t="s">
        <v>3224</v>
      </c>
      <c r="C165" s="191" t="s">
        <v>599</v>
      </c>
      <c r="D165" s="187" t="s">
        <v>2521</v>
      </c>
      <c r="E165" s="187">
        <v>3</v>
      </c>
      <c r="F165" s="180" t="s">
        <v>1054</v>
      </c>
      <c r="G165" s="187">
        <v>9990001</v>
      </c>
      <c r="H165" s="191" t="s">
        <v>2522</v>
      </c>
      <c r="I165" s="192">
        <f>200-200</f>
        <v>0</v>
      </c>
      <c r="J165" s="2550">
        <f>+I165</f>
        <v>0</v>
      </c>
      <c r="K165" s="2219">
        <f>200-200</f>
        <v>0</v>
      </c>
      <c r="L165" s="192">
        <f t="shared" si="94"/>
        <v>0</v>
      </c>
      <c r="M165" s="192">
        <f t="shared" si="94"/>
        <v>0</v>
      </c>
      <c r="N165" s="192">
        <f t="shared" si="94"/>
        <v>0</v>
      </c>
      <c r="O165" s="192">
        <f t="shared" si="94"/>
        <v>0</v>
      </c>
      <c r="P165" s="538">
        <v>0</v>
      </c>
      <c r="Q165" s="193"/>
      <c r="R165" s="192">
        <f t="shared" si="77"/>
        <v>0</v>
      </c>
      <c r="S165" s="192">
        <f t="shared" si="68"/>
        <v>0</v>
      </c>
      <c r="T165" s="192">
        <f t="shared" si="69"/>
        <v>0</v>
      </c>
      <c r="U165" s="192">
        <f t="shared" si="78"/>
        <v>0</v>
      </c>
      <c r="V165" s="169">
        <f t="shared" si="87"/>
        <v>0</v>
      </c>
      <c r="W165" s="169">
        <f t="shared" si="88"/>
        <v>0</v>
      </c>
      <c r="AA165" s="538"/>
      <c r="AD165" s="603">
        <v>0</v>
      </c>
    </row>
    <row r="166" spans="1:35">
      <c r="A166" s="179" t="s">
        <v>412</v>
      </c>
      <c r="B166" s="214" t="s">
        <v>2523</v>
      </c>
      <c r="C166" s="180"/>
      <c r="D166" s="190"/>
      <c r="E166" s="190"/>
      <c r="F166" s="190"/>
      <c r="G166" s="190"/>
      <c r="H166" s="191" t="s">
        <v>2524</v>
      </c>
      <c r="I166" s="192">
        <f>0</f>
        <v>0</v>
      </c>
      <c r="J166" s="2550">
        <f>+I166</f>
        <v>0</v>
      </c>
      <c r="K166" s="2219">
        <f>0</f>
        <v>0</v>
      </c>
      <c r="L166" s="192">
        <f t="shared" si="94"/>
        <v>0</v>
      </c>
      <c r="M166" s="192">
        <f t="shared" si="94"/>
        <v>0</v>
      </c>
      <c r="N166" s="192">
        <f t="shared" si="94"/>
        <v>0</v>
      </c>
      <c r="O166" s="192">
        <f t="shared" si="94"/>
        <v>0</v>
      </c>
      <c r="P166" s="538">
        <v>0</v>
      </c>
      <c r="Q166" s="193"/>
      <c r="R166" s="192">
        <f t="shared" si="77"/>
        <v>0</v>
      </c>
      <c r="S166" s="192">
        <f t="shared" si="68"/>
        <v>0</v>
      </c>
      <c r="T166" s="192">
        <f t="shared" si="69"/>
        <v>0</v>
      </c>
      <c r="U166" s="192">
        <f t="shared" si="78"/>
        <v>0</v>
      </c>
      <c r="V166" s="169">
        <f t="shared" si="87"/>
        <v>0</v>
      </c>
      <c r="W166" s="169">
        <f t="shared" si="88"/>
        <v>0</v>
      </c>
      <c r="AA166" s="538"/>
      <c r="AD166" s="538">
        <v>0</v>
      </c>
    </row>
    <row r="167" spans="1:35">
      <c r="A167" s="179" t="s">
        <v>413</v>
      </c>
      <c r="B167" s="215" t="s">
        <v>2525</v>
      </c>
      <c r="C167" s="191"/>
      <c r="D167" s="187"/>
      <c r="E167" s="187"/>
      <c r="F167" s="187"/>
      <c r="G167" s="187"/>
      <c r="H167" s="191" t="s">
        <v>2526</v>
      </c>
      <c r="I167" s="192">
        <f>0</f>
        <v>0</v>
      </c>
      <c r="J167" s="2550">
        <f>+I167</f>
        <v>0</v>
      </c>
      <c r="K167" s="2219">
        <f>0</f>
        <v>0</v>
      </c>
      <c r="L167" s="192">
        <f t="shared" si="94"/>
        <v>0</v>
      </c>
      <c r="M167" s="192">
        <f t="shared" si="94"/>
        <v>0</v>
      </c>
      <c r="N167" s="192">
        <f t="shared" si="94"/>
        <v>0</v>
      </c>
      <c r="O167" s="192">
        <f t="shared" si="94"/>
        <v>0</v>
      </c>
      <c r="P167" s="538">
        <v>0</v>
      </c>
      <c r="Q167" s="193"/>
      <c r="R167" s="192">
        <f t="shared" si="77"/>
        <v>0</v>
      </c>
      <c r="S167" s="192">
        <f t="shared" si="68"/>
        <v>0</v>
      </c>
      <c r="T167" s="192">
        <f t="shared" si="69"/>
        <v>0</v>
      </c>
      <c r="U167" s="192">
        <f t="shared" si="78"/>
        <v>0</v>
      </c>
      <c r="V167" s="169">
        <f t="shared" si="87"/>
        <v>0</v>
      </c>
      <c r="W167" s="169">
        <f t="shared" si="88"/>
        <v>0</v>
      </c>
      <c r="AA167" s="538"/>
      <c r="AD167" s="538">
        <v>0</v>
      </c>
    </row>
    <row r="168" spans="1:35">
      <c r="A168" s="179" t="s">
        <v>417</v>
      </c>
      <c r="B168" s="208" t="s">
        <v>3343</v>
      </c>
      <c r="C168" s="205"/>
      <c r="D168" s="207"/>
      <c r="E168" s="207"/>
      <c r="F168" s="207"/>
      <c r="G168" s="207"/>
      <c r="H168" s="184" t="s">
        <v>2527</v>
      </c>
      <c r="I168" s="209">
        <f t="shared" ref="I168:P168" si="95">SUM(I164:I167)</f>
        <v>0</v>
      </c>
      <c r="J168" s="2549">
        <f t="shared" si="95"/>
        <v>0</v>
      </c>
      <c r="K168" s="2347">
        <f t="shared" si="95"/>
        <v>0</v>
      </c>
      <c r="L168" s="209">
        <f t="shared" si="95"/>
        <v>0</v>
      </c>
      <c r="M168" s="209">
        <f t="shared" si="95"/>
        <v>0</v>
      </c>
      <c r="N168" s="209">
        <f t="shared" si="95"/>
        <v>0</v>
      </c>
      <c r="O168" s="209">
        <f t="shared" si="95"/>
        <v>0</v>
      </c>
      <c r="P168" s="245">
        <f t="shared" si="95"/>
        <v>0</v>
      </c>
      <c r="Q168" s="210"/>
      <c r="R168" s="192">
        <f t="shared" si="77"/>
        <v>0</v>
      </c>
      <c r="S168" s="192">
        <f t="shared" si="68"/>
        <v>0</v>
      </c>
      <c r="T168" s="192">
        <f t="shared" si="69"/>
        <v>0</v>
      </c>
      <c r="U168" s="192">
        <f t="shared" si="78"/>
        <v>0</v>
      </c>
      <c r="V168" s="169">
        <f t="shared" si="87"/>
        <v>0</v>
      </c>
      <c r="W168" s="169">
        <f t="shared" si="88"/>
        <v>0</v>
      </c>
      <c r="AA168" s="245"/>
      <c r="AD168" s="245">
        <v>0</v>
      </c>
    </row>
    <row r="169" spans="1:35">
      <c r="A169" s="179" t="s">
        <v>450</v>
      </c>
      <c r="B169" s="214" t="s">
        <v>2528</v>
      </c>
      <c r="C169" s="180"/>
      <c r="D169" s="190"/>
      <c r="E169" s="190"/>
      <c r="F169" s="190"/>
      <c r="G169" s="190"/>
      <c r="H169" s="191" t="s">
        <v>2529</v>
      </c>
      <c r="I169" s="209">
        <v>0</v>
      </c>
      <c r="J169" s="2549">
        <v>0</v>
      </c>
      <c r="K169" s="2219">
        <v>0</v>
      </c>
      <c r="L169" s="192">
        <f t="shared" si="94"/>
        <v>0</v>
      </c>
      <c r="M169" s="192">
        <f t="shared" ref="M169:O170" si="96">+L169</f>
        <v>0</v>
      </c>
      <c r="N169" s="192">
        <f t="shared" si="96"/>
        <v>0</v>
      </c>
      <c r="O169" s="192">
        <f t="shared" si="96"/>
        <v>0</v>
      </c>
      <c r="P169" s="245">
        <v>0</v>
      </c>
      <c r="Q169" s="210"/>
      <c r="R169" s="192">
        <f t="shared" si="77"/>
        <v>0</v>
      </c>
      <c r="S169" s="192">
        <f t="shared" si="68"/>
        <v>0</v>
      </c>
      <c r="T169" s="192">
        <f t="shared" si="69"/>
        <v>0</v>
      </c>
      <c r="U169" s="192">
        <f t="shared" si="78"/>
        <v>0</v>
      </c>
      <c r="V169" s="169">
        <f t="shared" si="87"/>
        <v>0</v>
      </c>
      <c r="W169" s="169">
        <f t="shared" si="88"/>
        <v>0</v>
      </c>
      <c r="AA169" s="245"/>
      <c r="AD169" s="245">
        <v>0</v>
      </c>
    </row>
    <row r="170" spans="1:35">
      <c r="A170" s="179" t="s">
        <v>1379</v>
      </c>
      <c r="B170" s="214" t="s">
        <v>2530</v>
      </c>
      <c r="C170" s="180"/>
      <c r="D170" s="190"/>
      <c r="E170" s="190"/>
      <c r="F170" s="190"/>
      <c r="G170" s="190"/>
      <c r="H170" s="191" t="s">
        <v>2531</v>
      </c>
      <c r="I170" s="209">
        <v>0</v>
      </c>
      <c r="J170" s="2549">
        <v>0</v>
      </c>
      <c r="K170" s="2219">
        <v>0</v>
      </c>
      <c r="L170" s="192">
        <f t="shared" si="94"/>
        <v>0</v>
      </c>
      <c r="M170" s="192">
        <f t="shared" si="96"/>
        <v>0</v>
      </c>
      <c r="N170" s="192">
        <f t="shared" si="96"/>
        <v>0</v>
      </c>
      <c r="O170" s="192">
        <f t="shared" si="96"/>
        <v>0</v>
      </c>
      <c r="P170" s="245">
        <v>0</v>
      </c>
      <c r="Q170" s="210"/>
      <c r="R170" s="192">
        <f t="shared" si="77"/>
        <v>0</v>
      </c>
      <c r="S170" s="192">
        <f t="shared" si="68"/>
        <v>0</v>
      </c>
      <c r="T170" s="192">
        <f t="shared" si="69"/>
        <v>0</v>
      </c>
      <c r="U170" s="192">
        <f t="shared" si="78"/>
        <v>0</v>
      </c>
      <c r="V170" s="169">
        <f t="shared" si="87"/>
        <v>0</v>
      </c>
      <c r="W170" s="169">
        <f t="shared" si="88"/>
        <v>0</v>
      </c>
      <c r="AA170" s="245"/>
      <c r="AD170" s="245">
        <v>0</v>
      </c>
    </row>
    <row r="171" spans="1:35">
      <c r="A171" s="179" t="s">
        <v>619</v>
      </c>
      <c r="B171" s="208" t="s">
        <v>3639</v>
      </c>
      <c r="C171" s="205"/>
      <c r="D171" s="207"/>
      <c r="E171" s="207"/>
      <c r="F171" s="207"/>
      <c r="G171" s="207"/>
      <c r="H171" s="184" t="s">
        <v>2532</v>
      </c>
      <c r="I171" s="209">
        <f t="shared" ref="I171:P171" si="97">SUM(I169:I170)</f>
        <v>0</v>
      </c>
      <c r="J171" s="2549">
        <f t="shared" si="97"/>
        <v>0</v>
      </c>
      <c r="K171" s="2347">
        <f t="shared" si="97"/>
        <v>0</v>
      </c>
      <c r="L171" s="209">
        <f t="shared" si="97"/>
        <v>0</v>
      </c>
      <c r="M171" s="209">
        <f t="shared" si="97"/>
        <v>0</v>
      </c>
      <c r="N171" s="209">
        <f t="shared" si="97"/>
        <v>0</v>
      </c>
      <c r="O171" s="209">
        <f t="shared" si="97"/>
        <v>0</v>
      </c>
      <c r="P171" s="245">
        <f t="shared" si="97"/>
        <v>0</v>
      </c>
      <c r="Q171" s="210"/>
      <c r="R171" s="192">
        <f t="shared" si="77"/>
        <v>0</v>
      </c>
      <c r="S171" s="192">
        <f t="shared" si="68"/>
        <v>0</v>
      </c>
      <c r="T171" s="192">
        <f t="shared" si="69"/>
        <v>0</v>
      </c>
      <c r="U171" s="192">
        <f t="shared" si="78"/>
        <v>0</v>
      </c>
      <c r="V171" s="169">
        <f t="shared" si="87"/>
        <v>0</v>
      </c>
      <c r="W171" s="169">
        <f t="shared" si="88"/>
        <v>0</v>
      </c>
      <c r="AA171" s="245"/>
      <c r="AD171" s="245">
        <v>0</v>
      </c>
    </row>
    <row r="172" spans="1:35" ht="18.75">
      <c r="A172" s="1379" t="s">
        <v>629</v>
      </c>
      <c r="B172" s="218" t="s">
        <v>3344</v>
      </c>
      <c r="C172" s="219"/>
      <c r="D172" s="220"/>
      <c r="E172" s="220"/>
      <c r="F172" s="220"/>
      <c r="G172" s="220"/>
      <c r="H172" s="219" t="s">
        <v>2321</v>
      </c>
      <c r="I172" s="221">
        <f t="shared" ref="I172:P172" si="98">+I160+I163+I168+I171</f>
        <v>676253965</v>
      </c>
      <c r="J172" s="2605">
        <f t="shared" si="98"/>
        <v>279866079</v>
      </c>
      <c r="K172" s="2353">
        <f t="shared" si="98"/>
        <v>772037459</v>
      </c>
      <c r="L172" s="221">
        <f t="shared" si="98"/>
        <v>791577911</v>
      </c>
      <c r="M172" s="221">
        <f t="shared" si="98"/>
        <v>878364378</v>
      </c>
      <c r="N172" s="221">
        <f t="shared" si="98"/>
        <v>873913908</v>
      </c>
      <c r="O172" s="221">
        <f t="shared" si="98"/>
        <v>873913908</v>
      </c>
      <c r="P172" s="638">
        <f t="shared" si="98"/>
        <v>396395204</v>
      </c>
      <c r="Q172" s="223">
        <f>+P172/N172</f>
        <v>0.45358610312905101</v>
      </c>
      <c r="R172" s="209">
        <f t="shared" si="77"/>
        <v>19540452</v>
      </c>
      <c r="S172" s="209">
        <f t="shared" si="68"/>
        <v>86786467</v>
      </c>
      <c r="T172" s="209">
        <f t="shared" si="69"/>
        <v>-4450470</v>
      </c>
      <c r="U172" s="209">
        <f t="shared" si="78"/>
        <v>0</v>
      </c>
      <c r="V172" s="169">
        <f>+K95+K96+K99+K100+K103+K125+K136+K147+K155+K156</f>
        <v>209037459</v>
      </c>
      <c r="W172" s="169">
        <f t="shared" si="88"/>
        <v>56440113.930000007</v>
      </c>
      <c r="AA172" s="638">
        <f>+N172-P172</f>
        <v>477518704</v>
      </c>
      <c r="AD172" s="638">
        <v>279866079</v>
      </c>
      <c r="AH172" s="172">
        <v>468361127</v>
      </c>
      <c r="AI172" s="171" t="s">
        <v>271</v>
      </c>
    </row>
    <row r="173" spans="1:35" ht="15.75" hidden="1">
      <c r="A173" s="704"/>
      <c r="B173" s="704"/>
      <c r="C173" s="704"/>
      <c r="D173" s="704"/>
      <c r="E173" s="704"/>
      <c r="F173" s="704"/>
      <c r="G173" s="704"/>
      <c r="H173" s="704"/>
      <c r="I173" s="705">
        <f>+I95+I96+I99+I100+I101+I103+I124+I125+I126+I130+I136+I145+I147+I146+I150+I151+I155+I156+I165</f>
        <v>676253965</v>
      </c>
      <c r="J173" s="705">
        <f t="shared" ref="J173:P173" si="99">+J95+J96+J99+J100+J101+J103+J124+J125+J126+J130+J136+J145+J147+J146+J150+J151+J152+J155+J156+J165</f>
        <v>279866079</v>
      </c>
      <c r="K173" s="705">
        <f t="shared" si="99"/>
        <v>772037459</v>
      </c>
      <c r="L173" s="705">
        <f t="shared" si="99"/>
        <v>791577911</v>
      </c>
      <c r="M173" s="705">
        <f t="shared" si="99"/>
        <v>878364378</v>
      </c>
      <c r="N173" s="705">
        <f t="shared" si="99"/>
        <v>873913908</v>
      </c>
      <c r="O173" s="705">
        <f t="shared" si="99"/>
        <v>873913908</v>
      </c>
      <c r="P173" s="705">
        <f t="shared" si="99"/>
        <v>396395204</v>
      </c>
      <c r="Q173" s="705"/>
      <c r="R173" s="705">
        <f>+R95+R96+R99+R100+R101+R103+R124+R125+R126+R130+R136+R145+R147+R146+R150+R151+R155+R156+R165</f>
        <v>19540452</v>
      </c>
      <c r="S173" s="705">
        <f>+S95+S96+S99+S100+S101+S103+S124+S125+S126+S130+S136+S145+S147+S146+S150+S151+S155+S156+S165</f>
        <v>26786467</v>
      </c>
      <c r="T173" s="705">
        <f>+T95+T96+T99+T100+T101+T103+T124+T125+T126+T130+T136+T145+T147+T146+T150+T151+T155+T156+T165</f>
        <v>-4450470</v>
      </c>
      <c r="U173" s="705">
        <f>+U95+U96+U99+U100+U101+U103+U124+U125+U126+U130+U136+U145+U147+U146+U150+U151+U155+U156+U165</f>
        <v>0</v>
      </c>
      <c r="V173" s="171" t="s">
        <v>3147</v>
      </c>
      <c r="W173" s="169">
        <f>+K95+K96+K99+K100+K125+K150+K155+K156-K172</f>
        <v>-563000000</v>
      </c>
      <c r="AH173" s="172"/>
    </row>
    <row r="174" spans="1:35" hidden="1">
      <c r="I174" s="212">
        <f t="shared" ref="I174:O174" si="100">+I86+I172</f>
        <v>9675047930</v>
      </c>
      <c r="J174" s="212">
        <f t="shared" si="100"/>
        <v>5337601331</v>
      </c>
      <c r="K174" s="2333">
        <f t="shared" si="100"/>
        <v>3237786992</v>
      </c>
      <c r="L174" s="212">
        <f t="shared" si="100"/>
        <v>3264344194</v>
      </c>
      <c r="M174" s="212">
        <f t="shared" si="100"/>
        <v>3385848430</v>
      </c>
      <c r="N174" s="212">
        <f t="shared" si="100"/>
        <v>3090868464</v>
      </c>
      <c r="O174" s="212">
        <f t="shared" si="100"/>
        <v>3090868464</v>
      </c>
      <c r="P174" s="212">
        <f t="shared" ref="P174:U174" si="101">+P86+P172</f>
        <v>1842972784</v>
      </c>
      <c r="Q174" s="212"/>
      <c r="R174" s="212">
        <f t="shared" si="101"/>
        <v>26557202</v>
      </c>
      <c r="S174" s="212">
        <f t="shared" si="101"/>
        <v>121504236</v>
      </c>
      <c r="T174" s="212">
        <f t="shared" si="101"/>
        <v>-294979966</v>
      </c>
      <c r="U174" s="212">
        <f t="shared" si="101"/>
        <v>0</v>
      </c>
    </row>
    <row r="175" spans="1:35" hidden="1">
      <c r="I175" s="169">
        <f>+I14+I17+I20+I26+I27+I28+I29+I30+I31+I32+I34+I36+I37+I38+I39+I40+I42+I43+I44+I45+I46+I47+I48+I50+I52+I53+I54+I55+I56+I57+I58+I59+I60+I61+I62+I63+I67+I69+I71+I73+I74+I76+I79+I80+I81+I95+I96+I99+I100+I101+I103+I124+I125+I126+I130+I136+I145+I146+I147+I150+I154+I155+I156</f>
        <v>9627422930</v>
      </c>
      <c r="J175" s="169">
        <f t="shared" ref="J175:O175" si="102">+J12+J14+J17+J20+J26+J27+J28+J29+J30+J31+J32+J34+J36+J37+J38+J39+J40+J42+J43+J44+J45+J46+J47+J48+J50+J52+J53+J54+J55+J56+J57+J58+J59+J60+J61+J62+J63+J67+J69+J71+J73+J74+J76+J79+J80+J81+J95+J96+J99+J100+J101+J103+J124+J125+J126+J130+J136+J145+J146+J147+J150+J151+J152+J154+J155+J156</f>
        <v>5337601331</v>
      </c>
      <c r="K175" s="169">
        <f t="shared" si="102"/>
        <v>3237786992</v>
      </c>
      <c r="L175" s="169">
        <f t="shared" si="102"/>
        <v>3264344194</v>
      </c>
      <c r="M175" s="169">
        <f t="shared" si="102"/>
        <v>3385848430</v>
      </c>
      <c r="N175" s="169">
        <f t="shared" si="102"/>
        <v>3090868464</v>
      </c>
      <c r="O175" s="169">
        <f t="shared" si="102"/>
        <v>3090868464</v>
      </c>
      <c r="P175" s="169">
        <f>+P12+P14+P17+P20+P26+P27+P28+P29+P30+P31+P32+P34+P36+P37+P38+P39+P40+P42+P43+P44+P45+P46+P47+P48+P50+P52+P53+P54+P55+P56+P57+P58+P59+P60+P61+P62+P63+P67+P69+P71+P73+P74+P76+P79+P80+P81+P95+P96+P99+P100+P101+P103+P124+P125+P126+P130+P136+P145+P146+P147+P150+P151+P152+P154+P155+P156</f>
        <v>1842972784</v>
      </c>
      <c r="R175" s="169">
        <f>+R14+R17+R20+R26+R27+R28+R29+R30+R31+R32+R34+R36+R37+R38+R39+R40+R42+R43+R44+R45+R46+R47+R48+R50+R52+R53+R54+R55+R56+R57+R58+R59+R60+R61+R62+R63+R67+R69+R71+R73+R74+R76+R79+R80+R81+R95+R96+R99+R100+R101+R103+R124+R125+R126+R130+R136+R145+R146+R147+R150+R154+R155+R156</f>
        <v>26557202</v>
      </c>
      <c r="S175" s="169">
        <f>+S14+S17+S20+S26+S27+S28+S29+S30+S31+S32+S34+S36+S37+S38+S39+S40+S42+S43+S44+S45+S46+S47+S48+S50+S52+S53+S54+S55+S56+S57+S58+S59+S60+S61+S62+S63+S67+S69+S71+S73+S74+S76+S79+S80+S81+S95+S96+S99+S100+S101+S103+S124+S125+S126+S130+S136+S145+S146+S147+S150+S154+S155+S156</f>
        <v>61504236</v>
      </c>
      <c r="T175" s="169">
        <f>+T14+T17+T20+T26+T27+T28+T29+T30+T31+T32+T34+T36+T37+T38+T39+T40+T42+T43+T44+T45+T46+T47+T48+T50+T52+T53+T54+T55+T56+T57+T58+T59+T60+T61+T62+T63+T67+T69+T71+T73+T74+T76+T79+T80+T81+T95+T96+T99+T100+T101+T103+T124+T125+T126+T130+T136+T145+T146+T147+T150+T154+T155+T156</f>
        <v>-294979966</v>
      </c>
      <c r="U175" s="169">
        <f>+U14+U17+U20+U26+U27+U28+U29+U30+U31+U32+U34+U36+U37+U38+U39+U40+U42+U43+U44+U45+U46+U47+U48+U50+U52+U53+U54+U55+U56+U57+U58+U59+U60+U61+U62+U63+U67+U69+U71+U73+U74+U76+U79+U80+U81+U95+U96+U99+U100+U101+U103+U124+U125+U126+U130+U136+U145+U146+U147+U150+U154+U155+U156</f>
        <v>0</v>
      </c>
    </row>
    <row r="176" spans="1:35" hidden="1">
      <c r="I176" s="169">
        <f>+I172-I173</f>
        <v>0</v>
      </c>
      <c r="J176" s="169">
        <f>+J172-J173</f>
        <v>0</v>
      </c>
      <c r="K176" s="2332">
        <f>+K172-K173</f>
        <v>0</v>
      </c>
      <c r="L176" s="169">
        <f t="shared" ref="L176:S176" si="103">+L172-L173</f>
        <v>0</v>
      </c>
      <c r="M176" s="169">
        <f t="shared" si="103"/>
        <v>0</v>
      </c>
      <c r="N176" s="169">
        <f t="shared" si="103"/>
        <v>0</v>
      </c>
      <c r="O176" s="169">
        <f t="shared" si="103"/>
        <v>0</v>
      </c>
      <c r="P176" s="169">
        <f t="shared" si="103"/>
        <v>0</v>
      </c>
      <c r="R176" s="169">
        <f t="shared" si="103"/>
        <v>0</v>
      </c>
      <c r="S176" s="169">
        <f t="shared" si="103"/>
        <v>60000000</v>
      </c>
      <c r="T176" s="169">
        <f>+T172-T173</f>
        <v>0</v>
      </c>
    </row>
    <row r="177" spans="9:34" hidden="1">
      <c r="I177" s="169">
        <f>+I175-I174</f>
        <v>-47625000</v>
      </c>
      <c r="J177" s="169">
        <f t="shared" ref="J177:S177" si="104">+J175-J174</f>
        <v>0</v>
      </c>
      <c r="K177" s="2332">
        <f t="shared" si="104"/>
        <v>0</v>
      </c>
      <c r="L177" s="169">
        <f t="shared" si="104"/>
        <v>0</v>
      </c>
      <c r="M177" s="169">
        <f t="shared" si="104"/>
        <v>0</v>
      </c>
      <c r="N177" s="169">
        <f t="shared" si="104"/>
        <v>0</v>
      </c>
      <c r="O177" s="169">
        <f t="shared" si="104"/>
        <v>0</v>
      </c>
      <c r="P177" s="169">
        <f t="shared" si="104"/>
        <v>0</v>
      </c>
      <c r="R177" s="169">
        <f t="shared" si="104"/>
        <v>0</v>
      </c>
      <c r="S177" s="169">
        <f t="shared" si="104"/>
        <v>-60000000</v>
      </c>
      <c r="T177" s="169">
        <f>+T175-T174</f>
        <v>0</v>
      </c>
    </row>
    <row r="178" spans="9:34" hidden="1">
      <c r="AH178" s="172">
        <f>+P177-AH177</f>
        <v>0</v>
      </c>
    </row>
    <row r="179" spans="9:34" hidden="1">
      <c r="K179" s="2332">
        <f>+K95+K100+K125+K126+K136+K150+K151+K155+K156</f>
        <v>772037459</v>
      </c>
    </row>
    <row r="180" spans="9:34" hidden="1">
      <c r="K180" s="2332">
        <f>+K86+K172</f>
        <v>3237786992</v>
      </c>
    </row>
    <row r="232" spans="2:11">
      <c r="K232" s="2332" t="s">
        <v>3750</v>
      </c>
    </row>
    <row r="233" spans="2:11" ht="13.5" thickBot="1"/>
    <row r="234" spans="2:11" ht="32.25" thickBot="1">
      <c r="B234" s="2251" t="s">
        <v>3760</v>
      </c>
      <c r="K234" s="2374">
        <v>460000</v>
      </c>
    </row>
    <row r="235" spans="2:11" ht="32.25" thickBot="1">
      <c r="B235" s="2252" t="s">
        <v>3751</v>
      </c>
      <c r="K235" s="2375">
        <v>500000</v>
      </c>
    </row>
    <row r="236" spans="2:11" ht="32.25" thickBot="1">
      <c r="B236" s="2252" t="s">
        <v>3761</v>
      </c>
      <c r="K236" s="2375">
        <v>2000000</v>
      </c>
    </row>
    <row r="237" spans="2:11" ht="16.5" thickBot="1">
      <c r="B237" s="2252" t="s">
        <v>3752</v>
      </c>
      <c r="K237" s="2375">
        <v>2000000</v>
      </c>
    </row>
    <row r="238" spans="2:11" ht="16.5" thickBot="1">
      <c r="B238" s="2252" t="s">
        <v>3762</v>
      </c>
      <c r="K238" s="2375">
        <v>2133604</v>
      </c>
    </row>
    <row r="239" spans="2:11" ht="16.5" thickBot="1">
      <c r="B239" s="2252" t="s">
        <v>3763</v>
      </c>
      <c r="K239" s="2375">
        <v>2000000</v>
      </c>
    </row>
    <row r="240" spans="2:11" ht="16.5" thickBot="1">
      <c r="B240" s="2252" t="s">
        <v>3753</v>
      </c>
      <c r="K240" s="2375">
        <v>13387475</v>
      </c>
    </row>
    <row r="241" spans="2:11" ht="16.5" thickBot="1">
      <c r="B241" s="2252" t="s">
        <v>3764</v>
      </c>
      <c r="K241" s="2375">
        <v>7757000</v>
      </c>
    </row>
    <row r="242" spans="2:11" ht="16.5" thickBot="1">
      <c r="B242" s="2252" t="s">
        <v>3754</v>
      </c>
      <c r="K242" s="2375">
        <v>1250000</v>
      </c>
    </row>
    <row r="243" spans="2:11" ht="16.5" thickBot="1">
      <c r="B243" s="2252" t="s">
        <v>3755</v>
      </c>
      <c r="K243" s="2375">
        <v>500000</v>
      </c>
    </row>
    <row r="244" spans="2:11" ht="16.5" thickBot="1">
      <c r="B244" s="2252" t="s">
        <v>3756</v>
      </c>
      <c r="K244" s="2375">
        <v>1000000</v>
      </c>
    </row>
    <row r="245" spans="2:11" ht="16.5" thickBot="1">
      <c r="B245" s="2252" t="s">
        <v>3757</v>
      </c>
      <c r="K245" s="2375">
        <v>500000</v>
      </c>
    </row>
    <row r="246" spans="2:11" ht="32.25" thickBot="1">
      <c r="B246" s="2252" t="s">
        <v>3758</v>
      </c>
      <c r="K246" s="2375">
        <v>4445000</v>
      </c>
    </row>
    <row r="247" spans="2:11" ht="32.25" thickBot="1">
      <c r="B247" s="2252" t="s">
        <v>3765</v>
      </c>
      <c r="K247" s="2375">
        <v>4000000</v>
      </c>
    </row>
    <row r="248" spans="2:11" ht="32.25" thickBot="1">
      <c r="B248" s="2252" t="s">
        <v>3759</v>
      </c>
      <c r="K248" s="2375">
        <v>2500000</v>
      </c>
    </row>
    <row r="249" spans="2:11" ht="16.5" thickBot="1">
      <c r="B249" s="2253" t="s">
        <v>43</v>
      </c>
      <c r="K249" s="2332">
        <f>SUM(K234:K248)</f>
        <v>44433079</v>
      </c>
    </row>
  </sheetData>
  <sheetProtection algorithmName="SHA-512" hashValue="0Kh3NxVZ7K8FeVy2/6KmtvtOdqRbaBBGOHetzpaekqhh2A//ZwWiWecaJJt977Qu9AbJa1gIVgbn95tUS/G9OA==" saltValue="KjTvikyJbed7lwl9QW5TEQ==" spinCount="100000" sheet="1" selectLockedCells="1" selectUnlockedCells="1"/>
  <mergeCells count="5">
    <mergeCell ref="A87:Q87"/>
    <mergeCell ref="A1:T1"/>
    <mergeCell ref="A2:T2"/>
    <mergeCell ref="A88:T88"/>
    <mergeCell ref="A89:T89"/>
  </mergeCells>
  <printOptions horizontalCentered="1"/>
  <pageMargins left="0.19685039370078741" right="0.11811023622047245" top="0.23622047244094491" bottom="0.19685039370078741" header="0.51181102362204722" footer="0.15748031496062992"/>
  <pageSetup paperSize="9" scale="65" firstPageNumber="0" fitToHeight="2" orientation="portrait" r:id="rId1"/>
  <headerFooter alignWithMargins="0">
    <oddFooter>&amp;C&amp;"Arial CE,Félkövér"&amp;P/&amp;N</oddFooter>
  </headerFooter>
  <rowBreaks count="1" manualBreakCount="1">
    <brk id="87" max="1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D076-51CE-41B0-8E23-882ACA183535}">
  <sheetPr>
    <tabColor indexed="13"/>
  </sheetPr>
  <dimension ref="A1:X61"/>
  <sheetViews>
    <sheetView view="pageBreakPreview" zoomScale="80" zoomScaleSheetLayoutView="80" workbookViewId="0">
      <pane xSplit="9" ySplit="6" topLeftCell="J7" activePane="bottomRight" state="frozen"/>
      <selection sqref="A1:AC1"/>
      <selection pane="topRight" sqref="A1:AC1"/>
      <selection pane="bottomLeft" sqref="A1:AC1"/>
      <selection pane="bottomRight" sqref="A1:AC1"/>
    </sheetView>
  </sheetViews>
  <sheetFormatPr defaultRowHeight="12.75"/>
  <cols>
    <col min="1" max="1" width="9.140625" style="164" customWidth="1"/>
    <col min="2" max="2" width="63.5703125" style="165" customWidth="1"/>
    <col min="3" max="3" width="5.28515625" style="166" hidden="1" customWidth="1"/>
    <col min="4" max="4" width="9.7109375" style="165" hidden="1" customWidth="1"/>
    <col min="5" max="5" width="2.85546875" style="165" hidden="1" customWidth="1"/>
    <col min="6" max="6" width="9.28515625" style="165" hidden="1" customWidth="1"/>
    <col min="7" max="7" width="12" style="165" hidden="1" customWidth="1"/>
    <col min="8" max="8" width="9.5703125" style="168" hidden="1" customWidth="1"/>
    <col min="9" max="9" width="18.42578125" style="169" hidden="1" customWidth="1"/>
    <col min="10" max="10" width="18.28515625" style="169" hidden="1" customWidth="1"/>
    <col min="11" max="11" width="17.42578125" style="2332" bestFit="1" customWidth="1"/>
    <col min="12" max="12" width="17.7109375" style="169" hidden="1" customWidth="1"/>
    <col min="13" max="13" width="19.42578125" style="169" hidden="1" customWidth="1"/>
    <col min="14" max="14" width="19.42578125" style="169" customWidth="1"/>
    <col min="15" max="15" width="19.42578125" style="169" hidden="1" customWidth="1"/>
    <col min="16" max="16" width="17.7109375" style="169" customWidth="1"/>
    <col min="17" max="17" width="13.28515625" style="169" customWidth="1"/>
    <col min="18" max="18" width="16.28515625" style="169" hidden="1" customWidth="1"/>
    <col min="19" max="19" width="15" style="169" hidden="1" customWidth="1"/>
    <col min="20" max="20" width="19.5703125" style="169" hidden="1" customWidth="1"/>
    <col min="21" max="21" width="13.28515625" style="169" hidden="1" customWidth="1"/>
    <col min="22" max="22" width="16.140625" style="171" hidden="1" customWidth="1"/>
    <col min="23" max="23" width="24.42578125" style="171" hidden="1" customWidth="1"/>
    <col min="24" max="24" width="9.5703125" style="171" bestFit="1" customWidth="1"/>
    <col min="25" max="16384" width="9.140625" style="171"/>
  </cols>
  <sheetData>
    <row r="1" spans="1:23" ht="34.5" customHeight="1">
      <c r="A1" s="3602" t="s">
        <v>4290</v>
      </c>
      <c r="B1" s="3602"/>
      <c r="C1" s="3602"/>
      <c r="D1" s="3602"/>
      <c r="E1" s="3602"/>
      <c r="F1" s="3602"/>
      <c r="G1" s="3602"/>
      <c r="H1" s="3602"/>
      <c r="I1" s="3602"/>
      <c r="J1" s="3602"/>
      <c r="K1" s="3602"/>
      <c r="L1" s="3602"/>
      <c r="M1" s="3602"/>
      <c r="N1" s="3602"/>
      <c r="O1" s="3602"/>
      <c r="P1" s="3602"/>
      <c r="Q1" s="3602"/>
      <c r="R1" s="3546"/>
      <c r="S1" s="3546"/>
      <c r="T1" s="3546"/>
      <c r="U1" s="171"/>
    </row>
    <row r="2" spans="1:23" s="174" customFormat="1" ht="22.5" customHeight="1">
      <c r="A2" s="3676" t="s">
        <v>2533</v>
      </c>
      <c r="B2" s="3676"/>
      <c r="C2" s="3676"/>
      <c r="D2" s="3676"/>
      <c r="E2" s="3676"/>
      <c r="F2" s="3676"/>
      <c r="G2" s="3676"/>
      <c r="H2" s="3676"/>
      <c r="I2" s="3676"/>
      <c r="J2" s="3676"/>
      <c r="K2" s="3676"/>
      <c r="L2" s="3676"/>
      <c r="M2" s="3676"/>
      <c r="N2" s="3676"/>
      <c r="O2" s="3676"/>
      <c r="P2" s="3676"/>
      <c r="Q2" s="3676"/>
      <c r="R2" s="3590"/>
      <c r="S2" s="3590"/>
      <c r="T2" s="3590"/>
    </row>
    <row r="3" spans="1:23" s="174" customFormat="1" ht="19.5" customHeight="1">
      <c r="A3" s="1423"/>
      <c r="B3" s="1479" t="str">
        <f>+'34-35.mell.Ber.,Felúj.'!B3</f>
        <v>A</v>
      </c>
      <c r="C3" s="1479">
        <f>+'34-35.mell.Ber.,Felúj.'!C3</f>
        <v>0</v>
      </c>
      <c r="D3" s="1479">
        <f>+'34-35.mell.Ber.,Felúj.'!D3</f>
        <v>0</v>
      </c>
      <c r="E3" s="1479">
        <f>+'34-35.mell.Ber.,Felúj.'!E3</f>
        <v>0</v>
      </c>
      <c r="F3" s="1479">
        <f>+'34-35.mell.Ber.,Felúj.'!F3</f>
        <v>0</v>
      </c>
      <c r="G3" s="1479">
        <f>+'34-35.mell.Ber.,Felúj.'!G3</f>
        <v>0</v>
      </c>
      <c r="H3" s="1479">
        <f>+'34-35.mell.Ber.,Felúj.'!H3</f>
        <v>0</v>
      </c>
      <c r="I3" s="1479" t="str">
        <f>+'34-35.mell.Ber.,Felúj.'!I3</f>
        <v>B</v>
      </c>
      <c r="J3" s="1479" t="str">
        <f>+'34-35.mell.Ber.,Felúj.'!J3</f>
        <v>B</v>
      </c>
      <c r="K3" s="2358" t="str">
        <f>+'34-35.mell.Ber.,Felúj.'!K3</f>
        <v>B</v>
      </c>
      <c r="L3" s="1479" t="str">
        <f>+'34-35.mell.Ber.,Felúj.'!L3</f>
        <v>D</v>
      </c>
      <c r="M3" s="1479" t="str">
        <f>+'34-35.mell.Ber.,Felúj.'!M3</f>
        <v>E</v>
      </c>
      <c r="N3" s="1479" t="str">
        <f>+'34-35.mell.Ber.,Felúj.'!N3</f>
        <v>C</v>
      </c>
      <c r="O3" s="1479" t="str">
        <f>+'34-35.mell.Ber.,Felúj.'!O3</f>
        <v>F</v>
      </c>
      <c r="P3" s="1479" t="str">
        <f>+'34-35.mell.Ber.,Felúj.'!P3</f>
        <v>D</v>
      </c>
      <c r="Q3" s="1479" t="str">
        <f>+'34-35.mell.Ber.,Felúj.'!Q3</f>
        <v>E</v>
      </c>
      <c r="R3" s="1479">
        <f>+'34-35.mell.Ber.,Felúj.'!R3</f>
        <v>0</v>
      </c>
      <c r="S3" s="1479" t="str">
        <f>+'34-35.mell.Ber.,Felúj.'!S3</f>
        <v>F</v>
      </c>
      <c r="T3" s="1479" t="str">
        <f>+'34-35.mell.Ber.,Felúj.'!T3</f>
        <v>G</v>
      </c>
      <c r="U3" s="1479">
        <f>+'34-35.mell.Ber.,Felúj.'!U3</f>
        <v>0</v>
      </c>
      <c r="V3" s="1479">
        <f>+'34-35.mell.Ber.,Felúj.'!V3</f>
        <v>0</v>
      </c>
      <c r="W3" s="1479"/>
    </row>
    <row r="4" spans="1:23" ht="76.5">
      <c r="A4" s="659" t="s">
        <v>6</v>
      </c>
      <c r="B4" s="1420" t="s">
        <v>503</v>
      </c>
      <c r="C4" s="662" t="s">
        <v>504</v>
      </c>
      <c r="D4" s="1421" t="s">
        <v>505</v>
      </c>
      <c r="E4" s="662" t="s">
        <v>506</v>
      </c>
      <c r="F4" s="662" t="s">
        <v>1334</v>
      </c>
      <c r="G4" s="662" t="s">
        <v>508</v>
      </c>
      <c r="H4" s="662" t="s">
        <v>509</v>
      </c>
      <c r="I4" s="1422" t="str">
        <f>+'1. mell.ÖSSZEVONT_MÉRLEG'!C5</f>
        <v>2024. évi eredeti előirányzat
forintban</v>
      </c>
      <c r="J4" s="2591" t="str">
        <f>+'1. mell.ÖSSZEVONT_MÉRLEG'!D5</f>
        <v>2024. évi teljesítés forintban</v>
      </c>
      <c r="K4" s="2359" t="str">
        <f>+'1. mell.ÖSSZEVONT_MÉRLEG'!E5</f>
        <v>2025. évi eredeti előirányzat forintban</v>
      </c>
      <c r="L4" s="182" t="str">
        <f>+'1. mell.ÖSSZEVONT_MÉRLEG'!F5</f>
        <v>2025. évi I. számú módosított előirányzat
forintban</v>
      </c>
      <c r="M4" s="182" t="str">
        <f>+'1. mell.ÖSSZEVONT_MÉRLEG'!G5</f>
        <v>2025. évi II. számú módosított előirányzat forintban</v>
      </c>
      <c r="N4" s="182" t="str">
        <f>+'1. mell.ÖSSZEVONT_MÉRLEG'!H5</f>
        <v>2025. évi III. számú módosított előirányzat forintban</v>
      </c>
      <c r="O4" s="182" t="str">
        <f>+'1. mell.ÖSSZEVONT_MÉRLEG'!I5</f>
        <v>2025. évi IV. számú módosított előirányzat forintban</v>
      </c>
      <c r="P4" s="3191" t="str">
        <f>+'1. mell.ÖSSZEVONT_MÉRLEG'!J5</f>
        <v>2025. évi
teljesítés forintban</v>
      </c>
      <c r="Q4" s="182" t="str">
        <f>+'1. mell.ÖSSZEVONT_MÉRLEG'!K5</f>
        <v xml:space="preserve"> 2025. évi teljesítés / 2025. évi III. számú módosított előirányzat</v>
      </c>
      <c r="R4" s="182" t="str">
        <f>+'1. mell.ÖSSZEVONT_MÉRLEG'!L5</f>
        <v>Változás I. módosításnál</v>
      </c>
      <c r="S4" s="182" t="str">
        <f>+'1. mell.ÖSSZEVONT_MÉRLEG'!M5</f>
        <v>Előirányzat-módosítások, előirányzat-átcsoportosítások összegszerű változásai</v>
      </c>
      <c r="T4" s="2760" t="str">
        <f>+'1. mell.ÖSSZEVONT_MÉRLEG'!N5</f>
        <v>Előirányzat-módosítások, előirányzat-átcsoportosítások összegszerű változásai a III. módosításnál</v>
      </c>
      <c r="U4" s="182" t="s">
        <v>175</v>
      </c>
      <c r="W4" s="612" t="s">
        <v>3984</v>
      </c>
    </row>
    <row r="5" spans="1:23" hidden="1">
      <c r="A5" s="179">
        <f>+'34-35.mell.Ber.,Felúj.'!A5</f>
        <v>1</v>
      </c>
      <c r="B5" s="179">
        <f>+'34-35.mell.Ber.,Felúj.'!B5</f>
        <v>2</v>
      </c>
      <c r="C5" s="179"/>
      <c r="D5" s="179"/>
      <c r="E5" s="179"/>
      <c r="F5" s="179"/>
      <c r="G5" s="179"/>
      <c r="H5" s="179"/>
      <c r="I5" s="179">
        <f>+'34-35.mell.Ber.,Felúj.'!I5</f>
        <v>3</v>
      </c>
      <c r="J5" s="2547">
        <f>+'34-35.mell.Ber.,Felúj.'!J5</f>
        <v>0</v>
      </c>
      <c r="K5" s="2360">
        <f>+'34-35.mell.Ber.,Felúj.'!K5</f>
        <v>3</v>
      </c>
      <c r="L5" s="179">
        <f>+'34-35.mell.Ber.,Felúj.'!L5</f>
        <v>4</v>
      </c>
      <c r="M5" s="179">
        <f>+'34-35.mell.Ber.,Felúj.'!M5</f>
        <v>5</v>
      </c>
      <c r="N5" s="179">
        <f>+'34-35.mell.Ber.,Felúj.'!N5</f>
        <v>6</v>
      </c>
      <c r="O5" s="179">
        <f>+'34-35.mell.Ber.,Felúj.'!O5</f>
        <v>7</v>
      </c>
      <c r="P5" s="640">
        <f>+'34-35.mell.Ber.,Felúj.'!P5</f>
        <v>0</v>
      </c>
      <c r="Q5" s="179">
        <f>+'34-35.mell.Ber.,Felúj.'!Q5</f>
        <v>5</v>
      </c>
      <c r="R5" s="179"/>
      <c r="S5" s="179"/>
      <c r="T5" s="179"/>
      <c r="U5" s="179"/>
    </row>
    <row r="6" spans="1:23" hidden="1">
      <c r="A6" s="179" t="s">
        <v>6</v>
      </c>
      <c r="B6" s="179" t="s">
        <v>2534</v>
      </c>
      <c r="C6" s="617"/>
      <c r="D6" s="616"/>
      <c r="E6" s="616"/>
      <c r="F6" s="616"/>
      <c r="G6" s="616"/>
      <c r="H6" s="617"/>
      <c r="I6" s="617"/>
      <c r="J6" s="2548"/>
      <c r="K6" s="2356"/>
      <c r="L6" s="617"/>
      <c r="M6" s="617"/>
      <c r="N6" s="617"/>
      <c r="O6" s="617"/>
      <c r="P6" s="618"/>
      <c r="Q6" s="617"/>
      <c r="R6" s="617"/>
      <c r="S6" s="184"/>
      <c r="T6" s="184"/>
      <c r="U6" s="184"/>
    </row>
    <row r="7" spans="1:23" ht="25.5">
      <c r="A7" s="179" t="s">
        <v>12</v>
      </c>
      <c r="B7" s="213" t="s">
        <v>2535</v>
      </c>
      <c r="C7" s="622"/>
      <c r="D7" s="623"/>
      <c r="E7" s="623"/>
      <c r="F7" s="623"/>
      <c r="G7" s="623"/>
      <c r="H7" s="617" t="s">
        <v>2536</v>
      </c>
      <c r="I7" s="209">
        <v>0</v>
      </c>
      <c r="J7" s="2549">
        <f>+I7</f>
        <v>0</v>
      </c>
      <c r="K7" s="2347">
        <v>0</v>
      </c>
      <c r="L7" s="209">
        <f>+K7</f>
        <v>0</v>
      </c>
      <c r="M7" s="209">
        <f>+L7</f>
        <v>0</v>
      </c>
      <c r="N7" s="209">
        <f>+M7</f>
        <v>0</v>
      </c>
      <c r="O7" s="209">
        <f>+N7</f>
        <v>0</v>
      </c>
      <c r="P7" s="245">
        <v>0</v>
      </c>
      <c r="Q7" s="706"/>
      <c r="R7" s="209">
        <f>+L7-K7</f>
        <v>0</v>
      </c>
      <c r="S7" s="209">
        <f>+M7-L7</f>
        <v>0</v>
      </c>
      <c r="T7" s="209">
        <f>+N7-M7</f>
        <v>0</v>
      </c>
      <c r="U7" s="209">
        <f>+O7-N7</f>
        <v>0</v>
      </c>
      <c r="W7" s="245">
        <f>+N7-P7</f>
        <v>0</v>
      </c>
    </row>
    <row r="8" spans="1:23" ht="25.5" hidden="1">
      <c r="A8" s="179"/>
      <c r="B8" s="214" t="s">
        <v>2537</v>
      </c>
      <c r="C8" s="621"/>
      <c r="D8" s="619"/>
      <c r="E8" s="619"/>
      <c r="F8" s="619"/>
      <c r="G8" s="619"/>
      <c r="H8" s="620" t="s">
        <v>2538</v>
      </c>
      <c r="I8" s="192"/>
      <c r="J8" s="2550"/>
      <c r="K8" s="2219"/>
      <c r="L8" s="192"/>
      <c r="M8" s="192"/>
      <c r="N8" s="192"/>
      <c r="O8" s="192"/>
      <c r="P8" s="538"/>
      <c r="Q8" s="707"/>
      <c r="R8" s="192"/>
      <c r="S8" s="192"/>
      <c r="T8" s="192"/>
      <c r="U8" s="192"/>
      <c r="W8" s="538"/>
    </row>
    <row r="9" spans="1:23" ht="25.5" hidden="1">
      <c r="A9" s="179"/>
      <c r="B9" s="214" t="s">
        <v>2539</v>
      </c>
      <c r="C9" s="621"/>
      <c r="D9" s="619"/>
      <c r="E9" s="619"/>
      <c r="F9" s="619"/>
      <c r="G9" s="619"/>
      <c r="H9" s="620" t="s">
        <v>2540</v>
      </c>
      <c r="I9" s="192"/>
      <c r="J9" s="2550"/>
      <c r="K9" s="2219"/>
      <c r="L9" s="192"/>
      <c r="M9" s="192"/>
      <c r="N9" s="192"/>
      <c r="O9" s="192"/>
      <c r="P9" s="538"/>
      <c r="Q9" s="707"/>
      <c r="R9" s="192"/>
      <c r="S9" s="192"/>
      <c r="T9" s="192"/>
      <c r="U9" s="192"/>
      <c r="W9" s="538"/>
    </row>
    <row r="10" spans="1:23" ht="25.5" hidden="1">
      <c r="A10" s="179"/>
      <c r="B10" s="214" t="s">
        <v>2541</v>
      </c>
      <c r="C10" s="621"/>
      <c r="D10" s="619"/>
      <c r="E10" s="619"/>
      <c r="F10" s="619"/>
      <c r="G10" s="619"/>
      <c r="H10" s="620" t="s">
        <v>2542</v>
      </c>
      <c r="I10" s="192"/>
      <c r="J10" s="2550"/>
      <c r="K10" s="2219"/>
      <c r="L10" s="192"/>
      <c r="M10" s="192"/>
      <c r="N10" s="192"/>
      <c r="O10" s="192"/>
      <c r="P10" s="538"/>
      <c r="Q10" s="707"/>
      <c r="R10" s="192"/>
      <c r="S10" s="192"/>
      <c r="T10" s="192"/>
      <c r="U10" s="192"/>
      <c r="W10" s="538"/>
    </row>
    <row r="11" spans="1:23" ht="29.25" hidden="1" customHeight="1">
      <c r="A11" s="179"/>
      <c r="B11" s="214" t="s">
        <v>2543</v>
      </c>
      <c r="C11" s="621"/>
      <c r="D11" s="619"/>
      <c r="E11" s="619"/>
      <c r="F11" s="619"/>
      <c r="G11" s="619"/>
      <c r="H11" s="620" t="s">
        <v>2544</v>
      </c>
      <c r="I11" s="192"/>
      <c r="J11" s="2550"/>
      <c r="K11" s="2219"/>
      <c r="L11" s="192"/>
      <c r="M11" s="192"/>
      <c r="N11" s="192"/>
      <c r="O11" s="192"/>
      <c r="P11" s="538"/>
      <c r="Q11" s="707"/>
      <c r="R11" s="192"/>
      <c r="S11" s="192"/>
      <c r="T11" s="192"/>
      <c r="U11" s="192"/>
      <c r="W11" s="538"/>
    </row>
    <row r="12" spans="1:23" ht="29.25" hidden="1" customHeight="1">
      <c r="A12" s="179"/>
      <c r="B12" s="214" t="s">
        <v>2545</v>
      </c>
      <c r="C12" s="621"/>
      <c r="D12" s="619"/>
      <c r="E12" s="619"/>
      <c r="F12" s="619"/>
      <c r="G12" s="619"/>
      <c r="H12" s="620" t="s">
        <v>2546</v>
      </c>
      <c r="I12" s="192"/>
      <c r="J12" s="2550"/>
      <c r="K12" s="2219"/>
      <c r="L12" s="192"/>
      <c r="M12" s="192"/>
      <c r="N12" s="192"/>
      <c r="O12" s="192"/>
      <c r="P12" s="538"/>
      <c r="Q12" s="707"/>
      <c r="R12" s="192"/>
      <c r="S12" s="192"/>
      <c r="T12" s="192"/>
      <c r="U12" s="192"/>
      <c r="W12" s="538"/>
    </row>
    <row r="13" spans="1:23" ht="25.5">
      <c r="A13" s="179" t="s">
        <v>14</v>
      </c>
      <c r="B13" s="213" t="s">
        <v>2547</v>
      </c>
      <c r="C13" s="622"/>
      <c r="D13" s="623"/>
      <c r="E13" s="623"/>
      <c r="F13" s="623"/>
      <c r="G13" s="623"/>
      <c r="H13" s="617" t="s">
        <v>2548</v>
      </c>
      <c r="I13" s="209">
        <f t="shared" ref="I13:O13" si="0">SUM(I8:I12)</f>
        <v>0</v>
      </c>
      <c r="J13" s="2549">
        <f t="shared" si="0"/>
        <v>0</v>
      </c>
      <c r="K13" s="2347">
        <f t="shared" si="0"/>
        <v>0</v>
      </c>
      <c r="L13" s="209">
        <f t="shared" si="0"/>
        <v>0</v>
      </c>
      <c r="M13" s="209">
        <f t="shared" si="0"/>
        <v>0</v>
      </c>
      <c r="N13" s="209">
        <f t="shared" si="0"/>
        <v>0</v>
      </c>
      <c r="O13" s="209">
        <f t="shared" si="0"/>
        <v>0</v>
      </c>
      <c r="P13" s="245">
        <v>0</v>
      </c>
      <c r="Q13" s="706"/>
      <c r="R13" s="209">
        <f t="shared" ref="R13:R57" si="1">+L13-K13</f>
        <v>0</v>
      </c>
      <c r="S13" s="209">
        <f t="shared" ref="S13:S44" si="2">+M13-L13</f>
        <v>0</v>
      </c>
      <c r="T13" s="209">
        <f t="shared" ref="T13:T43" si="3">+N13-M13</f>
        <v>0</v>
      </c>
      <c r="U13" s="209">
        <f t="shared" ref="U13:U43" si="4">+O13-N13</f>
        <v>0</v>
      </c>
      <c r="W13" s="245">
        <f t="shared" ref="W13:W57" si="5">+N13-P13</f>
        <v>0</v>
      </c>
    </row>
    <row r="14" spans="1:23" ht="25.5">
      <c r="A14" s="179" t="s">
        <v>15</v>
      </c>
      <c r="B14" s="213" t="s">
        <v>2549</v>
      </c>
      <c r="C14" s="622"/>
      <c r="D14" s="623"/>
      <c r="E14" s="623"/>
      <c r="F14" s="623"/>
      <c r="G14" s="623"/>
      <c r="H14" s="617" t="s">
        <v>2550</v>
      </c>
      <c r="I14" s="209">
        <v>0</v>
      </c>
      <c r="J14" s="2549">
        <f>+I14</f>
        <v>0</v>
      </c>
      <c r="K14" s="2347">
        <v>0</v>
      </c>
      <c r="L14" s="209">
        <f>+K14</f>
        <v>0</v>
      </c>
      <c r="M14" s="209">
        <f>+L14</f>
        <v>0</v>
      </c>
      <c r="N14" s="209">
        <f>+M14</f>
        <v>0</v>
      </c>
      <c r="O14" s="209">
        <f>+N14</f>
        <v>0</v>
      </c>
      <c r="P14" s="245">
        <v>0</v>
      </c>
      <c r="Q14" s="706"/>
      <c r="R14" s="209">
        <f t="shared" si="1"/>
        <v>0</v>
      </c>
      <c r="S14" s="209">
        <f t="shared" si="2"/>
        <v>0</v>
      </c>
      <c r="T14" s="209">
        <f t="shared" si="3"/>
        <v>0</v>
      </c>
      <c r="U14" s="209">
        <f t="shared" si="4"/>
        <v>0</v>
      </c>
      <c r="W14" s="245">
        <f t="shared" si="5"/>
        <v>0</v>
      </c>
    </row>
    <row r="15" spans="1:23" hidden="1">
      <c r="A15" s="179"/>
      <c r="B15" s="214" t="s">
        <v>2551</v>
      </c>
      <c r="C15" s="621"/>
      <c r="D15" s="619"/>
      <c r="E15" s="619"/>
      <c r="F15" s="619"/>
      <c r="G15" s="619"/>
      <c r="H15" s="620" t="s">
        <v>2552</v>
      </c>
      <c r="I15" s="192"/>
      <c r="J15" s="2550"/>
      <c r="K15" s="2219"/>
      <c r="L15" s="192"/>
      <c r="M15" s="192"/>
      <c r="N15" s="192"/>
      <c r="O15" s="192"/>
      <c r="P15" s="538"/>
      <c r="Q15" s="707"/>
      <c r="R15" s="192">
        <f t="shared" si="1"/>
        <v>0</v>
      </c>
      <c r="S15" s="192">
        <f t="shared" si="2"/>
        <v>0</v>
      </c>
      <c r="T15" s="192">
        <f t="shared" si="3"/>
        <v>0</v>
      </c>
      <c r="U15" s="192">
        <f t="shared" si="4"/>
        <v>0</v>
      </c>
      <c r="W15" s="538">
        <f t="shared" si="5"/>
        <v>0</v>
      </c>
    </row>
    <row r="16" spans="1:23" hidden="1">
      <c r="A16" s="179"/>
      <c r="B16" s="214" t="s">
        <v>2553</v>
      </c>
      <c r="C16" s="621"/>
      <c r="D16" s="619"/>
      <c r="E16" s="619"/>
      <c r="F16" s="619"/>
      <c r="G16" s="619"/>
      <c r="H16" s="620" t="s">
        <v>2554</v>
      </c>
      <c r="I16" s="192"/>
      <c r="J16" s="2550"/>
      <c r="K16" s="2219"/>
      <c r="L16" s="192"/>
      <c r="M16" s="192"/>
      <c r="N16" s="192"/>
      <c r="O16" s="192"/>
      <c r="P16" s="538"/>
      <c r="Q16" s="707"/>
      <c r="R16" s="192">
        <f t="shared" si="1"/>
        <v>0</v>
      </c>
      <c r="S16" s="192">
        <f t="shared" si="2"/>
        <v>0</v>
      </c>
      <c r="T16" s="192">
        <f t="shared" si="3"/>
        <v>0</v>
      </c>
      <c r="U16" s="192">
        <f t="shared" si="4"/>
        <v>0</v>
      </c>
      <c r="W16" s="538">
        <f t="shared" si="5"/>
        <v>0</v>
      </c>
    </row>
    <row r="17" spans="1:23" hidden="1">
      <c r="A17" s="179"/>
      <c r="B17" s="214" t="s">
        <v>2555</v>
      </c>
      <c r="C17" s="621"/>
      <c r="D17" s="619"/>
      <c r="E17" s="619"/>
      <c r="F17" s="619"/>
      <c r="G17" s="619"/>
      <c r="H17" s="620" t="s">
        <v>2556</v>
      </c>
      <c r="I17" s="192"/>
      <c r="J17" s="2550"/>
      <c r="K17" s="2219"/>
      <c r="L17" s="192"/>
      <c r="M17" s="192"/>
      <c r="N17" s="192"/>
      <c r="O17" s="192"/>
      <c r="P17" s="538"/>
      <c r="Q17" s="707"/>
      <c r="R17" s="192">
        <f t="shared" si="1"/>
        <v>0</v>
      </c>
      <c r="S17" s="192">
        <f t="shared" si="2"/>
        <v>0</v>
      </c>
      <c r="T17" s="192">
        <f t="shared" si="3"/>
        <v>0</v>
      </c>
      <c r="U17" s="192">
        <f t="shared" si="4"/>
        <v>0</v>
      </c>
      <c r="W17" s="538">
        <f t="shared" si="5"/>
        <v>0</v>
      </c>
    </row>
    <row r="18" spans="1:23" ht="28.5" hidden="1">
      <c r="A18" s="179"/>
      <c r="B18" s="214" t="s">
        <v>2557</v>
      </c>
      <c r="C18" s="621" t="s">
        <v>512</v>
      </c>
      <c r="D18" s="619" t="s">
        <v>2558</v>
      </c>
      <c r="E18" s="619">
        <v>3</v>
      </c>
      <c r="F18" s="621" t="s">
        <v>2256</v>
      </c>
      <c r="G18" s="619">
        <v>9990001</v>
      </c>
      <c r="H18" s="620" t="s">
        <v>2559</v>
      </c>
      <c r="I18" s="192">
        <f>15407-15407</f>
        <v>0</v>
      </c>
      <c r="J18" s="2550">
        <f>+I18</f>
        <v>0</v>
      </c>
      <c r="K18" s="2219">
        <f>15407-15407</f>
        <v>0</v>
      </c>
      <c r="L18" s="192">
        <f t="shared" ref="L18:O22" si="6">+K18</f>
        <v>0</v>
      </c>
      <c r="M18" s="192">
        <f t="shared" si="6"/>
        <v>0</v>
      </c>
      <c r="N18" s="192">
        <f t="shared" si="6"/>
        <v>0</v>
      </c>
      <c r="O18" s="192">
        <f t="shared" si="6"/>
        <v>0</v>
      </c>
      <c r="P18" s="538">
        <v>0</v>
      </c>
      <c r="Q18" s="193"/>
      <c r="R18" s="192">
        <f t="shared" si="1"/>
        <v>0</v>
      </c>
      <c r="S18" s="192">
        <f t="shared" si="2"/>
        <v>0</v>
      </c>
      <c r="T18" s="192">
        <f t="shared" si="3"/>
        <v>0</v>
      </c>
      <c r="U18" s="192">
        <f t="shared" si="4"/>
        <v>0</v>
      </c>
      <c r="W18" s="538">
        <f t="shared" si="5"/>
        <v>0</v>
      </c>
    </row>
    <row r="19" spans="1:23" ht="25.5">
      <c r="A19" s="179" t="s">
        <v>17</v>
      </c>
      <c r="B19" s="214" t="s">
        <v>3225</v>
      </c>
      <c r="C19" s="621" t="s">
        <v>512</v>
      </c>
      <c r="D19" s="619" t="s">
        <v>2560</v>
      </c>
      <c r="E19" s="619">
        <v>3</v>
      </c>
      <c r="F19" s="619" t="s">
        <v>986</v>
      </c>
      <c r="G19" s="619">
        <v>910501</v>
      </c>
      <c r="H19" s="620" t="s">
        <v>2561</v>
      </c>
      <c r="I19" s="192">
        <v>0</v>
      </c>
      <c r="J19" s="2550">
        <f>+I19</f>
        <v>0</v>
      </c>
      <c r="K19" s="2219">
        <v>0</v>
      </c>
      <c r="L19" s="192">
        <f t="shared" si="6"/>
        <v>0</v>
      </c>
      <c r="M19" s="192">
        <f t="shared" si="6"/>
        <v>0</v>
      </c>
      <c r="N19" s="192">
        <f t="shared" si="6"/>
        <v>0</v>
      </c>
      <c r="O19" s="192">
        <f t="shared" si="6"/>
        <v>0</v>
      </c>
      <c r="P19" s="538">
        <v>0</v>
      </c>
      <c r="Q19" s="707"/>
      <c r="R19" s="192">
        <f t="shared" si="1"/>
        <v>0</v>
      </c>
      <c r="S19" s="192">
        <f t="shared" si="2"/>
        <v>0</v>
      </c>
      <c r="T19" s="192">
        <f t="shared" si="3"/>
        <v>0</v>
      </c>
      <c r="U19" s="192">
        <f t="shared" si="4"/>
        <v>0</v>
      </c>
      <c r="W19" s="603">
        <f t="shared" si="5"/>
        <v>0</v>
      </c>
    </row>
    <row r="20" spans="1:23" ht="38.25" hidden="1" customHeight="1">
      <c r="A20" s="179"/>
      <c r="B20" s="214" t="s">
        <v>3060</v>
      </c>
      <c r="C20" s="621" t="s">
        <v>512</v>
      </c>
      <c r="D20" s="619" t="s">
        <v>2562</v>
      </c>
      <c r="E20" s="619">
        <v>3</v>
      </c>
      <c r="F20" s="621" t="s">
        <v>1050</v>
      </c>
      <c r="G20" s="619">
        <v>9990001</v>
      </c>
      <c r="H20" s="620" t="s">
        <v>2561</v>
      </c>
      <c r="I20" s="192">
        <v>0</v>
      </c>
      <c r="J20" s="2550">
        <v>0</v>
      </c>
      <c r="K20" s="2219">
        <f>0</f>
        <v>0</v>
      </c>
      <c r="L20" s="192">
        <f>+K20</f>
        <v>0</v>
      </c>
      <c r="M20" s="192">
        <f t="shared" si="6"/>
        <v>0</v>
      </c>
      <c r="N20" s="192">
        <f t="shared" si="6"/>
        <v>0</v>
      </c>
      <c r="O20" s="192">
        <f t="shared" si="6"/>
        <v>0</v>
      </c>
      <c r="P20" s="538">
        <v>0</v>
      </c>
      <c r="Q20" s="193"/>
      <c r="R20" s="192">
        <f t="shared" si="1"/>
        <v>0</v>
      </c>
      <c r="S20" s="192">
        <f t="shared" si="2"/>
        <v>0</v>
      </c>
      <c r="T20" s="192">
        <f t="shared" si="3"/>
        <v>0</v>
      </c>
      <c r="U20" s="192">
        <f t="shared" si="4"/>
        <v>0</v>
      </c>
      <c r="W20" s="603">
        <f t="shared" si="5"/>
        <v>0</v>
      </c>
    </row>
    <row r="21" spans="1:23" ht="38.25" hidden="1" customHeight="1">
      <c r="A21" s="179" t="s">
        <v>2563</v>
      </c>
      <c r="B21" s="214" t="s">
        <v>126</v>
      </c>
      <c r="C21" s="621" t="s">
        <v>1012</v>
      </c>
      <c r="D21" s="619" t="s">
        <v>2564</v>
      </c>
      <c r="E21" s="619">
        <v>3</v>
      </c>
      <c r="F21" s="621" t="s">
        <v>1142</v>
      </c>
      <c r="G21" s="619"/>
      <c r="H21" s="620" t="s">
        <v>2561</v>
      </c>
      <c r="I21" s="192"/>
      <c r="J21" s="2550">
        <v>0</v>
      </c>
      <c r="K21" s="2219">
        <v>0</v>
      </c>
      <c r="L21" s="192">
        <f t="shared" si="6"/>
        <v>0</v>
      </c>
      <c r="M21" s="192">
        <f t="shared" si="6"/>
        <v>0</v>
      </c>
      <c r="N21" s="192">
        <f t="shared" si="6"/>
        <v>0</v>
      </c>
      <c r="O21" s="192">
        <f t="shared" si="6"/>
        <v>0</v>
      </c>
      <c r="P21" s="538"/>
      <c r="Q21" s="707"/>
      <c r="R21" s="192">
        <f t="shared" si="1"/>
        <v>0</v>
      </c>
      <c r="S21" s="192">
        <f t="shared" si="2"/>
        <v>0</v>
      </c>
      <c r="T21" s="192">
        <f t="shared" si="3"/>
        <v>0</v>
      </c>
      <c r="U21" s="192">
        <f t="shared" si="4"/>
        <v>0</v>
      </c>
      <c r="W21" s="603">
        <f t="shared" si="5"/>
        <v>0</v>
      </c>
    </row>
    <row r="22" spans="1:23" ht="28.5" customHeight="1">
      <c r="A22" s="179" t="s">
        <v>19</v>
      </c>
      <c r="B22" s="214" t="s">
        <v>2565</v>
      </c>
      <c r="C22" s="621"/>
      <c r="D22" s="619"/>
      <c r="E22" s="619"/>
      <c r="F22" s="619"/>
      <c r="G22" s="619"/>
      <c r="H22" s="620" t="s">
        <v>2566</v>
      </c>
      <c r="I22" s="192">
        <v>0</v>
      </c>
      <c r="J22" s="2550">
        <f>+I22</f>
        <v>0</v>
      </c>
      <c r="K22" s="2219">
        <f>0</f>
        <v>0</v>
      </c>
      <c r="L22" s="192">
        <f t="shared" si="6"/>
        <v>0</v>
      </c>
      <c r="M22" s="192">
        <f t="shared" si="6"/>
        <v>0</v>
      </c>
      <c r="N22" s="192">
        <f t="shared" si="6"/>
        <v>0</v>
      </c>
      <c r="O22" s="192">
        <f t="shared" si="6"/>
        <v>0</v>
      </c>
      <c r="P22" s="538">
        <v>0</v>
      </c>
      <c r="Q22" s="706"/>
      <c r="R22" s="209">
        <f t="shared" si="1"/>
        <v>0</v>
      </c>
      <c r="S22" s="209">
        <f t="shared" si="2"/>
        <v>0</v>
      </c>
      <c r="T22" s="209">
        <f t="shared" si="3"/>
        <v>0</v>
      </c>
      <c r="U22" s="209">
        <f t="shared" si="4"/>
        <v>0</v>
      </c>
      <c r="W22" s="538">
        <f t="shared" si="5"/>
        <v>0</v>
      </c>
    </row>
    <row r="23" spans="1:23" ht="28.5" customHeight="1">
      <c r="A23" s="179" t="s">
        <v>21</v>
      </c>
      <c r="B23" s="649" t="s">
        <v>3226</v>
      </c>
      <c r="C23" s="708"/>
      <c r="D23" s="709"/>
      <c r="E23" s="709"/>
      <c r="F23" s="709"/>
      <c r="G23" s="709"/>
      <c r="H23" s="710" t="s">
        <v>2567</v>
      </c>
      <c r="I23" s="654">
        <f t="shared" ref="I23:P23" si="7">SUM(I15:I22)</f>
        <v>0</v>
      </c>
      <c r="J23" s="2551">
        <f t="shared" si="7"/>
        <v>0</v>
      </c>
      <c r="K23" s="2366">
        <f t="shared" si="7"/>
        <v>0</v>
      </c>
      <c r="L23" s="654">
        <f t="shared" si="7"/>
        <v>0</v>
      </c>
      <c r="M23" s="654">
        <f t="shared" si="7"/>
        <v>0</v>
      </c>
      <c r="N23" s="654">
        <f t="shared" si="7"/>
        <v>0</v>
      </c>
      <c r="O23" s="654">
        <f t="shared" si="7"/>
        <v>0</v>
      </c>
      <c r="P23" s="655">
        <f t="shared" si="7"/>
        <v>0</v>
      </c>
      <c r="Q23" s="656"/>
      <c r="R23" s="654">
        <f t="shared" si="1"/>
        <v>0</v>
      </c>
      <c r="S23" s="654">
        <f t="shared" si="2"/>
        <v>0</v>
      </c>
      <c r="T23" s="654">
        <f t="shared" si="3"/>
        <v>0</v>
      </c>
      <c r="U23" s="654">
        <f t="shared" si="4"/>
        <v>0</v>
      </c>
      <c r="W23" s="655">
        <f t="shared" si="5"/>
        <v>0</v>
      </c>
    </row>
    <row r="24" spans="1:23" ht="27.75" customHeight="1">
      <c r="A24" s="179" t="s">
        <v>23</v>
      </c>
      <c r="B24" s="213" t="s">
        <v>2568</v>
      </c>
      <c r="C24" s="622"/>
      <c r="D24" s="623"/>
      <c r="E24" s="623"/>
      <c r="F24" s="623"/>
      <c r="G24" s="623"/>
      <c r="H24" s="617" t="s">
        <v>2569</v>
      </c>
      <c r="I24" s="623">
        <v>0</v>
      </c>
      <c r="J24" s="2552">
        <f>+I24</f>
        <v>0</v>
      </c>
      <c r="K24" s="2367">
        <v>0</v>
      </c>
      <c r="L24" s="623">
        <f>+K24</f>
        <v>0</v>
      </c>
      <c r="M24" s="623">
        <f>+L24</f>
        <v>0</v>
      </c>
      <c r="N24" s="623">
        <f>+M24</f>
        <v>0</v>
      </c>
      <c r="O24" s="623">
        <f>+N24</f>
        <v>0</v>
      </c>
      <c r="P24" s="657">
        <v>0</v>
      </c>
      <c r="Q24" s="711"/>
      <c r="R24" s="623">
        <f t="shared" si="1"/>
        <v>0</v>
      </c>
      <c r="S24" s="623">
        <f t="shared" si="2"/>
        <v>0</v>
      </c>
      <c r="T24" s="623">
        <f t="shared" si="3"/>
        <v>0</v>
      </c>
      <c r="U24" s="623">
        <f t="shared" si="4"/>
        <v>0</v>
      </c>
      <c r="W24" s="657">
        <f t="shared" si="5"/>
        <v>0</v>
      </c>
    </row>
    <row r="25" spans="1:23" ht="37.5" hidden="1" customHeight="1">
      <c r="A25" s="179"/>
      <c r="B25" s="660" t="s">
        <v>2570</v>
      </c>
      <c r="C25" s="712"/>
      <c r="D25" s="713"/>
      <c r="E25" s="713"/>
      <c r="F25" s="713"/>
      <c r="G25" s="713"/>
      <c r="H25" s="714" t="s">
        <v>2571</v>
      </c>
      <c r="I25" s="663"/>
      <c r="J25" s="2553"/>
      <c r="K25" s="2376"/>
      <c r="L25" s="663"/>
      <c r="M25" s="663"/>
      <c r="N25" s="663"/>
      <c r="O25" s="663"/>
      <c r="P25" s="664"/>
      <c r="Q25" s="715"/>
      <c r="R25" s="663">
        <f t="shared" si="1"/>
        <v>0</v>
      </c>
      <c r="S25" s="663">
        <f t="shared" si="2"/>
        <v>0</v>
      </c>
      <c r="T25" s="663">
        <f t="shared" si="3"/>
        <v>0</v>
      </c>
      <c r="U25" s="663">
        <f t="shared" si="4"/>
        <v>0</v>
      </c>
      <c r="W25" s="664">
        <f t="shared" si="5"/>
        <v>0</v>
      </c>
    </row>
    <row r="26" spans="1:23" ht="25.5">
      <c r="A26" s="179" t="s">
        <v>25</v>
      </c>
      <c r="B26" s="214" t="s">
        <v>2572</v>
      </c>
      <c r="C26" s="621"/>
      <c r="D26" s="619"/>
      <c r="E26" s="619"/>
      <c r="F26" s="619"/>
      <c r="G26" s="619"/>
      <c r="H26" s="620" t="s">
        <v>2573</v>
      </c>
      <c r="I26" s="532">
        <v>0</v>
      </c>
      <c r="J26" s="2554">
        <f>+I26</f>
        <v>0</v>
      </c>
      <c r="K26" s="2348">
        <v>0</v>
      </c>
      <c r="L26" s="532">
        <f t="shared" ref="L26:O27" si="8">+K26</f>
        <v>0</v>
      </c>
      <c r="M26" s="532">
        <f t="shared" si="8"/>
        <v>0</v>
      </c>
      <c r="N26" s="532">
        <f t="shared" si="8"/>
        <v>0</v>
      </c>
      <c r="O26" s="532">
        <f t="shared" si="8"/>
        <v>0</v>
      </c>
      <c r="P26" s="716">
        <v>0</v>
      </c>
      <c r="Q26" s="717"/>
      <c r="R26" s="532">
        <f t="shared" si="1"/>
        <v>0</v>
      </c>
      <c r="S26" s="532">
        <f t="shared" si="2"/>
        <v>0</v>
      </c>
      <c r="T26" s="532">
        <f t="shared" si="3"/>
        <v>0</v>
      </c>
      <c r="U26" s="532">
        <f t="shared" si="4"/>
        <v>0</v>
      </c>
      <c r="W26" s="716">
        <f t="shared" si="5"/>
        <v>0</v>
      </c>
    </row>
    <row r="27" spans="1:23" ht="25.5">
      <c r="A27" s="179" t="s">
        <v>27</v>
      </c>
      <c r="B27" s="214" t="s">
        <v>2574</v>
      </c>
      <c r="C27" s="621"/>
      <c r="D27" s="619"/>
      <c r="E27" s="619"/>
      <c r="F27" s="619"/>
      <c r="G27" s="619"/>
      <c r="H27" s="620" t="s">
        <v>2575</v>
      </c>
      <c r="I27" s="532">
        <v>0</v>
      </c>
      <c r="J27" s="2554">
        <f>+I27</f>
        <v>0</v>
      </c>
      <c r="K27" s="2348">
        <v>0</v>
      </c>
      <c r="L27" s="532">
        <f t="shared" si="8"/>
        <v>0</v>
      </c>
      <c r="M27" s="532">
        <f t="shared" si="8"/>
        <v>0</v>
      </c>
      <c r="N27" s="532">
        <f t="shared" si="8"/>
        <v>0</v>
      </c>
      <c r="O27" s="532">
        <f t="shared" si="8"/>
        <v>0</v>
      </c>
      <c r="P27" s="716">
        <v>0</v>
      </c>
      <c r="Q27" s="717"/>
      <c r="R27" s="532">
        <f t="shared" si="1"/>
        <v>0</v>
      </c>
      <c r="S27" s="532">
        <f t="shared" si="2"/>
        <v>0</v>
      </c>
      <c r="T27" s="532">
        <f t="shared" si="3"/>
        <v>0</v>
      </c>
      <c r="U27" s="532">
        <f t="shared" si="4"/>
        <v>0</v>
      </c>
      <c r="W27" s="716">
        <f t="shared" si="5"/>
        <v>0</v>
      </c>
    </row>
    <row r="28" spans="1:23" ht="25.5">
      <c r="A28" s="179" t="s">
        <v>29</v>
      </c>
      <c r="B28" s="213" t="s">
        <v>2576</v>
      </c>
      <c r="C28" s="622"/>
      <c r="D28" s="623"/>
      <c r="E28" s="623"/>
      <c r="F28" s="623"/>
      <c r="G28" s="623"/>
      <c r="H28" s="617" t="s">
        <v>2577</v>
      </c>
      <c r="I28" s="209">
        <f t="shared" ref="I28:O28" si="9">SUM(I25:I27)</f>
        <v>0</v>
      </c>
      <c r="J28" s="2549">
        <f t="shared" si="9"/>
        <v>0</v>
      </c>
      <c r="K28" s="2347">
        <f t="shared" si="9"/>
        <v>0</v>
      </c>
      <c r="L28" s="209">
        <f t="shared" si="9"/>
        <v>0</v>
      </c>
      <c r="M28" s="209">
        <f t="shared" si="9"/>
        <v>0</v>
      </c>
      <c r="N28" s="209">
        <f t="shared" si="9"/>
        <v>0</v>
      </c>
      <c r="O28" s="209">
        <f t="shared" si="9"/>
        <v>0</v>
      </c>
      <c r="P28" s="245">
        <v>0</v>
      </c>
      <c r="Q28" s="706"/>
      <c r="R28" s="209">
        <f t="shared" si="1"/>
        <v>0</v>
      </c>
      <c r="S28" s="209">
        <f t="shared" si="2"/>
        <v>0</v>
      </c>
      <c r="T28" s="209">
        <f t="shared" si="3"/>
        <v>0</v>
      </c>
      <c r="U28" s="209">
        <f t="shared" si="4"/>
        <v>0</v>
      </c>
      <c r="W28" s="245">
        <f t="shared" si="5"/>
        <v>0</v>
      </c>
    </row>
    <row r="29" spans="1:23" ht="25.5">
      <c r="A29" s="179" t="s">
        <v>31</v>
      </c>
      <c r="B29" s="214" t="s">
        <v>3552</v>
      </c>
      <c r="C29" s="621" t="s">
        <v>656</v>
      </c>
      <c r="D29" s="619" t="s">
        <v>2578</v>
      </c>
      <c r="E29">
        <v>2</v>
      </c>
      <c r="F29" s="621" t="s">
        <v>1113</v>
      </c>
      <c r="G29" s="619">
        <v>9990001</v>
      </c>
      <c r="H29" s="621" t="s">
        <v>2579</v>
      </c>
      <c r="I29" s="192">
        <f>9000000</f>
        <v>9000000</v>
      </c>
      <c r="J29" s="2550">
        <v>0</v>
      </c>
      <c r="K29" s="2219">
        <f>9000000-5000000</f>
        <v>4000000</v>
      </c>
      <c r="L29" s="192">
        <f t="shared" ref="L29:O31" si="10">+K29</f>
        <v>4000000</v>
      </c>
      <c r="M29" s="192">
        <f t="shared" si="10"/>
        <v>4000000</v>
      </c>
      <c r="N29" s="192">
        <f t="shared" si="10"/>
        <v>4000000</v>
      </c>
      <c r="O29" s="192">
        <f t="shared" si="10"/>
        <v>4000000</v>
      </c>
      <c r="P29" s="538">
        <v>0</v>
      </c>
      <c r="Q29" s="193">
        <f>+P29/N29</f>
        <v>0</v>
      </c>
      <c r="R29" s="192">
        <f t="shared" si="1"/>
        <v>0</v>
      </c>
      <c r="S29" s="192">
        <f t="shared" si="2"/>
        <v>0</v>
      </c>
      <c r="T29" s="192">
        <f t="shared" si="3"/>
        <v>0</v>
      </c>
      <c r="U29" s="192">
        <f t="shared" si="4"/>
        <v>0</v>
      </c>
      <c r="W29" s="603">
        <f t="shared" si="5"/>
        <v>4000000</v>
      </c>
    </row>
    <row r="30" spans="1:23" hidden="1">
      <c r="A30" s="179" t="s">
        <v>2580</v>
      </c>
      <c r="B30" s="214" t="s">
        <v>2581</v>
      </c>
      <c r="C30" s="621" t="s">
        <v>656</v>
      </c>
      <c r="D30" s="619" t="s">
        <v>2582</v>
      </c>
      <c r="E30" s="619">
        <v>3</v>
      </c>
      <c r="F30" s="621" t="s">
        <v>1113</v>
      </c>
      <c r="G30" s="619">
        <v>9990001</v>
      </c>
      <c r="H30" s="621" t="s">
        <v>2579</v>
      </c>
      <c r="I30" s="192">
        <v>0</v>
      </c>
      <c r="J30" s="2550">
        <f>+I30</f>
        <v>0</v>
      </c>
      <c r="K30" s="2219">
        <v>0</v>
      </c>
      <c r="L30" s="192">
        <f t="shared" si="10"/>
        <v>0</v>
      </c>
      <c r="M30" s="192">
        <f t="shared" si="10"/>
        <v>0</v>
      </c>
      <c r="N30" s="192">
        <f t="shared" si="10"/>
        <v>0</v>
      </c>
      <c r="O30" s="192">
        <f t="shared" si="10"/>
        <v>0</v>
      </c>
      <c r="P30" s="538">
        <v>0</v>
      </c>
      <c r="Q30" s="193"/>
      <c r="R30" s="192">
        <f t="shared" si="1"/>
        <v>0</v>
      </c>
      <c r="S30" s="192">
        <f t="shared" si="2"/>
        <v>0</v>
      </c>
      <c r="T30" s="192">
        <f t="shared" si="3"/>
        <v>0</v>
      </c>
      <c r="U30" s="192">
        <f t="shared" si="4"/>
        <v>0</v>
      </c>
      <c r="W30" s="538">
        <f t="shared" si="5"/>
        <v>0</v>
      </c>
    </row>
    <row r="31" spans="1:23">
      <c r="A31" s="179" t="s">
        <v>33</v>
      </c>
      <c r="B31" s="214" t="s">
        <v>3634</v>
      </c>
      <c r="C31" s="621" t="s">
        <v>512</v>
      </c>
      <c r="D31" s="619" t="s">
        <v>2583</v>
      </c>
      <c r="E31" s="619">
        <v>3</v>
      </c>
      <c r="F31" s="621" t="s">
        <v>1113</v>
      </c>
      <c r="G31" s="619">
        <v>9990001</v>
      </c>
      <c r="H31" s="621" t="s">
        <v>2584</v>
      </c>
      <c r="I31" s="192">
        <f>9000000</f>
        <v>9000000</v>
      </c>
      <c r="J31" s="2550">
        <v>2307846</v>
      </c>
      <c r="K31" s="2219">
        <f>9000000-5000000</f>
        <v>4000000</v>
      </c>
      <c r="L31" s="192">
        <f t="shared" si="10"/>
        <v>4000000</v>
      </c>
      <c r="M31" s="192">
        <f t="shared" si="10"/>
        <v>4000000</v>
      </c>
      <c r="N31" s="192">
        <f t="shared" si="10"/>
        <v>4000000</v>
      </c>
      <c r="O31" s="192">
        <f t="shared" si="10"/>
        <v>4000000</v>
      </c>
      <c r="P31" s="538">
        <f>219539-219539</f>
        <v>0</v>
      </c>
      <c r="Q31" s="193">
        <f>+P31/N31</f>
        <v>0</v>
      </c>
      <c r="R31" s="192">
        <f t="shared" si="1"/>
        <v>0</v>
      </c>
      <c r="S31" s="192">
        <f t="shared" si="2"/>
        <v>0</v>
      </c>
      <c r="T31" s="192">
        <f t="shared" si="3"/>
        <v>0</v>
      </c>
      <c r="U31" s="192">
        <f t="shared" si="4"/>
        <v>0</v>
      </c>
      <c r="W31" s="603">
        <f t="shared" si="5"/>
        <v>4000000</v>
      </c>
    </row>
    <row r="32" spans="1:23" ht="25.5">
      <c r="A32" s="179" t="s">
        <v>35</v>
      </c>
      <c r="B32" s="213" t="s">
        <v>2585</v>
      </c>
      <c r="C32" s="622"/>
      <c r="D32" s="623"/>
      <c r="E32" s="623"/>
      <c r="F32" s="619"/>
      <c r="G32" s="619"/>
      <c r="H32" s="621" t="s">
        <v>2579</v>
      </c>
      <c r="I32" s="209">
        <f t="shared" ref="I32:P32" si="11">SUM(I29:I31)</f>
        <v>18000000</v>
      </c>
      <c r="J32" s="2549">
        <f t="shared" si="11"/>
        <v>2307846</v>
      </c>
      <c r="K32" s="2347">
        <f t="shared" si="11"/>
        <v>8000000</v>
      </c>
      <c r="L32" s="209">
        <f t="shared" si="11"/>
        <v>8000000</v>
      </c>
      <c r="M32" s="209">
        <f t="shared" si="11"/>
        <v>8000000</v>
      </c>
      <c r="N32" s="209">
        <f t="shared" si="11"/>
        <v>8000000</v>
      </c>
      <c r="O32" s="209">
        <f t="shared" si="11"/>
        <v>8000000</v>
      </c>
      <c r="P32" s="245">
        <f t="shared" si="11"/>
        <v>0</v>
      </c>
      <c r="Q32" s="210">
        <f>+P32/N32</f>
        <v>0</v>
      </c>
      <c r="R32" s="209">
        <f t="shared" si="1"/>
        <v>0</v>
      </c>
      <c r="S32" s="209">
        <f t="shared" si="2"/>
        <v>0</v>
      </c>
      <c r="T32" s="209">
        <f t="shared" si="3"/>
        <v>0</v>
      </c>
      <c r="U32" s="209">
        <f t="shared" si="4"/>
        <v>0</v>
      </c>
      <c r="W32" s="245">
        <f t="shared" si="5"/>
        <v>8000000</v>
      </c>
    </row>
    <row r="33" spans="1:24" ht="25.5">
      <c r="A33" s="179" t="s">
        <v>37</v>
      </c>
      <c r="B33" s="214" t="s">
        <v>2586</v>
      </c>
      <c r="C33" s="621"/>
      <c r="D33" s="619"/>
      <c r="E33" s="619"/>
      <c r="F33" s="619"/>
      <c r="G33" s="619"/>
      <c r="H33" s="621" t="s">
        <v>2587</v>
      </c>
      <c r="I33" s="192">
        <v>0</v>
      </c>
      <c r="J33" s="2550">
        <f>+I33</f>
        <v>0</v>
      </c>
      <c r="K33" s="2219">
        <v>0</v>
      </c>
      <c r="L33" s="192">
        <f t="shared" ref="L33:O34" si="12">+K33</f>
        <v>0</v>
      </c>
      <c r="M33" s="192">
        <f t="shared" si="12"/>
        <v>0</v>
      </c>
      <c r="N33" s="192">
        <f t="shared" si="12"/>
        <v>0</v>
      </c>
      <c r="O33" s="192">
        <f t="shared" si="12"/>
        <v>0</v>
      </c>
      <c r="P33" s="538">
        <v>0</v>
      </c>
      <c r="Q33" s="193"/>
      <c r="R33" s="192">
        <f t="shared" si="1"/>
        <v>0</v>
      </c>
      <c r="S33" s="192">
        <f t="shared" si="2"/>
        <v>0</v>
      </c>
      <c r="T33" s="192">
        <f t="shared" si="3"/>
        <v>0</v>
      </c>
      <c r="U33" s="192">
        <f t="shared" si="4"/>
        <v>0</v>
      </c>
      <c r="W33" s="538">
        <f t="shared" si="5"/>
        <v>0</v>
      </c>
    </row>
    <row r="34" spans="1:24" ht="25.5">
      <c r="A34" s="179" t="s">
        <v>39</v>
      </c>
      <c r="B34" s="214" t="s">
        <v>2588</v>
      </c>
      <c r="C34" s="621"/>
      <c r="D34" s="619"/>
      <c r="E34" s="619"/>
      <c r="F34" s="619"/>
      <c r="G34" s="619"/>
      <c r="H34" s="621" t="s">
        <v>2589</v>
      </c>
      <c r="I34" s="192">
        <v>0</v>
      </c>
      <c r="J34" s="2550">
        <f>+I34</f>
        <v>0</v>
      </c>
      <c r="K34" s="2219">
        <v>0</v>
      </c>
      <c r="L34" s="192">
        <f t="shared" si="12"/>
        <v>0</v>
      </c>
      <c r="M34" s="192">
        <f t="shared" si="12"/>
        <v>0</v>
      </c>
      <c r="N34" s="192">
        <f t="shared" si="12"/>
        <v>0</v>
      </c>
      <c r="O34" s="192">
        <f t="shared" si="12"/>
        <v>0</v>
      </c>
      <c r="P34" s="538">
        <v>0</v>
      </c>
      <c r="Q34" s="193"/>
      <c r="R34" s="192">
        <f t="shared" si="1"/>
        <v>0</v>
      </c>
      <c r="S34" s="192">
        <f t="shared" si="2"/>
        <v>0</v>
      </c>
      <c r="T34" s="192">
        <f t="shared" si="3"/>
        <v>0</v>
      </c>
      <c r="U34" s="192">
        <f t="shared" si="4"/>
        <v>0</v>
      </c>
      <c r="W34" s="538">
        <f t="shared" si="5"/>
        <v>0</v>
      </c>
    </row>
    <row r="35" spans="1:24" ht="25.5">
      <c r="A35" s="179" t="s">
        <v>41</v>
      </c>
      <c r="B35" s="213" t="s">
        <v>2590</v>
      </c>
      <c r="C35" s="622"/>
      <c r="D35" s="623"/>
      <c r="E35" s="623"/>
      <c r="F35" s="623"/>
      <c r="G35" s="623"/>
      <c r="H35" s="622" t="s">
        <v>2591</v>
      </c>
      <c r="I35" s="209">
        <f t="shared" ref="I35:P35" si="13">+I28+I32+I33+I34</f>
        <v>18000000</v>
      </c>
      <c r="J35" s="2549">
        <f t="shared" si="13"/>
        <v>2307846</v>
      </c>
      <c r="K35" s="2347">
        <f t="shared" si="13"/>
        <v>8000000</v>
      </c>
      <c r="L35" s="209">
        <f t="shared" si="13"/>
        <v>8000000</v>
      </c>
      <c r="M35" s="209">
        <f t="shared" si="13"/>
        <v>8000000</v>
      </c>
      <c r="N35" s="209">
        <f t="shared" si="13"/>
        <v>8000000</v>
      </c>
      <c r="O35" s="209">
        <f t="shared" si="13"/>
        <v>8000000</v>
      </c>
      <c r="P35" s="245">
        <f t="shared" si="13"/>
        <v>0</v>
      </c>
      <c r="Q35" s="210">
        <f>+P35/N35</f>
        <v>0</v>
      </c>
      <c r="R35" s="209">
        <f t="shared" si="1"/>
        <v>0</v>
      </c>
      <c r="S35" s="209">
        <f t="shared" si="2"/>
        <v>0</v>
      </c>
      <c r="T35" s="209">
        <f t="shared" si="3"/>
        <v>0</v>
      </c>
      <c r="U35" s="209">
        <f t="shared" si="4"/>
        <v>0</v>
      </c>
      <c r="W35" s="245">
        <f t="shared" si="5"/>
        <v>8000000</v>
      </c>
    </row>
    <row r="36" spans="1:24" ht="25.5">
      <c r="A36" s="179" t="s">
        <v>314</v>
      </c>
      <c r="B36" s="214" t="s">
        <v>2592</v>
      </c>
      <c r="C36" s="621"/>
      <c r="D36" s="619"/>
      <c r="E36" s="619"/>
      <c r="F36" s="619"/>
      <c r="G36" s="619"/>
      <c r="H36" s="621" t="s">
        <v>2584</v>
      </c>
      <c r="I36" s="192">
        <v>0</v>
      </c>
      <c r="J36" s="2550">
        <f>+I36</f>
        <v>0</v>
      </c>
      <c r="K36" s="2219">
        <v>0</v>
      </c>
      <c r="L36" s="192">
        <f t="shared" ref="L36:O39" si="14">+K36</f>
        <v>0</v>
      </c>
      <c r="M36" s="192">
        <f t="shared" si="14"/>
        <v>0</v>
      </c>
      <c r="N36" s="192">
        <f t="shared" si="14"/>
        <v>0</v>
      </c>
      <c r="O36" s="192">
        <f t="shared" si="14"/>
        <v>0</v>
      </c>
      <c r="P36" s="538">
        <v>0</v>
      </c>
      <c r="Q36" s="193"/>
      <c r="R36" s="192">
        <f t="shared" si="1"/>
        <v>0</v>
      </c>
      <c r="S36" s="192">
        <f t="shared" si="2"/>
        <v>0</v>
      </c>
      <c r="T36" s="192">
        <f t="shared" si="3"/>
        <v>0</v>
      </c>
      <c r="U36" s="192">
        <f t="shared" si="4"/>
        <v>0</v>
      </c>
      <c r="W36" s="538">
        <f t="shared" si="5"/>
        <v>0</v>
      </c>
    </row>
    <row r="37" spans="1:24">
      <c r="A37" s="179" t="s">
        <v>402</v>
      </c>
      <c r="B37" s="214" t="s">
        <v>2593</v>
      </c>
      <c r="C37" s="621"/>
      <c r="D37" s="619"/>
      <c r="E37" s="619"/>
      <c r="F37" s="619"/>
      <c r="G37" s="619"/>
      <c r="H37" s="620" t="s">
        <v>2594</v>
      </c>
      <c r="I37" s="192">
        <v>0</v>
      </c>
      <c r="J37" s="2550">
        <f>+I37</f>
        <v>0</v>
      </c>
      <c r="K37" s="2219">
        <v>0</v>
      </c>
      <c r="L37" s="192">
        <f t="shared" si="14"/>
        <v>0</v>
      </c>
      <c r="M37" s="192">
        <f t="shared" si="14"/>
        <v>0</v>
      </c>
      <c r="N37" s="192">
        <f t="shared" si="14"/>
        <v>0</v>
      </c>
      <c r="O37" s="192">
        <f t="shared" si="14"/>
        <v>0</v>
      </c>
      <c r="P37" s="538">
        <v>0</v>
      </c>
      <c r="Q37" s="193"/>
      <c r="R37" s="192">
        <f t="shared" si="1"/>
        <v>0</v>
      </c>
      <c r="S37" s="192">
        <f t="shared" si="2"/>
        <v>0</v>
      </c>
      <c r="T37" s="192">
        <f t="shared" si="3"/>
        <v>0</v>
      </c>
      <c r="U37" s="192">
        <f t="shared" si="4"/>
        <v>0</v>
      </c>
      <c r="W37" s="538">
        <f t="shared" si="5"/>
        <v>0</v>
      </c>
    </row>
    <row r="38" spans="1:24" hidden="1">
      <c r="A38" s="179"/>
      <c r="B38" s="214" t="s">
        <v>2595</v>
      </c>
      <c r="C38" s="621" t="s">
        <v>512</v>
      </c>
      <c r="D38" s="619" t="s">
        <v>2583</v>
      </c>
      <c r="E38" s="619">
        <v>3</v>
      </c>
      <c r="F38" s="621" t="s">
        <v>1113</v>
      </c>
      <c r="G38" s="619">
        <v>9990001</v>
      </c>
      <c r="H38" s="620" t="s">
        <v>2596</v>
      </c>
      <c r="I38" s="192">
        <v>0</v>
      </c>
      <c r="J38" s="2550">
        <f>+I38</f>
        <v>0</v>
      </c>
      <c r="K38" s="2219">
        <v>0</v>
      </c>
      <c r="L38" s="192">
        <f t="shared" si="14"/>
        <v>0</v>
      </c>
      <c r="M38" s="192">
        <f t="shared" si="14"/>
        <v>0</v>
      </c>
      <c r="N38" s="192">
        <f t="shared" si="14"/>
        <v>0</v>
      </c>
      <c r="O38" s="192">
        <f t="shared" si="14"/>
        <v>0</v>
      </c>
      <c r="P38" s="538">
        <f>+O38</f>
        <v>0</v>
      </c>
      <c r="Q38" s="193" t="e">
        <f t="shared" ref="Q38:Q43" si="15">+K38/I38</f>
        <v>#DIV/0!</v>
      </c>
      <c r="R38" s="192">
        <f t="shared" si="1"/>
        <v>0</v>
      </c>
      <c r="S38" s="192">
        <f t="shared" si="2"/>
        <v>0</v>
      </c>
      <c r="T38" s="192">
        <f t="shared" si="3"/>
        <v>0</v>
      </c>
      <c r="U38" s="192">
        <f t="shared" si="4"/>
        <v>0</v>
      </c>
      <c r="W38" s="538">
        <f t="shared" si="5"/>
        <v>0</v>
      </c>
    </row>
    <row r="39" spans="1:24">
      <c r="A39" s="179" t="s">
        <v>404</v>
      </c>
      <c r="B39" s="214" t="s">
        <v>3046</v>
      </c>
      <c r="C39" s="621" t="s">
        <v>656</v>
      </c>
      <c r="D39" s="619" t="s">
        <v>2597</v>
      </c>
      <c r="E39" s="619">
        <v>3</v>
      </c>
      <c r="F39" s="621" t="s">
        <v>1113</v>
      </c>
      <c r="G39" s="619">
        <v>9990001</v>
      </c>
      <c r="H39" s="620" t="s">
        <v>2596</v>
      </c>
      <c r="I39" s="192">
        <f>5000000</f>
        <v>5000000</v>
      </c>
      <c r="J39" s="2550">
        <v>0</v>
      </c>
      <c r="K39" s="2219">
        <f>5000000-3000000</f>
        <v>2000000</v>
      </c>
      <c r="L39" s="192">
        <f t="shared" si="14"/>
        <v>2000000</v>
      </c>
      <c r="M39" s="192">
        <f t="shared" si="14"/>
        <v>2000000</v>
      </c>
      <c r="N39" s="192">
        <f t="shared" si="14"/>
        <v>2000000</v>
      </c>
      <c r="O39" s="192">
        <f t="shared" si="14"/>
        <v>2000000</v>
      </c>
      <c r="P39" s="538">
        <v>0</v>
      </c>
      <c r="Q39" s="193">
        <f>+P39/N39</f>
        <v>0</v>
      </c>
      <c r="R39" s="192">
        <f t="shared" si="1"/>
        <v>0</v>
      </c>
      <c r="S39" s="192">
        <f t="shared" si="2"/>
        <v>0</v>
      </c>
      <c r="T39" s="192">
        <f t="shared" si="3"/>
        <v>0</v>
      </c>
      <c r="U39" s="192">
        <f t="shared" si="4"/>
        <v>0</v>
      </c>
      <c r="W39" s="603">
        <f t="shared" si="5"/>
        <v>2000000</v>
      </c>
      <c r="X39" s="2529"/>
    </row>
    <row r="40" spans="1:24">
      <c r="A40" s="179" t="s">
        <v>407</v>
      </c>
      <c r="B40" s="213" t="s">
        <v>2598</v>
      </c>
      <c r="C40" s="622"/>
      <c r="D40" s="623"/>
      <c r="E40" s="623"/>
      <c r="F40" s="623"/>
      <c r="G40" s="623"/>
      <c r="H40" s="617" t="s">
        <v>2599</v>
      </c>
      <c r="I40" s="209">
        <f t="shared" ref="I40:P40" si="16">SUM(I36:I39)</f>
        <v>5000000</v>
      </c>
      <c r="J40" s="2549">
        <f t="shared" si="16"/>
        <v>0</v>
      </c>
      <c r="K40" s="2347">
        <f t="shared" si="16"/>
        <v>2000000</v>
      </c>
      <c r="L40" s="209">
        <f t="shared" si="16"/>
        <v>2000000</v>
      </c>
      <c r="M40" s="209">
        <f t="shared" si="16"/>
        <v>2000000</v>
      </c>
      <c r="N40" s="209">
        <f t="shared" si="16"/>
        <v>2000000</v>
      </c>
      <c r="O40" s="209">
        <f t="shared" si="16"/>
        <v>2000000</v>
      </c>
      <c r="P40" s="245">
        <f t="shared" si="16"/>
        <v>0</v>
      </c>
      <c r="Q40" s="210">
        <f>+P40/N40</f>
        <v>0</v>
      </c>
      <c r="R40" s="192">
        <f t="shared" si="1"/>
        <v>0</v>
      </c>
      <c r="S40" s="192">
        <f t="shared" si="2"/>
        <v>0</v>
      </c>
      <c r="T40" s="192">
        <f t="shared" si="3"/>
        <v>0</v>
      </c>
      <c r="U40" s="192">
        <f t="shared" si="4"/>
        <v>0</v>
      </c>
      <c r="W40" s="245">
        <f t="shared" si="5"/>
        <v>2000000</v>
      </c>
    </row>
    <row r="41" spans="1:24" ht="25.5" hidden="1">
      <c r="A41" s="179"/>
      <c r="B41" s="214" t="s">
        <v>2600</v>
      </c>
      <c r="C41" s="621"/>
      <c r="D41" s="619"/>
      <c r="E41" s="619"/>
      <c r="F41" s="619"/>
      <c r="G41" s="619"/>
      <c r="H41" s="620" t="s">
        <v>2601</v>
      </c>
      <c r="I41" s="192"/>
      <c r="J41" s="2550"/>
      <c r="K41" s="2219"/>
      <c r="L41" s="192"/>
      <c r="M41" s="192"/>
      <c r="N41" s="192"/>
      <c r="O41" s="192"/>
      <c r="P41" s="538"/>
      <c r="Q41" s="193" t="e">
        <f t="shared" si="15"/>
        <v>#DIV/0!</v>
      </c>
      <c r="R41" s="192">
        <f t="shared" si="1"/>
        <v>0</v>
      </c>
      <c r="S41" s="192">
        <f t="shared" si="2"/>
        <v>0</v>
      </c>
      <c r="T41" s="192">
        <f t="shared" si="3"/>
        <v>0</v>
      </c>
      <c r="U41" s="192">
        <f t="shared" si="4"/>
        <v>0</v>
      </c>
      <c r="W41" s="538">
        <f t="shared" si="5"/>
        <v>0</v>
      </c>
    </row>
    <row r="42" spans="1:24" ht="38.25">
      <c r="A42" s="179" t="s">
        <v>409</v>
      </c>
      <c r="B42" s="214" t="s">
        <v>2602</v>
      </c>
      <c r="C42" s="621" t="s">
        <v>574</v>
      </c>
      <c r="D42" s="619" t="s">
        <v>2603</v>
      </c>
      <c r="E42">
        <v>2</v>
      </c>
      <c r="F42" s="621" t="s">
        <v>1131</v>
      </c>
      <c r="G42" s="619">
        <v>931102</v>
      </c>
      <c r="H42" s="620" t="s">
        <v>2604</v>
      </c>
      <c r="I42" s="192">
        <f>45720000+40590618</f>
        <v>86310618</v>
      </c>
      <c r="J42" s="2550">
        <v>81379952</v>
      </c>
      <c r="K42" s="2219">
        <f>4930666+228600000-1464620</f>
        <v>232066046</v>
      </c>
      <c r="L42" s="192">
        <f>+K42-4930666</f>
        <v>227135380</v>
      </c>
      <c r="M42" s="192">
        <f>+L42</f>
        <v>227135380</v>
      </c>
      <c r="N42" s="192">
        <f>+M42-10966519</f>
        <v>216168861</v>
      </c>
      <c r="O42" s="192">
        <f>+N42</f>
        <v>216168861</v>
      </c>
      <c r="P42" s="538">
        <f>216168861</f>
        <v>216168861</v>
      </c>
      <c r="Q42" s="193">
        <f>+P42/N42</f>
        <v>1</v>
      </c>
      <c r="R42" s="192">
        <f t="shared" si="1"/>
        <v>-4930666</v>
      </c>
      <c r="S42" s="192">
        <f t="shared" si="2"/>
        <v>0</v>
      </c>
      <c r="T42" s="192">
        <f t="shared" si="3"/>
        <v>-10966519</v>
      </c>
      <c r="U42" s="192">
        <f t="shared" si="4"/>
        <v>0</v>
      </c>
      <c r="V42" s="172">
        <f>180000000*1.27-227135380</f>
        <v>1464620</v>
      </c>
      <c r="W42" s="603">
        <f t="shared" si="5"/>
        <v>0</v>
      </c>
    </row>
    <row r="43" spans="1:24" hidden="1">
      <c r="A43" s="179"/>
      <c r="B43" s="214"/>
      <c r="C43" s="621"/>
      <c r="D43" s="619"/>
      <c r="E43" s="619"/>
      <c r="F43" s="619"/>
      <c r="G43" s="619"/>
      <c r="H43" s="620" t="s">
        <v>2605</v>
      </c>
      <c r="I43" s="192"/>
      <c r="J43" s="2550">
        <f>+I43</f>
        <v>0</v>
      </c>
      <c r="K43" s="2219"/>
      <c r="L43" s="192">
        <f t="shared" ref="L43:N44" si="17">+K43</f>
        <v>0</v>
      </c>
      <c r="M43" s="192">
        <f t="shared" si="17"/>
        <v>0</v>
      </c>
      <c r="N43" s="192">
        <f t="shared" si="17"/>
        <v>0</v>
      </c>
      <c r="O43" s="192"/>
      <c r="P43" s="538"/>
      <c r="Q43" s="193" t="e">
        <f t="shared" si="15"/>
        <v>#DIV/0!</v>
      </c>
      <c r="R43" s="192">
        <f t="shared" si="1"/>
        <v>0</v>
      </c>
      <c r="S43" s="192">
        <f t="shared" si="2"/>
        <v>0</v>
      </c>
      <c r="T43" s="192">
        <f t="shared" si="3"/>
        <v>0</v>
      </c>
      <c r="U43" s="192">
        <f t="shared" si="4"/>
        <v>0</v>
      </c>
      <c r="W43" s="538">
        <f t="shared" si="5"/>
        <v>0</v>
      </c>
    </row>
    <row r="44" spans="1:24" ht="25.5">
      <c r="A44" s="179" t="s">
        <v>410</v>
      </c>
      <c r="B44" s="214" t="s">
        <v>2606</v>
      </c>
      <c r="C44" s="621" t="s">
        <v>574</v>
      </c>
      <c r="D44" s="619" t="s">
        <v>2607</v>
      </c>
      <c r="E44" s="619">
        <v>3</v>
      </c>
      <c r="F44" s="621" t="s">
        <v>1134</v>
      </c>
      <c r="G44" s="619">
        <v>9990001</v>
      </c>
      <c r="H44" s="620" t="s">
        <v>2604</v>
      </c>
      <c r="I44" s="192">
        <f>0</f>
        <v>0</v>
      </c>
      <c r="J44" s="2550">
        <v>0</v>
      </c>
      <c r="K44" s="2219">
        <f>0</f>
        <v>0</v>
      </c>
      <c r="L44" s="192">
        <f t="shared" si="17"/>
        <v>0</v>
      </c>
      <c r="M44" s="192">
        <f t="shared" si="17"/>
        <v>0</v>
      </c>
      <c r="N44" s="192">
        <f t="shared" si="17"/>
        <v>0</v>
      </c>
      <c r="O44" s="192">
        <f>+N44</f>
        <v>0</v>
      </c>
      <c r="P44" s="538">
        <v>0</v>
      </c>
      <c r="Q44" s="193"/>
      <c r="R44" s="192">
        <f t="shared" si="1"/>
        <v>0</v>
      </c>
      <c r="S44" s="192">
        <f t="shared" si="2"/>
        <v>0</v>
      </c>
      <c r="T44" s="192"/>
      <c r="U44" s="192"/>
      <c r="W44" s="1023">
        <f t="shared" si="5"/>
        <v>0</v>
      </c>
    </row>
    <row r="45" spans="1:24" ht="25.5">
      <c r="A45" s="179" t="s">
        <v>411</v>
      </c>
      <c r="B45" s="213" t="s">
        <v>2608</v>
      </c>
      <c r="C45" s="622"/>
      <c r="D45" s="623"/>
      <c r="E45" s="623"/>
      <c r="F45" s="623"/>
      <c r="G45" s="623"/>
      <c r="H45" s="617" t="s">
        <v>2609</v>
      </c>
      <c r="I45" s="209">
        <f t="shared" ref="I45:P45" si="18">SUM(I41:I44)</f>
        <v>86310618</v>
      </c>
      <c r="J45" s="2549">
        <f t="shared" si="18"/>
        <v>81379952</v>
      </c>
      <c r="K45" s="2347">
        <f t="shared" si="18"/>
        <v>232066046</v>
      </c>
      <c r="L45" s="209">
        <f t="shared" si="18"/>
        <v>227135380</v>
      </c>
      <c r="M45" s="209">
        <f t="shared" si="18"/>
        <v>227135380</v>
      </c>
      <c r="N45" s="209">
        <f t="shared" si="18"/>
        <v>216168861</v>
      </c>
      <c r="O45" s="209">
        <f t="shared" si="18"/>
        <v>216168861</v>
      </c>
      <c r="P45" s="245">
        <f t="shared" si="18"/>
        <v>216168861</v>
      </c>
      <c r="Q45" s="210">
        <f t="shared" ref="Q45:Q50" si="19">+P45/N45</f>
        <v>1</v>
      </c>
      <c r="R45" s="209">
        <f t="shared" si="1"/>
        <v>-4930666</v>
      </c>
      <c r="S45" s="209">
        <f t="shared" ref="S45:S57" si="20">+M45-L45</f>
        <v>0</v>
      </c>
      <c r="T45" s="209">
        <f t="shared" ref="T45:T57" si="21">+N45-M45</f>
        <v>-10966519</v>
      </c>
      <c r="U45" s="209">
        <f t="shared" ref="U45:U57" si="22">+O45-N45</f>
        <v>0</v>
      </c>
      <c r="W45" s="245">
        <f t="shared" si="5"/>
        <v>0</v>
      </c>
    </row>
    <row r="46" spans="1:24" ht="25.5">
      <c r="A46" s="179" t="s">
        <v>412</v>
      </c>
      <c r="B46" s="214" t="s">
        <v>3044</v>
      </c>
      <c r="C46" s="621" t="s">
        <v>736</v>
      </c>
      <c r="D46" s="619" t="s">
        <v>2610</v>
      </c>
      <c r="E46" s="619">
        <v>2</v>
      </c>
      <c r="F46" s="621" t="s">
        <v>751</v>
      </c>
      <c r="G46" s="619">
        <v>6800011</v>
      </c>
      <c r="H46" s="620" t="s">
        <v>2611</v>
      </c>
      <c r="I46" s="192">
        <f>5000000</f>
        <v>5000000</v>
      </c>
      <c r="J46" s="2550">
        <v>0</v>
      </c>
      <c r="K46" s="2219">
        <f>5000000</f>
        <v>5000000</v>
      </c>
      <c r="L46" s="192">
        <f>+K46</f>
        <v>5000000</v>
      </c>
      <c r="M46" s="192">
        <f t="shared" ref="M46:O50" si="23">+L46</f>
        <v>5000000</v>
      </c>
      <c r="N46" s="192">
        <f t="shared" si="23"/>
        <v>5000000</v>
      </c>
      <c r="O46" s="192">
        <f t="shared" si="23"/>
        <v>5000000</v>
      </c>
      <c r="P46" s="538">
        <v>0</v>
      </c>
      <c r="Q46" s="193">
        <f t="shared" si="19"/>
        <v>0</v>
      </c>
      <c r="R46" s="192">
        <f t="shared" si="1"/>
        <v>0</v>
      </c>
      <c r="S46" s="192">
        <f t="shared" si="20"/>
        <v>0</v>
      </c>
      <c r="T46" s="192">
        <f t="shared" si="21"/>
        <v>0</v>
      </c>
      <c r="U46" s="192">
        <f t="shared" si="22"/>
        <v>0</v>
      </c>
      <c r="W46" s="603">
        <f t="shared" si="5"/>
        <v>5000000</v>
      </c>
    </row>
    <row r="47" spans="1:24" s="203" customFormat="1" ht="15.75" hidden="1" customHeight="1">
      <c r="A47" s="196" t="s">
        <v>2392</v>
      </c>
      <c r="B47" s="530" t="s">
        <v>3205</v>
      </c>
      <c r="C47" s="718" t="s">
        <v>512</v>
      </c>
      <c r="D47" s="634" t="s">
        <v>3235</v>
      </c>
      <c r="E47" s="634">
        <v>3</v>
      </c>
      <c r="F47" s="718" t="s">
        <v>1043</v>
      </c>
      <c r="G47" s="634">
        <v>9990001</v>
      </c>
      <c r="H47" s="635" t="s">
        <v>2612</v>
      </c>
      <c r="I47" s="199">
        <f>0</f>
        <v>0</v>
      </c>
      <c r="J47" s="2555">
        <f>+I47</f>
        <v>0</v>
      </c>
      <c r="K47" s="2250">
        <f>0</f>
        <v>0</v>
      </c>
      <c r="L47" s="199">
        <f>+K47</f>
        <v>0</v>
      </c>
      <c r="M47" s="199">
        <f t="shared" si="23"/>
        <v>0</v>
      </c>
      <c r="N47" s="199">
        <f t="shared" si="23"/>
        <v>0</v>
      </c>
      <c r="O47" s="199">
        <f t="shared" si="23"/>
        <v>0</v>
      </c>
      <c r="P47" s="626"/>
      <c r="Q47" s="193" t="e">
        <f t="shared" si="19"/>
        <v>#DIV/0!</v>
      </c>
      <c r="R47" s="199">
        <f t="shared" si="1"/>
        <v>0</v>
      </c>
      <c r="S47" s="199">
        <f t="shared" si="20"/>
        <v>0</v>
      </c>
      <c r="T47" s="199">
        <f t="shared" si="21"/>
        <v>0</v>
      </c>
      <c r="U47" s="199">
        <f t="shared" si="22"/>
        <v>0</v>
      </c>
      <c r="W47" s="1022">
        <f t="shared" si="5"/>
        <v>0</v>
      </c>
    </row>
    <row r="48" spans="1:24" s="203" customFormat="1" ht="12.75" hidden="1" customHeight="1">
      <c r="A48" s="196"/>
      <c r="B48" s="530" t="s">
        <v>2613</v>
      </c>
      <c r="C48" s="718" t="s">
        <v>512</v>
      </c>
      <c r="D48" s="634" t="s">
        <v>2614</v>
      </c>
      <c r="E48" s="634">
        <v>3</v>
      </c>
      <c r="F48" s="718" t="s">
        <v>601</v>
      </c>
      <c r="G48" s="634">
        <v>9990001</v>
      </c>
      <c r="H48" s="635" t="s">
        <v>2615</v>
      </c>
      <c r="I48" s="199">
        <v>0</v>
      </c>
      <c r="J48" s="2555">
        <f>+I48</f>
        <v>0</v>
      </c>
      <c r="K48" s="2250">
        <v>0</v>
      </c>
      <c r="L48" s="192">
        <f>+K48</f>
        <v>0</v>
      </c>
      <c r="M48" s="192">
        <f t="shared" si="23"/>
        <v>0</v>
      </c>
      <c r="N48" s="192">
        <f t="shared" si="23"/>
        <v>0</v>
      </c>
      <c r="O48" s="192">
        <f t="shared" si="23"/>
        <v>0</v>
      </c>
      <c r="P48" s="626">
        <f>+O48</f>
        <v>0</v>
      </c>
      <c r="Q48" s="193" t="e">
        <f t="shared" si="19"/>
        <v>#DIV/0!</v>
      </c>
      <c r="R48" s="192">
        <f t="shared" si="1"/>
        <v>0</v>
      </c>
      <c r="S48" s="192">
        <f t="shared" si="20"/>
        <v>0</v>
      </c>
      <c r="T48" s="192">
        <f t="shared" si="21"/>
        <v>0</v>
      </c>
      <c r="U48" s="192">
        <f t="shared" si="22"/>
        <v>0</v>
      </c>
      <c r="W48" s="626">
        <f t="shared" si="5"/>
        <v>0</v>
      </c>
    </row>
    <row r="49" spans="1:23" ht="12.75" hidden="1" customHeight="1">
      <c r="A49" s="196" t="s">
        <v>3283</v>
      </c>
      <c r="B49" s="214" t="s">
        <v>2616</v>
      </c>
      <c r="C49" s="621" t="s">
        <v>512</v>
      </c>
      <c r="D49" s="619" t="s">
        <v>3282</v>
      </c>
      <c r="E49" s="619">
        <v>3</v>
      </c>
      <c r="F49" s="619" t="s">
        <v>1131</v>
      </c>
      <c r="G49" s="619"/>
      <c r="H49" s="635" t="s">
        <v>2612</v>
      </c>
      <c r="I49" s="192">
        <v>0</v>
      </c>
      <c r="J49" s="2550">
        <v>0</v>
      </c>
      <c r="K49" s="2219">
        <v>0</v>
      </c>
      <c r="L49" s="192">
        <f>+K49</f>
        <v>0</v>
      </c>
      <c r="M49" s="192">
        <f t="shared" si="23"/>
        <v>0</v>
      </c>
      <c r="N49" s="192">
        <f t="shared" si="23"/>
        <v>0</v>
      </c>
      <c r="O49" s="192">
        <f t="shared" si="23"/>
        <v>0</v>
      </c>
      <c r="P49" s="538"/>
      <c r="Q49" s="193" t="e">
        <f t="shared" si="19"/>
        <v>#DIV/0!</v>
      </c>
      <c r="R49" s="192">
        <f t="shared" si="1"/>
        <v>0</v>
      </c>
      <c r="S49" s="192">
        <f t="shared" si="20"/>
        <v>0</v>
      </c>
      <c r="T49" s="192">
        <f t="shared" si="21"/>
        <v>0</v>
      </c>
      <c r="U49" s="192">
        <f t="shared" si="22"/>
        <v>0</v>
      </c>
      <c r="W49" s="603">
        <f t="shared" si="5"/>
        <v>0</v>
      </c>
    </row>
    <row r="50" spans="1:23" s="203" customFormat="1" hidden="1">
      <c r="A50" s="196" t="s">
        <v>3577</v>
      </c>
      <c r="B50" s="530" t="s">
        <v>3576</v>
      </c>
      <c r="C50" s="718" t="s">
        <v>512</v>
      </c>
      <c r="D50" s="634" t="s">
        <v>2617</v>
      </c>
      <c r="E50" s="634">
        <v>3</v>
      </c>
      <c r="F50" s="634" t="s">
        <v>1131</v>
      </c>
      <c r="G50" s="634">
        <v>9990001</v>
      </c>
      <c r="H50" s="635" t="s">
        <v>2612</v>
      </c>
      <c r="I50" s="199">
        <f>445500</f>
        <v>445500</v>
      </c>
      <c r="J50" s="2555">
        <v>445500</v>
      </c>
      <c r="K50" s="2219">
        <f>0</f>
        <v>0</v>
      </c>
      <c r="L50" s="199">
        <f>+K50</f>
        <v>0</v>
      </c>
      <c r="M50" s="199">
        <f t="shared" si="23"/>
        <v>0</v>
      </c>
      <c r="N50" s="199">
        <f t="shared" si="23"/>
        <v>0</v>
      </c>
      <c r="O50" s="199">
        <f t="shared" si="23"/>
        <v>0</v>
      </c>
      <c r="P50" s="626"/>
      <c r="Q50" s="193" t="e">
        <f t="shared" si="19"/>
        <v>#DIV/0!</v>
      </c>
      <c r="R50" s="199">
        <f t="shared" si="1"/>
        <v>0</v>
      </c>
      <c r="S50" s="199">
        <f t="shared" si="20"/>
        <v>0</v>
      </c>
      <c r="T50" s="199">
        <f t="shared" si="21"/>
        <v>0</v>
      </c>
      <c r="U50" s="199">
        <f t="shared" si="22"/>
        <v>0</v>
      </c>
      <c r="W50" s="625">
        <f t="shared" si="5"/>
        <v>0</v>
      </c>
    </row>
    <row r="51" spans="1:23" s="174" customFormat="1">
      <c r="A51" s="179" t="s">
        <v>413</v>
      </c>
      <c r="B51" s="213" t="s">
        <v>3883</v>
      </c>
      <c r="C51" s="622" t="s">
        <v>512</v>
      </c>
      <c r="D51" s="623"/>
      <c r="E51" s="623">
        <v>3</v>
      </c>
      <c r="F51" s="623"/>
      <c r="G51" s="623"/>
      <c r="H51" s="617" t="s">
        <v>2618</v>
      </c>
      <c r="I51" s="209">
        <f>SUM(I47:I50)</f>
        <v>445500</v>
      </c>
      <c r="J51" s="2549">
        <f>SUM(J47:J50)</f>
        <v>445500</v>
      </c>
      <c r="K51" s="2347">
        <f t="shared" ref="K51:P51" si="24">SUM(K47:K50)</f>
        <v>0</v>
      </c>
      <c r="L51" s="209">
        <f t="shared" si="24"/>
        <v>0</v>
      </c>
      <c r="M51" s="209">
        <f>SUM(M47:M50)</f>
        <v>0</v>
      </c>
      <c r="N51" s="209">
        <f>SUM(N47:N50)</f>
        <v>0</v>
      </c>
      <c r="O51" s="209">
        <f>SUM(O47:O50)</f>
        <v>0</v>
      </c>
      <c r="P51" s="245">
        <f t="shared" si="24"/>
        <v>0</v>
      </c>
      <c r="Q51" s="193"/>
      <c r="R51" s="209">
        <f t="shared" si="1"/>
        <v>0</v>
      </c>
      <c r="S51" s="209">
        <f t="shared" si="20"/>
        <v>0</v>
      </c>
      <c r="T51" s="209">
        <f t="shared" si="21"/>
        <v>0</v>
      </c>
      <c r="U51" s="209">
        <f t="shared" si="22"/>
        <v>0</v>
      </c>
      <c r="W51" s="245">
        <f t="shared" si="5"/>
        <v>0</v>
      </c>
    </row>
    <row r="52" spans="1:23" ht="28.5" customHeight="1">
      <c r="A52" s="179" t="s">
        <v>417</v>
      </c>
      <c r="B52" s="214" t="s">
        <v>3047</v>
      </c>
      <c r="C52" s="621" t="s">
        <v>512</v>
      </c>
      <c r="D52" s="619" t="s">
        <v>2619</v>
      </c>
      <c r="E52" s="634">
        <v>3</v>
      </c>
      <c r="F52" s="621" t="s">
        <v>1043</v>
      </c>
      <c r="G52" s="619">
        <v>9990001</v>
      </c>
      <c r="H52" s="620" t="s">
        <v>2620</v>
      </c>
      <c r="I52" s="192">
        <f>25000000-15000000-3000000</f>
        <v>7000000</v>
      </c>
      <c r="J52" s="2550">
        <v>11730962</v>
      </c>
      <c r="K52" s="2219">
        <f>7000000</f>
        <v>7000000</v>
      </c>
      <c r="L52" s="192">
        <f>+K52+1391000</f>
        <v>8391000</v>
      </c>
      <c r="M52" s="192">
        <f>+L52+2110928+4077270</f>
        <v>14579198</v>
      </c>
      <c r="N52" s="192">
        <f>+M52+2400000</f>
        <v>16979198</v>
      </c>
      <c r="O52" s="192">
        <f t="shared" ref="L52:O55" si="25">+N52</f>
        <v>16979198</v>
      </c>
      <c r="P52" s="538">
        <v>16979198</v>
      </c>
      <c r="Q52" s="193">
        <f t="shared" ref="Q52:Q57" si="26">+P52/N52</f>
        <v>1</v>
      </c>
      <c r="R52" s="192">
        <f t="shared" si="1"/>
        <v>1391000</v>
      </c>
      <c r="S52" s="192">
        <f t="shared" si="20"/>
        <v>6188198</v>
      </c>
      <c r="T52" s="192">
        <f t="shared" si="21"/>
        <v>2400000</v>
      </c>
      <c r="U52" s="192">
        <f t="shared" si="22"/>
        <v>0</v>
      </c>
      <c r="W52" s="603">
        <f t="shared" si="5"/>
        <v>0</v>
      </c>
    </row>
    <row r="53" spans="1:23" ht="31.5" customHeight="1">
      <c r="A53" s="1594" t="s">
        <v>450</v>
      </c>
      <c r="B53" s="214" t="s">
        <v>4031</v>
      </c>
      <c r="C53" s="621" t="s">
        <v>1012</v>
      </c>
      <c r="D53" s="619" t="s">
        <v>2621</v>
      </c>
      <c r="E53" s="634">
        <v>3</v>
      </c>
      <c r="F53" s="621"/>
      <c r="G53" s="619"/>
      <c r="H53" s="620"/>
      <c r="I53" s="192">
        <v>0</v>
      </c>
      <c r="J53" s="2550">
        <v>5006607</v>
      </c>
      <c r="K53" s="2219">
        <f>10000000-10000000</f>
        <v>0</v>
      </c>
      <c r="L53" s="192">
        <f t="shared" si="25"/>
        <v>0</v>
      </c>
      <c r="M53" s="192">
        <f t="shared" si="25"/>
        <v>0</v>
      </c>
      <c r="N53" s="192">
        <f>+M53+51232129</f>
        <v>51232129</v>
      </c>
      <c r="O53" s="192">
        <f t="shared" si="25"/>
        <v>51232129</v>
      </c>
      <c r="P53" s="538">
        <f>21232129</f>
        <v>21232129</v>
      </c>
      <c r="Q53" s="193">
        <f t="shared" si="26"/>
        <v>0.41442995663912385</v>
      </c>
      <c r="R53" s="192">
        <f t="shared" si="1"/>
        <v>0</v>
      </c>
      <c r="S53" s="192">
        <f t="shared" si="20"/>
        <v>0</v>
      </c>
      <c r="T53" s="192">
        <f t="shared" si="21"/>
        <v>51232129</v>
      </c>
      <c r="U53" s="192">
        <f t="shared" si="22"/>
        <v>0</v>
      </c>
      <c r="W53" s="603">
        <f t="shared" si="5"/>
        <v>30000000</v>
      </c>
    </row>
    <row r="54" spans="1:23" ht="18.75" customHeight="1">
      <c r="A54" s="179" t="s">
        <v>1379</v>
      </c>
      <c r="B54" s="214" t="s">
        <v>4028</v>
      </c>
      <c r="C54" s="621"/>
      <c r="D54" s="619"/>
      <c r="E54" s="634"/>
      <c r="F54" s="621"/>
      <c r="G54" s="619"/>
      <c r="H54" s="620"/>
      <c r="I54" s="192">
        <f>0</f>
        <v>0</v>
      </c>
      <c r="J54" s="2550">
        <f>+I54</f>
        <v>0</v>
      </c>
      <c r="K54" s="2219">
        <f>0</f>
        <v>0</v>
      </c>
      <c r="L54" s="192">
        <f t="shared" si="25"/>
        <v>0</v>
      </c>
      <c r="M54" s="192">
        <f t="shared" si="25"/>
        <v>0</v>
      </c>
      <c r="N54" s="192">
        <f>+M54+7512385</f>
        <v>7512385</v>
      </c>
      <c r="O54" s="192">
        <f t="shared" si="25"/>
        <v>7512385</v>
      </c>
      <c r="P54" s="538">
        <f>0</f>
        <v>0</v>
      </c>
      <c r="Q54" s="193">
        <f t="shared" si="26"/>
        <v>0</v>
      </c>
      <c r="R54" s="192">
        <f t="shared" si="1"/>
        <v>0</v>
      </c>
      <c r="S54" s="192">
        <f t="shared" si="20"/>
        <v>0</v>
      </c>
      <c r="T54" s="192">
        <f t="shared" si="21"/>
        <v>7512385</v>
      </c>
      <c r="U54" s="192">
        <f t="shared" si="22"/>
        <v>0</v>
      </c>
      <c r="W54" s="603">
        <f t="shared" si="5"/>
        <v>7512385</v>
      </c>
    </row>
    <row r="55" spans="1:23" ht="30" customHeight="1">
      <c r="A55" s="179" t="s">
        <v>619</v>
      </c>
      <c r="B55" s="214" t="s">
        <v>3045</v>
      </c>
      <c r="C55" s="621" t="s">
        <v>1012</v>
      </c>
      <c r="D55" s="619" t="s">
        <v>2622</v>
      </c>
      <c r="E55" s="634">
        <v>3</v>
      </c>
      <c r="F55" s="621" t="s">
        <v>1134</v>
      </c>
      <c r="G55" s="619">
        <v>9990001</v>
      </c>
      <c r="H55" s="620" t="s">
        <v>2611</v>
      </c>
      <c r="I55" s="192">
        <f>1924320+1075680</f>
        <v>3000000</v>
      </c>
      <c r="J55" s="2550">
        <v>0</v>
      </c>
      <c r="K55" s="2219">
        <f>3000000-2000000</f>
        <v>1000000</v>
      </c>
      <c r="L55" s="192">
        <f t="shared" si="25"/>
        <v>1000000</v>
      </c>
      <c r="M55" s="192">
        <f t="shared" si="25"/>
        <v>1000000</v>
      </c>
      <c r="N55" s="192">
        <f t="shared" si="25"/>
        <v>1000000</v>
      </c>
      <c r="O55" s="192">
        <f t="shared" si="25"/>
        <v>1000000</v>
      </c>
      <c r="P55" s="538">
        <v>0</v>
      </c>
      <c r="Q55" s="193">
        <f t="shared" si="26"/>
        <v>0</v>
      </c>
      <c r="R55" s="192">
        <f t="shared" si="1"/>
        <v>0</v>
      </c>
      <c r="S55" s="192">
        <f t="shared" si="20"/>
        <v>0</v>
      </c>
      <c r="T55" s="192">
        <f t="shared" si="21"/>
        <v>0</v>
      </c>
      <c r="U55" s="192">
        <f t="shared" si="22"/>
        <v>0</v>
      </c>
      <c r="V55" s="172"/>
      <c r="W55" s="603">
        <f t="shared" si="5"/>
        <v>1000000</v>
      </c>
    </row>
    <row r="56" spans="1:23" ht="27" customHeight="1">
      <c r="A56" s="179" t="s">
        <v>629</v>
      </c>
      <c r="B56" s="213" t="s">
        <v>4029</v>
      </c>
      <c r="C56" s="622"/>
      <c r="D56" s="623"/>
      <c r="E56" s="623"/>
      <c r="F56" s="623"/>
      <c r="G56" s="623"/>
      <c r="H56" s="617" t="s">
        <v>2623</v>
      </c>
      <c r="I56" s="209">
        <f>SUM(I45:I55)-I47-I48-I50</f>
        <v>101756118</v>
      </c>
      <c r="J56" s="2549">
        <f>SUM(J45:J55)-J47-J48-J49-J50</f>
        <v>98563021</v>
      </c>
      <c r="K56" s="2347">
        <f>SUM(K45:K55)-K47-K48-K50</f>
        <v>245066046</v>
      </c>
      <c r="L56" s="209">
        <f>SUM(L45:L55)-L47-L48-L49-L50</f>
        <v>241526380</v>
      </c>
      <c r="M56" s="209">
        <f>SUM(M45:M55)-M47-M48-M49-M50</f>
        <v>247714578</v>
      </c>
      <c r="N56" s="209">
        <f>SUM(N45:N55)-N47-N48-N49-N50</f>
        <v>297892573</v>
      </c>
      <c r="O56" s="209">
        <f>SUM(O45:O55)-O47-O48-O49-O50</f>
        <v>297892573</v>
      </c>
      <c r="P56" s="245">
        <f>SUM(P45:P55)-P47-P48-P49-P50</f>
        <v>254380188</v>
      </c>
      <c r="Q56" s="210">
        <f t="shared" si="26"/>
        <v>0.85393262892794575</v>
      </c>
      <c r="R56" s="209">
        <f t="shared" si="1"/>
        <v>-3539666</v>
      </c>
      <c r="S56" s="209">
        <f t="shared" si="20"/>
        <v>6188198</v>
      </c>
      <c r="T56" s="209">
        <f t="shared" si="21"/>
        <v>50177995</v>
      </c>
      <c r="U56" s="209">
        <f t="shared" si="22"/>
        <v>0</v>
      </c>
      <c r="W56" s="245">
        <f t="shared" si="5"/>
        <v>43512385</v>
      </c>
    </row>
    <row r="57" spans="1:23" ht="39.75" customHeight="1">
      <c r="A57" s="179" t="s">
        <v>636</v>
      </c>
      <c r="B57" s="719" t="s">
        <v>4030</v>
      </c>
      <c r="C57" s="720"/>
      <c r="D57" s="721"/>
      <c r="E57" s="721"/>
      <c r="F57" s="722"/>
      <c r="G57" s="722"/>
      <c r="H57" s="723" t="s">
        <v>2321</v>
      </c>
      <c r="I57" s="684">
        <f t="shared" ref="I57:P57" si="27">+I7+I13+I14+I23+I24+I35+I40+I56</f>
        <v>124756118</v>
      </c>
      <c r="J57" s="2556">
        <f t="shared" si="27"/>
        <v>100870867</v>
      </c>
      <c r="K57" s="2371">
        <f t="shared" si="27"/>
        <v>255066046</v>
      </c>
      <c r="L57" s="684">
        <f t="shared" si="27"/>
        <v>251526380</v>
      </c>
      <c r="M57" s="684">
        <f t="shared" si="27"/>
        <v>257714578</v>
      </c>
      <c r="N57" s="684">
        <f t="shared" si="27"/>
        <v>307892573</v>
      </c>
      <c r="O57" s="684">
        <f t="shared" si="27"/>
        <v>307892573</v>
      </c>
      <c r="P57" s="685">
        <f t="shared" si="27"/>
        <v>254380188</v>
      </c>
      <c r="Q57" s="686">
        <f t="shared" si="26"/>
        <v>0.82619786999538958</v>
      </c>
      <c r="R57" s="684">
        <f t="shared" si="1"/>
        <v>-3539666</v>
      </c>
      <c r="S57" s="684">
        <f t="shared" si="20"/>
        <v>6188198</v>
      </c>
      <c r="T57" s="684">
        <f t="shared" si="21"/>
        <v>50177995</v>
      </c>
      <c r="U57" s="684">
        <f t="shared" si="22"/>
        <v>0</v>
      </c>
      <c r="V57" s="172">
        <f>+K29+K31+K39+K42+K46+K50+K52+K55</f>
        <v>255066046</v>
      </c>
      <c r="W57" s="685">
        <f t="shared" si="5"/>
        <v>53512385</v>
      </c>
    </row>
    <row r="58" spans="1:23" ht="18" hidden="1" customHeight="1">
      <c r="C58" s="724"/>
      <c r="D58" s="170"/>
      <c r="E58" s="170"/>
      <c r="F58" s="170"/>
      <c r="G58" s="170"/>
      <c r="H58" s="169"/>
      <c r="I58" s="169">
        <f>+I29+I31+I39+I42+I44+I46+I47+I49+I51+I52+I55</f>
        <v>124756118</v>
      </c>
      <c r="J58" s="169">
        <f t="shared" ref="J58:P58" si="28">+J29+J31+J39+J42+J44+J46+J47+J49+J51+J52+J53+J55</f>
        <v>100870867</v>
      </c>
      <c r="K58" s="2332">
        <f t="shared" si="28"/>
        <v>255066046</v>
      </c>
      <c r="L58" s="169">
        <f t="shared" si="28"/>
        <v>251526380</v>
      </c>
      <c r="M58" s="169">
        <f t="shared" si="28"/>
        <v>257714578</v>
      </c>
      <c r="N58" s="169">
        <f t="shared" si="28"/>
        <v>300380188</v>
      </c>
      <c r="O58" s="169">
        <f t="shared" si="28"/>
        <v>300380188</v>
      </c>
      <c r="P58" s="169">
        <f t="shared" si="28"/>
        <v>254380188</v>
      </c>
      <c r="W58" s="169"/>
    </row>
    <row r="59" spans="1:23" ht="18" hidden="1" customHeight="1">
      <c r="C59" s="724"/>
      <c r="D59" s="170"/>
      <c r="E59" s="170"/>
      <c r="F59" s="170"/>
      <c r="G59" s="170"/>
      <c r="H59" s="169"/>
      <c r="I59" s="169">
        <f>+I57-I58</f>
        <v>0</v>
      </c>
      <c r="J59" s="169">
        <f>+J57-J58</f>
        <v>0</v>
      </c>
      <c r="K59" s="2332">
        <f t="shared" ref="K59:P59" si="29">+K57-K58</f>
        <v>0</v>
      </c>
      <c r="L59" s="169">
        <f t="shared" si="29"/>
        <v>0</v>
      </c>
      <c r="M59" s="169">
        <f t="shared" si="29"/>
        <v>0</v>
      </c>
      <c r="N59" s="169">
        <f t="shared" si="29"/>
        <v>7512385</v>
      </c>
      <c r="O59" s="169">
        <f t="shared" si="29"/>
        <v>7512385</v>
      </c>
      <c r="P59" s="169">
        <f t="shared" si="29"/>
        <v>0</v>
      </c>
      <c r="W59" s="169"/>
    </row>
    <row r="60" spans="1:23" hidden="1">
      <c r="C60" s="724"/>
      <c r="D60" s="170"/>
      <c r="E60" s="170"/>
      <c r="F60" s="170"/>
      <c r="G60" s="170"/>
      <c r="H60" s="724"/>
      <c r="I60" s="212">
        <f t="shared" ref="I60:P60" si="30">+I57</f>
        <v>124756118</v>
      </c>
      <c r="J60" s="212">
        <f t="shared" si="30"/>
        <v>100870867</v>
      </c>
      <c r="K60" s="2333">
        <f t="shared" si="30"/>
        <v>255066046</v>
      </c>
      <c r="L60" s="212">
        <f t="shared" si="30"/>
        <v>251526380</v>
      </c>
      <c r="M60" s="212">
        <f t="shared" si="30"/>
        <v>257714578</v>
      </c>
      <c r="N60" s="212">
        <f t="shared" si="30"/>
        <v>307892573</v>
      </c>
      <c r="O60" s="212">
        <f t="shared" si="30"/>
        <v>307892573</v>
      </c>
      <c r="P60" s="212">
        <f t="shared" si="30"/>
        <v>254380188</v>
      </c>
      <c r="Q60" s="210"/>
      <c r="R60" s="212">
        <f>+R57</f>
        <v>-3539666</v>
      </c>
      <c r="S60" s="212">
        <f>+S57</f>
        <v>6188198</v>
      </c>
      <c r="T60" s="212">
        <f>+T57</f>
        <v>50177995</v>
      </c>
      <c r="U60" s="212">
        <f>+U57</f>
        <v>0</v>
      </c>
      <c r="W60" s="212"/>
    </row>
    <row r="61" spans="1:23" hidden="1">
      <c r="I61" s="169">
        <f>+I20+I29+I31+I39+I42+I44+I46+I47+I51+I52+I55</f>
        <v>124756118</v>
      </c>
      <c r="J61" s="169">
        <f>+J20+J29+J31+J39+J42+J44+J46+J47+J51+J52+J53+J55</f>
        <v>100870867</v>
      </c>
      <c r="K61" s="2332">
        <f t="shared" ref="K61:P61" si="31">+K20+K29+K31+K39+K42+K44+K46+K47+K51+K52+K53+K55</f>
        <v>255066046</v>
      </c>
      <c r="L61" s="169">
        <f t="shared" si="31"/>
        <v>251526380</v>
      </c>
      <c r="M61" s="169">
        <f t="shared" si="31"/>
        <v>257714578</v>
      </c>
      <c r="N61" s="169">
        <f t="shared" si="31"/>
        <v>300380188</v>
      </c>
      <c r="O61" s="169">
        <f t="shared" si="31"/>
        <v>300380188</v>
      </c>
      <c r="P61" s="169">
        <f t="shared" si="31"/>
        <v>254380188</v>
      </c>
      <c r="W61" s="169"/>
    </row>
  </sheetData>
  <sheetProtection algorithmName="SHA-512" hashValue="j2hwAKmQmHUW6w/IT3nXyFxh0/EAeKBUlMiqWFl8xMTvKcHMzIQhUYPNW1iAO+qgGl/RiUfyjM4QdTl0gho2oA==" saltValue="JyyJhiAj2H4yY9ZZuh4HJQ==" spinCount="100000" sheet="1" selectLockedCells="1" selectUnlockedCells="1"/>
  <mergeCells count="2">
    <mergeCell ref="A1:T1"/>
    <mergeCell ref="A2:T2"/>
  </mergeCells>
  <printOptions horizontalCentered="1"/>
  <pageMargins left="0.23622047244094491" right="0.23622047244094491" top="0.74803149606299213" bottom="0.74803149606299213" header="0.51181102362204722" footer="0.31496062992125984"/>
  <pageSetup paperSize="9" scale="70" firstPageNumber="0" fitToWidth="2" fitToHeight="2" orientation="portrait" r:id="rId1"/>
  <headerFooter alignWithMargins="0">
    <oddFooter>&amp;C&amp;"Arial CE,Félkövér"&amp;12&amp;P/&amp;N</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C9A3F-31DF-4AE9-B58A-B5CA6841AAFF}">
  <sheetPr>
    <tabColor theme="5" tint="0.39997558519241921"/>
  </sheetPr>
  <dimension ref="A1:AC49"/>
  <sheetViews>
    <sheetView view="pageBreakPreview" zoomScaleSheetLayoutView="100" workbookViewId="0">
      <pane xSplit="8" ySplit="6" topLeftCell="L28" activePane="bottomRight" state="frozen"/>
      <selection sqref="A1:Q1"/>
      <selection pane="topRight" sqref="A1:Q1"/>
      <selection pane="bottomLeft" sqref="A1:Q1"/>
      <selection pane="bottomRight" activeCell="P35" sqref="P35"/>
    </sheetView>
  </sheetViews>
  <sheetFormatPr defaultRowHeight="12.75"/>
  <cols>
    <col min="1" max="1" width="9.5703125" style="725" customWidth="1"/>
    <col min="2" max="2" width="47.140625" style="725" customWidth="1"/>
    <col min="3" max="3" width="5.7109375" style="726" hidden="1" customWidth="1"/>
    <col min="4" max="4" width="8.85546875" style="725" hidden="1" customWidth="1"/>
    <col min="5" max="5" width="3.7109375" style="725" hidden="1" customWidth="1"/>
    <col min="6" max="6" width="9.140625" style="725" hidden="1" customWidth="1"/>
    <col min="7" max="7" width="11.7109375" style="725" hidden="1" customWidth="1"/>
    <col min="8" max="8" width="8.5703125" style="727" hidden="1" customWidth="1"/>
    <col min="9" max="9" width="19.42578125" style="24" customWidth="1"/>
    <col min="10" max="10" width="19.28515625" style="24" customWidth="1"/>
    <col min="11" max="11" width="19.42578125" style="24" customWidth="1"/>
    <col min="12" max="14" width="20.42578125" style="24" customWidth="1"/>
    <col min="15" max="15" width="20.42578125" style="24" hidden="1" customWidth="1"/>
    <col min="16" max="16" width="19.42578125" style="24" customWidth="1"/>
    <col min="17" max="17" width="15.5703125" style="24" customWidth="1"/>
    <col min="18" max="18" width="19.28515625" style="24" hidden="1" customWidth="1"/>
    <col min="19" max="19" width="18" style="24" hidden="1" customWidth="1"/>
    <col min="20" max="20" width="18" style="24" bestFit="1" customWidth="1"/>
    <col min="21" max="21" width="15.5703125" style="24" hidden="1" customWidth="1"/>
    <col min="22" max="22" width="18.85546875" style="24" bestFit="1" customWidth="1"/>
    <col min="23" max="24" width="13.42578125" style="728" bestFit="1" customWidth="1"/>
    <col min="25" max="25" width="14.7109375" style="728" customWidth="1"/>
    <col min="26" max="26" width="13.42578125" style="728" customWidth="1"/>
    <col min="27" max="27" width="9.140625" style="728"/>
    <col min="28" max="28" width="19.42578125" style="728" customWidth="1"/>
    <col min="29" max="29" width="9.140625" style="728" customWidth="1"/>
    <col min="30" max="16384" width="9.140625" style="728"/>
  </cols>
  <sheetData>
    <row r="1" spans="1:28" s="247" customFormat="1" ht="17.25" customHeight="1">
      <c r="A1" s="3603" t="s">
        <v>2624</v>
      </c>
      <c r="B1" s="3603"/>
      <c r="C1" s="3603"/>
      <c r="D1" s="3603"/>
      <c r="E1" s="3603"/>
      <c r="F1" s="3603"/>
      <c r="G1" s="3603"/>
      <c r="H1" s="3603"/>
      <c r="I1" s="3603"/>
      <c r="J1" s="3603"/>
      <c r="K1" s="3603"/>
      <c r="L1" s="3603"/>
      <c r="M1" s="3603"/>
      <c r="N1" s="250"/>
      <c r="O1" s="250"/>
      <c r="P1" s="250"/>
      <c r="Q1" s="250"/>
      <c r="R1" s="250"/>
      <c r="S1" s="250"/>
      <c r="T1" s="250"/>
      <c r="U1" s="250"/>
      <c r="V1" s="250"/>
    </row>
    <row r="2" spans="1:28" ht="12.75" customHeight="1">
      <c r="A2" s="247"/>
      <c r="B2" s="3683"/>
      <c r="C2" s="3683"/>
      <c r="D2" s="3683"/>
      <c r="E2" s="3683"/>
      <c r="F2" s="3683"/>
      <c r="G2" s="3683"/>
      <c r="H2" s="3683"/>
      <c r="I2" s="3683"/>
      <c r="J2" s="3683"/>
      <c r="K2" s="3683"/>
      <c r="L2" s="20"/>
      <c r="M2" s="20"/>
      <c r="N2" s="20"/>
      <c r="O2" s="20"/>
      <c r="P2" s="20"/>
      <c r="Q2" s="729"/>
      <c r="R2" s="729"/>
      <c r="S2" s="729"/>
      <c r="T2" s="729"/>
      <c r="U2" s="729"/>
      <c r="V2" s="729"/>
    </row>
    <row r="3" spans="1:28" s="733" customFormat="1" ht="12" customHeight="1">
      <c r="A3" s="730"/>
      <c r="B3" s="730"/>
      <c r="C3" s="731"/>
      <c r="D3" s="730"/>
      <c r="E3" s="730"/>
      <c r="F3" s="730"/>
      <c r="G3" s="730"/>
      <c r="H3" s="254"/>
      <c r="I3" s="178"/>
      <c r="J3" s="177"/>
      <c r="K3" s="178"/>
      <c r="L3" s="177"/>
      <c r="M3" s="177"/>
      <c r="N3" s="177"/>
      <c r="O3" s="177"/>
      <c r="P3" s="177"/>
      <c r="Q3" s="732"/>
      <c r="R3" s="732"/>
      <c r="S3" s="732"/>
      <c r="T3" s="732"/>
      <c r="U3" s="732"/>
      <c r="V3" s="732"/>
    </row>
    <row r="4" spans="1:28" ht="63.75" customHeight="1">
      <c r="A4" s="259" t="s">
        <v>502</v>
      </c>
      <c r="B4" s="506" t="s">
        <v>1333</v>
      </c>
      <c r="C4" s="258" t="s">
        <v>504</v>
      </c>
      <c r="D4" s="258" t="s">
        <v>505</v>
      </c>
      <c r="E4" s="258" t="s">
        <v>506</v>
      </c>
      <c r="F4" s="258" t="s">
        <v>507</v>
      </c>
      <c r="G4" s="258" t="s">
        <v>508</v>
      </c>
      <c r="H4" s="258" t="s">
        <v>509</v>
      </c>
      <c r="I4" s="256" t="str">
        <f>+'36. mell. E.felh.c.kiad.'!I4</f>
        <v>2024. évi eredeti előirányzat
forintban</v>
      </c>
      <c r="J4" s="256" t="str">
        <f>+'36. mell. E.felh.c.kiad.'!J4</f>
        <v>2024. évi teljesítés forintban</v>
      </c>
      <c r="K4" s="256" t="str">
        <f>+'36. mell. E.felh.c.kiad.'!K4</f>
        <v>2025. évi eredeti előirányzat forintban</v>
      </c>
      <c r="L4" s="256" t="str">
        <f>+'36. mell. E.felh.c.kiad.'!L4</f>
        <v>2025. évi I. számú módosított előirányzat
forintban</v>
      </c>
      <c r="M4" s="256" t="str">
        <f>+'36. mell. E.felh.c.kiad.'!M4</f>
        <v>2025. évi II. számú módosított előirányzat forintban</v>
      </c>
      <c r="N4" s="256" t="str">
        <f>+'36. mell. E.felh.c.kiad.'!N4</f>
        <v>2025. évi III. számú módosított előirányzat forintban</v>
      </c>
      <c r="O4" s="256" t="str">
        <f>+'36. mell. E.felh.c.kiad.'!O4</f>
        <v>2025. évi IV. számú módosított előirányzat forintban</v>
      </c>
      <c r="P4" s="601" t="str">
        <f>+'36. mell. E.felh.c.kiad.'!P4</f>
        <v>2025. évi
teljesítés forintban</v>
      </c>
      <c r="Q4" s="256" t="str">
        <f>+'36. mell. E.felh.c.kiad.'!Q4</f>
        <v xml:space="preserve"> 2025. évi teljesítés / 2025. évi III. számú módosított előirányzat</v>
      </c>
      <c r="R4" s="256" t="s">
        <v>172</v>
      </c>
      <c r="S4" s="256" t="s">
        <v>173</v>
      </c>
      <c r="T4" s="256" t="s">
        <v>174</v>
      </c>
      <c r="U4" s="256" t="s">
        <v>175</v>
      </c>
      <c r="V4" s="3013" t="s">
        <v>3984</v>
      </c>
      <c r="AB4" s="612" t="s">
        <v>3915</v>
      </c>
    </row>
    <row r="5" spans="1:28" ht="15.75" customHeight="1">
      <c r="A5" s="734"/>
      <c r="B5" s="735"/>
      <c r="C5" s="736"/>
      <c r="D5" s="735"/>
      <c r="E5" s="735"/>
      <c r="F5" s="734"/>
      <c r="G5" s="734"/>
      <c r="H5" s="734"/>
      <c r="I5" s="734"/>
      <c r="J5" s="734"/>
      <c r="K5" s="734"/>
      <c r="L5" s="734"/>
      <c r="M5" s="734"/>
      <c r="N5" s="734"/>
      <c r="O5" s="734"/>
      <c r="P5" s="737"/>
      <c r="Q5" s="734">
        <v>5</v>
      </c>
      <c r="R5" s="276"/>
      <c r="S5" s="276"/>
      <c r="T5" s="276"/>
      <c r="U5" s="276"/>
      <c r="V5" s="3014"/>
      <c r="AB5" s="2674"/>
    </row>
    <row r="6" spans="1:28">
      <c r="A6" s="259"/>
      <c r="B6" s="259" t="s">
        <v>166</v>
      </c>
      <c r="C6" s="260"/>
      <c r="D6" s="259"/>
      <c r="E6" s="259"/>
      <c r="F6" s="259"/>
      <c r="G6" s="259"/>
      <c r="H6" s="260"/>
      <c r="I6" s="260"/>
      <c r="J6" s="260"/>
      <c r="K6" s="738"/>
      <c r="L6" s="738"/>
      <c r="M6" s="738"/>
      <c r="N6" s="738"/>
      <c r="O6" s="738"/>
      <c r="P6" s="739"/>
      <c r="Q6" s="265"/>
      <c r="R6" s="265"/>
      <c r="S6" s="265"/>
      <c r="T6" s="265"/>
      <c r="U6" s="265"/>
      <c r="V6" s="289"/>
      <c r="AB6" s="2675"/>
    </row>
    <row r="7" spans="1:28" ht="25.5">
      <c r="A7" s="263"/>
      <c r="B7" s="263" t="s">
        <v>2625</v>
      </c>
      <c r="C7" s="258" t="s">
        <v>512</v>
      </c>
      <c r="D7" s="273" t="s">
        <v>2626</v>
      </c>
      <c r="E7" s="273">
        <v>2</v>
      </c>
      <c r="F7" s="273" t="s">
        <v>2627</v>
      </c>
      <c r="G7" s="273" t="s">
        <v>2628</v>
      </c>
      <c r="H7" s="264" t="s">
        <v>2629</v>
      </c>
      <c r="I7" s="265"/>
      <c r="J7" s="265">
        <v>0</v>
      </c>
      <c r="K7" s="265"/>
      <c r="L7" s="265">
        <f>+K7</f>
        <v>0</v>
      </c>
      <c r="M7" s="265">
        <f>+L7</f>
        <v>0</v>
      </c>
      <c r="N7" s="265">
        <f>+M7</f>
        <v>0</v>
      </c>
      <c r="O7" s="265">
        <f>+N7</f>
        <v>0</v>
      </c>
      <c r="P7" s="609">
        <v>0</v>
      </c>
      <c r="Q7" s="267"/>
      <c r="R7" s="265">
        <f t="shared" ref="R7:R43" si="0">+L7-K7</f>
        <v>0</v>
      </c>
      <c r="S7" s="265">
        <f t="shared" ref="S7:S43" si="1">+M7-L7</f>
        <v>0</v>
      </c>
      <c r="T7" s="265">
        <f t="shared" ref="T7:T43" si="2">+N7-M7</f>
        <v>0</v>
      </c>
      <c r="U7" s="265">
        <f t="shared" ref="U7:U43" si="3">+O7-N7</f>
        <v>0</v>
      </c>
      <c r="V7" s="289">
        <f>+N7-P7</f>
        <v>0</v>
      </c>
      <c r="AB7" s="245">
        <v>0</v>
      </c>
    </row>
    <row r="8" spans="1:28" ht="25.5">
      <c r="A8" s="263"/>
      <c r="B8" s="263" t="s">
        <v>2630</v>
      </c>
      <c r="C8" s="605"/>
      <c r="D8" s="263"/>
      <c r="E8" s="263"/>
      <c r="F8" s="263"/>
      <c r="G8" s="263"/>
      <c r="H8" s="264" t="s">
        <v>2631</v>
      </c>
      <c r="I8" s="738"/>
      <c r="J8" s="265"/>
      <c r="K8" s="738"/>
      <c r="L8" s="265"/>
      <c r="M8" s="265"/>
      <c r="N8" s="265"/>
      <c r="O8" s="265"/>
      <c r="P8" s="609"/>
      <c r="Q8" s="267"/>
      <c r="R8" s="265">
        <f t="shared" si="0"/>
        <v>0</v>
      </c>
      <c r="S8" s="265">
        <f t="shared" si="1"/>
        <v>0</v>
      </c>
      <c r="T8" s="265">
        <f t="shared" si="2"/>
        <v>0</v>
      </c>
      <c r="U8" s="265">
        <f t="shared" si="3"/>
        <v>0</v>
      </c>
      <c r="V8" s="289">
        <f t="shared" ref="V8:V43" si="4">+N8-P8</f>
        <v>0</v>
      </c>
      <c r="AB8" s="245"/>
    </row>
    <row r="9" spans="1:28">
      <c r="A9" s="268"/>
      <c r="B9" s="268" t="s">
        <v>2632</v>
      </c>
      <c r="C9" s="606"/>
      <c r="D9" s="268"/>
      <c r="E9" s="268"/>
      <c r="F9" s="268"/>
      <c r="G9" s="268"/>
      <c r="H9" s="269" t="s">
        <v>2633</v>
      </c>
      <c r="I9" s="276"/>
      <c r="J9" s="276">
        <v>0</v>
      </c>
      <c r="K9" s="276"/>
      <c r="L9" s="276">
        <f>SUM(L7:L8)</f>
        <v>0</v>
      </c>
      <c r="M9" s="276">
        <f>SUM(M7:M8)</f>
        <v>0</v>
      </c>
      <c r="N9" s="276">
        <f>SUM(N7:N8)</f>
        <v>0</v>
      </c>
      <c r="O9" s="276">
        <f>SUM(O7:O8)</f>
        <v>0</v>
      </c>
      <c r="P9" s="608">
        <f>SUM(P7:P8)</f>
        <v>0</v>
      </c>
      <c r="Q9" s="277"/>
      <c r="R9" s="276">
        <f t="shared" si="0"/>
        <v>0</v>
      </c>
      <c r="S9" s="276">
        <f t="shared" si="1"/>
        <v>0</v>
      </c>
      <c r="T9" s="276">
        <f t="shared" si="2"/>
        <v>0</v>
      </c>
      <c r="U9" s="276">
        <f t="shared" si="3"/>
        <v>0</v>
      </c>
      <c r="V9" s="3014">
        <f t="shared" si="4"/>
        <v>0</v>
      </c>
      <c r="AB9" s="2624">
        <v>0</v>
      </c>
    </row>
    <row r="10" spans="1:28">
      <c r="A10" s="263"/>
      <c r="B10" s="263" t="s">
        <v>2634</v>
      </c>
      <c r="C10" s="605"/>
      <c r="D10" s="263"/>
      <c r="E10" s="263"/>
      <c r="F10" s="263"/>
      <c r="G10" s="263"/>
      <c r="H10" s="273" t="s">
        <v>2635</v>
      </c>
      <c r="I10" s="276"/>
      <c r="J10" s="276"/>
      <c r="K10" s="276"/>
      <c r="L10" s="276"/>
      <c r="M10" s="276"/>
      <c r="N10" s="276"/>
      <c r="O10" s="276"/>
      <c r="P10" s="608"/>
      <c r="Q10" s="277"/>
      <c r="R10" s="276">
        <f t="shared" si="0"/>
        <v>0</v>
      </c>
      <c r="S10" s="276">
        <f t="shared" si="1"/>
        <v>0</v>
      </c>
      <c r="T10" s="276">
        <f t="shared" si="2"/>
        <v>0</v>
      </c>
      <c r="U10" s="276">
        <f t="shared" si="3"/>
        <v>0</v>
      </c>
      <c r="V10" s="3014">
        <f t="shared" si="4"/>
        <v>0</v>
      </c>
      <c r="AB10" s="2624"/>
    </row>
    <row r="11" spans="1:28">
      <c r="A11" s="263"/>
      <c r="B11" s="263" t="s">
        <v>2636</v>
      </c>
      <c r="C11" s="605"/>
      <c r="D11" s="263"/>
      <c r="E11" s="263"/>
      <c r="F11" s="263"/>
      <c r="G11" s="263"/>
      <c r="H11" s="273" t="s">
        <v>2637</v>
      </c>
      <c r="I11" s="276"/>
      <c r="J11" s="276"/>
      <c r="K11" s="276"/>
      <c r="L11" s="276"/>
      <c r="M11" s="276"/>
      <c r="N11" s="276"/>
      <c r="O11" s="276"/>
      <c r="P11" s="608"/>
      <c r="Q11" s="277"/>
      <c r="R11" s="276">
        <f t="shared" si="0"/>
        <v>0</v>
      </c>
      <c r="S11" s="276">
        <f t="shared" si="1"/>
        <v>0</v>
      </c>
      <c r="T11" s="276">
        <f t="shared" si="2"/>
        <v>0</v>
      </c>
      <c r="U11" s="276">
        <f t="shared" si="3"/>
        <v>0</v>
      </c>
      <c r="V11" s="3014">
        <f t="shared" si="4"/>
        <v>0</v>
      </c>
      <c r="AB11" s="2624"/>
    </row>
    <row r="12" spans="1:28" ht="12.75" customHeight="1">
      <c r="A12" s="268"/>
      <c r="B12" s="268" t="s">
        <v>366</v>
      </c>
      <c r="C12" s="606"/>
      <c r="D12" s="268"/>
      <c r="E12" s="268"/>
      <c r="F12" s="268"/>
      <c r="G12" s="268"/>
      <c r="H12" s="269" t="s">
        <v>2638</v>
      </c>
      <c r="I12" s="276">
        <f>SUM(I10:I11)</f>
        <v>0</v>
      </c>
      <c r="J12" s="276">
        <v>0</v>
      </c>
      <c r="K12" s="276">
        <f t="shared" ref="K12:P12" si="5">SUM(K10:K11)</f>
        <v>0</v>
      </c>
      <c r="L12" s="276">
        <f t="shared" si="5"/>
        <v>0</v>
      </c>
      <c r="M12" s="276">
        <f t="shared" si="5"/>
        <v>0</v>
      </c>
      <c r="N12" s="276">
        <f t="shared" si="5"/>
        <v>0</v>
      </c>
      <c r="O12" s="276">
        <f t="shared" si="5"/>
        <v>0</v>
      </c>
      <c r="P12" s="608">
        <f t="shared" si="5"/>
        <v>0</v>
      </c>
      <c r="Q12" s="277"/>
      <c r="R12" s="276">
        <f t="shared" si="0"/>
        <v>0</v>
      </c>
      <c r="S12" s="276">
        <f t="shared" si="1"/>
        <v>0</v>
      </c>
      <c r="T12" s="276">
        <f t="shared" si="2"/>
        <v>0</v>
      </c>
      <c r="U12" s="276">
        <f t="shared" si="3"/>
        <v>0</v>
      </c>
      <c r="V12" s="3014">
        <f t="shared" si="4"/>
        <v>0</v>
      </c>
      <c r="AB12" s="2624">
        <v>0</v>
      </c>
    </row>
    <row r="13" spans="1:28" ht="27.75" customHeight="1">
      <c r="A13" s="263"/>
      <c r="B13" s="263" t="s">
        <v>2639</v>
      </c>
      <c r="C13" s="605"/>
      <c r="D13" s="263"/>
      <c r="E13" s="263"/>
      <c r="F13" s="263"/>
      <c r="G13" s="263"/>
      <c r="H13" s="263" t="s">
        <v>2640</v>
      </c>
      <c r="I13" s="740"/>
      <c r="J13" s="276">
        <v>0</v>
      </c>
      <c r="K13" s="740"/>
      <c r="L13" s="276">
        <f t="shared" ref="L13:O14" si="6">+K13</f>
        <v>0</v>
      </c>
      <c r="M13" s="276">
        <f t="shared" si="6"/>
        <v>0</v>
      </c>
      <c r="N13" s="276">
        <f t="shared" si="6"/>
        <v>0</v>
      </c>
      <c r="O13" s="276">
        <f t="shared" si="6"/>
        <v>0</v>
      </c>
      <c r="P13" s="608">
        <v>0</v>
      </c>
      <c r="Q13" s="277"/>
      <c r="R13" s="276">
        <f t="shared" si="0"/>
        <v>0</v>
      </c>
      <c r="S13" s="276">
        <f t="shared" si="1"/>
        <v>0</v>
      </c>
      <c r="T13" s="276">
        <f t="shared" si="2"/>
        <v>0</v>
      </c>
      <c r="U13" s="276">
        <f t="shared" si="3"/>
        <v>0</v>
      </c>
      <c r="V13" s="3014">
        <f t="shared" si="4"/>
        <v>0</v>
      </c>
      <c r="AB13" s="2624">
        <v>0</v>
      </c>
    </row>
    <row r="14" spans="1:28" ht="25.5">
      <c r="A14" s="263"/>
      <c r="B14" s="263" t="s">
        <v>2641</v>
      </c>
      <c r="C14" s="605"/>
      <c r="D14" s="263"/>
      <c r="E14" s="263"/>
      <c r="F14" s="263"/>
      <c r="G14" s="263"/>
      <c r="H14" s="263" t="s">
        <v>2642</v>
      </c>
      <c r="I14" s="740"/>
      <c r="J14" s="276">
        <v>0</v>
      </c>
      <c r="K14" s="740"/>
      <c r="L14" s="276">
        <f t="shared" si="6"/>
        <v>0</v>
      </c>
      <c r="M14" s="276">
        <f t="shared" si="6"/>
        <v>0</v>
      </c>
      <c r="N14" s="276">
        <f t="shared" si="6"/>
        <v>0</v>
      </c>
      <c r="O14" s="276">
        <f t="shared" si="6"/>
        <v>0</v>
      </c>
      <c r="P14" s="608">
        <v>0</v>
      </c>
      <c r="Q14" s="277"/>
      <c r="R14" s="276">
        <f t="shared" si="0"/>
        <v>0</v>
      </c>
      <c r="S14" s="276">
        <f t="shared" si="1"/>
        <v>0</v>
      </c>
      <c r="T14" s="276">
        <f t="shared" si="2"/>
        <v>0</v>
      </c>
      <c r="U14" s="276">
        <f t="shared" si="3"/>
        <v>0</v>
      </c>
      <c r="V14" s="3014">
        <f t="shared" si="4"/>
        <v>0</v>
      </c>
      <c r="AB14" s="2624">
        <v>0</v>
      </c>
    </row>
    <row r="15" spans="1:28">
      <c r="A15" s="268"/>
      <c r="B15" s="268" t="s">
        <v>2643</v>
      </c>
      <c r="C15" s="606"/>
      <c r="D15" s="268"/>
      <c r="E15" s="268"/>
      <c r="F15" s="268"/>
      <c r="G15" s="268"/>
      <c r="H15" s="269" t="s">
        <v>2644</v>
      </c>
      <c r="I15" s="271">
        <f>SUM(I13:I14)</f>
        <v>0</v>
      </c>
      <c r="J15" s="271">
        <v>0</v>
      </c>
      <c r="K15" s="271">
        <f t="shared" ref="K15:P15" si="7">SUM(K13:K14)</f>
        <v>0</v>
      </c>
      <c r="L15" s="271">
        <f t="shared" si="7"/>
        <v>0</v>
      </c>
      <c r="M15" s="271">
        <f t="shared" si="7"/>
        <v>0</v>
      </c>
      <c r="N15" s="271">
        <f t="shared" si="7"/>
        <v>0</v>
      </c>
      <c r="O15" s="271">
        <f t="shared" si="7"/>
        <v>0</v>
      </c>
      <c r="P15" s="607">
        <f t="shared" si="7"/>
        <v>0</v>
      </c>
      <c r="Q15" s="272"/>
      <c r="R15" s="271">
        <f t="shared" si="0"/>
        <v>0</v>
      </c>
      <c r="S15" s="271">
        <f t="shared" si="1"/>
        <v>0</v>
      </c>
      <c r="T15" s="271">
        <f t="shared" si="2"/>
        <v>0</v>
      </c>
      <c r="U15" s="271">
        <f t="shared" si="3"/>
        <v>0</v>
      </c>
      <c r="V15" s="3015">
        <f t="shared" si="4"/>
        <v>0</v>
      </c>
      <c r="AB15" s="2623">
        <v>0</v>
      </c>
    </row>
    <row r="16" spans="1:28" ht="12.75" customHeight="1">
      <c r="A16" s="268"/>
      <c r="B16" s="268" t="s">
        <v>2645</v>
      </c>
      <c r="C16" s="606"/>
      <c r="D16" s="268"/>
      <c r="E16" s="268"/>
      <c r="F16" s="268"/>
      <c r="G16" s="268"/>
      <c r="H16" s="269" t="s">
        <v>2646</v>
      </c>
      <c r="I16" s="271">
        <f>+I9+I12+I15</f>
        <v>0</v>
      </c>
      <c r="J16" s="271">
        <v>0</v>
      </c>
      <c r="K16" s="271">
        <f t="shared" ref="K16:P16" si="8">+K9+K12+K15</f>
        <v>0</v>
      </c>
      <c r="L16" s="271">
        <f t="shared" si="8"/>
        <v>0</v>
      </c>
      <c r="M16" s="271">
        <f t="shared" si="8"/>
        <v>0</v>
      </c>
      <c r="N16" s="271">
        <f t="shared" si="8"/>
        <v>0</v>
      </c>
      <c r="O16" s="271">
        <f t="shared" si="8"/>
        <v>0</v>
      </c>
      <c r="P16" s="607">
        <f t="shared" si="8"/>
        <v>0</v>
      </c>
      <c r="Q16" s="272"/>
      <c r="R16" s="271">
        <f t="shared" si="0"/>
        <v>0</v>
      </c>
      <c r="S16" s="271">
        <f t="shared" si="1"/>
        <v>0</v>
      </c>
      <c r="T16" s="271">
        <f t="shared" si="2"/>
        <v>0</v>
      </c>
      <c r="U16" s="271">
        <f t="shared" si="3"/>
        <v>0</v>
      </c>
      <c r="V16" s="3015">
        <f t="shared" si="4"/>
        <v>0</v>
      </c>
      <c r="AB16" s="2623">
        <v>0</v>
      </c>
    </row>
    <row r="17" spans="1:28" ht="12.75" customHeight="1">
      <c r="A17" s="263"/>
      <c r="B17" s="263" t="s">
        <v>2647</v>
      </c>
      <c r="C17" s="605"/>
      <c r="D17" s="263"/>
      <c r="E17" s="263"/>
      <c r="F17" s="263"/>
      <c r="G17" s="263"/>
      <c r="H17" s="273" t="s">
        <v>2648</v>
      </c>
      <c r="I17" s="271"/>
      <c r="J17" s="271"/>
      <c r="K17" s="271"/>
      <c r="L17" s="271"/>
      <c r="M17" s="271"/>
      <c r="N17" s="271"/>
      <c r="O17" s="271"/>
      <c r="P17" s="607"/>
      <c r="Q17" s="272"/>
      <c r="R17" s="271">
        <f t="shared" si="0"/>
        <v>0</v>
      </c>
      <c r="S17" s="271">
        <f t="shared" si="1"/>
        <v>0</v>
      </c>
      <c r="T17" s="271">
        <f t="shared" si="2"/>
        <v>0</v>
      </c>
      <c r="U17" s="271">
        <f t="shared" si="3"/>
        <v>0</v>
      </c>
      <c r="V17" s="3015">
        <f t="shared" si="4"/>
        <v>0</v>
      </c>
      <c r="AB17" s="2623"/>
    </row>
    <row r="18" spans="1:28" ht="12.75" customHeight="1">
      <c r="A18" s="263"/>
      <c r="B18" s="263" t="s">
        <v>2649</v>
      </c>
      <c r="C18" s="605"/>
      <c r="D18" s="263" t="s">
        <v>2650</v>
      </c>
      <c r="E18" s="263"/>
      <c r="F18" s="263"/>
      <c r="G18" s="263"/>
      <c r="H18" s="273" t="s">
        <v>2651</v>
      </c>
      <c r="I18" s="271"/>
      <c r="J18" s="271"/>
      <c r="K18" s="271"/>
      <c r="L18" s="271"/>
      <c r="M18" s="271"/>
      <c r="N18" s="271"/>
      <c r="O18" s="271"/>
      <c r="P18" s="607"/>
      <c r="Q18" s="272"/>
      <c r="R18" s="271">
        <f t="shared" si="0"/>
        <v>0</v>
      </c>
      <c r="S18" s="271">
        <f t="shared" si="1"/>
        <v>0</v>
      </c>
      <c r="T18" s="271">
        <f t="shared" si="2"/>
        <v>0</v>
      </c>
      <c r="U18" s="271">
        <f t="shared" si="3"/>
        <v>0</v>
      </c>
      <c r="V18" s="3015">
        <f t="shared" si="4"/>
        <v>0</v>
      </c>
      <c r="AB18" s="2623"/>
    </row>
    <row r="19" spans="1:28" ht="12.75" customHeight="1">
      <c r="A19" s="263"/>
      <c r="B19" s="263" t="s">
        <v>2652</v>
      </c>
      <c r="C19" s="605"/>
      <c r="D19" s="263"/>
      <c r="E19" s="263"/>
      <c r="F19" s="263"/>
      <c r="G19" s="263"/>
      <c r="H19" s="273" t="s">
        <v>2653</v>
      </c>
      <c r="I19" s="271"/>
      <c r="J19" s="271"/>
      <c r="K19" s="271"/>
      <c r="L19" s="271"/>
      <c r="M19" s="271"/>
      <c r="N19" s="271"/>
      <c r="O19" s="271"/>
      <c r="P19" s="607"/>
      <c r="Q19" s="272"/>
      <c r="R19" s="271">
        <f t="shared" si="0"/>
        <v>0</v>
      </c>
      <c r="S19" s="271">
        <f t="shared" si="1"/>
        <v>0</v>
      </c>
      <c r="T19" s="271">
        <f t="shared" si="2"/>
        <v>0</v>
      </c>
      <c r="U19" s="271">
        <f t="shared" si="3"/>
        <v>0</v>
      </c>
      <c r="V19" s="3015">
        <f t="shared" si="4"/>
        <v>0</v>
      </c>
      <c r="AB19" s="2623"/>
    </row>
    <row r="20" spans="1:28" ht="12.75" customHeight="1">
      <c r="A20" s="263"/>
      <c r="B20" s="263" t="s">
        <v>2654</v>
      </c>
      <c r="C20" s="258" t="s">
        <v>574</v>
      </c>
      <c r="D20" s="273" t="s">
        <v>2655</v>
      </c>
      <c r="E20" s="273">
        <v>3</v>
      </c>
      <c r="F20" s="273">
        <v>900060</v>
      </c>
      <c r="G20" s="273">
        <v>9990001</v>
      </c>
      <c r="H20" s="273" t="s">
        <v>2656</v>
      </c>
      <c r="I20" s="271">
        <v>0</v>
      </c>
      <c r="J20" s="271">
        <v>0</v>
      </c>
      <c r="K20" s="271"/>
      <c r="L20" s="271">
        <f>+K20</f>
        <v>0</v>
      </c>
      <c r="M20" s="271">
        <f>+L20</f>
        <v>0</v>
      </c>
      <c r="N20" s="271">
        <f>+M20+4999090000</f>
        <v>4999090000</v>
      </c>
      <c r="O20" s="271">
        <f>+N20</f>
        <v>4999090000</v>
      </c>
      <c r="P20" s="741">
        <f>4999090000+904835-904835</f>
        <v>4999090000</v>
      </c>
      <c r="Q20" s="272">
        <f>+P20/N20</f>
        <v>1</v>
      </c>
      <c r="R20" s="271">
        <f t="shared" si="0"/>
        <v>0</v>
      </c>
      <c r="S20" s="271">
        <f t="shared" si="1"/>
        <v>0</v>
      </c>
      <c r="T20" s="271">
        <f t="shared" si="2"/>
        <v>4999090000</v>
      </c>
      <c r="U20" s="271">
        <f t="shared" si="3"/>
        <v>0</v>
      </c>
      <c r="V20" s="3015">
        <f t="shared" si="4"/>
        <v>0</v>
      </c>
      <c r="AB20" s="2623">
        <v>0</v>
      </c>
    </row>
    <row r="21" spans="1:28" ht="12.75" customHeight="1">
      <c r="A21" s="263"/>
      <c r="B21" s="263" t="s">
        <v>2657</v>
      </c>
      <c r="C21" s="605"/>
      <c r="D21" s="263"/>
      <c r="E21" s="263"/>
      <c r="F21" s="263"/>
      <c r="G21" s="263"/>
      <c r="H21" s="273" t="s">
        <v>2658</v>
      </c>
      <c r="I21" s="271"/>
      <c r="J21" s="271"/>
      <c r="K21" s="271"/>
      <c r="L21" s="271"/>
      <c r="M21" s="271"/>
      <c r="N21" s="271"/>
      <c r="O21" s="271"/>
      <c r="P21" s="607"/>
      <c r="Q21" s="272"/>
      <c r="R21" s="271">
        <f t="shared" si="0"/>
        <v>0</v>
      </c>
      <c r="S21" s="271">
        <f t="shared" si="1"/>
        <v>0</v>
      </c>
      <c r="T21" s="271">
        <f t="shared" si="2"/>
        <v>0</v>
      </c>
      <c r="U21" s="271">
        <f t="shared" si="3"/>
        <v>0</v>
      </c>
      <c r="V21" s="3015">
        <f t="shared" si="4"/>
        <v>0</v>
      </c>
      <c r="AB21" s="2623"/>
    </row>
    <row r="22" spans="1:28" ht="12.75" customHeight="1">
      <c r="A22" s="263"/>
      <c r="B22" s="263" t="s">
        <v>2659</v>
      </c>
      <c r="C22" s="605"/>
      <c r="D22" s="263"/>
      <c r="E22" s="263"/>
      <c r="F22" s="263"/>
      <c r="G22" s="263"/>
      <c r="H22" s="273" t="s">
        <v>2660</v>
      </c>
      <c r="I22" s="271"/>
      <c r="J22" s="271"/>
      <c r="K22" s="271"/>
      <c r="L22" s="271"/>
      <c r="M22" s="271"/>
      <c r="N22" s="271"/>
      <c r="O22" s="271"/>
      <c r="P22" s="607"/>
      <c r="Q22" s="272"/>
      <c r="R22" s="271">
        <f t="shared" si="0"/>
        <v>0</v>
      </c>
      <c r="S22" s="271">
        <f t="shared" si="1"/>
        <v>0</v>
      </c>
      <c r="T22" s="271">
        <f t="shared" si="2"/>
        <v>0</v>
      </c>
      <c r="U22" s="271">
        <f t="shared" si="3"/>
        <v>0</v>
      </c>
      <c r="V22" s="3015">
        <f t="shared" si="4"/>
        <v>0</v>
      </c>
      <c r="AB22" s="2623"/>
    </row>
    <row r="23" spans="1:28">
      <c r="A23" s="268"/>
      <c r="B23" s="268" t="s">
        <v>2661</v>
      </c>
      <c r="C23" s="606"/>
      <c r="D23" s="268"/>
      <c r="E23" s="268"/>
      <c r="F23" s="268"/>
      <c r="G23" s="268"/>
      <c r="H23" s="269" t="s">
        <v>2662</v>
      </c>
      <c r="I23" s="271">
        <f t="shared" ref="I23:P23" si="9">SUM(I17:I22)</f>
        <v>0</v>
      </c>
      <c r="J23" s="271">
        <f t="shared" si="9"/>
        <v>0</v>
      </c>
      <c r="K23" s="271">
        <f t="shared" si="9"/>
        <v>0</v>
      </c>
      <c r="L23" s="271">
        <f t="shared" si="9"/>
        <v>0</v>
      </c>
      <c r="M23" s="271">
        <f t="shared" si="9"/>
        <v>0</v>
      </c>
      <c r="N23" s="271">
        <f t="shared" si="9"/>
        <v>4999090000</v>
      </c>
      <c r="O23" s="271">
        <f t="shared" si="9"/>
        <v>4999090000</v>
      </c>
      <c r="P23" s="607">
        <f t="shared" si="9"/>
        <v>4999090000</v>
      </c>
      <c r="Q23" s="272">
        <f>+P23/N23</f>
        <v>1</v>
      </c>
      <c r="R23" s="271">
        <f t="shared" si="0"/>
        <v>0</v>
      </c>
      <c r="S23" s="271">
        <f t="shared" si="1"/>
        <v>0</v>
      </c>
      <c r="T23" s="271">
        <f t="shared" si="2"/>
        <v>4999090000</v>
      </c>
      <c r="U23" s="271">
        <f t="shared" si="3"/>
        <v>0</v>
      </c>
      <c r="V23" s="3015">
        <f t="shared" si="4"/>
        <v>0</v>
      </c>
      <c r="AB23" s="2623">
        <v>0</v>
      </c>
    </row>
    <row r="24" spans="1:28" ht="25.5">
      <c r="A24" s="263"/>
      <c r="B24" s="263" t="s">
        <v>2663</v>
      </c>
      <c r="C24" s="605"/>
      <c r="D24" s="263"/>
      <c r="E24" s="263"/>
      <c r="F24" s="263"/>
      <c r="G24" s="263"/>
      <c r="H24" s="273" t="s">
        <v>2664</v>
      </c>
      <c r="I24" s="740"/>
      <c r="J24" s="276"/>
      <c r="K24" s="740"/>
      <c r="L24" s="276"/>
      <c r="M24" s="276"/>
      <c r="N24" s="276"/>
      <c r="O24" s="276"/>
      <c r="P24" s="608"/>
      <c r="Q24" s="277"/>
      <c r="R24" s="276">
        <f t="shared" si="0"/>
        <v>0</v>
      </c>
      <c r="S24" s="276">
        <f t="shared" si="1"/>
        <v>0</v>
      </c>
      <c r="T24" s="276">
        <f t="shared" si="2"/>
        <v>0</v>
      </c>
      <c r="U24" s="276">
        <f t="shared" si="3"/>
        <v>0</v>
      </c>
      <c r="V24" s="3014">
        <f t="shared" si="4"/>
        <v>0</v>
      </c>
      <c r="AB24" s="2624"/>
    </row>
    <row r="25" spans="1:28" ht="25.5">
      <c r="A25" s="263"/>
      <c r="B25" s="263" t="s">
        <v>2665</v>
      </c>
      <c r="C25" s="605"/>
      <c r="D25" s="263"/>
      <c r="E25" s="263"/>
      <c r="F25" s="263"/>
      <c r="G25" s="263"/>
      <c r="H25" s="273" t="s">
        <v>2666</v>
      </c>
      <c r="I25" s="740"/>
      <c r="J25" s="276"/>
      <c r="K25" s="740"/>
      <c r="L25" s="276"/>
      <c r="M25" s="276"/>
      <c r="N25" s="276"/>
      <c r="O25" s="276"/>
      <c r="P25" s="608"/>
      <c r="Q25" s="277"/>
      <c r="R25" s="276">
        <f t="shared" si="0"/>
        <v>0</v>
      </c>
      <c r="S25" s="276">
        <f t="shared" si="1"/>
        <v>0</v>
      </c>
      <c r="T25" s="276">
        <f t="shared" si="2"/>
        <v>0</v>
      </c>
      <c r="U25" s="276">
        <f t="shared" si="3"/>
        <v>0</v>
      </c>
      <c r="V25" s="3014">
        <f t="shared" si="4"/>
        <v>0</v>
      </c>
      <c r="AB25" s="2624"/>
    </row>
    <row r="26" spans="1:28">
      <c r="A26" s="281"/>
      <c r="B26" s="281" t="s">
        <v>2667</v>
      </c>
      <c r="C26" s="742"/>
      <c r="D26" s="281"/>
      <c r="E26" s="281"/>
      <c r="F26" s="281"/>
      <c r="G26" s="281"/>
      <c r="H26" s="260" t="s">
        <v>2668</v>
      </c>
      <c r="I26" s="265">
        <f>SUM(I24:I25)</f>
        <v>0</v>
      </c>
      <c r="J26" s="265">
        <v>0</v>
      </c>
      <c r="K26" s="265">
        <f t="shared" ref="K26:P26" si="10">SUM(K24:K25)</f>
        <v>0</v>
      </c>
      <c r="L26" s="265">
        <f t="shared" si="10"/>
        <v>0</v>
      </c>
      <c r="M26" s="265">
        <f t="shared" si="10"/>
        <v>0</v>
      </c>
      <c r="N26" s="265">
        <f t="shared" si="10"/>
        <v>0</v>
      </c>
      <c r="O26" s="265">
        <f t="shared" si="10"/>
        <v>0</v>
      </c>
      <c r="P26" s="609">
        <f t="shared" si="10"/>
        <v>0</v>
      </c>
      <c r="Q26" s="267"/>
      <c r="R26" s="265">
        <f t="shared" si="0"/>
        <v>0</v>
      </c>
      <c r="S26" s="265">
        <f t="shared" si="1"/>
        <v>0</v>
      </c>
      <c r="T26" s="265">
        <f t="shared" si="2"/>
        <v>0</v>
      </c>
      <c r="U26" s="265">
        <f t="shared" si="3"/>
        <v>0</v>
      </c>
      <c r="V26" s="289">
        <f t="shared" si="4"/>
        <v>0</v>
      </c>
      <c r="AB26" s="245">
        <v>0</v>
      </c>
    </row>
    <row r="27" spans="1:28" ht="18" customHeight="1">
      <c r="A27" s="263"/>
      <c r="B27" s="263" t="s">
        <v>2669</v>
      </c>
      <c r="C27" s="605"/>
      <c r="D27" s="263"/>
      <c r="E27" s="263"/>
      <c r="F27" s="263"/>
      <c r="G27" s="263"/>
      <c r="H27" s="264" t="s">
        <v>2670</v>
      </c>
      <c r="I27" s="282"/>
      <c r="J27" s="282"/>
      <c r="K27" s="282"/>
      <c r="L27" s="282"/>
      <c r="M27" s="282"/>
      <c r="N27" s="282"/>
      <c r="O27" s="282"/>
      <c r="P27" s="509"/>
      <c r="Q27" s="283"/>
      <c r="R27" s="282">
        <f t="shared" si="0"/>
        <v>0</v>
      </c>
      <c r="S27" s="282">
        <f t="shared" si="1"/>
        <v>0</v>
      </c>
      <c r="T27" s="282">
        <f t="shared" si="2"/>
        <v>0</v>
      </c>
      <c r="U27" s="282">
        <f t="shared" si="3"/>
        <v>0</v>
      </c>
      <c r="V27" s="3016">
        <f t="shared" si="4"/>
        <v>0</v>
      </c>
      <c r="AB27" s="716"/>
    </row>
    <row r="28" spans="1:28" ht="25.5">
      <c r="A28" s="263"/>
      <c r="B28" s="263" t="s">
        <v>2671</v>
      </c>
      <c r="C28" s="605"/>
      <c r="D28" s="263"/>
      <c r="E28" s="263"/>
      <c r="F28" s="263"/>
      <c r="G28" s="263"/>
      <c r="H28" s="264" t="s">
        <v>2672</v>
      </c>
      <c r="I28" s="282"/>
      <c r="J28" s="282"/>
      <c r="K28" s="282"/>
      <c r="L28" s="282"/>
      <c r="M28" s="282"/>
      <c r="N28" s="282"/>
      <c r="O28" s="282"/>
      <c r="P28" s="509"/>
      <c r="Q28" s="283"/>
      <c r="R28" s="282">
        <f t="shared" si="0"/>
        <v>0</v>
      </c>
      <c r="S28" s="282">
        <f t="shared" si="1"/>
        <v>0</v>
      </c>
      <c r="T28" s="282">
        <f t="shared" si="2"/>
        <v>0</v>
      </c>
      <c r="U28" s="282">
        <f t="shared" si="3"/>
        <v>0</v>
      </c>
      <c r="V28" s="3016">
        <f t="shared" si="4"/>
        <v>0</v>
      </c>
      <c r="AB28" s="716"/>
    </row>
    <row r="29" spans="1:28" ht="25.5">
      <c r="A29" s="281"/>
      <c r="B29" s="281" t="s">
        <v>2673</v>
      </c>
      <c r="C29" s="742"/>
      <c r="D29" s="281"/>
      <c r="E29" s="281"/>
      <c r="F29" s="281"/>
      <c r="G29" s="281"/>
      <c r="H29" s="269" t="s">
        <v>2674</v>
      </c>
      <c r="I29" s="271">
        <f>SUM(I27:I28)</f>
        <v>0</v>
      </c>
      <c r="J29" s="271">
        <v>0</v>
      </c>
      <c r="K29" s="271">
        <f t="shared" ref="K29:P29" si="11">SUM(K27:K28)</f>
        <v>0</v>
      </c>
      <c r="L29" s="271">
        <f t="shared" si="11"/>
        <v>0</v>
      </c>
      <c r="M29" s="271">
        <f t="shared" si="11"/>
        <v>0</v>
      </c>
      <c r="N29" s="271">
        <f t="shared" si="11"/>
        <v>0</v>
      </c>
      <c r="O29" s="271">
        <f t="shared" si="11"/>
        <v>0</v>
      </c>
      <c r="P29" s="607">
        <f t="shared" si="11"/>
        <v>0</v>
      </c>
      <c r="Q29" s="272"/>
      <c r="R29" s="271">
        <f t="shared" si="0"/>
        <v>0</v>
      </c>
      <c r="S29" s="271">
        <f t="shared" si="1"/>
        <v>0</v>
      </c>
      <c r="T29" s="271">
        <f t="shared" si="2"/>
        <v>0</v>
      </c>
      <c r="U29" s="271">
        <f t="shared" si="3"/>
        <v>0</v>
      </c>
      <c r="V29" s="3015">
        <f t="shared" si="4"/>
        <v>0</v>
      </c>
      <c r="AB29" s="2623">
        <v>0</v>
      </c>
    </row>
    <row r="30" spans="1:28" ht="25.5">
      <c r="A30" s="263"/>
      <c r="B30" s="263" t="s">
        <v>2675</v>
      </c>
      <c r="C30" s="605"/>
      <c r="D30" s="263"/>
      <c r="E30" s="263"/>
      <c r="F30" s="263"/>
      <c r="G30" s="263"/>
      <c r="H30" s="258" t="s">
        <v>2676</v>
      </c>
      <c r="I30" s="265"/>
      <c r="J30" s="265">
        <v>0</v>
      </c>
      <c r="K30" s="265"/>
      <c r="L30" s="265">
        <f>+K30</f>
        <v>0</v>
      </c>
      <c r="M30" s="265">
        <f>+L30</f>
        <v>0</v>
      </c>
      <c r="N30" s="265">
        <f>+M30</f>
        <v>0</v>
      </c>
      <c r="O30" s="265">
        <f>+N30</f>
        <v>0</v>
      </c>
      <c r="P30" s="609"/>
      <c r="Q30" s="267"/>
      <c r="R30" s="265">
        <f t="shared" si="0"/>
        <v>0</v>
      </c>
      <c r="S30" s="265">
        <f t="shared" si="1"/>
        <v>0</v>
      </c>
      <c r="T30" s="265">
        <f t="shared" si="2"/>
        <v>0</v>
      </c>
      <c r="U30" s="265">
        <f t="shared" si="3"/>
        <v>0</v>
      </c>
      <c r="V30" s="289">
        <f t="shared" si="4"/>
        <v>0</v>
      </c>
      <c r="AB30" s="245"/>
    </row>
    <row r="31" spans="1:28" ht="25.5">
      <c r="A31" s="263"/>
      <c r="B31" s="263" t="s">
        <v>2677</v>
      </c>
      <c r="C31" s="605"/>
      <c r="D31" s="263"/>
      <c r="E31" s="263"/>
      <c r="F31" s="263"/>
      <c r="G31" s="263"/>
      <c r="H31" s="258" t="s">
        <v>2678</v>
      </c>
      <c r="I31" s="265"/>
      <c r="J31" s="265">
        <v>0</v>
      </c>
      <c r="K31" s="265"/>
      <c r="L31" s="265">
        <f>+K31+3585116-3585116</f>
        <v>0</v>
      </c>
      <c r="M31" s="265">
        <f>+L31</f>
        <v>0</v>
      </c>
      <c r="N31" s="265">
        <f>+M31</f>
        <v>0</v>
      </c>
      <c r="O31" s="265">
        <f>+N31</f>
        <v>0</v>
      </c>
      <c r="P31" s="609">
        <f>+O31+3585116-3585116</f>
        <v>0</v>
      </c>
      <c r="Q31" s="267"/>
      <c r="R31" s="265">
        <f t="shared" si="0"/>
        <v>0</v>
      </c>
      <c r="S31" s="265">
        <f t="shared" si="1"/>
        <v>0</v>
      </c>
      <c r="T31" s="265">
        <f t="shared" si="2"/>
        <v>0</v>
      </c>
      <c r="U31" s="265">
        <f t="shared" si="3"/>
        <v>0</v>
      </c>
      <c r="V31" s="289">
        <f t="shared" si="4"/>
        <v>0</v>
      </c>
      <c r="AB31" s="245">
        <v>0</v>
      </c>
    </row>
    <row r="32" spans="1:28">
      <c r="A32" s="281"/>
      <c r="B32" s="281" t="s">
        <v>2679</v>
      </c>
      <c r="C32" s="742"/>
      <c r="D32" s="281"/>
      <c r="E32" s="281"/>
      <c r="F32" s="281"/>
      <c r="G32" s="281"/>
      <c r="H32" s="284" t="s">
        <v>2680</v>
      </c>
      <c r="I32" s="265">
        <f>SUM(I30:I31)</f>
        <v>0</v>
      </c>
      <c r="J32" s="265">
        <v>0</v>
      </c>
      <c r="K32" s="265">
        <f t="shared" ref="K32:P32" si="12">SUM(K30:K31)</f>
        <v>0</v>
      </c>
      <c r="L32" s="265">
        <f t="shared" si="12"/>
        <v>0</v>
      </c>
      <c r="M32" s="265">
        <f t="shared" si="12"/>
        <v>0</v>
      </c>
      <c r="N32" s="265">
        <f t="shared" si="12"/>
        <v>0</v>
      </c>
      <c r="O32" s="265">
        <f t="shared" si="12"/>
        <v>0</v>
      </c>
      <c r="P32" s="609">
        <f t="shared" si="12"/>
        <v>0</v>
      </c>
      <c r="Q32" s="267"/>
      <c r="R32" s="265">
        <f t="shared" si="0"/>
        <v>0</v>
      </c>
      <c r="S32" s="265">
        <f t="shared" si="1"/>
        <v>0</v>
      </c>
      <c r="T32" s="265">
        <f t="shared" si="2"/>
        <v>0</v>
      </c>
      <c r="U32" s="265">
        <f t="shared" si="3"/>
        <v>0</v>
      </c>
      <c r="V32" s="289">
        <f t="shared" si="4"/>
        <v>0</v>
      </c>
      <c r="W32" s="2676">
        <f>+W33+W34</f>
        <v>126195397</v>
      </c>
      <c r="AB32" s="245">
        <v>0</v>
      </c>
    </row>
    <row r="33" spans="1:29" ht="13.5" customHeight="1">
      <c r="A33" s="281"/>
      <c r="B33" s="281" t="s">
        <v>2681</v>
      </c>
      <c r="C33" s="742"/>
      <c r="D33" s="281"/>
      <c r="E33" s="281"/>
      <c r="F33" s="281"/>
      <c r="G33" s="281"/>
      <c r="H33" s="284" t="s">
        <v>2682</v>
      </c>
      <c r="I33" s="265">
        <f t="shared" ref="I33:P33" si="13">+I23+I26+I29+I32</f>
        <v>0</v>
      </c>
      <c r="J33" s="265">
        <f t="shared" si="13"/>
        <v>0</v>
      </c>
      <c r="K33" s="265">
        <f t="shared" si="13"/>
        <v>0</v>
      </c>
      <c r="L33" s="265">
        <f t="shared" si="13"/>
        <v>0</v>
      </c>
      <c r="M33" s="265">
        <f t="shared" si="13"/>
        <v>0</v>
      </c>
      <c r="N33" s="265">
        <f t="shared" si="13"/>
        <v>4999090000</v>
      </c>
      <c r="O33" s="265">
        <f t="shared" si="13"/>
        <v>4999090000</v>
      </c>
      <c r="P33" s="641">
        <f t="shared" si="13"/>
        <v>4999090000</v>
      </c>
      <c r="Q33" s="267">
        <f>+P33/N33</f>
        <v>1</v>
      </c>
      <c r="R33" s="265">
        <f t="shared" si="0"/>
        <v>0</v>
      </c>
      <c r="S33" s="265">
        <f t="shared" si="1"/>
        <v>0</v>
      </c>
      <c r="T33" s="265">
        <f t="shared" si="2"/>
        <v>4999090000</v>
      </c>
      <c r="U33" s="265">
        <f t="shared" si="3"/>
        <v>0</v>
      </c>
      <c r="V33" s="289">
        <f t="shared" si="4"/>
        <v>0</v>
      </c>
      <c r="W33" s="2676">
        <v>904835</v>
      </c>
      <c r="AB33" s="245">
        <v>0</v>
      </c>
    </row>
    <row r="34" spans="1:29">
      <c r="A34" s="281"/>
      <c r="B34" s="281" t="s">
        <v>374</v>
      </c>
      <c r="C34" s="742"/>
      <c r="D34" s="281"/>
      <c r="E34" s="281"/>
      <c r="F34" s="281"/>
      <c r="G34" s="281"/>
      <c r="H34" s="284" t="s">
        <v>2683</v>
      </c>
      <c r="I34" s="265"/>
      <c r="J34" s="265"/>
      <c r="K34" s="265"/>
      <c r="L34" s="265"/>
      <c r="M34" s="265"/>
      <c r="N34" s="265"/>
      <c r="O34" s="265"/>
      <c r="P34" s="609"/>
      <c r="Q34" s="267"/>
      <c r="R34" s="265">
        <f t="shared" si="0"/>
        <v>0</v>
      </c>
      <c r="S34" s="265">
        <f t="shared" si="1"/>
        <v>0</v>
      </c>
      <c r="T34" s="265">
        <f t="shared" si="2"/>
        <v>0</v>
      </c>
      <c r="U34" s="265">
        <f t="shared" si="3"/>
        <v>0</v>
      </c>
      <c r="V34" s="289">
        <f t="shared" si="4"/>
        <v>0</v>
      </c>
      <c r="W34" s="2676">
        <f>+P35-X34</f>
        <v>125290562</v>
      </c>
      <c r="X34" s="728">
        <v>1604631025</v>
      </c>
      <c r="AB34" s="245"/>
    </row>
    <row r="35" spans="1:29">
      <c r="A35" s="281"/>
      <c r="B35" s="281" t="s">
        <v>375</v>
      </c>
      <c r="C35" s="742"/>
      <c r="D35" s="281"/>
      <c r="E35" s="281"/>
      <c r="F35" s="281"/>
      <c r="G35" s="281"/>
      <c r="H35" s="284" t="s">
        <v>2684</v>
      </c>
      <c r="I35" s="265">
        <f>224610505</f>
        <v>224610505</v>
      </c>
      <c r="J35" s="265">
        <v>973601186</v>
      </c>
      <c r="K35" s="265">
        <v>34974099</v>
      </c>
      <c r="L35" s="265">
        <f>+K35</f>
        <v>34974099</v>
      </c>
      <c r="M35" s="265">
        <f>+L35+1373664816</f>
        <v>1408638915</v>
      </c>
      <c r="N35" s="265">
        <f>+M35+321282672</f>
        <v>1729921587</v>
      </c>
      <c r="O35" s="265">
        <f>+N35</f>
        <v>1729921587</v>
      </c>
      <c r="P35" s="641">
        <f>1729921587</f>
        <v>1729921587</v>
      </c>
      <c r="Q35" s="267">
        <f>+P35/N35</f>
        <v>1</v>
      </c>
      <c r="R35" s="265">
        <f t="shared" si="0"/>
        <v>0</v>
      </c>
      <c r="S35" s="265">
        <f t="shared" si="1"/>
        <v>1373664816</v>
      </c>
      <c r="T35" s="265">
        <f t="shared" si="2"/>
        <v>321282672</v>
      </c>
      <c r="U35" s="265">
        <f t="shared" si="3"/>
        <v>0</v>
      </c>
      <c r="V35" s="265">
        <f t="shared" si="4"/>
        <v>0</v>
      </c>
      <c r="W35" s="276">
        <v>1408638915</v>
      </c>
      <c r="X35" s="276">
        <f>+W35-M35</f>
        <v>0</v>
      </c>
      <c r="AB35" s="245">
        <v>973601186</v>
      </c>
      <c r="AC35" s="2676">
        <f t="shared" ref="AC35:AC43" si="14">+J35-AB35</f>
        <v>0</v>
      </c>
    </row>
    <row r="36" spans="1:29" ht="25.5">
      <c r="A36" s="263"/>
      <c r="B36" s="263" t="s">
        <v>2685</v>
      </c>
      <c r="C36" s="605"/>
      <c r="D36" s="263"/>
      <c r="E36" s="263"/>
      <c r="F36" s="285"/>
      <c r="G36" s="285"/>
      <c r="H36" s="258" t="s">
        <v>1735</v>
      </c>
      <c r="I36" s="265"/>
      <c r="J36" s="265"/>
      <c r="K36" s="265"/>
      <c r="L36" s="265"/>
      <c r="M36" s="265"/>
      <c r="N36" s="265"/>
      <c r="O36" s="265"/>
      <c r="P36" s="609"/>
      <c r="Q36" s="267"/>
      <c r="R36" s="265">
        <f t="shared" si="0"/>
        <v>0</v>
      </c>
      <c r="S36" s="265">
        <f t="shared" si="1"/>
        <v>0</v>
      </c>
      <c r="T36" s="265">
        <f t="shared" si="2"/>
        <v>0</v>
      </c>
      <c r="U36" s="265">
        <f t="shared" si="3"/>
        <v>0</v>
      </c>
      <c r="V36" s="289">
        <f t="shared" si="4"/>
        <v>0</v>
      </c>
      <c r="X36" s="728" t="s">
        <v>476</v>
      </c>
      <c r="Z36" s="728" t="s">
        <v>3058</v>
      </c>
      <c r="AB36" s="245"/>
      <c r="AC36" s="2676">
        <f t="shared" si="14"/>
        <v>0</v>
      </c>
    </row>
    <row r="37" spans="1:29" ht="25.5">
      <c r="A37" s="263"/>
      <c r="B37" s="263" t="s">
        <v>2686</v>
      </c>
      <c r="C37" s="605"/>
      <c r="D37" s="263"/>
      <c r="E37" s="263"/>
      <c r="F37" s="285"/>
      <c r="G37" s="285"/>
      <c r="H37" s="258" t="s">
        <v>1733</v>
      </c>
      <c r="I37" s="265">
        <f>+'8. mell. Intézmények összesen'!D36</f>
        <v>12565246468</v>
      </c>
      <c r="J37" s="265">
        <f>+'8. mell. Intézmények összesen'!E36</f>
        <v>12332134917</v>
      </c>
      <c r="K37" s="265">
        <f>+'8. mell. Intézmények összesen'!F36</f>
        <v>14061925236</v>
      </c>
      <c r="L37" s="265">
        <f>+'8. mell. Intézmények összesen'!G36</f>
        <v>14111982353</v>
      </c>
      <c r="M37" s="265">
        <f>+'8. mell. Intézmények összesen'!H36</f>
        <v>14255426934</v>
      </c>
      <c r="N37" s="265">
        <f>+'8. mell. Intézmények összesen'!I36</f>
        <v>14350648875</v>
      </c>
      <c r="O37" s="265">
        <f>+'8. mell. Intézmények összesen'!J36</f>
        <v>14350648875</v>
      </c>
      <c r="P37" s="609">
        <f>+'8. mell. Intézmények összesen'!K36</f>
        <v>13473547495</v>
      </c>
      <c r="Q37" s="267">
        <f>+P37/N37</f>
        <v>0.93888071629095582</v>
      </c>
      <c r="R37" s="265">
        <f t="shared" si="0"/>
        <v>50057117</v>
      </c>
      <c r="S37" s="265">
        <f t="shared" si="1"/>
        <v>143444581</v>
      </c>
      <c r="T37" s="265">
        <f t="shared" si="2"/>
        <v>95221941</v>
      </c>
      <c r="U37" s="265">
        <f t="shared" si="3"/>
        <v>0</v>
      </c>
      <c r="V37" s="265">
        <f t="shared" si="4"/>
        <v>877101380</v>
      </c>
      <c r="W37" s="265"/>
      <c r="X37" s="609"/>
      <c r="Y37" s="609"/>
      <c r="Z37" s="265"/>
      <c r="AB37" s="245">
        <v>12332134917</v>
      </c>
      <c r="AC37" s="2676">
        <f t="shared" si="14"/>
        <v>0</v>
      </c>
    </row>
    <row r="38" spans="1:29" ht="25.5">
      <c r="A38" s="263"/>
      <c r="B38" s="263" t="s">
        <v>1252</v>
      </c>
      <c r="C38" s="605" t="s">
        <v>512</v>
      </c>
      <c r="D38" s="263" t="s">
        <v>2687</v>
      </c>
      <c r="E38" s="273">
        <v>2</v>
      </c>
      <c r="F38" s="285" t="s">
        <v>1239</v>
      </c>
      <c r="G38" s="285">
        <v>9990001</v>
      </c>
      <c r="H38" s="258" t="s">
        <v>2688</v>
      </c>
      <c r="I38" s="265">
        <f t="shared" ref="I38:P38" si="15">+I36+I37</f>
        <v>12565246468</v>
      </c>
      <c r="J38" s="265">
        <f t="shared" si="15"/>
        <v>12332134917</v>
      </c>
      <c r="K38" s="265">
        <f t="shared" si="15"/>
        <v>14061925236</v>
      </c>
      <c r="L38" s="265">
        <f t="shared" si="15"/>
        <v>14111982353</v>
      </c>
      <c r="M38" s="265">
        <f t="shared" si="15"/>
        <v>14255426934</v>
      </c>
      <c r="N38" s="265">
        <f t="shared" si="15"/>
        <v>14350648875</v>
      </c>
      <c r="O38" s="265">
        <f t="shared" si="15"/>
        <v>14350648875</v>
      </c>
      <c r="P38" s="609">
        <f t="shared" si="15"/>
        <v>13473547495</v>
      </c>
      <c r="Q38" s="267">
        <f>+P38/N38</f>
        <v>0.93888071629095582</v>
      </c>
      <c r="R38" s="265">
        <f t="shared" si="0"/>
        <v>50057117</v>
      </c>
      <c r="S38" s="265">
        <f t="shared" si="1"/>
        <v>143444581</v>
      </c>
      <c r="T38" s="265">
        <f t="shared" si="2"/>
        <v>95221941</v>
      </c>
      <c r="U38" s="265">
        <f t="shared" si="3"/>
        <v>0</v>
      </c>
      <c r="V38" s="265">
        <f t="shared" si="4"/>
        <v>877101380</v>
      </c>
      <c r="W38" s="265"/>
      <c r="X38" s="609"/>
      <c r="Y38" s="609">
        <f>+K38-I38</f>
        <v>1496678768</v>
      </c>
      <c r="AB38" s="245">
        <v>12332134917</v>
      </c>
      <c r="AC38" s="2676">
        <f t="shared" si="14"/>
        <v>0</v>
      </c>
    </row>
    <row r="39" spans="1:29">
      <c r="A39" s="281"/>
      <c r="B39" s="281" t="s">
        <v>2689</v>
      </c>
      <c r="C39" s="284" t="s">
        <v>512</v>
      </c>
      <c r="D39" s="269" t="s">
        <v>2690</v>
      </c>
      <c r="E39" s="269">
        <v>3</v>
      </c>
      <c r="F39" s="269">
        <v>900060</v>
      </c>
      <c r="G39" s="269">
        <v>9990001</v>
      </c>
      <c r="H39" s="284" t="s">
        <v>2691</v>
      </c>
      <c r="I39" s="265">
        <f>8000000000</f>
        <v>8000000000</v>
      </c>
      <c r="J39" s="265">
        <v>5500000000</v>
      </c>
      <c r="K39" s="265">
        <f>5500000000</f>
        <v>5500000000</v>
      </c>
      <c r="L39" s="265">
        <f>+K39</f>
        <v>5500000000</v>
      </c>
      <c r="M39" s="265">
        <f>+L39</f>
        <v>5500000000</v>
      </c>
      <c r="N39" s="265">
        <f>+M39+1200000000</f>
        <v>6700000000</v>
      </c>
      <c r="O39" s="265">
        <f>+N39</f>
        <v>6700000000</v>
      </c>
      <c r="P39" s="641">
        <v>6700000000</v>
      </c>
      <c r="Q39" s="267">
        <f>+P39/N39</f>
        <v>1</v>
      </c>
      <c r="R39" s="265">
        <f t="shared" si="0"/>
        <v>0</v>
      </c>
      <c r="S39" s="265">
        <f t="shared" si="1"/>
        <v>0</v>
      </c>
      <c r="T39" s="265">
        <f t="shared" si="2"/>
        <v>1200000000</v>
      </c>
      <c r="U39" s="265">
        <f t="shared" si="3"/>
        <v>0</v>
      </c>
      <c r="V39" s="265">
        <f t="shared" si="4"/>
        <v>0</v>
      </c>
      <c r="W39" s="265"/>
      <c r="AB39" s="245">
        <v>5500000000</v>
      </c>
      <c r="AC39" s="2676">
        <f t="shared" si="14"/>
        <v>0</v>
      </c>
    </row>
    <row r="40" spans="1:29">
      <c r="A40" s="281"/>
      <c r="B40" s="281" t="s">
        <v>2692</v>
      </c>
      <c r="C40" s="742"/>
      <c r="D40" s="281"/>
      <c r="E40" s="281"/>
      <c r="F40" s="281"/>
      <c r="G40" s="281"/>
      <c r="H40" s="284" t="s">
        <v>2693</v>
      </c>
      <c r="I40" s="265"/>
      <c r="J40" s="265"/>
      <c r="K40" s="265"/>
      <c r="L40" s="265"/>
      <c r="M40" s="265"/>
      <c r="N40" s="265"/>
      <c r="O40" s="265"/>
      <c r="P40" s="609"/>
      <c r="Q40" s="267"/>
      <c r="R40" s="265">
        <f t="shared" si="0"/>
        <v>0</v>
      </c>
      <c r="S40" s="265">
        <f t="shared" si="1"/>
        <v>0</v>
      </c>
      <c r="T40" s="265">
        <f t="shared" si="2"/>
        <v>0</v>
      </c>
      <c r="U40" s="265">
        <f t="shared" si="3"/>
        <v>0</v>
      </c>
      <c r="V40" s="265">
        <f t="shared" si="4"/>
        <v>0</v>
      </c>
      <c r="W40" s="265"/>
      <c r="AB40" s="245"/>
      <c r="AC40" s="2676">
        <f t="shared" si="14"/>
        <v>0</v>
      </c>
    </row>
    <row r="41" spans="1:29" ht="15">
      <c r="A41" s="268"/>
      <c r="B41" s="268" t="s">
        <v>2694</v>
      </c>
      <c r="C41" s="606"/>
      <c r="D41" s="268"/>
      <c r="E41" s="268"/>
      <c r="F41" s="268"/>
      <c r="G41" s="268"/>
      <c r="H41" s="260" t="s">
        <v>2695</v>
      </c>
      <c r="I41" s="265">
        <f t="shared" ref="I41:P41" si="16">+I16+I33+I34+I35+I38+I39+I40</f>
        <v>20789856973</v>
      </c>
      <c r="J41" s="265">
        <f t="shared" si="16"/>
        <v>18805736103</v>
      </c>
      <c r="K41" s="265">
        <f t="shared" si="16"/>
        <v>19596899335</v>
      </c>
      <c r="L41" s="265">
        <f t="shared" si="16"/>
        <v>19646956452</v>
      </c>
      <c r="M41" s="265">
        <f t="shared" si="16"/>
        <v>21164065849</v>
      </c>
      <c r="N41" s="265">
        <f t="shared" si="16"/>
        <v>27779660462</v>
      </c>
      <c r="O41" s="265">
        <f t="shared" si="16"/>
        <v>27779660462</v>
      </c>
      <c r="P41" s="609">
        <f t="shared" si="16"/>
        <v>26902559082</v>
      </c>
      <c r="Q41" s="267">
        <f>+P41/N41</f>
        <v>0.96842649026615013</v>
      </c>
      <c r="R41" s="265">
        <f t="shared" si="0"/>
        <v>50057117</v>
      </c>
      <c r="S41" s="265">
        <f t="shared" si="1"/>
        <v>1517109397</v>
      </c>
      <c r="T41" s="265">
        <f t="shared" si="2"/>
        <v>6615594613</v>
      </c>
      <c r="U41" s="265">
        <f t="shared" si="3"/>
        <v>0</v>
      </c>
      <c r="V41" s="289">
        <f t="shared" si="4"/>
        <v>877101380</v>
      </c>
      <c r="W41" s="1004" t="s">
        <v>3027</v>
      </c>
      <c r="Y41" s="267">
        <f>+K38/'1. mell.ÖSSZEVONT_MÉRLEG'!E153</f>
        <v>0.39669234543387272</v>
      </c>
      <c r="AB41" s="245">
        <v>18805736103</v>
      </c>
      <c r="AC41" s="2676">
        <f t="shared" si="14"/>
        <v>0</v>
      </c>
    </row>
    <row r="42" spans="1:29">
      <c r="A42" s="268"/>
      <c r="B42" s="268" t="s">
        <v>378</v>
      </c>
      <c r="C42" s="606"/>
      <c r="D42" s="268"/>
      <c r="E42" s="268"/>
      <c r="F42" s="268"/>
      <c r="G42" s="268"/>
      <c r="H42" s="260" t="s">
        <v>2696</v>
      </c>
      <c r="I42" s="275"/>
      <c r="J42" s="275"/>
      <c r="K42" s="275"/>
      <c r="L42" s="275"/>
      <c r="M42" s="275"/>
      <c r="N42" s="275"/>
      <c r="O42" s="275"/>
      <c r="P42" s="604"/>
      <c r="Q42" s="275"/>
      <c r="R42" s="275">
        <f t="shared" si="0"/>
        <v>0</v>
      </c>
      <c r="S42" s="275">
        <f t="shared" si="1"/>
        <v>0</v>
      </c>
      <c r="T42" s="275">
        <f t="shared" si="2"/>
        <v>0</v>
      </c>
      <c r="U42" s="275">
        <f t="shared" si="3"/>
        <v>0</v>
      </c>
      <c r="V42" s="250">
        <f t="shared" si="4"/>
        <v>0</v>
      </c>
      <c r="X42" s="728" t="s">
        <v>476</v>
      </c>
      <c r="Z42" s="728" t="s">
        <v>3058</v>
      </c>
      <c r="AB42" s="538"/>
      <c r="AC42" s="2676">
        <f t="shared" si="14"/>
        <v>0</v>
      </c>
    </row>
    <row r="43" spans="1:29" ht="18.75">
      <c r="A43" s="286"/>
      <c r="B43" s="286" t="s">
        <v>2697</v>
      </c>
      <c r="C43" s="610"/>
      <c r="D43" s="286"/>
      <c r="E43" s="286"/>
      <c r="F43" s="286"/>
      <c r="G43" s="286"/>
      <c r="H43" s="287" t="s">
        <v>2698</v>
      </c>
      <c r="I43" s="288">
        <f t="shared" ref="I43:P43" si="17">+I41+I42</f>
        <v>20789856973</v>
      </c>
      <c r="J43" s="288">
        <f t="shared" si="17"/>
        <v>18805736103</v>
      </c>
      <c r="K43" s="288">
        <f t="shared" si="17"/>
        <v>19596899335</v>
      </c>
      <c r="L43" s="288">
        <f t="shared" si="17"/>
        <v>19646956452</v>
      </c>
      <c r="M43" s="288">
        <f t="shared" si="17"/>
        <v>21164065849</v>
      </c>
      <c r="N43" s="288">
        <f t="shared" si="17"/>
        <v>27779660462</v>
      </c>
      <c r="O43" s="288">
        <f t="shared" si="17"/>
        <v>27779660462</v>
      </c>
      <c r="P43" s="611">
        <f t="shared" si="17"/>
        <v>26902559082</v>
      </c>
      <c r="Q43" s="267">
        <f>+P43/N43</f>
        <v>0.96842649026615013</v>
      </c>
      <c r="R43" s="288">
        <f t="shared" si="0"/>
        <v>50057117</v>
      </c>
      <c r="S43" s="288">
        <f t="shared" si="1"/>
        <v>1517109397</v>
      </c>
      <c r="T43" s="288">
        <f t="shared" si="2"/>
        <v>6615594613</v>
      </c>
      <c r="U43" s="288">
        <f t="shared" si="3"/>
        <v>0</v>
      </c>
      <c r="V43" s="3017">
        <f t="shared" si="4"/>
        <v>877101380</v>
      </c>
      <c r="X43" s="609">
        <v>26902559082</v>
      </c>
      <c r="Z43" s="265">
        <f>+P43-X43</f>
        <v>0</v>
      </c>
      <c r="AB43" s="638">
        <v>18805736103</v>
      </c>
      <c r="AC43" s="2676">
        <f t="shared" si="14"/>
        <v>0</v>
      </c>
    </row>
    <row r="44" spans="1:29">
      <c r="I44" s="24">
        <f t="shared" ref="I44:O44" si="18">+I20+I35+I37+I39</f>
        <v>20789856973</v>
      </c>
      <c r="J44" s="24">
        <f t="shared" si="18"/>
        <v>18805736103</v>
      </c>
      <c r="K44" s="24">
        <f t="shared" si="18"/>
        <v>19596899335</v>
      </c>
      <c r="L44" s="24">
        <f t="shared" si="18"/>
        <v>19646956452</v>
      </c>
      <c r="M44" s="24">
        <f t="shared" si="18"/>
        <v>21164065849</v>
      </c>
      <c r="N44" s="24">
        <f t="shared" si="18"/>
        <v>27779660462</v>
      </c>
      <c r="O44" s="24">
        <f t="shared" si="18"/>
        <v>27779660462</v>
      </c>
      <c r="P44" s="24">
        <f>+P20+P35+P37+P39</f>
        <v>26902559082</v>
      </c>
    </row>
    <row r="45" spans="1:29">
      <c r="P45" s="24">
        <f>+P43-26902559082</f>
        <v>0</v>
      </c>
    </row>
    <row r="47" spans="1:29">
      <c r="I47" s="743">
        <f t="shared" ref="I47:P47" si="19">+I43</f>
        <v>20789856973</v>
      </c>
      <c r="J47" s="743">
        <f t="shared" si="19"/>
        <v>18805736103</v>
      </c>
      <c r="K47" s="743">
        <f t="shared" si="19"/>
        <v>19596899335</v>
      </c>
      <c r="L47" s="743">
        <f t="shared" si="19"/>
        <v>19646956452</v>
      </c>
      <c r="M47" s="743">
        <f t="shared" si="19"/>
        <v>21164065849</v>
      </c>
      <c r="N47" s="743">
        <f t="shared" si="19"/>
        <v>27779660462</v>
      </c>
      <c r="O47" s="743">
        <f t="shared" si="19"/>
        <v>27779660462</v>
      </c>
      <c r="P47" s="743">
        <f t="shared" si="19"/>
        <v>26902559082</v>
      </c>
      <c r="Q47" s="743"/>
      <c r="R47" s="743"/>
      <c r="S47" s="743"/>
      <c r="T47" s="743"/>
      <c r="U47" s="743"/>
      <c r="V47" s="743"/>
    </row>
    <row r="49" spans="9:16">
      <c r="I49" s="24">
        <f t="shared" ref="I49:P49" si="20">+I33+I35+I37+I39</f>
        <v>20789856973</v>
      </c>
      <c r="J49" s="24">
        <f t="shared" si="20"/>
        <v>18805736103</v>
      </c>
      <c r="K49" s="24">
        <f t="shared" si="20"/>
        <v>19596899335</v>
      </c>
      <c r="L49" s="24">
        <f t="shared" si="20"/>
        <v>19646956452</v>
      </c>
      <c r="M49" s="24">
        <f t="shared" si="20"/>
        <v>21164065849</v>
      </c>
      <c r="N49" s="24">
        <f t="shared" si="20"/>
        <v>27779660462</v>
      </c>
      <c r="O49" s="24">
        <f t="shared" si="20"/>
        <v>27779660462</v>
      </c>
      <c r="P49" s="24">
        <f t="shared" si="20"/>
        <v>26902559082</v>
      </c>
    </row>
  </sheetData>
  <sheetProtection selectLockedCells="1" selectUnlockedCells="1"/>
  <mergeCells count="2">
    <mergeCell ref="A1:M1"/>
    <mergeCell ref="B2:K2"/>
  </mergeCells>
  <printOptions horizontalCentered="1"/>
  <pageMargins left="0.19685039370078741" right="0.19685039370078741" top="0.47244094488188981" bottom="0.43307086614173229" header="0.51181102362204722" footer="0.51181102362204722"/>
  <pageSetup paperSize="9" scale="46" firstPageNumber="0" fitToWidth="2" fitToHeight="2" orientation="portrait" horizontalDpi="300" verticalDpi="300" r:id="rId1"/>
  <headerFooter alignWithMargins="0"/>
  <colBreaks count="1" manualBreakCount="1">
    <brk id="17" max="42"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F1FBA-FC43-45DC-9D5D-E2B5F9855F53}">
  <sheetPr>
    <tabColor rgb="FFFFFF00"/>
    <pageSetUpPr fitToPage="1"/>
  </sheetPr>
  <dimension ref="A1:AF99"/>
  <sheetViews>
    <sheetView view="pageBreakPreview" workbookViewId="0">
      <pane ySplit="1" topLeftCell="A11" activePane="bottomLeft" state="frozen"/>
      <selection sqref="A1:K1"/>
      <selection pane="bottomLeft" activeCell="AH49" sqref="AH49"/>
    </sheetView>
  </sheetViews>
  <sheetFormatPr defaultColWidth="8" defaultRowHeight="12.75"/>
  <cols>
    <col min="1" max="1" width="8" style="1481"/>
    <col min="2" max="2" width="35.5703125" style="744" customWidth="1"/>
    <col min="3" max="3" width="12" style="744" customWidth="1"/>
    <col min="4" max="4" width="10.7109375" style="744" customWidth="1"/>
    <col min="5" max="5" width="12" style="744" customWidth="1"/>
    <col min="6" max="6" width="12.5703125" style="744" customWidth="1"/>
    <col min="7" max="7" width="13.42578125" style="744" hidden="1" customWidth="1"/>
    <col min="8" max="8" width="10.42578125" style="744" hidden="1" customWidth="1"/>
    <col min="9" max="9" width="9.85546875" style="744" hidden="1" customWidth="1"/>
    <col min="10" max="10" width="9.5703125" style="744" hidden="1" customWidth="1"/>
    <col min="11" max="11" width="8" style="744" hidden="1" customWidth="1"/>
    <col min="12" max="12" width="9.42578125" style="744" hidden="1" customWidth="1"/>
    <col min="13" max="13" width="8" style="744" hidden="1" customWidth="1"/>
    <col min="14" max="14" width="10.28515625" style="744" hidden="1" customWidth="1"/>
    <col min="15" max="18" width="8" style="744" hidden="1" customWidth="1"/>
    <col min="19" max="19" width="9.28515625" style="744" hidden="1" customWidth="1"/>
    <col min="20" max="20" width="9.5703125" style="744" hidden="1" customWidth="1"/>
    <col min="21" max="21" width="20" style="744" hidden="1" customWidth="1"/>
    <col min="22" max="22" width="6.5703125" style="744" hidden="1" customWidth="1"/>
    <col min="23" max="24" width="9.5703125" style="744" hidden="1" customWidth="1"/>
    <col min="25" max="29" width="0" style="744" hidden="1" customWidth="1"/>
    <col min="30" max="32" width="8" style="744" hidden="1" customWidth="1"/>
    <col min="33" max="16384" width="8" style="744"/>
  </cols>
  <sheetData>
    <row r="1" spans="1:32" s="745" customFormat="1" ht="30.75" customHeight="1" thickBot="1">
      <c r="A1" s="3699" t="s">
        <v>4050</v>
      </c>
      <c r="B1" s="3700"/>
      <c r="C1" s="3700"/>
      <c r="D1" s="3700"/>
      <c r="E1" s="3700"/>
      <c r="F1" s="3700"/>
      <c r="G1" s="1370"/>
      <c r="H1" s="1370"/>
      <c r="I1" s="1370"/>
      <c r="J1" s="1370"/>
      <c r="K1" s="95"/>
    </row>
    <row r="2" spans="1:32" s="745" customFormat="1" ht="27" customHeight="1" thickBot="1">
      <c r="A2" s="3701" t="s">
        <v>3455</v>
      </c>
      <c r="B2" s="3702"/>
      <c r="C2" s="3702"/>
      <c r="D2" s="3702"/>
      <c r="E2" s="3702"/>
      <c r="F2" s="3690"/>
      <c r="G2" s="1370"/>
      <c r="H2" s="1370"/>
      <c r="I2" s="1370"/>
      <c r="J2" s="1370"/>
      <c r="K2" s="95"/>
      <c r="T2" s="746" t="s">
        <v>2699</v>
      </c>
      <c r="U2" s="746" t="s">
        <v>2700</v>
      </c>
    </row>
    <row r="3" spans="1:32" s="745" customFormat="1" ht="40.5" customHeight="1" thickBot="1">
      <c r="A3" s="3711" t="s">
        <v>3601</v>
      </c>
      <c r="B3" s="3712"/>
      <c r="C3" s="3712"/>
      <c r="D3" s="3712"/>
      <c r="E3" s="3712"/>
      <c r="F3" s="3713"/>
      <c r="G3" s="1371"/>
      <c r="H3" s="1371"/>
      <c r="I3" s="1371"/>
      <c r="J3" s="1371"/>
      <c r="K3" s="1372"/>
      <c r="P3" s="745" t="s">
        <v>2701</v>
      </c>
      <c r="T3" s="745">
        <v>700000000</v>
      </c>
      <c r="U3" s="745">
        <f>+T3/1000</f>
        <v>700000</v>
      </c>
    </row>
    <row r="4" spans="1:32" s="745" customFormat="1" ht="14.25" thickBot="1">
      <c r="A4" s="1487"/>
      <c r="B4" s="1489" t="s">
        <v>2728</v>
      </c>
      <c r="C4" s="1490" t="s">
        <v>2729</v>
      </c>
      <c r="D4" s="1490" t="s">
        <v>2730</v>
      </c>
      <c r="E4" s="1490" t="s">
        <v>2731</v>
      </c>
      <c r="F4" s="1491" t="s">
        <v>2732</v>
      </c>
      <c r="G4" s="1373"/>
      <c r="H4" s="1373"/>
      <c r="I4" s="1373"/>
      <c r="J4" s="1373"/>
      <c r="K4" s="860"/>
      <c r="P4" s="745" t="s">
        <v>2703</v>
      </c>
      <c r="T4" s="745">
        <v>700000000</v>
      </c>
      <c r="U4" s="745">
        <f>+T4/1000</f>
        <v>700000</v>
      </c>
    </row>
    <row r="5" spans="1:32" s="745" customFormat="1" ht="48.75" thickBot="1">
      <c r="A5" s="1495" t="s">
        <v>6</v>
      </c>
      <c r="B5" s="1496" t="s">
        <v>2704</v>
      </c>
      <c r="C5" s="1497" t="s">
        <v>3841</v>
      </c>
      <c r="D5" s="1497" t="s">
        <v>3843</v>
      </c>
      <c r="E5" s="1497" t="s">
        <v>3844</v>
      </c>
      <c r="F5" s="1498" t="s">
        <v>3573</v>
      </c>
      <c r="I5" s="1325"/>
    </row>
    <row r="6" spans="1:32" s="745" customFormat="1">
      <c r="A6" s="1492" t="s">
        <v>12</v>
      </c>
      <c r="B6" s="1493" t="s">
        <v>2708</v>
      </c>
      <c r="C6" s="1493"/>
      <c r="D6" s="1493"/>
      <c r="E6" s="1493"/>
      <c r="F6" s="1494">
        <f t="shared" ref="F6:F12" si="0">SUM(C6:E6)</f>
        <v>0</v>
      </c>
      <c r="I6" s="1325"/>
    </row>
    <row r="7" spans="1:32" s="745" customFormat="1">
      <c r="A7" s="1485" t="s">
        <v>14</v>
      </c>
      <c r="B7" s="1482" t="s">
        <v>2709</v>
      </c>
      <c r="C7" s="1326"/>
      <c r="D7" s="1326"/>
      <c r="E7" s="1326"/>
      <c r="F7" s="1488">
        <f t="shared" si="0"/>
        <v>0</v>
      </c>
      <c r="I7" s="1325"/>
      <c r="AD7" s="745">
        <f>11400000/(120400/4)</f>
        <v>378.73754152823921</v>
      </c>
    </row>
    <row r="8" spans="1:32" s="745" customFormat="1">
      <c r="A8" s="1485" t="s">
        <v>15</v>
      </c>
      <c r="B8" s="1326" t="s">
        <v>2710</v>
      </c>
      <c r="C8" s="1326">
        <f>22170131</f>
        <v>22170131</v>
      </c>
      <c r="D8" s="1326">
        <v>0</v>
      </c>
      <c r="E8" s="1326">
        <f>34200000-10770131</f>
        <v>23429869</v>
      </c>
      <c r="F8" s="1488">
        <f t="shared" si="0"/>
        <v>45600000</v>
      </c>
      <c r="H8" s="745">
        <v>10770131</v>
      </c>
      <c r="I8" s="1325"/>
    </row>
    <row r="9" spans="1:32" s="745" customFormat="1">
      <c r="A9" s="1485" t="s">
        <v>17</v>
      </c>
      <c r="B9" s="1326" t="s">
        <v>2711</v>
      </c>
      <c r="C9" s="1326"/>
      <c r="D9" s="1326"/>
      <c r="E9" s="1326"/>
      <c r="F9" s="1488">
        <f t="shared" si="0"/>
        <v>0</v>
      </c>
      <c r="I9" s="1325"/>
    </row>
    <row r="10" spans="1:32" s="745" customFormat="1">
      <c r="A10" s="1485" t="s">
        <v>19</v>
      </c>
      <c r="B10" s="1326" t="s">
        <v>2712</v>
      </c>
      <c r="C10" s="1326"/>
      <c r="D10" s="1326"/>
      <c r="E10" s="1326"/>
      <c r="F10" s="1488">
        <f t="shared" si="0"/>
        <v>0</v>
      </c>
      <c r="I10" s="1325"/>
    </row>
    <row r="11" spans="1:32" s="745" customFormat="1" ht="13.5" thickBot="1">
      <c r="A11" s="1485" t="s">
        <v>21</v>
      </c>
      <c r="B11" s="1326" t="s">
        <v>2713</v>
      </c>
      <c r="C11" s="1326"/>
      <c r="D11" s="1326"/>
      <c r="E11" s="1326"/>
      <c r="F11" s="1488">
        <f t="shared" si="0"/>
        <v>0</v>
      </c>
      <c r="I11" s="1325"/>
    </row>
    <row r="12" spans="1:32" s="745" customFormat="1" ht="13.5" hidden="1" thickBot="1">
      <c r="A12" s="1499"/>
      <c r="B12" s="1500"/>
      <c r="C12" s="1500"/>
      <c r="D12" s="1500"/>
      <c r="E12" s="1500"/>
      <c r="F12" s="1501">
        <f t="shared" si="0"/>
        <v>0</v>
      </c>
      <c r="I12" s="1325"/>
    </row>
    <row r="13" spans="1:32" s="745" customFormat="1" ht="13.5" thickBot="1">
      <c r="A13" s="1495" t="s">
        <v>23</v>
      </c>
      <c r="B13" s="1496" t="s">
        <v>2714</v>
      </c>
      <c r="C13" s="1506">
        <f>C6+SUM(C8:C12)</f>
        <v>22170131</v>
      </c>
      <c r="D13" s="1506">
        <f>D6+SUM(D8:D12)</f>
        <v>0</v>
      </c>
      <c r="E13" s="1506">
        <f>E6+SUM(E8:E12)</f>
        <v>23429869</v>
      </c>
      <c r="F13" s="1507">
        <f>F6+SUM(F8:F12)</f>
        <v>45600000</v>
      </c>
      <c r="I13" s="1325"/>
      <c r="AD13" s="746" t="s">
        <v>3603</v>
      </c>
      <c r="AE13" s="746" t="s">
        <v>3604</v>
      </c>
      <c r="AF13" s="746" t="s">
        <v>3605</v>
      </c>
    </row>
    <row r="14" spans="1:32" s="745" customFormat="1" ht="48.75" thickBot="1">
      <c r="A14" s="1502" t="s">
        <v>25</v>
      </c>
      <c r="B14" s="1503" t="s">
        <v>2715</v>
      </c>
      <c r="C14" s="1504" t="s">
        <v>3842</v>
      </c>
      <c r="D14" s="1504" t="s">
        <v>3845</v>
      </c>
      <c r="E14" s="1504" t="s">
        <v>3846</v>
      </c>
      <c r="F14" s="1505" t="s">
        <v>3574</v>
      </c>
      <c r="I14" s="1325"/>
      <c r="AD14" s="745">
        <v>84000</v>
      </c>
      <c r="AE14" s="745">
        <f>+AD14/4</f>
        <v>21000</v>
      </c>
      <c r="AF14" s="745">
        <f>+AD14-AE14</f>
        <v>63000</v>
      </c>
    </row>
    <row r="15" spans="1:32" s="745" customFormat="1">
      <c r="A15" s="1492" t="s">
        <v>27</v>
      </c>
      <c r="B15" s="1493" t="s">
        <v>2716</v>
      </c>
      <c r="C15" s="1493"/>
      <c r="D15" s="1493">
        <f>+AE14*AD7+430596</f>
        <v>8384084.3720930237</v>
      </c>
      <c r="E15" s="1493">
        <f>+AF14*AD7-430596</f>
        <v>23429869.116279069</v>
      </c>
      <c r="F15" s="1494">
        <f>SUM(C15:E15)</f>
        <v>31813953.488372095</v>
      </c>
      <c r="G15" s="745">
        <v>7953488.3720930237</v>
      </c>
      <c r="H15" s="745">
        <v>23860465.116279069</v>
      </c>
      <c r="I15" s="1325">
        <v>31813953.488372095</v>
      </c>
      <c r="AD15" s="745">
        <v>6720</v>
      </c>
      <c r="AE15" s="745">
        <f t="shared" ref="AE15:AE22" si="1">+AD15/4</f>
        <v>1680</v>
      </c>
      <c r="AF15" s="745">
        <f t="shared" ref="AF15:AF22" si="2">+AD15-AE15</f>
        <v>5040</v>
      </c>
    </row>
    <row r="16" spans="1:32" s="745" customFormat="1">
      <c r="A16" s="1485" t="s">
        <v>29</v>
      </c>
      <c r="B16" s="1483" t="s">
        <v>2717</v>
      </c>
      <c r="C16" s="1326"/>
      <c r="D16" s="1326"/>
      <c r="E16" s="1326"/>
      <c r="F16" s="1488">
        <f>SUM(C16:E16)</f>
        <v>0</v>
      </c>
      <c r="I16" s="1325">
        <v>0</v>
      </c>
      <c r="AD16" s="745">
        <v>5600</v>
      </c>
      <c r="AE16" s="745">
        <f t="shared" si="1"/>
        <v>1400</v>
      </c>
      <c r="AF16" s="745">
        <f t="shared" si="2"/>
        <v>4200</v>
      </c>
    </row>
    <row r="17" spans="1:32" s="745" customFormat="1">
      <c r="A17" s="1485" t="s">
        <v>31</v>
      </c>
      <c r="B17" s="1326" t="s">
        <v>2719</v>
      </c>
      <c r="C17" s="1326">
        <v>858686</v>
      </c>
      <c r="D17" s="1326">
        <f>(AE15+AE16+AE18)*AD7+(AF15+AF16+AF18)*AD7-858686</f>
        <v>12927360.511627907</v>
      </c>
      <c r="E17" s="1326"/>
      <c r="F17" s="1488">
        <f>SUM(C17:E17)</f>
        <v>13786046.511627907</v>
      </c>
      <c r="G17" s="745">
        <v>3446511.6279069767</v>
      </c>
      <c r="H17" s="745">
        <v>10339534.883720931</v>
      </c>
      <c r="I17" s="1325">
        <v>13786046.511627907</v>
      </c>
      <c r="AD17" s="745">
        <f>SUM(AD14:AD16)</f>
        <v>96320</v>
      </c>
      <c r="AE17" s="745">
        <f t="shared" si="1"/>
        <v>24080</v>
      </c>
      <c r="AF17" s="745">
        <f t="shared" si="2"/>
        <v>72240</v>
      </c>
    </row>
    <row r="18" spans="1:32" s="745" customFormat="1" ht="13.5" thickBot="1">
      <c r="A18" s="1485" t="s">
        <v>33</v>
      </c>
      <c r="B18" s="1326" t="s">
        <v>2721</v>
      </c>
      <c r="C18" s="1326"/>
      <c r="D18" s="1326"/>
      <c r="E18" s="1326"/>
      <c r="F18" s="1488">
        <f>SUM(C18:E18)</f>
        <v>0</v>
      </c>
      <c r="I18" s="1325">
        <v>0</v>
      </c>
      <c r="AD18" s="745">
        <f>+AD17*0.25</f>
        <v>24080</v>
      </c>
      <c r="AE18" s="745">
        <f t="shared" si="1"/>
        <v>6020</v>
      </c>
      <c r="AF18" s="745">
        <f t="shared" si="2"/>
        <v>18060</v>
      </c>
    </row>
    <row r="19" spans="1:32" s="745" customFormat="1" ht="13.5" hidden="1" thickBot="1">
      <c r="A19" s="1485"/>
      <c r="B19" s="1326"/>
      <c r="C19" s="1326"/>
      <c r="D19" s="1326"/>
      <c r="E19" s="1326"/>
      <c r="F19" s="1488">
        <f>SUM(C19:D19)</f>
        <v>0</v>
      </c>
      <c r="I19" s="1325">
        <v>0</v>
      </c>
      <c r="AE19" s="745">
        <f t="shared" si="1"/>
        <v>0</v>
      </c>
      <c r="AF19" s="745">
        <f t="shared" si="2"/>
        <v>0</v>
      </c>
    </row>
    <row r="20" spans="1:32" s="745" customFormat="1" ht="13.5" hidden="1" thickBot="1">
      <c r="A20" s="1485"/>
      <c r="B20" s="1326"/>
      <c r="C20" s="1326"/>
      <c r="D20" s="1326"/>
      <c r="E20" s="1326"/>
      <c r="F20" s="1488">
        <f>SUM(C20:D20)</f>
        <v>0</v>
      </c>
      <c r="I20" s="1325">
        <v>0</v>
      </c>
      <c r="AE20" s="745">
        <f t="shared" si="1"/>
        <v>0</v>
      </c>
      <c r="AF20" s="745">
        <f t="shared" si="2"/>
        <v>0</v>
      </c>
    </row>
    <row r="21" spans="1:32" s="745" customFormat="1" ht="13.5" hidden="1" thickBot="1">
      <c r="A21" s="1499"/>
      <c r="B21" s="1500"/>
      <c r="C21" s="1500"/>
      <c r="D21" s="1500"/>
      <c r="E21" s="1500"/>
      <c r="F21" s="1501">
        <f>SUM(C21:D21)</f>
        <v>0</v>
      </c>
      <c r="I21" s="1325">
        <v>0</v>
      </c>
      <c r="AE21" s="745">
        <f t="shared" si="1"/>
        <v>0</v>
      </c>
      <c r="AF21" s="745">
        <f t="shared" si="2"/>
        <v>0</v>
      </c>
    </row>
    <row r="22" spans="1:32" s="745" customFormat="1" ht="13.5" thickBot="1">
      <c r="A22" s="1495" t="s">
        <v>35</v>
      </c>
      <c r="B22" s="1496" t="s">
        <v>66</v>
      </c>
      <c r="C22" s="1506">
        <f>SUM(C15:C21)</f>
        <v>858686</v>
      </c>
      <c r="D22" s="1506">
        <f>SUM(D15:D21)</f>
        <v>21311444.883720931</v>
      </c>
      <c r="E22" s="1506">
        <f>SUM(E15:E21)</f>
        <v>23429869.116279069</v>
      </c>
      <c r="F22" s="1507">
        <f>SUM(F15:F21)</f>
        <v>45600000</v>
      </c>
      <c r="G22" s="745">
        <v>11400000</v>
      </c>
      <c r="H22" s="745">
        <v>34200000</v>
      </c>
      <c r="I22" s="1325">
        <v>45600000</v>
      </c>
      <c r="AD22" s="745">
        <f>SUM(AD17:AD18)</f>
        <v>120400</v>
      </c>
      <c r="AE22" s="745">
        <f t="shared" si="1"/>
        <v>30100</v>
      </c>
      <c r="AF22" s="745">
        <f t="shared" si="2"/>
        <v>90300</v>
      </c>
    </row>
    <row r="23" spans="1:32" s="745" customFormat="1" ht="13.5" thickBot="1">
      <c r="A23" s="746"/>
      <c r="B23" s="1792"/>
      <c r="C23" s="1793"/>
      <c r="D23" s="1793"/>
      <c r="E23" s="1793"/>
      <c r="F23" s="1793"/>
      <c r="I23" s="1325"/>
    </row>
    <row r="24" spans="1:32" s="745" customFormat="1" hidden="1">
      <c r="A24" s="3709" t="s">
        <v>3455</v>
      </c>
      <c r="B24" s="3546"/>
      <c r="C24" s="3546"/>
      <c r="D24" s="3546"/>
      <c r="E24" s="3546"/>
      <c r="F24" s="3710"/>
      <c r="I24" s="1325"/>
    </row>
    <row r="25" spans="1:32" s="745" customFormat="1" ht="40.5" hidden="1" customHeight="1" thickBot="1">
      <c r="A25" s="3714" t="s">
        <v>3602</v>
      </c>
      <c r="B25" s="3715"/>
      <c r="C25" s="3715"/>
      <c r="D25" s="3715"/>
      <c r="E25" s="3715"/>
      <c r="F25" s="3716"/>
      <c r="I25" s="1325"/>
    </row>
    <row r="26" spans="1:32" s="745" customFormat="1" ht="13.5" hidden="1" thickBot="1">
      <c r="A26" s="1487"/>
      <c r="B26" s="1489" t="s">
        <v>2728</v>
      </c>
      <c r="C26" s="1490" t="s">
        <v>2729</v>
      </c>
      <c r="D26" s="1490" t="s">
        <v>2730</v>
      </c>
      <c r="E26" s="1490" t="s">
        <v>2731</v>
      </c>
      <c r="F26" s="1491" t="s">
        <v>2732</v>
      </c>
      <c r="I26" s="1325"/>
    </row>
    <row r="27" spans="1:32" s="745" customFormat="1" ht="48.75" hidden="1" thickBot="1">
      <c r="A27" s="1495" t="s">
        <v>6</v>
      </c>
      <c r="B27" s="1496" t="s">
        <v>2704</v>
      </c>
      <c r="C27" s="1497" t="s">
        <v>3567</v>
      </c>
      <c r="D27" s="1497" t="s">
        <v>3569</v>
      </c>
      <c r="E27" s="1497" t="s">
        <v>3570</v>
      </c>
      <c r="F27" s="1498" t="s">
        <v>3573</v>
      </c>
      <c r="I27" s="1325"/>
    </row>
    <row r="28" spans="1:32" s="745" customFormat="1" hidden="1">
      <c r="A28" s="1492" t="s">
        <v>12</v>
      </c>
      <c r="B28" s="1493" t="s">
        <v>2708</v>
      </c>
      <c r="C28" s="1493"/>
      <c r="D28" s="1493">
        <f>+'34-35.mell.Ber.,Felúj.'!K77</f>
        <v>0</v>
      </c>
      <c r="E28" s="1493"/>
      <c r="F28" s="1494">
        <f t="shared" ref="F28:F34" si="3">SUM(C28:E28)</f>
        <v>0</v>
      </c>
      <c r="I28" s="1325"/>
    </row>
    <row r="29" spans="1:32" s="745" customFormat="1" hidden="1">
      <c r="A29" s="1485" t="s">
        <v>14</v>
      </c>
      <c r="B29" s="1482" t="s">
        <v>2709</v>
      </c>
      <c r="C29" s="1326"/>
      <c r="D29" s="1326"/>
      <c r="E29" s="1326"/>
      <c r="F29" s="1488">
        <f t="shared" si="3"/>
        <v>0</v>
      </c>
      <c r="I29" s="1325"/>
    </row>
    <row r="30" spans="1:32" s="745" customFormat="1" hidden="1">
      <c r="A30" s="1485" t="s">
        <v>15</v>
      </c>
      <c r="B30" s="1326" t="s">
        <v>2710</v>
      </c>
      <c r="C30" s="1326"/>
      <c r="D30" s="1326">
        <f>+'7. mell. Önk.összes.bevétele'!K314</f>
        <v>0</v>
      </c>
      <c r="E30" s="1326"/>
      <c r="F30" s="1488">
        <f t="shared" si="3"/>
        <v>0</v>
      </c>
      <c r="I30" s="1325"/>
    </row>
    <row r="31" spans="1:32" s="745" customFormat="1" hidden="1">
      <c r="A31" s="1485" t="s">
        <v>17</v>
      </c>
      <c r="B31" s="1326" t="s">
        <v>2711</v>
      </c>
      <c r="C31" s="1326"/>
      <c r="D31" s="1326"/>
      <c r="E31" s="1326"/>
      <c r="F31" s="1488">
        <f t="shared" si="3"/>
        <v>0</v>
      </c>
      <c r="I31" s="1325"/>
    </row>
    <row r="32" spans="1:32" s="745" customFormat="1" hidden="1">
      <c r="A32" s="1485" t="s">
        <v>19</v>
      </c>
      <c r="B32" s="1326" t="s">
        <v>2712</v>
      </c>
      <c r="C32" s="1326"/>
      <c r="D32" s="1326"/>
      <c r="E32" s="1326"/>
      <c r="F32" s="1488">
        <f t="shared" si="3"/>
        <v>0</v>
      </c>
      <c r="I32" s="1325"/>
    </row>
    <row r="33" spans="1:9" s="745" customFormat="1" ht="13.5" hidden="1" thickBot="1">
      <c r="A33" s="1485" t="s">
        <v>21</v>
      </c>
      <c r="B33" s="1326" t="s">
        <v>2713</v>
      </c>
      <c r="C33" s="1326"/>
      <c r="D33" s="1326"/>
      <c r="E33" s="1326"/>
      <c r="F33" s="1488">
        <f t="shared" si="3"/>
        <v>0</v>
      </c>
      <c r="I33" s="1325"/>
    </row>
    <row r="34" spans="1:9" s="745" customFormat="1" ht="13.5" hidden="1" thickBot="1">
      <c r="A34" s="1499"/>
      <c r="B34" s="1500"/>
      <c r="C34" s="1500"/>
      <c r="D34" s="1500"/>
      <c r="E34" s="1500"/>
      <c r="F34" s="1501">
        <f t="shared" si="3"/>
        <v>0</v>
      </c>
      <c r="I34" s="1325"/>
    </row>
    <row r="35" spans="1:9" s="745" customFormat="1" ht="13.5" hidden="1" thickBot="1">
      <c r="A35" s="1495" t="s">
        <v>23</v>
      </c>
      <c r="B35" s="1496" t="s">
        <v>2714</v>
      </c>
      <c r="C35" s="1506">
        <f>C28+SUM(C30:C34)</f>
        <v>0</v>
      </c>
      <c r="D35" s="1506">
        <f>D28+SUM(D30:D34)</f>
        <v>0</v>
      </c>
      <c r="E35" s="1506">
        <f>E28+SUM(E30:E34)</f>
        <v>0</v>
      </c>
      <c r="F35" s="1507">
        <f>F28+SUM(F30:F34)</f>
        <v>0</v>
      </c>
      <c r="I35" s="1325"/>
    </row>
    <row r="36" spans="1:9" s="745" customFormat="1" ht="48.75" hidden="1" thickBot="1">
      <c r="A36" s="1502" t="s">
        <v>25</v>
      </c>
      <c r="B36" s="1503" t="s">
        <v>2715</v>
      </c>
      <c r="C36" s="1504" t="s">
        <v>3568</v>
      </c>
      <c r="D36" s="1504" t="s">
        <v>3571</v>
      </c>
      <c r="E36" s="1504" t="s">
        <v>3572</v>
      </c>
      <c r="F36" s="1505" t="s">
        <v>3574</v>
      </c>
      <c r="I36" s="1325"/>
    </row>
    <row r="37" spans="1:9" s="745" customFormat="1" hidden="1">
      <c r="A37" s="1492" t="s">
        <v>27</v>
      </c>
      <c r="B37" s="1493" t="s">
        <v>2716</v>
      </c>
      <c r="C37" s="1493"/>
      <c r="D37" s="1493"/>
      <c r="E37" s="1493"/>
      <c r="F37" s="1494">
        <f>SUM(C37:E37)</f>
        <v>0</v>
      </c>
      <c r="I37" s="1325"/>
    </row>
    <row r="38" spans="1:9" s="745" customFormat="1" hidden="1">
      <c r="A38" s="1485" t="s">
        <v>29</v>
      </c>
      <c r="B38" s="1483" t="s">
        <v>2717</v>
      </c>
      <c r="C38" s="1326"/>
      <c r="D38" s="1326">
        <f>+'34-35.mell.Ber.,Felúj.'!K46+'34-35.mell.Ber.,Felúj.'!K77</f>
        <v>0</v>
      </c>
      <c r="E38" s="1326"/>
      <c r="F38" s="1488">
        <f>SUM(C38:E38)</f>
        <v>0</v>
      </c>
      <c r="I38" s="1325"/>
    </row>
    <row r="39" spans="1:9" s="745" customFormat="1" hidden="1">
      <c r="A39" s="1485" t="s">
        <v>31</v>
      </c>
      <c r="B39" s="1326" t="s">
        <v>2719</v>
      </c>
      <c r="C39" s="1326"/>
      <c r="D39" s="1326"/>
      <c r="E39" s="1326"/>
      <c r="F39" s="1488">
        <f>SUM(C39:E39)</f>
        <v>0</v>
      </c>
      <c r="I39" s="1325"/>
    </row>
    <row r="40" spans="1:9" s="745" customFormat="1" ht="13.5" hidden="1" thickBot="1">
      <c r="A40" s="1485" t="s">
        <v>33</v>
      </c>
      <c r="B40" s="1326" t="s">
        <v>2721</v>
      </c>
      <c r="C40" s="1326"/>
      <c r="D40" s="1326"/>
      <c r="E40" s="1326"/>
      <c r="F40" s="1488">
        <f>SUM(C40:E40)</f>
        <v>0</v>
      </c>
      <c r="I40" s="1325"/>
    </row>
    <row r="41" spans="1:9" s="745" customFormat="1" ht="13.5" hidden="1" thickBot="1">
      <c r="A41" s="1485"/>
      <c r="B41" s="1326"/>
      <c r="C41" s="1326"/>
      <c r="D41" s="1326"/>
      <c r="E41" s="1326"/>
      <c r="F41" s="1488">
        <f>SUM(C41:D41)</f>
        <v>0</v>
      </c>
      <c r="I41" s="1325"/>
    </row>
    <row r="42" spans="1:9" s="745" customFormat="1" ht="13.5" hidden="1" thickBot="1">
      <c r="A42" s="1485"/>
      <c r="B42" s="1326"/>
      <c r="C42" s="1326"/>
      <c r="D42" s="1326"/>
      <c r="E42" s="1326"/>
      <c r="F42" s="1488">
        <f>SUM(C42:D42)</f>
        <v>0</v>
      </c>
      <c r="I42" s="1325"/>
    </row>
    <row r="43" spans="1:9" s="745" customFormat="1" ht="13.5" hidden="1" thickBot="1">
      <c r="A43" s="1499"/>
      <c r="B43" s="1500"/>
      <c r="C43" s="1500"/>
      <c r="D43" s="1500"/>
      <c r="E43" s="1500"/>
      <c r="F43" s="1501">
        <f>SUM(C43:D43)</f>
        <v>0</v>
      </c>
      <c r="I43" s="1325"/>
    </row>
    <row r="44" spans="1:9" s="745" customFormat="1" ht="13.5" hidden="1" thickBot="1">
      <c r="A44" s="1495" t="s">
        <v>35</v>
      </c>
      <c r="B44" s="1496" t="s">
        <v>66</v>
      </c>
      <c r="C44" s="1506">
        <f>SUM(C37:C43)</f>
        <v>0</v>
      </c>
      <c r="D44" s="1506">
        <f>SUM(D37:D43)</f>
        <v>0</v>
      </c>
      <c r="E44" s="1506">
        <f>SUM(E37:E43)</f>
        <v>0</v>
      </c>
      <c r="F44" s="1507">
        <f>SUM(F37:F43)</f>
        <v>0</v>
      </c>
      <c r="I44" s="1325"/>
    </row>
    <row r="45" spans="1:9" s="745" customFormat="1" hidden="1">
      <c r="A45" s="746"/>
      <c r="B45" s="1792"/>
      <c r="C45" s="1793"/>
      <c r="D45" s="1793"/>
      <c r="E45" s="1793"/>
      <c r="F45" s="1793"/>
      <c r="I45" s="1325"/>
    </row>
    <row r="46" spans="1:9" s="745" customFormat="1" ht="27" customHeight="1" thickBot="1">
      <c r="A46" s="3701" t="s">
        <v>3455</v>
      </c>
      <c r="B46" s="3702"/>
      <c r="C46" s="3702"/>
      <c r="D46" s="3702"/>
      <c r="E46" s="3702"/>
      <c r="F46" s="3690"/>
      <c r="G46" s="745">
        <f>22170131-858686</f>
        <v>21311445</v>
      </c>
      <c r="H46" s="745">
        <f>+'31.mell. Működési kiadások'!K83</f>
        <v>21311445</v>
      </c>
      <c r="I46" s="1325"/>
    </row>
    <row r="47" spans="1:9" s="745" customFormat="1" ht="28.5" customHeight="1" thickBot="1">
      <c r="A47" s="3711" t="s">
        <v>3581</v>
      </c>
      <c r="B47" s="3712"/>
      <c r="C47" s="3712"/>
      <c r="D47" s="3712"/>
      <c r="E47" s="3712"/>
      <c r="F47" s="3713"/>
      <c r="G47" s="745">
        <f>+G46-D22</f>
        <v>0.11627906933426857</v>
      </c>
      <c r="I47" s="1325"/>
    </row>
    <row r="48" spans="1:9" s="745" customFormat="1" ht="13.5" thickBot="1">
      <c r="A48" s="1487"/>
      <c r="B48" s="1489" t="s">
        <v>2728</v>
      </c>
      <c r="C48" s="1490" t="s">
        <v>2729</v>
      </c>
      <c r="D48" s="1490" t="s">
        <v>2730</v>
      </c>
      <c r="E48" s="1490" t="s">
        <v>2731</v>
      </c>
      <c r="F48" s="1491" t="s">
        <v>2732</v>
      </c>
      <c r="I48" s="1325"/>
    </row>
    <row r="49" spans="1:9" s="745" customFormat="1" ht="48.75" thickBot="1">
      <c r="A49" s="1495" t="s">
        <v>6</v>
      </c>
      <c r="B49" s="1496" t="s">
        <v>2704</v>
      </c>
      <c r="C49" s="1497" t="str">
        <f>+C5</f>
        <v>2025. év előtti tervezett forrás  forintban</v>
      </c>
      <c r="D49" s="1497" t="str">
        <f>+D5</f>
        <v>2025. évi tervezett forrás forintban</v>
      </c>
      <c r="E49" s="1497" t="str">
        <f>+E5</f>
        <v>2025. év utáni tervezett forrás forintban</v>
      </c>
      <c r="F49" s="1498" t="s">
        <v>3573</v>
      </c>
      <c r="I49" s="1325"/>
    </row>
    <row r="50" spans="1:9" s="745" customFormat="1">
      <c r="A50" s="1492" t="s">
        <v>12</v>
      </c>
      <c r="B50" s="1493" t="s">
        <v>2708</v>
      </c>
      <c r="C50" s="1493">
        <v>299432183</v>
      </c>
      <c r="D50" s="1493"/>
      <c r="E50" s="1493"/>
      <c r="F50" s="1494">
        <f t="shared" ref="F50:F56" si="4">SUM(C50:E50)</f>
        <v>299432183</v>
      </c>
      <c r="I50" s="1325"/>
    </row>
    <row r="51" spans="1:9" s="745" customFormat="1">
      <c r="A51" s="1485" t="s">
        <v>14</v>
      </c>
      <c r="B51" s="1482" t="s">
        <v>2709</v>
      </c>
      <c r="C51" s="1326"/>
      <c r="D51" s="1326"/>
      <c r="E51" s="1326"/>
      <c r="F51" s="1488">
        <f t="shared" si="4"/>
        <v>0</v>
      </c>
      <c r="I51" s="1325"/>
    </row>
    <row r="52" spans="1:9" s="745" customFormat="1">
      <c r="A52" s="1485" t="s">
        <v>15</v>
      </c>
      <c r="B52" s="1326" t="s">
        <v>2710</v>
      </c>
      <c r="C52" s="1326"/>
      <c r="D52" s="1326">
        <f>(217450847+277324871+43985561)</f>
        <v>538761279</v>
      </c>
      <c r="E52" s="1326"/>
      <c r="F52" s="1488">
        <f t="shared" si="4"/>
        <v>538761279</v>
      </c>
      <c r="I52" s="1325"/>
    </row>
    <row r="53" spans="1:9" s="745" customFormat="1">
      <c r="A53" s="1485" t="s">
        <v>17</v>
      </c>
      <c r="B53" s="1326" t="s">
        <v>2711</v>
      </c>
      <c r="C53" s="1326"/>
      <c r="D53" s="1326"/>
      <c r="E53" s="1326"/>
      <c r="F53" s="1488">
        <f t="shared" si="4"/>
        <v>0</v>
      </c>
      <c r="I53" s="1325"/>
    </row>
    <row r="54" spans="1:9" s="745" customFormat="1">
      <c r="A54" s="1485" t="s">
        <v>19</v>
      </c>
      <c r="B54" s="1326" t="s">
        <v>2712</v>
      </c>
      <c r="C54" s="1326"/>
      <c r="D54" s="1326"/>
      <c r="E54" s="1326"/>
      <c r="F54" s="1488">
        <f t="shared" si="4"/>
        <v>0</v>
      </c>
      <c r="I54" s="1325"/>
    </row>
    <row r="55" spans="1:9" s="745" customFormat="1" ht="13.5" thickBot="1">
      <c r="A55" s="1485" t="s">
        <v>21</v>
      </c>
      <c r="B55" s="1326" t="s">
        <v>3637</v>
      </c>
      <c r="C55" s="1326"/>
      <c r="D55" s="1326">
        <v>133589444</v>
      </c>
      <c r="E55" s="1326"/>
      <c r="F55" s="1488">
        <f t="shared" si="4"/>
        <v>133589444</v>
      </c>
      <c r="G55" s="745">
        <f>+'7. mell. Önk.összes.bevétele'!K266</f>
        <v>672350723</v>
      </c>
      <c r="H55" s="1365">
        <f>(217450847+277324871+43985561)+133589444</f>
        <v>672350723</v>
      </c>
      <c r="I55" s="1325"/>
    </row>
    <row r="56" spans="1:9" s="745" customFormat="1" ht="13.5" hidden="1" thickBot="1">
      <c r="A56" s="1499"/>
      <c r="B56" s="1500"/>
      <c r="C56" s="1500"/>
      <c r="D56" s="1500"/>
      <c r="E56" s="1500"/>
      <c r="F56" s="1501">
        <f t="shared" si="4"/>
        <v>0</v>
      </c>
      <c r="I56" s="1325"/>
    </row>
    <row r="57" spans="1:9" s="745" customFormat="1" ht="13.5" thickBot="1">
      <c r="A57" s="1495" t="s">
        <v>23</v>
      </c>
      <c r="B57" s="1496" t="s">
        <v>2714</v>
      </c>
      <c r="C57" s="1506">
        <f>C50+SUM(C52:C56)</f>
        <v>299432183</v>
      </c>
      <c r="D57" s="1506">
        <f>D50+SUM(D52:D56)</f>
        <v>672350723</v>
      </c>
      <c r="E57" s="1506">
        <f>E50+SUM(E52:E56)</f>
        <v>0</v>
      </c>
      <c r="F57" s="1507">
        <f>F50+SUM(F52:F56)</f>
        <v>971782906</v>
      </c>
      <c r="G57" s="745">
        <f>+F66-F57</f>
        <v>0</v>
      </c>
      <c r="I57" s="1325"/>
    </row>
    <row r="58" spans="1:9" s="745" customFormat="1" ht="48.75" thickBot="1">
      <c r="A58" s="1502" t="s">
        <v>25</v>
      </c>
      <c r="B58" s="1503" t="s">
        <v>2715</v>
      </c>
      <c r="C58" s="1504" t="str">
        <f>+C14</f>
        <v>2025. év előtti tervezett   kiadás forintban</v>
      </c>
      <c r="D58" s="1504" t="str">
        <f>+D14</f>
        <v>2025. évi tervezett kiadás forintban</v>
      </c>
      <c r="E58" s="1504" t="str">
        <f>+E14</f>
        <v>2025. év utáni tervezett kiadás forintban</v>
      </c>
      <c r="F58" s="1505" t="s">
        <v>3574</v>
      </c>
      <c r="I58" s="1325"/>
    </row>
    <row r="59" spans="1:9" s="745" customFormat="1">
      <c r="A59" s="1492" t="s">
        <v>27</v>
      </c>
      <c r="B59" s="1493" t="s">
        <v>2716</v>
      </c>
      <c r="C59" s="1493"/>
      <c r="D59" s="1493"/>
      <c r="E59" s="1493"/>
      <c r="F59" s="1494">
        <f>SUM(C59:E59)</f>
        <v>0</v>
      </c>
      <c r="I59" s="1325"/>
    </row>
    <row r="60" spans="1:9" s="745" customFormat="1">
      <c r="A60" s="1485" t="s">
        <v>29</v>
      </c>
      <c r="B60" s="1483" t="s">
        <v>2717</v>
      </c>
      <c r="C60" s="1326">
        <f>+'2. sz tájékoztató tábla'!D17</f>
        <v>865984587</v>
      </c>
      <c r="D60" s="1326">
        <f>+'2. sz tájékoztató tábla'!E17</f>
        <v>105798319</v>
      </c>
      <c r="E60" s="1326"/>
      <c r="F60" s="1488">
        <f>SUM(C60:E60)</f>
        <v>971782906</v>
      </c>
      <c r="I60" s="1325"/>
    </row>
    <row r="61" spans="1:9" s="745" customFormat="1">
      <c r="A61" s="1485" t="s">
        <v>31</v>
      </c>
      <c r="B61" s="1326" t="s">
        <v>2719</v>
      </c>
      <c r="C61" s="1326"/>
      <c r="D61" s="1326"/>
      <c r="E61" s="1326"/>
      <c r="F61" s="1488">
        <f>SUM(C61:E61)</f>
        <v>0</v>
      </c>
      <c r="I61" s="1325"/>
    </row>
    <row r="62" spans="1:9" s="745" customFormat="1" ht="13.5" thickBot="1">
      <c r="A62" s="1485" t="s">
        <v>33</v>
      </c>
      <c r="B62" s="1326" t="s">
        <v>2721</v>
      </c>
      <c r="C62" s="1326"/>
      <c r="D62" s="1326"/>
      <c r="E62" s="1326"/>
      <c r="F62" s="1488">
        <f>SUM(C62:E62)</f>
        <v>0</v>
      </c>
      <c r="I62" s="1325"/>
    </row>
    <row r="63" spans="1:9" s="745" customFormat="1" ht="13.5" hidden="1" thickBot="1">
      <c r="A63" s="1485"/>
      <c r="B63" s="1326"/>
      <c r="C63" s="1326"/>
      <c r="D63" s="1326"/>
      <c r="E63" s="1326"/>
      <c r="F63" s="1488">
        <f>SUM(C63:D63)</f>
        <v>0</v>
      </c>
      <c r="I63" s="1325"/>
    </row>
    <row r="64" spans="1:9" s="745" customFormat="1" ht="13.5" hidden="1" thickBot="1">
      <c r="A64" s="1485"/>
      <c r="B64" s="1326"/>
      <c r="C64" s="1326"/>
      <c r="D64" s="1326"/>
      <c r="E64" s="1326"/>
      <c r="F64" s="1488">
        <f>SUM(C64:D64)</f>
        <v>0</v>
      </c>
      <c r="I64" s="1325"/>
    </row>
    <row r="65" spans="1:11" s="745" customFormat="1" ht="13.5" hidden="1" thickBot="1">
      <c r="A65" s="1499"/>
      <c r="B65" s="1500"/>
      <c r="C65" s="1500"/>
      <c r="D65" s="1500"/>
      <c r="E65" s="1500"/>
      <c r="F65" s="1501">
        <f>SUM(C65:D65)</f>
        <v>0</v>
      </c>
      <c r="I65" s="1325"/>
    </row>
    <row r="66" spans="1:11" s="745" customFormat="1" ht="13.5" thickBot="1">
      <c r="A66" s="1495" t="s">
        <v>35</v>
      </c>
      <c r="B66" s="1496" t="s">
        <v>66</v>
      </c>
      <c r="C66" s="1506">
        <f>SUM(C59:C65)</f>
        <v>865984587</v>
      </c>
      <c r="D66" s="1506">
        <f>SUM(D59:D65)</f>
        <v>105798319</v>
      </c>
      <c r="E66" s="1506">
        <f>SUM(E59:E65)</f>
        <v>0</v>
      </c>
      <c r="F66" s="1507">
        <f>SUM(F59:F65)</f>
        <v>971782906</v>
      </c>
      <c r="G66" s="745">
        <f>+'2. sz tájékoztató tábla'!I17</f>
        <v>971782906</v>
      </c>
      <c r="I66" s="1325"/>
    </row>
    <row r="67" spans="1:11" s="745" customFormat="1">
      <c r="A67" s="746"/>
      <c r="B67" s="1792"/>
      <c r="C67" s="1793"/>
      <c r="D67" s="1793"/>
      <c r="E67" s="1793"/>
      <c r="F67"/>
      <c r="I67" s="1325"/>
    </row>
    <row r="68" spans="1:11" s="745" customFormat="1" ht="8.25" customHeight="1" thickBot="1">
      <c r="A68" s="746"/>
      <c r="B68" s="752"/>
      <c r="C68" s="752"/>
      <c r="D68" s="752"/>
      <c r="E68" s="752"/>
      <c r="F68"/>
      <c r="G68" s="752"/>
      <c r="H68" s="752"/>
      <c r="I68" s="752"/>
      <c r="J68" s="751"/>
    </row>
    <row r="69" spans="1:11" s="745" customFormat="1" ht="38.25" customHeight="1" thickBot="1">
      <c r="A69" s="3706" t="s">
        <v>3847</v>
      </c>
      <c r="B69" s="3707"/>
      <c r="C69" s="3707"/>
      <c r="D69" s="3707"/>
      <c r="E69" s="3707"/>
      <c r="F69" s="3708"/>
      <c r="G69" s="751"/>
      <c r="J69" s="751"/>
    </row>
    <row r="70" spans="1:11" s="745" customFormat="1">
      <c r="A70" s="1484"/>
      <c r="B70" s="3703" t="s">
        <v>2728</v>
      </c>
      <c r="C70" s="3704"/>
      <c r="D70" s="3703" t="s">
        <v>2729</v>
      </c>
      <c r="E70" s="3704"/>
      <c r="F70" s="3705"/>
      <c r="G70" s="751"/>
      <c r="J70" s="751"/>
    </row>
    <row r="71" spans="1:11" s="745" customFormat="1" ht="12.75" customHeight="1" thickBot="1">
      <c r="A71" s="1486" t="s">
        <v>6</v>
      </c>
      <c r="B71" s="3686" t="s">
        <v>2722</v>
      </c>
      <c r="C71" s="3687"/>
      <c r="D71" s="3686" t="s">
        <v>2723</v>
      </c>
      <c r="E71" s="3686"/>
      <c r="F71" s="3696"/>
      <c r="G71" s="751"/>
    </row>
    <row r="72" spans="1:11" s="745" customFormat="1">
      <c r="A72" s="1492" t="s">
        <v>12</v>
      </c>
      <c r="B72" s="1508"/>
      <c r="C72" s="1508"/>
      <c r="D72" s="3697">
        <v>0</v>
      </c>
      <c r="E72" s="3697"/>
      <c r="F72" s="3698"/>
      <c r="G72" s="751"/>
    </row>
    <row r="73" spans="1:11" s="745" customFormat="1" ht="13.5" thickBot="1">
      <c r="A73" s="1486" t="s">
        <v>14</v>
      </c>
      <c r="B73" s="1509"/>
      <c r="C73" s="1509"/>
      <c r="D73" s="3684">
        <v>0</v>
      </c>
      <c r="E73" s="3684"/>
      <c r="F73" s="3685"/>
      <c r="G73" s="751"/>
    </row>
    <row r="74" spans="1:11" s="745" customFormat="1" ht="13.5" thickBot="1">
      <c r="A74" s="1495" t="s">
        <v>15</v>
      </c>
      <c r="B74" s="1510" t="s">
        <v>66</v>
      </c>
      <c r="C74" s="1510"/>
      <c r="D74" s="3684">
        <v>0</v>
      </c>
      <c r="E74" s="3684"/>
      <c r="F74" s="3685"/>
      <c r="G74" s="751"/>
    </row>
    <row r="75" spans="1:11" s="745" customFormat="1" ht="25.5" hidden="1" customHeight="1">
      <c r="A75" s="746"/>
      <c r="B75" s="752"/>
      <c r="C75" s="752"/>
      <c r="D75" s="752"/>
      <c r="E75" s="752"/>
      <c r="F75" s="752"/>
      <c r="G75" s="752"/>
      <c r="H75" s="752"/>
      <c r="I75" s="752"/>
      <c r="J75" s="751"/>
    </row>
    <row r="76" spans="1:11" s="745" customFormat="1" ht="31.5" hidden="1" customHeight="1">
      <c r="A76" s="746"/>
      <c r="B76" s="3694"/>
      <c r="C76" s="3695"/>
      <c r="D76" s="3695"/>
      <c r="E76" s="3695"/>
      <c r="F76" s="3695"/>
      <c r="G76" s="3695"/>
      <c r="H76" s="3695"/>
      <c r="I76" s="3695"/>
      <c r="J76" s="3546"/>
    </row>
    <row r="77" spans="1:11" s="745" customFormat="1" ht="14.25" hidden="1" customHeight="1" thickBot="1">
      <c r="A77" s="746"/>
      <c r="B77" s="3694" t="s">
        <v>2724</v>
      </c>
      <c r="C77" s="3695"/>
      <c r="D77" s="3695"/>
      <c r="E77" s="3695"/>
      <c r="F77" s="3695"/>
      <c r="G77" s="3695"/>
      <c r="H77" s="3695"/>
      <c r="I77" s="3695"/>
      <c r="J77" s="3546"/>
    </row>
    <row r="78" spans="1:11" s="745" customFormat="1" ht="49.5" hidden="1" customHeight="1" thickBot="1">
      <c r="A78" s="746"/>
      <c r="B78" s="1308"/>
      <c r="C78" s="3688"/>
      <c r="D78" s="3689"/>
      <c r="E78" s="3689"/>
      <c r="F78" s="3689"/>
      <c r="G78" s="3689"/>
      <c r="H78" s="3689"/>
      <c r="I78" s="3689"/>
      <c r="J78" s="3690"/>
    </row>
    <row r="79" spans="1:11" s="745" customFormat="1" ht="14.25" hidden="1" thickBot="1">
      <c r="A79" s="746"/>
      <c r="B79" s="1309"/>
      <c r="C79" s="3691" t="s">
        <v>3300</v>
      </c>
      <c r="D79" s="3692"/>
      <c r="E79" s="3692"/>
      <c r="F79" s="3692"/>
      <c r="G79" s="3692"/>
      <c r="H79" s="3692"/>
      <c r="I79" s="3692"/>
      <c r="J79" s="3693"/>
    </row>
    <row r="80" spans="1:11" s="745" customFormat="1" ht="13.5" hidden="1" thickBot="1">
      <c r="A80" s="746"/>
      <c r="B80" s="1137" t="s">
        <v>2704</v>
      </c>
      <c r="C80" s="747"/>
      <c r="D80" s="747"/>
      <c r="E80" s="747"/>
      <c r="F80" s="747"/>
      <c r="G80" s="747" t="s">
        <v>3229</v>
      </c>
      <c r="H80" s="747" t="s">
        <v>3326</v>
      </c>
      <c r="I80" s="747" t="s">
        <v>3327</v>
      </c>
      <c r="J80" s="1138" t="s">
        <v>156</v>
      </c>
      <c r="K80" s="751"/>
    </row>
    <row r="81" spans="1:24" s="745" customFormat="1" hidden="1">
      <c r="A81" s="746"/>
      <c r="B81" s="1139" t="s">
        <v>2708</v>
      </c>
      <c r="C81" s="748"/>
      <c r="D81" s="748"/>
      <c r="E81" s="748"/>
      <c r="F81" s="748"/>
      <c r="G81" s="748"/>
      <c r="H81" s="1098"/>
      <c r="I81" s="1098"/>
      <c r="J81" s="1141">
        <f t="shared" ref="J81:J87" si="5">SUM(C81:I81)</f>
        <v>0</v>
      </c>
      <c r="K81" s="751"/>
      <c r="L81" s="745">
        <f>+C81+D81+E81-393182</f>
        <v>-393182</v>
      </c>
    </row>
    <row r="82" spans="1:24" s="745" customFormat="1" hidden="1">
      <c r="A82" s="746"/>
      <c r="B82" s="1140" t="s">
        <v>2709</v>
      </c>
      <c r="C82" s="749"/>
      <c r="D82" s="749"/>
      <c r="E82" s="749"/>
      <c r="F82" s="749"/>
      <c r="G82" s="749"/>
      <c r="H82" s="1099"/>
      <c r="I82" s="1099"/>
      <c r="J82" s="1141">
        <f t="shared" si="5"/>
        <v>0</v>
      </c>
      <c r="K82" s="751"/>
    </row>
    <row r="83" spans="1:24" s="745" customFormat="1" hidden="1">
      <c r="A83" s="746"/>
      <c r="B83" s="1142" t="s">
        <v>2710</v>
      </c>
      <c r="C83" s="749"/>
      <c r="D83" s="749"/>
      <c r="E83" s="749"/>
      <c r="F83" s="749"/>
      <c r="G83" s="749"/>
      <c r="H83" s="1099"/>
      <c r="I83" s="1099"/>
      <c r="J83" s="1141">
        <f t="shared" si="5"/>
        <v>0</v>
      </c>
      <c r="K83" s="751"/>
    </row>
    <row r="84" spans="1:24" s="745" customFormat="1" hidden="1">
      <c r="A84" s="746"/>
      <c r="B84" s="1142" t="s">
        <v>2711</v>
      </c>
      <c r="C84" s="749"/>
      <c r="D84" s="749"/>
      <c r="E84" s="749"/>
      <c r="F84" s="749"/>
      <c r="G84" s="749"/>
      <c r="H84" s="1099"/>
      <c r="I84" s="1099"/>
      <c r="J84" s="1141">
        <f t="shared" si="5"/>
        <v>0</v>
      </c>
      <c r="K84" s="751"/>
    </row>
    <row r="85" spans="1:24" s="745" customFormat="1" hidden="1">
      <c r="A85" s="746"/>
      <c r="B85" s="1142" t="s">
        <v>2712</v>
      </c>
      <c r="C85" s="749"/>
      <c r="D85" s="749"/>
      <c r="E85" s="749"/>
      <c r="F85" s="749"/>
      <c r="G85" s="749"/>
      <c r="H85" s="1099"/>
      <c r="I85" s="1099"/>
      <c r="J85" s="1141">
        <f t="shared" si="5"/>
        <v>0</v>
      </c>
      <c r="K85" s="751"/>
    </row>
    <row r="86" spans="1:24" s="745" customFormat="1" hidden="1">
      <c r="A86" s="746"/>
      <c r="B86" s="1142" t="s">
        <v>2725</v>
      </c>
      <c r="C86" s="749"/>
      <c r="D86" s="749"/>
      <c r="E86" s="749"/>
      <c r="F86" s="1005"/>
      <c r="G86" s="749"/>
      <c r="H86" s="1099"/>
      <c r="I86" s="1099"/>
      <c r="J86" s="1141">
        <f t="shared" si="5"/>
        <v>0</v>
      </c>
      <c r="K86" s="751"/>
    </row>
    <row r="87" spans="1:24" s="745" customFormat="1" ht="13.5" hidden="1" thickBot="1">
      <c r="A87" s="746"/>
      <c r="B87" s="1143"/>
      <c r="C87" s="750"/>
      <c r="D87" s="750"/>
      <c r="E87" s="750"/>
      <c r="F87" s="750"/>
      <c r="G87" s="750"/>
      <c r="H87" s="1100"/>
      <c r="I87" s="1100"/>
      <c r="J87" s="1141">
        <f t="shared" si="5"/>
        <v>0</v>
      </c>
      <c r="K87" s="751"/>
    </row>
    <row r="88" spans="1:24" s="745" customFormat="1" ht="13.5" hidden="1" thickBot="1">
      <c r="A88" s="746"/>
      <c r="B88" s="1144" t="s">
        <v>2714</v>
      </c>
      <c r="C88" s="1316">
        <f t="shared" ref="C88:J88" si="6">C81+SUM(C83:C87)</f>
        <v>0</v>
      </c>
      <c r="D88" s="1316">
        <f t="shared" si="6"/>
        <v>0</v>
      </c>
      <c r="E88" s="1316">
        <f t="shared" si="6"/>
        <v>0</v>
      </c>
      <c r="F88" s="1316">
        <f t="shared" si="6"/>
        <v>0</v>
      </c>
      <c r="G88" s="1316">
        <f t="shared" si="6"/>
        <v>0</v>
      </c>
      <c r="H88" s="1316">
        <f t="shared" si="6"/>
        <v>0</v>
      </c>
      <c r="I88" s="1316">
        <f t="shared" si="6"/>
        <v>0</v>
      </c>
      <c r="J88" s="1317">
        <f t="shared" si="6"/>
        <v>0</v>
      </c>
      <c r="K88" s="751"/>
    </row>
    <row r="89" spans="1:24" s="745" customFormat="1" ht="13.5" hidden="1" thickBot="1">
      <c r="A89" s="746"/>
      <c r="B89" s="1309"/>
      <c r="C89" s="751"/>
      <c r="D89" s="751"/>
      <c r="E89" s="751"/>
      <c r="F89" s="751"/>
      <c r="G89" s="751"/>
      <c r="H89" s="751"/>
      <c r="I89" s="751"/>
      <c r="J89" s="1310"/>
      <c r="K89" s="751"/>
    </row>
    <row r="90" spans="1:24" s="745" customFormat="1" ht="13.5" hidden="1" thickBot="1">
      <c r="A90" s="746"/>
      <c r="B90" s="1137" t="s">
        <v>2715</v>
      </c>
      <c r="C90" s="747">
        <f t="shared" ref="C90:I90" si="7">+C80</f>
        <v>0</v>
      </c>
      <c r="D90" s="747">
        <f t="shared" si="7"/>
        <v>0</v>
      </c>
      <c r="E90" s="747">
        <f t="shared" si="7"/>
        <v>0</v>
      </c>
      <c r="F90" s="747">
        <f t="shared" si="7"/>
        <v>0</v>
      </c>
      <c r="G90" s="1103" t="str">
        <f t="shared" si="7"/>
        <v>2022.</v>
      </c>
      <c r="H90" s="1104" t="str">
        <f t="shared" si="7"/>
        <v>2023.</v>
      </c>
      <c r="I90" s="1104" t="str">
        <f t="shared" si="7"/>
        <v>2023. után</v>
      </c>
      <c r="J90" s="1311" t="s">
        <v>156</v>
      </c>
      <c r="K90" s="751"/>
    </row>
    <row r="91" spans="1:24" s="745" customFormat="1" ht="13.5" hidden="1" thickBot="1">
      <c r="A91" s="746"/>
      <c r="B91" s="1139" t="s">
        <v>2716</v>
      </c>
      <c r="C91" s="748"/>
      <c r="D91" s="748"/>
      <c r="E91" s="748"/>
      <c r="F91" s="748"/>
      <c r="G91" s="748"/>
      <c r="H91" s="1101"/>
      <c r="I91" s="1101"/>
      <c r="J91" s="1312">
        <f>SUM(C91:I91)</f>
        <v>0</v>
      </c>
      <c r="K91" s="751"/>
      <c r="L91" s="1105"/>
      <c r="M91" s="1106"/>
    </row>
    <row r="92" spans="1:24" s="745" customFormat="1" hidden="1">
      <c r="A92" s="746"/>
      <c r="B92" s="1145" t="s">
        <v>2717</v>
      </c>
      <c r="C92" s="749"/>
      <c r="D92" s="749"/>
      <c r="E92" s="749"/>
      <c r="F92" s="749"/>
      <c r="G92" s="749"/>
      <c r="H92" s="1099"/>
      <c r="I92" s="1099"/>
      <c r="J92" s="1312">
        <f t="shared" ref="J92:J97" si="8">SUM(C92:I92)</f>
        <v>0</v>
      </c>
      <c r="K92" s="751"/>
      <c r="L92" s="1107" t="s">
        <v>3149</v>
      </c>
      <c r="M92" s="1319">
        <v>100266788</v>
      </c>
      <c r="N92" s="1320" t="s">
        <v>3230</v>
      </c>
      <c r="O92" s="1321"/>
      <c r="P92" s="745" t="s">
        <v>2718</v>
      </c>
      <c r="U92" s="745" t="s">
        <v>3030</v>
      </c>
      <c r="W92" s="745" t="s">
        <v>3031</v>
      </c>
      <c r="X92" s="745">
        <v>9531990.3600000013</v>
      </c>
    </row>
    <row r="93" spans="1:24" s="745" customFormat="1" hidden="1">
      <c r="A93" s="746"/>
      <c r="B93" s="1142" t="s">
        <v>2719</v>
      </c>
      <c r="C93" s="749"/>
      <c r="D93" s="749"/>
      <c r="E93" s="749"/>
      <c r="F93" s="749"/>
      <c r="G93" s="749"/>
      <c r="H93" s="1099"/>
      <c r="I93" s="1099"/>
      <c r="J93" s="1312">
        <f t="shared" si="8"/>
        <v>0</v>
      </c>
      <c r="K93" s="751"/>
      <c r="L93" s="1107" t="s">
        <v>3150</v>
      </c>
      <c r="M93" s="745">
        <v>279791</v>
      </c>
      <c r="N93" s="1322">
        <f>3228997/1000</f>
        <v>3228.9969999999998</v>
      </c>
      <c r="O93" s="1318"/>
      <c r="P93" s="745" t="s">
        <v>2720</v>
      </c>
      <c r="R93" s="745">
        <f>7874099/1000</f>
        <v>7874.0990000000002</v>
      </c>
    </row>
    <row r="94" spans="1:24" s="745" customFormat="1" hidden="1">
      <c r="A94" s="746"/>
      <c r="B94" s="1142" t="s">
        <v>2721</v>
      </c>
      <c r="C94" s="749"/>
      <c r="D94" s="749"/>
      <c r="E94" s="749"/>
      <c r="F94" s="749"/>
      <c r="G94" s="749"/>
      <c r="H94" s="1099"/>
      <c r="I94" s="1099"/>
      <c r="J94" s="1312">
        <f t="shared" si="8"/>
        <v>0</v>
      </c>
      <c r="K94" s="751"/>
      <c r="L94" s="1107"/>
      <c r="M94" s="1319">
        <f>SUM(M92:M93)</f>
        <v>100546579</v>
      </c>
      <c r="N94" s="1322">
        <f>4327808/1000</f>
        <v>4327.808</v>
      </c>
      <c r="O94" s="1318"/>
    </row>
    <row r="95" spans="1:24" s="745" customFormat="1" hidden="1">
      <c r="A95" s="746"/>
      <c r="B95" s="1142"/>
      <c r="C95" s="749"/>
      <c r="D95" s="749"/>
      <c r="E95" s="749"/>
      <c r="F95" s="749"/>
      <c r="G95" s="749"/>
      <c r="H95" s="1099"/>
      <c r="I95" s="1099"/>
      <c r="J95" s="1312">
        <f t="shared" si="8"/>
        <v>0</v>
      </c>
      <c r="K95" s="751"/>
      <c r="L95" s="1107"/>
      <c r="N95" s="1322"/>
      <c r="O95" s="1318"/>
    </row>
    <row r="96" spans="1:24" s="745" customFormat="1" hidden="1">
      <c r="A96" s="746"/>
      <c r="B96" s="1142"/>
      <c r="C96" s="749"/>
      <c r="D96" s="749"/>
      <c r="E96" s="749"/>
      <c r="F96" s="749"/>
      <c r="G96" s="749"/>
      <c r="H96" s="1099"/>
      <c r="I96" s="1099"/>
      <c r="J96" s="1312">
        <f t="shared" si="8"/>
        <v>0</v>
      </c>
      <c r="K96" s="751"/>
      <c r="L96" s="1107"/>
      <c r="N96" s="1322"/>
      <c r="O96" s="1318"/>
    </row>
    <row r="97" spans="1:16" s="745" customFormat="1" ht="13.5" hidden="1" thickBot="1">
      <c r="A97" s="746"/>
      <c r="B97" s="1313"/>
      <c r="C97" s="753"/>
      <c r="D97" s="753"/>
      <c r="E97" s="753"/>
      <c r="F97" s="753"/>
      <c r="G97" s="753"/>
      <c r="H97" s="1102"/>
      <c r="I97" s="1102"/>
      <c r="J97" s="1312">
        <f t="shared" si="8"/>
        <v>0</v>
      </c>
      <c r="K97" s="751"/>
      <c r="L97" s="1107"/>
      <c r="N97" s="1322"/>
      <c r="O97" s="1318"/>
    </row>
    <row r="98" spans="1:16" s="745" customFormat="1" ht="13.5" hidden="1" thickBot="1">
      <c r="A98" s="746"/>
      <c r="B98" s="1146" t="s">
        <v>66</v>
      </c>
      <c r="C98" s="1314">
        <f t="shared" ref="C98:J98" si="9">SUM(C91:C97)</f>
        <v>0</v>
      </c>
      <c r="D98" s="1314">
        <f t="shared" si="9"/>
        <v>0</v>
      </c>
      <c r="E98" s="1314">
        <f t="shared" si="9"/>
        <v>0</v>
      </c>
      <c r="F98" s="1314">
        <f t="shared" si="9"/>
        <v>0</v>
      </c>
      <c r="G98" s="1314">
        <f t="shared" si="9"/>
        <v>0</v>
      </c>
      <c r="H98" s="1314">
        <f t="shared" si="9"/>
        <v>0</v>
      </c>
      <c r="I98" s="1314">
        <f t="shared" si="9"/>
        <v>0</v>
      </c>
      <c r="J98" s="1315">
        <f t="shared" si="9"/>
        <v>0</v>
      </c>
      <c r="K98" s="751"/>
      <c r="L98" s="1108"/>
      <c r="M98" s="1109">
        <f>+M94/1000</f>
        <v>100546.579</v>
      </c>
      <c r="N98" s="1322">
        <f>367985/1000</f>
        <v>367.98500000000001</v>
      </c>
      <c r="O98" s="1318"/>
      <c r="P98" s="745">
        <f>+J98-J88</f>
        <v>0</v>
      </c>
    </row>
    <row r="99" spans="1:16" ht="13.5" hidden="1" thickBot="1">
      <c r="L99" s="744">
        <f>+J98-J88</f>
        <v>0</v>
      </c>
      <c r="N99" s="1323">
        <f>SUM(N93:N98)</f>
        <v>7924.79</v>
      </c>
      <c r="O99" s="1324"/>
    </row>
  </sheetData>
  <sheetProtection selectLockedCells="1" selectUnlockedCells="1"/>
  <mergeCells count="19">
    <mergeCell ref="A1:F1"/>
    <mergeCell ref="A2:F2"/>
    <mergeCell ref="B70:C70"/>
    <mergeCell ref="D70:F70"/>
    <mergeCell ref="A69:F69"/>
    <mergeCell ref="A24:F24"/>
    <mergeCell ref="A3:F3"/>
    <mergeCell ref="A25:F25"/>
    <mergeCell ref="A46:F46"/>
    <mergeCell ref="A47:F47"/>
    <mergeCell ref="D73:F73"/>
    <mergeCell ref="B71:C71"/>
    <mergeCell ref="C78:J78"/>
    <mergeCell ref="C79:J79"/>
    <mergeCell ref="D74:F74"/>
    <mergeCell ref="B76:J76"/>
    <mergeCell ref="B77:J77"/>
    <mergeCell ref="D71:F71"/>
    <mergeCell ref="D72:F72"/>
  </mergeCells>
  <conditionalFormatting sqref="F19:F21">
    <cfRule type="cellIs" dxfId="3" priority="3" stopIfTrue="1" operator="equal">
      <formula>0</formula>
    </cfRule>
  </conditionalFormatting>
  <conditionalFormatting sqref="F41:F43">
    <cfRule type="cellIs" dxfId="2" priority="2" stopIfTrue="1" operator="equal">
      <formula>0</formula>
    </cfRule>
  </conditionalFormatting>
  <conditionalFormatting sqref="F63:F65">
    <cfRule type="cellIs" dxfId="1" priority="1" stopIfTrue="1" operator="equal">
      <formula>0</formula>
    </cfRule>
  </conditionalFormatting>
  <conditionalFormatting sqref="J88 J98">
    <cfRule type="cellIs" dxfId="0" priority="4" stopIfTrue="1" operator="equal">
      <formula>0</formula>
    </cfRule>
  </conditionalFormatting>
  <printOptions horizontalCentered="1"/>
  <pageMargins left="0.19685039370078741" right="0.19685039370078741" top="0.39370078740157483" bottom="0.39370078740157483" header="0.11811023622047245" footer="0.19685039370078741"/>
  <pageSetup paperSize="9" scale="97" firstPageNumber="0" orientation="portrait" r:id="rId1"/>
  <headerFooter alignWithMargins="0">
    <oddFooter>&amp;C&amp;"Arial CE,Félkövér"&amp;14&amp;P/&amp;N</oddFooter>
  </headerFooter>
  <rowBreaks count="1" manualBreakCount="1">
    <brk id="100"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23DA-1CAA-4E2F-8023-427BD7B2C896}">
  <sheetPr>
    <tabColor indexed="50"/>
  </sheetPr>
  <dimension ref="A1:AC319"/>
  <sheetViews>
    <sheetView tabSelected="1" view="pageBreakPreview" zoomScaleSheetLayoutView="100" workbookViewId="0">
      <pane xSplit="3" ySplit="6" topLeftCell="E19" activePane="bottomRight" state="frozen"/>
      <selection sqref="A1:AC1"/>
      <selection pane="topRight" sqref="A1:AC1"/>
      <selection pane="bottomLeft" sqref="A1:AC1"/>
      <selection pane="bottomRight" sqref="A1:AC1"/>
    </sheetView>
  </sheetViews>
  <sheetFormatPr defaultColWidth="8" defaultRowHeight="12.75"/>
  <cols>
    <col min="1" max="1" width="8.140625" style="1774" customWidth="1"/>
    <col min="2" max="2" width="79.85546875" style="1718" customWidth="1"/>
    <col min="3" max="3" width="13.7109375" style="1718" hidden="1" customWidth="1"/>
    <col min="4" max="4" width="13.7109375" style="1763" hidden="1" customWidth="1"/>
    <col min="5" max="5" width="14.140625" style="1764" bestFit="1" customWidth="1"/>
    <col min="6" max="6" width="14.28515625" style="1718" hidden="1" customWidth="1"/>
    <col min="7" max="7" width="14.85546875" style="1735" hidden="1" customWidth="1"/>
    <col min="8" max="8" width="14" style="1718" customWidth="1"/>
    <col min="9" max="9" width="14" style="1718" hidden="1" customWidth="1"/>
    <col min="10" max="10" width="14.140625" style="1718" customWidth="1"/>
    <col min="11" max="11" width="15.28515625" style="1718" customWidth="1"/>
    <col min="12" max="12" width="13.7109375" style="1718" hidden="1" customWidth="1"/>
    <col min="13" max="13" width="14.5703125" style="1718" hidden="1" customWidth="1"/>
    <col min="14" max="14" width="14.42578125" style="1718" hidden="1" customWidth="1"/>
    <col min="15" max="15" width="12.140625" style="1718" hidden="1" customWidth="1"/>
    <col min="16" max="16" width="15" style="1718" hidden="1" customWidth="1"/>
    <col min="17" max="18" width="13.85546875" style="1764" hidden="1" customWidth="1"/>
    <col min="19" max="21" width="15.140625" style="1718" hidden="1" customWidth="1"/>
    <col min="22" max="22" width="14.140625" style="1718" hidden="1" customWidth="1"/>
    <col min="23" max="23" width="14.7109375" style="1718" hidden="1" customWidth="1"/>
    <col min="24" max="24" width="25.7109375" style="1718" hidden="1" customWidth="1"/>
    <col min="25" max="25" width="13.42578125" style="1718" hidden="1" customWidth="1"/>
    <col min="26" max="26" width="10.85546875" style="1718" customWidth="1"/>
    <col min="27" max="27" width="9.28515625" style="1718" customWidth="1"/>
    <col min="28" max="29" width="13.42578125" style="1718" hidden="1" customWidth="1"/>
    <col min="30" max="16384" width="8" style="1718"/>
  </cols>
  <sheetData>
    <row r="1" spans="1:29" ht="33.75" customHeight="1">
      <c r="A1" s="3563" t="s">
        <v>4255</v>
      </c>
      <c r="B1" s="3563"/>
      <c r="C1" s="3563"/>
      <c r="D1" s="3563"/>
      <c r="E1" s="3563"/>
      <c r="F1" s="3563"/>
      <c r="G1" s="3563"/>
      <c r="H1" s="3563"/>
      <c r="I1" s="3563"/>
      <c r="J1" s="3563"/>
      <c r="K1" s="3563"/>
      <c r="L1" s="3546"/>
      <c r="M1" s="3546"/>
      <c r="N1" s="3546"/>
      <c r="Q1" s="1718"/>
      <c r="R1" s="1718"/>
    </row>
    <row r="2" spans="1:29" ht="42" customHeight="1" thickBot="1">
      <c r="A2" s="3560" t="s">
        <v>4049</v>
      </c>
      <c r="B2" s="3560"/>
      <c r="C2" s="3560"/>
      <c r="D2" s="3560"/>
      <c r="E2" s="3560"/>
      <c r="F2" s="3560"/>
      <c r="G2" s="3560"/>
      <c r="H2" s="3560"/>
      <c r="I2" s="3560"/>
      <c r="J2" s="3560"/>
      <c r="K2" s="3560"/>
      <c r="L2" s="3546"/>
      <c r="M2" s="3546"/>
      <c r="N2" s="3546"/>
      <c r="Q2" s="1718"/>
      <c r="R2" s="1718"/>
    </row>
    <row r="3" spans="1:29" ht="18" hidden="1" customHeight="1">
      <c r="A3" s="3560"/>
      <c r="B3" s="3560"/>
      <c r="C3" s="3560"/>
      <c r="D3" s="3560"/>
      <c r="E3" s="3560"/>
      <c r="F3" s="3560"/>
      <c r="G3" s="3560"/>
      <c r="H3" s="3560"/>
      <c r="I3" s="3560"/>
      <c r="J3" s="3560"/>
      <c r="K3" s="3560"/>
      <c r="Q3" s="1718"/>
      <c r="R3" s="1718"/>
    </row>
    <row r="4" spans="1:29" ht="21.75" customHeight="1" thickBot="1">
      <c r="A4" s="2888"/>
      <c r="B4" s="2889" t="s">
        <v>2728</v>
      </c>
      <c r="C4" s="2890" t="s">
        <v>2729</v>
      </c>
      <c r="D4" s="1679" t="s">
        <v>2729</v>
      </c>
      <c r="E4" s="1679" t="s">
        <v>2729</v>
      </c>
      <c r="F4" s="1679" t="s">
        <v>2731</v>
      </c>
      <c r="G4" s="1679" t="s">
        <v>2732</v>
      </c>
      <c r="H4" s="1679" t="s">
        <v>2730</v>
      </c>
      <c r="I4" s="1679" t="s">
        <v>2733</v>
      </c>
      <c r="J4" s="1679" t="s">
        <v>2731</v>
      </c>
      <c r="K4" s="1679" t="s">
        <v>2732</v>
      </c>
      <c r="L4" s="2781"/>
      <c r="M4" s="1679" t="s">
        <v>2733</v>
      </c>
      <c r="N4" s="2768" t="s">
        <v>3463</v>
      </c>
      <c r="Q4" s="1723"/>
      <c r="R4" s="1723"/>
    </row>
    <row r="5" spans="1:29" ht="75" customHeight="1" thickBot="1">
      <c r="A5" s="1724" t="s">
        <v>6</v>
      </c>
      <c r="B5" s="1725" t="s">
        <v>2737</v>
      </c>
      <c r="C5" s="1726" t="s">
        <v>3697</v>
      </c>
      <c r="D5" s="2564" t="s">
        <v>3918</v>
      </c>
      <c r="E5" s="1726" t="s">
        <v>3698</v>
      </c>
      <c r="F5" s="1726" t="s">
        <v>3735</v>
      </c>
      <c r="G5" s="1726" t="s">
        <v>3732</v>
      </c>
      <c r="H5" s="1726" t="s">
        <v>3733</v>
      </c>
      <c r="I5" s="1726" t="s">
        <v>3734</v>
      </c>
      <c r="J5" s="1727" t="s">
        <v>4048</v>
      </c>
      <c r="K5" s="1726" t="s">
        <v>4047</v>
      </c>
      <c r="L5" s="2891" t="s">
        <v>172</v>
      </c>
      <c r="M5" s="2892" t="s">
        <v>3912</v>
      </c>
      <c r="N5" s="2893" t="s">
        <v>4037</v>
      </c>
      <c r="O5" s="96" t="s">
        <v>175</v>
      </c>
      <c r="P5" s="1728" t="s">
        <v>3736</v>
      </c>
      <c r="Q5" s="1729"/>
      <c r="R5" s="1727" t="s">
        <v>3693</v>
      </c>
      <c r="AB5" s="1727" t="s">
        <v>3915</v>
      </c>
      <c r="AC5" s="1727"/>
    </row>
    <row r="6" spans="1:29" ht="12" hidden="1" customHeight="1" thickBot="1">
      <c r="A6" s="2782">
        <v>1</v>
      </c>
      <c r="B6" s="2783">
        <v>2</v>
      </c>
      <c r="C6" s="2783">
        <v>3</v>
      </c>
      <c r="D6" s="2784"/>
      <c r="E6" s="2785">
        <v>3</v>
      </c>
      <c r="F6" s="2785">
        <v>4</v>
      </c>
      <c r="G6" s="2785">
        <v>5</v>
      </c>
      <c r="H6" s="2785">
        <v>6</v>
      </c>
      <c r="I6" s="2785">
        <v>7</v>
      </c>
      <c r="J6" s="2786"/>
      <c r="K6" s="2785">
        <v>5</v>
      </c>
      <c r="L6" s="2787"/>
      <c r="M6" s="2787"/>
      <c r="N6" s="2788"/>
      <c r="O6" s="2764"/>
      <c r="Q6" s="1731"/>
      <c r="R6" s="1730"/>
      <c r="AB6" s="1730"/>
      <c r="AC6" s="1730"/>
    </row>
    <row r="7" spans="1:29" ht="31.5" customHeight="1" thickBot="1">
      <c r="A7" s="2789" t="s">
        <v>3353</v>
      </c>
      <c r="B7" s="2790" t="s">
        <v>3381</v>
      </c>
      <c r="C7" s="2791">
        <f t="shared" ref="C7:J7" si="0">+C8+C9+C10+C11+C12+C13</f>
        <v>6535171723</v>
      </c>
      <c r="D7" s="2791">
        <f t="shared" si="0"/>
        <v>6378941324</v>
      </c>
      <c r="E7" s="2791">
        <f t="shared" si="0"/>
        <v>6635944194</v>
      </c>
      <c r="F7" s="2791">
        <f t="shared" si="0"/>
        <v>6691653646</v>
      </c>
      <c r="G7" s="2792">
        <f t="shared" si="0"/>
        <v>6877928836</v>
      </c>
      <c r="H7" s="2791">
        <f t="shared" si="0"/>
        <v>7130846423</v>
      </c>
      <c r="I7" s="2791">
        <f t="shared" si="0"/>
        <v>7130846423</v>
      </c>
      <c r="J7" s="2793">
        <f t="shared" si="0"/>
        <v>7130846423</v>
      </c>
      <c r="K7" s="2794">
        <f t="shared" ref="K7:K15" si="1">+J7/H7</f>
        <v>1</v>
      </c>
      <c r="L7" s="2791">
        <f t="shared" ref="L7:L44" si="2">+F7-E7</f>
        <v>55709452</v>
      </c>
      <c r="M7" s="2791">
        <f t="shared" ref="M7:M44" si="3">+G7-F7</f>
        <v>186275190</v>
      </c>
      <c r="N7" s="2795">
        <f t="shared" ref="N7:N44" si="4">+H7-G7</f>
        <v>252917587</v>
      </c>
      <c r="O7" s="1733">
        <f t="shared" ref="O7:O44" si="5">+I7-H7</f>
        <v>0</v>
      </c>
      <c r="P7" s="1735">
        <f>+E7-C7</f>
        <v>100772471</v>
      </c>
      <c r="Q7" s="1732"/>
      <c r="R7" s="1734">
        <v>5410995581</v>
      </c>
      <c r="AB7" s="1734">
        <v>6378941324</v>
      </c>
      <c r="AC7" s="1734">
        <f>+D7-AB7</f>
        <v>0</v>
      </c>
    </row>
    <row r="8" spans="1:29" ht="13.5" thickBot="1">
      <c r="A8" s="2796" t="s">
        <v>176</v>
      </c>
      <c r="B8" s="2797" t="s">
        <v>177</v>
      </c>
      <c r="C8" s="2798">
        <f>+'5. mell.Önk-i mérleg'!C8</f>
        <v>1197603775</v>
      </c>
      <c r="D8" s="2799">
        <f>+'5. mell.Önk-i mérleg'!D8</f>
        <v>1197603775</v>
      </c>
      <c r="E8" s="2798">
        <f>+'5. mell.Önk-i mérleg'!E8</f>
        <v>1196771675</v>
      </c>
      <c r="F8" s="2798">
        <f>+'5. mell.Önk-i mérleg'!F8</f>
        <v>1196771675</v>
      </c>
      <c r="G8" s="2798">
        <f>+'5. mell.Önk-i mérleg'!G8</f>
        <v>1196771675</v>
      </c>
      <c r="H8" s="2798">
        <f>+'5. mell.Önk-i mérleg'!H8</f>
        <v>1238973205</v>
      </c>
      <c r="I8" s="2798">
        <f>+'5. mell.Önk-i mérleg'!I8</f>
        <v>1238973205</v>
      </c>
      <c r="J8" s="2800">
        <f>+'5. mell.Önk-i mérleg'!J8</f>
        <v>1238973205</v>
      </c>
      <c r="K8" s="2801">
        <f t="shared" si="1"/>
        <v>1</v>
      </c>
      <c r="L8" s="2798">
        <f t="shared" si="2"/>
        <v>0</v>
      </c>
      <c r="M8" s="2798">
        <f t="shared" si="3"/>
        <v>0</v>
      </c>
      <c r="N8" s="2802">
        <f t="shared" si="4"/>
        <v>42201530</v>
      </c>
      <c r="O8" s="1737">
        <f t="shared" si="5"/>
        <v>0</v>
      </c>
      <c r="P8" s="1735">
        <f t="shared" ref="P8:P71" si="6">+E8-C8</f>
        <v>-832100</v>
      </c>
      <c r="Q8" s="1736"/>
      <c r="R8" s="1738">
        <v>1005987171</v>
      </c>
      <c r="AB8" s="1738">
        <v>1197603775</v>
      </c>
      <c r="AC8" s="1734">
        <f t="shared" ref="AC8:AC71" si="7">+D8-AB8</f>
        <v>0</v>
      </c>
    </row>
    <row r="9" spans="1:29" ht="13.5" thickBot="1">
      <c r="A9" s="2803" t="s">
        <v>178</v>
      </c>
      <c r="B9" s="2804" t="s">
        <v>3535</v>
      </c>
      <c r="C9" s="2798">
        <f>+'5. mell.Önk-i mérleg'!C9</f>
        <v>2720986226</v>
      </c>
      <c r="D9" s="2799">
        <f>+'5. mell.Önk-i mérleg'!D9</f>
        <v>2712360142</v>
      </c>
      <c r="E9" s="2798">
        <f>+'5. mell.Önk-i mérleg'!E9</f>
        <v>3022096356</v>
      </c>
      <c r="F9" s="2798">
        <f>+'5. mell.Önk-i mérleg'!F9</f>
        <v>3022096356</v>
      </c>
      <c r="G9" s="2798">
        <f>+'5. mell.Önk-i mérleg'!G9</f>
        <v>3022096356</v>
      </c>
      <c r="H9" s="2798">
        <f>+'5. mell.Önk-i mérleg'!H9</f>
        <v>3011772170</v>
      </c>
      <c r="I9" s="2798">
        <f>+'5. mell.Önk-i mérleg'!I9</f>
        <v>3011772170</v>
      </c>
      <c r="J9" s="2800">
        <f>+'5. mell.Önk-i mérleg'!J9</f>
        <v>3011772170</v>
      </c>
      <c r="K9" s="2801">
        <f t="shared" si="1"/>
        <v>1</v>
      </c>
      <c r="L9" s="2798">
        <f t="shared" si="2"/>
        <v>0</v>
      </c>
      <c r="M9" s="2798">
        <f t="shared" si="3"/>
        <v>0</v>
      </c>
      <c r="N9" s="2802">
        <f t="shared" si="4"/>
        <v>-10324186</v>
      </c>
      <c r="O9" s="1737">
        <f t="shared" si="5"/>
        <v>0</v>
      </c>
      <c r="P9" s="1735">
        <f t="shared" si="6"/>
        <v>301110130</v>
      </c>
      <c r="Q9" s="1736"/>
      <c r="R9" s="1738">
        <v>2289385853</v>
      </c>
      <c r="AB9" s="1738">
        <v>2712360142</v>
      </c>
      <c r="AC9" s="1734">
        <f t="shared" si="7"/>
        <v>0</v>
      </c>
    </row>
    <row r="10" spans="1:29" ht="26.25" thickBot="1">
      <c r="A10" s="2803" t="s">
        <v>179</v>
      </c>
      <c r="B10" s="2804" t="s">
        <v>3536</v>
      </c>
      <c r="C10" s="2798">
        <f>+'5. mell.Önk-i mérleg'!C10</f>
        <v>2575588594</v>
      </c>
      <c r="D10" s="2799">
        <f>+'5. mell.Önk-i mérleg'!D10</f>
        <v>2354952863</v>
      </c>
      <c r="E10" s="2798">
        <f>+'5. mell.Önk-i mérleg'!E10</f>
        <v>2376252867</v>
      </c>
      <c r="F10" s="2798">
        <f>+'5. mell.Önk-i mérleg'!F10</f>
        <v>2376252867</v>
      </c>
      <c r="G10" s="2798">
        <f>+'5. mell.Önk-i mérleg'!G10</f>
        <v>2509438057</v>
      </c>
      <c r="H10" s="2798">
        <f>+'5. mell.Önk-i mérleg'!H10</f>
        <v>2731130554</v>
      </c>
      <c r="I10" s="2798">
        <f>+'5. mell.Önk-i mérleg'!I10</f>
        <v>2731130554</v>
      </c>
      <c r="J10" s="2800">
        <f>+'5. mell.Önk-i mérleg'!J10</f>
        <v>2731130554</v>
      </c>
      <c r="K10" s="2801">
        <f t="shared" si="1"/>
        <v>1</v>
      </c>
      <c r="L10" s="2798">
        <f t="shared" si="2"/>
        <v>0</v>
      </c>
      <c r="M10" s="2798">
        <f t="shared" si="3"/>
        <v>133185190</v>
      </c>
      <c r="N10" s="2802">
        <f t="shared" si="4"/>
        <v>221692497</v>
      </c>
      <c r="O10" s="1737">
        <f t="shared" si="5"/>
        <v>0</v>
      </c>
      <c r="P10" s="1735">
        <f t="shared" si="6"/>
        <v>-199335727</v>
      </c>
      <c r="Q10" s="1736"/>
      <c r="R10" s="1738">
        <v>2016339545</v>
      </c>
      <c r="AB10" s="1738">
        <v>2354952863</v>
      </c>
      <c r="AC10" s="1734">
        <f t="shared" si="7"/>
        <v>0</v>
      </c>
    </row>
    <row r="11" spans="1:29" ht="13.5" thickBot="1">
      <c r="A11" s="2803" t="s">
        <v>180</v>
      </c>
      <c r="B11" s="2804" t="s">
        <v>3534</v>
      </c>
      <c r="C11" s="2798">
        <f>+'5. mell.Önk-i mérleg'!C11</f>
        <v>40993128</v>
      </c>
      <c r="D11" s="2799">
        <f>+'5. mell.Önk-i mérleg'!D11</f>
        <v>84509544</v>
      </c>
      <c r="E11" s="2798">
        <f>+'5. mell.Önk-i mérleg'!E11</f>
        <v>40823296</v>
      </c>
      <c r="F11" s="2798">
        <f>+'5. mell.Önk-i mérleg'!F11</f>
        <v>40823296</v>
      </c>
      <c r="G11" s="2798">
        <f>+'5. mell.Önk-i mérleg'!G11</f>
        <v>88913296</v>
      </c>
      <c r="H11" s="2798">
        <f>+'5. mell.Önk-i mérleg'!H11</f>
        <v>85961042</v>
      </c>
      <c r="I11" s="2798">
        <f>+'5. mell.Önk-i mérleg'!I11</f>
        <v>85961042</v>
      </c>
      <c r="J11" s="2800">
        <f>+'5. mell.Önk-i mérleg'!J11</f>
        <v>85961042</v>
      </c>
      <c r="K11" s="2801">
        <f t="shared" si="1"/>
        <v>1</v>
      </c>
      <c r="L11" s="2798">
        <f t="shared" si="2"/>
        <v>0</v>
      </c>
      <c r="M11" s="2798">
        <f t="shared" si="3"/>
        <v>48090000</v>
      </c>
      <c r="N11" s="2802">
        <f t="shared" si="4"/>
        <v>-2952254</v>
      </c>
      <c r="O11" s="1737">
        <f t="shared" si="5"/>
        <v>0</v>
      </c>
      <c r="P11" s="1735">
        <f t="shared" si="6"/>
        <v>-169832</v>
      </c>
      <c r="Q11" s="1736"/>
      <c r="R11" s="1738">
        <v>70988012</v>
      </c>
      <c r="AB11" s="1738">
        <v>84509544</v>
      </c>
      <c r="AC11" s="1734">
        <f t="shared" si="7"/>
        <v>0</v>
      </c>
    </row>
    <row r="12" spans="1:29" ht="13.5" thickBot="1">
      <c r="A12" s="2803" t="s">
        <v>181</v>
      </c>
      <c r="B12" s="2804" t="s">
        <v>182</v>
      </c>
      <c r="C12" s="2798">
        <f>+'5. mell.Önk-i mérleg'!C12</f>
        <v>0</v>
      </c>
      <c r="D12" s="2799">
        <f>+'5. mell.Önk-i mérleg'!D12</f>
        <v>29515000</v>
      </c>
      <c r="E12" s="2798">
        <f>+'5. mell.Önk-i mérleg'!E12</f>
        <v>0</v>
      </c>
      <c r="F12" s="2798">
        <f>+'5. mell.Önk-i mérleg'!F12</f>
        <v>0</v>
      </c>
      <c r="G12" s="2798">
        <f>+'5. mell.Önk-i mérleg'!G12</f>
        <v>5000000</v>
      </c>
      <c r="H12" s="2798">
        <f>+'5. mell.Önk-i mérleg'!H12</f>
        <v>7300000</v>
      </c>
      <c r="I12" s="2798">
        <f>+'5. mell.Önk-i mérleg'!I12</f>
        <v>7300000</v>
      </c>
      <c r="J12" s="2800">
        <f>+'5. mell.Önk-i mérleg'!J12</f>
        <v>7300000</v>
      </c>
      <c r="K12" s="2801">
        <f t="shared" si="1"/>
        <v>1</v>
      </c>
      <c r="L12" s="2798">
        <f t="shared" si="2"/>
        <v>0</v>
      </c>
      <c r="M12" s="2798">
        <f t="shared" si="3"/>
        <v>5000000</v>
      </c>
      <c r="N12" s="2802">
        <f t="shared" si="4"/>
        <v>2300000</v>
      </c>
      <c r="O12" s="1737">
        <f t="shared" si="5"/>
        <v>0</v>
      </c>
      <c r="P12" s="1735">
        <f t="shared" si="6"/>
        <v>0</v>
      </c>
      <c r="Q12" s="1736"/>
      <c r="R12" s="1738">
        <v>28295000</v>
      </c>
      <c r="AB12" s="1738">
        <v>29515000</v>
      </c>
      <c r="AC12" s="1734">
        <f t="shared" si="7"/>
        <v>0</v>
      </c>
    </row>
    <row r="13" spans="1:29" ht="13.5" thickBot="1">
      <c r="A13" s="2805" t="s">
        <v>183</v>
      </c>
      <c r="B13" s="2806" t="s">
        <v>184</v>
      </c>
      <c r="C13" s="2798">
        <f>+'5. mell.Önk-i mérleg'!C13</f>
        <v>0</v>
      </c>
      <c r="D13" s="2799">
        <f>+'5. mell.Önk-i mérleg'!D13</f>
        <v>0</v>
      </c>
      <c r="E13" s="2798">
        <f>+'5. mell.Önk-i mérleg'!E13</f>
        <v>0</v>
      </c>
      <c r="F13" s="2798">
        <f>+'5. mell.Önk-i mérleg'!F13</f>
        <v>55709452</v>
      </c>
      <c r="G13" s="2798">
        <f>+'5. mell.Önk-i mérleg'!G13</f>
        <v>55709452</v>
      </c>
      <c r="H13" s="2798">
        <f>+'5. mell.Önk-i mérleg'!H13</f>
        <v>55709452</v>
      </c>
      <c r="I13" s="2798">
        <f>+'5. mell.Önk-i mérleg'!I13</f>
        <v>55709452</v>
      </c>
      <c r="J13" s="2800">
        <f>+'5. mell.Önk-i mérleg'!J13</f>
        <v>55709452</v>
      </c>
      <c r="K13" s="2801">
        <f t="shared" si="1"/>
        <v>1</v>
      </c>
      <c r="L13" s="2798">
        <f t="shared" si="2"/>
        <v>55709452</v>
      </c>
      <c r="M13" s="2798">
        <f t="shared" si="3"/>
        <v>0</v>
      </c>
      <c r="N13" s="2802">
        <f t="shared" si="4"/>
        <v>0</v>
      </c>
      <c r="O13" s="1737">
        <f t="shared" si="5"/>
        <v>0</v>
      </c>
      <c r="P13" s="1735">
        <f t="shared" si="6"/>
        <v>0</v>
      </c>
      <c r="Q13" s="1736"/>
      <c r="R13" s="1738">
        <v>0</v>
      </c>
      <c r="AB13" s="1738">
        <v>0</v>
      </c>
      <c r="AC13" s="1734">
        <f t="shared" si="7"/>
        <v>0</v>
      </c>
    </row>
    <row r="14" spans="1:29" ht="13.5" thickBot="1">
      <c r="A14" s="2789" t="s">
        <v>12</v>
      </c>
      <c r="B14" s="2807" t="s">
        <v>3382</v>
      </c>
      <c r="C14" s="2791">
        <f t="shared" ref="C14:J14" si="8">+C15+C16+C17+C18+C19</f>
        <v>3089893860</v>
      </c>
      <c r="D14" s="2791">
        <f t="shared" si="8"/>
        <v>3154863072</v>
      </c>
      <c r="E14" s="2791">
        <f t="shared" si="8"/>
        <v>3116514628</v>
      </c>
      <c r="F14" s="2791">
        <f t="shared" si="8"/>
        <v>3475758125</v>
      </c>
      <c r="G14" s="2791">
        <f t="shared" si="8"/>
        <v>3289482935</v>
      </c>
      <c r="H14" s="2791">
        <f t="shared" si="8"/>
        <v>3378019406</v>
      </c>
      <c r="I14" s="2791">
        <f t="shared" si="8"/>
        <v>3378019406</v>
      </c>
      <c r="J14" s="2793">
        <f t="shared" si="8"/>
        <v>3378019406</v>
      </c>
      <c r="K14" s="2794">
        <f t="shared" si="1"/>
        <v>1</v>
      </c>
      <c r="L14" s="2791">
        <f t="shared" si="2"/>
        <v>359243497</v>
      </c>
      <c r="M14" s="2791">
        <f t="shared" si="3"/>
        <v>-186275190</v>
      </c>
      <c r="N14" s="2795">
        <f t="shared" si="4"/>
        <v>88536471</v>
      </c>
      <c r="O14" s="1733">
        <f t="shared" si="5"/>
        <v>0</v>
      </c>
      <c r="P14" s="1735">
        <f t="shared" si="6"/>
        <v>26620768</v>
      </c>
      <c r="Q14" s="1732"/>
      <c r="R14" s="1734">
        <v>2674071141</v>
      </c>
      <c r="AB14" s="1734">
        <v>3154863072</v>
      </c>
      <c r="AC14" s="1734">
        <f t="shared" si="7"/>
        <v>0</v>
      </c>
    </row>
    <row r="15" spans="1:29" ht="13.5" thickBot="1">
      <c r="A15" s="2796" t="s">
        <v>185</v>
      </c>
      <c r="B15" s="2797" t="s">
        <v>186</v>
      </c>
      <c r="C15" s="2798">
        <f>+'5. mell.Önk-i mérleg'!C15</f>
        <v>0</v>
      </c>
      <c r="D15" s="2799">
        <f>+'5. mell.Önk-i mérleg'!D15</f>
        <v>204742187</v>
      </c>
      <c r="E15" s="2798">
        <f>+'5. mell.Önk-i mérleg'!E15</f>
        <v>0</v>
      </c>
      <c r="F15" s="2798">
        <f>+'5. mell.Önk-i mérleg'!F15</f>
        <v>351837913</v>
      </c>
      <c r="G15" s="2798">
        <f>+'5. mell.Önk-i mérleg'!G15</f>
        <v>351837913</v>
      </c>
      <c r="H15" s="2798">
        <f>+'5. mell.Önk-i mérleg'!H15</f>
        <v>351837913</v>
      </c>
      <c r="I15" s="2798">
        <f>+'5. mell.Önk-i mérleg'!I15</f>
        <v>351837913</v>
      </c>
      <c r="J15" s="2800">
        <f>+'5. mell.Önk-i mérleg'!J15</f>
        <v>351837913</v>
      </c>
      <c r="K15" s="2801">
        <f t="shared" si="1"/>
        <v>1</v>
      </c>
      <c r="L15" s="2798">
        <f t="shared" si="2"/>
        <v>351837913</v>
      </c>
      <c r="M15" s="2798">
        <f t="shared" si="3"/>
        <v>0</v>
      </c>
      <c r="N15" s="2802">
        <f t="shared" si="4"/>
        <v>0</v>
      </c>
      <c r="O15" s="1737">
        <f t="shared" si="5"/>
        <v>0</v>
      </c>
      <c r="P15" s="1735">
        <f t="shared" si="6"/>
        <v>0</v>
      </c>
      <c r="Q15" s="1736"/>
      <c r="R15" s="1738">
        <v>204742187</v>
      </c>
      <c r="AB15" s="1738">
        <v>204742187</v>
      </c>
      <c r="AC15" s="1734">
        <f t="shared" si="7"/>
        <v>0</v>
      </c>
    </row>
    <row r="16" spans="1:29" ht="13.5" thickBot="1">
      <c r="A16" s="2803" t="s">
        <v>187</v>
      </c>
      <c r="B16" s="2804" t="s">
        <v>188</v>
      </c>
      <c r="C16" s="2798">
        <f>+'5. mell.Önk-i mérleg'!C16</f>
        <v>0</v>
      </c>
      <c r="D16" s="2799">
        <f>+'5. mell.Önk-i mérleg'!D16</f>
        <v>0</v>
      </c>
      <c r="E16" s="2798">
        <f>+'5. mell.Önk-i mérleg'!E16</f>
        <v>0</v>
      </c>
      <c r="F16" s="2798">
        <f>+'5. mell.Önk-i mérleg'!F16</f>
        <v>0</v>
      </c>
      <c r="G16" s="2798">
        <f>+'5. mell.Önk-i mérleg'!G16</f>
        <v>0</v>
      </c>
      <c r="H16" s="2798">
        <f>+'5. mell.Önk-i mérleg'!H16</f>
        <v>0</v>
      </c>
      <c r="I16" s="2798">
        <f>+'5. mell.Önk-i mérleg'!I16</f>
        <v>0</v>
      </c>
      <c r="J16" s="2800">
        <f>+'5. mell.Önk-i mérleg'!J16</f>
        <v>0</v>
      </c>
      <c r="K16" s="2801"/>
      <c r="L16" s="2798">
        <f t="shared" si="2"/>
        <v>0</v>
      </c>
      <c r="M16" s="2798">
        <f t="shared" si="3"/>
        <v>0</v>
      </c>
      <c r="N16" s="2802">
        <f t="shared" si="4"/>
        <v>0</v>
      </c>
      <c r="O16" s="1737">
        <f t="shared" si="5"/>
        <v>0</v>
      </c>
      <c r="P16" s="1735">
        <f t="shared" si="6"/>
        <v>0</v>
      </c>
      <c r="Q16" s="1736"/>
      <c r="R16" s="1738">
        <v>0</v>
      </c>
      <c r="AB16" s="1738">
        <v>0</v>
      </c>
      <c r="AC16" s="1734">
        <f t="shared" si="7"/>
        <v>0</v>
      </c>
    </row>
    <row r="17" spans="1:29" ht="13.5" thickBot="1">
      <c r="A17" s="2803" t="s">
        <v>189</v>
      </c>
      <c r="B17" s="2804" t="s">
        <v>190</v>
      </c>
      <c r="C17" s="2798">
        <f>+'5. mell.Önk-i mérleg'!C17</f>
        <v>0</v>
      </c>
      <c r="D17" s="2799">
        <f>+'5. mell.Önk-i mérleg'!D17</f>
        <v>0</v>
      </c>
      <c r="E17" s="2798">
        <f>+'5. mell.Önk-i mérleg'!E17</f>
        <v>0</v>
      </c>
      <c r="F17" s="2798">
        <f>+'5. mell.Önk-i mérleg'!F17</f>
        <v>0</v>
      </c>
      <c r="G17" s="2798">
        <f>+'5. mell.Önk-i mérleg'!G17</f>
        <v>0</v>
      </c>
      <c r="H17" s="2798">
        <f>+'5. mell.Önk-i mérleg'!H17</f>
        <v>0</v>
      </c>
      <c r="I17" s="2798">
        <f>+'5. mell.Önk-i mérleg'!I17</f>
        <v>0</v>
      </c>
      <c r="J17" s="2800">
        <f>+'5. mell.Önk-i mérleg'!J17</f>
        <v>0</v>
      </c>
      <c r="K17" s="2801"/>
      <c r="L17" s="2798">
        <f t="shared" si="2"/>
        <v>0</v>
      </c>
      <c r="M17" s="2798">
        <f t="shared" si="3"/>
        <v>0</v>
      </c>
      <c r="N17" s="2802">
        <f t="shared" si="4"/>
        <v>0</v>
      </c>
      <c r="O17" s="1737">
        <f t="shared" si="5"/>
        <v>0</v>
      </c>
      <c r="P17" s="1735">
        <f t="shared" si="6"/>
        <v>0</v>
      </c>
      <c r="Q17" s="1736"/>
      <c r="R17" s="1738">
        <v>0</v>
      </c>
      <c r="AB17" s="1738">
        <v>0</v>
      </c>
      <c r="AC17" s="1734">
        <f t="shared" si="7"/>
        <v>0</v>
      </c>
    </row>
    <row r="18" spans="1:29" ht="13.5" thickBot="1">
      <c r="A18" s="2803" t="s">
        <v>191</v>
      </c>
      <c r="B18" s="2804" t="s">
        <v>192</v>
      </c>
      <c r="C18" s="2798">
        <f>+'5. mell.Önk-i mérleg'!C18</f>
        <v>0</v>
      </c>
      <c r="D18" s="2799">
        <f>+'5. mell.Önk-i mérleg'!D18</f>
        <v>0</v>
      </c>
      <c r="E18" s="2798">
        <f>+'5. mell.Önk-i mérleg'!E18</f>
        <v>0</v>
      </c>
      <c r="F18" s="2798">
        <f>+'5. mell.Önk-i mérleg'!F18</f>
        <v>0</v>
      </c>
      <c r="G18" s="2798">
        <f>+'5. mell.Önk-i mérleg'!G18</f>
        <v>0</v>
      </c>
      <c r="H18" s="2798">
        <f>+'5. mell.Önk-i mérleg'!H18</f>
        <v>0</v>
      </c>
      <c r="I18" s="2798">
        <f>+'5. mell.Önk-i mérleg'!I18</f>
        <v>0</v>
      </c>
      <c r="J18" s="2800">
        <f>+'5. mell.Önk-i mérleg'!J18</f>
        <v>0</v>
      </c>
      <c r="K18" s="2801"/>
      <c r="L18" s="2798">
        <f t="shared" si="2"/>
        <v>0</v>
      </c>
      <c r="M18" s="2798">
        <f t="shared" si="3"/>
        <v>0</v>
      </c>
      <c r="N18" s="2802">
        <f t="shared" si="4"/>
        <v>0</v>
      </c>
      <c r="O18" s="1737">
        <f t="shared" si="5"/>
        <v>0</v>
      </c>
      <c r="P18" s="1735">
        <f t="shared" si="6"/>
        <v>0</v>
      </c>
      <c r="Q18" s="1736"/>
      <c r="R18" s="1738">
        <v>0</v>
      </c>
      <c r="AB18" s="1738">
        <v>0</v>
      </c>
      <c r="AC18" s="1734">
        <f t="shared" si="7"/>
        <v>0</v>
      </c>
    </row>
    <row r="19" spans="1:29" ht="13.5" thickBot="1">
      <c r="A19" s="2803" t="s">
        <v>193</v>
      </c>
      <c r="B19" s="2804" t="s">
        <v>194</v>
      </c>
      <c r="C19" s="2798">
        <f>+'5. mell.Önk-i mérleg'!C19+'8. mell. Intézmények összesen'!D23</f>
        <v>3089893860</v>
      </c>
      <c r="D19" s="2799">
        <f>+'5. mell.Önk-i mérleg'!D19+'8. mell. Intézmények összesen'!E23</f>
        <v>2950120885</v>
      </c>
      <c r="E19" s="2798">
        <f>+'5. mell.Önk-i mérleg'!E19+'8. mell. Intézmények összesen'!F23</f>
        <v>3116514628</v>
      </c>
      <c r="F19" s="2798">
        <f>+'5. mell.Önk-i mérleg'!F19+'8. mell. Intézmények összesen'!G23</f>
        <v>3123920212</v>
      </c>
      <c r="G19" s="2798">
        <f>+'5. mell.Önk-i mérleg'!G19+'8. mell. Intézmények összesen'!H23</f>
        <v>2937645022</v>
      </c>
      <c r="H19" s="2798">
        <f>+'5. mell.Önk-i mérleg'!H19+'8. mell. Intézmények összesen'!I23</f>
        <v>3026181493</v>
      </c>
      <c r="I19" s="2798">
        <f>+'5. mell.Önk-i mérleg'!I19+'8. mell. Intézmények összesen'!J23</f>
        <v>3026181493</v>
      </c>
      <c r="J19" s="2800">
        <f>+'5. mell.Önk-i mérleg'!J19+'8. mell. Intézmények összesen'!K23</f>
        <v>3026181493</v>
      </c>
      <c r="K19" s="2801">
        <f>+J19/H19</f>
        <v>1</v>
      </c>
      <c r="L19" s="2798">
        <f t="shared" si="2"/>
        <v>7405584</v>
      </c>
      <c r="M19" s="2798">
        <f t="shared" si="3"/>
        <v>-186275190</v>
      </c>
      <c r="N19" s="2802">
        <f t="shared" si="4"/>
        <v>88536471</v>
      </c>
      <c r="O19" s="1737">
        <f t="shared" si="5"/>
        <v>0</v>
      </c>
      <c r="P19" s="1735">
        <f t="shared" si="6"/>
        <v>26620768</v>
      </c>
      <c r="Q19" s="1736"/>
      <c r="R19" s="1738">
        <v>2469328954</v>
      </c>
      <c r="AB19" s="1738">
        <v>2950120885</v>
      </c>
      <c r="AC19" s="1734">
        <f t="shared" si="7"/>
        <v>0</v>
      </c>
    </row>
    <row r="20" spans="1:29" ht="13.5" thickBot="1">
      <c r="A20" s="2805" t="s">
        <v>195</v>
      </c>
      <c r="B20" s="2806" t="s">
        <v>196</v>
      </c>
      <c r="C20" s="2798">
        <f>+'2. mell.  '!C8</f>
        <v>0</v>
      </c>
      <c r="D20" s="2799">
        <f>+'2. mell.  '!D8</f>
        <v>0</v>
      </c>
      <c r="E20" s="2798">
        <f>+'2. mell.  '!E8</f>
        <v>0</v>
      </c>
      <c r="F20" s="2798">
        <f>+'2. mell.  '!F8</f>
        <v>0</v>
      </c>
      <c r="G20" s="2798">
        <f>+'2. mell.  '!G8</f>
        <v>0</v>
      </c>
      <c r="H20" s="2798">
        <f>+'2. mell.  '!H8</f>
        <v>0</v>
      </c>
      <c r="I20" s="2798">
        <f>+'2. mell.  '!I8</f>
        <v>0</v>
      </c>
      <c r="J20" s="2800">
        <f>+'2. mell.  '!J8</f>
        <v>0</v>
      </c>
      <c r="K20" s="2801"/>
      <c r="L20" s="2798">
        <f t="shared" si="2"/>
        <v>0</v>
      </c>
      <c r="M20" s="2798">
        <f t="shared" si="3"/>
        <v>0</v>
      </c>
      <c r="N20" s="2802">
        <f t="shared" si="4"/>
        <v>0</v>
      </c>
      <c r="O20" s="1737">
        <f t="shared" si="5"/>
        <v>0</v>
      </c>
      <c r="P20" s="1735">
        <f t="shared" si="6"/>
        <v>0</v>
      </c>
      <c r="Q20" s="1736"/>
      <c r="R20" s="1738">
        <v>0</v>
      </c>
      <c r="AB20" s="1738">
        <v>0</v>
      </c>
      <c r="AC20" s="1734">
        <f t="shared" si="7"/>
        <v>0</v>
      </c>
    </row>
    <row r="21" spans="1:29" ht="13.5" thickBot="1">
      <c r="A21" s="2789" t="s">
        <v>14</v>
      </c>
      <c r="B21" s="2807" t="s">
        <v>197</v>
      </c>
      <c r="C21" s="2791">
        <f t="shared" ref="C21:J21" si="9">+C22+C23+C24+C25+C26</f>
        <v>800000000</v>
      </c>
      <c r="D21" s="2791">
        <f t="shared" si="9"/>
        <v>620000</v>
      </c>
      <c r="E21" s="2791">
        <f t="shared" si="9"/>
        <v>1631350723</v>
      </c>
      <c r="F21" s="2791">
        <f t="shared" si="9"/>
        <v>1631350723</v>
      </c>
      <c r="G21" s="2791">
        <f t="shared" si="9"/>
        <v>1691350723</v>
      </c>
      <c r="H21" s="2791">
        <f t="shared" si="9"/>
        <v>1192760390</v>
      </c>
      <c r="I21" s="2791">
        <f t="shared" si="9"/>
        <v>1192760390</v>
      </c>
      <c r="J21" s="2793">
        <f t="shared" si="9"/>
        <v>1192760390</v>
      </c>
      <c r="K21" s="2794">
        <f>+J21/H21</f>
        <v>1</v>
      </c>
      <c r="L21" s="2791">
        <f t="shared" si="2"/>
        <v>0</v>
      </c>
      <c r="M21" s="2791">
        <f t="shared" si="3"/>
        <v>60000000</v>
      </c>
      <c r="N21" s="2795">
        <f t="shared" si="4"/>
        <v>-498590333</v>
      </c>
      <c r="O21" s="1733">
        <f t="shared" si="5"/>
        <v>0</v>
      </c>
      <c r="P21" s="1735">
        <f t="shared" si="6"/>
        <v>831350723</v>
      </c>
      <c r="Q21" s="1732"/>
      <c r="R21" s="1734">
        <v>620000</v>
      </c>
      <c r="AB21" s="1734">
        <v>620000</v>
      </c>
      <c r="AC21" s="1734">
        <f t="shared" si="7"/>
        <v>0</v>
      </c>
    </row>
    <row r="22" spans="1:29" ht="13.5" thickBot="1">
      <c r="A22" s="2796" t="s">
        <v>198</v>
      </c>
      <c r="B22" s="2797" t="s">
        <v>199</v>
      </c>
      <c r="C22" s="2798">
        <f>+'5. mell.Önk-i mérleg'!C22</f>
        <v>0</v>
      </c>
      <c r="D22" s="2799">
        <f>+'5. mell.Önk-i mérleg'!D22</f>
        <v>0</v>
      </c>
      <c r="E22" s="2798">
        <f>+'5. mell.Önk-i mérleg'!E22</f>
        <v>0</v>
      </c>
      <c r="F22" s="2798">
        <f>+'5. mell.Önk-i mérleg'!F22</f>
        <v>0</v>
      </c>
      <c r="G22" s="2798">
        <f>+'5. mell.Önk-i mérleg'!G22</f>
        <v>0</v>
      </c>
      <c r="H22" s="2798">
        <f>+'5. mell.Önk-i mérleg'!H22</f>
        <v>0</v>
      </c>
      <c r="I22" s="2798">
        <f>+'5. mell.Önk-i mérleg'!I22</f>
        <v>0</v>
      </c>
      <c r="J22" s="2800">
        <f>+'5. mell.Önk-i mérleg'!J22</f>
        <v>0</v>
      </c>
      <c r="K22" s="2801"/>
      <c r="L22" s="2798">
        <f t="shared" si="2"/>
        <v>0</v>
      </c>
      <c r="M22" s="2798">
        <f t="shared" si="3"/>
        <v>0</v>
      </c>
      <c r="N22" s="2802">
        <f t="shared" si="4"/>
        <v>0</v>
      </c>
      <c r="O22" s="1737">
        <f t="shared" si="5"/>
        <v>0</v>
      </c>
      <c r="P22" s="1735">
        <f t="shared" si="6"/>
        <v>0</v>
      </c>
      <c r="Q22" s="1736"/>
      <c r="R22" s="1738">
        <v>0</v>
      </c>
      <c r="AB22" s="1738">
        <v>0</v>
      </c>
      <c r="AC22" s="1734">
        <f t="shared" si="7"/>
        <v>0</v>
      </c>
    </row>
    <row r="23" spans="1:29" ht="13.5" thickBot="1">
      <c r="A23" s="2803" t="s">
        <v>200</v>
      </c>
      <c r="B23" s="2804" t="s">
        <v>201</v>
      </c>
      <c r="C23" s="2798">
        <f>+'5. mell.Önk-i mérleg'!C23</f>
        <v>0</v>
      </c>
      <c r="D23" s="2799">
        <f>+'5. mell.Önk-i mérleg'!D23</f>
        <v>0</v>
      </c>
      <c r="E23" s="2798">
        <f>+'5. mell.Önk-i mérleg'!E23</f>
        <v>0</v>
      </c>
      <c r="F23" s="2798">
        <f>+'5. mell.Önk-i mérleg'!F23</f>
        <v>0</v>
      </c>
      <c r="G23" s="2798">
        <f>+'5. mell.Önk-i mérleg'!G23</f>
        <v>0</v>
      </c>
      <c r="H23" s="2798">
        <f>+'5. mell.Önk-i mérleg'!H23</f>
        <v>0</v>
      </c>
      <c r="I23" s="2798">
        <f>+'5. mell.Önk-i mérleg'!I23</f>
        <v>0</v>
      </c>
      <c r="J23" s="2800">
        <f>+'5. mell.Önk-i mérleg'!J23</f>
        <v>0</v>
      </c>
      <c r="K23" s="2801"/>
      <c r="L23" s="2798">
        <f t="shared" si="2"/>
        <v>0</v>
      </c>
      <c r="M23" s="2798">
        <f t="shared" si="3"/>
        <v>0</v>
      </c>
      <c r="N23" s="2802">
        <f t="shared" si="4"/>
        <v>0</v>
      </c>
      <c r="O23" s="1737">
        <f t="shared" si="5"/>
        <v>0</v>
      </c>
      <c r="P23" s="1735">
        <f t="shared" si="6"/>
        <v>0</v>
      </c>
      <c r="Q23" s="1736"/>
      <c r="R23" s="1738">
        <v>0</v>
      </c>
      <c r="AB23" s="1738">
        <v>0</v>
      </c>
      <c r="AC23" s="1734">
        <f t="shared" si="7"/>
        <v>0</v>
      </c>
    </row>
    <row r="24" spans="1:29" ht="13.5" thickBot="1">
      <c r="A24" s="2803" t="s">
        <v>202</v>
      </c>
      <c r="B24" s="2804" t="s">
        <v>203</v>
      </c>
      <c r="C24" s="2798">
        <f>+'5. mell.Önk-i mérleg'!C24</f>
        <v>0</v>
      </c>
      <c r="D24" s="2799">
        <f>+'5. mell.Önk-i mérleg'!D24</f>
        <v>0</v>
      </c>
      <c r="E24" s="2798">
        <f>+'5. mell.Önk-i mérleg'!E24</f>
        <v>0</v>
      </c>
      <c r="F24" s="2798">
        <f>+'5. mell.Önk-i mérleg'!F24</f>
        <v>0</v>
      </c>
      <c r="G24" s="2798">
        <f>+'5. mell.Önk-i mérleg'!G24</f>
        <v>0</v>
      </c>
      <c r="H24" s="2798">
        <f>+'5. mell.Önk-i mérleg'!H24</f>
        <v>0</v>
      </c>
      <c r="I24" s="2798">
        <f>+'5. mell.Önk-i mérleg'!I24</f>
        <v>0</v>
      </c>
      <c r="J24" s="2800">
        <f>+'5. mell.Önk-i mérleg'!J24</f>
        <v>0</v>
      </c>
      <c r="K24" s="2801"/>
      <c r="L24" s="2798">
        <f t="shared" si="2"/>
        <v>0</v>
      </c>
      <c r="M24" s="2798">
        <f t="shared" si="3"/>
        <v>0</v>
      </c>
      <c r="N24" s="2802">
        <f t="shared" si="4"/>
        <v>0</v>
      </c>
      <c r="O24" s="1737">
        <f t="shared" si="5"/>
        <v>0</v>
      </c>
      <c r="P24" s="1735">
        <f t="shared" si="6"/>
        <v>0</v>
      </c>
      <c r="Q24" s="1736"/>
      <c r="R24" s="1738">
        <v>0</v>
      </c>
      <c r="AB24" s="1738">
        <v>0</v>
      </c>
      <c r="AC24" s="1734">
        <f t="shared" si="7"/>
        <v>0</v>
      </c>
    </row>
    <row r="25" spans="1:29" ht="13.5" thickBot="1">
      <c r="A25" s="2803" t="s">
        <v>204</v>
      </c>
      <c r="B25" s="2804" t="s">
        <v>205</v>
      </c>
      <c r="C25" s="2798">
        <f>+'5. mell.Önk-i mérleg'!C25</f>
        <v>0</v>
      </c>
      <c r="D25" s="2799">
        <f>+'5. mell.Önk-i mérleg'!D25</f>
        <v>0</v>
      </c>
      <c r="E25" s="2798">
        <f>+'5. mell.Önk-i mérleg'!E25</f>
        <v>0</v>
      </c>
      <c r="F25" s="2798">
        <f>+'5. mell.Önk-i mérleg'!F25</f>
        <v>0</v>
      </c>
      <c r="G25" s="2798">
        <f>+'5. mell.Önk-i mérleg'!G25</f>
        <v>0</v>
      </c>
      <c r="H25" s="2798">
        <f>+'5. mell.Önk-i mérleg'!H25</f>
        <v>0</v>
      </c>
      <c r="I25" s="2798">
        <f>+'5. mell.Önk-i mérleg'!I25</f>
        <v>0</v>
      </c>
      <c r="J25" s="2800">
        <f>+'5. mell.Önk-i mérleg'!J25</f>
        <v>0</v>
      </c>
      <c r="K25" s="2801"/>
      <c r="L25" s="2798">
        <f t="shared" si="2"/>
        <v>0</v>
      </c>
      <c r="M25" s="2798">
        <f t="shared" si="3"/>
        <v>0</v>
      </c>
      <c r="N25" s="2802">
        <f t="shared" si="4"/>
        <v>0</v>
      </c>
      <c r="O25" s="1737">
        <f t="shared" si="5"/>
        <v>0</v>
      </c>
      <c r="P25" s="1735">
        <f t="shared" si="6"/>
        <v>0</v>
      </c>
      <c r="Q25" s="1736"/>
      <c r="R25" s="1738">
        <v>0</v>
      </c>
      <c r="AB25" s="1738">
        <v>0</v>
      </c>
      <c r="AC25" s="1734">
        <f t="shared" si="7"/>
        <v>0</v>
      </c>
    </row>
    <row r="26" spans="1:29" ht="13.5" thickBot="1">
      <c r="A26" s="2803" t="s">
        <v>206</v>
      </c>
      <c r="B26" s="2804" t="s">
        <v>207</v>
      </c>
      <c r="C26" s="2798">
        <f>+'5. mell.Önk-i mérleg'!C26+'8. mell. Intézmények összesen'!D27</f>
        <v>800000000</v>
      </c>
      <c r="D26" s="2799">
        <f>+'5. mell.Önk-i mérleg'!D26+'8. mell. Intézmények összesen'!E27</f>
        <v>620000</v>
      </c>
      <c r="E26" s="2798">
        <f>+'5. mell.Önk-i mérleg'!E26+'8. mell. Intézmények összesen'!F27</f>
        <v>1631350723</v>
      </c>
      <c r="F26" s="2798">
        <f>+'5. mell.Önk-i mérleg'!F26+'8. mell. Intézmények összesen'!G27</f>
        <v>1631350723</v>
      </c>
      <c r="G26" s="2798">
        <f>+'5. mell.Önk-i mérleg'!G26+'8. mell. Intézmények összesen'!H27</f>
        <v>1691350723</v>
      </c>
      <c r="H26" s="2798">
        <f>+'5. mell.Önk-i mérleg'!H26+'8. mell. Intézmények összesen'!I27</f>
        <v>1192760390</v>
      </c>
      <c r="I26" s="2798">
        <f>+'5. mell.Önk-i mérleg'!I26+'8. mell. Intézmények összesen'!J27</f>
        <v>1192760390</v>
      </c>
      <c r="J26" s="2800">
        <f>+'5. mell.Önk-i mérleg'!J26+'8. mell. Intézmények összesen'!K27</f>
        <v>1192760390</v>
      </c>
      <c r="K26" s="2808">
        <f t="shared" ref="K26:K31" si="10">+J26/H26</f>
        <v>1</v>
      </c>
      <c r="L26" s="2798">
        <f t="shared" si="2"/>
        <v>0</v>
      </c>
      <c r="M26" s="2798">
        <f t="shared" si="3"/>
        <v>60000000</v>
      </c>
      <c r="N26" s="2802">
        <f t="shared" si="4"/>
        <v>-498590333</v>
      </c>
      <c r="O26" s="1737">
        <f t="shared" si="5"/>
        <v>0</v>
      </c>
      <c r="P26" s="1735">
        <f t="shared" si="6"/>
        <v>831350723</v>
      </c>
      <c r="Q26" s="1736"/>
      <c r="R26" s="1738">
        <v>620000</v>
      </c>
      <c r="AB26" s="1738">
        <v>620000</v>
      </c>
      <c r="AC26" s="1734">
        <f t="shared" si="7"/>
        <v>0</v>
      </c>
    </row>
    <row r="27" spans="1:29" ht="13.5" thickBot="1">
      <c r="A27" s="2805" t="s">
        <v>208</v>
      </c>
      <c r="B27" s="2806" t="s">
        <v>209</v>
      </c>
      <c r="C27" s="2798">
        <f>+'5. mell.Önk-i mérleg'!C27+'8. mell. Intézmények összesen'!D28</f>
        <v>629921260</v>
      </c>
      <c r="D27" s="2799">
        <v>0</v>
      </c>
      <c r="E27" s="2798">
        <f>+'5. mell.Önk-i mérleg'!E27+'8. mell. Intézmények összesen'!F28</f>
        <v>538761279</v>
      </c>
      <c r="F27" s="2798">
        <f>+'5. mell.Önk-i mérleg'!F27+'8. mell. Intézmények összesen'!G28</f>
        <v>538761279</v>
      </c>
      <c r="G27" s="2798">
        <f>+'5. mell.Önk-i mérleg'!G27+'8. mell. Intézmények összesen'!H28</f>
        <v>538761279</v>
      </c>
      <c r="H27" s="2798">
        <f>+'5. mell.Önk-i mérleg'!H27+'8. mell. Intézmények összesen'!I28</f>
        <v>394760390</v>
      </c>
      <c r="I27" s="2798">
        <f>+'5. mell.Önk-i mérleg'!I27+'8. mell. Intézmények összesen'!J28</f>
        <v>394760390</v>
      </c>
      <c r="J27" s="2800">
        <f>+'5. mell.Önk-i mérleg'!J27+'8. mell. Intézmények összesen'!K28</f>
        <v>394760390</v>
      </c>
      <c r="K27" s="2801">
        <f t="shared" si="10"/>
        <v>1</v>
      </c>
      <c r="L27" s="2798">
        <f t="shared" si="2"/>
        <v>0</v>
      </c>
      <c r="M27" s="2798">
        <f t="shared" si="3"/>
        <v>0</v>
      </c>
      <c r="N27" s="2802">
        <f t="shared" si="4"/>
        <v>-144000889</v>
      </c>
      <c r="O27" s="1737">
        <f t="shared" si="5"/>
        <v>0</v>
      </c>
      <c r="P27" s="1735">
        <f t="shared" si="6"/>
        <v>-91159981</v>
      </c>
      <c r="Q27" s="1736"/>
      <c r="R27" s="1738">
        <v>0</v>
      </c>
      <c r="S27" s="1735">
        <f>+H27-J27</f>
        <v>0</v>
      </c>
      <c r="AB27" s="1738">
        <v>0</v>
      </c>
      <c r="AC27" s="1734">
        <f t="shared" si="7"/>
        <v>0</v>
      </c>
    </row>
    <row r="28" spans="1:29" ht="13.5" thickBot="1">
      <c r="A28" s="2789" t="s">
        <v>210</v>
      </c>
      <c r="B28" s="2807" t="s">
        <v>211</v>
      </c>
      <c r="C28" s="2791">
        <f t="shared" ref="C28:J28" si="11">+C29+C32+C33+C34</f>
        <v>11841918010</v>
      </c>
      <c r="D28" s="2791">
        <f t="shared" si="11"/>
        <v>11553038482</v>
      </c>
      <c r="E28" s="2791">
        <f t="shared" si="11"/>
        <v>12039227919</v>
      </c>
      <c r="F28" s="2791">
        <f t="shared" si="11"/>
        <v>12039227919</v>
      </c>
      <c r="G28" s="2791">
        <f t="shared" si="11"/>
        <v>12039227919</v>
      </c>
      <c r="H28" s="2791">
        <f t="shared" si="11"/>
        <v>12429256040</v>
      </c>
      <c r="I28" s="2791">
        <f t="shared" si="11"/>
        <v>12429256040</v>
      </c>
      <c r="J28" s="2793">
        <f t="shared" si="11"/>
        <v>12429256040</v>
      </c>
      <c r="K28" s="2794">
        <f t="shared" si="10"/>
        <v>1</v>
      </c>
      <c r="L28" s="2791">
        <f t="shared" si="2"/>
        <v>0</v>
      </c>
      <c r="M28" s="2791">
        <f t="shared" si="3"/>
        <v>0</v>
      </c>
      <c r="N28" s="2795">
        <f t="shared" si="4"/>
        <v>390028121</v>
      </c>
      <c r="O28" s="1733">
        <f t="shared" si="5"/>
        <v>0</v>
      </c>
      <c r="P28" s="1735">
        <f t="shared" si="6"/>
        <v>197309909</v>
      </c>
      <c r="Q28" s="1732"/>
      <c r="R28" s="1734">
        <v>10938845318</v>
      </c>
      <c r="AB28" s="1734">
        <v>11553038482</v>
      </c>
      <c r="AC28" s="1734">
        <f t="shared" si="7"/>
        <v>0</v>
      </c>
    </row>
    <row r="29" spans="1:29" ht="13.5" thickBot="1">
      <c r="A29" s="2796" t="s">
        <v>212</v>
      </c>
      <c r="B29" s="2797" t="s">
        <v>213</v>
      </c>
      <c r="C29" s="2809">
        <f>+'5. mell.Önk-i mérleg'!C29</f>
        <v>11774768010</v>
      </c>
      <c r="D29" s="2810">
        <f>+'5. mell.Önk-i mérleg'!D29</f>
        <v>11424300024</v>
      </c>
      <c r="E29" s="2809">
        <f>+'5. mell.Önk-i mérleg'!E29</f>
        <v>11974768010</v>
      </c>
      <c r="F29" s="2809">
        <f>+'5. mell.Önk-i mérleg'!F29</f>
        <v>11974768010</v>
      </c>
      <c r="G29" s="2809">
        <f>+'5. mell.Önk-i mérleg'!G29</f>
        <v>11974768010</v>
      </c>
      <c r="H29" s="2809">
        <f>+'5. mell.Önk-i mérleg'!H29</f>
        <v>12291824164</v>
      </c>
      <c r="I29" s="2809">
        <f>+'5. mell.Önk-i mérleg'!I29</f>
        <v>12291824164</v>
      </c>
      <c r="J29" s="2811">
        <f>+'5. mell.Önk-i mérleg'!J29</f>
        <v>12291824164</v>
      </c>
      <c r="K29" s="2812">
        <f t="shared" si="10"/>
        <v>1</v>
      </c>
      <c r="L29" s="2809">
        <f t="shared" si="2"/>
        <v>0</v>
      </c>
      <c r="M29" s="2809">
        <f t="shared" si="3"/>
        <v>0</v>
      </c>
      <c r="N29" s="2813">
        <f t="shared" si="4"/>
        <v>317056154</v>
      </c>
      <c r="O29" s="1740">
        <f t="shared" si="5"/>
        <v>0</v>
      </c>
      <c r="P29" s="1735">
        <f t="shared" si="6"/>
        <v>200000000</v>
      </c>
      <c r="Q29" s="1739"/>
      <c r="R29" s="1741">
        <v>10865397575</v>
      </c>
      <c r="AB29" s="1741">
        <v>11424300024</v>
      </c>
      <c r="AC29" s="1734">
        <f t="shared" si="7"/>
        <v>0</v>
      </c>
    </row>
    <row r="30" spans="1:29" ht="13.5" thickBot="1">
      <c r="A30" s="2803" t="s">
        <v>214</v>
      </c>
      <c r="B30" s="2804" t="s">
        <v>215</v>
      </c>
      <c r="C30" s="2809">
        <f>+'5. mell.Önk-i mérleg'!C30</f>
        <v>1000000000</v>
      </c>
      <c r="D30" s="2810">
        <f>+'5. mell.Önk-i mérleg'!D30</f>
        <v>903916941</v>
      </c>
      <c r="E30" s="2809">
        <f>+'5. mell.Önk-i mérleg'!E30</f>
        <v>1200000000</v>
      </c>
      <c r="F30" s="2809">
        <f>+'5. mell.Önk-i mérleg'!F30</f>
        <v>1200000000</v>
      </c>
      <c r="G30" s="2809">
        <f>+'5. mell.Önk-i mérleg'!G30</f>
        <v>1200000000</v>
      </c>
      <c r="H30" s="2809">
        <f>+'5. mell.Önk-i mérleg'!H30</f>
        <v>1251294731</v>
      </c>
      <c r="I30" s="2809">
        <f>+'5. mell.Önk-i mérleg'!I30</f>
        <v>1251294731</v>
      </c>
      <c r="J30" s="2811">
        <f>+'5. mell.Önk-i mérleg'!J30</f>
        <v>1251294731</v>
      </c>
      <c r="K30" s="2812">
        <f t="shared" si="10"/>
        <v>1</v>
      </c>
      <c r="L30" s="2809">
        <f t="shared" si="2"/>
        <v>0</v>
      </c>
      <c r="M30" s="2809">
        <f t="shared" si="3"/>
        <v>0</v>
      </c>
      <c r="N30" s="2813">
        <f t="shared" si="4"/>
        <v>51294731</v>
      </c>
      <c r="O30" s="1740">
        <f t="shared" si="5"/>
        <v>0</v>
      </c>
      <c r="P30" s="1735">
        <f t="shared" si="6"/>
        <v>200000000</v>
      </c>
      <c r="Q30" s="1739"/>
      <c r="R30" s="1741">
        <v>872865282</v>
      </c>
      <c r="AB30" s="1741">
        <v>903916941</v>
      </c>
      <c r="AC30" s="1734">
        <f t="shared" si="7"/>
        <v>0</v>
      </c>
    </row>
    <row r="31" spans="1:29" ht="13.5" thickBot="1">
      <c r="A31" s="2803" t="s">
        <v>216</v>
      </c>
      <c r="B31" s="2804" t="s">
        <v>217</v>
      </c>
      <c r="C31" s="2809">
        <f>+'5. mell.Önk-i mérleg'!C31</f>
        <v>10774768010</v>
      </c>
      <c r="D31" s="2810">
        <f>+'5. mell.Önk-i mérleg'!D31</f>
        <v>10520383083</v>
      </c>
      <c r="E31" s="2809">
        <f>+'5. mell.Önk-i mérleg'!E31</f>
        <v>10774768010</v>
      </c>
      <c r="F31" s="2809">
        <f>+'5. mell.Önk-i mérleg'!F31</f>
        <v>10774768010</v>
      </c>
      <c r="G31" s="2809">
        <f>+'5. mell.Önk-i mérleg'!G31</f>
        <v>10774768010</v>
      </c>
      <c r="H31" s="2809">
        <f>+'5. mell.Önk-i mérleg'!H31</f>
        <v>11040529433</v>
      </c>
      <c r="I31" s="2809">
        <f>+'5. mell.Önk-i mérleg'!I31</f>
        <v>11040529433</v>
      </c>
      <c r="J31" s="2811">
        <f>+'5. mell.Önk-i mérleg'!J31</f>
        <v>11040529433</v>
      </c>
      <c r="K31" s="2812">
        <f t="shared" si="10"/>
        <v>1</v>
      </c>
      <c r="L31" s="2809">
        <f t="shared" si="2"/>
        <v>0</v>
      </c>
      <c r="M31" s="2809">
        <f t="shared" si="3"/>
        <v>0</v>
      </c>
      <c r="N31" s="2813">
        <f t="shared" si="4"/>
        <v>265761423</v>
      </c>
      <c r="O31" s="1740">
        <f t="shared" si="5"/>
        <v>0</v>
      </c>
      <c r="P31" s="1735">
        <f t="shared" si="6"/>
        <v>0</v>
      </c>
      <c r="Q31" s="1739"/>
      <c r="R31" s="1741">
        <v>9992532293</v>
      </c>
      <c r="AB31" s="1741">
        <v>10520383083</v>
      </c>
      <c r="AC31" s="1734">
        <f t="shared" si="7"/>
        <v>0</v>
      </c>
    </row>
    <row r="32" spans="1:29" ht="13.5" thickBot="1">
      <c r="A32" s="2803" t="s">
        <v>218</v>
      </c>
      <c r="B32" s="2804" t="s">
        <v>219</v>
      </c>
      <c r="C32" s="2809">
        <f>+'5. mell.Önk-i mérleg'!C32</f>
        <v>0</v>
      </c>
      <c r="D32" s="2810">
        <f>+'5. mell.Önk-i mérleg'!D32</f>
        <v>0</v>
      </c>
      <c r="E32" s="2809">
        <f>+'5. mell.Önk-i mérleg'!E32</f>
        <v>0</v>
      </c>
      <c r="F32" s="2809">
        <f>+'5. mell.Önk-i mérleg'!F32</f>
        <v>0</v>
      </c>
      <c r="G32" s="2809">
        <f>+'5. mell.Önk-i mérleg'!G32</f>
        <v>0</v>
      </c>
      <c r="H32" s="2809">
        <f>+'5. mell.Önk-i mérleg'!H32</f>
        <v>0</v>
      </c>
      <c r="I32" s="2809">
        <f>+'5. mell.Önk-i mérleg'!I32</f>
        <v>0</v>
      </c>
      <c r="J32" s="2811">
        <f>+'5. mell.Önk-i mérleg'!J32</f>
        <v>0</v>
      </c>
      <c r="K32" s="2812"/>
      <c r="L32" s="2809">
        <f t="shared" si="2"/>
        <v>0</v>
      </c>
      <c r="M32" s="2809">
        <f t="shared" si="3"/>
        <v>0</v>
      </c>
      <c r="N32" s="2813">
        <f t="shared" si="4"/>
        <v>0</v>
      </c>
      <c r="O32" s="1740">
        <f t="shared" si="5"/>
        <v>0</v>
      </c>
      <c r="P32" s="1735">
        <f t="shared" si="6"/>
        <v>0</v>
      </c>
      <c r="Q32" s="1739"/>
      <c r="R32" s="1741">
        <v>0</v>
      </c>
      <c r="AB32" s="1741">
        <v>0</v>
      </c>
      <c r="AC32" s="1734">
        <f t="shared" si="7"/>
        <v>0</v>
      </c>
    </row>
    <row r="33" spans="1:29" ht="13.5" thickBot="1">
      <c r="A33" s="2803" t="s">
        <v>220</v>
      </c>
      <c r="B33" s="2804" t="s">
        <v>221</v>
      </c>
      <c r="C33" s="2809">
        <f>+'5. mell.Önk-i mérleg'!C33</f>
        <v>6000000</v>
      </c>
      <c r="D33" s="2810">
        <f>+'5. mell.Önk-i mérleg'!D33</f>
        <v>9663830</v>
      </c>
      <c r="E33" s="2809">
        <f>+'5. mell.Önk-i mérleg'!E33</f>
        <v>8100000</v>
      </c>
      <c r="F33" s="2809">
        <f>+'5. mell.Önk-i mérleg'!F33</f>
        <v>8100000</v>
      </c>
      <c r="G33" s="2809">
        <f>+'5. mell.Önk-i mérleg'!G33</f>
        <v>8100000</v>
      </c>
      <c r="H33" s="2809">
        <f>+'5. mell.Önk-i mérleg'!H33</f>
        <v>10038385</v>
      </c>
      <c r="I33" s="2809">
        <f>+'5. mell.Önk-i mérleg'!I33</f>
        <v>10038385</v>
      </c>
      <c r="J33" s="2811">
        <f>+'5. mell.Önk-i mérleg'!J33</f>
        <v>10038385</v>
      </c>
      <c r="K33" s="2812">
        <f t="shared" ref="K33:K43" si="12">+J33/H33</f>
        <v>1</v>
      </c>
      <c r="L33" s="2809">
        <f t="shared" si="2"/>
        <v>0</v>
      </c>
      <c r="M33" s="2809">
        <f t="shared" si="3"/>
        <v>0</v>
      </c>
      <c r="N33" s="2813">
        <f t="shared" si="4"/>
        <v>1938385</v>
      </c>
      <c r="O33" s="1740">
        <f t="shared" si="5"/>
        <v>0</v>
      </c>
      <c r="P33" s="1735">
        <f t="shared" si="6"/>
        <v>2100000</v>
      </c>
      <c r="Q33" s="1739"/>
      <c r="R33" s="1741">
        <v>5589592</v>
      </c>
      <c r="AB33" s="1741">
        <v>9663830</v>
      </c>
      <c r="AC33" s="1734">
        <f t="shared" si="7"/>
        <v>0</v>
      </c>
    </row>
    <row r="34" spans="1:29" ht="13.5" thickBot="1">
      <c r="A34" s="2805" t="s">
        <v>222</v>
      </c>
      <c r="B34" s="2806" t="s">
        <v>223</v>
      </c>
      <c r="C34" s="2809">
        <f>+'5. mell.Önk-i mérleg'!C34+'8. mell. Intézmények összesen'!D31</f>
        <v>61150000</v>
      </c>
      <c r="D34" s="2810">
        <f>+'5. mell.Önk-i mérleg'!D34+'8. mell. Intézmények összesen'!E31</f>
        <v>119074628</v>
      </c>
      <c r="E34" s="2809">
        <f>+'5. mell.Önk-i mérleg'!E34+'8. mell. Intézmények összesen'!F31</f>
        <v>56359909</v>
      </c>
      <c r="F34" s="2809">
        <f>+'5. mell.Önk-i mérleg'!F34+'8. mell. Intézmények összesen'!G31</f>
        <v>56359909</v>
      </c>
      <c r="G34" s="2809">
        <f>+'5. mell.Önk-i mérleg'!G34+'8. mell. Intézmények összesen'!H31</f>
        <v>56359909</v>
      </c>
      <c r="H34" s="2809">
        <f>+'5. mell.Önk-i mérleg'!H34+'8. mell. Intézmények összesen'!I31</f>
        <v>127393491</v>
      </c>
      <c r="I34" s="2809">
        <f>+'5. mell.Önk-i mérleg'!I34+'8. mell. Intézmények összesen'!J31</f>
        <v>127393491</v>
      </c>
      <c r="J34" s="2811">
        <f>+'5. mell.Önk-i mérleg'!J34+'8. mell. Intézmények összesen'!K31</f>
        <v>127393491</v>
      </c>
      <c r="K34" s="2812">
        <f t="shared" si="12"/>
        <v>1</v>
      </c>
      <c r="L34" s="2809">
        <f t="shared" si="2"/>
        <v>0</v>
      </c>
      <c r="M34" s="2809">
        <f t="shared" si="3"/>
        <v>0</v>
      </c>
      <c r="N34" s="2813">
        <f t="shared" si="4"/>
        <v>71033582</v>
      </c>
      <c r="O34" s="1740">
        <f t="shared" si="5"/>
        <v>0</v>
      </c>
      <c r="P34" s="1735">
        <f t="shared" si="6"/>
        <v>-4790091</v>
      </c>
      <c r="Q34" s="1739"/>
      <c r="R34" s="1741">
        <v>67858151</v>
      </c>
      <c r="AB34" s="1741">
        <v>119074628</v>
      </c>
      <c r="AC34" s="1734">
        <f t="shared" si="7"/>
        <v>0</v>
      </c>
    </row>
    <row r="35" spans="1:29" ht="13.5" thickBot="1">
      <c r="A35" s="2789" t="s">
        <v>17</v>
      </c>
      <c r="B35" s="2807" t="s">
        <v>224</v>
      </c>
      <c r="C35" s="2791">
        <f t="shared" ref="C35:J35" si="13">SUM(C36:C46)</f>
        <v>2976871201</v>
      </c>
      <c r="D35" s="2791">
        <f t="shared" si="13"/>
        <v>3110906519</v>
      </c>
      <c r="E35" s="2791">
        <f t="shared" si="13"/>
        <v>2723483039.26968</v>
      </c>
      <c r="F35" s="2791">
        <f t="shared" si="13"/>
        <v>2786097471.26968</v>
      </c>
      <c r="G35" s="2791">
        <f t="shared" si="13"/>
        <v>2847934722.26968</v>
      </c>
      <c r="H35" s="2791">
        <f t="shared" si="13"/>
        <v>2882380520.26968</v>
      </c>
      <c r="I35" s="2791">
        <f t="shared" si="13"/>
        <v>2882380520.26968</v>
      </c>
      <c r="J35" s="2793">
        <f t="shared" si="13"/>
        <v>2882380520</v>
      </c>
      <c r="K35" s="2794">
        <f t="shared" si="12"/>
        <v>0.9999999999064384</v>
      </c>
      <c r="L35" s="2791">
        <f t="shared" si="2"/>
        <v>62614432</v>
      </c>
      <c r="M35" s="2791">
        <f t="shared" si="3"/>
        <v>61837251</v>
      </c>
      <c r="N35" s="2795">
        <f t="shared" si="4"/>
        <v>34445798</v>
      </c>
      <c r="O35" s="1733">
        <f t="shared" si="5"/>
        <v>0</v>
      </c>
      <c r="P35" s="1735">
        <f t="shared" si="6"/>
        <v>-253388161.73031998</v>
      </c>
      <c r="Q35" s="1732"/>
      <c r="R35" s="1734">
        <v>2346436463</v>
      </c>
      <c r="AB35" s="1734">
        <v>3110906519</v>
      </c>
      <c r="AC35" s="1734">
        <f t="shared" si="7"/>
        <v>0</v>
      </c>
    </row>
    <row r="36" spans="1:29" ht="13.5" thickBot="1">
      <c r="A36" s="2796" t="s">
        <v>225</v>
      </c>
      <c r="B36" s="2797" t="s">
        <v>226</v>
      </c>
      <c r="C36" s="2798">
        <f>+'5. mell.Önk-i mérleg'!C36+'8. mell. Intézmények összesen'!D9</f>
        <v>970330</v>
      </c>
      <c r="D36" s="2799">
        <f>+'5. mell.Önk-i mérleg'!D36+'8. mell. Intézmények összesen'!E9</f>
        <v>1187118</v>
      </c>
      <c r="E36" s="2798">
        <f>+'5. mell.Önk-i mérleg'!E36+'8. mell. Intézmények összesen'!F9</f>
        <v>1250000</v>
      </c>
      <c r="F36" s="2798">
        <f>+'5. mell.Önk-i mérleg'!F36+'8. mell. Intézmények összesen'!G9</f>
        <v>1250000</v>
      </c>
      <c r="G36" s="2798">
        <f>+'5. mell.Önk-i mérleg'!G36+'8. mell. Intézmények összesen'!H9</f>
        <v>2674430</v>
      </c>
      <c r="H36" s="2798">
        <f>+'5. mell.Önk-i mérleg'!H36+'8. mell. Intézmények összesen'!I9</f>
        <v>2655701</v>
      </c>
      <c r="I36" s="2798">
        <f>+'5. mell.Önk-i mérleg'!I36+'8. mell. Intézmények összesen'!J9</f>
        <v>2655701</v>
      </c>
      <c r="J36" s="2800">
        <f>+'5. mell.Önk-i mérleg'!J36+'8. mell. Intézmények összesen'!K9</f>
        <v>2655701</v>
      </c>
      <c r="K36" s="2808">
        <f t="shared" si="12"/>
        <v>1</v>
      </c>
      <c r="L36" s="2798">
        <f t="shared" si="2"/>
        <v>0</v>
      </c>
      <c r="M36" s="2798">
        <f t="shared" si="3"/>
        <v>1424430</v>
      </c>
      <c r="N36" s="2802">
        <f t="shared" si="4"/>
        <v>-18729</v>
      </c>
      <c r="O36" s="1737">
        <f t="shared" si="5"/>
        <v>0</v>
      </c>
      <c r="P36" s="1735">
        <f t="shared" si="6"/>
        <v>279670</v>
      </c>
      <c r="Q36" s="1736"/>
      <c r="R36" s="1738">
        <v>821973</v>
      </c>
      <c r="AB36" s="1738">
        <v>1187118</v>
      </c>
      <c r="AC36" s="1734">
        <f t="shared" si="7"/>
        <v>0</v>
      </c>
    </row>
    <row r="37" spans="1:29" ht="13.5" thickBot="1">
      <c r="A37" s="2803" t="s">
        <v>227</v>
      </c>
      <c r="B37" s="2804" t="s">
        <v>228</v>
      </c>
      <c r="C37" s="2798">
        <f>+'5. mell.Önk-i mérleg'!C37+'8. mell. Intézmények összesen'!D10</f>
        <v>389425341</v>
      </c>
      <c r="D37" s="2799">
        <f>+'5. mell.Önk-i mérleg'!D37+'8. mell. Intézmények összesen'!E10</f>
        <v>428839004</v>
      </c>
      <c r="E37" s="2798">
        <f>+'5. mell.Önk-i mérleg'!E37+'8. mell. Intézmények összesen'!F10</f>
        <v>520507331</v>
      </c>
      <c r="F37" s="2798">
        <f>+'5. mell.Önk-i mérleg'!F37+'8. mell. Intézmények összesen'!G10</f>
        <v>496507331</v>
      </c>
      <c r="G37" s="2798">
        <f>+'5. mell.Önk-i mérleg'!G37+'8. mell. Intézmények összesen'!H10</f>
        <v>496507331</v>
      </c>
      <c r="H37" s="2798">
        <f>+'5. mell.Önk-i mérleg'!H37+'8. mell. Intézmények összesen'!I10</f>
        <v>461903079</v>
      </c>
      <c r="I37" s="2798">
        <f>+'5. mell.Önk-i mérleg'!I37+'8. mell. Intézmények összesen'!J10</f>
        <v>461903079</v>
      </c>
      <c r="J37" s="2800">
        <f>+'5. mell.Önk-i mérleg'!J37+'8. mell. Intézmények összesen'!K10</f>
        <v>461903079</v>
      </c>
      <c r="K37" s="2801">
        <f t="shared" si="12"/>
        <v>1</v>
      </c>
      <c r="L37" s="2798">
        <f t="shared" si="2"/>
        <v>-24000000</v>
      </c>
      <c r="M37" s="2798">
        <f t="shared" si="3"/>
        <v>0</v>
      </c>
      <c r="N37" s="2802">
        <f t="shared" si="4"/>
        <v>-34604252</v>
      </c>
      <c r="O37" s="1737">
        <f t="shared" si="5"/>
        <v>0</v>
      </c>
      <c r="P37" s="1735">
        <f t="shared" si="6"/>
        <v>131081990</v>
      </c>
      <c r="Q37" s="1736"/>
      <c r="R37" s="1738">
        <v>363241593</v>
      </c>
      <c r="AB37" s="1738">
        <v>428839004</v>
      </c>
      <c r="AC37" s="1734">
        <f t="shared" si="7"/>
        <v>0</v>
      </c>
    </row>
    <row r="38" spans="1:29" ht="13.5" thickBot="1">
      <c r="A38" s="2803" t="s">
        <v>229</v>
      </c>
      <c r="B38" s="2804" t="s">
        <v>230</v>
      </c>
      <c r="C38" s="2798">
        <f>+'5. mell.Önk-i mérleg'!C38+'8. mell. Intézmények összesen'!D11</f>
        <v>121881385</v>
      </c>
      <c r="D38" s="2799">
        <f>+'5. mell.Önk-i mérleg'!D38+'8. mell. Intézmények összesen'!E11</f>
        <v>118456613</v>
      </c>
      <c r="E38" s="2798">
        <f>+'5. mell.Önk-i mérleg'!E38+'8. mell. Intézmények összesen'!F11</f>
        <v>124619785</v>
      </c>
      <c r="F38" s="2798">
        <f>+'5. mell.Önk-i mérleg'!F38+'8. mell. Intézmények összesen'!G11</f>
        <v>144619785</v>
      </c>
      <c r="G38" s="2798">
        <f>+'5. mell.Önk-i mérleg'!G38+'8. mell. Intézmények összesen'!H11</f>
        <v>163170502</v>
      </c>
      <c r="H38" s="2798">
        <f>+'5. mell.Önk-i mérleg'!H38+'8. mell. Intézmények összesen'!I11</f>
        <v>130602799</v>
      </c>
      <c r="I38" s="2798">
        <f>+'5. mell.Önk-i mérleg'!I38+'8. mell. Intézmények összesen'!J11</f>
        <v>130602799</v>
      </c>
      <c r="J38" s="2800">
        <f>+'5. mell.Önk-i mérleg'!J38+'8. mell. Intézmények összesen'!K11</f>
        <v>130602799</v>
      </c>
      <c r="K38" s="2808">
        <f t="shared" si="12"/>
        <v>1</v>
      </c>
      <c r="L38" s="2798">
        <f t="shared" si="2"/>
        <v>20000000</v>
      </c>
      <c r="M38" s="2798">
        <f t="shared" si="3"/>
        <v>18550717</v>
      </c>
      <c r="N38" s="2802">
        <f t="shared" si="4"/>
        <v>-32567703</v>
      </c>
      <c r="O38" s="1737">
        <f t="shared" si="5"/>
        <v>0</v>
      </c>
      <c r="P38" s="1735">
        <f t="shared" si="6"/>
        <v>2738400</v>
      </c>
      <c r="Q38" s="1736"/>
      <c r="R38" s="1738">
        <v>101878800</v>
      </c>
      <c r="AB38" s="1738">
        <v>118456613</v>
      </c>
      <c r="AC38" s="1734">
        <f t="shared" si="7"/>
        <v>0</v>
      </c>
    </row>
    <row r="39" spans="1:29" ht="13.5" thickBot="1">
      <c r="A39" s="2803" t="s">
        <v>231</v>
      </c>
      <c r="B39" s="2804" t="s">
        <v>232</v>
      </c>
      <c r="C39" s="2798">
        <f>+'5. mell.Önk-i mérleg'!C39+'8. mell. Intézmények összesen'!D12</f>
        <v>434866329</v>
      </c>
      <c r="D39" s="2799">
        <f>+'5. mell.Önk-i mérleg'!D39+'8. mell. Intézmények összesen'!E12</f>
        <v>398053982</v>
      </c>
      <c r="E39" s="2798">
        <f>+'5. mell.Önk-i mérleg'!E39+'8. mell. Intézmények összesen'!F12</f>
        <v>528164717</v>
      </c>
      <c r="F39" s="2798">
        <f>+'5. mell.Önk-i mérleg'!F39+'8. mell. Intézmények összesen'!G12</f>
        <v>528164717</v>
      </c>
      <c r="G39" s="2798">
        <f>+'5. mell.Önk-i mérleg'!G39+'8. mell. Intézmények összesen'!H12</f>
        <v>528164717</v>
      </c>
      <c r="H39" s="2798">
        <f>+'5. mell.Önk-i mérleg'!H39+'8. mell. Intézmények összesen'!I12</f>
        <v>373548012</v>
      </c>
      <c r="I39" s="2798">
        <f>+'5. mell.Önk-i mérleg'!I39+'8. mell. Intézmények összesen'!J12</f>
        <v>373548012</v>
      </c>
      <c r="J39" s="2800">
        <f>+'5. mell.Önk-i mérleg'!J39+'8. mell. Intézmények összesen'!K12</f>
        <v>373548012</v>
      </c>
      <c r="K39" s="2801">
        <f t="shared" si="12"/>
        <v>1</v>
      </c>
      <c r="L39" s="2798">
        <f t="shared" si="2"/>
        <v>0</v>
      </c>
      <c r="M39" s="2798">
        <f t="shared" si="3"/>
        <v>0</v>
      </c>
      <c r="N39" s="2802">
        <f t="shared" si="4"/>
        <v>-154616705</v>
      </c>
      <c r="O39" s="1737">
        <f t="shared" si="5"/>
        <v>0</v>
      </c>
      <c r="P39" s="1735">
        <f t="shared" si="6"/>
        <v>93298388</v>
      </c>
      <c r="Q39" s="1736"/>
      <c r="R39" s="1738">
        <v>361961739</v>
      </c>
      <c r="AB39" s="1738">
        <v>398053982</v>
      </c>
      <c r="AC39" s="1734">
        <f t="shared" si="7"/>
        <v>0</v>
      </c>
    </row>
    <row r="40" spans="1:29" ht="13.5" thickBot="1">
      <c r="A40" s="2803" t="s">
        <v>233</v>
      </c>
      <c r="B40" s="2804" t="s">
        <v>234</v>
      </c>
      <c r="C40" s="2798">
        <f>+'5. mell.Önk-i mérleg'!C40+'8. mell. Intézmények összesen'!D13</f>
        <v>591995348</v>
      </c>
      <c r="D40" s="2799">
        <f>+'5. mell.Önk-i mérleg'!D40+'8. mell. Intézmények összesen'!E13</f>
        <v>624915030</v>
      </c>
      <c r="E40" s="2798">
        <f>+'5. mell.Önk-i mérleg'!E40+'8. mell. Intézmények összesen'!F13</f>
        <v>1019155664</v>
      </c>
      <c r="F40" s="2798">
        <f>+'5. mell.Önk-i mérleg'!F40+'8. mell. Intézmények összesen'!G13</f>
        <v>1019155664</v>
      </c>
      <c r="G40" s="2798">
        <f>+'5. mell.Önk-i mérleg'!G40+'8. mell. Intézmények összesen'!H13</f>
        <v>949155664</v>
      </c>
      <c r="H40" s="2798">
        <f>+'5. mell.Önk-i mérleg'!H40+'8. mell. Intézmények összesen'!I13</f>
        <v>842125343</v>
      </c>
      <c r="I40" s="2798">
        <f>+'5. mell.Önk-i mérleg'!I40+'8. mell. Intézmények összesen'!J13</f>
        <v>842125343</v>
      </c>
      <c r="J40" s="2800">
        <f>+'5. mell.Önk-i mérleg'!J40+'8. mell. Intézmények összesen'!K13</f>
        <v>842125344</v>
      </c>
      <c r="K40" s="2801">
        <f t="shared" si="12"/>
        <v>1.0000000011874717</v>
      </c>
      <c r="L40" s="2798">
        <f t="shared" si="2"/>
        <v>0</v>
      </c>
      <c r="M40" s="2798">
        <f t="shared" si="3"/>
        <v>-70000000</v>
      </c>
      <c r="N40" s="2802">
        <f t="shared" si="4"/>
        <v>-107030321</v>
      </c>
      <c r="O40" s="1737">
        <f t="shared" si="5"/>
        <v>0</v>
      </c>
      <c r="P40" s="1735">
        <f t="shared" si="6"/>
        <v>427160316</v>
      </c>
      <c r="Q40" s="1736"/>
      <c r="R40" s="1738">
        <v>509949058</v>
      </c>
      <c r="AB40" s="1738">
        <v>624915030</v>
      </c>
      <c r="AC40" s="1734">
        <f t="shared" si="7"/>
        <v>0</v>
      </c>
    </row>
    <row r="41" spans="1:29" ht="13.5" thickBot="1">
      <c r="A41" s="2803" t="s">
        <v>235</v>
      </c>
      <c r="B41" s="2804" t="s">
        <v>236</v>
      </c>
      <c r="C41" s="2798">
        <f>+'5. mell.Önk-i mérleg'!C41+'8. mell. Intézmények összesen'!D14</f>
        <v>239009887</v>
      </c>
      <c r="D41" s="2799">
        <f>+'5. mell.Önk-i mérleg'!D41+'8. mell. Intézmények összesen'!E14</f>
        <v>250923880</v>
      </c>
      <c r="E41" s="2798">
        <f>+'5. mell.Önk-i mérleg'!E41+'8. mell. Intézmények összesen'!F14</f>
        <v>285265556.26968002</v>
      </c>
      <c r="F41" s="2798">
        <f>+'5. mell.Önk-i mérleg'!F41+'8. mell. Intézmények összesen'!G14</f>
        <v>285265556.26968002</v>
      </c>
      <c r="G41" s="2798">
        <f>+'5. mell.Önk-i mérleg'!G41+'8. mell. Intézmények összesen'!H14</f>
        <v>285265556.26968002</v>
      </c>
      <c r="H41" s="2798">
        <f>+'5. mell.Önk-i mérleg'!H41+'8. mell. Intézmények összesen'!I14</f>
        <v>352898631.26968002</v>
      </c>
      <c r="I41" s="2798">
        <f>+'5. mell.Önk-i mérleg'!I41+'8. mell. Intézmények összesen'!J14</f>
        <v>352898631.26968002</v>
      </c>
      <c r="J41" s="2800">
        <f>+'5. mell.Önk-i mérleg'!J41+'8. mell. Intézmények összesen'!K14</f>
        <v>352898631</v>
      </c>
      <c r="K41" s="2801">
        <f t="shared" si="12"/>
        <v>0.99999999923581451</v>
      </c>
      <c r="L41" s="2798">
        <f t="shared" si="2"/>
        <v>0</v>
      </c>
      <c r="M41" s="2798">
        <f t="shared" si="3"/>
        <v>0</v>
      </c>
      <c r="N41" s="2802">
        <f t="shared" si="4"/>
        <v>67633075</v>
      </c>
      <c r="O41" s="1737">
        <f t="shared" si="5"/>
        <v>0</v>
      </c>
      <c r="P41" s="1735">
        <f t="shared" si="6"/>
        <v>46255669.269680023</v>
      </c>
      <c r="Q41" s="1736"/>
      <c r="R41" s="1738">
        <v>207115624</v>
      </c>
      <c r="AB41" s="1738">
        <v>250923880</v>
      </c>
      <c r="AC41" s="1734">
        <f t="shared" si="7"/>
        <v>0</v>
      </c>
    </row>
    <row r="42" spans="1:29" ht="13.5" thickBot="1">
      <c r="A42" s="2803" t="s">
        <v>237</v>
      </c>
      <c r="B42" s="2804" t="s">
        <v>238</v>
      </c>
      <c r="C42" s="2798">
        <f>+'5. mell.Önk-i mérleg'!C42+'8. mell. Intézmények összesen'!D15</f>
        <v>7720000</v>
      </c>
      <c r="D42" s="2799">
        <f>+'5. mell.Önk-i mérleg'!D42+'8. mell. Intézmények összesen'!E15</f>
        <v>448798028</v>
      </c>
      <c r="E42" s="2798">
        <f>+'5. mell.Önk-i mérleg'!E42+'8. mell. Intézmények összesen'!F15</f>
        <v>5336000</v>
      </c>
      <c r="F42" s="2798">
        <f>+'5. mell.Önk-i mérleg'!F42+'8. mell. Intézmények összesen'!G15</f>
        <v>71763102</v>
      </c>
      <c r="G42" s="2798">
        <f>+'5. mell.Önk-i mérleg'!G42+'8. mell. Intézmények összesen'!H15</f>
        <v>183625206</v>
      </c>
      <c r="H42" s="2798">
        <f>+'5. mell.Önk-i mérleg'!H42+'8. mell. Intézmények összesen'!I15</f>
        <v>457139767</v>
      </c>
      <c r="I42" s="2798">
        <f>+'5. mell.Önk-i mérleg'!I42+'8. mell. Intézmények összesen'!J15</f>
        <v>457139767</v>
      </c>
      <c r="J42" s="2800">
        <f>+'5. mell.Önk-i mérleg'!J42+'8. mell. Intézmények összesen'!K15</f>
        <v>457139767</v>
      </c>
      <c r="K42" s="2801">
        <f t="shared" si="12"/>
        <v>1</v>
      </c>
      <c r="L42" s="2798">
        <f t="shared" si="2"/>
        <v>66427102</v>
      </c>
      <c r="M42" s="2798">
        <f t="shared" si="3"/>
        <v>111862104</v>
      </c>
      <c r="N42" s="2802">
        <f t="shared" si="4"/>
        <v>273514561</v>
      </c>
      <c r="O42" s="1737">
        <f t="shared" si="5"/>
        <v>0</v>
      </c>
      <c r="P42" s="1735">
        <f t="shared" si="6"/>
        <v>-2384000</v>
      </c>
      <c r="Q42" s="1736"/>
      <c r="R42" s="1738">
        <v>234484177</v>
      </c>
      <c r="AB42" s="1738">
        <v>448798028</v>
      </c>
      <c r="AC42" s="1734">
        <f t="shared" si="7"/>
        <v>0</v>
      </c>
    </row>
    <row r="43" spans="1:29" ht="13.5" thickBot="1">
      <c r="A43" s="2803" t="s">
        <v>239</v>
      </c>
      <c r="B43" s="2804" t="s">
        <v>240</v>
      </c>
      <c r="C43" s="2798">
        <f>+'5. mell.Önk-i mérleg'!C43+'8. mell. Intézmények összesen'!D16</f>
        <v>549502581</v>
      </c>
      <c r="D43" s="2799">
        <f>+'5. mell.Önk-i mérleg'!D43+'8. mell. Intézmények összesen'!E16</f>
        <v>448162516</v>
      </c>
      <c r="E43" s="2798">
        <f>+'5. mell.Önk-i mérleg'!E43+'8. mell. Intézmények összesen'!F16</f>
        <v>226523986</v>
      </c>
      <c r="F43" s="2798">
        <f>+'5. mell.Önk-i mérleg'!F43+'8. mell. Intézmények összesen'!G16</f>
        <v>226523986</v>
      </c>
      <c r="G43" s="2798">
        <f>+'5. mell.Önk-i mérleg'!G43+'8. mell. Intézmények összesen'!H16</f>
        <v>226523986</v>
      </c>
      <c r="H43" s="2798">
        <f>+'5. mell.Önk-i mérleg'!H43+'8. mell. Intézmények összesen'!I16</f>
        <v>222346980</v>
      </c>
      <c r="I43" s="2798">
        <f>+'5. mell.Önk-i mérleg'!I43+'8. mell. Intézmények összesen'!J16</f>
        <v>222346980</v>
      </c>
      <c r="J43" s="2800">
        <f>+'5. mell.Önk-i mérleg'!J43+'8. mell. Intézmények összesen'!K16</f>
        <v>222346979</v>
      </c>
      <c r="K43" s="2801">
        <f t="shared" si="12"/>
        <v>0.99999999550252494</v>
      </c>
      <c r="L43" s="2798">
        <f t="shared" si="2"/>
        <v>0</v>
      </c>
      <c r="M43" s="2798">
        <f t="shared" si="3"/>
        <v>0</v>
      </c>
      <c r="N43" s="2802">
        <f t="shared" si="4"/>
        <v>-4177006</v>
      </c>
      <c r="O43" s="1737">
        <f t="shared" si="5"/>
        <v>0</v>
      </c>
      <c r="P43" s="1735">
        <f t="shared" si="6"/>
        <v>-322978595</v>
      </c>
      <c r="Q43" s="1736"/>
      <c r="R43" s="1738">
        <v>379490139</v>
      </c>
      <c r="AB43" s="1738">
        <v>448162516</v>
      </c>
      <c r="AC43" s="1734">
        <f t="shared" si="7"/>
        <v>0</v>
      </c>
    </row>
    <row r="44" spans="1:29" ht="13.5" thickBot="1">
      <c r="A44" s="2803" t="s">
        <v>241</v>
      </c>
      <c r="B44" s="2804" t="s">
        <v>242</v>
      </c>
      <c r="C44" s="2798">
        <f>+'5. mell.Önk-i mérleg'!C44+'8. mell. Intézmények összesen'!D17</f>
        <v>0</v>
      </c>
      <c r="D44" s="2799">
        <f>+'5. mell.Önk-i mérleg'!D44+'8. mell. Intézmények összesen'!E17</f>
        <v>20638</v>
      </c>
      <c r="E44" s="2798">
        <f>+'5. mell.Önk-i mérleg'!E44+'8. mell. Intézmények összesen'!F17</f>
        <v>0</v>
      </c>
      <c r="F44" s="2798">
        <f>+'5. mell.Önk-i mérleg'!F44+'8. mell. Intézmények összesen'!G17</f>
        <v>0</v>
      </c>
      <c r="G44" s="2798">
        <f>+'5. mell.Önk-i mérleg'!G44+'8. mell. Intézmények összesen'!H17</f>
        <v>0</v>
      </c>
      <c r="H44" s="2798">
        <f>+'5. mell.Önk-i mérleg'!H44+'8. mell. Intézmények összesen'!I17</f>
        <v>14166</v>
      </c>
      <c r="I44" s="2798">
        <f>+'5. mell.Önk-i mérleg'!I44+'8. mell. Intézmények összesen'!J17</f>
        <v>14166</v>
      </c>
      <c r="J44" s="2800">
        <f>+'5. mell.Önk-i mérleg'!J44+'8. mell. Intézmények összesen'!K17</f>
        <v>14166</v>
      </c>
      <c r="K44" s="2801">
        <f>+J44/H44</f>
        <v>1</v>
      </c>
      <c r="L44" s="2798">
        <f t="shared" si="2"/>
        <v>0</v>
      </c>
      <c r="M44" s="2798">
        <f t="shared" si="3"/>
        <v>0</v>
      </c>
      <c r="N44" s="2802">
        <f t="shared" si="4"/>
        <v>14166</v>
      </c>
      <c r="O44" s="1737">
        <f t="shared" si="5"/>
        <v>0</v>
      </c>
      <c r="P44" s="1735">
        <f t="shared" si="6"/>
        <v>0</v>
      </c>
      <c r="Q44" s="1736"/>
      <c r="R44" s="1738">
        <v>10</v>
      </c>
      <c r="AB44" s="1738">
        <v>20638</v>
      </c>
      <c r="AC44" s="1734">
        <f t="shared" si="7"/>
        <v>0</v>
      </c>
    </row>
    <row r="45" spans="1:29" ht="13.5" thickBot="1">
      <c r="A45" s="2805" t="s">
        <v>243</v>
      </c>
      <c r="B45" s="2806" t="s">
        <v>163</v>
      </c>
      <c r="C45" s="2798">
        <f>+'5. mell.Önk-i mérleg'!C45+'8. mell. Intézmények összesen'!D18</f>
        <v>628345000</v>
      </c>
      <c r="D45" s="2799">
        <f>+'5. mell.Önk-i mérleg'!D45+'8. mell. Intézmények összesen'!E18</f>
        <v>351902446</v>
      </c>
      <c r="E45" s="2798">
        <f>+'5. mell.Önk-i mérleg'!E45+'8. mell. Intézmények összesen'!F18</f>
        <v>0</v>
      </c>
      <c r="F45" s="2798">
        <f>+'5. mell.Önk-i mérleg'!F45+'8. mell. Intézmények összesen'!G18</f>
        <v>187330</v>
      </c>
      <c r="G45" s="2798">
        <f>+'5. mell.Önk-i mérleg'!G45+'8. mell. Intézmények összesen'!H18</f>
        <v>187330</v>
      </c>
      <c r="H45" s="2798">
        <f>+'5. mell.Önk-i mérleg'!H45+'8. mell. Intézmények összesen'!I18</f>
        <v>1648936</v>
      </c>
      <c r="I45" s="2798">
        <f>+'5. mell.Önk-i mérleg'!I45+'8. mell. Intézmények összesen'!J18</f>
        <v>1648936</v>
      </c>
      <c r="J45" s="2800">
        <f>+'5. mell.Önk-i mérleg'!J45+'8. mell. Intézmények összesen'!K18</f>
        <v>1648936</v>
      </c>
      <c r="K45" s="2801">
        <f>+J45/H45</f>
        <v>1</v>
      </c>
      <c r="L45" s="2798">
        <f t="shared" ref="L45:L88" si="14">+F45-E45</f>
        <v>187330</v>
      </c>
      <c r="M45" s="2798">
        <f>+G45-F45</f>
        <v>0</v>
      </c>
      <c r="N45" s="2802">
        <f>+H45-G45</f>
        <v>1461606</v>
      </c>
      <c r="O45" s="1737">
        <f>+I45-H45</f>
        <v>0</v>
      </c>
      <c r="P45" s="1735">
        <f t="shared" si="6"/>
        <v>-628345000</v>
      </c>
      <c r="Q45" s="1736"/>
      <c r="R45" s="1738">
        <v>151653960</v>
      </c>
      <c r="AB45" s="1738">
        <v>351902446</v>
      </c>
      <c r="AC45" s="1734">
        <f t="shared" si="7"/>
        <v>0</v>
      </c>
    </row>
    <row r="46" spans="1:29" ht="13.5" thickBot="1">
      <c r="A46" s="2805" t="s">
        <v>244</v>
      </c>
      <c r="B46" s="2806" t="s">
        <v>162</v>
      </c>
      <c r="C46" s="2798">
        <f>+'5. mell.Önk-i mérleg'!C46+'8. mell. Intézmények összesen'!D19</f>
        <v>13155000</v>
      </c>
      <c r="D46" s="2799">
        <f>+'5. mell.Önk-i mérleg'!D46+'8. mell. Intézmények összesen'!E19</f>
        <v>39647264</v>
      </c>
      <c r="E46" s="2798">
        <f>+'5. mell.Önk-i mérleg'!E46+'8. mell. Intézmények összesen'!F19</f>
        <v>12660000</v>
      </c>
      <c r="F46" s="2798">
        <f>+'5. mell.Önk-i mérleg'!F46+'8. mell. Intézmények összesen'!G19</f>
        <v>12660000</v>
      </c>
      <c r="G46" s="2798">
        <f>+'5. mell.Önk-i mérleg'!G46+'8. mell. Intézmények összesen'!H19</f>
        <v>12660000</v>
      </c>
      <c r="H46" s="2798">
        <f>+'5. mell.Önk-i mérleg'!H46+'8. mell. Intézmények összesen'!I19</f>
        <v>37497106</v>
      </c>
      <c r="I46" s="2798">
        <f>+'5. mell.Önk-i mérleg'!I46+'8. mell. Intézmények összesen'!J19</f>
        <v>37497106</v>
      </c>
      <c r="J46" s="2800">
        <f>+'5. mell.Önk-i mérleg'!J46+'8. mell. Intézmények összesen'!K19</f>
        <v>37497106</v>
      </c>
      <c r="K46" s="2801">
        <f>+J46/H46</f>
        <v>1</v>
      </c>
      <c r="L46" s="2798">
        <f t="shared" si="14"/>
        <v>0</v>
      </c>
      <c r="M46" s="2798">
        <f t="shared" ref="M46:M84" si="15">+G46-F46</f>
        <v>0</v>
      </c>
      <c r="N46" s="2802">
        <f t="shared" ref="N46:N84" si="16">+H46-G46</f>
        <v>24837106</v>
      </c>
      <c r="O46" s="1737">
        <f t="shared" ref="O46:O84" si="17">+I46-H46</f>
        <v>0</v>
      </c>
      <c r="P46" s="1735">
        <f t="shared" si="6"/>
        <v>-495000</v>
      </c>
      <c r="Q46" s="1736"/>
      <c r="R46" s="1738">
        <v>35839390</v>
      </c>
      <c r="AB46" s="1738">
        <v>39647264</v>
      </c>
      <c r="AC46" s="1734">
        <f t="shared" si="7"/>
        <v>0</v>
      </c>
    </row>
    <row r="47" spans="1:29" ht="13.5" thickBot="1">
      <c r="A47" s="2789" t="s">
        <v>19</v>
      </c>
      <c r="B47" s="2807" t="s">
        <v>245</v>
      </c>
      <c r="C47" s="2791">
        <f t="shared" ref="C47:J47" si="18">SUM(C48:C52)</f>
        <v>1284721430.1900001</v>
      </c>
      <c r="D47" s="2791">
        <f t="shared" si="18"/>
        <v>298625231</v>
      </c>
      <c r="E47" s="2791">
        <f t="shared" si="18"/>
        <v>1091869854</v>
      </c>
      <c r="F47" s="2791">
        <f t="shared" si="18"/>
        <v>1091869854</v>
      </c>
      <c r="G47" s="2791">
        <f t="shared" si="18"/>
        <v>1091869854</v>
      </c>
      <c r="H47" s="2791">
        <f t="shared" si="18"/>
        <v>175223066</v>
      </c>
      <c r="I47" s="2791">
        <f t="shared" si="18"/>
        <v>175223066</v>
      </c>
      <c r="J47" s="2793">
        <f t="shared" si="18"/>
        <v>175223066</v>
      </c>
      <c r="K47" s="2794">
        <f>+J47/H47</f>
        <v>1</v>
      </c>
      <c r="L47" s="2791">
        <f t="shared" si="14"/>
        <v>0</v>
      </c>
      <c r="M47" s="2791">
        <f t="shared" si="15"/>
        <v>0</v>
      </c>
      <c r="N47" s="2795">
        <f t="shared" si="16"/>
        <v>-916646788</v>
      </c>
      <c r="O47" s="1733">
        <f t="shared" si="17"/>
        <v>0</v>
      </c>
      <c r="P47" s="1735">
        <f t="shared" si="6"/>
        <v>-192851576.19000006</v>
      </c>
      <c r="Q47" s="1732"/>
      <c r="R47" s="1734">
        <v>154156788</v>
      </c>
      <c r="AB47" s="1734">
        <v>298625231</v>
      </c>
      <c r="AC47" s="1734">
        <f t="shared" si="7"/>
        <v>0</v>
      </c>
    </row>
    <row r="48" spans="1:29" ht="13.5" thickBot="1">
      <c r="A48" s="2796" t="s">
        <v>246</v>
      </c>
      <c r="B48" s="2797" t="s">
        <v>247</v>
      </c>
      <c r="C48" s="2798">
        <f>+'5. mell.Önk-i mérleg'!C48+'8. mell. Intézmények összesen'!D21</f>
        <v>0</v>
      </c>
      <c r="D48" s="2799">
        <f>+'5. mell.Önk-i mérleg'!D48+'8. mell. Intézmények összesen'!F21</f>
        <v>0</v>
      </c>
      <c r="E48" s="2798">
        <f>+'5. mell.Önk-i mérleg'!E48+'8. mell. Intézmények összesen'!F21</f>
        <v>0</v>
      </c>
      <c r="F48" s="2798">
        <f>+'5. mell.Önk-i mérleg'!F48+'8. mell. Intézmények összesen'!G21</f>
        <v>0</v>
      </c>
      <c r="G48" s="2798">
        <f>+'5. mell.Önk-i mérleg'!G48+'8. mell. Intézmények összesen'!H21</f>
        <v>0</v>
      </c>
      <c r="H48" s="2798">
        <f>+'5. mell.Önk-i mérleg'!H48+'8. mell. Intézmények összesen'!I21</f>
        <v>0</v>
      </c>
      <c r="I48" s="2798">
        <f>+'5. mell.Önk-i mérleg'!I48+'8. mell. Intézmények összesen'!J21</f>
        <v>0</v>
      </c>
      <c r="J48" s="2800">
        <f>+'5. mell.Önk-i mérleg'!J48+'8. mell. Intézmények összesen'!K21</f>
        <v>0</v>
      </c>
      <c r="K48" s="2801"/>
      <c r="L48" s="2798">
        <f t="shared" si="14"/>
        <v>0</v>
      </c>
      <c r="M48" s="2798">
        <f t="shared" si="15"/>
        <v>0</v>
      </c>
      <c r="N48" s="2802">
        <f t="shared" si="16"/>
        <v>0</v>
      </c>
      <c r="O48" s="1737">
        <f t="shared" si="17"/>
        <v>0</v>
      </c>
      <c r="P48" s="1735">
        <f t="shared" si="6"/>
        <v>0</v>
      </c>
      <c r="Q48" s="1736"/>
      <c r="R48" s="1738">
        <v>0</v>
      </c>
      <c r="AB48" s="1738">
        <v>0</v>
      </c>
      <c r="AC48" s="1734">
        <f t="shared" si="7"/>
        <v>0</v>
      </c>
    </row>
    <row r="49" spans="1:29" ht="13.5" thickBot="1">
      <c r="A49" s="2803" t="s">
        <v>248</v>
      </c>
      <c r="B49" s="2804" t="s">
        <v>249</v>
      </c>
      <c r="C49" s="2798">
        <f>+'5. mell.Önk-i mérleg'!C49</f>
        <v>1283886430.1900001</v>
      </c>
      <c r="D49" s="2799">
        <f>+'5. mell.Önk-i mérleg'!D49</f>
        <v>298530743</v>
      </c>
      <c r="E49" s="2798">
        <f>+'5. mell.Önk-i mérleg'!E49</f>
        <v>1091394854</v>
      </c>
      <c r="F49" s="2798">
        <f>+'5. mell.Önk-i mérleg'!F49</f>
        <v>1091394854</v>
      </c>
      <c r="G49" s="2798">
        <f>+'5. mell.Önk-i mérleg'!G49</f>
        <v>1091394854</v>
      </c>
      <c r="H49" s="2798">
        <f>+'5. mell.Önk-i mérleg'!H49</f>
        <v>175215192</v>
      </c>
      <c r="I49" s="2798">
        <f>+'5. mell.Önk-i mérleg'!I49</f>
        <v>175215192</v>
      </c>
      <c r="J49" s="2800">
        <f>+'5. mell.Önk-i mérleg'!J49</f>
        <v>175215192</v>
      </c>
      <c r="K49" s="2801">
        <f>+J49/H49</f>
        <v>1</v>
      </c>
      <c r="L49" s="2798">
        <f t="shared" si="14"/>
        <v>0</v>
      </c>
      <c r="M49" s="2798">
        <f t="shared" si="15"/>
        <v>0</v>
      </c>
      <c r="N49" s="2802">
        <f t="shared" si="16"/>
        <v>-916179662</v>
      </c>
      <c r="O49" s="1737">
        <f t="shared" si="17"/>
        <v>0</v>
      </c>
      <c r="P49" s="1735">
        <f t="shared" si="6"/>
        <v>-192491576.19000006</v>
      </c>
      <c r="Q49" s="1736"/>
      <c r="R49" s="1738">
        <v>154062300</v>
      </c>
      <c r="AB49" s="1738">
        <v>298530743</v>
      </c>
      <c r="AC49" s="1734">
        <f t="shared" si="7"/>
        <v>0</v>
      </c>
    </row>
    <row r="50" spans="1:29" ht="13.5" thickBot="1">
      <c r="A50" s="2803" t="s">
        <v>250</v>
      </c>
      <c r="B50" s="2804" t="s">
        <v>155</v>
      </c>
      <c r="C50" s="2798">
        <f>+'5. mell.Önk-i mérleg'!C50+'8. mell. Intézmények összesen'!D22</f>
        <v>835000</v>
      </c>
      <c r="D50" s="2799">
        <f>+'5. mell.Önk-i mérleg'!D50+'8. mell. Intézmények összesen'!E22</f>
        <v>94488</v>
      </c>
      <c r="E50" s="2798">
        <f>+'5. mell.Önk-i mérleg'!E50+'8. mell. Intézmények összesen'!F22</f>
        <v>475000</v>
      </c>
      <c r="F50" s="2798">
        <f>+'5. mell.Önk-i mérleg'!F50+'8. mell. Intézmények összesen'!G22</f>
        <v>475000</v>
      </c>
      <c r="G50" s="2798">
        <f>+'5. mell.Önk-i mérleg'!G50+'8. mell. Intézmények összesen'!H22</f>
        <v>475000</v>
      </c>
      <c r="H50" s="2798">
        <f>+'5. mell.Önk-i mérleg'!H50+'8. mell. Intézmények összesen'!I22</f>
        <v>7874</v>
      </c>
      <c r="I50" s="2798">
        <f>+'5. mell.Önk-i mérleg'!I50+'8. mell. Intézmények összesen'!J22</f>
        <v>7874</v>
      </c>
      <c r="J50" s="2800">
        <f>+'5. mell.Önk-i mérleg'!J50+'8. mell. Intézmények összesen'!K22</f>
        <v>7874</v>
      </c>
      <c r="K50" s="2801">
        <f>+J50/H50</f>
        <v>1</v>
      </c>
      <c r="L50" s="2798">
        <f t="shared" si="14"/>
        <v>0</v>
      </c>
      <c r="M50" s="2798">
        <f t="shared" si="15"/>
        <v>0</v>
      </c>
      <c r="N50" s="2802">
        <f t="shared" si="16"/>
        <v>-467126</v>
      </c>
      <c r="O50" s="1737">
        <f t="shared" si="17"/>
        <v>0</v>
      </c>
      <c r="P50" s="1735">
        <f t="shared" si="6"/>
        <v>-360000</v>
      </c>
      <c r="Q50" s="1736"/>
      <c r="R50" s="1738">
        <v>94488</v>
      </c>
      <c r="AB50" s="1738">
        <v>94488</v>
      </c>
      <c r="AC50" s="1734">
        <f t="shared" si="7"/>
        <v>0</v>
      </c>
    </row>
    <row r="51" spans="1:29" ht="13.5" thickBot="1">
      <c r="A51" s="2803" t="s">
        <v>251</v>
      </c>
      <c r="B51" s="2804" t="s">
        <v>252</v>
      </c>
      <c r="C51" s="2798">
        <f>+'5. mell.Önk-i mérleg'!C51</f>
        <v>0</v>
      </c>
      <c r="D51" s="2799">
        <f>+'5. mell.Önk-i mérleg'!D51</f>
        <v>0</v>
      </c>
      <c r="E51" s="2798">
        <f>+'5. mell.Önk-i mérleg'!E51</f>
        <v>0</v>
      </c>
      <c r="F51" s="2798">
        <f>+'5. mell.Önk-i mérleg'!F51</f>
        <v>0</v>
      </c>
      <c r="G51" s="2798">
        <f>+'5. mell.Önk-i mérleg'!G51</f>
        <v>0</v>
      </c>
      <c r="H51" s="2798">
        <f>+'5. mell.Önk-i mérleg'!H51</f>
        <v>0</v>
      </c>
      <c r="I51" s="2798">
        <f>+'5. mell.Önk-i mérleg'!I51</f>
        <v>0</v>
      </c>
      <c r="J51" s="2800">
        <f>+'5. mell.Önk-i mérleg'!J51</f>
        <v>0</v>
      </c>
      <c r="K51" s="2801"/>
      <c r="L51" s="2798">
        <f t="shared" si="14"/>
        <v>0</v>
      </c>
      <c r="M51" s="2798">
        <f t="shared" si="15"/>
        <v>0</v>
      </c>
      <c r="N51" s="2802">
        <f t="shared" si="16"/>
        <v>0</v>
      </c>
      <c r="O51" s="1737">
        <f t="shared" si="17"/>
        <v>0</v>
      </c>
      <c r="P51" s="1735">
        <f t="shared" si="6"/>
        <v>0</v>
      </c>
      <c r="Q51" s="1736"/>
      <c r="R51" s="1738">
        <v>0</v>
      </c>
      <c r="AB51" s="1738">
        <v>0</v>
      </c>
      <c r="AC51" s="1734">
        <f t="shared" si="7"/>
        <v>0</v>
      </c>
    </row>
    <row r="52" spans="1:29" ht="13.5" thickBot="1">
      <c r="A52" s="2805" t="s">
        <v>253</v>
      </c>
      <c r="B52" s="2806" t="s">
        <v>254</v>
      </c>
      <c r="C52" s="2798">
        <f>+'5. mell.Önk-i mérleg'!C52</f>
        <v>0</v>
      </c>
      <c r="D52" s="2799">
        <f>+'5. mell.Önk-i mérleg'!D52</f>
        <v>0</v>
      </c>
      <c r="E52" s="2798">
        <f>+'5. mell.Önk-i mérleg'!E52</f>
        <v>0</v>
      </c>
      <c r="F52" s="2798">
        <f>+'5. mell.Önk-i mérleg'!F52</f>
        <v>0</v>
      </c>
      <c r="G52" s="2798">
        <f>+'5. mell.Önk-i mérleg'!G52</f>
        <v>0</v>
      </c>
      <c r="H52" s="2798">
        <f>+'5. mell.Önk-i mérleg'!H52</f>
        <v>0</v>
      </c>
      <c r="I52" s="2798">
        <f>+'5. mell.Önk-i mérleg'!I52</f>
        <v>0</v>
      </c>
      <c r="J52" s="2800">
        <f>+'5. mell.Önk-i mérleg'!J52</f>
        <v>0</v>
      </c>
      <c r="K52" s="2801"/>
      <c r="L52" s="2798">
        <f t="shared" si="14"/>
        <v>0</v>
      </c>
      <c r="M52" s="2798">
        <f t="shared" si="15"/>
        <v>0</v>
      </c>
      <c r="N52" s="2802">
        <f t="shared" si="16"/>
        <v>0</v>
      </c>
      <c r="O52" s="1737">
        <f t="shared" si="17"/>
        <v>0</v>
      </c>
      <c r="P52" s="1735">
        <f t="shared" si="6"/>
        <v>0</v>
      </c>
      <c r="Q52" s="1736"/>
      <c r="R52" s="1738">
        <v>0</v>
      </c>
      <c r="AB52" s="1738">
        <v>0</v>
      </c>
      <c r="AC52" s="1734">
        <f t="shared" si="7"/>
        <v>0</v>
      </c>
    </row>
    <row r="53" spans="1:29" ht="13.5" thickBot="1">
      <c r="A53" s="2789" t="s">
        <v>255</v>
      </c>
      <c r="B53" s="2807" t="s">
        <v>256</v>
      </c>
      <c r="C53" s="2791">
        <f t="shared" ref="C53:J53" si="19">SUM(C54:C56)</f>
        <v>27253713</v>
      </c>
      <c r="D53" s="2791">
        <f t="shared" si="19"/>
        <v>37625131</v>
      </c>
      <c r="E53" s="2791">
        <f t="shared" si="19"/>
        <v>16328120</v>
      </c>
      <c r="F53" s="2791">
        <f t="shared" si="19"/>
        <v>16328120</v>
      </c>
      <c r="G53" s="2791">
        <f t="shared" si="19"/>
        <v>16328120</v>
      </c>
      <c r="H53" s="2791">
        <f t="shared" si="19"/>
        <v>15909030</v>
      </c>
      <c r="I53" s="2791">
        <f t="shared" si="19"/>
        <v>15909030</v>
      </c>
      <c r="J53" s="2793">
        <f t="shared" si="19"/>
        <v>15909030</v>
      </c>
      <c r="K53" s="2794">
        <f>+J53/H53</f>
        <v>1</v>
      </c>
      <c r="L53" s="2791">
        <f t="shared" si="14"/>
        <v>0</v>
      </c>
      <c r="M53" s="2791">
        <f t="shared" si="15"/>
        <v>0</v>
      </c>
      <c r="N53" s="2795">
        <f t="shared" si="16"/>
        <v>-419090</v>
      </c>
      <c r="O53" s="1733">
        <f t="shared" si="17"/>
        <v>0</v>
      </c>
      <c r="P53" s="1735">
        <f t="shared" si="6"/>
        <v>-10925593</v>
      </c>
      <c r="Q53" s="1732"/>
      <c r="R53" s="1734">
        <v>22515131</v>
      </c>
      <c r="AB53" s="1734">
        <v>37625131</v>
      </c>
      <c r="AC53" s="1734">
        <f t="shared" si="7"/>
        <v>0</v>
      </c>
    </row>
    <row r="54" spans="1:29" ht="13.5" thickBot="1">
      <c r="A54" s="2796" t="s">
        <v>257</v>
      </c>
      <c r="B54" s="2797" t="s">
        <v>258</v>
      </c>
      <c r="C54" s="2798">
        <f>+'5. mell.Önk-i mérleg'!C54</f>
        <v>0</v>
      </c>
      <c r="D54" s="2799">
        <f>+'5. mell.Önk-i mérleg'!D54</f>
        <v>0</v>
      </c>
      <c r="E54" s="2798">
        <f>+'5. mell.Önk-i mérleg'!E54</f>
        <v>0</v>
      </c>
      <c r="F54" s="2798">
        <f>+'5. mell.Önk-i mérleg'!F54</f>
        <v>0</v>
      </c>
      <c r="G54" s="2798">
        <f>+'5. mell.Önk-i mérleg'!G54</f>
        <v>0</v>
      </c>
      <c r="H54" s="2798">
        <f>+'5. mell.Önk-i mérleg'!H54</f>
        <v>0</v>
      </c>
      <c r="I54" s="2798">
        <f>+'5. mell.Önk-i mérleg'!I54</f>
        <v>0</v>
      </c>
      <c r="J54" s="2800">
        <f>+'5. mell.Önk-i mérleg'!J54</f>
        <v>0</v>
      </c>
      <c r="K54" s="2801"/>
      <c r="L54" s="2798">
        <f t="shared" si="14"/>
        <v>0</v>
      </c>
      <c r="M54" s="2798">
        <f t="shared" si="15"/>
        <v>0</v>
      </c>
      <c r="N54" s="2802">
        <f t="shared" si="16"/>
        <v>0</v>
      </c>
      <c r="O54" s="1737">
        <f t="shared" si="17"/>
        <v>0</v>
      </c>
      <c r="P54" s="1735">
        <f t="shared" si="6"/>
        <v>0</v>
      </c>
      <c r="Q54" s="1736"/>
      <c r="R54" s="1738">
        <v>0</v>
      </c>
      <c r="AB54" s="1738">
        <v>0</v>
      </c>
      <c r="AC54" s="1734">
        <f t="shared" si="7"/>
        <v>0</v>
      </c>
    </row>
    <row r="55" spans="1:29" ht="13.5" thickBot="1">
      <c r="A55" s="2803" t="s">
        <v>259</v>
      </c>
      <c r="B55" s="2804" t="s">
        <v>260</v>
      </c>
      <c r="C55" s="2798">
        <f>+'5. mell.Önk-i mérleg'!C55</f>
        <v>15853713</v>
      </c>
      <c r="D55" s="2799">
        <f>+'5. mell.Önk-i mérleg'!D55</f>
        <v>15455000</v>
      </c>
      <c r="E55" s="2798">
        <f>+'5. mell.Önk-i mérleg'!E55</f>
        <v>16328120</v>
      </c>
      <c r="F55" s="2798">
        <f>+'5. mell.Önk-i mérleg'!F55</f>
        <v>16328120</v>
      </c>
      <c r="G55" s="2798">
        <f>+'5. mell.Önk-i mérleg'!G55</f>
        <v>16328120</v>
      </c>
      <c r="H55" s="2798">
        <f>+'5. mell.Önk-i mérleg'!H55</f>
        <v>15909030</v>
      </c>
      <c r="I55" s="2798">
        <f>+'5. mell.Önk-i mérleg'!I55</f>
        <v>15909030</v>
      </c>
      <c r="J55" s="2800">
        <f>+'5. mell.Önk-i mérleg'!J55</f>
        <v>15909030</v>
      </c>
      <c r="K55" s="2808">
        <f>+J55/H55</f>
        <v>1</v>
      </c>
      <c r="L55" s="2798">
        <f t="shared" si="14"/>
        <v>0</v>
      </c>
      <c r="M55" s="2798">
        <f t="shared" si="15"/>
        <v>0</v>
      </c>
      <c r="N55" s="2802">
        <f t="shared" si="16"/>
        <v>-419090</v>
      </c>
      <c r="O55" s="1737">
        <f t="shared" si="17"/>
        <v>0</v>
      </c>
      <c r="P55" s="1735">
        <f t="shared" si="6"/>
        <v>474407</v>
      </c>
      <c r="Q55" s="1736"/>
      <c r="R55" s="1738">
        <v>345000</v>
      </c>
      <c r="AB55" s="1738">
        <v>15455000</v>
      </c>
      <c r="AC55" s="1734">
        <f t="shared" si="7"/>
        <v>0</v>
      </c>
    </row>
    <row r="56" spans="1:29" ht="13.5" thickBot="1">
      <c r="A56" s="2803" t="s">
        <v>261</v>
      </c>
      <c r="B56" s="2804" t="s">
        <v>262</v>
      </c>
      <c r="C56" s="2798">
        <f>+'5. mell.Önk-i mérleg'!C56+'8. mell. Intézmények összesen'!D29</f>
        <v>11400000</v>
      </c>
      <c r="D56" s="2799">
        <f>+'5. mell.Önk-i mérleg'!D56+'8. mell. Intézmények összesen'!E29</f>
        <v>22170131</v>
      </c>
      <c r="E56" s="2798">
        <f>+'5. mell.Önk-i mérleg'!E56+'8. mell. Intézmények összesen'!F29</f>
        <v>0</v>
      </c>
      <c r="F56" s="2798">
        <f>+'5. mell.Önk-i mérleg'!F56+'8. mell. Intézmények összesen'!G29</f>
        <v>0</v>
      </c>
      <c r="G56" s="2798">
        <f>+'5. mell.Önk-i mérleg'!G56+'8. mell. Intézmények összesen'!H29</f>
        <v>0</v>
      </c>
      <c r="H56" s="2798">
        <f>+'5. mell.Önk-i mérleg'!H56+'8. mell. Intézmények összesen'!I29</f>
        <v>0</v>
      </c>
      <c r="I56" s="2798">
        <f>+'5. mell.Önk-i mérleg'!I56+'8. mell. Intézmények összesen'!J29</f>
        <v>0</v>
      </c>
      <c r="J56" s="2800">
        <f>+'5. mell.Önk-i mérleg'!J56+'8. mell. Intézmények összesen'!K29</f>
        <v>0</v>
      </c>
      <c r="K56" s="2801"/>
      <c r="L56" s="2798">
        <f t="shared" si="14"/>
        <v>0</v>
      </c>
      <c r="M56" s="2798">
        <f t="shared" si="15"/>
        <v>0</v>
      </c>
      <c r="N56" s="2802">
        <f t="shared" si="16"/>
        <v>0</v>
      </c>
      <c r="O56" s="1737">
        <f t="shared" si="17"/>
        <v>0</v>
      </c>
      <c r="P56" s="1735">
        <f t="shared" si="6"/>
        <v>-11400000</v>
      </c>
      <c r="Q56" s="1736"/>
      <c r="R56" s="1738">
        <v>22170131</v>
      </c>
      <c r="AB56" s="1738">
        <v>22170131</v>
      </c>
      <c r="AC56" s="1734">
        <f t="shared" si="7"/>
        <v>0</v>
      </c>
    </row>
    <row r="57" spans="1:29" ht="13.5" thickBot="1">
      <c r="A57" s="2805" t="s">
        <v>263</v>
      </c>
      <c r="B57" s="2806" t="s">
        <v>264</v>
      </c>
      <c r="C57" s="2798">
        <f>+'5. mell.Önk-i mérleg'!C57</f>
        <v>11400000</v>
      </c>
      <c r="D57" s="2799">
        <f>+'5. mell.Önk-i mérleg'!D57</f>
        <v>22170131</v>
      </c>
      <c r="E57" s="2798">
        <f>+'5. mell.Önk-i mérleg'!E57</f>
        <v>0</v>
      </c>
      <c r="F57" s="2798">
        <f>+'5. mell.Önk-i mérleg'!F57</f>
        <v>0</v>
      </c>
      <c r="G57" s="2798">
        <f>+'5. mell.Önk-i mérleg'!G57</f>
        <v>0</v>
      </c>
      <c r="H57" s="2798">
        <f>+'5. mell.Önk-i mérleg'!H57</f>
        <v>0</v>
      </c>
      <c r="I57" s="2798">
        <f>+'5. mell.Önk-i mérleg'!I57</f>
        <v>0</v>
      </c>
      <c r="J57" s="2800">
        <f>+'5. mell.Önk-i mérleg'!J57</f>
        <v>0</v>
      </c>
      <c r="K57" s="2801"/>
      <c r="L57" s="2798">
        <f t="shared" si="14"/>
        <v>0</v>
      </c>
      <c r="M57" s="2798">
        <f t="shared" si="15"/>
        <v>0</v>
      </c>
      <c r="N57" s="2802">
        <f t="shared" si="16"/>
        <v>0</v>
      </c>
      <c r="O57" s="1737">
        <f t="shared" si="17"/>
        <v>0</v>
      </c>
      <c r="P57" s="1735">
        <f t="shared" si="6"/>
        <v>-11400000</v>
      </c>
      <c r="Q57" s="1736"/>
      <c r="R57" s="1738">
        <v>22170131</v>
      </c>
      <c r="AB57" s="1738">
        <v>22170131</v>
      </c>
      <c r="AC57" s="1734">
        <f t="shared" si="7"/>
        <v>0</v>
      </c>
    </row>
    <row r="58" spans="1:29" ht="13.5" thickBot="1">
      <c r="A58" s="2789" t="s">
        <v>23</v>
      </c>
      <c r="B58" s="2807" t="s">
        <v>3032</v>
      </c>
      <c r="C58" s="2791">
        <f t="shared" ref="C58:J58" si="20">SUM(C59:C61)</f>
        <v>104429188</v>
      </c>
      <c r="D58" s="2791">
        <f t="shared" si="20"/>
        <v>63990353</v>
      </c>
      <c r="E58" s="2791">
        <f t="shared" si="20"/>
        <v>3218439</v>
      </c>
      <c r="F58" s="2791">
        <f t="shared" si="20"/>
        <v>3218439</v>
      </c>
      <c r="G58" s="2791">
        <f t="shared" si="20"/>
        <v>3218439</v>
      </c>
      <c r="H58" s="2791">
        <f t="shared" si="20"/>
        <v>5253618</v>
      </c>
      <c r="I58" s="2791">
        <f t="shared" si="20"/>
        <v>5253618</v>
      </c>
      <c r="J58" s="2793">
        <f t="shared" si="20"/>
        <v>5253618</v>
      </c>
      <c r="K58" s="2794">
        <f>+J58/H58</f>
        <v>1</v>
      </c>
      <c r="L58" s="2791">
        <f t="shared" si="14"/>
        <v>0</v>
      </c>
      <c r="M58" s="2791">
        <f t="shared" si="15"/>
        <v>0</v>
      </c>
      <c r="N58" s="2795">
        <f t="shared" si="16"/>
        <v>2035179</v>
      </c>
      <c r="O58" s="1733">
        <f t="shared" si="17"/>
        <v>0</v>
      </c>
      <c r="P58" s="1735">
        <f t="shared" si="6"/>
        <v>-101210749</v>
      </c>
      <c r="Q58" s="1732"/>
      <c r="R58" s="1734">
        <v>59977611</v>
      </c>
      <c r="AB58" s="1734">
        <v>63990353</v>
      </c>
      <c r="AC58" s="1734">
        <f t="shared" si="7"/>
        <v>0</v>
      </c>
    </row>
    <row r="59" spans="1:29" ht="13.5" thickBot="1">
      <c r="A59" s="2796" t="s">
        <v>265</v>
      </c>
      <c r="B59" s="2797" t="s">
        <v>3163</v>
      </c>
      <c r="C59" s="2814">
        <f>+'5. mell.Önk-i mérleg'!C59</f>
        <v>0</v>
      </c>
      <c r="D59" s="2815">
        <f>+'5. mell.Önk-i mérleg'!D59</f>
        <v>0</v>
      </c>
      <c r="E59" s="2814">
        <f>+'5. mell.Önk-i mérleg'!E59</f>
        <v>0</v>
      </c>
      <c r="F59" s="2814">
        <f>+'5. mell.Önk-i mérleg'!F59</f>
        <v>0</v>
      </c>
      <c r="G59" s="2814">
        <f>+'5. mell.Önk-i mérleg'!G59</f>
        <v>0</v>
      </c>
      <c r="H59" s="2814">
        <f>+'5. mell.Önk-i mérleg'!H59</f>
        <v>0</v>
      </c>
      <c r="I59" s="2814">
        <f>+'5. mell.Önk-i mérleg'!I59</f>
        <v>0</v>
      </c>
      <c r="J59" s="2816">
        <f>+'5. mell.Önk-i mérleg'!J59</f>
        <v>0</v>
      </c>
      <c r="K59" s="2808"/>
      <c r="L59" s="2814">
        <f t="shared" si="14"/>
        <v>0</v>
      </c>
      <c r="M59" s="2814">
        <f t="shared" si="15"/>
        <v>0</v>
      </c>
      <c r="N59" s="2817">
        <f t="shared" si="16"/>
        <v>0</v>
      </c>
      <c r="O59" s="1743">
        <f t="shared" si="17"/>
        <v>0</v>
      </c>
      <c r="P59" s="1735">
        <f t="shared" si="6"/>
        <v>0</v>
      </c>
      <c r="Q59" s="1742"/>
      <c r="R59" s="1744">
        <v>0</v>
      </c>
      <c r="AB59" s="1744">
        <v>0</v>
      </c>
      <c r="AC59" s="1734">
        <f t="shared" si="7"/>
        <v>0</v>
      </c>
    </row>
    <row r="60" spans="1:29" ht="13.5" thickBot="1">
      <c r="A60" s="2803" t="s">
        <v>266</v>
      </c>
      <c r="B60" s="2804" t="s">
        <v>3164</v>
      </c>
      <c r="C60" s="2814">
        <f>+'5. mell.Önk-i mérleg'!C60</f>
        <v>4378788</v>
      </c>
      <c r="D60" s="2815">
        <f>+'5. mell.Önk-i mérleg'!D60</f>
        <v>6646208</v>
      </c>
      <c r="E60" s="2814">
        <f>+'5. mell.Önk-i mérleg'!E60</f>
        <v>2812314</v>
      </c>
      <c r="F60" s="2814">
        <f>+'5. mell.Önk-i mérleg'!F60</f>
        <v>2812314</v>
      </c>
      <c r="G60" s="2814">
        <f>+'5. mell.Önk-i mérleg'!G60</f>
        <v>2812314</v>
      </c>
      <c r="H60" s="2814">
        <f>+'5. mell.Önk-i mérleg'!H60</f>
        <v>4175953</v>
      </c>
      <c r="I60" s="2814">
        <f>+'5. mell.Önk-i mérleg'!I60</f>
        <v>4175953</v>
      </c>
      <c r="J60" s="2816">
        <f>+'5. mell.Önk-i mérleg'!J60</f>
        <v>4175953</v>
      </c>
      <c r="K60" s="2808">
        <f>+J60/H60</f>
        <v>1</v>
      </c>
      <c r="L60" s="2814">
        <f t="shared" si="14"/>
        <v>0</v>
      </c>
      <c r="M60" s="2814">
        <f t="shared" si="15"/>
        <v>0</v>
      </c>
      <c r="N60" s="2817">
        <f t="shared" si="16"/>
        <v>1363639</v>
      </c>
      <c r="O60" s="1743">
        <f t="shared" si="17"/>
        <v>0</v>
      </c>
      <c r="P60" s="1735">
        <f t="shared" si="6"/>
        <v>-1566474</v>
      </c>
      <c r="Q60" s="1742"/>
      <c r="R60" s="1744">
        <v>3750736</v>
      </c>
      <c r="AB60" s="1744">
        <v>6646208</v>
      </c>
      <c r="AC60" s="1734">
        <f t="shared" si="7"/>
        <v>0</v>
      </c>
    </row>
    <row r="61" spans="1:29" ht="13.5" thickBot="1">
      <c r="A61" s="2803" t="s">
        <v>267</v>
      </c>
      <c r="B61" s="2804" t="s">
        <v>268</v>
      </c>
      <c r="C61" s="2814">
        <f>+'5. mell.Önk-i mérleg'!C61+'8. mell. Intézmények összesen'!D30</f>
        <v>100050400</v>
      </c>
      <c r="D61" s="2815">
        <f>+'5. mell.Önk-i mérleg'!D61+'8. mell. Intézmények összesen'!F30</f>
        <v>57344145</v>
      </c>
      <c r="E61" s="2814">
        <f>+'5. mell.Önk-i mérleg'!E61+'8. mell. Intézmények összesen'!F30</f>
        <v>406125</v>
      </c>
      <c r="F61" s="2814">
        <f>+'5. mell.Önk-i mérleg'!F61+'8. mell. Intézmények összesen'!G30</f>
        <v>406125</v>
      </c>
      <c r="G61" s="2814">
        <f>+'5. mell.Önk-i mérleg'!G61+'8. mell. Intézmények összesen'!H30</f>
        <v>406125</v>
      </c>
      <c r="H61" s="2814">
        <f>+'5. mell.Önk-i mérleg'!H61+'8. mell. Intézmények összesen'!I30</f>
        <v>1077665</v>
      </c>
      <c r="I61" s="2814">
        <f>+'5. mell.Önk-i mérleg'!I61+'8. mell. Intézmények összesen'!J30</f>
        <v>1077665</v>
      </c>
      <c r="J61" s="2816">
        <f>+'5. mell.Önk-i mérleg'!J61+'8. mell. Intézmények összesen'!K30</f>
        <v>1077665</v>
      </c>
      <c r="K61" s="2808">
        <f>+J61/H61</f>
        <v>1</v>
      </c>
      <c r="L61" s="2814">
        <f t="shared" si="14"/>
        <v>0</v>
      </c>
      <c r="M61" s="2814">
        <f t="shared" si="15"/>
        <v>0</v>
      </c>
      <c r="N61" s="2817">
        <f t="shared" si="16"/>
        <v>671540</v>
      </c>
      <c r="O61" s="1743">
        <f t="shared" si="17"/>
        <v>0</v>
      </c>
      <c r="P61" s="1735">
        <f t="shared" si="6"/>
        <v>-99644275</v>
      </c>
      <c r="Q61" s="1742"/>
      <c r="R61" s="1744">
        <v>56226875</v>
      </c>
      <c r="AB61" s="1744">
        <v>57344145</v>
      </c>
      <c r="AC61" s="1734">
        <f t="shared" si="7"/>
        <v>0</v>
      </c>
    </row>
    <row r="62" spans="1:29" ht="15.75" thickBot="1">
      <c r="A62" s="2805" t="s">
        <v>269</v>
      </c>
      <c r="B62" s="2806" t="s">
        <v>270</v>
      </c>
      <c r="C62" s="2814">
        <f>+'5. mell.Önk-i mérleg'!C62</f>
        <v>98690400</v>
      </c>
      <c r="D62" s="2815">
        <f>+'5. mell.Önk-i mérleg'!D62</f>
        <v>0</v>
      </c>
      <c r="E62" s="2814">
        <f>+'5. mell.Önk-i mérleg'!E62</f>
        <v>0</v>
      </c>
      <c r="F62" s="2814">
        <f>+'5. mell.Önk-i mérleg'!F62</f>
        <v>0</v>
      </c>
      <c r="G62" s="2814">
        <f>+'5. mell.Önk-i mérleg'!G62</f>
        <v>0</v>
      </c>
      <c r="H62" s="2814">
        <f>+'5. mell.Önk-i mérleg'!H62</f>
        <v>0</v>
      </c>
      <c r="I62" s="2814">
        <f>+'5. mell.Önk-i mérleg'!I62</f>
        <v>0</v>
      </c>
      <c r="J62" s="2816">
        <f>+'5. mell.Önk-i mérleg'!J62</f>
        <v>0</v>
      </c>
      <c r="K62" s="2808"/>
      <c r="L62" s="2814">
        <f t="shared" si="14"/>
        <v>0</v>
      </c>
      <c r="M62" s="2814">
        <f t="shared" si="15"/>
        <v>0</v>
      </c>
      <c r="N62" s="2817">
        <f t="shared" si="16"/>
        <v>0</v>
      </c>
      <c r="O62" s="1743">
        <f t="shared" si="17"/>
        <v>0</v>
      </c>
      <c r="P62" s="1735">
        <f t="shared" si="6"/>
        <v>-98690400</v>
      </c>
      <c r="Q62" s="1742"/>
      <c r="R62" s="1744">
        <v>0</v>
      </c>
      <c r="X62" s="1718" t="s">
        <v>271</v>
      </c>
      <c r="Y62" s="1745" t="s">
        <v>3059</v>
      </c>
      <c r="AB62" s="1744">
        <v>0</v>
      </c>
      <c r="AC62" s="1734">
        <f t="shared" si="7"/>
        <v>0</v>
      </c>
    </row>
    <row r="63" spans="1:29" ht="13.5" thickBot="1">
      <c r="A63" s="2818" t="s">
        <v>25</v>
      </c>
      <c r="B63" s="2819" t="s">
        <v>3037</v>
      </c>
      <c r="C63" s="2820">
        <f t="shared" ref="C63:J63" si="21">+C7+C14+C21+C28+C35+C47+C53+C58</f>
        <v>26660259125.189999</v>
      </c>
      <c r="D63" s="2820">
        <f t="shared" si="21"/>
        <v>24598610112</v>
      </c>
      <c r="E63" s="2820">
        <f t="shared" si="21"/>
        <v>27257936916.26968</v>
      </c>
      <c r="F63" s="2820">
        <f t="shared" si="21"/>
        <v>27735504297.26968</v>
      </c>
      <c r="G63" s="2820">
        <f t="shared" si="21"/>
        <v>27857341548.26968</v>
      </c>
      <c r="H63" s="2820">
        <f t="shared" si="21"/>
        <v>27209648493.26968</v>
      </c>
      <c r="I63" s="2820">
        <f t="shared" si="21"/>
        <v>27209648493.26968</v>
      </c>
      <c r="J63" s="2821">
        <f t="shared" si="21"/>
        <v>27209648493</v>
      </c>
      <c r="K63" s="2822">
        <f>+J63/H63</f>
        <v>0.99999999999008882</v>
      </c>
      <c r="L63" s="2820">
        <f t="shared" si="14"/>
        <v>477567381</v>
      </c>
      <c r="M63" s="2820">
        <f t="shared" si="15"/>
        <v>121837251</v>
      </c>
      <c r="N63" s="2823">
        <f t="shared" si="16"/>
        <v>-647693055</v>
      </c>
      <c r="O63" s="1747">
        <f t="shared" si="17"/>
        <v>0</v>
      </c>
      <c r="P63" s="1735">
        <f t="shared" si="6"/>
        <v>597677791.0796814</v>
      </c>
      <c r="Q63" s="1746"/>
      <c r="R63" s="1748">
        <v>21607618033</v>
      </c>
      <c r="S63" s="1735">
        <f>+'2. mell.  '!H18+'3. mell.  '!H18</f>
        <v>27209648493.26968</v>
      </c>
      <c r="T63" s="1735">
        <f>+'2. mell.  '!I18+'3. mell.  '!I18</f>
        <v>27209648493.26968</v>
      </c>
      <c r="U63" s="1735">
        <f>+'2. mell.  '!J18+'3. mell.  '!J18</f>
        <v>27209648493</v>
      </c>
      <c r="V63" s="1735">
        <f>+H63-S63</f>
        <v>0</v>
      </c>
      <c r="X63" s="1735">
        <v>27209648493</v>
      </c>
      <c r="Y63" s="1735">
        <f>+J63-X63</f>
        <v>0</v>
      </c>
      <c r="AB63" s="1748">
        <v>24598610112</v>
      </c>
      <c r="AC63" s="1734">
        <f t="shared" si="7"/>
        <v>0</v>
      </c>
    </row>
    <row r="64" spans="1:29" ht="13.5" thickBot="1">
      <c r="A64" s="2789" t="s">
        <v>27</v>
      </c>
      <c r="B64" s="2807" t="s">
        <v>3033</v>
      </c>
      <c r="C64" s="2791">
        <f t="shared" ref="C64:J64" si="22">SUM(C65:C67)</f>
        <v>0</v>
      </c>
      <c r="D64" s="2791">
        <f t="shared" si="22"/>
        <v>0</v>
      </c>
      <c r="E64" s="2791">
        <f t="shared" si="22"/>
        <v>0</v>
      </c>
      <c r="F64" s="2791">
        <f t="shared" si="22"/>
        <v>0</v>
      </c>
      <c r="G64" s="2791">
        <f t="shared" si="22"/>
        <v>0</v>
      </c>
      <c r="H64" s="2791">
        <f t="shared" si="22"/>
        <v>0</v>
      </c>
      <c r="I64" s="2791">
        <f t="shared" si="22"/>
        <v>0</v>
      </c>
      <c r="J64" s="2793">
        <f t="shared" si="22"/>
        <v>0</v>
      </c>
      <c r="K64" s="2794"/>
      <c r="L64" s="2791">
        <f t="shared" si="14"/>
        <v>0</v>
      </c>
      <c r="M64" s="2791">
        <f t="shared" si="15"/>
        <v>0</v>
      </c>
      <c r="N64" s="2795">
        <f t="shared" si="16"/>
        <v>0</v>
      </c>
      <c r="O64" s="1733">
        <f t="shared" si="17"/>
        <v>0</v>
      </c>
      <c r="P64" s="1735">
        <f t="shared" si="6"/>
        <v>0</v>
      </c>
      <c r="Q64" s="1732"/>
      <c r="R64" s="1734">
        <v>0</v>
      </c>
      <c r="X64" s="1735">
        <f>+'2. mell.  '!J18+'3. mell.  '!J18</f>
        <v>27209648493</v>
      </c>
      <c r="Y64" s="1735">
        <f>+J63-X64</f>
        <v>0</v>
      </c>
      <c r="AB64" s="1734">
        <v>0</v>
      </c>
      <c r="AC64" s="1734">
        <f t="shared" si="7"/>
        <v>0</v>
      </c>
    </row>
    <row r="65" spans="1:29" ht="13.5" thickBot="1">
      <c r="A65" s="2796" t="s">
        <v>273</v>
      </c>
      <c r="B65" s="2797" t="s">
        <v>274</v>
      </c>
      <c r="C65" s="2814">
        <f>+'5. mell.Önk-i mérleg'!C65</f>
        <v>0</v>
      </c>
      <c r="D65" s="2815">
        <f>+'5. mell.Önk-i mérleg'!D65</f>
        <v>0</v>
      </c>
      <c r="E65" s="2814">
        <f>+'5. mell.Önk-i mérleg'!E65</f>
        <v>0</v>
      </c>
      <c r="F65" s="2814">
        <f>+'5. mell.Önk-i mérleg'!F65</f>
        <v>0</v>
      </c>
      <c r="G65" s="2814">
        <f>+'5. mell.Önk-i mérleg'!G65</f>
        <v>0</v>
      </c>
      <c r="H65" s="2814">
        <f>+'5. mell.Önk-i mérleg'!H65</f>
        <v>0</v>
      </c>
      <c r="I65" s="2814">
        <f>+'5. mell.Önk-i mérleg'!I65</f>
        <v>0</v>
      </c>
      <c r="J65" s="2816">
        <f>+'5. mell.Önk-i mérleg'!J65</f>
        <v>0</v>
      </c>
      <c r="K65" s="2808"/>
      <c r="L65" s="2814">
        <f t="shared" si="14"/>
        <v>0</v>
      </c>
      <c r="M65" s="2814">
        <f t="shared" si="15"/>
        <v>0</v>
      </c>
      <c r="N65" s="2817">
        <f t="shared" si="16"/>
        <v>0</v>
      </c>
      <c r="O65" s="1743">
        <f t="shared" si="17"/>
        <v>0</v>
      </c>
      <c r="P65" s="1735">
        <f t="shared" si="6"/>
        <v>0</v>
      </c>
      <c r="Q65" s="1742"/>
      <c r="R65" s="1744">
        <v>0</v>
      </c>
      <c r="AB65" s="1744">
        <v>0</v>
      </c>
      <c r="AC65" s="1734">
        <f t="shared" si="7"/>
        <v>0</v>
      </c>
    </row>
    <row r="66" spans="1:29" ht="13.5" thickBot="1">
      <c r="A66" s="2803" t="s">
        <v>275</v>
      </c>
      <c r="B66" s="2804" t="s">
        <v>276</v>
      </c>
      <c r="C66" s="2814">
        <f>+'5. mell.Önk-i mérleg'!C66</f>
        <v>0</v>
      </c>
      <c r="D66" s="2815">
        <f>+'5. mell.Önk-i mérleg'!D66</f>
        <v>0</v>
      </c>
      <c r="E66" s="2814">
        <f>+'5. mell.Önk-i mérleg'!E66</f>
        <v>0</v>
      </c>
      <c r="F66" s="2814">
        <f>+'5. mell.Önk-i mérleg'!F66</f>
        <v>0</v>
      </c>
      <c r="G66" s="2814">
        <f>+'5. mell.Önk-i mérleg'!G66</f>
        <v>0</v>
      </c>
      <c r="H66" s="2814">
        <f>+'5. mell.Önk-i mérleg'!H66</f>
        <v>0</v>
      </c>
      <c r="I66" s="2814">
        <f>+'5. mell.Önk-i mérleg'!I66</f>
        <v>0</v>
      </c>
      <c r="J66" s="2816">
        <f>+'5. mell.Önk-i mérleg'!J66</f>
        <v>0</v>
      </c>
      <c r="K66" s="2808"/>
      <c r="L66" s="2814">
        <f t="shared" si="14"/>
        <v>0</v>
      </c>
      <c r="M66" s="2814">
        <f t="shared" si="15"/>
        <v>0</v>
      </c>
      <c r="N66" s="2817">
        <f t="shared" si="16"/>
        <v>0</v>
      </c>
      <c r="O66" s="1743">
        <f t="shared" si="17"/>
        <v>0</v>
      </c>
      <c r="P66" s="1735">
        <f t="shared" si="6"/>
        <v>0</v>
      </c>
      <c r="Q66" s="1742"/>
      <c r="R66" s="1744">
        <v>0</v>
      </c>
      <c r="AB66" s="1744">
        <v>0</v>
      </c>
      <c r="AC66" s="1734">
        <f t="shared" si="7"/>
        <v>0</v>
      </c>
    </row>
    <row r="67" spans="1:29" ht="13.5" thickBot="1">
      <c r="A67" s="2805" t="s">
        <v>277</v>
      </c>
      <c r="B67" s="2824" t="s">
        <v>278</v>
      </c>
      <c r="C67" s="2814">
        <f>+'5. mell.Önk-i mérleg'!C67</f>
        <v>0</v>
      </c>
      <c r="D67" s="2815">
        <f>+'5. mell.Önk-i mérleg'!D67</f>
        <v>0</v>
      </c>
      <c r="E67" s="2814">
        <f>+'5. mell.Önk-i mérleg'!E67</f>
        <v>0</v>
      </c>
      <c r="F67" s="2814">
        <f>+'5. mell.Önk-i mérleg'!F67</f>
        <v>0</v>
      </c>
      <c r="G67" s="2814">
        <f>+'5. mell.Önk-i mérleg'!G67</f>
        <v>0</v>
      </c>
      <c r="H67" s="2814">
        <f>+'5. mell.Önk-i mérleg'!H67</f>
        <v>0</v>
      </c>
      <c r="I67" s="2814">
        <f>+'5. mell.Önk-i mérleg'!I67</f>
        <v>0</v>
      </c>
      <c r="J67" s="2816">
        <f>+'5. mell.Önk-i mérleg'!J67</f>
        <v>0</v>
      </c>
      <c r="K67" s="2808"/>
      <c r="L67" s="2814">
        <f t="shared" si="14"/>
        <v>0</v>
      </c>
      <c r="M67" s="2814">
        <f t="shared" si="15"/>
        <v>0</v>
      </c>
      <c r="N67" s="2817">
        <f t="shared" si="16"/>
        <v>0</v>
      </c>
      <c r="O67" s="1743">
        <f t="shared" si="17"/>
        <v>0</v>
      </c>
      <c r="P67" s="1735">
        <f t="shared" si="6"/>
        <v>0</v>
      </c>
      <c r="Q67" s="1742"/>
      <c r="R67" s="1744">
        <v>0</v>
      </c>
      <c r="AB67" s="1744">
        <v>0</v>
      </c>
      <c r="AC67" s="1734">
        <f t="shared" si="7"/>
        <v>0</v>
      </c>
    </row>
    <row r="68" spans="1:29" ht="13.5" thickBot="1">
      <c r="A68" s="2789" t="s">
        <v>29</v>
      </c>
      <c r="B68" s="2807" t="s">
        <v>279</v>
      </c>
      <c r="C68" s="2791">
        <f t="shared" ref="C68:J68" si="23">SUM(C69:C72)</f>
        <v>0</v>
      </c>
      <c r="D68" s="2791">
        <f t="shared" si="23"/>
        <v>0</v>
      </c>
      <c r="E68" s="2791">
        <f t="shared" si="23"/>
        <v>0</v>
      </c>
      <c r="F68" s="2791">
        <f t="shared" si="23"/>
        <v>0</v>
      </c>
      <c r="G68" s="2791">
        <f t="shared" si="23"/>
        <v>0</v>
      </c>
      <c r="H68" s="2791">
        <f t="shared" si="23"/>
        <v>4999090000</v>
      </c>
      <c r="I68" s="2791">
        <f t="shared" si="23"/>
        <v>4999090000</v>
      </c>
      <c r="J68" s="2793">
        <f t="shared" si="23"/>
        <v>2790470000</v>
      </c>
      <c r="K68" s="2794">
        <f>+J68/H68</f>
        <v>0.55819559159767074</v>
      </c>
      <c r="L68" s="2791">
        <f t="shared" si="14"/>
        <v>0</v>
      </c>
      <c r="M68" s="2791">
        <f t="shared" si="15"/>
        <v>0</v>
      </c>
      <c r="N68" s="2795">
        <f t="shared" si="16"/>
        <v>4999090000</v>
      </c>
      <c r="O68" s="1733">
        <f t="shared" si="17"/>
        <v>0</v>
      </c>
      <c r="P68" s="1735">
        <f t="shared" si="6"/>
        <v>0</v>
      </c>
      <c r="Q68" s="1732"/>
      <c r="R68" s="1734">
        <v>0</v>
      </c>
      <c r="AB68" s="1734">
        <v>0</v>
      </c>
      <c r="AC68" s="1734">
        <f t="shared" si="7"/>
        <v>0</v>
      </c>
    </row>
    <row r="69" spans="1:29" ht="13.5" thickBot="1">
      <c r="A69" s="2796" t="s">
        <v>280</v>
      </c>
      <c r="B69" s="2797" t="s">
        <v>281</v>
      </c>
      <c r="C69" s="2814">
        <f>+'5. mell.Önk-i mérleg'!C69</f>
        <v>0</v>
      </c>
      <c r="D69" s="2815">
        <f>+'5. mell.Önk-i mérleg'!D69</f>
        <v>0</v>
      </c>
      <c r="E69" s="2814">
        <f>+'5. mell.Önk-i mérleg'!E69</f>
        <v>0</v>
      </c>
      <c r="F69" s="2814">
        <f>+'5. mell.Önk-i mérleg'!F69</f>
        <v>0</v>
      </c>
      <c r="G69" s="2814">
        <f>+'5. mell.Önk-i mérleg'!G69</f>
        <v>0</v>
      </c>
      <c r="H69" s="2814">
        <f>+'5. mell.Önk-i mérleg'!H69</f>
        <v>4999090000</v>
      </c>
      <c r="I69" s="2814">
        <f>+'5. mell.Önk-i mérleg'!I69</f>
        <v>4999090000</v>
      </c>
      <c r="J69" s="2816">
        <f>+'5. mell.Önk-i mérleg'!J69</f>
        <v>2790470000</v>
      </c>
      <c r="K69" s="2808">
        <f>+J69/H69</f>
        <v>0.55819559159767074</v>
      </c>
      <c r="L69" s="2814">
        <f t="shared" si="14"/>
        <v>0</v>
      </c>
      <c r="M69" s="2814">
        <f t="shared" si="15"/>
        <v>0</v>
      </c>
      <c r="N69" s="2817">
        <f t="shared" si="16"/>
        <v>4999090000</v>
      </c>
      <c r="O69" s="1743">
        <f t="shared" si="17"/>
        <v>0</v>
      </c>
      <c r="P69" s="1735">
        <f t="shared" si="6"/>
        <v>0</v>
      </c>
      <c r="Q69" s="1742"/>
      <c r="R69" s="1744">
        <v>0</v>
      </c>
      <c r="AB69" s="1744">
        <v>0</v>
      </c>
      <c r="AC69" s="1734">
        <f t="shared" si="7"/>
        <v>0</v>
      </c>
    </row>
    <row r="70" spans="1:29" ht="13.5" thickBot="1">
      <c r="A70" s="2803" t="s">
        <v>282</v>
      </c>
      <c r="B70" s="2804" t="s">
        <v>283</v>
      </c>
      <c r="C70" s="2814">
        <f>+'5. mell.Önk-i mérleg'!C70</f>
        <v>0</v>
      </c>
      <c r="D70" s="2815">
        <f>+'5. mell.Önk-i mérleg'!D70</f>
        <v>0</v>
      </c>
      <c r="E70" s="2814">
        <f>+'5. mell.Önk-i mérleg'!E70</f>
        <v>0</v>
      </c>
      <c r="F70" s="2814">
        <f>+'5. mell.Önk-i mérleg'!F70</f>
        <v>0</v>
      </c>
      <c r="G70" s="2814">
        <f>+'5. mell.Önk-i mérleg'!G70</f>
        <v>0</v>
      </c>
      <c r="H70" s="2814">
        <f>+'5. mell.Önk-i mérleg'!H70</f>
        <v>0</v>
      </c>
      <c r="I70" s="2814">
        <f>+'5. mell.Önk-i mérleg'!I70</f>
        <v>0</v>
      </c>
      <c r="J70" s="2816">
        <f>+'5. mell.Önk-i mérleg'!J70</f>
        <v>0</v>
      </c>
      <c r="K70" s="2808"/>
      <c r="L70" s="2814">
        <f t="shared" si="14"/>
        <v>0</v>
      </c>
      <c r="M70" s="2814">
        <f t="shared" si="15"/>
        <v>0</v>
      </c>
      <c r="N70" s="2817">
        <f t="shared" si="16"/>
        <v>0</v>
      </c>
      <c r="O70" s="1743">
        <f t="shared" si="17"/>
        <v>0</v>
      </c>
      <c r="P70" s="1735">
        <f t="shared" si="6"/>
        <v>0</v>
      </c>
      <c r="Q70" s="1742"/>
      <c r="R70" s="1744">
        <v>0</v>
      </c>
      <c r="AB70" s="1744">
        <v>0</v>
      </c>
      <c r="AC70" s="1734">
        <f t="shared" si="7"/>
        <v>0</v>
      </c>
    </row>
    <row r="71" spans="1:29" ht="13.5" thickBot="1">
      <c r="A71" s="2803" t="s">
        <v>284</v>
      </c>
      <c r="B71" s="2804" t="s">
        <v>285</v>
      </c>
      <c r="C71" s="2814">
        <f>+'5. mell.Önk-i mérleg'!C71</f>
        <v>0</v>
      </c>
      <c r="D71" s="2815">
        <f>+'5. mell.Önk-i mérleg'!D71</f>
        <v>0</v>
      </c>
      <c r="E71" s="2814">
        <f>+'5. mell.Önk-i mérleg'!E71</f>
        <v>0</v>
      </c>
      <c r="F71" s="2814">
        <f>+'5. mell.Önk-i mérleg'!F71</f>
        <v>0</v>
      </c>
      <c r="G71" s="2814">
        <f>+'5. mell.Önk-i mérleg'!G71</f>
        <v>0</v>
      </c>
      <c r="H71" s="2814">
        <f>+'5. mell.Önk-i mérleg'!H71</f>
        <v>0</v>
      </c>
      <c r="I71" s="2814">
        <f>+'5. mell.Önk-i mérleg'!I71</f>
        <v>0</v>
      </c>
      <c r="J71" s="2816">
        <f>+'5. mell.Önk-i mérleg'!J71</f>
        <v>0</v>
      </c>
      <c r="K71" s="2808"/>
      <c r="L71" s="2814">
        <f t="shared" si="14"/>
        <v>0</v>
      </c>
      <c r="M71" s="2814">
        <f t="shared" si="15"/>
        <v>0</v>
      </c>
      <c r="N71" s="2817">
        <f t="shared" si="16"/>
        <v>0</v>
      </c>
      <c r="O71" s="1743">
        <f t="shared" si="17"/>
        <v>0</v>
      </c>
      <c r="P71" s="1735">
        <f t="shared" si="6"/>
        <v>0</v>
      </c>
      <c r="Q71" s="1742"/>
      <c r="R71" s="1744">
        <v>0</v>
      </c>
      <c r="AB71" s="1744">
        <v>0</v>
      </c>
      <c r="AC71" s="1734">
        <f t="shared" si="7"/>
        <v>0</v>
      </c>
    </row>
    <row r="72" spans="1:29" ht="13.5" thickBot="1">
      <c r="A72" s="2805" t="s">
        <v>286</v>
      </c>
      <c r="B72" s="2806" t="s">
        <v>287</v>
      </c>
      <c r="C72" s="2814">
        <f>+'5. mell.Önk-i mérleg'!C72</f>
        <v>0</v>
      </c>
      <c r="D72" s="2815">
        <f>+'5. mell.Önk-i mérleg'!D72</f>
        <v>0</v>
      </c>
      <c r="E72" s="2814">
        <f>+'5. mell.Önk-i mérleg'!E72</f>
        <v>0</v>
      </c>
      <c r="F72" s="2814">
        <f>+'5. mell.Önk-i mérleg'!F72</f>
        <v>0</v>
      </c>
      <c r="G72" s="2814">
        <f>+'5. mell.Önk-i mérleg'!G72</f>
        <v>0</v>
      </c>
      <c r="H72" s="2814">
        <f>+'5. mell.Önk-i mérleg'!H72</f>
        <v>0</v>
      </c>
      <c r="I72" s="2814">
        <f>+'5. mell.Önk-i mérleg'!I72</f>
        <v>0</v>
      </c>
      <c r="J72" s="2816">
        <f>+'5. mell.Önk-i mérleg'!J72</f>
        <v>0</v>
      </c>
      <c r="K72" s="2808"/>
      <c r="L72" s="2814">
        <f t="shared" si="14"/>
        <v>0</v>
      </c>
      <c r="M72" s="2814">
        <f t="shared" si="15"/>
        <v>0</v>
      </c>
      <c r="N72" s="2817">
        <f t="shared" si="16"/>
        <v>0</v>
      </c>
      <c r="O72" s="1743">
        <f t="shared" si="17"/>
        <v>0</v>
      </c>
      <c r="P72" s="1735">
        <f t="shared" ref="P72:P88" si="24">+E72-C72</f>
        <v>0</v>
      </c>
      <c r="Q72" s="1742"/>
      <c r="R72" s="1744">
        <v>0</v>
      </c>
      <c r="AB72" s="1744">
        <v>0</v>
      </c>
      <c r="AC72" s="1734">
        <f t="shared" ref="AC72:AC135" si="25">+D72-AB72</f>
        <v>0</v>
      </c>
    </row>
    <row r="73" spans="1:29" ht="13.5" thickBot="1">
      <c r="A73" s="2789" t="s">
        <v>31</v>
      </c>
      <c r="B73" s="2807" t="s">
        <v>288</v>
      </c>
      <c r="C73" s="2791">
        <f t="shared" ref="C73:J73" si="26">SUM(C74:C75)</f>
        <v>7200000000</v>
      </c>
      <c r="D73" s="2791">
        <f t="shared" si="26"/>
        <v>7971810877</v>
      </c>
      <c r="E73" s="2791">
        <f t="shared" si="26"/>
        <v>2690000000</v>
      </c>
      <c r="F73" s="2791">
        <f t="shared" si="26"/>
        <v>3334631957</v>
      </c>
      <c r="G73" s="2791">
        <f t="shared" si="26"/>
        <v>3334631957</v>
      </c>
      <c r="H73" s="2791">
        <f t="shared" si="26"/>
        <v>3334631957</v>
      </c>
      <c r="I73" s="2791">
        <f t="shared" si="26"/>
        <v>3334631957</v>
      </c>
      <c r="J73" s="2793">
        <f t="shared" si="26"/>
        <v>3334631957</v>
      </c>
      <c r="K73" s="2794">
        <f>+J73/H73</f>
        <v>1</v>
      </c>
      <c r="L73" s="2791">
        <f t="shared" si="14"/>
        <v>644631957</v>
      </c>
      <c r="M73" s="2791">
        <f t="shared" si="15"/>
        <v>0</v>
      </c>
      <c r="N73" s="2795">
        <f t="shared" si="16"/>
        <v>0</v>
      </c>
      <c r="O73" s="1733">
        <f t="shared" si="17"/>
        <v>0</v>
      </c>
      <c r="P73" s="1735">
        <f t="shared" si="24"/>
        <v>-4510000000</v>
      </c>
      <c r="Q73" s="1732"/>
      <c r="R73" s="1734">
        <v>7971810877</v>
      </c>
      <c r="AB73" s="1734">
        <v>7971810877</v>
      </c>
      <c r="AC73" s="1734">
        <f t="shared" si="25"/>
        <v>0</v>
      </c>
    </row>
    <row r="74" spans="1:29" ht="13.5" thickBot="1">
      <c r="A74" s="2796" t="s">
        <v>289</v>
      </c>
      <c r="B74" s="2797" t="s">
        <v>290</v>
      </c>
      <c r="C74" s="2814">
        <f>+'5. mell.Önk-i mérleg'!C74+'8. mell. Intézmények összesen'!D34</f>
        <v>7200000000</v>
      </c>
      <c r="D74" s="2815">
        <v>7971810877</v>
      </c>
      <c r="E74" s="2814">
        <f>+'5. mell.Önk-i mérleg'!E74+'8. mell. Intézmények összesen'!F34</f>
        <v>2690000000</v>
      </c>
      <c r="F74" s="2814">
        <f>+'5. mell.Önk-i mérleg'!F74+'8. mell. Intézmények összesen'!G34</f>
        <v>3332566997</v>
      </c>
      <c r="G74" s="2814">
        <f>+'5. mell.Önk-i mérleg'!G74+'8. mell. Intézmények összesen'!H34</f>
        <v>3332566997</v>
      </c>
      <c r="H74" s="2814">
        <f>+'5. mell.Önk-i mérleg'!H74+'8. mell. Intézmények összesen'!I34</f>
        <v>3332566997</v>
      </c>
      <c r="I74" s="2814">
        <f>+'5. mell.Önk-i mérleg'!I74+'8. mell. Intézmények összesen'!J34</f>
        <v>3332566997</v>
      </c>
      <c r="J74" s="2816">
        <f>+'5. mell.Önk-i mérleg'!J74+'8. mell. Intézmények összesen'!K34</f>
        <v>3332566997</v>
      </c>
      <c r="K74" s="2808">
        <f>+J74/H74</f>
        <v>1</v>
      </c>
      <c r="L74" s="2814">
        <f t="shared" si="14"/>
        <v>642566997</v>
      </c>
      <c r="M74" s="2814">
        <f t="shared" si="15"/>
        <v>0</v>
      </c>
      <c r="N74" s="2817">
        <f t="shared" si="16"/>
        <v>0</v>
      </c>
      <c r="O74" s="1743">
        <f t="shared" si="17"/>
        <v>0</v>
      </c>
      <c r="P74" s="1735">
        <f t="shared" si="24"/>
        <v>-4510000000</v>
      </c>
      <c r="Q74" s="1742"/>
      <c r="R74" s="1744">
        <v>7971810877</v>
      </c>
      <c r="S74" s="1735">
        <f>+'2. mell.  '!H20+'3. mell.  '!H20</f>
        <v>3332566997</v>
      </c>
      <c r="T74" s="1735">
        <f>+'2. mell.  '!I20+'3. mell.  '!I20</f>
        <v>3332566997</v>
      </c>
      <c r="U74" s="1735">
        <f>+'2. mell.  '!J20+'3. mell.  '!J20</f>
        <v>3332566997</v>
      </c>
      <c r="V74" s="1735">
        <f>+H74-S74</f>
        <v>0</v>
      </c>
      <c r="AB74" s="1744">
        <v>7971810877</v>
      </c>
      <c r="AC74" s="1734">
        <f t="shared" si="25"/>
        <v>0</v>
      </c>
    </row>
    <row r="75" spans="1:29" ht="13.5" thickBot="1">
      <c r="A75" s="2805" t="s">
        <v>291</v>
      </c>
      <c r="B75" s="2806" t="s">
        <v>292</v>
      </c>
      <c r="C75" s="2814">
        <f>+'5. mell.Önk-i mérleg'!C75</f>
        <v>0</v>
      </c>
      <c r="D75" s="2815">
        <f>+'5. mell.Önk-i mérleg'!D75</f>
        <v>0</v>
      </c>
      <c r="E75" s="2814">
        <f>+'5. mell.Önk-i mérleg'!E75+'8. mell. Intézmények összesen'!F35</f>
        <v>0</v>
      </c>
      <c r="F75" s="2814">
        <f>+'5. mell.Önk-i mérleg'!F75+'8. mell. Intézmények összesen'!G35</f>
        <v>2064960</v>
      </c>
      <c r="G75" s="2814">
        <f>+'5. mell.Önk-i mérleg'!G75+'8. mell. Intézmények összesen'!H35</f>
        <v>2064960</v>
      </c>
      <c r="H75" s="2814">
        <f>+'5. mell.Önk-i mérleg'!H75+'8. mell. Intézmények összesen'!I35</f>
        <v>2064960</v>
      </c>
      <c r="I75" s="2814">
        <f>+'5. mell.Önk-i mérleg'!I75+'8. mell. Intézmények összesen'!J35</f>
        <v>2064960</v>
      </c>
      <c r="J75" s="2816">
        <f>+'5. mell.Önk-i mérleg'!J75+'8. mell. Intézmények összesen'!K35</f>
        <v>2064960</v>
      </c>
      <c r="K75" s="2808">
        <f>+J75/H75</f>
        <v>1</v>
      </c>
      <c r="L75" s="2814">
        <f t="shared" si="14"/>
        <v>2064960</v>
      </c>
      <c r="M75" s="2814">
        <f t="shared" si="15"/>
        <v>0</v>
      </c>
      <c r="N75" s="2817">
        <f t="shared" si="16"/>
        <v>0</v>
      </c>
      <c r="O75" s="1743">
        <f t="shared" si="17"/>
        <v>0</v>
      </c>
      <c r="P75" s="1735">
        <f t="shared" si="24"/>
        <v>0</v>
      </c>
      <c r="Q75" s="1742"/>
      <c r="R75" s="1744">
        <v>0</v>
      </c>
      <c r="S75" s="1735">
        <f>+'2. mell.  '!H21</f>
        <v>2064960</v>
      </c>
      <c r="T75" s="1735">
        <f>+'2. mell.  '!I21</f>
        <v>2064960</v>
      </c>
      <c r="U75" s="1735">
        <f>+'2. mell.  '!G21</f>
        <v>2064960</v>
      </c>
      <c r="AB75" s="1744">
        <v>0</v>
      </c>
      <c r="AC75" s="1734">
        <f t="shared" si="25"/>
        <v>0</v>
      </c>
    </row>
    <row r="76" spans="1:29" ht="13.5" thickBot="1">
      <c r="A76" s="2789" t="s">
        <v>33</v>
      </c>
      <c r="B76" s="2807" t="s">
        <v>293</v>
      </c>
      <c r="C76" s="2791">
        <f t="shared" ref="C76:J76" si="27">SUM(C77:C79)</f>
        <v>8000000000</v>
      </c>
      <c r="D76" s="2791">
        <f t="shared" si="27"/>
        <v>6465865747</v>
      </c>
      <c r="E76" s="2791">
        <f t="shared" si="27"/>
        <v>5500000000</v>
      </c>
      <c r="F76" s="2791">
        <f t="shared" si="27"/>
        <v>5500000000</v>
      </c>
      <c r="G76" s="2791">
        <f t="shared" si="27"/>
        <v>6873664816</v>
      </c>
      <c r="H76" s="2791">
        <f t="shared" si="27"/>
        <v>8490545302</v>
      </c>
      <c r="I76" s="2791">
        <f t="shared" si="27"/>
        <v>8490545302</v>
      </c>
      <c r="J76" s="2793">
        <f t="shared" si="27"/>
        <v>8490545302</v>
      </c>
      <c r="K76" s="2794">
        <f>+J76/H76</f>
        <v>1</v>
      </c>
      <c r="L76" s="2791">
        <f t="shared" si="14"/>
        <v>0</v>
      </c>
      <c r="M76" s="2791">
        <f t="shared" si="15"/>
        <v>1373664816</v>
      </c>
      <c r="N76" s="2795">
        <f t="shared" si="16"/>
        <v>1616880486</v>
      </c>
      <c r="O76" s="1733">
        <f t="shared" si="17"/>
        <v>0</v>
      </c>
      <c r="P76" s="1735">
        <f t="shared" si="24"/>
        <v>-2500000000</v>
      </c>
      <c r="Q76" s="1732"/>
      <c r="R76" s="1734">
        <v>5989302282</v>
      </c>
      <c r="AB76" s="1734">
        <v>6465865747</v>
      </c>
      <c r="AC76" s="1734">
        <f t="shared" si="25"/>
        <v>0</v>
      </c>
    </row>
    <row r="77" spans="1:29" ht="13.5" thickBot="1">
      <c r="A77" s="2796" t="s">
        <v>294</v>
      </c>
      <c r="B77" s="2797" t="s">
        <v>295</v>
      </c>
      <c r="C77" s="2814">
        <f>+'5. mell.Önk-i mérleg'!C77</f>
        <v>0</v>
      </c>
      <c r="D77" s="2815">
        <f>+'5. mell.Önk-i mérleg'!D77</f>
        <v>965865747</v>
      </c>
      <c r="E77" s="2814">
        <f>+'5. mell.Önk-i mérleg'!E77</f>
        <v>0</v>
      </c>
      <c r="F77" s="2814">
        <f>+'5. mell.Önk-i mérleg'!F77</f>
        <v>0</v>
      </c>
      <c r="G77" s="2814">
        <f>+'5. mell.Önk-i mérleg'!G77</f>
        <v>1373664816</v>
      </c>
      <c r="H77" s="2814">
        <f>+'5. mell.Önk-i mérleg'!H77</f>
        <v>1790545302</v>
      </c>
      <c r="I77" s="2814">
        <f>+'5. mell.Önk-i mérleg'!I77</f>
        <v>1790545302</v>
      </c>
      <c r="J77" s="2816">
        <f>+'5. mell.Önk-i mérleg'!J77</f>
        <v>1790545302</v>
      </c>
      <c r="K77" s="2808">
        <f>+J77/H77</f>
        <v>1</v>
      </c>
      <c r="L77" s="2814">
        <f t="shared" si="14"/>
        <v>0</v>
      </c>
      <c r="M77" s="2814">
        <f t="shared" si="15"/>
        <v>1373664816</v>
      </c>
      <c r="N77" s="2817">
        <f t="shared" si="16"/>
        <v>416880486</v>
      </c>
      <c r="O77" s="1743">
        <f t="shared" si="17"/>
        <v>0</v>
      </c>
      <c r="P77" s="1735">
        <f t="shared" si="24"/>
        <v>0</v>
      </c>
      <c r="Q77" s="1742"/>
      <c r="R77" s="1744">
        <v>489302282</v>
      </c>
      <c r="S77" s="1735">
        <f>+'2. mell.  '!H22</f>
        <v>1790545302</v>
      </c>
      <c r="T77" s="1735">
        <f>+'2. mell.  '!I22</f>
        <v>1790545302</v>
      </c>
      <c r="U77" s="1735">
        <f>+'2. mell.  '!J22</f>
        <v>1790545302</v>
      </c>
      <c r="AB77" s="1744">
        <v>965865747</v>
      </c>
      <c r="AC77" s="1734">
        <f t="shared" si="25"/>
        <v>0</v>
      </c>
    </row>
    <row r="78" spans="1:29" ht="13.5" thickBot="1">
      <c r="A78" s="2803" t="s">
        <v>296</v>
      </c>
      <c r="B78" s="2804" t="s">
        <v>297</v>
      </c>
      <c r="C78" s="2814">
        <f>+'5. mell.Önk-i mérleg'!C78</f>
        <v>0</v>
      </c>
      <c r="D78" s="2815">
        <f>+'5. mell.Önk-i mérleg'!D78</f>
        <v>0</v>
      </c>
      <c r="E78" s="2814">
        <f>+'5. mell.Önk-i mérleg'!E78</f>
        <v>0</v>
      </c>
      <c r="F78" s="2814">
        <f>+'5. mell.Önk-i mérleg'!F78</f>
        <v>0</v>
      </c>
      <c r="G78" s="2814">
        <f>+'5. mell.Önk-i mérleg'!G78</f>
        <v>0</v>
      </c>
      <c r="H78" s="2814">
        <f>+'5. mell.Önk-i mérleg'!H78</f>
        <v>0</v>
      </c>
      <c r="I78" s="2814">
        <f>+'5. mell.Önk-i mérleg'!I78</f>
        <v>0</v>
      </c>
      <c r="J78" s="2816">
        <f>+'5. mell.Önk-i mérleg'!J78</f>
        <v>0</v>
      </c>
      <c r="K78" s="2808"/>
      <c r="L78" s="2814">
        <f t="shared" si="14"/>
        <v>0</v>
      </c>
      <c r="M78" s="2814">
        <f t="shared" si="15"/>
        <v>0</v>
      </c>
      <c r="N78" s="2817">
        <f t="shared" si="16"/>
        <v>0</v>
      </c>
      <c r="O78" s="1743">
        <f t="shared" si="17"/>
        <v>0</v>
      </c>
      <c r="P78" s="1735">
        <f t="shared" si="24"/>
        <v>0</v>
      </c>
      <c r="Q78" s="1742"/>
      <c r="R78" s="1744">
        <v>0</v>
      </c>
      <c r="AB78" s="1744">
        <v>0</v>
      </c>
      <c r="AC78" s="1734">
        <f t="shared" si="25"/>
        <v>0</v>
      </c>
    </row>
    <row r="79" spans="1:29" ht="13.5" thickBot="1">
      <c r="A79" s="2805" t="s">
        <v>298</v>
      </c>
      <c r="B79" s="2806" t="s">
        <v>299</v>
      </c>
      <c r="C79" s="2814">
        <f>+'5. mell.Önk-i mérleg'!C79</f>
        <v>8000000000</v>
      </c>
      <c r="D79" s="2815">
        <f>+'5. mell.Önk-i mérleg'!D79</f>
        <v>5500000000</v>
      </c>
      <c r="E79" s="2814">
        <f>+'5. mell.Önk-i mérleg'!E79</f>
        <v>5500000000</v>
      </c>
      <c r="F79" s="2814">
        <f>+'5. mell.Önk-i mérleg'!F79</f>
        <v>5500000000</v>
      </c>
      <c r="G79" s="2814">
        <f>+'5. mell.Önk-i mérleg'!G79</f>
        <v>5500000000</v>
      </c>
      <c r="H79" s="2814">
        <f>+'5. mell.Önk-i mérleg'!H79</f>
        <v>6700000000</v>
      </c>
      <c r="I79" s="2814">
        <f>+'5. mell.Önk-i mérleg'!I79</f>
        <v>6700000000</v>
      </c>
      <c r="J79" s="2816">
        <f>+'5. mell.Önk-i mérleg'!J79</f>
        <v>6700000000</v>
      </c>
      <c r="K79" s="2808">
        <f>+J79/H79</f>
        <v>1</v>
      </c>
      <c r="L79" s="2814">
        <f t="shared" si="14"/>
        <v>0</v>
      </c>
      <c r="M79" s="2814">
        <f t="shared" si="15"/>
        <v>0</v>
      </c>
      <c r="N79" s="2817">
        <f t="shared" si="16"/>
        <v>1200000000</v>
      </c>
      <c r="O79" s="1743">
        <f t="shared" si="17"/>
        <v>0</v>
      </c>
      <c r="P79" s="1735">
        <f t="shared" si="24"/>
        <v>-2500000000</v>
      </c>
      <c r="Q79" s="1742"/>
      <c r="R79" s="1744">
        <v>5500000000</v>
      </c>
      <c r="S79" s="1735">
        <f>+'2. mell.  '!H23</f>
        <v>6700000000</v>
      </c>
      <c r="T79" s="1735">
        <f>+'2. mell.  '!I23</f>
        <v>6700000000</v>
      </c>
      <c r="U79" s="1735">
        <f>+'2. mell.  '!J23</f>
        <v>6700000000</v>
      </c>
      <c r="V79" s="1735">
        <f>+H79-S79</f>
        <v>0</v>
      </c>
      <c r="AB79" s="1744">
        <v>5500000000</v>
      </c>
      <c r="AC79" s="1734">
        <f t="shared" si="25"/>
        <v>0</v>
      </c>
    </row>
    <row r="80" spans="1:29" ht="13.5" thickBot="1">
      <c r="A80" s="2789" t="s">
        <v>300</v>
      </c>
      <c r="B80" s="2807" t="s">
        <v>301</v>
      </c>
      <c r="C80" s="2791">
        <f t="shared" ref="C80:J80" si="28">SUM(C81:C84)</f>
        <v>0</v>
      </c>
      <c r="D80" s="2791">
        <f t="shared" si="28"/>
        <v>0</v>
      </c>
      <c r="E80" s="2791">
        <f t="shared" si="28"/>
        <v>0</v>
      </c>
      <c r="F80" s="2791">
        <f t="shared" si="28"/>
        <v>0</v>
      </c>
      <c r="G80" s="2791">
        <f t="shared" si="28"/>
        <v>0</v>
      </c>
      <c r="H80" s="2791">
        <f t="shared" si="28"/>
        <v>0</v>
      </c>
      <c r="I80" s="2791">
        <f t="shared" si="28"/>
        <v>0</v>
      </c>
      <c r="J80" s="2793">
        <f t="shared" si="28"/>
        <v>0</v>
      </c>
      <c r="K80" s="2794"/>
      <c r="L80" s="2791">
        <f t="shared" si="14"/>
        <v>0</v>
      </c>
      <c r="M80" s="2791">
        <f t="shared" si="15"/>
        <v>0</v>
      </c>
      <c r="N80" s="2795">
        <f t="shared" si="16"/>
        <v>0</v>
      </c>
      <c r="O80" s="1733">
        <f t="shared" si="17"/>
        <v>0</v>
      </c>
      <c r="P80" s="1735">
        <f t="shared" si="24"/>
        <v>0</v>
      </c>
      <c r="Q80" s="1732"/>
      <c r="R80" s="1734">
        <v>0</v>
      </c>
      <c r="AB80" s="1734">
        <v>0</v>
      </c>
      <c r="AC80" s="1734">
        <f t="shared" si="25"/>
        <v>0</v>
      </c>
    </row>
    <row r="81" spans="1:29" ht="13.5" hidden="1" thickBot="1">
      <c r="A81" s="2825" t="s">
        <v>302</v>
      </c>
      <c r="B81" s="2797" t="s">
        <v>303</v>
      </c>
      <c r="C81" s="2814">
        <f>+'5. mell.Önk-i mérleg'!C81</f>
        <v>0</v>
      </c>
      <c r="D81" s="2814">
        <v>0</v>
      </c>
      <c r="E81" s="2814">
        <f>+'5. mell.Önk-i mérleg'!E81</f>
        <v>0</v>
      </c>
      <c r="F81" s="2814">
        <f>+'5. mell.Önk-i mérleg'!F81</f>
        <v>0</v>
      </c>
      <c r="G81" s="2814">
        <f>+'5. mell.Önk-i mérleg'!G81</f>
        <v>0</v>
      </c>
      <c r="H81" s="2814">
        <f>+'5. mell.Önk-i mérleg'!H81</f>
        <v>0</v>
      </c>
      <c r="I81" s="2814">
        <f>+'5. mell.Önk-i mérleg'!I81</f>
        <v>0</v>
      </c>
      <c r="J81" s="2816">
        <f>+'5. mell.Önk-i mérleg'!J81</f>
        <v>0</v>
      </c>
      <c r="K81" s="2808"/>
      <c r="L81" s="2791">
        <f t="shared" si="14"/>
        <v>0</v>
      </c>
      <c r="M81" s="2814">
        <f t="shared" si="15"/>
        <v>0</v>
      </c>
      <c r="N81" s="2817">
        <f t="shared" si="16"/>
        <v>0</v>
      </c>
      <c r="O81" s="1743">
        <f t="shared" si="17"/>
        <v>0</v>
      </c>
      <c r="P81" s="1735">
        <f t="shared" si="24"/>
        <v>0</v>
      </c>
      <c r="Q81" s="1742"/>
      <c r="R81" s="1744">
        <v>0</v>
      </c>
      <c r="AB81" s="1744">
        <v>0</v>
      </c>
      <c r="AC81" s="1734">
        <f t="shared" si="25"/>
        <v>0</v>
      </c>
    </row>
    <row r="82" spans="1:29" ht="13.5" hidden="1" thickBot="1">
      <c r="A82" s="2826" t="s">
        <v>304</v>
      </c>
      <c r="B82" s="2804" t="s">
        <v>305</v>
      </c>
      <c r="C82" s="2814">
        <f>+'5. mell.Önk-i mérleg'!C82</f>
        <v>0</v>
      </c>
      <c r="D82" s="2814">
        <v>0</v>
      </c>
      <c r="E82" s="2814">
        <f>+'5. mell.Önk-i mérleg'!E82</f>
        <v>0</v>
      </c>
      <c r="F82" s="2814">
        <f>+'5. mell.Önk-i mérleg'!F82</f>
        <v>0</v>
      </c>
      <c r="G82" s="2814">
        <f>+'5. mell.Önk-i mérleg'!G82</f>
        <v>0</v>
      </c>
      <c r="H82" s="2814">
        <f>+'5. mell.Önk-i mérleg'!H82</f>
        <v>0</v>
      </c>
      <c r="I82" s="2814">
        <f>+'5. mell.Önk-i mérleg'!I82</f>
        <v>0</v>
      </c>
      <c r="J82" s="2816">
        <f>+'5. mell.Önk-i mérleg'!J82</f>
        <v>0</v>
      </c>
      <c r="K82" s="2808"/>
      <c r="L82" s="2791">
        <f t="shared" si="14"/>
        <v>0</v>
      </c>
      <c r="M82" s="2814">
        <f t="shared" si="15"/>
        <v>0</v>
      </c>
      <c r="N82" s="2817">
        <f t="shared" si="16"/>
        <v>0</v>
      </c>
      <c r="O82" s="1743">
        <f t="shared" si="17"/>
        <v>0</v>
      </c>
      <c r="P82" s="1735">
        <f t="shared" si="24"/>
        <v>0</v>
      </c>
      <c r="Q82" s="1742"/>
      <c r="R82" s="1744">
        <v>0</v>
      </c>
      <c r="AB82" s="1744">
        <v>0</v>
      </c>
      <c r="AC82" s="1734">
        <f t="shared" si="25"/>
        <v>0</v>
      </c>
    </row>
    <row r="83" spans="1:29" ht="13.5" hidden="1" thickBot="1">
      <c r="A83" s="2826" t="s">
        <v>306</v>
      </c>
      <c r="B83" s="2804" t="s">
        <v>307</v>
      </c>
      <c r="C83" s="2814">
        <f>+'5. mell.Önk-i mérleg'!C83</f>
        <v>0</v>
      </c>
      <c r="D83" s="2814">
        <v>0</v>
      </c>
      <c r="E83" s="2814">
        <f>+'5. mell.Önk-i mérleg'!E83</f>
        <v>0</v>
      </c>
      <c r="F83" s="2814">
        <f>+'5. mell.Önk-i mérleg'!F83</f>
        <v>0</v>
      </c>
      <c r="G83" s="2814">
        <f>+'5. mell.Önk-i mérleg'!G83</f>
        <v>0</v>
      </c>
      <c r="H83" s="2814">
        <f>+'5. mell.Önk-i mérleg'!H83</f>
        <v>0</v>
      </c>
      <c r="I83" s="2814">
        <f>+'5. mell.Önk-i mérleg'!I83</f>
        <v>0</v>
      </c>
      <c r="J83" s="2816">
        <f>+'5. mell.Önk-i mérleg'!J83</f>
        <v>0</v>
      </c>
      <c r="K83" s="2808"/>
      <c r="L83" s="2791">
        <f t="shared" si="14"/>
        <v>0</v>
      </c>
      <c r="M83" s="2814">
        <f t="shared" si="15"/>
        <v>0</v>
      </c>
      <c r="N83" s="2817">
        <f t="shared" si="16"/>
        <v>0</v>
      </c>
      <c r="O83" s="1743">
        <f t="shared" si="17"/>
        <v>0</v>
      </c>
      <c r="P83" s="1735">
        <f t="shared" si="24"/>
        <v>0</v>
      </c>
      <c r="Q83" s="1742"/>
      <c r="R83" s="1744">
        <v>0</v>
      </c>
      <c r="AB83" s="1744">
        <v>0</v>
      </c>
      <c r="AC83" s="1734">
        <f t="shared" si="25"/>
        <v>0</v>
      </c>
    </row>
    <row r="84" spans="1:29" ht="13.5" hidden="1" thickBot="1">
      <c r="A84" s="2827" t="s">
        <v>308</v>
      </c>
      <c r="B84" s="2806" t="s">
        <v>309</v>
      </c>
      <c r="C84" s="2828">
        <f>+'5. mell.Önk-i mérleg'!C84</f>
        <v>0</v>
      </c>
      <c r="D84" s="2828">
        <v>0</v>
      </c>
      <c r="E84" s="2828">
        <f>+'5. mell.Önk-i mérleg'!E84</f>
        <v>0</v>
      </c>
      <c r="F84" s="2828">
        <f>+'5. mell.Önk-i mérleg'!F84</f>
        <v>0</v>
      </c>
      <c r="G84" s="2828">
        <f>+'5. mell.Önk-i mérleg'!G84</f>
        <v>0</v>
      </c>
      <c r="H84" s="2828">
        <f>+'5. mell.Önk-i mérleg'!H84</f>
        <v>0</v>
      </c>
      <c r="I84" s="2828">
        <f>+'5. mell.Önk-i mérleg'!I84</f>
        <v>0</v>
      </c>
      <c r="J84" s="2829">
        <f>+'5. mell.Önk-i mérleg'!J84</f>
        <v>0</v>
      </c>
      <c r="K84" s="2830"/>
      <c r="L84" s="2831">
        <f t="shared" si="14"/>
        <v>0</v>
      </c>
      <c r="M84" s="2828">
        <f t="shared" si="15"/>
        <v>0</v>
      </c>
      <c r="N84" s="2817">
        <f t="shared" si="16"/>
        <v>0</v>
      </c>
      <c r="O84" s="1743">
        <f t="shared" si="17"/>
        <v>0</v>
      </c>
      <c r="P84" s="1735">
        <f t="shared" si="24"/>
        <v>0</v>
      </c>
      <c r="Q84" s="1742"/>
      <c r="R84" s="1744">
        <v>0</v>
      </c>
      <c r="AB84" s="1744">
        <v>0</v>
      </c>
      <c r="AC84" s="1734">
        <f t="shared" si="25"/>
        <v>0</v>
      </c>
    </row>
    <row r="85" spans="1:29" ht="13.5" thickBot="1">
      <c r="A85" s="2832" t="s">
        <v>37</v>
      </c>
      <c r="B85" s="2833" t="s">
        <v>310</v>
      </c>
      <c r="C85" s="2834">
        <v>0</v>
      </c>
      <c r="D85" s="2834">
        <v>0</v>
      </c>
      <c r="E85" s="2834">
        <v>0</v>
      </c>
      <c r="F85" s="2834">
        <v>0</v>
      </c>
      <c r="G85" s="2834">
        <v>0</v>
      </c>
      <c r="H85" s="2834">
        <v>0</v>
      </c>
      <c r="I85" s="2834">
        <v>0</v>
      </c>
      <c r="J85" s="2835">
        <v>0</v>
      </c>
      <c r="K85" s="2836"/>
      <c r="L85" s="2834">
        <f t="shared" si="14"/>
        <v>0</v>
      </c>
      <c r="M85" s="2834">
        <f>+G85-F85</f>
        <v>0</v>
      </c>
      <c r="N85" s="2837">
        <v>0</v>
      </c>
      <c r="O85" s="1762"/>
      <c r="P85" s="1735">
        <f t="shared" si="24"/>
        <v>0</v>
      </c>
      <c r="Q85" s="1732"/>
      <c r="R85" s="1734">
        <v>0</v>
      </c>
      <c r="AB85" s="1734">
        <v>0</v>
      </c>
      <c r="AC85" s="1734">
        <f t="shared" si="25"/>
        <v>0</v>
      </c>
    </row>
    <row r="86" spans="1:29" ht="15.75" thickBot="1">
      <c r="A86" s="2838" t="s">
        <v>39</v>
      </c>
      <c r="B86" s="2839" t="s">
        <v>311</v>
      </c>
      <c r="C86" s="2840">
        <f>+'5. mell.Önk-i mérleg'!C86</f>
        <v>0</v>
      </c>
      <c r="D86" s="2840">
        <v>0</v>
      </c>
      <c r="E86" s="2840">
        <f>+'5. mell.Önk-i mérleg'!E86</f>
        <v>0</v>
      </c>
      <c r="F86" s="2840">
        <f>+'5. mell.Önk-i mérleg'!F86</f>
        <v>0</v>
      </c>
      <c r="G86" s="2840">
        <f>+'5. mell.Önk-i mérleg'!G86</f>
        <v>0</v>
      </c>
      <c r="H86" s="2840">
        <f>+'5. mell.Önk-i mérleg'!H86</f>
        <v>0</v>
      </c>
      <c r="I86" s="2840">
        <f>+'5. mell.Önk-i mérleg'!I86</f>
        <v>0</v>
      </c>
      <c r="J86" s="2841">
        <f>+'5. mell.Önk-i mérleg'!J86</f>
        <v>0</v>
      </c>
      <c r="K86" s="2842"/>
      <c r="L86" s="2840">
        <f t="shared" si="14"/>
        <v>0</v>
      </c>
      <c r="M86" s="2840">
        <f>+G86-F86</f>
        <v>0</v>
      </c>
      <c r="N86" s="2795">
        <f t="shared" ref="N86:O88" si="29">+H86-G86</f>
        <v>0</v>
      </c>
      <c r="O86" s="1733">
        <f t="shared" si="29"/>
        <v>0</v>
      </c>
      <c r="P86" s="1735">
        <f t="shared" si="24"/>
        <v>0</v>
      </c>
      <c r="Q86" s="1732"/>
      <c r="R86" s="1734">
        <v>0</v>
      </c>
      <c r="X86" s="1718" t="s">
        <v>312</v>
      </c>
      <c r="Y86" s="1745" t="s">
        <v>3059</v>
      </c>
      <c r="AB86" s="1734">
        <v>0</v>
      </c>
      <c r="AC86" s="1734">
        <f t="shared" si="25"/>
        <v>0</v>
      </c>
    </row>
    <row r="87" spans="1:29" ht="13.5" thickBot="1">
      <c r="A87" s="2818" t="s">
        <v>41</v>
      </c>
      <c r="B87" s="2819" t="s">
        <v>313</v>
      </c>
      <c r="C87" s="2820">
        <f t="shared" ref="C87:J87" si="30">+C64+C68+C73+C76+C80+C86</f>
        <v>15200000000</v>
      </c>
      <c r="D87" s="2820">
        <f t="shared" si="30"/>
        <v>14437676624</v>
      </c>
      <c r="E87" s="2820">
        <f t="shared" si="30"/>
        <v>8190000000</v>
      </c>
      <c r="F87" s="2820">
        <f t="shared" si="30"/>
        <v>8834631957</v>
      </c>
      <c r="G87" s="2820">
        <f t="shared" si="30"/>
        <v>10208296773</v>
      </c>
      <c r="H87" s="2820">
        <f t="shared" si="30"/>
        <v>16824267259</v>
      </c>
      <c r="I87" s="2820">
        <f t="shared" si="30"/>
        <v>16824267259</v>
      </c>
      <c r="J87" s="2821">
        <f t="shared" si="30"/>
        <v>14615647259</v>
      </c>
      <c r="K87" s="2822">
        <f>+J87/H87</f>
        <v>0.86872414911154494</v>
      </c>
      <c r="L87" s="2820">
        <f t="shared" si="14"/>
        <v>644631957</v>
      </c>
      <c r="M87" s="2820">
        <f>+G87-F87</f>
        <v>1373664816</v>
      </c>
      <c r="N87" s="2823">
        <f t="shared" si="29"/>
        <v>6615970486</v>
      </c>
      <c r="O87" s="1747">
        <f t="shared" si="29"/>
        <v>0</v>
      </c>
      <c r="P87" s="1735">
        <f t="shared" si="24"/>
        <v>-7010000000</v>
      </c>
      <c r="Q87" s="1746"/>
      <c r="R87" s="1748">
        <v>13961113159</v>
      </c>
      <c r="S87" s="1735">
        <f>+'2. mell.  '!H30+'3. mell.  '!H31</f>
        <v>16824267259</v>
      </c>
      <c r="T87" s="1735">
        <f>+'2. mell.  '!I30+'3. mell.  '!I31</f>
        <v>16824267259</v>
      </c>
      <c r="U87" s="1735">
        <f>+'2. mell.  '!J30+'3. mell.  '!J31</f>
        <v>14615647259</v>
      </c>
      <c r="V87" s="1735">
        <f>+H87-S87</f>
        <v>0</v>
      </c>
      <c r="X87" s="1735">
        <f>(28089194754-13473547495)</f>
        <v>14615647259</v>
      </c>
      <c r="Y87" s="1735">
        <f>+J87-X87</f>
        <v>0</v>
      </c>
      <c r="AB87" s="1748">
        <v>14437676624</v>
      </c>
      <c r="AC87" s="1734">
        <f t="shared" si="25"/>
        <v>0</v>
      </c>
    </row>
    <row r="88" spans="1:29" ht="20.25" customHeight="1" thickBot="1">
      <c r="A88" s="2843" t="s">
        <v>314</v>
      </c>
      <c r="B88" s="2844" t="s">
        <v>3034</v>
      </c>
      <c r="C88" s="2845">
        <f t="shared" ref="C88:J88" si="31">+C63+C87</f>
        <v>41860259125.190002</v>
      </c>
      <c r="D88" s="2845">
        <f t="shared" si="31"/>
        <v>39036286736</v>
      </c>
      <c r="E88" s="2845">
        <f t="shared" si="31"/>
        <v>35447936916.269684</v>
      </c>
      <c r="F88" s="2845">
        <f t="shared" si="31"/>
        <v>36570136254.269684</v>
      </c>
      <c r="G88" s="2845">
        <f t="shared" si="31"/>
        <v>38065638321.269684</v>
      </c>
      <c r="H88" s="2845">
        <f t="shared" si="31"/>
        <v>44033915752.269684</v>
      </c>
      <c r="I88" s="2845">
        <f t="shared" si="31"/>
        <v>44033915752.269684</v>
      </c>
      <c r="J88" s="2846">
        <f t="shared" si="31"/>
        <v>41825295752</v>
      </c>
      <c r="K88" s="2847">
        <f>+J88/H88</f>
        <v>0.94984275273870367</v>
      </c>
      <c r="L88" s="2845">
        <f t="shared" si="14"/>
        <v>1122199338</v>
      </c>
      <c r="M88" s="2845">
        <f>+G88-F88</f>
        <v>1495502067</v>
      </c>
      <c r="N88" s="2848">
        <f t="shared" si="29"/>
        <v>5968277431</v>
      </c>
      <c r="O88" s="1747">
        <f t="shared" si="29"/>
        <v>0</v>
      </c>
      <c r="P88" s="1735">
        <f t="shared" si="24"/>
        <v>-6412322208.9203186</v>
      </c>
      <c r="Q88" s="1746"/>
      <c r="R88" s="1748">
        <v>35568731192</v>
      </c>
      <c r="S88" s="1735">
        <f>+'2. mell.  '!H31+'3. mell.  '!H32</f>
        <v>44033915752.269684</v>
      </c>
      <c r="T88" s="1735">
        <f>+'2. mell.  '!I31+'3. mell.  '!I32</f>
        <v>44033915752.269684</v>
      </c>
      <c r="U88" s="1735"/>
      <c r="V88" s="1735">
        <f>+H88-S88</f>
        <v>0</v>
      </c>
      <c r="X88" s="1735">
        <f>+X63+X87</f>
        <v>41825295752</v>
      </c>
      <c r="Y88" s="1735">
        <f>+J88-X88</f>
        <v>0</v>
      </c>
      <c r="AB88" s="1748">
        <v>39036286736</v>
      </c>
      <c r="AC88" s="1734">
        <f t="shared" si="25"/>
        <v>0</v>
      </c>
    </row>
    <row r="89" spans="1:29" ht="6.75" hidden="1" customHeight="1">
      <c r="A89" s="2849"/>
      <c r="B89" s="2850"/>
      <c r="C89" s="2851"/>
      <c r="D89" s="2852"/>
      <c r="E89" s="2851"/>
      <c r="F89" s="2853"/>
      <c r="G89" s="2854"/>
      <c r="H89" s="2853"/>
      <c r="I89" s="2853"/>
      <c r="J89" s="2855"/>
      <c r="K89" s="2856" t="e">
        <f>+E89/C89</f>
        <v>#DIV/0!</v>
      </c>
      <c r="L89" s="2853"/>
      <c r="M89" s="2853"/>
      <c r="N89" s="2857"/>
      <c r="P89" s="1735">
        <f>(+E89/1000)-C89</f>
        <v>0</v>
      </c>
      <c r="Q89" s="1749"/>
      <c r="R89" s="1750"/>
      <c r="AB89" s="1750"/>
      <c r="AC89" s="1734">
        <f t="shared" si="25"/>
        <v>0</v>
      </c>
    </row>
    <row r="90" spans="1:29" ht="6.75" hidden="1" customHeight="1">
      <c r="A90" s="2849"/>
      <c r="B90" s="2850"/>
      <c r="C90" s="2850"/>
      <c r="D90" s="2858"/>
      <c r="E90" s="2851"/>
      <c r="F90" s="2853"/>
      <c r="G90" s="2854"/>
      <c r="H90" s="2853"/>
      <c r="I90" s="2853"/>
      <c r="J90" s="2855"/>
      <c r="K90" s="2856" t="e">
        <f>+E90/C90</f>
        <v>#DIV/0!</v>
      </c>
      <c r="L90" s="2853"/>
      <c r="M90" s="2853"/>
      <c r="N90" s="2857"/>
      <c r="P90" s="1735">
        <f>(+E90/1000)-C90</f>
        <v>0</v>
      </c>
      <c r="Q90" s="1749"/>
      <c r="R90" s="1750"/>
      <c r="AB90" s="1750"/>
      <c r="AC90" s="1734">
        <f t="shared" si="25"/>
        <v>0</v>
      </c>
    </row>
    <row r="91" spans="1:29" ht="6.75" hidden="1" customHeight="1" thickBot="1">
      <c r="A91" s="3561"/>
      <c r="B91" s="3562"/>
      <c r="C91" s="3562"/>
      <c r="D91" s="3562"/>
      <c r="E91" s="3562"/>
      <c r="F91" s="3562"/>
      <c r="G91" s="3562"/>
      <c r="H91" s="2853"/>
      <c r="I91" s="2853"/>
      <c r="J91" s="2855"/>
      <c r="K91" s="2856"/>
      <c r="L91" s="2853"/>
      <c r="M91" s="2853"/>
      <c r="N91" s="2857"/>
      <c r="P91" s="1735"/>
      <c r="Q91" s="1735"/>
      <c r="R91" s="1750"/>
      <c r="AB91" s="1750"/>
      <c r="AC91" s="1734">
        <f t="shared" si="25"/>
        <v>0</v>
      </c>
    </row>
    <row r="92" spans="1:29" ht="12.75" customHeight="1" thickBot="1">
      <c r="A92" s="1719"/>
      <c r="B92" s="1720" t="str">
        <f>+B4</f>
        <v>A</v>
      </c>
      <c r="C92" s="1720" t="str">
        <f t="shared" ref="C92:N92" si="32">+C4</f>
        <v>B</v>
      </c>
      <c r="D92" s="1720" t="str">
        <f t="shared" si="32"/>
        <v>B</v>
      </c>
      <c r="E92" s="1720" t="str">
        <f t="shared" si="32"/>
        <v>B</v>
      </c>
      <c r="F92" s="1720" t="str">
        <f t="shared" si="32"/>
        <v>D</v>
      </c>
      <c r="G92" s="1720" t="str">
        <f t="shared" si="32"/>
        <v>E</v>
      </c>
      <c r="H92" s="1720" t="str">
        <f t="shared" si="32"/>
        <v>C</v>
      </c>
      <c r="I92" s="1720" t="str">
        <f t="shared" si="32"/>
        <v>F</v>
      </c>
      <c r="J92" s="1720" t="str">
        <f t="shared" si="32"/>
        <v>D</v>
      </c>
      <c r="K92" s="1720" t="str">
        <f t="shared" si="32"/>
        <v>E</v>
      </c>
      <c r="L92" s="1720">
        <f t="shared" si="32"/>
        <v>0</v>
      </c>
      <c r="M92" s="1720" t="str">
        <f t="shared" si="32"/>
        <v>F</v>
      </c>
      <c r="N92" s="2767" t="str">
        <f t="shared" si="32"/>
        <v>G</v>
      </c>
      <c r="P92" s="1735"/>
      <c r="Q92" s="1723"/>
      <c r="R92" s="1720">
        <v>0</v>
      </c>
      <c r="X92" s="1735">
        <f>+'2. mell.  '!J31+'3. mell.  '!J32</f>
        <v>41825295752</v>
      </c>
      <c r="Y92" s="1735">
        <f>+J88-X92</f>
        <v>0</v>
      </c>
      <c r="AB92" s="1720" t="s">
        <v>2731</v>
      </c>
      <c r="AC92" s="1734"/>
    </row>
    <row r="93" spans="1:29" ht="72.75" customHeight="1" thickBot="1">
      <c r="A93" s="1724" t="s">
        <v>6</v>
      </c>
      <c r="B93" s="1725" t="s">
        <v>316</v>
      </c>
      <c r="C93" s="1726" t="str">
        <f t="shared" ref="C93:M93" si="33">+C5</f>
        <v>2024. évi eredeti előirányzat
forintban</v>
      </c>
      <c r="D93" s="2564" t="str">
        <f t="shared" si="33"/>
        <v>2024. évi teljesítés forintban</v>
      </c>
      <c r="E93" s="1679" t="str">
        <f t="shared" si="33"/>
        <v>2025. évi eredeti előirányzat forintban</v>
      </c>
      <c r="F93" s="1679" t="str">
        <f t="shared" si="33"/>
        <v>2025. évi I. számú módosított előirányzat
forintban</v>
      </c>
      <c r="G93" s="1679" t="str">
        <f t="shared" si="33"/>
        <v>2025. évi II. számú módosított előirányzat forintban</v>
      </c>
      <c r="H93" s="1679" t="str">
        <f t="shared" si="33"/>
        <v>2025. évi III. számú módosított előirányzat forintban</v>
      </c>
      <c r="I93" s="1679" t="str">
        <f t="shared" si="33"/>
        <v>2025. évi IV. számú módosított előirányzat forintban</v>
      </c>
      <c r="J93" s="1679" t="str">
        <f t="shared" si="33"/>
        <v>2025. évi
teljesítés forintban</v>
      </c>
      <c r="K93" s="1679" t="str">
        <f t="shared" si="33"/>
        <v xml:space="preserve"> 2025. évi teljesítés / 2025. évi III. számú módosított előirányzat</v>
      </c>
      <c r="L93" s="1679" t="str">
        <f t="shared" si="33"/>
        <v>Változás I. módosításnál</v>
      </c>
      <c r="M93" s="2565" t="str">
        <f t="shared" si="33"/>
        <v>Előirányzat-módosítások, előirányzat-átcsoportosítások összegszerű változásai</v>
      </c>
      <c r="N93" s="3167" t="str">
        <f>+N5</f>
        <v>Előirányzat-módosítások, előirányzat-átcsoportosítások összegszerű változásai a III. módosításnál</v>
      </c>
      <c r="O93" s="96" t="s">
        <v>175</v>
      </c>
      <c r="P93" s="1735"/>
      <c r="Q93" s="1729"/>
      <c r="R93" s="1727" t="s">
        <v>3690</v>
      </c>
      <c r="AB93" s="1727" t="s">
        <v>3915</v>
      </c>
      <c r="AC93" s="1734"/>
    </row>
    <row r="94" spans="1:29" ht="13.5" hidden="1" thickBot="1">
      <c r="A94" s="2859"/>
      <c r="B94" s="2860"/>
      <c r="C94" s="2860"/>
      <c r="D94" s="2861"/>
      <c r="E94" s="2860"/>
      <c r="F94" s="2860">
        <f t="shared" ref="F94:K94" si="34">+F6</f>
        <v>4</v>
      </c>
      <c r="G94" s="2860">
        <f t="shared" si="34"/>
        <v>5</v>
      </c>
      <c r="H94" s="2785">
        <f t="shared" si="34"/>
        <v>6</v>
      </c>
      <c r="I94" s="2860">
        <f t="shared" si="34"/>
        <v>7</v>
      </c>
      <c r="J94" s="2862">
        <f t="shared" si="34"/>
        <v>0</v>
      </c>
      <c r="K94" s="2863">
        <f t="shared" si="34"/>
        <v>5</v>
      </c>
      <c r="L94" s="2864"/>
      <c r="M94" s="2864"/>
      <c r="N94" s="2865"/>
      <c r="O94" s="2765"/>
      <c r="P94" s="1735"/>
      <c r="Q94" s="1753"/>
      <c r="R94" s="1752">
        <v>0</v>
      </c>
      <c r="AB94" s="1752">
        <v>0</v>
      </c>
      <c r="AC94" s="1734">
        <f t="shared" si="25"/>
        <v>0</v>
      </c>
    </row>
    <row r="95" spans="1:29" ht="13.5" thickBot="1">
      <c r="A95" s="2789" t="s">
        <v>3353</v>
      </c>
      <c r="B95" s="2807" t="s">
        <v>3579</v>
      </c>
      <c r="C95" s="2791">
        <f t="shared" ref="C95:J95" si="35">SUM(C96:C100)</f>
        <v>21939838370.190002</v>
      </c>
      <c r="D95" s="2791">
        <f t="shared" si="35"/>
        <v>23350423435</v>
      </c>
      <c r="E95" s="2791">
        <f t="shared" si="35"/>
        <v>24757906758</v>
      </c>
      <c r="F95" s="2791">
        <f t="shared" si="35"/>
        <v>25515977639</v>
      </c>
      <c r="G95" s="2791">
        <f t="shared" si="35"/>
        <v>25754364777</v>
      </c>
      <c r="H95" s="2792">
        <f t="shared" si="35"/>
        <v>26559927169</v>
      </c>
      <c r="I95" s="2791">
        <f t="shared" si="35"/>
        <v>26559927169</v>
      </c>
      <c r="J95" s="2793">
        <f t="shared" si="35"/>
        <v>24298328624</v>
      </c>
      <c r="K95" s="2794">
        <f t="shared" ref="K95:K100" si="36">+J95/H95</f>
        <v>0.91484921887738935</v>
      </c>
      <c r="L95" s="2791">
        <f t="shared" ref="L95:L151" si="37">+F95-E95</f>
        <v>758070881</v>
      </c>
      <c r="M95" s="2791">
        <f t="shared" ref="M95:M150" si="38">+G95-F95</f>
        <v>238387138</v>
      </c>
      <c r="N95" s="2795">
        <f t="shared" ref="N95:N151" si="39">+H95-G95</f>
        <v>805562392</v>
      </c>
      <c r="O95" s="1733">
        <f t="shared" ref="O95:O151" si="40">+I95-H95</f>
        <v>0</v>
      </c>
      <c r="P95" s="1735">
        <f t="shared" ref="P95:P153" si="41">+E95-C95</f>
        <v>2818068387.8099976</v>
      </c>
      <c r="Q95" s="1732"/>
      <c r="R95" s="1734">
        <v>17489341514</v>
      </c>
      <c r="AB95" s="1734">
        <v>23350423435</v>
      </c>
      <c r="AC95" s="1734">
        <f t="shared" si="25"/>
        <v>0</v>
      </c>
    </row>
    <row r="96" spans="1:29" ht="13.5" thickBot="1">
      <c r="A96" s="2866" t="s">
        <v>176</v>
      </c>
      <c r="B96" s="2867" t="s">
        <v>147</v>
      </c>
      <c r="C96" s="2868">
        <f>+'2. mell.  '!N6</f>
        <v>10485947028</v>
      </c>
      <c r="D96" s="2869">
        <f>+'2. mell.  '!O6</f>
        <v>10501562085</v>
      </c>
      <c r="E96" s="2868">
        <f>+'2. mell.  '!P6</f>
        <v>12285987880</v>
      </c>
      <c r="F96" s="2868">
        <f>+'2. mell.  '!Q6</f>
        <v>12340165771</v>
      </c>
      <c r="G96" s="2868">
        <f>+'2. mell.  '!R6</f>
        <v>12369047063</v>
      </c>
      <c r="H96" s="2868">
        <f>+'2. mell.  '!S6</f>
        <v>12523275716</v>
      </c>
      <c r="I96" s="2868">
        <f>+'2. mell.  '!T6</f>
        <v>12523275716</v>
      </c>
      <c r="J96" s="2870">
        <f>+'2. mell.  '!U6</f>
        <v>11811532593</v>
      </c>
      <c r="K96" s="2871">
        <f t="shared" si="36"/>
        <v>0.94316637762030087</v>
      </c>
      <c r="L96" s="2868">
        <f t="shared" si="37"/>
        <v>54177891</v>
      </c>
      <c r="M96" s="2868">
        <f t="shared" si="38"/>
        <v>28881292</v>
      </c>
      <c r="N96" s="2872">
        <f t="shared" si="39"/>
        <v>154228653</v>
      </c>
      <c r="O96" s="1755">
        <f t="shared" si="40"/>
        <v>0</v>
      </c>
      <c r="P96" s="1735">
        <f t="shared" si="41"/>
        <v>1800040852</v>
      </c>
      <c r="Q96" s="1754"/>
      <c r="R96" s="1756">
        <v>8453523559</v>
      </c>
      <c r="AB96" s="1756">
        <v>10501562085</v>
      </c>
      <c r="AC96" s="1734">
        <f t="shared" si="25"/>
        <v>0</v>
      </c>
    </row>
    <row r="97" spans="1:29" ht="13.5" thickBot="1">
      <c r="A97" s="2803" t="s">
        <v>178</v>
      </c>
      <c r="B97" s="2873" t="s">
        <v>8</v>
      </c>
      <c r="C97" s="2814">
        <f>+'2. mell.  '!N7</f>
        <v>1579443315</v>
      </c>
      <c r="D97" s="2815">
        <f>+'2. mell.  '!O7</f>
        <v>1450756530</v>
      </c>
      <c r="E97" s="2814">
        <f>+'2. mell.  '!P7</f>
        <v>1810991316</v>
      </c>
      <c r="F97" s="2814">
        <f>+'2. mell.  '!Q7</f>
        <v>1823023570</v>
      </c>
      <c r="G97" s="2814">
        <f>+'2. mell.  '!R7</f>
        <v>1827286260</v>
      </c>
      <c r="H97" s="2814">
        <f>+'2. mell.  '!S7</f>
        <v>1814321250</v>
      </c>
      <c r="I97" s="2814">
        <f>+'2. mell.  '!T7</f>
        <v>1814321250</v>
      </c>
      <c r="J97" s="2816">
        <f>+'2. mell.  '!U7</f>
        <v>1626405454</v>
      </c>
      <c r="K97" s="2808">
        <f t="shared" si="36"/>
        <v>0.89642639306572636</v>
      </c>
      <c r="L97" s="2814">
        <f t="shared" si="37"/>
        <v>12032254</v>
      </c>
      <c r="M97" s="2814">
        <f t="shared" si="38"/>
        <v>4262690</v>
      </c>
      <c r="N97" s="2817">
        <f t="shared" si="39"/>
        <v>-12965010</v>
      </c>
      <c r="O97" s="1743">
        <f t="shared" si="40"/>
        <v>0</v>
      </c>
      <c r="P97" s="1735">
        <f t="shared" si="41"/>
        <v>231548001</v>
      </c>
      <c r="Q97" s="1742"/>
      <c r="R97" s="1744">
        <v>1186454798</v>
      </c>
      <c r="AB97" s="1744">
        <v>1450756530</v>
      </c>
      <c r="AC97" s="1734">
        <f t="shared" si="25"/>
        <v>0</v>
      </c>
    </row>
    <row r="98" spans="1:29" ht="13.5" thickBot="1">
      <c r="A98" s="2803" t="s">
        <v>179</v>
      </c>
      <c r="B98" s="2873" t="s">
        <v>317</v>
      </c>
      <c r="C98" s="2828">
        <f>+'2. mell.  '!N8</f>
        <v>6258522849.1900005</v>
      </c>
      <c r="D98" s="2874">
        <f>+'2. mell.  '!O8</f>
        <v>7553150942</v>
      </c>
      <c r="E98" s="2828">
        <f>+'2. mell.  '!P8</f>
        <v>6467211394</v>
      </c>
      <c r="F98" s="2828">
        <f>+'2. mell.  '!Q8</f>
        <v>6839183716</v>
      </c>
      <c r="G98" s="2828">
        <f>+'2. mell.  '!R8</f>
        <v>7052593863</v>
      </c>
      <c r="H98" s="2828">
        <f>+'2. mell.  '!S8</f>
        <v>7632409727</v>
      </c>
      <c r="I98" s="2828">
        <f>+'2. mell.  '!T8</f>
        <v>7632409727</v>
      </c>
      <c r="J98" s="2829">
        <f>+'2. mell.  '!U8</f>
        <v>6393530369</v>
      </c>
      <c r="K98" s="2830">
        <f t="shared" si="36"/>
        <v>0.83768175421487034</v>
      </c>
      <c r="L98" s="2828">
        <f t="shared" si="37"/>
        <v>371972322</v>
      </c>
      <c r="M98" s="2828">
        <f t="shared" si="38"/>
        <v>213410147</v>
      </c>
      <c r="N98" s="2875">
        <f t="shared" si="39"/>
        <v>579815864</v>
      </c>
      <c r="O98" s="1758">
        <f t="shared" si="40"/>
        <v>0</v>
      </c>
      <c r="P98" s="1735">
        <f t="shared" si="41"/>
        <v>208688544.80999947</v>
      </c>
      <c r="Q98" s="1757"/>
      <c r="R98" s="1759">
        <v>4636928243</v>
      </c>
      <c r="AB98" s="1759">
        <v>7553150942</v>
      </c>
      <c r="AC98" s="1734">
        <f t="shared" si="25"/>
        <v>0</v>
      </c>
    </row>
    <row r="99" spans="1:29" ht="13.5" thickBot="1">
      <c r="A99" s="2803" t="s">
        <v>180</v>
      </c>
      <c r="B99" s="2873" t="s">
        <v>318</v>
      </c>
      <c r="C99" s="2828">
        <f>+'2. mell.  '!N9</f>
        <v>166570000</v>
      </c>
      <c r="D99" s="2874">
        <f>+'2. mell.  '!O9</f>
        <v>96255152</v>
      </c>
      <c r="E99" s="2828">
        <f>+'2. mell.  '!P9</f>
        <v>166570000</v>
      </c>
      <c r="F99" s="2828">
        <f>+'2. mell.  '!Q9</f>
        <v>166370000</v>
      </c>
      <c r="G99" s="2828">
        <f>+'2. mell.  '!R9</f>
        <v>166370000</v>
      </c>
      <c r="H99" s="2828">
        <f>+'2. mell.  '!S9</f>
        <v>162174054</v>
      </c>
      <c r="I99" s="2828">
        <f>+'2. mell.  '!T9</f>
        <v>162174054</v>
      </c>
      <c r="J99" s="2829">
        <f>+'2. mell.  '!U9</f>
        <v>91481574</v>
      </c>
      <c r="K99" s="2830">
        <f t="shared" si="36"/>
        <v>0.5640950062209088</v>
      </c>
      <c r="L99" s="2828">
        <f t="shared" si="37"/>
        <v>-200000</v>
      </c>
      <c r="M99" s="2828">
        <f t="shared" si="38"/>
        <v>0</v>
      </c>
      <c r="N99" s="2875">
        <f t="shared" si="39"/>
        <v>-4195946</v>
      </c>
      <c r="O99" s="1758">
        <f t="shared" si="40"/>
        <v>0</v>
      </c>
      <c r="P99" s="1735">
        <f t="shared" si="41"/>
        <v>0</v>
      </c>
      <c r="Q99" s="1757"/>
      <c r="R99" s="1759">
        <v>79349809</v>
      </c>
      <c r="AB99" s="1759">
        <v>96255152</v>
      </c>
      <c r="AC99" s="1734">
        <f t="shared" si="25"/>
        <v>0</v>
      </c>
    </row>
    <row r="100" spans="1:29" ht="13.5" thickBot="1">
      <c r="A100" s="2803" t="s">
        <v>319</v>
      </c>
      <c r="B100" s="2876" t="s">
        <v>151</v>
      </c>
      <c r="C100" s="2828">
        <f>+'2. mell.  '!N10</f>
        <v>3449355178</v>
      </c>
      <c r="D100" s="2874">
        <f>+'2. mell.  '!O10</f>
        <v>3748698726</v>
      </c>
      <c r="E100" s="2828">
        <f>+'2. mell.  '!P10</f>
        <v>4027146168</v>
      </c>
      <c r="F100" s="2828">
        <f>+'2. mell.  '!Q10</f>
        <v>4347234582</v>
      </c>
      <c r="G100" s="2828">
        <f>+'2. mell.  '!R10</f>
        <v>4339067591</v>
      </c>
      <c r="H100" s="2828">
        <f>+'2. mell.  '!S10</f>
        <v>4427746422</v>
      </c>
      <c r="I100" s="2828">
        <f>+'2. mell.  '!T10</f>
        <v>4427746422</v>
      </c>
      <c r="J100" s="2829">
        <f>+'2. mell.  '!U10</f>
        <v>4375378634</v>
      </c>
      <c r="K100" s="2830">
        <f t="shared" si="36"/>
        <v>0.98817281230474219</v>
      </c>
      <c r="L100" s="2828">
        <f t="shared" si="37"/>
        <v>320088414</v>
      </c>
      <c r="M100" s="2828">
        <f t="shared" si="38"/>
        <v>-8166991</v>
      </c>
      <c r="N100" s="2875">
        <f t="shared" si="39"/>
        <v>88678831</v>
      </c>
      <c r="O100" s="1758">
        <f t="shared" si="40"/>
        <v>0</v>
      </c>
      <c r="P100" s="1735">
        <f t="shared" si="41"/>
        <v>577790990</v>
      </c>
      <c r="Q100" s="1757"/>
      <c r="R100" s="1759">
        <v>3133085105</v>
      </c>
      <c r="AB100" s="1759">
        <v>3748698726</v>
      </c>
      <c r="AC100" s="1734">
        <f t="shared" si="25"/>
        <v>0</v>
      </c>
    </row>
    <row r="101" spans="1:29" ht="13.5" thickBot="1">
      <c r="A101" s="2803" t="s">
        <v>183</v>
      </c>
      <c r="B101" s="2873" t="s">
        <v>320</v>
      </c>
      <c r="C101" s="2828">
        <v>0</v>
      </c>
      <c r="D101" s="2874">
        <f>+'5. mell.Önk-i mérleg'!D98</f>
        <v>90752764</v>
      </c>
      <c r="E101" s="2828">
        <v>0</v>
      </c>
      <c r="F101" s="2828">
        <v>0</v>
      </c>
      <c r="G101" s="2828">
        <v>0</v>
      </c>
      <c r="H101" s="2828">
        <f>+'5. mell.Önk-i mérleg'!H98</f>
        <v>1130236</v>
      </c>
      <c r="I101" s="2828">
        <v>0</v>
      </c>
      <c r="J101" s="2829">
        <f>+'5. mell.Önk-i mérleg'!J98</f>
        <v>1130236</v>
      </c>
      <c r="K101" s="2830">
        <f>+J101/H101</f>
        <v>1</v>
      </c>
      <c r="L101" s="2828">
        <f t="shared" si="37"/>
        <v>0</v>
      </c>
      <c r="M101" s="2828">
        <f t="shared" si="38"/>
        <v>0</v>
      </c>
      <c r="N101" s="2875">
        <f t="shared" si="39"/>
        <v>1130236</v>
      </c>
      <c r="O101" s="1758">
        <f t="shared" si="40"/>
        <v>-1130236</v>
      </c>
      <c r="P101" s="1735">
        <f t="shared" si="41"/>
        <v>0</v>
      </c>
      <c r="Q101" s="1757"/>
      <c r="R101" s="1759">
        <v>0</v>
      </c>
      <c r="AB101" s="2677">
        <v>90752764</v>
      </c>
      <c r="AC101" s="1734">
        <f t="shared" si="25"/>
        <v>0</v>
      </c>
    </row>
    <row r="102" spans="1:29" ht="13.5" thickBot="1">
      <c r="A102" s="2803" t="s">
        <v>321</v>
      </c>
      <c r="B102" s="2877" t="s">
        <v>322</v>
      </c>
      <c r="C102" s="2828">
        <v>0</v>
      </c>
      <c r="D102" s="2874">
        <f>+'5. mell.Önk-i mérleg'!D99</f>
        <v>2451047893</v>
      </c>
      <c r="E102" s="2828">
        <v>0</v>
      </c>
      <c r="F102" s="2828">
        <v>0</v>
      </c>
      <c r="G102" s="2828">
        <v>0</v>
      </c>
      <c r="H102" s="2828">
        <f>+'5. mell.Önk-i mérleg'!H99</f>
        <v>3102477770</v>
      </c>
      <c r="I102" s="2828">
        <v>0</v>
      </c>
      <c r="J102" s="2829">
        <f>+'5. mell.Önk-i mérleg'!J99</f>
        <v>3102477770</v>
      </c>
      <c r="K102" s="2830">
        <f>+J102/H102</f>
        <v>1</v>
      </c>
      <c r="L102" s="2828">
        <f t="shared" si="37"/>
        <v>0</v>
      </c>
      <c r="M102" s="2828">
        <f t="shared" si="38"/>
        <v>0</v>
      </c>
      <c r="N102" s="2875">
        <f t="shared" si="39"/>
        <v>3102477770</v>
      </c>
      <c r="O102" s="1758">
        <f t="shared" si="40"/>
        <v>-3102477770</v>
      </c>
      <c r="P102" s="1735">
        <f t="shared" si="41"/>
        <v>0</v>
      </c>
      <c r="Q102" s="1757"/>
      <c r="R102" s="1759">
        <v>0</v>
      </c>
      <c r="AB102" s="2677">
        <v>2451047893</v>
      </c>
      <c r="AC102" s="1734">
        <f t="shared" si="25"/>
        <v>0</v>
      </c>
    </row>
    <row r="103" spans="1:29" ht="13.5" thickBot="1">
      <c r="A103" s="2803" t="s">
        <v>323</v>
      </c>
      <c r="B103" s="2877" t="s">
        <v>324</v>
      </c>
      <c r="C103" s="2828">
        <f>+'5. mell.Önk-i mérleg'!C100</f>
        <v>2473598849</v>
      </c>
      <c r="D103" s="2874">
        <f>+'5. mell.Önk-i mérleg'!D100</f>
        <v>153019853</v>
      </c>
      <c r="E103" s="2828">
        <f>+'5. mell.Önk-i mérleg'!E100</f>
        <v>3018447566</v>
      </c>
      <c r="F103" s="2828">
        <f>+'5. mell.Önk-i mérleg'!F100</f>
        <v>3018910144</v>
      </c>
      <c r="G103" s="2828">
        <f>+'5. mell.Önk-i mérleg'!G100</f>
        <v>3018910144</v>
      </c>
      <c r="H103" s="2828">
        <f>+'5. mell.Önk-i mérleg'!H100</f>
        <v>0</v>
      </c>
      <c r="I103" s="2828">
        <f>+'5. mell.Önk-i mérleg'!I100</f>
        <v>3103608006</v>
      </c>
      <c r="J103" s="2829">
        <f>+'5. mell.Önk-i mérleg'!J100</f>
        <v>0</v>
      </c>
      <c r="K103" s="2830"/>
      <c r="L103" s="2828">
        <f t="shared" si="37"/>
        <v>462578</v>
      </c>
      <c r="M103" s="2828">
        <f t="shared" si="38"/>
        <v>0</v>
      </c>
      <c r="N103" s="2875">
        <f t="shared" si="39"/>
        <v>-3018910144</v>
      </c>
      <c r="O103" s="1758">
        <f t="shared" si="40"/>
        <v>3103608006</v>
      </c>
      <c r="P103" s="1735">
        <f t="shared" si="41"/>
        <v>544848717</v>
      </c>
      <c r="Q103" s="1757"/>
      <c r="R103" s="1759">
        <v>2297246097</v>
      </c>
      <c r="AB103" s="1759">
        <v>153019853</v>
      </c>
      <c r="AC103" s="1734">
        <f t="shared" si="25"/>
        <v>0</v>
      </c>
    </row>
    <row r="104" spans="1:29" ht="13.5" thickBot="1">
      <c r="A104" s="2803" t="s">
        <v>325</v>
      </c>
      <c r="B104" s="2877" t="s">
        <v>326</v>
      </c>
      <c r="C104" s="2828">
        <f>+'5. mell.Önk-i mérleg'!C101</f>
        <v>0</v>
      </c>
      <c r="D104" s="2874">
        <f>+'5. mell.Önk-i mérleg'!D101</f>
        <v>0</v>
      </c>
      <c r="E104" s="2828">
        <f>+'5. mell.Önk-i mérleg'!E101</f>
        <v>0</v>
      </c>
      <c r="F104" s="2828">
        <f>+'5. mell.Önk-i mérleg'!F101</f>
        <v>0</v>
      </c>
      <c r="G104" s="2828">
        <f>+'5. mell.Önk-i mérleg'!G101</f>
        <v>0</v>
      </c>
      <c r="H104" s="2828">
        <f>+'5. mell.Önk-i mérleg'!H101</f>
        <v>0</v>
      </c>
      <c r="I104" s="2828">
        <f>+'5. mell.Önk-i mérleg'!I101</f>
        <v>0</v>
      </c>
      <c r="J104" s="2829">
        <f>+'5. mell.Önk-i mérleg'!J101</f>
        <v>0</v>
      </c>
      <c r="K104" s="2830"/>
      <c r="L104" s="2828">
        <f t="shared" si="37"/>
        <v>0</v>
      </c>
      <c r="M104" s="2828">
        <f t="shared" si="38"/>
        <v>0</v>
      </c>
      <c r="N104" s="2875">
        <f t="shared" si="39"/>
        <v>0</v>
      </c>
      <c r="O104" s="1758">
        <f t="shared" si="40"/>
        <v>0</v>
      </c>
      <c r="P104" s="1735">
        <f t="shared" si="41"/>
        <v>0</v>
      </c>
      <c r="Q104" s="1757"/>
      <c r="R104" s="1759">
        <v>0</v>
      </c>
      <c r="AB104" s="1759">
        <v>0</v>
      </c>
      <c r="AC104" s="1734">
        <f t="shared" si="25"/>
        <v>0</v>
      </c>
    </row>
    <row r="105" spans="1:29" ht="13.5" thickBot="1">
      <c r="A105" s="2803" t="s">
        <v>327</v>
      </c>
      <c r="B105" s="2873" t="s">
        <v>328</v>
      </c>
      <c r="C105" s="2828">
        <f>+'5. mell.Önk-i mérleg'!C102</f>
        <v>0</v>
      </c>
      <c r="D105" s="2874">
        <f>+'5. mell.Önk-i mérleg'!D102</f>
        <v>0</v>
      </c>
      <c r="E105" s="2828">
        <f>+'5. mell.Önk-i mérleg'!E102</f>
        <v>0</v>
      </c>
      <c r="F105" s="2828">
        <f>+'5. mell.Önk-i mérleg'!F102</f>
        <v>0</v>
      </c>
      <c r="G105" s="2828">
        <f>+'5. mell.Önk-i mérleg'!G102</f>
        <v>0</v>
      </c>
      <c r="H105" s="2828">
        <f>+'5. mell.Önk-i mérleg'!H102</f>
        <v>0</v>
      </c>
      <c r="I105" s="2828">
        <f>+'5. mell.Önk-i mérleg'!I102</f>
        <v>0</v>
      </c>
      <c r="J105" s="2829">
        <f>+'5. mell.Önk-i mérleg'!J102</f>
        <v>0</v>
      </c>
      <c r="K105" s="2830"/>
      <c r="L105" s="2828">
        <f t="shared" si="37"/>
        <v>0</v>
      </c>
      <c r="M105" s="2828">
        <f t="shared" si="38"/>
        <v>0</v>
      </c>
      <c r="N105" s="2875">
        <f t="shared" si="39"/>
        <v>0</v>
      </c>
      <c r="O105" s="1758">
        <f t="shared" si="40"/>
        <v>0</v>
      </c>
      <c r="P105" s="1735">
        <f t="shared" si="41"/>
        <v>0</v>
      </c>
      <c r="Q105" s="1757"/>
      <c r="R105" s="1759">
        <v>0</v>
      </c>
      <c r="AB105" s="1759">
        <v>0</v>
      </c>
      <c r="AC105" s="1734">
        <f t="shared" si="25"/>
        <v>0</v>
      </c>
    </row>
    <row r="106" spans="1:29" ht="13.5" thickBot="1">
      <c r="A106" s="2803" t="s">
        <v>329</v>
      </c>
      <c r="B106" s="2873" t="s">
        <v>330</v>
      </c>
      <c r="C106" s="2828">
        <f>+'5. mell.Önk-i mérleg'!C103</f>
        <v>0</v>
      </c>
      <c r="D106" s="2874">
        <f>+'5. mell.Önk-i mérleg'!D103</f>
        <v>0</v>
      </c>
      <c r="E106" s="2828">
        <f>+'5. mell.Önk-i mérleg'!E103</f>
        <v>0</v>
      </c>
      <c r="F106" s="2828">
        <f>+'5. mell.Önk-i mérleg'!F103</f>
        <v>0</v>
      </c>
      <c r="G106" s="2828">
        <f>+'5. mell.Önk-i mérleg'!G103</f>
        <v>0</v>
      </c>
      <c r="H106" s="2828">
        <f>+'5. mell.Önk-i mérleg'!H103</f>
        <v>0</v>
      </c>
      <c r="I106" s="2828">
        <f>+'5. mell.Önk-i mérleg'!I103</f>
        <v>0</v>
      </c>
      <c r="J106" s="2829">
        <f>+'5. mell.Önk-i mérleg'!J103</f>
        <v>0</v>
      </c>
      <c r="K106" s="2830"/>
      <c r="L106" s="2828">
        <f t="shared" si="37"/>
        <v>0</v>
      </c>
      <c r="M106" s="2828">
        <f t="shared" si="38"/>
        <v>0</v>
      </c>
      <c r="N106" s="2875">
        <f t="shared" si="39"/>
        <v>0</v>
      </c>
      <c r="O106" s="1758">
        <f t="shared" si="40"/>
        <v>0</v>
      </c>
      <c r="P106" s="1735">
        <f t="shared" si="41"/>
        <v>0</v>
      </c>
      <c r="Q106" s="1757"/>
      <c r="R106" s="1759">
        <v>0</v>
      </c>
      <c r="AB106" s="1759">
        <v>0</v>
      </c>
      <c r="AC106" s="1734">
        <f t="shared" si="25"/>
        <v>0</v>
      </c>
    </row>
    <row r="107" spans="1:29" ht="13.5" thickBot="1">
      <c r="A107" s="2803" t="s">
        <v>331</v>
      </c>
      <c r="B107" s="2877" t="s">
        <v>332</v>
      </c>
      <c r="C107" s="2828">
        <f>+'5. mell.Önk-i mérleg'!C104-'5. mell.Önk-i mérleg'!C105</f>
        <v>55923285</v>
      </c>
      <c r="D107" s="2874">
        <f>+'5. mell.Önk-i mérleg'!D104+'8. mell. Intézmények összesen'!E46</f>
        <v>247320216</v>
      </c>
      <c r="E107" s="2828">
        <f>+'5. mell.Önk-i mérleg'!E104+'8. mell. Intézmények összesen'!F46</f>
        <v>54607539</v>
      </c>
      <c r="F107" s="2828">
        <f>+'5. mell.Önk-i mérleg'!F104+'8. mell. Intézmények összesen'!G46</f>
        <v>404589652</v>
      </c>
      <c r="G107" s="2828">
        <f>+'5. mell.Önk-i mérleg'!G104+'8. mell. Intézmények összesen'!H46</f>
        <v>400914252</v>
      </c>
      <c r="H107" s="2828">
        <f>+'5. mell.Önk-i mérleg'!H104+'8. mell. Intézmények összesen'!I46</f>
        <v>397202052</v>
      </c>
      <c r="I107" s="2828">
        <f>+'5. mell.Önk-i mérleg'!I104+'8. mell. Intézmények összesen'!J46</f>
        <v>397202052</v>
      </c>
      <c r="J107" s="2829">
        <f>+'5. mell.Önk-i mérleg'!J104+'8. mell. Intézmények összesen'!K46</f>
        <v>392495569</v>
      </c>
      <c r="K107" s="2830">
        <f>+J107/H107</f>
        <v>0.98815090965340735</v>
      </c>
      <c r="L107" s="2828">
        <f t="shared" si="37"/>
        <v>349982113</v>
      </c>
      <c r="M107" s="2828">
        <f t="shared" si="38"/>
        <v>-3675400</v>
      </c>
      <c r="N107" s="2875">
        <f t="shared" si="39"/>
        <v>-3712200</v>
      </c>
      <c r="O107" s="1758">
        <f t="shared" si="40"/>
        <v>0</v>
      </c>
      <c r="P107" s="1735">
        <f t="shared" si="41"/>
        <v>-1315746</v>
      </c>
      <c r="Q107" s="1757"/>
      <c r="R107" s="1759">
        <v>241136721</v>
      </c>
      <c r="AB107" s="1759">
        <v>247320216</v>
      </c>
      <c r="AC107" s="1734">
        <f t="shared" si="25"/>
        <v>0</v>
      </c>
    </row>
    <row r="108" spans="1:29" ht="13.5" thickBot="1">
      <c r="A108" s="2878" t="s">
        <v>333</v>
      </c>
      <c r="B108" s="2877" t="s">
        <v>334</v>
      </c>
      <c r="C108" s="2828">
        <f>+'5. mell.Önk-i mérleg'!C106</f>
        <v>0</v>
      </c>
      <c r="D108" s="2874">
        <f>+'5. mell.Önk-i mérleg'!D106</f>
        <v>0</v>
      </c>
      <c r="E108" s="2828">
        <f>+'5. mell.Önk-i mérleg'!E106</f>
        <v>0</v>
      </c>
      <c r="F108" s="2828">
        <f>+'5. mell.Önk-i mérleg'!F106</f>
        <v>0</v>
      </c>
      <c r="G108" s="2828">
        <f>+'5. mell.Önk-i mérleg'!G106</f>
        <v>0</v>
      </c>
      <c r="H108" s="2828">
        <f>+'5. mell.Önk-i mérleg'!H106</f>
        <v>0</v>
      </c>
      <c r="I108" s="2828">
        <f>+'5. mell.Önk-i mérleg'!I106</f>
        <v>0</v>
      </c>
      <c r="J108" s="2829">
        <f>+'5. mell.Önk-i mérleg'!J106</f>
        <v>0</v>
      </c>
      <c r="K108" s="2830"/>
      <c r="L108" s="2828">
        <f t="shared" si="37"/>
        <v>0</v>
      </c>
      <c r="M108" s="2828">
        <f t="shared" si="38"/>
        <v>0</v>
      </c>
      <c r="N108" s="2875">
        <f t="shared" si="39"/>
        <v>0</v>
      </c>
      <c r="O108" s="1758">
        <f t="shared" si="40"/>
        <v>0</v>
      </c>
      <c r="P108" s="1735">
        <f t="shared" si="41"/>
        <v>0</v>
      </c>
      <c r="Q108" s="1757"/>
      <c r="R108" s="1759">
        <v>0</v>
      </c>
      <c r="AB108" s="1759">
        <v>0</v>
      </c>
      <c r="AC108" s="1734">
        <f t="shared" si="25"/>
        <v>0</v>
      </c>
    </row>
    <row r="109" spans="1:29" ht="13.5" thickBot="1">
      <c r="A109" s="2803" t="s">
        <v>335</v>
      </c>
      <c r="B109" s="2873" t="s">
        <v>336</v>
      </c>
      <c r="C109" s="2828">
        <f>+'5. mell.Önk-i mérleg'!C107</f>
        <v>16500000</v>
      </c>
      <c r="D109" s="2874">
        <f>+'5. mell.Önk-i mérleg'!D107</f>
        <v>16700000</v>
      </c>
      <c r="E109" s="2828">
        <f>+'5. mell.Önk-i mérleg'!E107</f>
        <v>16000000</v>
      </c>
      <c r="F109" s="2828">
        <f>+'5. mell.Önk-i mérleg'!F107</f>
        <v>16000000</v>
      </c>
      <c r="G109" s="2828">
        <f>+'5. mell.Önk-i mérleg'!G107</f>
        <v>16000000</v>
      </c>
      <c r="H109" s="2828">
        <f>+'5. mell.Önk-i mérleg'!H107</f>
        <v>16000000</v>
      </c>
      <c r="I109" s="2828">
        <f>+'5. mell.Önk-i mérleg'!I107</f>
        <v>16000000</v>
      </c>
      <c r="J109" s="2829">
        <f>+'5. mell.Önk-i mérleg'!J107</f>
        <v>15000000</v>
      </c>
      <c r="K109" s="2830">
        <f>+J109/H109</f>
        <v>0.9375</v>
      </c>
      <c r="L109" s="2828">
        <f t="shared" si="37"/>
        <v>0</v>
      </c>
      <c r="M109" s="2828">
        <f t="shared" si="38"/>
        <v>0</v>
      </c>
      <c r="N109" s="2875">
        <f t="shared" si="39"/>
        <v>0</v>
      </c>
      <c r="O109" s="1758">
        <f t="shared" si="40"/>
        <v>0</v>
      </c>
      <c r="P109" s="1735">
        <f t="shared" si="41"/>
        <v>-500000</v>
      </c>
      <c r="Q109" s="1757"/>
      <c r="R109" s="1759">
        <v>16500000</v>
      </c>
      <c r="AB109" s="1759">
        <v>16700000</v>
      </c>
      <c r="AC109" s="1734">
        <f t="shared" si="25"/>
        <v>0</v>
      </c>
    </row>
    <row r="110" spans="1:29" ht="13.5" thickBot="1">
      <c r="A110" s="2803" t="s">
        <v>337</v>
      </c>
      <c r="B110" s="2879" t="s">
        <v>338</v>
      </c>
      <c r="C110" s="2828">
        <f>+'5. mell.Önk-i mérleg'!C108</f>
        <v>0</v>
      </c>
      <c r="D110" s="2874">
        <f>+'5. mell.Önk-i mérleg'!D108</f>
        <v>0</v>
      </c>
      <c r="E110" s="2828">
        <f>+'5. mell.Önk-i mérleg'!E108</f>
        <v>0</v>
      </c>
      <c r="F110" s="2828">
        <f>+'5. mell.Önk-i mérleg'!F108</f>
        <v>0</v>
      </c>
      <c r="G110" s="2828">
        <f>+'5. mell.Önk-i mérleg'!G108</f>
        <v>0</v>
      </c>
      <c r="H110" s="2828">
        <f>+'5. mell.Önk-i mérleg'!H108</f>
        <v>0</v>
      </c>
      <c r="I110" s="2828">
        <f>+'5. mell.Önk-i mérleg'!I108</f>
        <v>0</v>
      </c>
      <c r="J110" s="2829">
        <f>+'5. mell.Önk-i mérleg'!J108</f>
        <v>0</v>
      </c>
      <c r="K110" s="2830"/>
      <c r="L110" s="2828">
        <f t="shared" si="37"/>
        <v>0</v>
      </c>
      <c r="M110" s="2828">
        <f t="shared" si="38"/>
        <v>0</v>
      </c>
      <c r="N110" s="2875">
        <f t="shared" si="39"/>
        <v>0</v>
      </c>
      <c r="O110" s="1758">
        <f t="shared" si="40"/>
        <v>0</v>
      </c>
      <c r="P110" s="1735">
        <f t="shared" si="41"/>
        <v>0</v>
      </c>
      <c r="Q110" s="1757"/>
      <c r="R110" s="1759">
        <v>0</v>
      </c>
      <c r="AB110" s="1759">
        <v>0</v>
      </c>
      <c r="AC110" s="1734">
        <f t="shared" si="25"/>
        <v>0</v>
      </c>
    </row>
    <row r="111" spans="1:29" ht="13.5" thickBot="1">
      <c r="A111" s="2803" t="s">
        <v>339</v>
      </c>
      <c r="B111" s="2879" t="s">
        <v>340</v>
      </c>
      <c r="C111" s="2828">
        <f>+'5. mell.Önk-i mérleg'!C109</f>
        <v>0</v>
      </c>
      <c r="D111" s="2874">
        <f>+'5. mell.Önk-i mérleg'!D109</f>
        <v>0</v>
      </c>
      <c r="E111" s="2828">
        <f>+'5. mell.Önk-i mérleg'!E109</f>
        <v>0</v>
      </c>
      <c r="F111" s="2828">
        <f>+'5. mell.Önk-i mérleg'!F109</f>
        <v>0</v>
      </c>
      <c r="G111" s="2828">
        <f>+'5. mell.Önk-i mérleg'!G109</f>
        <v>0</v>
      </c>
      <c r="H111" s="2828">
        <f>+'5. mell.Önk-i mérleg'!H109</f>
        <v>0</v>
      </c>
      <c r="I111" s="2828">
        <f>+'5. mell.Önk-i mérleg'!I109</f>
        <v>0</v>
      </c>
      <c r="J111" s="2829">
        <f>+'5. mell.Önk-i mérleg'!J109</f>
        <v>0</v>
      </c>
      <c r="K111" s="2830"/>
      <c r="L111" s="2828">
        <f t="shared" si="37"/>
        <v>0</v>
      </c>
      <c r="M111" s="2828">
        <f t="shared" si="38"/>
        <v>0</v>
      </c>
      <c r="N111" s="2875">
        <f t="shared" si="39"/>
        <v>0</v>
      </c>
      <c r="O111" s="1758">
        <f t="shared" si="40"/>
        <v>0</v>
      </c>
      <c r="P111" s="1735">
        <f t="shared" si="41"/>
        <v>0</v>
      </c>
      <c r="Q111" s="1757"/>
      <c r="R111" s="1759">
        <v>0</v>
      </c>
      <c r="AB111" s="1759">
        <v>0</v>
      </c>
      <c r="AC111" s="1734">
        <f t="shared" si="25"/>
        <v>0</v>
      </c>
    </row>
    <row r="112" spans="1:29" ht="13.5" thickBot="1">
      <c r="A112" s="2880" t="s">
        <v>341</v>
      </c>
      <c r="B112" s="2881" t="s">
        <v>342</v>
      </c>
      <c r="C112" s="2828">
        <f>+'5. mell.Önk-i mérleg'!C110</f>
        <v>903333044</v>
      </c>
      <c r="D112" s="2874">
        <f>+'5. mell.Önk-i mérleg'!D110</f>
        <v>789858000</v>
      </c>
      <c r="E112" s="2828">
        <f>+'5. mell.Önk-i mérleg'!E110</f>
        <v>938091063</v>
      </c>
      <c r="F112" s="2828">
        <f>+'5. mell.Önk-i mérleg'!F110</f>
        <v>907734786</v>
      </c>
      <c r="G112" s="2828">
        <f>+'5. mell.Önk-i mérleg'!G110</f>
        <v>903243195</v>
      </c>
      <c r="H112" s="2828">
        <f>+'5. mell.Önk-i mérleg'!H110</f>
        <v>910936364</v>
      </c>
      <c r="I112" s="2828">
        <f>+'5. mell.Önk-i mérleg'!I110</f>
        <v>910936364</v>
      </c>
      <c r="J112" s="2829">
        <f>+'5. mell.Önk-i mérleg'!J110</f>
        <v>864275059</v>
      </c>
      <c r="K112" s="2830">
        <f>+J112/H112</f>
        <v>0.94877654812779</v>
      </c>
      <c r="L112" s="2828">
        <f t="shared" si="37"/>
        <v>-30356277</v>
      </c>
      <c r="M112" s="2828">
        <f t="shared" si="38"/>
        <v>-4491591</v>
      </c>
      <c r="N112" s="2875">
        <f t="shared" si="39"/>
        <v>7693169</v>
      </c>
      <c r="O112" s="1758">
        <f t="shared" si="40"/>
        <v>0</v>
      </c>
      <c r="P112" s="1735">
        <f t="shared" si="41"/>
        <v>34758019</v>
      </c>
      <c r="Q112" s="1757"/>
      <c r="R112" s="1759">
        <v>578202287</v>
      </c>
      <c r="AB112" s="1759">
        <v>789858000</v>
      </c>
      <c r="AC112" s="1734">
        <f t="shared" si="25"/>
        <v>0</v>
      </c>
    </row>
    <row r="113" spans="1:29" ht="13.5" thickBot="1">
      <c r="A113" s="2789" t="s">
        <v>12</v>
      </c>
      <c r="B113" s="2807" t="s">
        <v>3580</v>
      </c>
      <c r="C113" s="2791">
        <f t="shared" ref="C113:J113" si="42">+C114+C116+C118</f>
        <v>10051789968.93</v>
      </c>
      <c r="D113" s="2791">
        <f t="shared" si="42"/>
        <v>5877630158</v>
      </c>
      <c r="E113" s="2791">
        <f t="shared" si="42"/>
        <v>3665997046</v>
      </c>
      <c r="F113" s="2791">
        <f t="shared" si="42"/>
        <v>3715443401</v>
      </c>
      <c r="G113" s="2791">
        <f t="shared" si="42"/>
        <v>3849241606</v>
      </c>
      <c r="H113" s="2791">
        <f t="shared" si="42"/>
        <v>3535367440</v>
      </c>
      <c r="I113" s="2791">
        <f t="shared" si="42"/>
        <v>3535367440</v>
      </c>
      <c r="J113" s="2793">
        <f t="shared" si="42"/>
        <v>2200043640</v>
      </c>
      <c r="K113" s="2794">
        <f>+J113/H113</f>
        <v>0.62229561066501193</v>
      </c>
      <c r="L113" s="2791">
        <f t="shared" si="37"/>
        <v>49446355</v>
      </c>
      <c r="M113" s="2791">
        <f t="shared" si="38"/>
        <v>133798205</v>
      </c>
      <c r="N113" s="2795">
        <f t="shared" si="39"/>
        <v>-313874166</v>
      </c>
      <c r="O113" s="1733">
        <f t="shared" si="40"/>
        <v>0</v>
      </c>
      <c r="P113" s="1735">
        <f t="shared" si="41"/>
        <v>-6385792922.9300003</v>
      </c>
      <c r="Q113" s="1732"/>
      <c r="R113" s="1734">
        <v>6060995909</v>
      </c>
      <c r="AB113" s="1734">
        <v>5877630158</v>
      </c>
      <c r="AC113" s="1734">
        <f t="shared" si="25"/>
        <v>0</v>
      </c>
    </row>
    <row r="114" spans="1:29" ht="13.5" thickBot="1">
      <c r="A114" s="2796" t="s">
        <v>185</v>
      </c>
      <c r="B114" s="2873" t="s">
        <v>82</v>
      </c>
      <c r="C114" s="2798">
        <f>+'3. mell.  '!N6</f>
        <v>9182373384.9300003</v>
      </c>
      <c r="D114" s="2799">
        <f>+'3. mell.  '!O6</f>
        <v>5465388970</v>
      </c>
      <c r="E114" s="2798">
        <f>+'3. mell.  '!P6</f>
        <v>2638893541</v>
      </c>
      <c r="F114" s="2798">
        <f>+'3. mell.  '!Q6</f>
        <v>2670248569</v>
      </c>
      <c r="G114" s="2798">
        <f>+'3. mell.  '!R6</f>
        <v>2710087404</v>
      </c>
      <c r="H114" s="2798">
        <f>+'3. mell.  '!S6</f>
        <v>2351969528</v>
      </c>
      <c r="I114" s="2798">
        <f>+'3. mell.  '!T6</f>
        <v>2351969528</v>
      </c>
      <c r="J114" s="2800">
        <f>+'3. mell.  '!U6</f>
        <v>1547676817</v>
      </c>
      <c r="K114" s="2801">
        <f>+J114/H114</f>
        <v>0.65803438291824667</v>
      </c>
      <c r="L114" s="2798">
        <f t="shared" si="37"/>
        <v>31355028</v>
      </c>
      <c r="M114" s="2798">
        <f t="shared" si="38"/>
        <v>39838835</v>
      </c>
      <c r="N114" s="2802">
        <f t="shared" si="39"/>
        <v>-358117876</v>
      </c>
      <c r="O114" s="1737">
        <f t="shared" si="40"/>
        <v>0</v>
      </c>
      <c r="P114" s="1735">
        <f t="shared" si="41"/>
        <v>-6543479843.9300003</v>
      </c>
      <c r="Q114" s="1736"/>
      <c r="R114" s="1738">
        <v>5700267443</v>
      </c>
      <c r="AB114" s="1738">
        <v>5465388970</v>
      </c>
      <c r="AC114" s="1734">
        <f t="shared" si="25"/>
        <v>0</v>
      </c>
    </row>
    <row r="115" spans="1:29" ht="13.5" thickBot="1">
      <c r="A115" s="2796" t="s">
        <v>187</v>
      </c>
      <c r="B115" s="2879" t="s">
        <v>343</v>
      </c>
      <c r="C115" s="2798">
        <f>+'3. mell.  '!N7</f>
        <v>943326106</v>
      </c>
      <c r="D115" s="2799">
        <f>+'3. mell.  '!O7</f>
        <v>736513003</v>
      </c>
      <c r="E115" s="2798">
        <f>+'3. mell.  '!P7</f>
        <v>47248350</v>
      </c>
      <c r="F115" s="2798">
        <f>+'3. mell.  '!Q7</f>
        <v>47248350</v>
      </c>
      <c r="G115" s="2798">
        <f>+'3. mell.  '!R7</f>
        <v>47248350</v>
      </c>
      <c r="H115" s="2798">
        <f>+'3. mell.  '!S7</f>
        <v>170660113</v>
      </c>
      <c r="I115" s="2798">
        <f>+'3. mell.  '!T7</f>
        <v>170660113</v>
      </c>
      <c r="J115" s="2800">
        <f>+'3. mell.  '!U7</f>
        <v>47187745</v>
      </c>
      <c r="K115" s="2801">
        <f>+J115/H115</f>
        <v>0.27650131111773024</v>
      </c>
      <c r="L115" s="2798">
        <f t="shared" si="37"/>
        <v>0</v>
      </c>
      <c r="M115" s="2798">
        <f t="shared" si="38"/>
        <v>0</v>
      </c>
      <c r="N115" s="2802">
        <f t="shared" si="39"/>
        <v>123411763</v>
      </c>
      <c r="O115" s="1737">
        <f t="shared" si="40"/>
        <v>0</v>
      </c>
      <c r="P115" s="1735">
        <f t="shared" si="41"/>
        <v>-896077756</v>
      </c>
      <c r="Q115" s="1736"/>
      <c r="R115" s="1738">
        <v>0</v>
      </c>
      <c r="AB115" s="1738">
        <v>736513003</v>
      </c>
      <c r="AC115" s="1734">
        <f t="shared" si="25"/>
        <v>0</v>
      </c>
    </row>
    <row r="116" spans="1:29" ht="13.5" thickBot="1">
      <c r="A116" s="2796" t="s">
        <v>189</v>
      </c>
      <c r="B116" s="2879" t="s">
        <v>344</v>
      </c>
      <c r="C116" s="2798">
        <f>+'3. mell.  '!N8</f>
        <v>744660466</v>
      </c>
      <c r="D116" s="2799">
        <f>+'3. mell.  '!O8</f>
        <v>311370321</v>
      </c>
      <c r="E116" s="2798">
        <f>+'3. mell.  '!P8</f>
        <v>772037459</v>
      </c>
      <c r="F116" s="2798">
        <f>+'3. mell.  '!Q8</f>
        <v>793668452</v>
      </c>
      <c r="G116" s="2798">
        <f>+'3. mell.  '!R8</f>
        <v>881439624</v>
      </c>
      <c r="H116" s="2798">
        <f>+'3. mell.  '!S8</f>
        <v>875505339</v>
      </c>
      <c r="I116" s="2798">
        <f>+'3. mell.  '!T8</f>
        <v>875505339</v>
      </c>
      <c r="J116" s="2800">
        <f>+'3. mell.  '!U8</f>
        <v>397986635</v>
      </c>
      <c r="K116" s="2801">
        <f>+J116/H116</f>
        <v>0.4545793352380687</v>
      </c>
      <c r="L116" s="2798">
        <f t="shared" si="37"/>
        <v>21630993</v>
      </c>
      <c r="M116" s="2798">
        <f t="shared" si="38"/>
        <v>87771172</v>
      </c>
      <c r="N116" s="2802">
        <f t="shared" si="39"/>
        <v>-5934285</v>
      </c>
      <c r="O116" s="1737">
        <f t="shared" si="40"/>
        <v>0</v>
      </c>
      <c r="P116" s="1735">
        <f t="shared" si="41"/>
        <v>27376993</v>
      </c>
      <c r="Q116" s="1736"/>
      <c r="R116" s="1738">
        <v>267356280</v>
      </c>
      <c r="AB116" s="1738">
        <v>311370321</v>
      </c>
      <c r="AC116" s="1734">
        <f t="shared" si="25"/>
        <v>0</v>
      </c>
    </row>
    <row r="117" spans="1:29" ht="13.5" thickBot="1">
      <c r="A117" s="2796" t="s">
        <v>191</v>
      </c>
      <c r="B117" s="2879" t="s">
        <v>345</v>
      </c>
      <c r="C117" s="2798">
        <f>+'3. mell.  '!N9</f>
        <v>0</v>
      </c>
      <c r="D117" s="2799">
        <f>+'3. mell.  '!O9</f>
        <v>0</v>
      </c>
      <c r="E117" s="2798">
        <f>+'3. mell.  '!P9</f>
        <v>0</v>
      </c>
      <c r="F117" s="2798">
        <f>+'3. mell.  '!Q9</f>
        <v>0</v>
      </c>
      <c r="G117" s="2798">
        <f>+'3. mell.  '!R9</f>
        <v>0</v>
      </c>
      <c r="H117" s="2798">
        <f>+'3. mell.  '!S9</f>
        <v>0</v>
      </c>
      <c r="I117" s="2798">
        <f>+'3. mell.  '!T9</f>
        <v>0</v>
      </c>
      <c r="J117" s="2800">
        <f>+'3. mell.  '!U9</f>
        <v>0</v>
      </c>
      <c r="K117" s="2801"/>
      <c r="L117" s="2798">
        <f t="shared" si="37"/>
        <v>0</v>
      </c>
      <c r="M117" s="2798">
        <f t="shared" si="38"/>
        <v>0</v>
      </c>
      <c r="N117" s="2802">
        <f t="shared" si="39"/>
        <v>0</v>
      </c>
      <c r="O117" s="1737">
        <f t="shared" si="40"/>
        <v>0</v>
      </c>
      <c r="P117" s="1735">
        <f t="shared" si="41"/>
        <v>0</v>
      </c>
      <c r="Q117" s="1736"/>
      <c r="R117" s="1738">
        <v>0</v>
      </c>
      <c r="AB117" s="1738">
        <v>0</v>
      </c>
      <c r="AC117" s="1734">
        <f t="shared" si="25"/>
        <v>0</v>
      </c>
    </row>
    <row r="118" spans="1:29" ht="13.5" thickBot="1">
      <c r="A118" s="2796" t="s">
        <v>193</v>
      </c>
      <c r="B118" s="2806" t="s">
        <v>346</v>
      </c>
      <c r="C118" s="2798">
        <f>+'3. mell.  '!N10</f>
        <v>124756118</v>
      </c>
      <c r="D118" s="2799">
        <f>+'3. mell.  '!O10</f>
        <v>100870867</v>
      </c>
      <c r="E118" s="2798">
        <f>+'3. mell.  '!P10</f>
        <v>255066046</v>
      </c>
      <c r="F118" s="2798">
        <f>+'3. mell.  '!Q10</f>
        <v>251526380</v>
      </c>
      <c r="G118" s="2798">
        <f>+'3. mell.  '!R10</f>
        <v>257714578</v>
      </c>
      <c r="H118" s="2798">
        <f>+'3. mell.  '!S10</f>
        <v>307892573</v>
      </c>
      <c r="I118" s="2798">
        <f>+'3. mell.  '!T10</f>
        <v>307892573</v>
      </c>
      <c r="J118" s="2800">
        <f>+'3. mell.  '!U10</f>
        <v>254380188</v>
      </c>
      <c r="K118" s="2801">
        <f>+J118/H118</f>
        <v>0.82619786999538958</v>
      </c>
      <c r="L118" s="2798">
        <f t="shared" si="37"/>
        <v>-3539666</v>
      </c>
      <c r="M118" s="2798">
        <f t="shared" si="38"/>
        <v>6188198</v>
      </c>
      <c r="N118" s="2802">
        <f t="shared" si="39"/>
        <v>50177995</v>
      </c>
      <c r="O118" s="1737">
        <f t="shared" si="40"/>
        <v>0</v>
      </c>
      <c r="P118" s="1735">
        <f t="shared" si="41"/>
        <v>130309928</v>
      </c>
      <c r="Q118" s="1736"/>
      <c r="R118" s="1738">
        <v>93372186</v>
      </c>
      <c r="AB118" s="1738">
        <v>100870867</v>
      </c>
      <c r="AC118" s="1734">
        <f t="shared" si="25"/>
        <v>0</v>
      </c>
    </row>
    <row r="119" spans="1:29" ht="13.5" thickBot="1">
      <c r="A119" s="2796" t="s">
        <v>195</v>
      </c>
      <c r="B119" s="2804" t="s">
        <v>347</v>
      </c>
      <c r="C119" s="2814">
        <f>+'5. mell.Önk-i mérleg'!C117</f>
        <v>0</v>
      </c>
      <c r="D119" s="2815">
        <f>+'5. mell.Önk-i mérleg'!D117</f>
        <v>0</v>
      </c>
      <c r="E119" s="2814">
        <f>+'5. mell.Önk-i mérleg'!E117</f>
        <v>0</v>
      </c>
      <c r="F119" s="2814">
        <f>+'5. mell.Önk-i mérleg'!F117</f>
        <v>0</v>
      </c>
      <c r="G119" s="2814">
        <f>+'5. mell.Önk-i mérleg'!G117</f>
        <v>0</v>
      </c>
      <c r="H119" s="2814">
        <f>+'5. mell.Önk-i mérleg'!H117</f>
        <v>0</v>
      </c>
      <c r="I119" s="2814">
        <f>+'5. mell.Önk-i mérleg'!I117</f>
        <v>0</v>
      </c>
      <c r="J119" s="2816">
        <f>+'5. mell.Önk-i mérleg'!J117</f>
        <v>0</v>
      </c>
      <c r="K119" s="2808"/>
      <c r="L119" s="2814">
        <f t="shared" si="37"/>
        <v>0</v>
      </c>
      <c r="M119" s="2814">
        <f t="shared" si="38"/>
        <v>0</v>
      </c>
      <c r="N119" s="2817">
        <f t="shared" si="39"/>
        <v>0</v>
      </c>
      <c r="O119" s="1743">
        <f t="shared" si="40"/>
        <v>0</v>
      </c>
      <c r="P119" s="1735">
        <f t="shared" si="41"/>
        <v>0</v>
      </c>
      <c r="Q119" s="1743"/>
      <c r="R119" s="1760">
        <v>0</v>
      </c>
      <c r="AB119" s="1760">
        <v>0</v>
      </c>
      <c r="AC119" s="1734">
        <f t="shared" si="25"/>
        <v>0</v>
      </c>
    </row>
    <row r="120" spans="1:29" ht="13.5" thickBot="1">
      <c r="A120" s="2796" t="s">
        <v>348</v>
      </c>
      <c r="B120" s="2882" t="s">
        <v>349</v>
      </c>
      <c r="C120" s="2814">
        <f>+'5. mell.Önk-i mérleg'!C118</f>
        <v>0</v>
      </c>
      <c r="D120" s="2815">
        <f>+'5. mell.Önk-i mérleg'!D118</f>
        <v>0</v>
      </c>
      <c r="E120" s="2814">
        <f>+'5. mell.Önk-i mérleg'!E118</f>
        <v>0</v>
      </c>
      <c r="F120" s="2814">
        <f>+'5. mell.Önk-i mérleg'!F118</f>
        <v>0</v>
      </c>
      <c r="G120" s="2814">
        <f>+'5. mell.Önk-i mérleg'!G118</f>
        <v>0</v>
      </c>
      <c r="H120" s="2814">
        <f>+'5. mell.Önk-i mérleg'!H118</f>
        <v>0</v>
      </c>
      <c r="I120" s="2814">
        <f>+'5. mell.Önk-i mérleg'!I118</f>
        <v>0</v>
      </c>
      <c r="J120" s="2816">
        <f>+'5. mell.Önk-i mérleg'!J118</f>
        <v>0</v>
      </c>
      <c r="K120" s="2808"/>
      <c r="L120" s="2814">
        <f t="shared" si="37"/>
        <v>0</v>
      </c>
      <c r="M120" s="2814">
        <f t="shared" si="38"/>
        <v>0</v>
      </c>
      <c r="N120" s="2817">
        <f t="shared" si="39"/>
        <v>0</v>
      </c>
      <c r="O120" s="1743">
        <f t="shared" si="40"/>
        <v>0</v>
      </c>
      <c r="P120" s="1735">
        <f t="shared" si="41"/>
        <v>0</v>
      </c>
      <c r="Q120" s="1743"/>
      <c r="R120" s="1760">
        <v>0</v>
      </c>
      <c r="AB120" s="1760">
        <v>0</v>
      </c>
      <c r="AC120" s="1734">
        <f t="shared" si="25"/>
        <v>0</v>
      </c>
    </row>
    <row r="121" spans="1:29" ht="13.5" thickBot="1">
      <c r="A121" s="2796" t="s">
        <v>350</v>
      </c>
      <c r="B121" s="2873" t="s">
        <v>330</v>
      </c>
      <c r="C121" s="2814">
        <f>+'5. mell.Önk-i mérleg'!C119</f>
        <v>0</v>
      </c>
      <c r="D121" s="2815">
        <f>+'5. mell.Önk-i mérleg'!D119</f>
        <v>0</v>
      </c>
      <c r="E121" s="2814">
        <f>+'5. mell.Önk-i mérleg'!E119</f>
        <v>0</v>
      </c>
      <c r="F121" s="2814">
        <f>+'5. mell.Önk-i mérleg'!F119</f>
        <v>0</v>
      </c>
      <c r="G121" s="2814">
        <f>+'5. mell.Önk-i mérleg'!G119</f>
        <v>0</v>
      </c>
      <c r="H121" s="2814">
        <f>+'5. mell.Önk-i mérleg'!H119</f>
        <v>0</v>
      </c>
      <c r="I121" s="2814">
        <f>+'5. mell.Önk-i mérleg'!I119</f>
        <v>0</v>
      </c>
      <c r="J121" s="2816">
        <f>+'5. mell.Önk-i mérleg'!J119</f>
        <v>0</v>
      </c>
      <c r="K121" s="2808"/>
      <c r="L121" s="2814">
        <f t="shared" si="37"/>
        <v>0</v>
      </c>
      <c r="M121" s="2814">
        <f t="shared" si="38"/>
        <v>0</v>
      </c>
      <c r="N121" s="2817">
        <f t="shared" si="39"/>
        <v>0</v>
      </c>
      <c r="O121" s="1743">
        <f t="shared" si="40"/>
        <v>0</v>
      </c>
      <c r="P121" s="1735">
        <f t="shared" si="41"/>
        <v>0</v>
      </c>
      <c r="Q121" s="1743"/>
      <c r="R121" s="1760">
        <v>0</v>
      </c>
      <c r="AB121" s="1760">
        <v>0</v>
      </c>
      <c r="AC121" s="1734">
        <f t="shared" si="25"/>
        <v>0</v>
      </c>
    </row>
    <row r="122" spans="1:29" ht="13.5" thickBot="1">
      <c r="A122" s="2796" t="s">
        <v>351</v>
      </c>
      <c r="B122" s="2873" t="s">
        <v>352</v>
      </c>
      <c r="C122" s="2814">
        <f>+'5. mell.Önk-i mérleg'!C120</f>
        <v>0</v>
      </c>
      <c r="D122" s="2815">
        <f>+'5. mell.Önk-i mérleg'!D120</f>
        <v>0</v>
      </c>
      <c r="E122" s="2814">
        <f>+'5. mell.Önk-i mérleg'!E120</f>
        <v>0</v>
      </c>
      <c r="F122" s="2814">
        <f>+'5. mell.Önk-i mérleg'!F120</f>
        <v>0</v>
      </c>
      <c r="G122" s="2814">
        <f>+'5. mell.Önk-i mérleg'!G120</f>
        <v>0</v>
      </c>
      <c r="H122" s="2814">
        <f>+'5. mell.Önk-i mérleg'!H120</f>
        <v>0</v>
      </c>
      <c r="I122" s="2814">
        <f>+'5. mell.Önk-i mérleg'!I120</f>
        <v>0</v>
      </c>
      <c r="J122" s="2816">
        <f>+'5. mell.Önk-i mérleg'!J120</f>
        <v>0</v>
      </c>
      <c r="K122" s="2808"/>
      <c r="L122" s="2814">
        <f t="shared" si="37"/>
        <v>0</v>
      </c>
      <c r="M122" s="2814">
        <f t="shared" si="38"/>
        <v>0</v>
      </c>
      <c r="N122" s="2817">
        <f t="shared" si="39"/>
        <v>0</v>
      </c>
      <c r="O122" s="1743">
        <f t="shared" si="40"/>
        <v>0</v>
      </c>
      <c r="P122" s="1735">
        <f t="shared" si="41"/>
        <v>0</v>
      </c>
      <c r="Q122" s="1743"/>
      <c r="R122" s="1760">
        <v>0</v>
      </c>
      <c r="AB122" s="1760">
        <v>0</v>
      </c>
      <c r="AC122" s="1734">
        <f t="shared" si="25"/>
        <v>0</v>
      </c>
    </row>
    <row r="123" spans="1:29" ht="13.5" thickBot="1">
      <c r="A123" s="2796" t="s">
        <v>353</v>
      </c>
      <c r="B123" s="2873" t="s">
        <v>354</v>
      </c>
      <c r="C123" s="2814">
        <f>+'5. mell.Önk-i mérleg'!C121</f>
        <v>0</v>
      </c>
      <c r="D123" s="2815">
        <f>+'5. mell.Önk-i mérleg'!D121</f>
        <v>0</v>
      </c>
      <c r="E123" s="2814">
        <f>+'5. mell.Önk-i mérleg'!E121</f>
        <v>0</v>
      </c>
      <c r="F123" s="2814">
        <f>+'5. mell.Önk-i mérleg'!F121</f>
        <v>0</v>
      </c>
      <c r="G123" s="2814">
        <f>+'5. mell.Önk-i mérleg'!G121</f>
        <v>0</v>
      </c>
      <c r="H123" s="2814">
        <f>+'5. mell.Önk-i mérleg'!H121</f>
        <v>0</v>
      </c>
      <c r="I123" s="2814">
        <f>+'5. mell.Önk-i mérleg'!I121</f>
        <v>0</v>
      </c>
      <c r="J123" s="2816">
        <f>+'5. mell.Önk-i mérleg'!J121</f>
        <v>0</v>
      </c>
      <c r="K123" s="2808"/>
      <c r="L123" s="2814">
        <f t="shared" si="37"/>
        <v>0</v>
      </c>
      <c r="M123" s="2814">
        <f t="shared" si="38"/>
        <v>0</v>
      </c>
      <c r="N123" s="2817">
        <f t="shared" si="39"/>
        <v>0</v>
      </c>
      <c r="O123" s="1743">
        <f t="shared" si="40"/>
        <v>0</v>
      </c>
      <c r="P123" s="1735">
        <f t="shared" si="41"/>
        <v>0</v>
      </c>
      <c r="Q123" s="1743"/>
      <c r="R123" s="1760">
        <v>0</v>
      </c>
      <c r="AB123" s="1760">
        <v>0</v>
      </c>
      <c r="AC123" s="1734">
        <f t="shared" si="25"/>
        <v>0</v>
      </c>
    </row>
    <row r="124" spans="1:29" ht="13.5" thickBot="1">
      <c r="A124" s="2796" t="s">
        <v>355</v>
      </c>
      <c r="B124" s="2873" t="s">
        <v>336</v>
      </c>
      <c r="C124" s="2814">
        <f>+'5. mell.Önk-i mérleg'!C122</f>
        <v>18000000</v>
      </c>
      <c r="D124" s="2815">
        <f>+'5. mell.Önk-i mérleg'!D122</f>
        <v>2307846</v>
      </c>
      <c r="E124" s="2814">
        <f>+'5. mell.Önk-i mérleg'!E122</f>
        <v>8000000</v>
      </c>
      <c r="F124" s="2814">
        <f>+'5. mell.Önk-i mérleg'!F122</f>
        <v>8000000</v>
      </c>
      <c r="G124" s="2814">
        <f>+'5. mell.Önk-i mérleg'!G122</f>
        <v>8000000</v>
      </c>
      <c r="H124" s="2814">
        <f>+'5. mell.Önk-i mérleg'!H122</f>
        <v>8000000</v>
      </c>
      <c r="I124" s="2814">
        <f>+'5. mell.Önk-i mérleg'!I122</f>
        <v>8000000</v>
      </c>
      <c r="J124" s="2816">
        <f>+'5. mell.Önk-i mérleg'!J122</f>
        <v>0</v>
      </c>
      <c r="K124" s="2808">
        <f t="shared" ref="K124:K130" si="43">+J124/H124</f>
        <v>0</v>
      </c>
      <c r="L124" s="2814">
        <f t="shared" si="37"/>
        <v>0</v>
      </c>
      <c r="M124" s="2814">
        <f t="shared" si="38"/>
        <v>0</v>
      </c>
      <c r="N124" s="2817">
        <f t="shared" si="39"/>
        <v>0</v>
      </c>
      <c r="O124" s="1743">
        <f t="shared" si="40"/>
        <v>0</v>
      </c>
      <c r="P124" s="1735">
        <f t="shared" si="41"/>
        <v>-10000000</v>
      </c>
      <c r="Q124" s="1743"/>
      <c r="R124" s="1760">
        <v>261272</v>
      </c>
      <c r="AB124" s="1760">
        <v>2307846</v>
      </c>
      <c r="AC124" s="1734">
        <f t="shared" si="25"/>
        <v>0</v>
      </c>
    </row>
    <row r="125" spans="1:29" ht="13.5" thickBot="1">
      <c r="A125" s="2796" t="s">
        <v>356</v>
      </c>
      <c r="B125" s="2873" t="s">
        <v>357</v>
      </c>
      <c r="C125" s="2814">
        <f>+'5. mell.Önk-i mérleg'!C123</f>
        <v>5000000</v>
      </c>
      <c r="D125" s="2815">
        <f>+'5. mell.Önk-i mérleg'!D123</f>
        <v>0</v>
      </c>
      <c r="E125" s="2814">
        <f>+'5. mell.Önk-i mérleg'!E123</f>
        <v>2000000</v>
      </c>
      <c r="F125" s="2814">
        <f>+'5. mell.Önk-i mérleg'!F123</f>
        <v>2000000</v>
      </c>
      <c r="G125" s="2814">
        <f>+'5. mell.Önk-i mérleg'!G123</f>
        <v>2000000</v>
      </c>
      <c r="H125" s="2814">
        <f>+'5. mell.Önk-i mérleg'!H123</f>
        <v>2000000</v>
      </c>
      <c r="I125" s="2814">
        <f>+'5. mell.Önk-i mérleg'!I123</f>
        <v>2000000</v>
      </c>
      <c r="J125" s="2816">
        <f>+'5. mell.Önk-i mérleg'!J123</f>
        <v>0</v>
      </c>
      <c r="K125" s="2808">
        <f t="shared" si="43"/>
        <v>0</v>
      </c>
      <c r="L125" s="2814">
        <f t="shared" si="37"/>
        <v>0</v>
      </c>
      <c r="M125" s="2814">
        <f t="shared" si="38"/>
        <v>0</v>
      </c>
      <c r="N125" s="2817">
        <f t="shared" si="39"/>
        <v>0</v>
      </c>
      <c r="O125" s="1743">
        <f t="shared" si="40"/>
        <v>0</v>
      </c>
      <c r="P125" s="1735">
        <f t="shared" si="41"/>
        <v>-3000000</v>
      </c>
      <c r="Q125" s="1743"/>
      <c r="R125" s="1760">
        <v>0</v>
      </c>
      <c r="AB125" s="1760">
        <v>0</v>
      </c>
      <c r="AC125" s="1734">
        <f t="shared" si="25"/>
        <v>0</v>
      </c>
    </row>
    <row r="126" spans="1:29" ht="13.5" thickBot="1">
      <c r="A126" s="2878" t="s">
        <v>358</v>
      </c>
      <c r="B126" s="2873" t="s">
        <v>359</v>
      </c>
      <c r="C126" s="2814">
        <f>+'5. mell.Önk-i mérleg'!C124</f>
        <v>101756118</v>
      </c>
      <c r="D126" s="2815">
        <f>+'5. mell.Önk-i mérleg'!D124</f>
        <v>98563021</v>
      </c>
      <c r="E126" s="2814">
        <f>+'5. mell.Önk-i mérleg'!E124</f>
        <v>245066046</v>
      </c>
      <c r="F126" s="2814">
        <f>+'5. mell.Önk-i mérleg'!F124</f>
        <v>241526380</v>
      </c>
      <c r="G126" s="2814">
        <f>+'5. mell.Önk-i mérleg'!G124</f>
        <v>247714578</v>
      </c>
      <c r="H126" s="2814">
        <f>+'5. mell.Önk-i mérleg'!H124</f>
        <v>297892573</v>
      </c>
      <c r="I126" s="2814">
        <f>+'5. mell.Önk-i mérleg'!I124</f>
        <v>297892573</v>
      </c>
      <c r="J126" s="2816">
        <f>+'5. mell.Önk-i mérleg'!J124</f>
        <v>254380188</v>
      </c>
      <c r="K126" s="2808">
        <f t="shared" si="43"/>
        <v>0.85393262892794575</v>
      </c>
      <c r="L126" s="2814">
        <f t="shared" si="37"/>
        <v>-3539666</v>
      </c>
      <c r="M126" s="2814">
        <f t="shared" si="38"/>
        <v>6188198</v>
      </c>
      <c r="N126" s="2817">
        <f t="shared" si="39"/>
        <v>50177995</v>
      </c>
      <c r="O126" s="1743">
        <f t="shared" si="40"/>
        <v>0</v>
      </c>
      <c r="P126" s="1735">
        <f t="shared" si="41"/>
        <v>143309928</v>
      </c>
      <c r="Q126" s="1743"/>
      <c r="R126" s="1760">
        <v>93110914</v>
      </c>
      <c r="AB126" s="1760">
        <v>98563021</v>
      </c>
      <c r="AC126" s="1734">
        <f t="shared" si="25"/>
        <v>0</v>
      </c>
    </row>
    <row r="127" spans="1:29" ht="13.5" thickBot="1">
      <c r="A127" s="2789" t="s">
        <v>14</v>
      </c>
      <c r="B127" s="2807" t="s">
        <v>360</v>
      </c>
      <c r="C127" s="2791">
        <f t="shared" ref="C127:J127" si="44">+C128+C129</f>
        <v>1644020281</v>
      </c>
      <c r="D127" s="2791">
        <f t="shared" si="44"/>
        <v>0</v>
      </c>
      <c r="E127" s="2791">
        <f t="shared" si="44"/>
        <v>1489059013</v>
      </c>
      <c r="F127" s="2791">
        <f t="shared" si="44"/>
        <v>1803741115</v>
      </c>
      <c r="G127" s="2791">
        <f t="shared" si="44"/>
        <v>1553393023</v>
      </c>
      <c r="H127" s="2791">
        <f t="shared" si="44"/>
        <v>509609556</v>
      </c>
      <c r="I127" s="2791">
        <f t="shared" si="44"/>
        <v>509609556</v>
      </c>
      <c r="J127" s="2793">
        <f t="shared" si="44"/>
        <v>0</v>
      </c>
      <c r="K127" s="2794">
        <f t="shared" si="43"/>
        <v>0</v>
      </c>
      <c r="L127" s="2791">
        <f t="shared" si="37"/>
        <v>314682102</v>
      </c>
      <c r="M127" s="2791">
        <f t="shared" si="38"/>
        <v>-250348092</v>
      </c>
      <c r="N127" s="2795">
        <f t="shared" si="39"/>
        <v>-1043783467</v>
      </c>
      <c r="O127" s="1733">
        <f t="shared" si="40"/>
        <v>0</v>
      </c>
      <c r="P127" s="1735">
        <f t="shared" si="41"/>
        <v>-154961268</v>
      </c>
      <c r="Q127" s="1732"/>
      <c r="R127" s="1734">
        <v>0</v>
      </c>
      <c r="AB127" s="1734">
        <v>0</v>
      </c>
      <c r="AC127" s="1734">
        <f t="shared" si="25"/>
        <v>0</v>
      </c>
    </row>
    <row r="128" spans="1:29" ht="13.5" thickBot="1">
      <c r="A128" s="2796" t="s">
        <v>198</v>
      </c>
      <c r="B128" s="2882" t="s">
        <v>361</v>
      </c>
      <c r="C128" s="2798">
        <f>+'2. mell.  '!N12+'2. mell.  '!N13+'2. mell.  '!N14+'2. mell.  '!N15</f>
        <v>412591480</v>
      </c>
      <c r="D128" s="2799">
        <f>+'2. mell.  '!O12+'2. mell.  '!O13+'2. mell.  '!O14+'2. mell.  '!O15</f>
        <v>0</v>
      </c>
      <c r="E128" s="2798">
        <f>+'2. mell.  '!P12+'2. mell.  '!P13+'2. mell.  '!P14+'2. mell.  '!P15</f>
        <v>339515136</v>
      </c>
      <c r="F128" s="2798">
        <f>+'2. mell.  '!Q12+'2. mell.  '!Q13+'2. mell.  '!Q14+'2. mell.  '!Q15</f>
        <v>692819620</v>
      </c>
      <c r="G128" s="2798">
        <f>+'2. mell.  '!R12+'2. mell.  '!R13+'2. mell.  '!R14+'2. mell.  '!R15</f>
        <v>586925012</v>
      </c>
      <c r="H128" s="2798">
        <f>+'2. mell.  '!S12+'2. mell.  '!S13+'2. mell.  '!S14+'2. mell.  '!S15</f>
        <v>473275329</v>
      </c>
      <c r="I128" s="2798">
        <f>+'2. mell.  '!T12+'2. mell.  '!T13+'2. mell.  '!T14+'2. mell.  '!T15</f>
        <v>473275329</v>
      </c>
      <c r="J128" s="2800">
        <f>+'2. mell.  '!U12+'2. mell.  '!U13+'2. mell.  '!U14+'2. mell.  '!U15</f>
        <v>0</v>
      </c>
      <c r="K128" s="2801">
        <f t="shared" si="43"/>
        <v>0</v>
      </c>
      <c r="L128" s="2798">
        <f t="shared" si="37"/>
        <v>353304484</v>
      </c>
      <c r="M128" s="2798">
        <f t="shared" si="38"/>
        <v>-105894608</v>
      </c>
      <c r="N128" s="2802">
        <f t="shared" si="39"/>
        <v>-113649683</v>
      </c>
      <c r="O128" s="1737">
        <f t="shared" si="40"/>
        <v>0</v>
      </c>
      <c r="P128" s="1735">
        <f t="shared" si="41"/>
        <v>-73076344</v>
      </c>
      <c r="Q128" s="1736"/>
      <c r="R128" s="1738">
        <v>0</v>
      </c>
      <c r="Z128" s="1735"/>
      <c r="AB128" s="1738">
        <v>0</v>
      </c>
      <c r="AC128" s="1734">
        <f t="shared" si="25"/>
        <v>0</v>
      </c>
    </row>
    <row r="129" spans="1:29" ht="15.75" thickBot="1">
      <c r="A129" s="2805" t="s">
        <v>200</v>
      </c>
      <c r="B129" s="2879" t="s">
        <v>362</v>
      </c>
      <c r="C129" s="2828">
        <f>+'3. mell.  '!N12+'3. mell.  '!N13+'3. mell.  '!N14+'3. mell.  '!N15+'3. mell.  '!N16+'3. mell.  '!N17</f>
        <v>1231428801</v>
      </c>
      <c r="D129" s="2874">
        <f>+'3. mell.  '!O12+'3. mell.  '!O13+'3. mell.  '!O14+'3. mell.  '!O15+'3. mell.  '!O16+'3. mell.  '!O17</f>
        <v>0</v>
      </c>
      <c r="E129" s="2828">
        <f>+'3. mell.  '!P12+'3. mell.  '!P13+'3. mell.  '!P14+'3. mell.  '!P15+'3. mell.  '!P16+'3. mell.  '!P17</f>
        <v>1149543877</v>
      </c>
      <c r="F129" s="2828">
        <f>+'3. mell.  '!Q12+'3. mell.  '!Q13+'3. mell.  '!Q14+'3. mell.  '!Q15+'3. mell.  '!Q16+'3. mell.  '!Q17</f>
        <v>1110921495</v>
      </c>
      <c r="G129" s="2828">
        <f>+'3. mell.  '!R12+'3. mell.  '!R13+'3. mell.  '!R14+'3. mell.  '!R15+'3. mell.  '!R16+'3. mell.  '!R17</f>
        <v>966468011</v>
      </c>
      <c r="H129" s="2828">
        <f>+'3. mell.  '!S12+'3. mell.  '!S13+'3. mell.  '!S14+'3. mell.  '!S15+'3. mell.  '!S16+'3. mell.  '!S17</f>
        <v>36334227</v>
      </c>
      <c r="I129" s="2828">
        <f>+'3. mell.  '!T12+'3. mell.  '!T13+'3. mell.  '!T14+'3. mell.  '!T15+'3. mell.  '!T16+'3. mell.  '!T17</f>
        <v>36334227</v>
      </c>
      <c r="J129" s="2829">
        <f>+'3. mell.  '!U12+'3. mell.  '!U13+'3. mell.  '!U14+'3. mell.  '!U15+'3. mell.  '!U16</f>
        <v>0</v>
      </c>
      <c r="K129" s="2830">
        <f t="shared" si="43"/>
        <v>0</v>
      </c>
      <c r="L129" s="2828">
        <f t="shared" si="37"/>
        <v>-38622382</v>
      </c>
      <c r="M129" s="2828">
        <f t="shared" si="38"/>
        <v>-144453484</v>
      </c>
      <c r="N129" s="2875">
        <f t="shared" si="39"/>
        <v>-930133784</v>
      </c>
      <c r="O129" s="1758">
        <f t="shared" si="40"/>
        <v>0</v>
      </c>
      <c r="P129" s="1735">
        <f t="shared" si="41"/>
        <v>-81884924</v>
      </c>
      <c r="Q129" s="1757"/>
      <c r="R129" s="1759">
        <v>0</v>
      </c>
      <c r="X129" s="1718" t="s">
        <v>271</v>
      </c>
      <c r="Y129" s="1745" t="s">
        <v>3059</v>
      </c>
      <c r="Z129" s="1735"/>
      <c r="AB129" s="1759">
        <v>0</v>
      </c>
      <c r="AC129" s="1734">
        <f t="shared" si="25"/>
        <v>0</v>
      </c>
    </row>
    <row r="130" spans="1:29" ht="13.5" thickBot="1">
      <c r="A130" s="2818" t="s">
        <v>15</v>
      </c>
      <c r="B130" s="2819" t="s">
        <v>3035</v>
      </c>
      <c r="C130" s="2820">
        <f t="shared" ref="C130:J130" si="45">+C95+C113+C127</f>
        <v>33635648620.120003</v>
      </c>
      <c r="D130" s="2820">
        <f t="shared" si="45"/>
        <v>29228053593</v>
      </c>
      <c r="E130" s="2820">
        <f t="shared" si="45"/>
        <v>29912962817</v>
      </c>
      <c r="F130" s="2820">
        <f t="shared" si="45"/>
        <v>31035162155</v>
      </c>
      <c r="G130" s="2820">
        <f t="shared" si="45"/>
        <v>31156999406</v>
      </c>
      <c r="H130" s="2820">
        <f t="shared" si="45"/>
        <v>30604904165</v>
      </c>
      <c r="I130" s="2820">
        <f t="shared" si="45"/>
        <v>30604904165</v>
      </c>
      <c r="J130" s="2821">
        <f t="shared" si="45"/>
        <v>26498372264</v>
      </c>
      <c r="K130" s="2822">
        <f t="shared" si="43"/>
        <v>0.86582111550291141</v>
      </c>
      <c r="L130" s="2820">
        <f t="shared" si="37"/>
        <v>1122199338</v>
      </c>
      <c r="M130" s="2820">
        <f t="shared" si="38"/>
        <v>121837251</v>
      </c>
      <c r="N130" s="2823">
        <f t="shared" si="39"/>
        <v>-552095241</v>
      </c>
      <c r="O130" s="1747">
        <f t="shared" si="40"/>
        <v>0</v>
      </c>
      <c r="P130" s="1735">
        <f t="shared" si="41"/>
        <v>-3722685803.1200027</v>
      </c>
      <c r="Q130" s="1746"/>
      <c r="R130" s="1748">
        <v>23550337423</v>
      </c>
      <c r="S130" s="1735">
        <f>+'2. mell.  '!S18+'3. mell.  '!S18</f>
        <v>30604904165</v>
      </c>
      <c r="T130" s="1735">
        <f>+'2. mell.  '!T18+'3. mell.  '!T18</f>
        <v>30604904165</v>
      </c>
      <c r="U130" s="1735">
        <f>+'2. mell.  '!U18+'3. mell.  '!U18</f>
        <v>26498372264</v>
      </c>
      <c r="V130" s="1735">
        <f>+H130-S130</f>
        <v>0</v>
      </c>
      <c r="X130" s="1735">
        <v>26498372264</v>
      </c>
      <c r="Y130" s="1761">
        <f>+J130-X130</f>
        <v>0</v>
      </c>
      <c r="AA130" s="1735"/>
      <c r="AB130" s="1748">
        <v>29228053593</v>
      </c>
      <c r="AC130" s="1734">
        <f t="shared" si="25"/>
        <v>0</v>
      </c>
    </row>
    <row r="131" spans="1:29" ht="13.5" thickBot="1">
      <c r="A131" s="2789" t="s">
        <v>17</v>
      </c>
      <c r="B131" s="2807" t="s">
        <v>364</v>
      </c>
      <c r="C131" s="2791">
        <f t="shared" ref="C131:J131" si="46">+C132+C133+C134</f>
        <v>0</v>
      </c>
      <c r="D131" s="2791">
        <f t="shared" si="46"/>
        <v>0</v>
      </c>
      <c r="E131" s="2791">
        <f t="shared" si="46"/>
        <v>0</v>
      </c>
      <c r="F131" s="2791">
        <f t="shared" si="46"/>
        <v>0</v>
      </c>
      <c r="G131" s="2791">
        <f t="shared" si="46"/>
        <v>0</v>
      </c>
      <c r="H131" s="2791">
        <f t="shared" si="46"/>
        <v>0</v>
      </c>
      <c r="I131" s="2791">
        <f t="shared" si="46"/>
        <v>0</v>
      </c>
      <c r="J131" s="2793">
        <f t="shared" si="46"/>
        <v>0</v>
      </c>
      <c r="K131" s="2794"/>
      <c r="L131" s="2791">
        <f t="shared" si="37"/>
        <v>0</v>
      </c>
      <c r="M131" s="2791">
        <f t="shared" si="38"/>
        <v>0</v>
      </c>
      <c r="N131" s="2795">
        <f t="shared" si="39"/>
        <v>0</v>
      </c>
      <c r="O131" s="1733">
        <f t="shared" si="40"/>
        <v>0</v>
      </c>
      <c r="P131" s="1735">
        <f t="shared" si="41"/>
        <v>0</v>
      </c>
      <c r="Q131" s="1732"/>
      <c r="R131" s="1734">
        <v>0</v>
      </c>
      <c r="X131" s="1735">
        <f>+'2. mell.  '!U18+'3. mell.  '!U18</f>
        <v>26498372264</v>
      </c>
      <c r="Y131" s="1735">
        <f>+J130-X131</f>
        <v>0</v>
      </c>
      <c r="AB131" s="1734">
        <v>0</v>
      </c>
      <c r="AC131" s="1734">
        <f t="shared" si="25"/>
        <v>0</v>
      </c>
    </row>
    <row r="132" spans="1:29" ht="13.5" thickBot="1">
      <c r="A132" s="2796" t="s">
        <v>225</v>
      </c>
      <c r="B132" s="2882" t="s">
        <v>365</v>
      </c>
      <c r="C132" s="2814">
        <f>+'5. mell.Önk-i mérleg'!C130</f>
        <v>0</v>
      </c>
      <c r="D132" s="2815">
        <v>0</v>
      </c>
      <c r="E132" s="2814">
        <f>+'5. mell.Önk-i mérleg'!E130</f>
        <v>0</v>
      </c>
      <c r="F132" s="2814">
        <f>+'5. mell.Önk-i mérleg'!F130</f>
        <v>0</v>
      </c>
      <c r="G132" s="2814">
        <f>+'5. mell.Önk-i mérleg'!G130</f>
        <v>0</v>
      </c>
      <c r="H132" s="2814">
        <f>+'5. mell.Önk-i mérleg'!H130</f>
        <v>0</v>
      </c>
      <c r="I132" s="2814">
        <f>+'5. mell.Önk-i mérleg'!I130</f>
        <v>0</v>
      </c>
      <c r="J132" s="2816">
        <f>+'5. mell.Önk-i mérleg'!J130</f>
        <v>0</v>
      </c>
      <c r="K132" s="2808"/>
      <c r="L132" s="2814">
        <f t="shared" si="37"/>
        <v>0</v>
      </c>
      <c r="M132" s="2814">
        <f t="shared" si="38"/>
        <v>0</v>
      </c>
      <c r="N132" s="2817">
        <f t="shared" si="39"/>
        <v>0</v>
      </c>
      <c r="O132" s="1743">
        <f t="shared" si="40"/>
        <v>0</v>
      </c>
      <c r="P132" s="1735">
        <f t="shared" si="41"/>
        <v>0</v>
      </c>
      <c r="Q132" s="1743"/>
      <c r="R132" s="1760">
        <v>0</v>
      </c>
      <c r="AB132" s="1760">
        <v>0</v>
      </c>
      <c r="AC132" s="1734">
        <f t="shared" si="25"/>
        <v>0</v>
      </c>
    </row>
    <row r="133" spans="1:29" ht="13.5" thickBot="1">
      <c r="A133" s="2796" t="s">
        <v>227</v>
      </c>
      <c r="B133" s="2882" t="s">
        <v>366</v>
      </c>
      <c r="C133" s="2814">
        <f>+'5. mell.Önk-i mérleg'!C131</f>
        <v>0</v>
      </c>
      <c r="D133" s="2815">
        <v>0</v>
      </c>
      <c r="E133" s="2814">
        <f>+'5. mell.Önk-i mérleg'!E131</f>
        <v>0</v>
      </c>
      <c r="F133" s="2814">
        <f>+'5. mell.Önk-i mérleg'!F131</f>
        <v>0</v>
      </c>
      <c r="G133" s="2814">
        <f>+'5. mell.Önk-i mérleg'!G131</f>
        <v>0</v>
      </c>
      <c r="H133" s="2814">
        <f>+'5. mell.Önk-i mérleg'!H131</f>
        <v>0</v>
      </c>
      <c r="I133" s="2814">
        <f>+'5. mell.Önk-i mérleg'!I131</f>
        <v>0</v>
      </c>
      <c r="J133" s="2816">
        <f>+'5. mell.Önk-i mérleg'!J131</f>
        <v>0</v>
      </c>
      <c r="K133" s="2808"/>
      <c r="L133" s="2814">
        <f t="shared" si="37"/>
        <v>0</v>
      </c>
      <c r="M133" s="2814">
        <f t="shared" si="38"/>
        <v>0</v>
      </c>
      <c r="N133" s="2817">
        <f t="shared" si="39"/>
        <v>0</v>
      </c>
      <c r="O133" s="1743">
        <f t="shared" si="40"/>
        <v>0</v>
      </c>
      <c r="P133" s="1735">
        <f t="shared" si="41"/>
        <v>0</v>
      </c>
      <c r="Q133" s="1743"/>
      <c r="R133" s="1760">
        <v>0</v>
      </c>
      <c r="AB133" s="1760">
        <v>0</v>
      </c>
      <c r="AC133" s="1734">
        <f t="shared" si="25"/>
        <v>0</v>
      </c>
    </row>
    <row r="134" spans="1:29" ht="13.5" thickBot="1">
      <c r="A134" s="2878" t="s">
        <v>229</v>
      </c>
      <c r="B134" s="2876" t="s">
        <v>367</v>
      </c>
      <c r="C134" s="2814">
        <f>+'5. mell.Önk-i mérleg'!C132</f>
        <v>0</v>
      </c>
      <c r="D134" s="2815">
        <v>0</v>
      </c>
      <c r="E134" s="2814">
        <f>+'5. mell.Önk-i mérleg'!E132</f>
        <v>0</v>
      </c>
      <c r="F134" s="2814">
        <f>+'5. mell.Önk-i mérleg'!F132</f>
        <v>0</v>
      </c>
      <c r="G134" s="2814">
        <f>+'5. mell.Önk-i mérleg'!G132</f>
        <v>0</v>
      </c>
      <c r="H134" s="2814">
        <f>+'5. mell.Önk-i mérleg'!H132</f>
        <v>0</v>
      </c>
      <c r="I134" s="2814">
        <f>+'5. mell.Önk-i mérleg'!I132</f>
        <v>0</v>
      </c>
      <c r="J134" s="2816">
        <f>+'5. mell.Önk-i mérleg'!J132</f>
        <v>0</v>
      </c>
      <c r="K134" s="2808"/>
      <c r="L134" s="2814">
        <f t="shared" si="37"/>
        <v>0</v>
      </c>
      <c r="M134" s="2814">
        <f t="shared" si="38"/>
        <v>0</v>
      </c>
      <c r="N134" s="2817">
        <f t="shared" si="39"/>
        <v>0</v>
      </c>
      <c r="O134" s="1743">
        <f t="shared" si="40"/>
        <v>0</v>
      </c>
      <c r="P134" s="1735">
        <f t="shared" si="41"/>
        <v>0</v>
      </c>
      <c r="Q134" s="1743"/>
      <c r="R134" s="1760">
        <v>0</v>
      </c>
      <c r="AB134" s="1760">
        <v>0</v>
      </c>
      <c r="AC134" s="1734">
        <f t="shared" si="25"/>
        <v>0</v>
      </c>
    </row>
    <row r="135" spans="1:29" ht="13.5" thickBot="1">
      <c r="A135" s="2789" t="s">
        <v>19</v>
      </c>
      <c r="B135" s="2807" t="s">
        <v>368</v>
      </c>
      <c r="C135" s="2791">
        <f t="shared" ref="C135:J135" si="47">+C136+C137+C138+C139</f>
        <v>0</v>
      </c>
      <c r="D135" s="2791">
        <f t="shared" si="47"/>
        <v>0</v>
      </c>
      <c r="E135" s="2791">
        <f t="shared" si="47"/>
        <v>0</v>
      </c>
      <c r="F135" s="2791">
        <f t="shared" si="47"/>
        <v>0</v>
      </c>
      <c r="G135" s="2791">
        <f t="shared" si="47"/>
        <v>0</v>
      </c>
      <c r="H135" s="2791">
        <f t="shared" si="47"/>
        <v>4999090000</v>
      </c>
      <c r="I135" s="2791">
        <f t="shared" si="47"/>
        <v>4999090000</v>
      </c>
      <c r="J135" s="2793">
        <f t="shared" si="47"/>
        <v>4999090000</v>
      </c>
      <c r="K135" s="2794">
        <f>+J135/H135</f>
        <v>1</v>
      </c>
      <c r="L135" s="2791">
        <f t="shared" si="37"/>
        <v>0</v>
      </c>
      <c r="M135" s="2791">
        <f t="shared" si="38"/>
        <v>0</v>
      </c>
      <c r="N135" s="2795">
        <f t="shared" si="39"/>
        <v>4999090000</v>
      </c>
      <c r="O135" s="1733">
        <f t="shared" si="40"/>
        <v>0</v>
      </c>
      <c r="P135" s="1735">
        <f t="shared" si="41"/>
        <v>0</v>
      </c>
      <c r="Q135" s="1732"/>
      <c r="R135" s="1734">
        <v>0</v>
      </c>
      <c r="AB135" s="1734">
        <v>0</v>
      </c>
      <c r="AC135" s="1734">
        <f t="shared" si="25"/>
        <v>0</v>
      </c>
    </row>
    <row r="136" spans="1:29" ht="13.5" thickBot="1">
      <c r="A136" s="2796" t="s">
        <v>246</v>
      </c>
      <c r="B136" s="2882" t="s">
        <v>369</v>
      </c>
      <c r="C136" s="2814">
        <f>+'5. mell.Önk-i mérleg'!C134</f>
        <v>0</v>
      </c>
      <c r="D136" s="2815">
        <f>+'5. mell.Önk-i mérleg'!D134</f>
        <v>0</v>
      </c>
      <c r="E136" s="2814">
        <f>+'5. mell.Önk-i mérleg'!E134</f>
        <v>0</v>
      </c>
      <c r="F136" s="2814">
        <f>+'5. mell.Önk-i mérleg'!F134</f>
        <v>0</v>
      </c>
      <c r="G136" s="2814">
        <f>+'5. mell.Önk-i mérleg'!G134</f>
        <v>0</v>
      </c>
      <c r="H136" s="2814">
        <f>+'5. mell.Önk-i mérleg'!H134</f>
        <v>4999090000</v>
      </c>
      <c r="I136" s="2814">
        <f>+'5. mell.Önk-i mérleg'!I134</f>
        <v>4999090000</v>
      </c>
      <c r="J136" s="2816">
        <f>+'5. mell.Önk-i mérleg'!J134</f>
        <v>4999090000</v>
      </c>
      <c r="K136" s="2808">
        <f>+J136/H136</f>
        <v>1</v>
      </c>
      <c r="L136" s="2814">
        <f t="shared" si="37"/>
        <v>0</v>
      </c>
      <c r="M136" s="2814">
        <f t="shared" si="38"/>
        <v>0</v>
      </c>
      <c r="N136" s="2817">
        <f t="shared" si="39"/>
        <v>4999090000</v>
      </c>
      <c r="O136" s="1743">
        <f t="shared" si="40"/>
        <v>0</v>
      </c>
      <c r="P136" s="1735">
        <f t="shared" si="41"/>
        <v>0</v>
      </c>
      <c r="Q136" s="1743"/>
      <c r="R136" s="1760">
        <v>0</v>
      </c>
      <c r="AB136" s="1760">
        <v>0</v>
      </c>
      <c r="AC136" s="1734">
        <f t="shared" ref="AC136:AC161" si="48">+D136-AB136</f>
        <v>0</v>
      </c>
    </row>
    <row r="137" spans="1:29" ht="13.5" thickBot="1">
      <c r="A137" s="2796" t="s">
        <v>248</v>
      </c>
      <c r="B137" s="2882" t="s">
        <v>370</v>
      </c>
      <c r="C137" s="2814">
        <f>+'5. mell.Önk-i mérleg'!C135</f>
        <v>0</v>
      </c>
      <c r="D137" s="2815">
        <v>0</v>
      </c>
      <c r="E137" s="2814">
        <f>+'5. mell.Önk-i mérleg'!E135</f>
        <v>0</v>
      </c>
      <c r="F137" s="2814">
        <f>+'5. mell.Önk-i mérleg'!F135</f>
        <v>0</v>
      </c>
      <c r="G137" s="2814">
        <f>+'5. mell.Önk-i mérleg'!G135</f>
        <v>0</v>
      </c>
      <c r="H137" s="2814">
        <f>+'5. mell.Önk-i mérleg'!H135</f>
        <v>0</v>
      </c>
      <c r="I137" s="2814">
        <f>+'5. mell.Önk-i mérleg'!I135</f>
        <v>0</v>
      </c>
      <c r="J137" s="2816">
        <f>+'5. mell.Önk-i mérleg'!J135</f>
        <v>0</v>
      </c>
      <c r="K137" s="2808"/>
      <c r="L137" s="2814">
        <f t="shared" si="37"/>
        <v>0</v>
      </c>
      <c r="M137" s="2814">
        <f t="shared" si="38"/>
        <v>0</v>
      </c>
      <c r="N137" s="2817">
        <f t="shared" si="39"/>
        <v>0</v>
      </c>
      <c r="O137" s="1743">
        <f t="shared" si="40"/>
        <v>0</v>
      </c>
      <c r="P137" s="1735">
        <f t="shared" si="41"/>
        <v>0</v>
      </c>
      <c r="Q137" s="1743"/>
      <c r="R137" s="1760">
        <v>0</v>
      </c>
      <c r="AB137" s="1760">
        <v>0</v>
      </c>
      <c r="AC137" s="1734">
        <f t="shared" si="48"/>
        <v>0</v>
      </c>
    </row>
    <row r="138" spans="1:29" ht="13.5" thickBot="1">
      <c r="A138" s="2796" t="s">
        <v>250</v>
      </c>
      <c r="B138" s="2882" t="s">
        <v>371</v>
      </c>
      <c r="C138" s="2814">
        <f>+'5. mell.Önk-i mérleg'!C136</f>
        <v>0</v>
      </c>
      <c r="D138" s="2815">
        <v>0</v>
      </c>
      <c r="E138" s="2814">
        <f>+'5. mell.Önk-i mérleg'!E136</f>
        <v>0</v>
      </c>
      <c r="F138" s="2814">
        <f>+'5. mell.Önk-i mérleg'!F136</f>
        <v>0</v>
      </c>
      <c r="G138" s="2814">
        <f>+'5. mell.Önk-i mérleg'!G136</f>
        <v>0</v>
      </c>
      <c r="H138" s="2814">
        <f>+'5. mell.Önk-i mérleg'!H136</f>
        <v>0</v>
      </c>
      <c r="I138" s="2814">
        <f>+'5. mell.Önk-i mérleg'!I136</f>
        <v>0</v>
      </c>
      <c r="J138" s="2816">
        <f>+'5. mell.Önk-i mérleg'!J136</f>
        <v>0</v>
      </c>
      <c r="K138" s="2808"/>
      <c r="L138" s="2814">
        <f t="shared" si="37"/>
        <v>0</v>
      </c>
      <c r="M138" s="2814">
        <f t="shared" si="38"/>
        <v>0</v>
      </c>
      <c r="N138" s="2817">
        <f t="shared" si="39"/>
        <v>0</v>
      </c>
      <c r="O138" s="1743">
        <f t="shared" si="40"/>
        <v>0</v>
      </c>
      <c r="P138" s="1735">
        <f t="shared" si="41"/>
        <v>0</v>
      </c>
      <c r="Q138" s="1743"/>
      <c r="R138" s="1760">
        <v>0</v>
      </c>
      <c r="AB138" s="1760">
        <v>0</v>
      </c>
      <c r="AC138" s="1734">
        <f t="shared" si="48"/>
        <v>0</v>
      </c>
    </row>
    <row r="139" spans="1:29" ht="13.5" thickBot="1">
      <c r="A139" s="2878" t="s">
        <v>251</v>
      </c>
      <c r="B139" s="2876" t="s">
        <v>372</v>
      </c>
      <c r="C139" s="2814">
        <f>+'5. mell.Önk-i mérleg'!C137</f>
        <v>0</v>
      </c>
      <c r="D139" s="2815">
        <v>0</v>
      </c>
      <c r="E139" s="2814">
        <f>+'5. mell.Önk-i mérleg'!E137</f>
        <v>0</v>
      </c>
      <c r="F139" s="2814">
        <f>+'5. mell.Önk-i mérleg'!F137</f>
        <v>0</v>
      </c>
      <c r="G139" s="2814">
        <f>+'5. mell.Önk-i mérleg'!G137</f>
        <v>0</v>
      </c>
      <c r="H139" s="2814">
        <f>+'5. mell.Önk-i mérleg'!H137</f>
        <v>0</v>
      </c>
      <c r="I139" s="2814">
        <f>+'5. mell.Önk-i mérleg'!I137</f>
        <v>0</v>
      </c>
      <c r="J139" s="2816">
        <f>+'5. mell.Önk-i mérleg'!J137</f>
        <v>0</v>
      </c>
      <c r="K139" s="2808"/>
      <c r="L139" s="2814">
        <f t="shared" si="37"/>
        <v>0</v>
      </c>
      <c r="M139" s="2814">
        <f t="shared" si="38"/>
        <v>0</v>
      </c>
      <c r="N139" s="2817">
        <f t="shared" si="39"/>
        <v>0</v>
      </c>
      <c r="O139" s="1743">
        <f t="shared" si="40"/>
        <v>0</v>
      </c>
      <c r="P139" s="1735">
        <f t="shared" si="41"/>
        <v>0</v>
      </c>
      <c r="Q139" s="1743"/>
      <c r="R139" s="1760">
        <v>0</v>
      </c>
      <c r="AB139" s="1760">
        <v>0</v>
      </c>
      <c r="AC139" s="1734">
        <f t="shared" si="48"/>
        <v>0</v>
      </c>
    </row>
    <row r="140" spans="1:29" ht="13.5" thickBot="1">
      <c r="A140" s="2789" t="s">
        <v>21</v>
      </c>
      <c r="B140" s="2807" t="s">
        <v>373</v>
      </c>
      <c r="C140" s="2791">
        <f t="shared" ref="C140:J140" si="49">+C141+C142+C143+C144</f>
        <v>8224610505</v>
      </c>
      <c r="D140" s="2791">
        <f t="shared" si="49"/>
        <v>6473601186</v>
      </c>
      <c r="E140" s="2791">
        <f t="shared" si="49"/>
        <v>5534974099</v>
      </c>
      <c r="F140" s="2791">
        <f t="shared" si="49"/>
        <v>5534974099</v>
      </c>
      <c r="G140" s="2791">
        <f t="shared" si="49"/>
        <v>6908638915</v>
      </c>
      <c r="H140" s="2791">
        <f t="shared" si="49"/>
        <v>8429921587</v>
      </c>
      <c r="I140" s="2791">
        <f t="shared" si="49"/>
        <v>8429921587</v>
      </c>
      <c r="J140" s="2793">
        <f t="shared" si="49"/>
        <v>8429921587</v>
      </c>
      <c r="K140" s="2794">
        <f>+J140/H140</f>
        <v>1</v>
      </c>
      <c r="L140" s="2791">
        <f t="shared" si="37"/>
        <v>0</v>
      </c>
      <c r="M140" s="2791">
        <f t="shared" si="38"/>
        <v>1373664816</v>
      </c>
      <c r="N140" s="2795">
        <f t="shared" si="39"/>
        <v>1521282672</v>
      </c>
      <c r="O140" s="1733">
        <f t="shared" si="40"/>
        <v>0</v>
      </c>
      <c r="P140" s="1735">
        <f t="shared" si="41"/>
        <v>-2689636406</v>
      </c>
      <c r="Q140" s="1732"/>
      <c r="R140" s="1734">
        <v>6213912787</v>
      </c>
      <c r="AB140" s="1734">
        <v>6473601186</v>
      </c>
      <c r="AC140" s="1734">
        <f t="shared" si="48"/>
        <v>0</v>
      </c>
    </row>
    <row r="141" spans="1:29" ht="13.5" thickBot="1">
      <c r="A141" s="2796" t="s">
        <v>257</v>
      </c>
      <c r="B141" s="2882" t="s">
        <v>374</v>
      </c>
      <c r="C141" s="2814">
        <f>+'5. mell.Önk-i mérleg'!C139</f>
        <v>0</v>
      </c>
      <c r="D141" s="2815">
        <f>+'5. mell.Önk-i mérleg'!D139</f>
        <v>0</v>
      </c>
      <c r="E141" s="2814">
        <f>+'5. mell.Önk-i mérleg'!E139</f>
        <v>0</v>
      </c>
      <c r="F141" s="2814">
        <f>+'5. mell.Önk-i mérleg'!F139</f>
        <v>0</v>
      </c>
      <c r="G141" s="2814">
        <f>+'5. mell.Önk-i mérleg'!G139</f>
        <v>0</v>
      </c>
      <c r="H141" s="2814">
        <f>+'5. mell.Önk-i mérleg'!H139</f>
        <v>0</v>
      </c>
      <c r="I141" s="2814">
        <f>+'5. mell.Önk-i mérleg'!I139</f>
        <v>0</v>
      </c>
      <c r="J141" s="2816">
        <f>+'5. mell.Önk-i mérleg'!J139</f>
        <v>0</v>
      </c>
      <c r="K141" s="2808"/>
      <c r="L141" s="2814">
        <f t="shared" si="37"/>
        <v>0</v>
      </c>
      <c r="M141" s="2814">
        <f t="shared" si="38"/>
        <v>0</v>
      </c>
      <c r="N141" s="2817">
        <f t="shared" si="39"/>
        <v>0</v>
      </c>
      <c r="O141" s="1743">
        <f t="shared" si="40"/>
        <v>0</v>
      </c>
      <c r="P141" s="1735">
        <f t="shared" si="41"/>
        <v>0</v>
      </c>
      <c r="Q141" s="1743"/>
      <c r="R141" s="1760">
        <v>0</v>
      </c>
      <c r="AB141" s="1760">
        <v>0</v>
      </c>
      <c r="AC141" s="1734">
        <f t="shared" si="48"/>
        <v>0</v>
      </c>
    </row>
    <row r="142" spans="1:29" ht="18" customHeight="1" thickBot="1">
      <c r="A142" s="2796" t="s">
        <v>259</v>
      </c>
      <c r="B142" s="2882" t="s">
        <v>375</v>
      </c>
      <c r="C142" s="2814">
        <f>+'5. mell.Önk-i mérleg'!C140</f>
        <v>224610505</v>
      </c>
      <c r="D142" s="2815">
        <f>+'5. mell.Önk-i mérleg'!D140</f>
        <v>973601186</v>
      </c>
      <c r="E142" s="2814">
        <f>+'5. mell.Önk-i mérleg'!E140</f>
        <v>34974099</v>
      </c>
      <c r="F142" s="2814">
        <f>+'5. mell.Önk-i mérleg'!F140</f>
        <v>34974099</v>
      </c>
      <c r="G142" s="2814">
        <f>+'5. mell.Önk-i mérleg'!G140</f>
        <v>1408638915</v>
      </c>
      <c r="H142" s="2814">
        <f>+'5. mell.Önk-i mérleg'!H140</f>
        <v>1729921587</v>
      </c>
      <c r="I142" s="2814">
        <f>+'5. mell.Önk-i mérleg'!I140</f>
        <v>1729921587</v>
      </c>
      <c r="J142" s="2816">
        <f>+'5. mell.Önk-i mérleg'!J140</f>
        <v>1729921587</v>
      </c>
      <c r="K142" s="2808">
        <f>+J142/H142</f>
        <v>1</v>
      </c>
      <c r="L142" s="2814">
        <f t="shared" si="37"/>
        <v>0</v>
      </c>
      <c r="M142" s="2814">
        <f t="shared" si="38"/>
        <v>1373664816</v>
      </c>
      <c r="N142" s="2817">
        <f t="shared" si="39"/>
        <v>321282672</v>
      </c>
      <c r="O142" s="1743">
        <f t="shared" si="40"/>
        <v>0</v>
      </c>
      <c r="P142" s="1735">
        <f t="shared" si="41"/>
        <v>-189636406</v>
      </c>
      <c r="Q142" s="1743"/>
      <c r="R142" s="1760">
        <v>713912787</v>
      </c>
      <c r="S142" s="1735">
        <f>+'2. mell.  '!S29</f>
        <v>1729921587</v>
      </c>
      <c r="T142" s="1735">
        <f>+'2. mell.  '!T29</f>
        <v>1729921587</v>
      </c>
      <c r="U142" s="1735">
        <f>+'2. mell.  '!U29</f>
        <v>1729921587</v>
      </c>
      <c r="V142" s="1735">
        <f>+H142-S142</f>
        <v>0</v>
      </c>
      <c r="AB142" s="1760">
        <v>973601186</v>
      </c>
      <c r="AC142" s="1734">
        <f t="shared" si="48"/>
        <v>0</v>
      </c>
    </row>
    <row r="143" spans="1:29" ht="13.5" thickBot="1">
      <c r="A143" s="2796" t="s">
        <v>261</v>
      </c>
      <c r="B143" s="2882" t="s">
        <v>376</v>
      </c>
      <c r="C143" s="2814">
        <f>+'5. mell.Önk-i mérleg'!C142</f>
        <v>8000000000</v>
      </c>
      <c r="D143" s="2815">
        <f>+'5. mell.Önk-i mérleg'!D142</f>
        <v>5500000000</v>
      </c>
      <c r="E143" s="2814">
        <f>+'5. mell.Önk-i mérleg'!E142</f>
        <v>5500000000</v>
      </c>
      <c r="F143" s="2814">
        <f>+'5. mell.Önk-i mérleg'!F142</f>
        <v>5500000000</v>
      </c>
      <c r="G143" s="2814">
        <f>+'5. mell.Önk-i mérleg'!G142</f>
        <v>5500000000</v>
      </c>
      <c r="H143" s="2814">
        <f>+'5. mell.Önk-i mérleg'!H142</f>
        <v>6700000000</v>
      </c>
      <c r="I143" s="2814">
        <f>+'5. mell.Önk-i mérleg'!I142</f>
        <v>6700000000</v>
      </c>
      <c r="J143" s="2816">
        <f>+'5. mell.Önk-i mérleg'!J142</f>
        <v>6700000000</v>
      </c>
      <c r="K143" s="2808">
        <f>+J143/H143</f>
        <v>1</v>
      </c>
      <c r="L143" s="2814">
        <f t="shared" si="37"/>
        <v>0</v>
      </c>
      <c r="M143" s="2814">
        <f t="shared" si="38"/>
        <v>0</v>
      </c>
      <c r="N143" s="2817">
        <f t="shared" si="39"/>
        <v>1200000000</v>
      </c>
      <c r="O143" s="1743">
        <f t="shared" si="40"/>
        <v>0</v>
      </c>
      <c r="P143" s="1735">
        <f t="shared" si="41"/>
        <v>-2500000000</v>
      </c>
      <c r="Q143" s="1743"/>
      <c r="R143" s="1760">
        <v>5500000000</v>
      </c>
      <c r="S143" s="1735">
        <f>+'2. mell.  '!S26</f>
        <v>6700000000</v>
      </c>
      <c r="T143" s="1735">
        <f>+'2. mell.  '!T26</f>
        <v>6700000000</v>
      </c>
      <c r="U143" s="1735">
        <f>+'2. mell.  '!U26</f>
        <v>6700000000</v>
      </c>
      <c r="V143" s="1735">
        <f>+H143-S143</f>
        <v>0</v>
      </c>
      <c r="AB143" s="1760">
        <v>5500000000</v>
      </c>
      <c r="AC143" s="1734">
        <f t="shared" si="48"/>
        <v>0</v>
      </c>
    </row>
    <row r="144" spans="1:29" ht="13.5" thickBot="1">
      <c r="A144" s="2878" t="s">
        <v>263</v>
      </c>
      <c r="B144" s="2876" t="s">
        <v>377</v>
      </c>
      <c r="C144" s="2814">
        <f>+'5. mell.Önk-i mérleg'!C143</f>
        <v>0</v>
      </c>
      <c r="D144" s="2815">
        <f>+'5. mell.Önk-i mérleg'!D143</f>
        <v>0</v>
      </c>
      <c r="E144" s="2814">
        <f>+'5. mell.Önk-i mérleg'!E143</f>
        <v>0</v>
      </c>
      <c r="F144" s="2814">
        <f>+'5. mell.Önk-i mérleg'!F143</f>
        <v>0</v>
      </c>
      <c r="G144" s="2814">
        <f>+'5. mell.Önk-i mérleg'!G143</f>
        <v>0</v>
      </c>
      <c r="H144" s="2814">
        <f>+'5. mell.Önk-i mérleg'!H143</f>
        <v>0</v>
      </c>
      <c r="I144" s="2814">
        <f>+'5. mell.Önk-i mérleg'!I143</f>
        <v>0</v>
      </c>
      <c r="J144" s="2816">
        <f>+'5. mell.Önk-i mérleg'!J143</f>
        <v>0</v>
      </c>
      <c r="K144" s="2808"/>
      <c r="L144" s="2814">
        <f t="shared" si="37"/>
        <v>0</v>
      </c>
      <c r="M144" s="2814">
        <f t="shared" si="38"/>
        <v>0</v>
      </c>
      <c r="N144" s="2817">
        <f t="shared" si="39"/>
        <v>0</v>
      </c>
      <c r="O144" s="1743">
        <f t="shared" si="40"/>
        <v>0</v>
      </c>
      <c r="P144" s="1735">
        <f t="shared" si="41"/>
        <v>0</v>
      </c>
      <c r="Q144" s="1743"/>
      <c r="R144" s="1760">
        <v>0</v>
      </c>
      <c r="AB144" s="1760">
        <v>0</v>
      </c>
      <c r="AC144" s="1734">
        <f t="shared" si="48"/>
        <v>0</v>
      </c>
    </row>
    <row r="145" spans="1:29" ht="13.5" thickBot="1">
      <c r="A145" s="2789" t="s">
        <v>23</v>
      </c>
      <c r="B145" s="2807" t="s">
        <v>378</v>
      </c>
      <c r="C145" s="2791">
        <f>+C146+C147+C148+C149</f>
        <v>0</v>
      </c>
      <c r="D145" s="2791">
        <v>0</v>
      </c>
      <c r="E145" s="2791">
        <f t="shared" ref="E145:J145" si="50">+E146+E147+E148+E149</f>
        <v>0</v>
      </c>
      <c r="F145" s="2791">
        <f t="shared" si="50"/>
        <v>0</v>
      </c>
      <c r="G145" s="2791">
        <f t="shared" si="50"/>
        <v>0</v>
      </c>
      <c r="H145" s="2791">
        <f t="shared" si="50"/>
        <v>0</v>
      </c>
      <c r="I145" s="2791">
        <f t="shared" si="50"/>
        <v>0</v>
      </c>
      <c r="J145" s="2793">
        <f t="shared" si="50"/>
        <v>0</v>
      </c>
      <c r="K145" s="2794"/>
      <c r="L145" s="2791">
        <f t="shared" si="37"/>
        <v>0</v>
      </c>
      <c r="M145" s="2791">
        <f t="shared" si="38"/>
        <v>0</v>
      </c>
      <c r="N145" s="2795">
        <f t="shared" si="39"/>
        <v>0</v>
      </c>
      <c r="O145" s="1733">
        <f t="shared" si="40"/>
        <v>0</v>
      </c>
      <c r="P145" s="1735">
        <f t="shared" si="41"/>
        <v>0</v>
      </c>
      <c r="Q145" s="1732"/>
      <c r="R145" s="1734">
        <v>0</v>
      </c>
      <c r="AB145" s="1734">
        <v>0</v>
      </c>
      <c r="AC145" s="1734">
        <f t="shared" si="48"/>
        <v>0</v>
      </c>
    </row>
    <row r="146" spans="1:29" ht="13.5" hidden="1" thickBot="1">
      <c r="A146" s="2796" t="s">
        <v>265</v>
      </c>
      <c r="B146" s="2882" t="s">
        <v>379</v>
      </c>
      <c r="C146" s="2814">
        <f>+'5. mell.Önk-i mérleg'!C145</f>
        <v>0</v>
      </c>
      <c r="D146" s="2814">
        <v>0</v>
      </c>
      <c r="E146" s="2814">
        <f>+'5. mell.Önk-i mérleg'!E145</f>
        <v>0</v>
      </c>
      <c r="F146" s="2814">
        <f>+'5. mell.Önk-i mérleg'!F145</f>
        <v>0</v>
      </c>
      <c r="G146" s="2814">
        <f>+'5. mell.Önk-i mérleg'!G145</f>
        <v>0</v>
      </c>
      <c r="H146" s="2814">
        <f>+'5. mell.Önk-i mérleg'!H145</f>
        <v>0</v>
      </c>
      <c r="I146" s="2814">
        <f>+'5. mell.Önk-i mérleg'!I145</f>
        <v>0</v>
      </c>
      <c r="J146" s="2816">
        <f>+'5. mell.Önk-i mérleg'!J145</f>
        <v>0</v>
      </c>
      <c r="K146" s="2808"/>
      <c r="L146" s="2791">
        <f t="shared" si="37"/>
        <v>0</v>
      </c>
      <c r="M146" s="2791">
        <f t="shared" si="38"/>
        <v>0</v>
      </c>
      <c r="N146" s="2817">
        <f t="shared" si="39"/>
        <v>0</v>
      </c>
      <c r="O146" s="1743">
        <f t="shared" si="40"/>
        <v>0</v>
      </c>
      <c r="P146" s="1735">
        <f t="shared" si="41"/>
        <v>0</v>
      </c>
      <c r="Q146" s="1743"/>
      <c r="R146" s="1760">
        <v>0</v>
      </c>
      <c r="AB146" s="1760">
        <v>0</v>
      </c>
      <c r="AC146" s="1734">
        <f t="shared" si="48"/>
        <v>0</v>
      </c>
    </row>
    <row r="147" spans="1:29" ht="13.5" hidden="1" thickBot="1">
      <c r="A147" s="2796" t="s">
        <v>266</v>
      </c>
      <c r="B147" s="2882" t="s">
        <v>380</v>
      </c>
      <c r="C147" s="2814">
        <f>+'5. mell.Önk-i mérleg'!C146</f>
        <v>0</v>
      </c>
      <c r="D147" s="2814">
        <v>0</v>
      </c>
      <c r="E147" s="2814">
        <f>+'5. mell.Önk-i mérleg'!E146</f>
        <v>0</v>
      </c>
      <c r="F147" s="2814">
        <f>+'5. mell.Önk-i mérleg'!F146</f>
        <v>0</v>
      </c>
      <c r="G147" s="2814">
        <f>+'5. mell.Önk-i mérleg'!G146</f>
        <v>0</v>
      </c>
      <c r="H147" s="2814">
        <f>+'5. mell.Önk-i mérleg'!H146</f>
        <v>0</v>
      </c>
      <c r="I147" s="2814">
        <f>+'5. mell.Önk-i mérleg'!I146</f>
        <v>0</v>
      </c>
      <c r="J147" s="2816">
        <f>+'5. mell.Önk-i mérleg'!J146</f>
        <v>0</v>
      </c>
      <c r="K147" s="2808"/>
      <c r="L147" s="2791">
        <f t="shared" si="37"/>
        <v>0</v>
      </c>
      <c r="M147" s="2791">
        <f t="shared" si="38"/>
        <v>0</v>
      </c>
      <c r="N147" s="2817">
        <f t="shared" si="39"/>
        <v>0</v>
      </c>
      <c r="O147" s="1743">
        <f t="shared" si="40"/>
        <v>0</v>
      </c>
      <c r="P147" s="1735">
        <f t="shared" si="41"/>
        <v>0</v>
      </c>
      <c r="Q147" s="1743"/>
      <c r="R147" s="1760">
        <v>0</v>
      </c>
      <c r="AB147" s="1760">
        <v>0</v>
      </c>
      <c r="AC147" s="1734">
        <f t="shared" si="48"/>
        <v>0</v>
      </c>
    </row>
    <row r="148" spans="1:29" ht="13.5" hidden="1" thickBot="1">
      <c r="A148" s="2796" t="s">
        <v>267</v>
      </c>
      <c r="B148" s="2882" t="s">
        <v>381</v>
      </c>
      <c r="C148" s="2814">
        <f>+'5. mell.Önk-i mérleg'!C147</f>
        <v>0</v>
      </c>
      <c r="D148" s="2814">
        <v>0</v>
      </c>
      <c r="E148" s="2814">
        <f>+'5. mell.Önk-i mérleg'!E147</f>
        <v>0</v>
      </c>
      <c r="F148" s="2814">
        <f>+'5. mell.Önk-i mérleg'!F147</f>
        <v>0</v>
      </c>
      <c r="G148" s="2814">
        <f>+'5. mell.Önk-i mérleg'!G147</f>
        <v>0</v>
      </c>
      <c r="H148" s="2814">
        <f>+'5. mell.Önk-i mérleg'!H147</f>
        <v>0</v>
      </c>
      <c r="I148" s="2814">
        <f>+'5. mell.Önk-i mérleg'!I147</f>
        <v>0</v>
      </c>
      <c r="J148" s="2816">
        <f>+'5. mell.Önk-i mérleg'!J147</f>
        <v>0</v>
      </c>
      <c r="K148" s="2808"/>
      <c r="L148" s="2791">
        <f t="shared" si="37"/>
        <v>0</v>
      </c>
      <c r="M148" s="2791">
        <f t="shared" si="38"/>
        <v>0</v>
      </c>
      <c r="N148" s="2817">
        <f t="shared" si="39"/>
        <v>0</v>
      </c>
      <c r="O148" s="1743">
        <f t="shared" si="40"/>
        <v>0</v>
      </c>
      <c r="P148" s="1735">
        <f t="shared" si="41"/>
        <v>0</v>
      </c>
      <c r="Q148" s="1743"/>
      <c r="R148" s="1760">
        <v>0</v>
      </c>
      <c r="AB148" s="1760">
        <v>0</v>
      </c>
      <c r="AC148" s="1734">
        <f t="shared" si="48"/>
        <v>0</v>
      </c>
    </row>
    <row r="149" spans="1:29" ht="13.5" hidden="1" thickBot="1">
      <c r="A149" s="2796" t="s">
        <v>269</v>
      </c>
      <c r="B149" s="2882" t="s">
        <v>382</v>
      </c>
      <c r="C149" s="2814">
        <f>+'5. mell.Önk-i mérleg'!C148</f>
        <v>0</v>
      </c>
      <c r="D149" s="2814">
        <v>0</v>
      </c>
      <c r="E149" s="2814">
        <f>+'5. mell.Önk-i mérleg'!E148</f>
        <v>0</v>
      </c>
      <c r="F149" s="2814">
        <f>+'5. mell.Önk-i mérleg'!F148</f>
        <v>0</v>
      </c>
      <c r="G149" s="2814">
        <f>+'5. mell.Önk-i mérleg'!G148</f>
        <v>0</v>
      </c>
      <c r="H149" s="2814">
        <f>+'5. mell.Önk-i mérleg'!H148</f>
        <v>0</v>
      </c>
      <c r="I149" s="2814">
        <f>+'5. mell.Önk-i mérleg'!I148</f>
        <v>0</v>
      </c>
      <c r="J149" s="2816">
        <f>+'5. mell.Önk-i mérleg'!J148</f>
        <v>0</v>
      </c>
      <c r="K149" s="2808"/>
      <c r="L149" s="2791">
        <f t="shared" si="37"/>
        <v>0</v>
      </c>
      <c r="M149" s="2791">
        <f t="shared" si="38"/>
        <v>0</v>
      </c>
      <c r="N149" s="2817">
        <f t="shared" si="39"/>
        <v>0</v>
      </c>
      <c r="O149" s="1743">
        <f t="shared" si="40"/>
        <v>0</v>
      </c>
      <c r="P149" s="1735">
        <f t="shared" si="41"/>
        <v>0</v>
      </c>
      <c r="Q149" s="1743"/>
      <c r="R149" s="1760">
        <v>0</v>
      </c>
      <c r="AB149" s="1760">
        <v>0</v>
      </c>
      <c r="AC149" s="1734">
        <f t="shared" si="48"/>
        <v>0</v>
      </c>
    </row>
    <row r="150" spans="1:29" ht="13.5" thickBot="1">
      <c r="A150" s="2789" t="s">
        <v>25</v>
      </c>
      <c r="B150" s="2807" t="s">
        <v>383</v>
      </c>
      <c r="C150" s="2791">
        <v>0</v>
      </c>
      <c r="D150" s="2791">
        <v>0</v>
      </c>
      <c r="E150" s="2791">
        <v>0</v>
      </c>
      <c r="F150" s="2791">
        <v>0</v>
      </c>
      <c r="G150" s="2791">
        <v>0</v>
      </c>
      <c r="H150" s="2791">
        <v>0</v>
      </c>
      <c r="I150" s="2791">
        <v>0</v>
      </c>
      <c r="J150" s="2793">
        <v>0</v>
      </c>
      <c r="K150" s="2794"/>
      <c r="L150" s="2791">
        <f t="shared" si="37"/>
        <v>0</v>
      </c>
      <c r="M150" s="2791">
        <f t="shared" si="38"/>
        <v>0</v>
      </c>
      <c r="N150" s="2795">
        <f t="shared" si="39"/>
        <v>0</v>
      </c>
      <c r="O150" s="1733">
        <f t="shared" si="40"/>
        <v>0</v>
      </c>
      <c r="P150" s="1735">
        <f t="shared" si="41"/>
        <v>0</v>
      </c>
      <c r="Q150" s="1732"/>
      <c r="R150" s="1734">
        <v>0</v>
      </c>
      <c r="AB150" s="1734">
        <v>0</v>
      </c>
      <c r="AC150" s="1734">
        <f t="shared" si="48"/>
        <v>0</v>
      </c>
    </row>
    <row r="151" spans="1:29" ht="15.75" thickBot="1">
      <c r="A151" s="2789" t="s">
        <v>27</v>
      </c>
      <c r="B151" s="2807" t="s">
        <v>384</v>
      </c>
      <c r="C151" s="2791">
        <v>0</v>
      </c>
      <c r="D151" s="2791">
        <v>0</v>
      </c>
      <c r="E151" s="2791">
        <v>0</v>
      </c>
      <c r="F151" s="2791">
        <v>0</v>
      </c>
      <c r="G151" s="2791">
        <v>0</v>
      </c>
      <c r="H151" s="2791">
        <v>0</v>
      </c>
      <c r="I151" s="2791">
        <v>0</v>
      </c>
      <c r="J151" s="2793">
        <v>0</v>
      </c>
      <c r="K151" s="2794"/>
      <c r="L151" s="2791">
        <f t="shared" si="37"/>
        <v>0</v>
      </c>
      <c r="M151" s="2791">
        <f>+G151-F151</f>
        <v>0</v>
      </c>
      <c r="N151" s="2795">
        <f t="shared" si="39"/>
        <v>0</v>
      </c>
      <c r="O151" s="1762">
        <f t="shared" si="40"/>
        <v>0</v>
      </c>
      <c r="P151" s="1735">
        <f t="shared" si="41"/>
        <v>0</v>
      </c>
      <c r="Q151" s="1732"/>
      <c r="R151" s="1734">
        <v>0</v>
      </c>
      <c r="S151" s="1735"/>
      <c r="T151" s="1735"/>
      <c r="U151" s="1735"/>
      <c r="V151" s="1735"/>
      <c r="X151" s="1718" t="s">
        <v>312</v>
      </c>
      <c r="Y151" s="1745" t="s">
        <v>3059</v>
      </c>
      <c r="AB151" s="1734">
        <v>0</v>
      </c>
      <c r="AC151" s="1734">
        <f t="shared" si="48"/>
        <v>0</v>
      </c>
    </row>
    <row r="152" spans="1:29" ht="13.5" thickBot="1">
      <c r="A152" s="2818" t="s">
        <v>29</v>
      </c>
      <c r="B152" s="2819" t="s">
        <v>385</v>
      </c>
      <c r="C152" s="2820">
        <f t="shared" ref="C152:J152" si="51">+C131+C135+C140+C145</f>
        <v>8224610505</v>
      </c>
      <c r="D152" s="2820">
        <f t="shared" si="51"/>
        <v>6473601186</v>
      </c>
      <c r="E152" s="2820">
        <f t="shared" si="51"/>
        <v>5534974099</v>
      </c>
      <c r="F152" s="2820">
        <f t="shared" si="51"/>
        <v>5534974099</v>
      </c>
      <c r="G152" s="2820">
        <f t="shared" si="51"/>
        <v>6908638915</v>
      </c>
      <c r="H152" s="2820">
        <f t="shared" si="51"/>
        <v>13429011587</v>
      </c>
      <c r="I152" s="2820">
        <f t="shared" si="51"/>
        <v>13429011587</v>
      </c>
      <c r="J152" s="2821">
        <f t="shared" si="51"/>
        <v>13429011587</v>
      </c>
      <c r="K152" s="2822">
        <f>+J152/H152</f>
        <v>1</v>
      </c>
      <c r="L152" s="2820">
        <f>+F152-E152</f>
        <v>0</v>
      </c>
      <c r="M152" s="2820">
        <f>+G152-F152</f>
        <v>1373664816</v>
      </c>
      <c r="N152" s="2823">
        <f>+H152-G152</f>
        <v>6520372672</v>
      </c>
      <c r="O152" s="1747">
        <f>+I152-H152</f>
        <v>0</v>
      </c>
      <c r="P152" s="1735">
        <f t="shared" si="41"/>
        <v>-2689636406</v>
      </c>
      <c r="Q152" s="1746"/>
      <c r="R152" s="1748">
        <v>6213912787</v>
      </c>
      <c r="S152" s="1735">
        <f>+'2. mell.  '!S30+'3. mell.  '!S31</f>
        <v>13429011587</v>
      </c>
      <c r="T152" s="1735">
        <f>+'2. mell.  '!T30+'3. mell.  '!T31</f>
        <v>13429011587</v>
      </c>
      <c r="U152" s="1735">
        <f>+'2. mell.  '!U30+'3. mell.  '!U31</f>
        <v>13429011587</v>
      </c>
      <c r="V152" s="1735">
        <f>+H152-S152</f>
        <v>0</v>
      </c>
      <c r="X152" s="1735">
        <f>(26902559082-13473547495)</f>
        <v>13429011587</v>
      </c>
      <c r="Y152" s="1735">
        <f>+J152-X152</f>
        <v>0</v>
      </c>
      <c r="AB152" s="1748">
        <v>6473601186</v>
      </c>
      <c r="AC152" s="1734">
        <f t="shared" si="48"/>
        <v>0</v>
      </c>
    </row>
    <row r="153" spans="1:29" ht="13.5" thickBot="1">
      <c r="A153" s="2894" t="s">
        <v>31</v>
      </c>
      <c r="B153" s="2895" t="s">
        <v>386</v>
      </c>
      <c r="C153" s="2845">
        <f t="shared" ref="C153:J153" si="52">+C130+C152</f>
        <v>41860259125.120003</v>
      </c>
      <c r="D153" s="2845">
        <f t="shared" si="52"/>
        <v>35701654779</v>
      </c>
      <c r="E153" s="2845">
        <f>+E130+E152</f>
        <v>35447936916</v>
      </c>
      <c r="F153" s="2845">
        <f t="shared" si="52"/>
        <v>36570136254</v>
      </c>
      <c r="G153" s="2845">
        <f t="shared" si="52"/>
        <v>38065638321</v>
      </c>
      <c r="H153" s="2845">
        <f t="shared" si="52"/>
        <v>44033915752</v>
      </c>
      <c r="I153" s="2845">
        <f t="shared" si="52"/>
        <v>44033915752</v>
      </c>
      <c r="J153" s="2846">
        <f t="shared" si="52"/>
        <v>39927383851</v>
      </c>
      <c r="K153" s="2847">
        <f>+J153/H153</f>
        <v>0.9067416142564273</v>
      </c>
      <c r="L153" s="2845">
        <f>+F153-E153</f>
        <v>1122199338</v>
      </c>
      <c r="M153" s="2845">
        <f>+G153-F153</f>
        <v>1495502067</v>
      </c>
      <c r="N153" s="2848">
        <f>+H153-G153</f>
        <v>5968277431</v>
      </c>
      <c r="O153" s="1747">
        <f>+I153-H153</f>
        <v>0</v>
      </c>
      <c r="P153" s="1735">
        <f t="shared" si="41"/>
        <v>-6412322209.1200027</v>
      </c>
      <c r="Q153" s="1746"/>
      <c r="R153" s="1748">
        <v>29764250210</v>
      </c>
      <c r="S153" s="1735">
        <f>+'2. mell.  '!S31+'3. mell.  '!S32</f>
        <v>44033915752</v>
      </c>
      <c r="T153" s="1735">
        <f>+'2. mell.  '!T31+'3. mell.  '!T32</f>
        <v>44033915752</v>
      </c>
      <c r="U153" s="1735">
        <f>+'2. mell.  '!U31+'3. mell.  '!U32</f>
        <v>39927383851</v>
      </c>
      <c r="V153" s="1735">
        <f>+H153-S153</f>
        <v>0</v>
      </c>
      <c r="X153" s="1735">
        <f>+X130+X152</f>
        <v>39927383851</v>
      </c>
      <c r="Y153" s="1735">
        <f>+J153-X153</f>
        <v>0</v>
      </c>
      <c r="AB153" s="1748">
        <v>35701654779</v>
      </c>
      <c r="AC153" s="1734">
        <f t="shared" si="48"/>
        <v>0</v>
      </c>
    </row>
    <row r="154" spans="1:29" ht="6" customHeight="1" thickBot="1">
      <c r="A154" s="2883"/>
      <c r="B154" s="2853"/>
      <c r="C154" s="2853"/>
      <c r="D154" s="2884"/>
      <c r="E154" s="2885"/>
      <c r="F154" s="2853"/>
      <c r="G154" s="2854"/>
      <c r="H154" s="2853"/>
      <c r="I154" s="2853"/>
      <c r="J154" s="2855"/>
      <c r="K154" s="2856"/>
      <c r="L154" s="2853"/>
      <c r="M154" s="2853"/>
      <c r="N154" s="2886"/>
      <c r="P154" s="1735"/>
      <c r="R154" s="1750"/>
      <c r="AB154" s="1750"/>
      <c r="AC154" s="1734"/>
    </row>
    <row r="155" spans="1:29" ht="14.25" thickBot="1">
      <c r="A155" s="2896"/>
      <c r="B155" s="2897" t="str">
        <f t="shared" ref="B155:G155" si="53">+B4</f>
        <v>A</v>
      </c>
      <c r="C155" s="2898" t="str">
        <f t="shared" si="53"/>
        <v>B</v>
      </c>
      <c r="D155" s="2899" t="str">
        <f t="shared" si="53"/>
        <v>B</v>
      </c>
      <c r="E155" s="2899" t="str">
        <f t="shared" si="53"/>
        <v>B</v>
      </c>
      <c r="F155" s="2899" t="str">
        <f t="shared" si="53"/>
        <v>D</v>
      </c>
      <c r="G155" s="2899" t="str">
        <f t="shared" si="53"/>
        <v>E</v>
      </c>
      <c r="H155" s="2899" t="str">
        <f t="shared" ref="H155:N155" si="54">+H4</f>
        <v>C</v>
      </c>
      <c r="I155" s="2899" t="str">
        <f t="shared" si="54"/>
        <v>F</v>
      </c>
      <c r="J155" s="2899" t="str">
        <f t="shared" si="54"/>
        <v>D</v>
      </c>
      <c r="K155" s="2899" t="str">
        <f t="shared" si="54"/>
        <v>E</v>
      </c>
      <c r="L155" s="2899">
        <f t="shared" si="54"/>
        <v>0</v>
      </c>
      <c r="M155" s="2899" t="str">
        <f t="shared" si="54"/>
        <v>F</v>
      </c>
      <c r="N155" s="2900" t="str">
        <f t="shared" si="54"/>
        <v>G</v>
      </c>
      <c r="P155" s="1735"/>
      <c r="Q155" s="1735"/>
      <c r="R155" s="1721"/>
      <c r="S155" s="1765"/>
      <c r="T155" s="1765"/>
      <c r="U155" s="1765"/>
      <c r="V155" s="1735">
        <f>+'5. mell.Önk-i mérleg'!H141</f>
        <v>14350648875</v>
      </c>
      <c r="X155" s="1735">
        <f>+'2. mell.  '!U31+'3. mell.  '!U32</f>
        <v>39927383851</v>
      </c>
      <c r="Y155" s="1735">
        <f>+J153-X155</f>
        <v>0</v>
      </c>
      <c r="AB155" s="1722" t="s">
        <v>2731</v>
      </c>
      <c r="AC155" s="1734"/>
    </row>
    <row r="156" spans="1:29" ht="14.25" thickBot="1">
      <c r="A156" s="2769" t="s">
        <v>6</v>
      </c>
      <c r="B156" s="2679" t="s">
        <v>387</v>
      </c>
      <c r="C156" s="2679" t="s">
        <v>3354</v>
      </c>
      <c r="D156" s="2679" t="s">
        <v>3354</v>
      </c>
      <c r="E156" s="2679" t="s">
        <v>3354</v>
      </c>
      <c r="F156" s="2679" t="s">
        <v>3354</v>
      </c>
      <c r="G156" s="2679" t="s">
        <v>3354</v>
      </c>
      <c r="H156" s="2679" t="s">
        <v>3354</v>
      </c>
      <c r="I156" s="2679" t="s">
        <v>3354</v>
      </c>
      <c r="J156" s="2679" t="s">
        <v>3354</v>
      </c>
      <c r="K156" s="2679" t="s">
        <v>3354</v>
      </c>
      <c r="L156" s="2679" t="s">
        <v>3354</v>
      </c>
      <c r="M156" s="2679" t="s">
        <v>3354</v>
      </c>
      <c r="N156" s="2770" t="s">
        <v>3354</v>
      </c>
      <c r="P156" s="1735"/>
      <c r="Q156" s="1723"/>
      <c r="R156" s="1794"/>
      <c r="S156" s="1735">
        <f>+'8. mell. Intézmények összesen'!I52+'5. mell.Önk-i mérleg'!H128+'5. mell.Önk-i mérleg'!H151</f>
        <v>58384564627</v>
      </c>
      <c r="T156" s="1735"/>
      <c r="U156" s="1735"/>
      <c r="V156" s="1735">
        <f>+H153-S156</f>
        <v>-14350648875</v>
      </c>
      <c r="W156" s="1735">
        <f>+'Fin.kiad.-nem része a rend-nek'!N38</f>
        <v>14350648875</v>
      </c>
      <c r="X156" s="1735">
        <f>SUM(V156:W156)</f>
        <v>0</v>
      </c>
      <c r="AB156" s="1794" t="s">
        <v>3354</v>
      </c>
      <c r="AC156" s="1734"/>
    </row>
    <row r="157" spans="1:29" ht="27.75" customHeight="1" thickBot="1">
      <c r="A157" s="2771" t="s">
        <v>12</v>
      </c>
      <c r="B157" s="1768" t="s">
        <v>388</v>
      </c>
      <c r="C157" s="1769">
        <f>+C63-C130</f>
        <v>-6975389494.9300041</v>
      </c>
      <c r="D157" s="2721">
        <f>+D63-D130</f>
        <v>-4629443481</v>
      </c>
      <c r="E157" s="1769">
        <f t="shared" ref="E157:J157" si="55">+E63-E130</f>
        <v>-2655025900.73032</v>
      </c>
      <c r="F157" s="1769">
        <f t="shared" si="55"/>
        <v>-3299657857.73032</v>
      </c>
      <c r="G157" s="1769">
        <f t="shared" si="55"/>
        <v>-3299657857.73032</v>
      </c>
      <c r="H157" s="1769">
        <f t="shared" si="55"/>
        <v>-3395255671.73032</v>
      </c>
      <c r="I157" s="1769">
        <f t="shared" si="55"/>
        <v>-3395255671.73032</v>
      </c>
      <c r="J157" s="1770">
        <f t="shared" si="55"/>
        <v>711276229</v>
      </c>
      <c r="K157" s="2680">
        <f>+J157/H157</f>
        <v>-0.20949121296585985</v>
      </c>
      <c r="L157" s="1769">
        <f t="shared" ref="L157:O160" si="56">+F157-E157</f>
        <v>-644631957</v>
      </c>
      <c r="M157" s="1769">
        <f t="shared" si="56"/>
        <v>0</v>
      </c>
      <c r="N157" s="2772">
        <f t="shared" si="56"/>
        <v>-95597814</v>
      </c>
      <c r="O157" s="1766">
        <f t="shared" si="56"/>
        <v>0</v>
      </c>
      <c r="P157" s="1735">
        <f>+E157-C157</f>
        <v>4320363594.1996841</v>
      </c>
      <c r="Q157" s="1767"/>
      <c r="R157" s="1770">
        <v>-1942719390</v>
      </c>
      <c r="S157" s="1735">
        <f>SUM(S156:V156)</f>
        <v>44033915752</v>
      </c>
      <c r="T157" s="1735"/>
      <c r="U157" s="1735"/>
      <c r="V157" s="1735">
        <f>+H153-S157</f>
        <v>0</v>
      </c>
      <c r="W157" s="1735">
        <f>+'8. mell. Intézmények összesen'!I36</f>
        <v>14350648875</v>
      </c>
      <c r="AB157" s="1770">
        <v>-4629443481</v>
      </c>
      <c r="AC157" s="1734">
        <f t="shared" si="48"/>
        <v>0</v>
      </c>
    </row>
    <row r="158" spans="1:29" ht="26.25" thickBot="1">
      <c r="A158" s="2771" t="s">
        <v>14</v>
      </c>
      <c r="B158" s="1768" t="s">
        <v>389</v>
      </c>
      <c r="C158" s="1769">
        <f>+C87-C152</f>
        <v>6975389495</v>
      </c>
      <c r="D158" s="2721">
        <f>+D87-D152</f>
        <v>7964075438</v>
      </c>
      <c r="E158" s="1769">
        <f t="shared" ref="E158:J158" si="57">+E87-E152</f>
        <v>2655025901</v>
      </c>
      <c r="F158" s="1769">
        <f t="shared" si="57"/>
        <v>3299657858</v>
      </c>
      <c r="G158" s="1769">
        <f t="shared" si="57"/>
        <v>3299657858</v>
      </c>
      <c r="H158" s="1769">
        <f t="shared" si="57"/>
        <v>3395255672</v>
      </c>
      <c r="I158" s="1769">
        <f t="shared" si="57"/>
        <v>3395255672</v>
      </c>
      <c r="J158" s="1770">
        <f t="shared" si="57"/>
        <v>1186635672</v>
      </c>
      <c r="K158" s="2680">
        <f>+J158/H158</f>
        <v>0.34949817823321788</v>
      </c>
      <c r="L158" s="1769">
        <f t="shared" si="56"/>
        <v>644631957</v>
      </c>
      <c r="M158" s="1769">
        <f t="shared" si="56"/>
        <v>0</v>
      </c>
      <c r="N158" s="2772">
        <f t="shared" si="56"/>
        <v>95597814</v>
      </c>
      <c r="O158" s="2766">
        <f t="shared" si="56"/>
        <v>0</v>
      </c>
      <c r="P158" s="1735">
        <f>+E158-C158</f>
        <v>-4320363594</v>
      </c>
      <c r="Q158" s="1767"/>
      <c r="R158" s="1770">
        <v>7747200372</v>
      </c>
      <c r="S158" s="1735">
        <f>+S156-S157</f>
        <v>14350648875</v>
      </c>
      <c r="T158" s="1735"/>
      <c r="U158" s="1735"/>
      <c r="W158" s="1735"/>
      <c r="AB158" s="1770">
        <v>7964075438</v>
      </c>
      <c r="AC158" s="1734">
        <f t="shared" si="48"/>
        <v>0</v>
      </c>
    </row>
    <row r="159" spans="1:29" ht="13.5" hidden="1" thickBot="1">
      <c r="A159" s="2771"/>
      <c r="B159" s="1771"/>
      <c r="C159" s="1769"/>
      <c r="D159" s="2721"/>
      <c r="E159" s="1769"/>
      <c r="F159" s="1769"/>
      <c r="G159" s="1769"/>
      <c r="H159" s="1769"/>
      <c r="I159" s="1769"/>
      <c r="J159" s="1770"/>
      <c r="K159" s="2680" t="e">
        <f>+J159/H159</f>
        <v>#DIV/0!</v>
      </c>
      <c r="L159" s="1769"/>
      <c r="M159" s="1769">
        <f t="shared" si="56"/>
        <v>0</v>
      </c>
      <c r="N159" s="2772">
        <f t="shared" si="56"/>
        <v>0</v>
      </c>
      <c r="O159" s="1749">
        <f t="shared" si="56"/>
        <v>0</v>
      </c>
      <c r="P159" s="1735">
        <f>+E159-C159</f>
        <v>0</v>
      </c>
      <c r="Q159" s="1749"/>
      <c r="R159" s="1770"/>
      <c r="AB159" s="1770"/>
      <c r="AC159" s="1734">
        <f t="shared" si="48"/>
        <v>0</v>
      </c>
    </row>
    <row r="160" spans="1:29" ht="26.25" thickBot="1">
      <c r="A160" s="2771" t="s">
        <v>15</v>
      </c>
      <c r="B160" s="1768" t="s">
        <v>4294</v>
      </c>
      <c r="C160" s="2681">
        <f>+'5. mell.Önk-i mérleg'!C154</f>
        <v>1230.325</v>
      </c>
      <c r="D160" s="2722">
        <f>+'5. mell.Önk-i mérleg'!D154</f>
        <v>1240</v>
      </c>
      <c r="E160" s="2681">
        <f>+'5. mell.Önk-i mérleg'!E154</f>
        <v>1267.825</v>
      </c>
      <c r="F160" s="2681">
        <f>+'5. mell.Önk-i mérleg'!F154</f>
        <v>1267.825</v>
      </c>
      <c r="G160" s="2681">
        <f>+'5. mell.Önk-i mérleg'!G154</f>
        <v>1234.825</v>
      </c>
      <c r="H160" s="2681">
        <f>+'5. mell.Önk-i mérleg'!H154</f>
        <v>1234.825</v>
      </c>
      <c r="I160" s="2681">
        <f>+'5. mell.Önk-i mérleg'!I154</f>
        <v>1234.825</v>
      </c>
      <c r="J160" s="3418">
        <f>+'5. mell.Önk-i mérleg'!J154</f>
        <v>1243</v>
      </c>
      <c r="K160" s="2680">
        <f>+J160/H160</f>
        <v>1.0066203713076751</v>
      </c>
      <c r="L160" s="2682">
        <f t="shared" si="56"/>
        <v>0</v>
      </c>
      <c r="M160" s="2681">
        <f t="shared" si="56"/>
        <v>-33</v>
      </c>
      <c r="N160" s="2773">
        <f t="shared" si="56"/>
        <v>0</v>
      </c>
      <c r="O160" s="1766">
        <f t="shared" si="56"/>
        <v>0</v>
      </c>
      <c r="P160" s="1772">
        <f>+E160-C160</f>
        <v>37.5</v>
      </c>
      <c r="Q160" s="1773"/>
      <c r="R160" s="1782">
        <v>0</v>
      </c>
      <c r="S160" s="1751"/>
      <c r="T160" s="1751"/>
      <c r="U160" s="1751"/>
      <c r="W160" s="1735"/>
      <c r="AB160" s="2678">
        <v>1240</v>
      </c>
      <c r="AC160" s="1734">
        <f t="shared" si="48"/>
        <v>0</v>
      </c>
    </row>
    <row r="161" spans="1:29" ht="13.5" thickBot="1">
      <c r="A161" s="2774" t="s">
        <v>17</v>
      </c>
      <c r="B161" s="2775" t="s">
        <v>4209</v>
      </c>
      <c r="C161" s="2776">
        <f t="shared" ref="C161:J161" si="58">+C88-C153</f>
        <v>6.999969482421875E-2</v>
      </c>
      <c r="D161" s="2777">
        <f t="shared" si="58"/>
        <v>3334631957</v>
      </c>
      <c r="E161" s="2776">
        <f t="shared" si="58"/>
        <v>0.269683837890625</v>
      </c>
      <c r="F161" s="2776">
        <f>+F88-F153</f>
        <v>0.269683837890625</v>
      </c>
      <c r="G161" s="2776">
        <f t="shared" si="58"/>
        <v>0.269683837890625</v>
      </c>
      <c r="H161" s="2776">
        <f t="shared" si="58"/>
        <v>0.269683837890625</v>
      </c>
      <c r="I161" s="2776">
        <f t="shared" si="58"/>
        <v>0.269683837890625</v>
      </c>
      <c r="J161" s="2778">
        <f t="shared" si="58"/>
        <v>1897911901</v>
      </c>
      <c r="K161" s="2779"/>
      <c r="L161" s="2780">
        <f>+L88-L153</f>
        <v>0</v>
      </c>
      <c r="M161" s="2780">
        <f>+M88-M153</f>
        <v>0</v>
      </c>
      <c r="N161" s="2887">
        <f>+N88-N153</f>
        <v>0</v>
      </c>
      <c r="O161" s="1764">
        <f>+O88-O153</f>
        <v>0</v>
      </c>
      <c r="Q161" s="1775"/>
      <c r="R161" s="1776">
        <v>5804480982</v>
      </c>
      <c r="S161" s="1764"/>
      <c r="T161" s="1764"/>
      <c r="U161" s="1764"/>
      <c r="AB161" s="1776">
        <v>3334631957</v>
      </c>
      <c r="AC161" s="1734">
        <f t="shared" si="48"/>
        <v>0</v>
      </c>
    </row>
    <row r="162" spans="1:29" hidden="1">
      <c r="B162" s="1777"/>
      <c r="C162" s="1778"/>
      <c r="D162" s="1778">
        <f>+D88-D153</f>
        <v>3334631957</v>
      </c>
      <c r="E162" s="1778">
        <f t="shared" ref="E162:R162" si="59">+E88-E153</f>
        <v>0.269683837890625</v>
      </c>
      <c r="F162" s="1778">
        <f t="shared" si="59"/>
        <v>0.269683837890625</v>
      </c>
      <c r="G162" s="1778">
        <f t="shared" si="59"/>
        <v>0.269683837890625</v>
      </c>
      <c r="H162" s="1778">
        <f t="shared" si="59"/>
        <v>0.269683837890625</v>
      </c>
      <c r="I162" s="1778">
        <f t="shared" si="59"/>
        <v>0.269683837890625</v>
      </c>
      <c r="J162" s="1778">
        <f t="shared" si="59"/>
        <v>1897911901</v>
      </c>
      <c r="K162" s="1778">
        <f t="shared" si="59"/>
        <v>4.3101138482276369E-2</v>
      </c>
      <c r="L162" s="1778">
        <f t="shared" si="59"/>
        <v>0</v>
      </c>
      <c r="M162" s="1778">
        <f t="shared" si="59"/>
        <v>0</v>
      </c>
      <c r="N162" s="1778">
        <f t="shared" si="59"/>
        <v>0</v>
      </c>
      <c r="O162" s="1778">
        <f t="shared" si="59"/>
        <v>0</v>
      </c>
      <c r="P162" s="1778">
        <f t="shared" si="59"/>
        <v>0.19968414306640625</v>
      </c>
      <c r="Q162" s="1778">
        <f t="shared" si="59"/>
        <v>0</v>
      </c>
      <c r="R162" s="1778">
        <f t="shared" si="59"/>
        <v>5804480982</v>
      </c>
      <c r="S162" s="1599"/>
      <c r="T162" s="1599"/>
      <c r="U162" s="1599"/>
    </row>
    <row r="163" spans="1:29" hidden="1">
      <c r="C163" s="1779"/>
      <c r="D163" s="1779"/>
      <c r="E163" s="1779"/>
      <c r="F163" s="1735"/>
      <c r="J163" s="1735">
        <v>1897911901</v>
      </c>
      <c r="K163" s="1775"/>
      <c r="Q163" s="1775"/>
      <c r="R163" s="1775"/>
      <c r="S163" s="169"/>
      <c r="T163" s="169"/>
      <c r="U163" s="169"/>
    </row>
    <row r="164" spans="1:29" hidden="1">
      <c r="C164" s="1779"/>
      <c r="D164" s="1779"/>
      <c r="E164" s="1779">
        <f>-E161+F161</f>
        <v>0</v>
      </c>
      <c r="F164" s="1735"/>
      <c r="J164" s="1735">
        <f>+J161-J163</f>
        <v>0</v>
      </c>
      <c r="K164"/>
      <c r="L164"/>
      <c r="M164"/>
      <c r="N164"/>
      <c r="O164"/>
      <c r="P164" s="1775"/>
      <c r="Q164" s="1775"/>
      <c r="R164" s="1775"/>
      <c r="S164" s="169"/>
      <c r="T164" s="169"/>
      <c r="U164" s="169"/>
    </row>
    <row r="165" spans="1:29" hidden="1">
      <c r="C165" s="1735"/>
      <c r="E165" s="1764">
        <f>-E161+G161</f>
        <v>0</v>
      </c>
      <c r="F165" s="1735"/>
      <c r="J165" s="1735"/>
      <c r="P165" s="1775"/>
      <c r="Q165" s="1775"/>
      <c r="R165" s="1775"/>
      <c r="S165" s="169"/>
      <c r="T165" s="169"/>
      <c r="U165" s="169"/>
    </row>
    <row r="166" spans="1:29" hidden="1">
      <c r="C166" s="1735"/>
      <c r="E166" s="1764">
        <f>-E161+H161</f>
        <v>0</v>
      </c>
      <c r="F166" s="1735"/>
      <c r="J166" s="1735"/>
      <c r="P166" s="1775"/>
      <c r="Q166" s="1791"/>
      <c r="R166" s="1791"/>
      <c r="S166" s="169"/>
      <c r="T166" s="169"/>
      <c r="U166" s="169"/>
    </row>
    <row r="167" spans="1:29">
      <c r="C167" s="1775">
        <v>41860259125.120003</v>
      </c>
      <c r="E167" s="2257"/>
      <c r="F167" s="1735"/>
      <c r="G167" s="2205"/>
      <c r="J167" s="1735"/>
      <c r="K167" s="2258"/>
      <c r="P167" s="1775"/>
      <c r="Q167" s="1775"/>
      <c r="R167" s="1775"/>
      <c r="S167" s="169"/>
      <c r="T167" s="169"/>
      <c r="U167" s="169"/>
    </row>
    <row r="168" spans="1:29">
      <c r="C168" s="1735">
        <f>+C153-C167</f>
        <v>0</v>
      </c>
      <c r="D168" s="1735"/>
      <c r="E168" s="1735"/>
      <c r="F168" s="1735"/>
      <c r="H168" s="1735"/>
      <c r="I168" s="1735"/>
      <c r="J168" s="1735"/>
      <c r="K168" s="2258"/>
      <c r="L168" s="1735"/>
      <c r="M168" s="1735"/>
      <c r="N168" s="1735"/>
      <c r="O168" s="1735"/>
      <c r="P168" s="1775"/>
      <c r="Q168" s="1775"/>
      <c r="R168" s="1775"/>
      <c r="S168" s="169"/>
      <c r="T168" s="169"/>
      <c r="U168" s="169"/>
    </row>
    <row r="169" spans="1:29">
      <c r="B169" s="1777"/>
      <c r="C169" s="1735"/>
      <c r="D169" s="1735"/>
      <c r="E169" s="1735"/>
      <c r="F169" s="1735"/>
      <c r="H169" s="1735"/>
      <c r="I169" s="1735"/>
      <c r="J169" s="1735"/>
      <c r="K169" s="2258"/>
      <c r="L169" s="1735"/>
      <c r="M169" s="1735"/>
      <c r="N169" s="1735"/>
      <c r="O169" s="1735"/>
      <c r="P169" s="1735"/>
      <c r="Q169" s="1775"/>
      <c r="R169" s="1775"/>
      <c r="S169" s="169"/>
      <c r="T169" s="169"/>
      <c r="U169" s="169"/>
    </row>
    <row r="170" spans="1:29">
      <c r="C170" s="1735"/>
      <c r="D170" s="1735"/>
      <c r="E170" s="1735"/>
      <c r="F170" s="1735"/>
      <c r="H170" s="1735"/>
      <c r="I170" s="1735"/>
      <c r="J170" s="1735"/>
      <c r="K170" s="2258"/>
      <c r="L170" s="1735"/>
      <c r="M170" s="1735"/>
      <c r="N170" s="1735"/>
      <c r="O170" s="1735"/>
      <c r="P170" s="1735"/>
      <c r="Q170" s="1775"/>
      <c r="R170" s="1775"/>
      <c r="S170" s="212"/>
      <c r="T170" s="212"/>
      <c r="U170" s="212"/>
    </row>
    <row r="171" spans="1:29">
      <c r="C171" s="1735"/>
      <c r="D171" s="1735"/>
      <c r="E171" s="1735"/>
      <c r="F171" s="1735"/>
      <c r="H171" s="1735"/>
      <c r="I171" s="1735"/>
      <c r="J171" s="1735"/>
      <c r="K171" s="2258"/>
      <c r="L171" s="1735"/>
      <c r="M171" s="1735"/>
      <c r="N171" s="1735"/>
      <c r="O171" s="1735"/>
      <c r="P171" s="1735"/>
      <c r="Q171" s="1775"/>
      <c r="R171" s="1775">
        <f>+J161-R161</f>
        <v>-3906569081</v>
      </c>
      <c r="S171" s="212"/>
      <c r="T171" s="212"/>
      <c r="U171" s="212"/>
    </row>
    <row r="172" spans="1:29">
      <c r="C172" s="1764"/>
      <c r="D172" s="1735"/>
      <c r="E172" s="1761"/>
      <c r="F172" s="1761"/>
      <c r="G172" s="1761"/>
      <c r="H172" s="1761"/>
      <c r="I172" s="1761"/>
      <c r="J172" s="1761"/>
      <c r="K172" s="2258"/>
      <c r="L172" s="1761"/>
      <c r="M172" s="1761"/>
      <c r="N172" s="1761"/>
      <c r="O172" s="1761"/>
      <c r="P172" s="1761"/>
      <c r="Q172" s="1775"/>
      <c r="R172" s="1775">
        <v>-1251827288</v>
      </c>
    </row>
    <row r="173" spans="1:29">
      <c r="C173" s="1735"/>
      <c r="D173" s="1735"/>
      <c r="E173" s="1735"/>
      <c r="F173" s="1735"/>
      <c r="H173" s="1735"/>
      <c r="I173" s="1735"/>
      <c r="J173" s="1735"/>
      <c r="K173" s="2258"/>
      <c r="L173" s="1735"/>
      <c r="M173" s="1735"/>
      <c r="N173" s="1735"/>
      <c r="O173" s="1735"/>
      <c r="P173" s="1735"/>
      <c r="Q173" s="1775"/>
      <c r="R173" s="1775">
        <f>+R171-R172</f>
        <v>-2654741793</v>
      </c>
    </row>
    <row r="174" spans="1:29">
      <c r="C174" s="1735"/>
      <c r="D174" s="1735"/>
      <c r="E174" s="1735"/>
      <c r="F174" s="1735"/>
      <c r="H174" s="1735"/>
      <c r="I174" s="1735"/>
      <c r="J174" s="1735"/>
      <c r="K174" s="2258"/>
      <c r="L174" s="1735"/>
      <c r="M174" s="1735"/>
      <c r="N174" s="1735"/>
      <c r="O174" s="1735"/>
      <c r="P174" s="1735"/>
      <c r="Q174" s="1775"/>
      <c r="R174" s="1775"/>
    </row>
    <row r="175" spans="1:29">
      <c r="C175" s="1735"/>
      <c r="E175" s="1775"/>
      <c r="F175" s="1735"/>
      <c r="J175" s="1735"/>
      <c r="K175" s="2258"/>
      <c r="Q175" s="1775"/>
      <c r="R175" s="1775"/>
    </row>
    <row r="176" spans="1:29">
      <c r="C176" s="1735"/>
      <c r="E176" s="1775"/>
      <c r="F176" s="1735"/>
      <c r="J176" s="1735"/>
      <c r="K176" s="2258"/>
      <c r="Q176" s="1775"/>
      <c r="R176" s="1775"/>
    </row>
    <row r="177" spans="3:18">
      <c r="C177" s="1735"/>
      <c r="E177" s="1775"/>
      <c r="F177" s="1735"/>
      <c r="J177" s="1735"/>
      <c r="K177" s="1735"/>
      <c r="Q177" s="1775"/>
      <c r="R177" s="1775"/>
    </row>
    <row r="178" spans="3:18">
      <c r="C178" s="1735"/>
      <c r="E178" s="1775"/>
      <c r="F178" s="1735"/>
      <c r="J178" s="1735"/>
      <c r="K178" s="1735"/>
      <c r="Q178" s="1775"/>
      <c r="R178" s="1775"/>
    </row>
    <row r="179" spans="3:18">
      <c r="C179" s="1735"/>
      <c r="E179" s="1775"/>
      <c r="F179" s="1735"/>
      <c r="J179" s="1735"/>
      <c r="K179" s="1761"/>
      <c r="Q179" s="1775"/>
      <c r="R179" s="1775"/>
    </row>
    <row r="180" spans="3:18">
      <c r="C180" s="1735"/>
      <c r="E180" s="1775"/>
      <c r="F180" s="1735"/>
      <c r="J180" s="1735"/>
      <c r="K180" s="1761"/>
      <c r="Q180" s="1775"/>
      <c r="R180" s="1775"/>
    </row>
    <row r="181" spans="3:18">
      <c r="C181" s="1735"/>
      <c r="E181" s="1775"/>
      <c r="F181" s="1735"/>
      <c r="J181" s="1735"/>
      <c r="K181" s="2258"/>
      <c r="Q181" s="1775"/>
      <c r="R181" s="1775"/>
    </row>
    <row r="182" spans="3:18">
      <c r="C182" s="1735"/>
      <c r="E182" s="1775"/>
      <c r="F182" s="1735"/>
      <c r="J182" s="1735"/>
      <c r="K182" s="2258"/>
      <c r="Q182" s="1775"/>
      <c r="R182" s="1775"/>
    </row>
    <row r="183" spans="3:18">
      <c r="C183" s="1735"/>
      <c r="E183" s="1775"/>
      <c r="F183" s="1735"/>
      <c r="J183" s="1735"/>
      <c r="K183" s="2258"/>
      <c r="Q183" s="1775"/>
      <c r="R183" s="1775"/>
    </row>
    <row r="184" spans="3:18">
      <c r="C184" s="1735"/>
      <c r="E184" s="1775"/>
      <c r="F184" s="1735"/>
      <c r="J184" s="1735"/>
      <c r="Q184" s="1775"/>
      <c r="R184" s="1775"/>
    </row>
    <row r="185" spans="3:18">
      <c r="C185" s="1735"/>
      <c r="E185" s="1775"/>
      <c r="F185" s="1735"/>
      <c r="J185" s="1735"/>
      <c r="Q185" s="1775"/>
      <c r="R185" s="1775"/>
    </row>
    <row r="186" spans="3:18">
      <c r="C186" s="1735"/>
      <c r="E186" s="1775"/>
      <c r="F186" s="1735"/>
      <c r="J186" s="1735"/>
      <c r="Q186" s="1775"/>
      <c r="R186" s="1775"/>
    </row>
    <row r="187" spans="3:18">
      <c r="C187" s="1735"/>
      <c r="E187" s="1775"/>
      <c r="F187" s="1735"/>
      <c r="J187" s="1735"/>
      <c r="Q187" s="1775"/>
      <c r="R187" s="1775"/>
    </row>
    <row r="188" spans="3:18">
      <c r="C188" s="1735"/>
      <c r="E188" s="1775"/>
      <c r="F188" s="1735"/>
      <c r="J188" s="1735"/>
      <c r="Q188" s="1775"/>
      <c r="R188" s="1775"/>
    </row>
    <row r="189" spans="3:18">
      <c r="C189" s="1735"/>
      <c r="E189" s="1775"/>
      <c r="F189" s="1735"/>
      <c r="J189" s="1735"/>
      <c r="Q189" s="1775"/>
      <c r="R189" s="1775"/>
    </row>
    <row r="190" spans="3:18">
      <c r="C190" s="1735"/>
      <c r="E190" s="1775"/>
      <c r="F190" s="1735"/>
      <c r="J190" s="1735"/>
      <c r="Q190" s="1775"/>
      <c r="R190" s="1775"/>
    </row>
    <row r="191" spans="3:18">
      <c r="C191" s="1735"/>
      <c r="E191" s="1775"/>
      <c r="F191" s="1735"/>
      <c r="J191" s="1735"/>
      <c r="Q191" s="1775"/>
      <c r="R191" s="1775"/>
    </row>
    <row r="192" spans="3:18">
      <c r="C192" s="1735"/>
      <c r="E192" s="1775"/>
      <c r="F192" s="1735"/>
      <c r="J192" s="1735"/>
      <c r="Q192" s="1775"/>
      <c r="R192" s="1775"/>
    </row>
    <row r="193" spans="3:18">
      <c r="C193" s="1735"/>
      <c r="E193" s="1775"/>
      <c r="F193" s="1735"/>
      <c r="J193" s="1735"/>
      <c r="Q193" s="1775"/>
      <c r="R193" s="1775"/>
    </row>
    <row r="194" spans="3:18">
      <c r="C194" s="1735"/>
      <c r="E194" s="1775"/>
      <c r="F194" s="1735"/>
      <c r="J194" s="1735"/>
      <c r="Q194" s="1775"/>
      <c r="R194" s="1775"/>
    </row>
    <row r="195" spans="3:18">
      <c r="C195" s="1735"/>
      <c r="E195" s="1775"/>
      <c r="F195" s="1735"/>
      <c r="J195" s="1735"/>
      <c r="Q195" s="1775"/>
      <c r="R195" s="1775"/>
    </row>
    <row r="196" spans="3:18">
      <c r="C196" s="1735"/>
      <c r="E196" s="1775"/>
      <c r="F196" s="1735"/>
      <c r="J196" s="1735"/>
      <c r="Q196" s="1775"/>
      <c r="R196" s="1775"/>
    </row>
    <row r="197" spans="3:18">
      <c r="C197" s="1735"/>
      <c r="E197" s="1775"/>
      <c r="F197" s="1735"/>
      <c r="J197" s="1735"/>
      <c r="Q197" s="1775"/>
      <c r="R197" s="1775"/>
    </row>
    <row r="198" spans="3:18">
      <c r="C198" s="1735"/>
      <c r="E198" s="1775"/>
      <c r="F198" s="1735"/>
      <c r="J198" s="1735"/>
      <c r="Q198" s="1775"/>
      <c r="R198" s="1775"/>
    </row>
    <row r="199" spans="3:18">
      <c r="C199" s="1735"/>
      <c r="E199" s="1775"/>
      <c r="F199" s="1735"/>
      <c r="J199" s="1735"/>
      <c r="Q199" s="1775"/>
      <c r="R199" s="1775"/>
    </row>
    <row r="200" spans="3:18">
      <c r="C200" s="1735"/>
      <c r="E200" s="1775"/>
      <c r="F200" s="1735"/>
      <c r="J200" s="1735"/>
      <c r="Q200" s="1775"/>
      <c r="R200" s="1775"/>
    </row>
    <row r="201" spans="3:18">
      <c r="C201" s="1735"/>
      <c r="E201" s="1775"/>
      <c r="F201" s="1735"/>
      <c r="J201" s="1735"/>
      <c r="Q201" s="1775"/>
      <c r="R201" s="1775"/>
    </row>
    <row r="202" spans="3:18">
      <c r="C202" s="1735"/>
      <c r="E202" s="1775"/>
      <c r="F202" s="1735"/>
      <c r="J202" s="1735"/>
      <c r="Q202" s="1775"/>
      <c r="R202" s="1775"/>
    </row>
    <row r="203" spans="3:18">
      <c r="C203" s="1735"/>
      <c r="E203" s="1775"/>
      <c r="F203" s="1735"/>
      <c r="J203" s="1735"/>
      <c r="Q203" s="1775"/>
      <c r="R203" s="1775"/>
    </row>
    <row r="204" spans="3:18">
      <c r="C204" s="1735"/>
      <c r="E204" s="1775"/>
      <c r="F204" s="1735"/>
      <c r="J204" s="1735"/>
      <c r="Q204" s="1775"/>
      <c r="R204" s="1775"/>
    </row>
    <row r="205" spans="3:18">
      <c r="C205" s="1735"/>
      <c r="E205" s="1775"/>
      <c r="F205" s="1735"/>
      <c r="J205" s="1735"/>
      <c r="Q205" s="1775"/>
      <c r="R205" s="1775"/>
    </row>
    <row r="206" spans="3:18">
      <c r="C206" s="1735"/>
      <c r="E206" s="1775"/>
      <c r="F206" s="1735"/>
      <c r="J206" s="1735"/>
      <c r="Q206" s="1775"/>
      <c r="R206" s="1775"/>
    </row>
    <row r="207" spans="3:18">
      <c r="C207" s="1735"/>
      <c r="E207" s="1775"/>
      <c r="F207" s="1735"/>
      <c r="J207" s="1735"/>
      <c r="Q207" s="1775"/>
      <c r="R207" s="1775"/>
    </row>
    <row r="208" spans="3:18">
      <c r="C208" s="1735"/>
      <c r="E208" s="1775"/>
      <c r="F208" s="1735"/>
      <c r="J208" s="1735"/>
      <c r="Q208" s="1775"/>
      <c r="R208" s="1775"/>
    </row>
    <row r="209" spans="3:18">
      <c r="C209" s="1735"/>
      <c r="E209" s="1775"/>
      <c r="F209" s="1735"/>
      <c r="J209" s="1735"/>
      <c r="Q209" s="1775"/>
      <c r="R209" s="1775"/>
    </row>
    <row r="210" spans="3:18">
      <c r="C210" s="1735"/>
      <c r="E210" s="1775"/>
      <c r="F210" s="1735"/>
      <c r="J210" s="1735"/>
      <c r="Q210" s="1775"/>
      <c r="R210" s="1775"/>
    </row>
    <row r="211" spans="3:18">
      <c r="C211" s="1735"/>
      <c r="E211" s="1775"/>
      <c r="F211" s="1735"/>
      <c r="J211" s="1735"/>
      <c r="Q211" s="1775"/>
      <c r="R211" s="1775"/>
    </row>
    <row r="212" spans="3:18">
      <c r="C212" s="1735"/>
      <c r="E212" s="1775"/>
      <c r="F212" s="1735"/>
      <c r="J212" s="1735"/>
      <c r="Q212" s="1775"/>
      <c r="R212" s="1775"/>
    </row>
    <row r="213" spans="3:18">
      <c r="C213" s="1735"/>
      <c r="E213" s="1775"/>
      <c r="F213" s="1735"/>
      <c r="J213" s="1735"/>
      <c r="Q213" s="1775"/>
      <c r="R213" s="1775"/>
    </row>
    <row r="214" spans="3:18">
      <c r="C214" s="1735"/>
      <c r="E214" s="1775"/>
      <c r="F214" s="1735"/>
      <c r="J214" s="1735"/>
      <c r="Q214" s="1775"/>
      <c r="R214" s="1775"/>
    </row>
    <row r="215" spans="3:18">
      <c r="C215" s="1735"/>
      <c r="E215" s="1775"/>
      <c r="F215" s="1735"/>
      <c r="J215" s="1735"/>
      <c r="Q215" s="1775"/>
      <c r="R215" s="1775"/>
    </row>
    <row r="216" spans="3:18">
      <c r="C216" s="1735"/>
      <c r="E216" s="1775"/>
      <c r="F216" s="1735"/>
      <c r="J216" s="1735"/>
      <c r="Q216" s="1775"/>
      <c r="R216" s="1775"/>
    </row>
    <row r="217" spans="3:18">
      <c r="C217" s="1735"/>
      <c r="E217" s="1775"/>
      <c r="F217" s="1735"/>
      <c r="J217" s="1735"/>
      <c r="Q217" s="1775"/>
      <c r="R217" s="1775"/>
    </row>
    <row r="218" spans="3:18">
      <c r="C218" s="1735"/>
      <c r="E218" s="1775"/>
      <c r="F218" s="1735"/>
      <c r="J218" s="1735"/>
      <c r="Q218" s="1775"/>
      <c r="R218" s="1775"/>
    </row>
    <row r="219" spans="3:18">
      <c r="C219" s="1735"/>
      <c r="E219" s="1775"/>
      <c r="F219" s="1735"/>
      <c r="J219" s="1735"/>
      <c r="Q219" s="1775"/>
      <c r="R219" s="1775"/>
    </row>
    <row r="220" spans="3:18">
      <c r="C220" s="1735"/>
      <c r="E220" s="1775"/>
      <c r="F220" s="1735"/>
      <c r="J220" s="1735"/>
      <c r="Q220" s="1775"/>
      <c r="R220" s="1775"/>
    </row>
    <row r="221" spans="3:18">
      <c r="C221" s="1735"/>
      <c r="E221" s="1775"/>
      <c r="F221" s="1735"/>
      <c r="J221" s="1735"/>
      <c r="Q221" s="1775"/>
      <c r="R221" s="1775"/>
    </row>
    <row r="222" spans="3:18">
      <c r="C222" s="1735"/>
      <c r="E222" s="1775"/>
      <c r="F222" s="1735"/>
      <c r="J222" s="1735"/>
      <c r="Q222" s="1775"/>
      <c r="R222" s="1775"/>
    </row>
    <row r="223" spans="3:18">
      <c r="C223" s="1735"/>
      <c r="E223" s="1775"/>
      <c r="F223" s="1735"/>
      <c r="J223" s="1735"/>
      <c r="Q223" s="1775"/>
      <c r="R223" s="1775"/>
    </row>
    <row r="224" spans="3:18">
      <c r="C224" s="1735"/>
      <c r="E224" s="1775"/>
      <c r="F224" s="1735"/>
      <c r="J224" s="1735"/>
      <c r="Q224" s="1775"/>
      <c r="R224" s="1775"/>
    </row>
    <row r="225" spans="3:18">
      <c r="C225" s="1735"/>
      <c r="E225" s="1775"/>
      <c r="F225" s="1735"/>
      <c r="J225" s="1735"/>
      <c r="Q225" s="1775"/>
      <c r="R225" s="1775"/>
    </row>
    <row r="226" spans="3:18">
      <c r="C226" s="1735"/>
      <c r="E226" s="1775"/>
      <c r="F226" s="1735"/>
      <c r="J226" s="1735"/>
      <c r="Q226" s="1775"/>
      <c r="R226" s="1775"/>
    </row>
    <row r="227" spans="3:18">
      <c r="C227" s="1735"/>
      <c r="E227" s="1775"/>
      <c r="F227" s="1735"/>
      <c r="J227" s="1735"/>
      <c r="Q227" s="1775"/>
      <c r="R227" s="1775"/>
    </row>
    <row r="228" spans="3:18">
      <c r="C228" s="1735"/>
      <c r="E228" s="1775"/>
      <c r="F228" s="1735"/>
      <c r="J228" s="1735"/>
      <c r="Q228" s="1775"/>
      <c r="R228" s="1775"/>
    </row>
    <row r="229" spans="3:18">
      <c r="C229" s="1735"/>
      <c r="E229" s="1775"/>
      <c r="F229" s="1735"/>
      <c r="J229" s="1735"/>
      <c r="Q229" s="1775"/>
      <c r="R229" s="1775"/>
    </row>
    <row r="230" spans="3:18">
      <c r="C230" s="1735"/>
      <c r="E230" s="1775"/>
      <c r="F230" s="1735"/>
      <c r="J230" s="1735"/>
      <c r="Q230" s="1775"/>
      <c r="R230" s="1775"/>
    </row>
    <row r="231" spans="3:18">
      <c r="C231" s="1735"/>
      <c r="E231" s="1775"/>
      <c r="F231" s="1735"/>
      <c r="J231" s="1735"/>
      <c r="Q231" s="1775"/>
      <c r="R231" s="1775"/>
    </row>
    <row r="232" spans="3:18">
      <c r="C232" s="1735"/>
      <c r="E232" s="1775"/>
      <c r="F232" s="1735"/>
      <c r="J232" s="1735"/>
      <c r="Q232" s="1775"/>
      <c r="R232" s="1775"/>
    </row>
    <row r="233" spans="3:18">
      <c r="C233" s="1735"/>
      <c r="E233" s="1775"/>
      <c r="F233" s="1735"/>
      <c r="J233" s="1735"/>
      <c r="Q233" s="1775"/>
      <c r="R233" s="1775"/>
    </row>
    <row r="234" spans="3:18">
      <c r="C234" s="1735"/>
      <c r="E234" s="1775"/>
      <c r="F234" s="1735"/>
      <c r="J234" s="1735"/>
      <c r="Q234" s="1775"/>
      <c r="R234" s="1775"/>
    </row>
    <row r="235" spans="3:18">
      <c r="C235" s="1735"/>
      <c r="E235" s="1775"/>
      <c r="F235" s="1735"/>
      <c r="J235" s="1735"/>
      <c r="Q235" s="1775"/>
      <c r="R235" s="1775"/>
    </row>
    <row r="236" spans="3:18">
      <c r="C236" s="1735"/>
      <c r="E236" s="1775"/>
      <c r="F236" s="1735"/>
      <c r="J236" s="1735"/>
      <c r="Q236" s="1775"/>
      <c r="R236" s="1775"/>
    </row>
    <row r="237" spans="3:18">
      <c r="C237" s="1735"/>
      <c r="E237" s="1775"/>
      <c r="F237" s="1735"/>
      <c r="J237" s="1735"/>
      <c r="Q237" s="1775"/>
      <c r="R237" s="1775"/>
    </row>
    <row r="238" spans="3:18">
      <c r="C238" s="1735"/>
      <c r="D238" s="1780"/>
      <c r="E238" s="1775"/>
      <c r="F238" s="1735"/>
      <c r="J238" s="1735"/>
      <c r="Q238" s="1775"/>
      <c r="R238" s="1775"/>
    </row>
    <row r="239" spans="3:18">
      <c r="C239" s="1735"/>
      <c r="E239" s="1775"/>
      <c r="F239" s="1735"/>
      <c r="J239" s="1735"/>
      <c r="Q239" s="1775"/>
      <c r="R239" s="1775"/>
    </row>
    <row r="240" spans="3:18">
      <c r="C240" s="1735"/>
      <c r="E240" s="1775"/>
      <c r="F240" s="1735"/>
      <c r="J240" s="1735"/>
      <c r="Q240" s="1775"/>
      <c r="R240" s="1775"/>
    </row>
    <row r="241" spans="3:18" hidden="1">
      <c r="C241" s="1735"/>
      <c r="E241" s="1775"/>
      <c r="F241" s="1735"/>
      <c r="J241" s="1735"/>
      <c r="Q241" s="1775"/>
      <c r="R241" s="1775"/>
    </row>
    <row r="242" spans="3:18" hidden="1">
      <c r="C242" s="1735"/>
      <c r="D242" s="1781"/>
      <c r="E242" s="1775"/>
      <c r="F242" s="1735"/>
      <c r="J242" s="1735"/>
      <c r="Q242" s="1775"/>
      <c r="R242" s="1775"/>
    </row>
    <row r="243" spans="3:18" hidden="1">
      <c r="C243" s="1735"/>
      <c r="E243" s="1775"/>
      <c r="F243" s="1735"/>
      <c r="J243" s="1735"/>
      <c r="Q243" s="1775"/>
      <c r="R243" s="1775"/>
    </row>
    <row r="244" spans="3:18" hidden="1">
      <c r="C244" s="1735"/>
      <c r="E244" s="1775"/>
      <c r="F244" s="1735"/>
      <c r="J244" s="1735"/>
      <c r="Q244" s="1775"/>
      <c r="R244" s="1775"/>
    </row>
    <row r="245" spans="3:18" hidden="1">
      <c r="C245" s="1735"/>
      <c r="E245" s="1775"/>
      <c r="F245" s="1735"/>
      <c r="J245" s="1735"/>
      <c r="Q245" s="1775"/>
      <c r="R245" s="1775"/>
    </row>
    <row r="246" spans="3:18" hidden="1">
      <c r="C246" s="1735"/>
      <c r="E246" s="1775"/>
      <c r="F246" s="1735"/>
      <c r="J246" s="1735"/>
      <c r="Q246" s="1775"/>
      <c r="R246" s="1775"/>
    </row>
    <row r="247" spans="3:18" hidden="1">
      <c r="C247" s="1735"/>
      <c r="E247" s="1775"/>
      <c r="F247" s="1735"/>
      <c r="J247" s="1735"/>
      <c r="Q247" s="1775"/>
      <c r="R247" s="1775"/>
    </row>
    <row r="248" spans="3:18" hidden="1">
      <c r="C248" s="1735"/>
      <c r="E248" s="1775"/>
      <c r="F248" s="1735"/>
      <c r="J248" s="1735"/>
      <c r="Q248" s="1775"/>
      <c r="R248" s="1775"/>
    </row>
    <row r="249" spans="3:18" hidden="1">
      <c r="C249" s="1735"/>
      <c r="E249" s="1775"/>
      <c r="F249" s="1735"/>
      <c r="J249" s="1735"/>
      <c r="Q249" s="1775"/>
      <c r="R249" s="1775"/>
    </row>
    <row r="250" spans="3:18" hidden="1">
      <c r="C250" s="1735"/>
      <c r="E250" s="1775"/>
      <c r="F250" s="1735"/>
      <c r="J250" s="1735"/>
      <c r="Q250" s="1775"/>
      <c r="R250" s="1775"/>
    </row>
    <row r="251" spans="3:18" hidden="1">
      <c r="C251" s="1735"/>
      <c r="E251" s="1775"/>
      <c r="F251" s="1735"/>
      <c r="J251" s="1735"/>
      <c r="Q251" s="1775"/>
      <c r="R251" s="1775"/>
    </row>
    <row r="252" spans="3:18" hidden="1">
      <c r="C252" s="1735"/>
      <c r="E252" s="1775"/>
      <c r="F252" s="1735"/>
      <c r="J252" s="1735"/>
      <c r="Q252" s="1775"/>
      <c r="R252" s="1775"/>
    </row>
    <row r="253" spans="3:18" hidden="1">
      <c r="C253" s="1735"/>
      <c r="E253" s="1775"/>
      <c r="F253" s="1735"/>
      <c r="J253" s="1735"/>
      <c r="Q253" s="1775"/>
      <c r="R253" s="1775"/>
    </row>
    <row r="254" spans="3:18" hidden="1">
      <c r="C254" s="1735"/>
      <c r="E254" s="1775"/>
      <c r="F254" s="1735"/>
      <c r="J254" s="1735"/>
      <c r="Q254" s="1775"/>
      <c r="R254" s="1775"/>
    </row>
    <row r="255" spans="3:18" hidden="1">
      <c r="C255" s="1735"/>
      <c r="E255" s="1775"/>
      <c r="F255" s="1735"/>
      <c r="J255" s="1735"/>
      <c r="Q255" s="1775"/>
      <c r="R255" s="1775"/>
    </row>
    <row r="256" spans="3:18" hidden="1">
      <c r="C256" s="1735"/>
      <c r="E256" s="1775"/>
      <c r="F256" s="1735"/>
      <c r="J256" s="1735"/>
      <c r="Q256" s="1775"/>
      <c r="R256" s="1775"/>
    </row>
    <row r="257" spans="3:18" hidden="1">
      <c r="C257" s="1735"/>
      <c r="E257" s="1775"/>
      <c r="F257" s="1735"/>
      <c r="J257" s="1735"/>
      <c r="Q257" s="1775"/>
      <c r="R257" s="1775"/>
    </row>
    <row r="258" spans="3:18" hidden="1">
      <c r="C258" s="1735"/>
      <c r="E258" s="1775"/>
      <c r="F258" s="1735"/>
      <c r="J258" s="1735"/>
      <c r="Q258" s="1775"/>
      <c r="R258" s="1775"/>
    </row>
    <row r="259" spans="3:18" hidden="1">
      <c r="C259" s="1735"/>
      <c r="E259" s="1775"/>
      <c r="F259" s="1735"/>
      <c r="J259" s="1735"/>
      <c r="Q259" s="1775"/>
      <c r="R259" s="1775"/>
    </row>
    <row r="260" spans="3:18" hidden="1">
      <c r="C260" s="1735"/>
      <c r="E260" s="1775"/>
      <c r="F260" s="1735"/>
      <c r="J260" s="1735"/>
      <c r="Q260" s="1775"/>
      <c r="R260" s="1775"/>
    </row>
    <row r="261" spans="3:18" hidden="1">
      <c r="C261" s="1735"/>
      <c r="E261" s="1775"/>
      <c r="F261" s="1735"/>
      <c r="J261" s="1735"/>
      <c r="Q261" s="1775"/>
      <c r="R261" s="1775"/>
    </row>
    <row r="262" spans="3:18" hidden="1">
      <c r="C262" s="1735"/>
      <c r="E262" s="1775"/>
      <c r="F262" s="1735"/>
      <c r="J262" s="1735"/>
      <c r="Q262" s="1775"/>
      <c r="R262" s="1775"/>
    </row>
    <row r="263" spans="3:18" hidden="1">
      <c r="C263" s="1735"/>
      <c r="E263" s="1775"/>
      <c r="F263" s="1735"/>
      <c r="J263" s="1735"/>
      <c r="Q263" s="1775"/>
      <c r="R263" s="1775"/>
    </row>
    <row r="264" spans="3:18" hidden="1">
      <c r="C264" s="1735"/>
      <c r="E264" s="1775"/>
      <c r="F264" s="1735"/>
      <c r="J264" s="1735"/>
      <c r="Q264" s="1775"/>
      <c r="R264" s="1775"/>
    </row>
    <row r="265" spans="3:18" hidden="1">
      <c r="C265" s="1735"/>
      <c r="E265" s="1775"/>
      <c r="F265" s="1735"/>
      <c r="J265" s="1735"/>
      <c r="Q265" s="1775"/>
      <c r="R265" s="1775"/>
    </row>
    <row r="266" spans="3:18" hidden="1">
      <c r="C266" s="1735"/>
      <c r="E266" s="1775"/>
      <c r="F266" s="1735"/>
      <c r="J266" s="1735"/>
      <c r="Q266" s="1775"/>
      <c r="R266" s="1775"/>
    </row>
    <row r="267" spans="3:18" hidden="1">
      <c r="C267" s="1735"/>
      <c r="E267" s="1775"/>
      <c r="F267" s="1735"/>
      <c r="J267" s="1735"/>
      <c r="Q267" s="1775"/>
      <c r="R267" s="1775"/>
    </row>
    <row r="268" spans="3:18" hidden="1">
      <c r="C268" s="1735"/>
      <c r="E268" s="1775"/>
      <c r="F268" s="1735"/>
      <c r="J268" s="1735"/>
      <c r="Q268" s="1775"/>
      <c r="R268" s="1775"/>
    </row>
    <row r="269" spans="3:18" hidden="1">
      <c r="C269" s="1735"/>
      <c r="E269" s="1775"/>
      <c r="F269" s="1735"/>
      <c r="J269" s="1735"/>
      <c r="Q269" s="1775"/>
      <c r="R269" s="1775"/>
    </row>
    <row r="270" spans="3:18" hidden="1">
      <c r="C270" s="1735"/>
      <c r="E270" s="1775"/>
      <c r="F270" s="1735"/>
      <c r="J270" s="1735"/>
      <c r="Q270" s="1775"/>
      <c r="R270" s="1775"/>
    </row>
    <row r="271" spans="3:18" hidden="1">
      <c r="C271" s="1735"/>
      <c r="E271" s="1775"/>
      <c r="F271" s="1735"/>
      <c r="J271" s="1735"/>
      <c r="Q271" s="1775"/>
      <c r="R271" s="1775"/>
    </row>
    <row r="272" spans="3:18" hidden="1">
      <c r="C272" s="1735"/>
      <c r="E272" s="1775"/>
      <c r="F272" s="1735"/>
      <c r="J272" s="1735"/>
      <c r="Q272" s="1775"/>
      <c r="R272" s="1775"/>
    </row>
    <row r="273" spans="3:18" hidden="1">
      <c r="C273" s="1735"/>
      <c r="E273" s="1775"/>
      <c r="F273" s="1735"/>
      <c r="J273" s="1735"/>
      <c r="Q273" s="1775"/>
      <c r="R273" s="1775"/>
    </row>
    <row r="274" spans="3:18" hidden="1">
      <c r="C274" s="1735"/>
      <c r="E274" s="1775"/>
      <c r="F274" s="1735"/>
      <c r="J274" s="1735"/>
      <c r="Q274" s="1775"/>
      <c r="R274" s="1775"/>
    </row>
    <row r="275" spans="3:18" hidden="1">
      <c r="C275" s="1735"/>
      <c r="E275" s="1775"/>
      <c r="F275" s="1735"/>
      <c r="J275" s="1735"/>
      <c r="Q275" s="1775"/>
      <c r="R275" s="1775"/>
    </row>
    <row r="276" spans="3:18" hidden="1">
      <c r="C276" s="1735"/>
      <c r="E276" s="1775"/>
      <c r="F276" s="1735"/>
      <c r="J276" s="1735"/>
      <c r="Q276" s="1775"/>
      <c r="R276" s="1775"/>
    </row>
    <row r="277" spans="3:18" hidden="1">
      <c r="C277" s="1735"/>
      <c r="E277" s="1775"/>
      <c r="F277" s="1735"/>
      <c r="J277" s="1735"/>
      <c r="Q277" s="1775"/>
      <c r="R277" s="1775"/>
    </row>
    <row r="278" spans="3:18" hidden="1">
      <c r="C278" s="1735"/>
      <c r="E278" s="1775"/>
      <c r="F278" s="1735"/>
      <c r="J278" s="1735"/>
      <c r="Q278" s="1775"/>
      <c r="R278" s="1775"/>
    </row>
    <row r="279" spans="3:18" hidden="1">
      <c r="C279" s="1735"/>
      <c r="E279" s="1775"/>
      <c r="F279" s="1735"/>
      <c r="J279" s="1735"/>
      <c r="Q279" s="1775"/>
      <c r="R279" s="1775"/>
    </row>
    <row r="280" spans="3:18" hidden="1">
      <c r="C280" s="1735"/>
      <c r="E280" s="1775"/>
      <c r="F280" s="1735"/>
      <c r="J280" s="1735"/>
      <c r="Q280" s="1775"/>
      <c r="R280" s="1775"/>
    </row>
    <row r="281" spans="3:18" hidden="1">
      <c r="C281" s="1735"/>
      <c r="E281" s="1775"/>
      <c r="F281" s="1735"/>
      <c r="J281" s="1735"/>
      <c r="Q281" s="1775"/>
      <c r="R281" s="1775"/>
    </row>
    <row r="282" spans="3:18" hidden="1">
      <c r="C282" s="1735"/>
      <c r="E282" s="1775"/>
      <c r="F282" s="1735"/>
      <c r="J282" s="1735"/>
      <c r="Q282" s="1775"/>
      <c r="R282" s="1775"/>
    </row>
    <row r="283" spans="3:18" hidden="1">
      <c r="C283" s="1735"/>
      <c r="E283" s="1775"/>
      <c r="F283" s="1735"/>
      <c r="J283" s="1735"/>
      <c r="Q283" s="1775"/>
      <c r="R283" s="1775"/>
    </row>
    <row r="284" spans="3:18" hidden="1">
      <c r="C284" s="1735"/>
      <c r="E284" s="1775"/>
      <c r="F284" s="1735"/>
      <c r="J284" s="1735"/>
      <c r="Q284" s="1775"/>
      <c r="R284" s="1775"/>
    </row>
    <row r="285" spans="3:18" hidden="1">
      <c r="C285" s="1735"/>
      <c r="E285" s="1775"/>
      <c r="F285" s="1735"/>
      <c r="J285" s="1735"/>
      <c r="Q285" s="1775"/>
      <c r="R285" s="1775"/>
    </row>
    <row r="286" spans="3:18" hidden="1">
      <c r="C286" s="1735"/>
      <c r="E286" s="1775"/>
      <c r="F286" s="1735"/>
      <c r="J286" s="1735"/>
      <c r="Q286" s="1775"/>
      <c r="R286" s="1775"/>
    </row>
    <row r="287" spans="3:18" hidden="1">
      <c r="C287" s="1735"/>
      <c r="E287" s="1775"/>
      <c r="F287" s="1735"/>
      <c r="J287" s="1735"/>
      <c r="Q287" s="1775"/>
      <c r="R287" s="1775"/>
    </row>
    <row r="288" spans="3:18" hidden="1">
      <c r="C288" s="1735"/>
      <c r="E288" s="1775"/>
      <c r="F288" s="1735"/>
      <c r="J288" s="1735"/>
      <c r="Q288" s="1775"/>
      <c r="R288" s="1775"/>
    </row>
    <row r="289" spans="3:18" hidden="1">
      <c r="C289" s="1735"/>
      <c r="E289" s="1775"/>
      <c r="F289" s="1735"/>
      <c r="J289" s="1735"/>
      <c r="Q289" s="1775"/>
      <c r="R289" s="1775"/>
    </row>
    <row r="290" spans="3:18" hidden="1">
      <c r="C290" s="1735"/>
      <c r="E290" s="1775"/>
      <c r="F290" s="1735"/>
      <c r="J290" s="1735"/>
      <c r="Q290" s="1775"/>
      <c r="R290" s="1775"/>
    </row>
    <row r="291" spans="3:18" hidden="1">
      <c r="C291" s="1735"/>
      <c r="E291" s="1775"/>
      <c r="F291" s="1735"/>
      <c r="J291" s="1735"/>
      <c r="Q291" s="1775"/>
      <c r="R291" s="1775"/>
    </row>
    <row r="292" spans="3:18" hidden="1">
      <c r="C292" s="1735"/>
      <c r="E292" s="1775"/>
      <c r="F292" s="1735"/>
      <c r="J292" s="1735"/>
      <c r="Q292" s="1775"/>
      <c r="R292" s="1775"/>
    </row>
    <row r="293" spans="3:18" hidden="1">
      <c r="C293" s="1735"/>
      <c r="E293" s="1775"/>
      <c r="F293" s="1735"/>
      <c r="J293" s="1735"/>
      <c r="Q293" s="1775"/>
      <c r="R293" s="1775"/>
    </row>
    <row r="294" spans="3:18" hidden="1">
      <c r="C294" s="1735"/>
      <c r="E294" s="1775"/>
      <c r="F294" s="1735"/>
      <c r="J294" s="1735"/>
      <c r="Q294" s="1775"/>
      <c r="R294" s="1775"/>
    </row>
    <row r="295" spans="3:18" hidden="1">
      <c r="C295" s="1735"/>
      <c r="E295" s="1775"/>
      <c r="F295" s="1735"/>
      <c r="J295" s="1735"/>
      <c r="Q295" s="1775"/>
      <c r="R295" s="1775"/>
    </row>
    <row r="296" spans="3:18" hidden="1">
      <c r="C296" s="1735"/>
      <c r="E296" s="1775"/>
      <c r="F296" s="1735"/>
      <c r="J296" s="1735"/>
      <c r="Q296" s="1775"/>
      <c r="R296" s="1775"/>
    </row>
    <row r="297" spans="3:18" hidden="1">
      <c r="C297" s="1735"/>
      <c r="E297" s="1775"/>
      <c r="F297" s="1735"/>
      <c r="J297" s="1735"/>
      <c r="Q297" s="1775"/>
      <c r="R297" s="1775"/>
    </row>
    <row r="298" spans="3:18" hidden="1">
      <c r="C298" s="1735"/>
      <c r="E298" s="1775"/>
      <c r="F298" s="1735"/>
      <c r="J298" s="1735"/>
      <c r="Q298" s="1775"/>
      <c r="R298" s="1775"/>
    </row>
    <row r="299" spans="3:18" hidden="1">
      <c r="C299" s="1735"/>
      <c r="E299" s="1775"/>
      <c r="F299" s="1735"/>
      <c r="J299" s="1735"/>
      <c r="Q299" s="1775"/>
      <c r="R299" s="1775"/>
    </row>
    <row r="300" spans="3:18" hidden="1">
      <c r="C300" s="1735"/>
      <c r="D300" s="1780"/>
      <c r="E300" s="1775"/>
      <c r="F300" s="1735"/>
      <c r="J300" s="1735"/>
      <c r="Q300" s="1775"/>
      <c r="R300" s="1775"/>
    </row>
    <row r="301" spans="3:18">
      <c r="C301" s="1735"/>
      <c r="E301" s="1775"/>
      <c r="F301" s="1735"/>
      <c r="J301" s="1735"/>
      <c r="Q301" s="1775"/>
      <c r="R301" s="1775"/>
    </row>
    <row r="302" spans="3:18">
      <c r="C302" s="1735"/>
      <c r="E302" s="1775"/>
      <c r="F302" s="1735"/>
      <c r="J302" s="1735"/>
      <c r="Q302" s="1775"/>
      <c r="R302" s="1775"/>
    </row>
    <row r="303" spans="3:18">
      <c r="C303" s="1735"/>
      <c r="E303" s="1775"/>
      <c r="F303" s="1735"/>
      <c r="J303" s="1735"/>
      <c r="Q303" s="1775"/>
      <c r="R303" s="1775"/>
    </row>
    <row r="304" spans="3:18">
      <c r="C304" s="1735"/>
      <c r="E304" s="1775"/>
      <c r="F304" s="1735"/>
      <c r="J304" s="1735"/>
      <c r="Q304" s="1775"/>
      <c r="R304" s="1775"/>
    </row>
    <row r="305" spans="3:18">
      <c r="C305" s="1735"/>
      <c r="E305" s="1775"/>
      <c r="F305" s="1735"/>
      <c r="J305" s="1735"/>
      <c r="Q305" s="1775"/>
      <c r="R305" s="1775"/>
    </row>
    <row r="306" spans="3:18">
      <c r="C306" s="1735"/>
      <c r="E306" s="1775"/>
      <c r="F306" s="1735"/>
      <c r="J306" s="1735"/>
      <c r="Q306" s="1775"/>
      <c r="R306" s="1775"/>
    </row>
    <row r="307" spans="3:18">
      <c r="C307" s="1735"/>
      <c r="E307" s="1775"/>
      <c r="F307" s="1735"/>
      <c r="J307" s="1735"/>
      <c r="Q307" s="1775"/>
      <c r="R307" s="1775"/>
    </row>
    <row r="308" spans="3:18">
      <c r="C308" s="1735"/>
      <c r="E308" s="1775"/>
      <c r="F308" s="1735"/>
      <c r="J308" s="1735"/>
      <c r="Q308" s="1775"/>
      <c r="R308" s="1775"/>
    </row>
    <row r="309" spans="3:18">
      <c r="C309" s="1735"/>
      <c r="E309" s="1775"/>
      <c r="F309" s="1735"/>
      <c r="J309" s="1735"/>
      <c r="Q309" s="1775"/>
      <c r="R309" s="1775"/>
    </row>
    <row r="310" spans="3:18">
      <c r="C310" s="1735"/>
      <c r="E310" s="1775"/>
      <c r="F310" s="1735"/>
      <c r="J310" s="1735"/>
      <c r="Q310" s="1775"/>
      <c r="R310" s="1775"/>
    </row>
    <row r="311" spans="3:18">
      <c r="C311" s="1735"/>
      <c r="E311" s="1775"/>
      <c r="F311" s="1735"/>
      <c r="J311" s="1735"/>
      <c r="Q311" s="1775"/>
      <c r="R311" s="1775"/>
    </row>
    <row r="312" spans="3:18">
      <c r="C312" s="1735"/>
      <c r="E312" s="1775"/>
      <c r="F312" s="1735"/>
      <c r="J312" s="1735"/>
      <c r="Q312" s="1775"/>
      <c r="R312" s="1775"/>
    </row>
    <row r="313" spans="3:18">
      <c r="C313" s="1735"/>
      <c r="E313" s="1775"/>
      <c r="F313" s="1735"/>
      <c r="J313" s="1735"/>
      <c r="Q313" s="1775"/>
      <c r="R313" s="1775"/>
    </row>
    <row r="314" spans="3:18">
      <c r="C314" s="1735"/>
      <c r="E314" s="1775"/>
      <c r="F314" s="1735"/>
      <c r="J314" s="1735"/>
      <c r="Q314" s="1775"/>
      <c r="R314" s="1775"/>
    </row>
    <row r="315" spans="3:18">
      <c r="C315" s="1735"/>
      <c r="E315" s="1775"/>
      <c r="F315" s="1735"/>
      <c r="J315" s="1735"/>
      <c r="Q315" s="1775"/>
      <c r="R315" s="1775"/>
    </row>
    <row r="316" spans="3:18">
      <c r="C316" s="1735"/>
      <c r="E316" s="1775"/>
      <c r="F316" s="1735"/>
      <c r="J316" s="1735"/>
      <c r="Q316" s="1775"/>
      <c r="R316" s="1775"/>
    </row>
    <row r="317" spans="3:18">
      <c r="C317" s="1735"/>
      <c r="E317" s="1775"/>
      <c r="F317" s="1735"/>
      <c r="J317" s="1735"/>
      <c r="Q317" s="1775"/>
      <c r="R317" s="1775"/>
    </row>
    <row r="318" spans="3:18">
      <c r="C318" s="1735"/>
      <c r="E318" s="1775"/>
      <c r="F318" s="1735"/>
      <c r="J318" s="1735"/>
      <c r="Q318" s="1775"/>
      <c r="R318" s="1775"/>
    </row>
    <row r="319" spans="3:18">
      <c r="C319" s="1735"/>
    </row>
  </sheetData>
  <sheetProtection algorithmName="SHA-512" hashValue="Ayn9QdSN8E10TZ1exP1tL13Lui7HGKR7d6hzkJRX3YCeNfg3wqLiEbHktKmk8jTib4IQa8up6MUlR8nO2t/amQ==" saltValue="Tus8wgM11IeJ3wIC20tWTA==" spinCount="100000" sheet="1" selectLockedCells="1" selectUnlockedCells="1"/>
  <mergeCells count="4">
    <mergeCell ref="A3:K3"/>
    <mergeCell ref="A91:G91"/>
    <mergeCell ref="A2:N2"/>
    <mergeCell ref="A1:N1"/>
  </mergeCells>
  <printOptions horizontalCentered="1"/>
  <pageMargins left="0.19685039370078741" right="0.19685039370078741" top="0.55118110236220474" bottom="0.35433070866141736" header="0.51181102362204722" footer="0.15748031496062992"/>
  <pageSetup paperSize="9" scale="60" firstPageNumber="0" orientation="portrait" verticalDpi="300" r:id="rId1"/>
  <headerFooter alignWithMargins="0">
    <oddFooter>&amp;C&amp;"Arial CE,Félkövér"&amp;12&amp;P/&amp;N</oddFooter>
  </headerFooter>
  <rowBreaks count="1" manualBreakCount="1">
    <brk id="90" max="1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F9AB-8F4C-424E-90D4-D4E175593ACC}">
  <sheetPr>
    <tabColor rgb="FFFFFF00"/>
    <pageSetUpPr fitToPage="1"/>
  </sheetPr>
  <dimension ref="A1:S89"/>
  <sheetViews>
    <sheetView view="pageBreakPreview" zoomScaleNormal="100" zoomScaleSheetLayoutView="100" workbookViewId="0">
      <pane ySplit="2" topLeftCell="A3" activePane="bottomLeft" state="frozen"/>
      <selection sqref="A1:AC1"/>
      <selection pane="bottomLeft" sqref="A1:AC1"/>
    </sheetView>
  </sheetViews>
  <sheetFormatPr defaultColWidth="8" defaultRowHeight="12.75"/>
  <cols>
    <col min="1" max="1" width="25.5703125" style="3227" customWidth="1"/>
    <col min="2" max="4" width="10.85546875" style="3227" bestFit="1" customWidth="1"/>
    <col min="5" max="5" width="9.5703125" style="3227" bestFit="1" customWidth="1"/>
    <col min="6" max="6" width="10.85546875" style="3227" bestFit="1" customWidth="1"/>
    <col min="7" max="7" width="9.5703125" style="3227" bestFit="1" customWidth="1"/>
    <col min="8" max="9" width="10.85546875" style="3227" bestFit="1" customWidth="1"/>
    <col min="10" max="12" width="9.5703125" style="3227" bestFit="1" customWidth="1"/>
    <col min="13" max="13" width="8.5703125" style="3227" customWidth="1"/>
    <col min="14" max="15" width="10.85546875" style="3227" hidden="1" customWidth="1"/>
    <col min="16" max="17" width="8.7109375" style="3227" bestFit="1" customWidth="1"/>
    <col min="18" max="19" width="8" style="3227" customWidth="1"/>
    <col min="20" max="16384" width="8" style="3227"/>
  </cols>
  <sheetData>
    <row r="1" spans="1:19" ht="21" customHeight="1">
      <c r="A1" s="3717" t="s">
        <v>4291</v>
      </c>
      <c r="B1" s="3718"/>
      <c r="C1" s="3718"/>
      <c r="D1" s="3719"/>
      <c r="E1" s="3719"/>
      <c r="F1" s="3719"/>
      <c r="G1" s="3719"/>
      <c r="H1" s="3719"/>
      <c r="I1" s="3719"/>
      <c r="J1" s="3719"/>
      <c r="K1" s="3719"/>
      <c r="L1" s="3719"/>
      <c r="M1" s="3719"/>
    </row>
    <row r="2" spans="1:19" ht="15.75" customHeight="1">
      <c r="A2" s="3720" t="s">
        <v>4249</v>
      </c>
      <c r="B2" s="3720"/>
      <c r="C2" s="3720"/>
      <c r="D2" s="3721"/>
      <c r="E2" s="3721"/>
      <c r="F2" s="3721"/>
      <c r="G2" s="3721"/>
      <c r="H2" s="3721"/>
      <c r="I2" s="3721"/>
      <c r="J2" s="3721"/>
      <c r="K2" s="3721"/>
      <c r="L2" s="3721"/>
      <c r="M2" s="3721"/>
    </row>
    <row r="3" spans="1:19" ht="12" customHeight="1">
      <c r="A3" s="3720"/>
      <c r="B3" s="3720"/>
      <c r="C3" s="3720"/>
      <c r="D3" s="3721"/>
      <c r="E3" s="3721"/>
      <c r="F3" s="3721"/>
      <c r="G3" s="3721"/>
      <c r="H3" s="3721"/>
      <c r="I3" s="3721"/>
      <c r="J3" s="3721"/>
      <c r="K3" s="3721"/>
      <c r="L3" s="3721"/>
      <c r="M3" s="3721"/>
    </row>
    <row r="4" spans="1:19" ht="15.75" customHeight="1">
      <c r="A4" s="3720" t="s">
        <v>2724</v>
      </c>
      <c r="B4" s="3720"/>
      <c r="C4" s="3720"/>
      <c r="D4" s="3721"/>
      <c r="E4" s="3721"/>
      <c r="F4" s="3721"/>
      <c r="G4" s="3721"/>
      <c r="H4" s="3721"/>
      <c r="I4" s="3721"/>
      <c r="J4" s="3721"/>
      <c r="K4" s="3721"/>
      <c r="L4" s="3721"/>
      <c r="M4" s="3721"/>
    </row>
    <row r="5" spans="1:19" ht="15.75" customHeight="1">
      <c r="A5" s="3228"/>
      <c r="B5" s="3228"/>
      <c r="C5" s="3228"/>
      <c r="D5" s="467"/>
      <c r="E5" s="467"/>
      <c r="F5" s="467"/>
      <c r="G5" s="467"/>
      <c r="H5" s="467"/>
      <c r="I5" s="467"/>
      <c r="J5" s="467"/>
      <c r="K5" s="467"/>
      <c r="L5" s="467"/>
      <c r="M5" s="467"/>
    </row>
    <row r="6" spans="1:19" ht="48" customHeight="1" thickBot="1">
      <c r="A6" s="3722" t="s">
        <v>4056</v>
      </c>
      <c r="B6" s="3722"/>
      <c r="C6" s="3722"/>
      <c r="D6" s="3723" t="s">
        <v>3601</v>
      </c>
      <c r="E6" s="3723"/>
      <c r="F6" s="3723"/>
      <c r="G6" s="3723"/>
      <c r="H6" s="3723"/>
      <c r="I6" s="3723"/>
      <c r="J6" s="3723"/>
      <c r="K6" s="3723"/>
      <c r="L6" s="3724" t="s">
        <v>4057</v>
      </c>
      <c r="M6" s="3724"/>
    </row>
    <row r="7" spans="1:19" ht="13.5" thickBot="1">
      <c r="A7" s="3725" t="s">
        <v>2704</v>
      </c>
      <c r="B7" s="3728" t="s">
        <v>4058</v>
      </c>
      <c r="C7" s="3728"/>
      <c r="D7" s="3728"/>
      <c r="E7" s="3728"/>
      <c r="F7" s="3728"/>
      <c r="G7" s="3728"/>
      <c r="H7" s="3728"/>
      <c r="I7" s="3728"/>
      <c r="J7" s="3729" t="s">
        <v>495</v>
      </c>
      <c r="K7" s="3729"/>
      <c r="L7" s="3729"/>
      <c r="M7" s="3729"/>
    </row>
    <row r="8" spans="1:19" ht="15" customHeight="1" thickBot="1">
      <c r="A8" s="3726"/>
      <c r="B8" s="3731" t="s">
        <v>1271</v>
      </c>
      <c r="C8" s="3732" t="s">
        <v>4059</v>
      </c>
      <c r="D8" s="3733" t="s">
        <v>4060</v>
      </c>
      <c r="E8" s="3733"/>
      <c r="F8" s="3733"/>
      <c r="G8" s="3733"/>
      <c r="H8" s="3733"/>
      <c r="I8" s="3733"/>
      <c r="J8" s="3730"/>
      <c r="K8" s="3730"/>
      <c r="L8" s="3730"/>
      <c r="M8" s="3730"/>
    </row>
    <row r="9" spans="1:19" ht="30" customHeight="1" thickBot="1">
      <c r="A9" s="3726"/>
      <c r="B9" s="3731"/>
      <c r="C9" s="3732"/>
      <c r="D9" s="3230" t="s">
        <v>1271</v>
      </c>
      <c r="E9" s="3230" t="s">
        <v>4059</v>
      </c>
      <c r="F9" s="3230" t="s">
        <v>1271</v>
      </c>
      <c r="G9" s="3230" t="s">
        <v>4059</v>
      </c>
      <c r="H9" s="3230" t="s">
        <v>1271</v>
      </c>
      <c r="I9" s="3230" t="s">
        <v>4059</v>
      </c>
      <c r="J9" s="3730"/>
      <c r="K9" s="3730"/>
      <c r="L9" s="3730"/>
      <c r="M9" s="3730"/>
    </row>
    <row r="10" spans="1:19" ht="32.25" thickBot="1">
      <c r="A10" s="3727"/>
      <c r="B10" s="3732" t="s">
        <v>4061</v>
      </c>
      <c r="C10" s="3732"/>
      <c r="D10" s="3732" t="s">
        <v>4246</v>
      </c>
      <c r="E10" s="3732"/>
      <c r="F10" s="3732" t="s">
        <v>4247</v>
      </c>
      <c r="G10" s="3732"/>
      <c r="H10" s="3731" t="s">
        <v>4248</v>
      </c>
      <c r="I10" s="3731"/>
      <c r="J10" s="3230" t="str">
        <f>+D10</f>
        <v>2025. év előtt</v>
      </c>
      <c r="K10" s="3230" t="str">
        <f>+F10</f>
        <v>2025. évi</v>
      </c>
      <c r="L10" s="3229" t="s">
        <v>156</v>
      </c>
      <c r="M10" s="3230" t="s">
        <v>4252</v>
      </c>
    </row>
    <row r="11" spans="1:19" ht="13.5" thickBot="1">
      <c r="A11" s="3231" t="s">
        <v>2728</v>
      </c>
      <c r="B11" s="3229" t="s">
        <v>2729</v>
      </c>
      <c r="C11" s="3229" t="s">
        <v>2730</v>
      </c>
      <c r="D11" s="3232" t="s">
        <v>2731</v>
      </c>
      <c r="E11" s="3230" t="s">
        <v>2732</v>
      </c>
      <c r="F11" s="3230" t="s">
        <v>2733</v>
      </c>
      <c r="G11" s="3230" t="s">
        <v>3463</v>
      </c>
      <c r="H11" s="3229" t="s">
        <v>3464</v>
      </c>
      <c r="I11" s="3232" t="s">
        <v>3913</v>
      </c>
      <c r="J11" s="3232" t="s">
        <v>3543</v>
      </c>
      <c r="K11" s="3232" t="s">
        <v>1707</v>
      </c>
      <c r="L11" s="3232" t="s">
        <v>4062</v>
      </c>
      <c r="M11" s="3233" t="s">
        <v>4063</v>
      </c>
    </row>
    <row r="12" spans="1:19">
      <c r="A12" s="3234" t="s">
        <v>2708</v>
      </c>
      <c r="B12" s="3235">
        <v>0</v>
      </c>
      <c r="C12" s="3236">
        <v>0</v>
      </c>
      <c r="D12" s="3237">
        <v>0</v>
      </c>
      <c r="E12" s="3238">
        <v>0</v>
      </c>
      <c r="F12" s="3237">
        <v>0</v>
      </c>
      <c r="G12" s="3237">
        <v>0</v>
      </c>
      <c r="H12" s="3237">
        <v>0</v>
      </c>
      <c r="I12" s="3237">
        <v>0</v>
      </c>
      <c r="J12" s="3237">
        <v>0</v>
      </c>
      <c r="K12" s="3239">
        <v>0</v>
      </c>
      <c r="L12" s="3240">
        <f t="shared" ref="L12:L18" si="0">+J12+K12</f>
        <v>0</v>
      </c>
      <c r="M12" s="3241" t="str">
        <f t="shared" ref="M12:M19" si="1">IF((C12&lt;&gt;0),ROUND((L12/C12)*100,1),"")</f>
        <v/>
      </c>
      <c r="O12" s="3242"/>
      <c r="Q12" s="3242"/>
      <c r="R12" s="3242"/>
      <c r="S12" s="3242"/>
    </row>
    <row r="13" spans="1:19">
      <c r="A13" s="3243" t="s">
        <v>2709</v>
      </c>
      <c r="B13" s="3235">
        <f t="shared" ref="B13:C17" si="2">+D13+F13+H13</f>
        <v>0</v>
      </c>
      <c r="C13" s="3236">
        <f t="shared" si="2"/>
        <v>0</v>
      </c>
      <c r="D13" s="3244">
        <v>0</v>
      </c>
      <c r="E13" s="3244">
        <v>0</v>
      </c>
      <c r="F13" s="3244">
        <v>0</v>
      </c>
      <c r="G13" s="3244">
        <v>0</v>
      </c>
      <c r="H13" s="3244">
        <v>0</v>
      </c>
      <c r="I13" s="3244">
        <v>0</v>
      </c>
      <c r="J13" s="3244">
        <v>0</v>
      </c>
      <c r="K13" s="3244">
        <v>0</v>
      </c>
      <c r="L13" s="3245">
        <f t="shared" si="0"/>
        <v>0</v>
      </c>
      <c r="M13" s="3246" t="str">
        <f t="shared" si="1"/>
        <v/>
      </c>
    </row>
    <row r="14" spans="1:19">
      <c r="A14" s="3247" t="s">
        <v>2710</v>
      </c>
      <c r="B14" s="3235">
        <v>45600000</v>
      </c>
      <c r="C14" s="3236">
        <v>45600000</v>
      </c>
      <c r="D14" s="3236">
        <v>11400000</v>
      </c>
      <c r="E14" s="1326">
        <v>22170131</v>
      </c>
      <c r="F14" s="3236">
        <v>0</v>
      </c>
      <c r="G14" s="1326">
        <v>0</v>
      </c>
      <c r="H14" s="3236">
        <v>34200000</v>
      </c>
      <c r="I14" s="1326">
        <f>34200000-10770131</f>
        <v>23429869</v>
      </c>
      <c r="J14" s="3236">
        <f>+E14</f>
        <v>22170131</v>
      </c>
      <c r="K14" s="3236">
        <f>+G14</f>
        <v>0</v>
      </c>
      <c r="L14" s="3245">
        <f t="shared" si="0"/>
        <v>22170131</v>
      </c>
      <c r="M14" s="3246">
        <f t="shared" si="1"/>
        <v>48.6</v>
      </c>
      <c r="N14" s="3242">
        <f>+D14+H14</f>
        <v>45600000</v>
      </c>
      <c r="O14" s="3242">
        <f>+E14+I14</f>
        <v>45600000</v>
      </c>
      <c r="Q14" s="3242"/>
      <c r="R14" s="3242"/>
      <c r="S14" s="3242"/>
    </row>
    <row r="15" spans="1:19">
      <c r="A15" s="3247" t="s">
        <v>2711</v>
      </c>
      <c r="B15" s="3235">
        <f t="shared" si="2"/>
        <v>0</v>
      </c>
      <c r="C15" s="3236">
        <f t="shared" si="2"/>
        <v>0</v>
      </c>
      <c r="D15" s="3236">
        <v>0</v>
      </c>
      <c r="E15" s="3236">
        <v>0</v>
      </c>
      <c r="F15" s="3236">
        <v>0</v>
      </c>
      <c r="G15" s="3236">
        <v>0</v>
      </c>
      <c r="H15" s="3236">
        <v>0</v>
      </c>
      <c r="I15" s="3236">
        <v>0</v>
      </c>
      <c r="J15" s="3236">
        <v>0</v>
      </c>
      <c r="K15" s="3236">
        <v>0</v>
      </c>
      <c r="L15" s="3245">
        <f t="shared" si="0"/>
        <v>0</v>
      </c>
      <c r="M15" s="3246" t="str">
        <f t="shared" si="1"/>
        <v/>
      </c>
      <c r="O15" s="3242"/>
      <c r="P15" s="3242"/>
    </row>
    <row r="16" spans="1:19">
      <c r="A16" s="3247" t="s">
        <v>2712</v>
      </c>
      <c r="B16" s="3235">
        <f t="shared" si="2"/>
        <v>0</v>
      </c>
      <c r="C16" s="3236">
        <f t="shared" si="2"/>
        <v>0</v>
      </c>
      <c r="D16" s="3236">
        <v>0</v>
      </c>
      <c r="E16" s="3236">
        <v>0</v>
      </c>
      <c r="F16" s="3236">
        <v>0</v>
      </c>
      <c r="G16" s="3236">
        <v>0</v>
      </c>
      <c r="H16" s="3236">
        <v>0</v>
      </c>
      <c r="I16" s="3236">
        <v>0</v>
      </c>
      <c r="J16" s="3236">
        <v>0</v>
      </c>
      <c r="K16" s="3236">
        <v>0</v>
      </c>
      <c r="L16" s="3245">
        <f t="shared" si="0"/>
        <v>0</v>
      </c>
      <c r="M16" s="3246" t="str">
        <f t="shared" si="1"/>
        <v/>
      </c>
      <c r="O16" s="3242"/>
    </row>
    <row r="17" spans="1:19" ht="13.5" thickBot="1">
      <c r="A17" s="3247" t="s">
        <v>2713</v>
      </c>
      <c r="B17" s="3235">
        <f t="shared" si="2"/>
        <v>0</v>
      </c>
      <c r="C17" s="3236">
        <f t="shared" si="2"/>
        <v>0</v>
      </c>
      <c r="D17" s="3236">
        <v>0</v>
      </c>
      <c r="E17" s="3236">
        <v>0</v>
      </c>
      <c r="F17" s="3236">
        <v>0</v>
      </c>
      <c r="G17" s="3236">
        <v>0</v>
      </c>
      <c r="H17" s="3236">
        <v>0</v>
      </c>
      <c r="I17" s="3236">
        <v>0</v>
      </c>
      <c r="J17" s="3236">
        <v>0</v>
      </c>
      <c r="K17" s="3236">
        <v>0</v>
      </c>
      <c r="L17" s="3245">
        <f t="shared" si="0"/>
        <v>0</v>
      </c>
      <c r="M17" s="3246" t="str">
        <f t="shared" si="1"/>
        <v/>
      </c>
      <c r="O17" s="3242"/>
    </row>
    <row r="18" spans="1:19" ht="15" hidden="1" customHeight="1" thickBot="1">
      <c r="A18" s="3248"/>
      <c r="B18" s="3249"/>
      <c r="C18" s="3250"/>
      <c r="D18" s="3250"/>
      <c r="E18" s="3250"/>
      <c r="F18" s="3250"/>
      <c r="G18" s="3250"/>
      <c r="H18" s="3250"/>
      <c r="I18" s="3250"/>
      <c r="J18" s="3250"/>
      <c r="K18" s="3250"/>
      <c r="L18" s="3245">
        <f t="shared" si="0"/>
        <v>0</v>
      </c>
      <c r="M18" s="3251" t="str">
        <f t="shared" si="1"/>
        <v/>
      </c>
    </row>
    <row r="19" spans="1:19" ht="13.5" thickBot="1">
      <c r="A19" s="3252" t="s">
        <v>2714</v>
      </c>
      <c r="B19" s="3253">
        <f t="shared" ref="B19:L19" si="3">B12+SUM(B14:B18)</f>
        <v>45600000</v>
      </c>
      <c r="C19" s="3253">
        <f t="shared" si="3"/>
        <v>45600000</v>
      </c>
      <c r="D19" s="3253">
        <f t="shared" si="3"/>
        <v>11400000</v>
      </c>
      <c r="E19" s="3253">
        <f t="shared" si="3"/>
        <v>22170131</v>
      </c>
      <c r="F19" s="3253">
        <f t="shared" si="3"/>
        <v>0</v>
      </c>
      <c r="G19" s="3253">
        <f t="shared" si="3"/>
        <v>0</v>
      </c>
      <c r="H19" s="3253">
        <f t="shared" si="3"/>
        <v>34200000</v>
      </c>
      <c r="I19" s="3253">
        <f t="shared" si="3"/>
        <v>23429869</v>
      </c>
      <c r="J19" s="3253">
        <f t="shared" si="3"/>
        <v>22170131</v>
      </c>
      <c r="K19" s="3253">
        <f t="shared" si="3"/>
        <v>0</v>
      </c>
      <c r="L19" s="3253">
        <f t="shared" si="3"/>
        <v>22170131</v>
      </c>
      <c r="M19" s="3254">
        <f t="shared" si="1"/>
        <v>48.6</v>
      </c>
      <c r="N19" s="3242">
        <f>+D19+H19</f>
        <v>45600000</v>
      </c>
      <c r="O19" s="3242">
        <f>+E19+I19</f>
        <v>45600000</v>
      </c>
      <c r="Q19" s="3242"/>
      <c r="R19" s="3242"/>
      <c r="S19" s="3242"/>
    </row>
    <row r="20" spans="1:19">
      <c r="A20" s="3255"/>
      <c r="B20" s="3256"/>
      <c r="C20" s="3257"/>
      <c r="D20" s="3257"/>
      <c r="E20" s="3257"/>
      <c r="F20" s="3257"/>
      <c r="G20" s="3257"/>
      <c r="H20" s="3257"/>
      <c r="I20" s="3257"/>
      <c r="J20" s="3257"/>
      <c r="K20" s="3257"/>
      <c r="L20" s="3257"/>
      <c r="M20" s="3257"/>
      <c r="O20" s="3242"/>
    </row>
    <row r="21" spans="1:19" ht="13.5" thickBot="1">
      <c r="A21" s="3258" t="s">
        <v>2715</v>
      </c>
      <c r="B21" s="3259"/>
      <c r="C21" s="3260"/>
      <c r="D21" s="3260"/>
      <c r="E21" s="3260"/>
      <c r="F21" s="3260"/>
      <c r="G21" s="3260"/>
      <c r="H21" s="3260"/>
      <c r="I21" s="3260"/>
      <c r="J21" s="3260"/>
      <c r="K21" s="3260"/>
      <c r="L21" s="3260"/>
      <c r="M21" s="3260"/>
      <c r="O21" s="3242"/>
    </row>
    <row r="22" spans="1:19">
      <c r="A22" s="3261" t="s">
        <v>2716</v>
      </c>
      <c r="B22" s="3262">
        <v>31813953</v>
      </c>
      <c r="C22" s="3262">
        <v>31813953</v>
      </c>
      <c r="D22" s="3262">
        <v>7953488</v>
      </c>
      <c r="E22" s="3262">
        <v>0</v>
      </c>
      <c r="F22" s="1493">
        <f>8384084+2587826</f>
        <v>10971910</v>
      </c>
      <c r="G22" s="3262">
        <v>0</v>
      </c>
      <c r="H22" s="3237">
        <f>+C22-D22-F22</f>
        <v>12888555</v>
      </c>
      <c r="I22" s="1493">
        <f>8384084+23429869</f>
        <v>31813953</v>
      </c>
      <c r="J22" s="3237">
        <f>+E22</f>
        <v>0</v>
      </c>
      <c r="K22" s="3237">
        <v>0</v>
      </c>
      <c r="L22" s="3263">
        <f t="shared" ref="L22:L27" si="4">+J22+K22</f>
        <v>0</v>
      </c>
      <c r="M22" s="3241">
        <f t="shared" ref="M22:M28" si="5">IF((C22&lt;&gt;0),ROUND((L22/C22)*100,1),"")</f>
        <v>0</v>
      </c>
      <c r="N22" s="3242">
        <f>+D22+F22+H22</f>
        <v>31813953</v>
      </c>
      <c r="O22" s="3242">
        <f>+E22+G22+I22</f>
        <v>31813953</v>
      </c>
      <c r="P22" s="3242"/>
      <c r="Q22" s="3242"/>
    </row>
    <row r="23" spans="1:19">
      <c r="A23" s="3264" t="s">
        <v>2717</v>
      </c>
      <c r="B23" s="3235">
        <v>0</v>
      </c>
      <c r="C23" s="3235">
        <f>0+5960035</f>
        <v>5960035</v>
      </c>
      <c r="D23" s="3235">
        <v>0</v>
      </c>
      <c r="E23" s="3235">
        <v>0</v>
      </c>
      <c r="F23" s="1326">
        <v>0</v>
      </c>
      <c r="G23" s="3235">
        <f>412941+111494+4280000+1155600</f>
        <v>5960035</v>
      </c>
      <c r="H23" s="3236">
        <v>0</v>
      </c>
      <c r="I23" s="1326">
        <v>0</v>
      </c>
      <c r="J23" s="3236">
        <f>+E23</f>
        <v>0</v>
      </c>
      <c r="K23" s="3235">
        <f>+G23</f>
        <v>5960035</v>
      </c>
      <c r="L23" s="3245">
        <f t="shared" si="4"/>
        <v>5960035</v>
      </c>
      <c r="M23" s="3246">
        <f t="shared" si="5"/>
        <v>100</v>
      </c>
      <c r="N23" s="3242">
        <f t="shared" ref="N23:N25" si="6">+D23+F23+H23</f>
        <v>0</v>
      </c>
      <c r="O23" s="3242">
        <f t="shared" ref="O23:O25" si="7">+E23+G23+I23</f>
        <v>5960035</v>
      </c>
      <c r="P23" s="3242"/>
      <c r="Q23" s="3242"/>
      <c r="R23" s="3242"/>
      <c r="S23" s="3242"/>
    </row>
    <row r="24" spans="1:19">
      <c r="A24" s="3264" t="s">
        <v>2719</v>
      </c>
      <c r="B24" s="3235">
        <v>13786047</v>
      </c>
      <c r="C24" s="3235">
        <f>13786047-C23</f>
        <v>7826012</v>
      </c>
      <c r="D24" s="3235">
        <v>3446512</v>
      </c>
      <c r="E24" s="3235">
        <v>858686</v>
      </c>
      <c r="F24" s="1326">
        <f>12927361-2587826</f>
        <v>10339535</v>
      </c>
      <c r="G24" s="1326">
        <f>1382+500000+190000+186673</f>
        <v>878055</v>
      </c>
      <c r="H24" s="3236">
        <v>0</v>
      </c>
      <c r="I24" s="1326">
        <v>6089271</v>
      </c>
      <c r="J24" s="3236">
        <f>+E24</f>
        <v>858686</v>
      </c>
      <c r="K24" s="3236">
        <f>+G24</f>
        <v>878055</v>
      </c>
      <c r="L24" s="3245">
        <f t="shared" si="4"/>
        <v>1736741</v>
      </c>
      <c r="M24" s="3246">
        <f t="shared" si="5"/>
        <v>22.2</v>
      </c>
      <c r="N24" s="3242">
        <f t="shared" si="6"/>
        <v>13786047</v>
      </c>
      <c r="O24" s="3242">
        <f t="shared" si="7"/>
        <v>7826012</v>
      </c>
      <c r="P24" s="3242"/>
      <c r="Q24" s="3242"/>
    </row>
    <row r="25" spans="1:19" ht="13.5" thickBot="1">
      <c r="A25" s="3264" t="s">
        <v>2721</v>
      </c>
      <c r="B25" s="3235">
        <f>+D25+F25+H25</f>
        <v>0</v>
      </c>
      <c r="C25" s="3236">
        <f>+E25+G25+I25</f>
        <v>0</v>
      </c>
      <c r="D25" s="3236">
        <v>0</v>
      </c>
      <c r="E25" s="3236">
        <v>0</v>
      </c>
      <c r="F25" s="3236">
        <v>0</v>
      </c>
      <c r="G25" s="3236">
        <v>0</v>
      </c>
      <c r="H25" s="3236">
        <v>0</v>
      </c>
      <c r="I25" s="3236">
        <v>0</v>
      </c>
      <c r="J25" s="3236">
        <v>0</v>
      </c>
      <c r="K25" s="3236">
        <v>0</v>
      </c>
      <c r="L25" s="3245">
        <f t="shared" si="4"/>
        <v>0</v>
      </c>
      <c r="M25" s="3246" t="str">
        <f t="shared" si="5"/>
        <v/>
      </c>
      <c r="N25" s="3242">
        <f t="shared" si="6"/>
        <v>0</v>
      </c>
      <c r="O25" s="3242">
        <f t="shared" si="7"/>
        <v>0</v>
      </c>
      <c r="P25" s="3242"/>
      <c r="Q25" s="3242"/>
    </row>
    <row r="26" spans="1:19" hidden="1">
      <c r="A26" s="3265"/>
      <c r="B26" s="3235"/>
      <c r="C26" s="3236"/>
      <c r="D26" s="3236"/>
      <c r="E26" s="3236"/>
      <c r="F26" s="3236"/>
      <c r="G26" s="3236"/>
      <c r="H26" s="3236"/>
      <c r="I26" s="3236"/>
      <c r="J26" s="3236"/>
      <c r="K26" s="3236"/>
      <c r="L26" s="3245">
        <f t="shared" si="4"/>
        <v>0</v>
      </c>
      <c r="M26" s="3246" t="str">
        <f t="shared" si="5"/>
        <v/>
      </c>
      <c r="N26" s="3242"/>
      <c r="O26" s="3242"/>
      <c r="P26" s="3242"/>
      <c r="Q26" s="3242"/>
    </row>
    <row r="27" spans="1:19" ht="13.5" hidden="1" thickBot="1">
      <c r="A27" s="3266"/>
      <c r="B27" s="3249"/>
      <c r="C27" s="3250"/>
      <c r="D27" s="3250"/>
      <c r="E27" s="3250"/>
      <c r="F27" s="3250"/>
      <c r="G27" s="3250"/>
      <c r="H27" s="3250"/>
      <c r="I27" s="3250"/>
      <c r="J27" s="3250"/>
      <c r="K27" s="3250"/>
      <c r="L27" s="3245">
        <f t="shared" si="4"/>
        <v>0</v>
      </c>
      <c r="M27" s="3251" t="str">
        <f t="shared" si="5"/>
        <v/>
      </c>
      <c r="N27" s="3242" t="s">
        <v>4064</v>
      </c>
      <c r="O27" s="3242"/>
      <c r="P27" s="3242"/>
      <c r="Q27" s="3242"/>
    </row>
    <row r="28" spans="1:19" ht="13.5" thickBot="1">
      <c r="A28" s="3267" t="s">
        <v>2852</v>
      </c>
      <c r="B28" s="3253">
        <f t="shared" ref="B28:L28" si="8">SUM(B22:B27)</f>
        <v>45600000</v>
      </c>
      <c r="C28" s="3253">
        <f t="shared" si="8"/>
        <v>45600000</v>
      </c>
      <c r="D28" s="3253">
        <f t="shared" si="8"/>
        <v>11400000</v>
      </c>
      <c r="E28" s="3253">
        <f t="shared" si="8"/>
        <v>858686</v>
      </c>
      <c r="F28" s="3253">
        <f t="shared" si="8"/>
        <v>21311445</v>
      </c>
      <c r="G28" s="3253">
        <f t="shared" si="8"/>
        <v>6838090</v>
      </c>
      <c r="H28" s="3253">
        <f t="shared" si="8"/>
        <v>12888555</v>
      </c>
      <c r="I28" s="3253">
        <f t="shared" si="8"/>
        <v>37903224</v>
      </c>
      <c r="J28" s="3253">
        <f t="shared" si="8"/>
        <v>858686</v>
      </c>
      <c r="K28" s="3253">
        <f t="shared" si="8"/>
        <v>6838090</v>
      </c>
      <c r="L28" s="3253">
        <f t="shared" si="8"/>
        <v>7696776</v>
      </c>
      <c r="M28" s="3254">
        <f t="shared" si="5"/>
        <v>16.899999999999999</v>
      </c>
      <c r="N28" s="3242">
        <f>+N22+N24</f>
        <v>45600000</v>
      </c>
      <c r="O28" s="3242">
        <f>+E28+G28+I28</f>
        <v>45600000</v>
      </c>
      <c r="P28" s="3242"/>
      <c r="Q28" s="3242"/>
      <c r="R28" s="3242"/>
      <c r="S28" s="3242"/>
    </row>
    <row r="29" spans="1:19" ht="23.25" customHeight="1">
      <c r="A29" s="3268"/>
      <c r="B29" s="3269"/>
      <c r="C29" s="3269"/>
      <c r="D29" s="3269"/>
      <c r="E29" s="3269"/>
      <c r="F29" s="3269"/>
      <c r="G29" s="3269"/>
      <c r="H29" s="3269"/>
      <c r="I29" s="3269"/>
      <c r="J29" s="3269"/>
      <c r="K29" s="3269"/>
      <c r="L29" s="3269"/>
      <c r="M29" s="3270"/>
      <c r="N29" s="3242">
        <f>+N22+N23+N24+N25</f>
        <v>45600000</v>
      </c>
      <c r="O29" s="3242">
        <f>+O22+O23+O24+O25</f>
        <v>45600000</v>
      </c>
    </row>
    <row r="30" spans="1:19" ht="15.75" customHeight="1">
      <c r="A30" s="3720" t="s">
        <v>2724</v>
      </c>
      <c r="B30" s="3720"/>
      <c r="C30" s="3720"/>
      <c r="D30" s="3721"/>
      <c r="E30" s="3721"/>
      <c r="F30" s="3721"/>
      <c r="G30" s="3721"/>
      <c r="H30" s="3721"/>
      <c r="I30" s="3721"/>
      <c r="J30" s="3721"/>
      <c r="K30" s="3721"/>
      <c r="L30" s="3721"/>
      <c r="M30" s="3721"/>
      <c r="N30" s="3242"/>
    </row>
    <row r="31" spans="1:19" ht="15.75" customHeight="1">
      <c r="A31" s="3228"/>
      <c r="B31" s="3228"/>
      <c r="C31" s="3228"/>
      <c r="D31" s="467"/>
      <c r="E31" s="467"/>
      <c r="F31" s="467"/>
      <c r="G31" s="467"/>
      <c r="H31" s="467"/>
      <c r="I31" s="467"/>
      <c r="J31" s="467"/>
      <c r="K31" s="467"/>
      <c r="L31" s="467"/>
      <c r="M31" s="467"/>
      <c r="N31" s="3242"/>
    </row>
    <row r="32" spans="1:19" ht="48" customHeight="1" thickBot="1">
      <c r="A32" s="3722" t="s">
        <v>4056</v>
      </c>
      <c r="B32" s="3722"/>
      <c r="C32" s="3722"/>
      <c r="D32" s="3723" t="s">
        <v>3581</v>
      </c>
      <c r="E32" s="3723"/>
      <c r="F32" s="3723"/>
      <c r="G32" s="3723"/>
      <c r="H32" s="3723"/>
      <c r="I32" s="3723"/>
      <c r="J32" s="3723"/>
      <c r="K32" s="3723"/>
      <c r="L32" s="3724" t="s">
        <v>4057</v>
      </c>
      <c r="M32" s="3724"/>
    </row>
    <row r="33" spans="1:19" ht="13.5" customHeight="1" thickBot="1">
      <c r="A33" s="3725" t="s">
        <v>2704</v>
      </c>
      <c r="B33" s="3728" t="s">
        <v>4058</v>
      </c>
      <c r="C33" s="3728"/>
      <c r="D33" s="3728"/>
      <c r="E33" s="3728"/>
      <c r="F33" s="3728"/>
      <c r="G33" s="3728"/>
      <c r="H33" s="3728"/>
      <c r="I33" s="3728"/>
      <c r="J33" s="3729" t="s">
        <v>495</v>
      </c>
      <c r="K33" s="3729"/>
      <c r="L33" s="3729"/>
      <c r="M33" s="3729"/>
    </row>
    <row r="34" spans="1:19" ht="13.5" customHeight="1" thickBot="1">
      <c r="A34" s="3726"/>
      <c r="B34" s="3731" t="s">
        <v>1271</v>
      </c>
      <c r="C34" s="3732" t="s">
        <v>4059</v>
      </c>
      <c r="D34" s="3733" t="s">
        <v>4065</v>
      </c>
      <c r="E34" s="3733"/>
      <c r="F34" s="3733"/>
      <c r="G34" s="3733"/>
      <c r="H34" s="3733"/>
      <c r="I34" s="3733"/>
      <c r="J34" s="3730"/>
      <c r="K34" s="3730"/>
      <c r="L34" s="3730"/>
      <c r="M34" s="3730"/>
    </row>
    <row r="35" spans="1:19" ht="13.5" customHeight="1" thickBot="1">
      <c r="A35" s="3726"/>
      <c r="B35" s="3731"/>
      <c r="C35" s="3732"/>
      <c r="D35" s="3230" t="s">
        <v>1271</v>
      </c>
      <c r="E35" s="3230" t="s">
        <v>4059</v>
      </c>
      <c r="F35" s="3230" t="s">
        <v>1271</v>
      </c>
      <c r="G35" s="3230" t="s">
        <v>4059</v>
      </c>
      <c r="H35" s="3230" t="s">
        <v>1271</v>
      </c>
      <c r="I35" s="3230" t="s">
        <v>4059</v>
      </c>
      <c r="J35" s="3730"/>
      <c r="K35" s="3730"/>
      <c r="L35" s="3730"/>
      <c r="M35" s="3730"/>
    </row>
    <row r="36" spans="1:19" ht="32.25" customHeight="1" thickBot="1">
      <c r="A36" s="3727"/>
      <c r="B36" s="3732" t="s">
        <v>4061</v>
      </c>
      <c r="C36" s="3732"/>
      <c r="D36" s="3732" t="str">
        <f>+D10</f>
        <v>2025. év előtt</v>
      </c>
      <c r="E36" s="3732"/>
      <c r="F36" s="3732" t="str">
        <f>+F10</f>
        <v>2025. évi</v>
      </c>
      <c r="G36" s="3732"/>
      <c r="H36" s="3732" t="str">
        <f>+H10</f>
        <v>2025. év után</v>
      </c>
      <c r="I36" s="3732"/>
      <c r="J36" s="3230" t="str">
        <f>+D36</f>
        <v>2025. év előtt</v>
      </c>
      <c r="K36" s="3230" t="str">
        <f>+F36</f>
        <v>2025. évi</v>
      </c>
      <c r="L36" s="3229" t="str">
        <f>+L10</f>
        <v>Összesen</v>
      </c>
      <c r="M36" s="3230" t="str">
        <f>+M10</f>
        <v>Teljesítés %-a 2025. XII. 31-ig</v>
      </c>
    </row>
    <row r="37" spans="1:19" ht="13.5" customHeight="1" thickBot="1">
      <c r="A37" s="3231" t="s">
        <v>2728</v>
      </c>
      <c r="B37" s="3229" t="s">
        <v>2729</v>
      </c>
      <c r="C37" s="3229" t="s">
        <v>2730</v>
      </c>
      <c r="D37" s="3232" t="s">
        <v>2731</v>
      </c>
      <c r="E37" s="3230" t="s">
        <v>2732</v>
      </c>
      <c r="F37" s="3230" t="s">
        <v>2733</v>
      </c>
      <c r="G37" s="3230" t="s">
        <v>3463</v>
      </c>
      <c r="H37" s="3229" t="s">
        <v>3464</v>
      </c>
      <c r="I37" s="3232" t="s">
        <v>3913</v>
      </c>
      <c r="J37" s="3232" t="s">
        <v>3543</v>
      </c>
      <c r="K37" s="3232" t="s">
        <v>1707</v>
      </c>
      <c r="L37" s="3232" t="s">
        <v>4062</v>
      </c>
      <c r="M37" s="3233" t="s">
        <v>4063</v>
      </c>
    </row>
    <row r="38" spans="1:19" ht="12.75" customHeight="1">
      <c r="A38" s="3234" t="s">
        <v>2708</v>
      </c>
      <c r="B38" s="3262">
        <f>1214624255-800000000</f>
        <v>414624255</v>
      </c>
      <c r="C38" s="3237">
        <f>252049313</f>
        <v>252049313</v>
      </c>
      <c r="D38" s="3237">
        <f>+B38</f>
        <v>414624255</v>
      </c>
      <c r="E38" s="3238">
        <f>252049313</f>
        <v>252049313</v>
      </c>
      <c r="F38" s="3237">
        <v>0</v>
      </c>
      <c r="G38" s="3237">
        <v>0</v>
      </c>
      <c r="H38" s="3237">
        <v>0</v>
      </c>
      <c r="I38" s="3237">
        <v>0</v>
      </c>
      <c r="J38" s="3237">
        <v>252049313</v>
      </c>
      <c r="K38" s="3237">
        <v>0</v>
      </c>
      <c r="L38" s="3240">
        <f t="shared" ref="L38:L44" si="9">+J38+K38</f>
        <v>252049313</v>
      </c>
      <c r="M38" s="3241">
        <f t="shared" ref="M38:M45" si="10">IF((C38&lt;&gt;0),ROUND((L38/C38)*100,1),"")</f>
        <v>100</v>
      </c>
      <c r="N38" s="3242">
        <f>+D38+F38+H38</f>
        <v>414624255</v>
      </c>
      <c r="O38" s="3242">
        <f>+E38+G38+I38</f>
        <v>252049313</v>
      </c>
      <c r="Q38" s="3242"/>
      <c r="R38" s="3242"/>
      <c r="S38" s="3242"/>
    </row>
    <row r="39" spans="1:19" ht="12.75" customHeight="1">
      <c r="A39" s="3243" t="s">
        <v>2709</v>
      </c>
      <c r="B39" s="3271">
        <f t="shared" ref="B39:C42" si="11">+D39+F39+H39</f>
        <v>0</v>
      </c>
      <c r="C39" s="3272">
        <f t="shared" si="11"/>
        <v>0</v>
      </c>
      <c r="D39" s="3244">
        <v>0</v>
      </c>
      <c r="E39" s="3244">
        <v>0</v>
      </c>
      <c r="F39" s="3244">
        <v>0</v>
      </c>
      <c r="G39" s="3244">
        <v>0</v>
      </c>
      <c r="H39" s="3244">
        <v>0</v>
      </c>
      <c r="I39" s="3244">
        <v>0</v>
      </c>
      <c r="J39" s="3244">
        <v>0</v>
      </c>
      <c r="K39" s="3244">
        <v>0</v>
      </c>
      <c r="L39" s="3245">
        <f t="shared" si="9"/>
        <v>0</v>
      </c>
      <c r="M39" s="3246" t="str">
        <f t="shared" si="10"/>
        <v/>
      </c>
      <c r="N39" s="3242">
        <f t="shared" ref="N39:N54" si="12">+D39+F39+H39</f>
        <v>0</v>
      </c>
      <c r="O39" s="3242">
        <f t="shared" ref="O39:O54" si="13">+E39+G39+I39</f>
        <v>0</v>
      </c>
    </row>
    <row r="40" spans="1:19" ht="12.75" customHeight="1">
      <c r="A40" s="3247" t="s">
        <v>2710</v>
      </c>
      <c r="B40" s="3235">
        <f>629921260+170078740</f>
        <v>800000000</v>
      </c>
      <c r="C40" s="3273">
        <f>672350723</f>
        <v>672350723</v>
      </c>
      <c r="D40" s="3236">
        <f>+B40</f>
        <v>800000000</v>
      </c>
      <c r="E40" s="3236">
        <v>0</v>
      </c>
      <c r="F40" s="3236">
        <v>0</v>
      </c>
      <c r="G40" s="3236">
        <v>394760390</v>
      </c>
      <c r="H40" s="3236">
        <v>0</v>
      </c>
      <c r="I40" s="3236">
        <v>277590333</v>
      </c>
      <c r="J40" s="3236">
        <v>0</v>
      </c>
      <c r="K40" s="3236">
        <v>394760390</v>
      </c>
      <c r="L40" s="3245">
        <f t="shared" si="9"/>
        <v>394760390</v>
      </c>
      <c r="M40" s="3246">
        <f t="shared" si="10"/>
        <v>58.7</v>
      </c>
      <c r="N40" s="3242">
        <f t="shared" si="12"/>
        <v>800000000</v>
      </c>
      <c r="O40" s="3242">
        <f t="shared" si="13"/>
        <v>672350723</v>
      </c>
    </row>
    <row r="41" spans="1:19" ht="12.75" customHeight="1">
      <c r="A41" s="3247" t="s">
        <v>2711</v>
      </c>
      <c r="B41" s="3235">
        <f>0</f>
        <v>0</v>
      </c>
      <c r="C41" s="3273">
        <f t="shared" si="11"/>
        <v>0</v>
      </c>
      <c r="D41" s="3236">
        <v>0</v>
      </c>
      <c r="E41" s="3236">
        <v>0</v>
      </c>
      <c r="F41" s="3236">
        <v>0</v>
      </c>
      <c r="G41" s="3236">
        <v>0</v>
      </c>
      <c r="H41" s="3236">
        <v>0</v>
      </c>
      <c r="I41" s="3236">
        <v>0</v>
      </c>
      <c r="J41" s="3236">
        <v>0</v>
      </c>
      <c r="K41" s="3236">
        <v>0</v>
      </c>
      <c r="L41" s="3245">
        <f t="shared" si="9"/>
        <v>0</v>
      </c>
      <c r="M41" s="3246" t="str">
        <f t="shared" si="10"/>
        <v/>
      </c>
      <c r="N41" s="3242">
        <f t="shared" si="12"/>
        <v>0</v>
      </c>
      <c r="O41" s="3242">
        <f t="shared" si="13"/>
        <v>0</v>
      </c>
    </row>
    <row r="42" spans="1:19" ht="12.75" customHeight="1">
      <c r="A42" s="3247" t="s">
        <v>2712</v>
      </c>
      <c r="B42" s="3235">
        <f t="shared" si="11"/>
        <v>0</v>
      </c>
      <c r="C42" s="3273">
        <f t="shared" si="11"/>
        <v>0</v>
      </c>
      <c r="D42" s="3236">
        <v>0</v>
      </c>
      <c r="E42" s="3236">
        <v>0</v>
      </c>
      <c r="F42" s="3236">
        <v>0</v>
      </c>
      <c r="G42" s="3236">
        <v>0</v>
      </c>
      <c r="H42" s="3236">
        <v>0</v>
      </c>
      <c r="I42" s="3236">
        <v>0</v>
      </c>
      <c r="J42" s="3236">
        <v>0</v>
      </c>
      <c r="K42" s="3236">
        <v>0</v>
      </c>
      <c r="L42" s="3245">
        <f t="shared" si="9"/>
        <v>0</v>
      </c>
      <c r="M42" s="3246" t="str">
        <f t="shared" si="10"/>
        <v/>
      </c>
      <c r="N42" s="3242">
        <f t="shared" si="12"/>
        <v>0</v>
      </c>
      <c r="O42" s="3242">
        <f t="shared" si="13"/>
        <v>0</v>
      </c>
    </row>
    <row r="43" spans="1:19" ht="12.75" customHeight="1" thickBot="1">
      <c r="A43" s="3247" t="s">
        <v>2713</v>
      </c>
      <c r="B43" s="3235">
        <v>0</v>
      </c>
      <c r="C43" s="3236">
        <v>0</v>
      </c>
      <c r="D43" s="3236">
        <v>0</v>
      </c>
      <c r="E43" s="3236">
        <v>0</v>
      </c>
      <c r="F43" s="3236">
        <v>0</v>
      </c>
      <c r="G43" s="3236">
        <v>0</v>
      </c>
      <c r="H43" s="3236">
        <v>0</v>
      </c>
      <c r="I43" s="3236">
        <v>0</v>
      </c>
      <c r="J43" s="3236">
        <v>0</v>
      </c>
      <c r="K43" s="3236">
        <f>+G43</f>
        <v>0</v>
      </c>
      <c r="L43" s="3245">
        <f t="shared" si="9"/>
        <v>0</v>
      </c>
      <c r="M43" s="3246" t="str">
        <f t="shared" si="10"/>
        <v/>
      </c>
      <c r="N43" s="3242">
        <f t="shared" si="12"/>
        <v>0</v>
      </c>
      <c r="O43" s="3242">
        <f t="shared" si="13"/>
        <v>0</v>
      </c>
      <c r="Q43" s="3242"/>
      <c r="R43" s="3242"/>
      <c r="S43" s="3242"/>
    </row>
    <row r="44" spans="1:19" ht="13.5" hidden="1" customHeight="1" thickBot="1">
      <c r="A44" s="3248"/>
      <c r="B44" s="3249"/>
      <c r="C44" s="3274"/>
      <c r="D44" s="3250"/>
      <c r="E44" s="3250"/>
      <c r="F44" s="3250"/>
      <c r="G44" s="3250"/>
      <c r="H44" s="3250"/>
      <c r="I44" s="3250"/>
      <c r="J44" s="3250"/>
      <c r="K44" s="3250"/>
      <c r="L44" s="3245">
        <f t="shared" si="9"/>
        <v>0</v>
      </c>
      <c r="M44" s="3251" t="str">
        <f t="shared" si="10"/>
        <v/>
      </c>
      <c r="N44" s="3242">
        <f t="shared" si="12"/>
        <v>0</v>
      </c>
      <c r="O44" s="3242">
        <f t="shared" si="13"/>
        <v>0</v>
      </c>
    </row>
    <row r="45" spans="1:19" ht="13.5" customHeight="1" thickBot="1">
      <c r="A45" s="3252" t="s">
        <v>2714</v>
      </c>
      <c r="B45" s="3253">
        <f t="shared" ref="B45:L45" si="14">B38+SUM(B40:B44)</f>
        <v>1214624255</v>
      </c>
      <c r="C45" s="3253">
        <f t="shared" si="14"/>
        <v>924400036</v>
      </c>
      <c r="D45" s="3253">
        <f t="shared" si="14"/>
        <v>1214624255</v>
      </c>
      <c r="E45" s="3253">
        <f t="shared" si="14"/>
        <v>252049313</v>
      </c>
      <c r="F45" s="3253">
        <f t="shared" si="14"/>
        <v>0</v>
      </c>
      <c r="G45" s="3253">
        <f t="shared" si="14"/>
        <v>394760390</v>
      </c>
      <c r="H45" s="3253">
        <f t="shared" si="14"/>
        <v>0</v>
      </c>
      <c r="I45" s="3253">
        <f t="shared" si="14"/>
        <v>277590333</v>
      </c>
      <c r="J45" s="3253">
        <f t="shared" si="14"/>
        <v>252049313</v>
      </c>
      <c r="K45" s="3253">
        <f t="shared" si="14"/>
        <v>394760390</v>
      </c>
      <c r="L45" s="3253">
        <f t="shared" si="14"/>
        <v>646809703</v>
      </c>
      <c r="M45" s="3254">
        <f t="shared" si="10"/>
        <v>70</v>
      </c>
      <c r="N45" s="3242">
        <f t="shared" si="12"/>
        <v>1214624255</v>
      </c>
      <c r="O45" s="3242">
        <f t="shared" si="13"/>
        <v>924400036</v>
      </c>
      <c r="Q45" s="3242"/>
      <c r="R45" s="3242"/>
      <c r="S45" s="3242"/>
    </row>
    <row r="46" spans="1:19">
      <c r="A46" s="3255"/>
      <c r="B46" s="3256"/>
      <c r="C46" s="3257"/>
      <c r="D46" s="3257"/>
      <c r="E46" s="3257"/>
      <c r="F46" s="3257"/>
      <c r="G46" s="3257"/>
      <c r="H46" s="3257"/>
      <c r="I46" s="3257"/>
      <c r="J46" s="3257"/>
      <c r="K46" s="3257"/>
      <c r="L46" s="3257"/>
      <c r="M46" s="3257"/>
      <c r="N46" s="3242">
        <f t="shared" si="12"/>
        <v>0</v>
      </c>
      <c r="O46" s="3242">
        <f t="shared" si="13"/>
        <v>0</v>
      </c>
    </row>
    <row r="47" spans="1:19" ht="13.5" thickBot="1">
      <c r="A47" s="3258" t="s">
        <v>2715</v>
      </c>
      <c r="B47" s="3259"/>
      <c r="C47" s="3260"/>
      <c r="D47" s="3260"/>
      <c r="E47" s="3260"/>
      <c r="F47" s="3260"/>
      <c r="G47" s="3260"/>
      <c r="H47" s="3260"/>
      <c r="I47" s="3260"/>
      <c r="J47" s="3260"/>
      <c r="K47" s="3260"/>
      <c r="L47" s="3260"/>
      <c r="M47" s="3260"/>
      <c r="N47" s="3242">
        <f t="shared" si="12"/>
        <v>0</v>
      </c>
      <c r="O47" s="3242">
        <f t="shared" si="13"/>
        <v>0</v>
      </c>
    </row>
    <row r="48" spans="1:19">
      <c r="A48" s="3261" t="s">
        <v>2716</v>
      </c>
      <c r="B48" s="3262">
        <f t="shared" ref="B48:C51" si="15">+D48+F48+H48</f>
        <v>0</v>
      </c>
      <c r="C48" s="3262">
        <f t="shared" si="15"/>
        <v>0</v>
      </c>
      <c r="D48" s="3237">
        <v>0</v>
      </c>
      <c r="E48" s="3238">
        <v>0</v>
      </c>
      <c r="F48" s="3262">
        <v>0</v>
      </c>
      <c r="G48" s="3262">
        <v>0</v>
      </c>
      <c r="H48" s="3237">
        <v>0</v>
      </c>
      <c r="I48" s="3237">
        <v>0</v>
      </c>
      <c r="J48" s="3237">
        <v>0</v>
      </c>
      <c r="K48" s="3237">
        <v>0</v>
      </c>
      <c r="L48" s="3263">
        <f t="shared" ref="L48:L53" si="16">+J48+K48</f>
        <v>0</v>
      </c>
      <c r="M48" s="3241" t="str">
        <f t="shared" ref="M48:M54" si="17">IF((C48&lt;&gt;0),ROUND((L48/C48)*100,1),"")</f>
        <v/>
      </c>
      <c r="N48" s="3242">
        <f t="shared" si="12"/>
        <v>0</v>
      </c>
      <c r="O48" s="3242">
        <f t="shared" si="13"/>
        <v>0</v>
      </c>
    </row>
    <row r="49" spans="1:19">
      <c r="A49" s="3264" t="s">
        <v>2717</v>
      </c>
      <c r="B49" s="3235">
        <f>1214624255</f>
        <v>1214624255</v>
      </c>
      <c r="C49" s="3235">
        <f>924400036</f>
        <v>924400036</v>
      </c>
      <c r="D49" s="3235">
        <f>+B49</f>
        <v>1214624255</v>
      </c>
      <c r="E49" s="3236">
        <f>865984587</f>
        <v>865984587</v>
      </c>
      <c r="F49" s="3235">
        <v>0</v>
      </c>
      <c r="G49" s="3235">
        <v>58415449</v>
      </c>
      <c r="H49" s="3236">
        <v>0</v>
      </c>
      <c r="I49" s="3236">
        <v>0</v>
      </c>
      <c r="J49" s="3236">
        <f>36195000+93276584+736513003</f>
        <v>865984587</v>
      </c>
      <c r="K49" s="3236">
        <f>45996545+12418904</f>
        <v>58415449</v>
      </c>
      <c r="L49" s="3245">
        <f t="shared" si="16"/>
        <v>924400036</v>
      </c>
      <c r="M49" s="3246">
        <f t="shared" si="17"/>
        <v>100</v>
      </c>
      <c r="N49" s="3242">
        <f t="shared" si="12"/>
        <v>1214624255</v>
      </c>
      <c r="O49" s="3242">
        <f t="shared" si="13"/>
        <v>924400036</v>
      </c>
      <c r="Q49" s="3242"/>
      <c r="R49" s="3242"/>
      <c r="S49" s="3242"/>
    </row>
    <row r="50" spans="1:19">
      <c r="A50" s="3264" t="s">
        <v>2719</v>
      </c>
      <c r="B50" s="3235">
        <f t="shared" si="15"/>
        <v>0</v>
      </c>
      <c r="C50" s="3235">
        <f t="shared" si="15"/>
        <v>0</v>
      </c>
      <c r="D50" s="3236">
        <v>0</v>
      </c>
      <c r="E50" s="3236">
        <v>0</v>
      </c>
      <c r="F50" s="3235">
        <v>0</v>
      </c>
      <c r="G50" s="3235">
        <v>0</v>
      </c>
      <c r="H50" s="3236">
        <v>0</v>
      </c>
      <c r="I50" s="3236">
        <v>0</v>
      </c>
      <c r="J50" s="3236">
        <v>0</v>
      </c>
      <c r="K50" s="3236">
        <v>0</v>
      </c>
      <c r="L50" s="3245">
        <f t="shared" si="16"/>
        <v>0</v>
      </c>
      <c r="M50" s="3246" t="str">
        <f t="shared" si="17"/>
        <v/>
      </c>
      <c r="N50" s="3242">
        <f t="shared" si="12"/>
        <v>0</v>
      </c>
      <c r="O50" s="3242">
        <f t="shared" si="13"/>
        <v>0</v>
      </c>
    </row>
    <row r="51" spans="1:19" ht="13.5" thickBot="1">
      <c r="A51" s="3264" t="s">
        <v>2721</v>
      </c>
      <c r="B51" s="3235">
        <f t="shared" si="15"/>
        <v>0</v>
      </c>
      <c r="C51" s="3236">
        <f t="shared" si="15"/>
        <v>0</v>
      </c>
      <c r="D51" s="3236">
        <v>0</v>
      </c>
      <c r="E51" s="3236">
        <v>0</v>
      </c>
      <c r="F51" s="3236">
        <v>0</v>
      </c>
      <c r="G51" s="3236">
        <v>0</v>
      </c>
      <c r="H51" s="3236">
        <v>0</v>
      </c>
      <c r="I51" s="3236">
        <v>0</v>
      </c>
      <c r="J51" s="3236">
        <v>0</v>
      </c>
      <c r="K51" s="3236">
        <v>0</v>
      </c>
      <c r="L51" s="3245">
        <f t="shared" si="16"/>
        <v>0</v>
      </c>
      <c r="M51" s="3246" t="str">
        <f t="shared" si="17"/>
        <v/>
      </c>
      <c r="N51" s="3242">
        <f t="shared" si="12"/>
        <v>0</v>
      </c>
      <c r="O51" s="3242">
        <f t="shared" si="13"/>
        <v>0</v>
      </c>
    </row>
    <row r="52" spans="1:19" ht="13.5" hidden="1" thickBot="1">
      <c r="A52" s="3265"/>
      <c r="B52" s="3235"/>
      <c r="C52" s="3236"/>
      <c r="D52" s="3236"/>
      <c r="E52" s="3236"/>
      <c r="F52" s="3236"/>
      <c r="G52" s="3236"/>
      <c r="H52" s="3236"/>
      <c r="I52" s="3236"/>
      <c r="J52" s="3236"/>
      <c r="K52" s="3236"/>
      <c r="L52" s="3245">
        <f t="shared" si="16"/>
        <v>0</v>
      </c>
      <c r="M52" s="3246" t="str">
        <f t="shared" si="17"/>
        <v/>
      </c>
      <c r="N52" s="3242">
        <f t="shared" si="12"/>
        <v>0</v>
      </c>
      <c r="O52" s="3242">
        <f t="shared" si="13"/>
        <v>0</v>
      </c>
    </row>
    <row r="53" spans="1:19" ht="13.5" hidden="1" thickBot="1">
      <c r="A53" s="3266"/>
      <c r="B53" s="3249"/>
      <c r="C53" s="3250"/>
      <c r="D53" s="3250"/>
      <c r="E53" s="3250"/>
      <c r="F53" s="3250"/>
      <c r="G53" s="3250"/>
      <c r="H53" s="3250"/>
      <c r="I53" s="3250"/>
      <c r="J53" s="3250"/>
      <c r="K53" s="3250"/>
      <c r="L53" s="3245">
        <f t="shared" si="16"/>
        <v>0</v>
      </c>
      <c r="M53" s="3251" t="str">
        <f t="shared" si="17"/>
        <v/>
      </c>
      <c r="N53" s="3242">
        <f t="shared" si="12"/>
        <v>0</v>
      </c>
      <c r="O53" s="3242">
        <f t="shared" si="13"/>
        <v>0</v>
      </c>
    </row>
    <row r="54" spans="1:19" ht="13.5" thickBot="1">
      <c r="A54" s="3267" t="s">
        <v>2852</v>
      </c>
      <c r="B54" s="3253">
        <f t="shared" ref="B54:L54" si="18">SUM(B48:B53)</f>
        <v>1214624255</v>
      </c>
      <c r="C54" s="3253">
        <f t="shared" si="18"/>
        <v>924400036</v>
      </c>
      <c r="D54" s="3253">
        <f t="shared" si="18"/>
        <v>1214624255</v>
      </c>
      <c r="E54" s="3253">
        <f t="shared" si="18"/>
        <v>865984587</v>
      </c>
      <c r="F54" s="3253">
        <f t="shared" si="18"/>
        <v>0</v>
      </c>
      <c r="G54" s="3253">
        <f t="shared" si="18"/>
        <v>58415449</v>
      </c>
      <c r="H54" s="3253">
        <f t="shared" si="18"/>
        <v>0</v>
      </c>
      <c r="I54" s="3253">
        <f t="shared" si="18"/>
        <v>0</v>
      </c>
      <c r="J54" s="3253">
        <f t="shared" si="18"/>
        <v>865984587</v>
      </c>
      <c r="K54" s="3253">
        <f t="shared" si="18"/>
        <v>58415449</v>
      </c>
      <c r="L54" s="3253">
        <f t="shared" si="18"/>
        <v>924400036</v>
      </c>
      <c r="M54" s="3254">
        <f t="shared" si="17"/>
        <v>100</v>
      </c>
      <c r="N54" s="3242">
        <f t="shared" si="12"/>
        <v>1214624255</v>
      </c>
      <c r="O54" s="3242">
        <f t="shared" si="13"/>
        <v>924400036</v>
      </c>
      <c r="Q54" s="3242"/>
      <c r="R54" s="3242"/>
      <c r="S54" s="3242"/>
    </row>
    <row r="55" spans="1:19">
      <c r="A55" s="3433"/>
      <c r="B55" s="3434"/>
      <c r="C55" s="3434"/>
      <c r="D55" s="3434"/>
      <c r="E55" s="3434"/>
      <c r="F55" s="3434"/>
      <c r="G55" s="3434"/>
      <c r="H55" s="3434"/>
      <c r="I55" s="3434"/>
      <c r="J55" s="3434"/>
      <c r="K55" s="3434"/>
      <c r="L55" s="3434"/>
      <c r="M55" s="3435"/>
      <c r="N55" s="3242"/>
      <c r="O55" s="3242"/>
      <c r="Q55" s="3242"/>
      <c r="R55" s="3242"/>
      <c r="S55" s="3242"/>
    </row>
    <row r="56" spans="1:19" ht="15.75" customHeight="1">
      <c r="A56" s="3720" t="s">
        <v>2724</v>
      </c>
      <c r="B56" s="3720"/>
      <c r="C56" s="3720"/>
      <c r="D56" s="3721"/>
      <c r="E56" s="3721"/>
      <c r="F56" s="3721"/>
      <c r="G56" s="3721"/>
      <c r="H56" s="3721"/>
      <c r="I56" s="3721"/>
      <c r="J56" s="3721"/>
      <c r="K56" s="3721"/>
      <c r="L56" s="3721"/>
      <c r="M56" s="3721"/>
      <c r="N56" s="3242"/>
      <c r="O56" s="3242"/>
      <c r="Q56" s="3242"/>
      <c r="R56" s="3242"/>
      <c r="S56" s="3242"/>
    </row>
    <row r="57" spans="1:19" ht="15.75" customHeight="1">
      <c r="A57" s="3228"/>
      <c r="B57" s="3228"/>
      <c r="C57" s="3228"/>
      <c r="D57" s="467"/>
      <c r="E57" s="467"/>
      <c r="F57" s="467"/>
      <c r="G57" s="467"/>
      <c r="H57" s="467"/>
      <c r="I57" s="467"/>
      <c r="J57" s="467"/>
      <c r="K57" s="467"/>
      <c r="L57" s="467"/>
      <c r="M57" s="467"/>
      <c r="N57" s="3242"/>
      <c r="O57" s="3242"/>
      <c r="Q57" s="3242"/>
      <c r="R57" s="3242"/>
      <c r="S57" s="3242"/>
    </row>
    <row r="58" spans="1:19" ht="48" customHeight="1" thickBot="1">
      <c r="A58" s="3722" t="s">
        <v>4056</v>
      </c>
      <c r="B58" s="3722"/>
      <c r="C58" s="3722"/>
      <c r="D58" s="3723" t="s">
        <v>4251</v>
      </c>
      <c r="E58" s="3723"/>
      <c r="F58" s="3723"/>
      <c r="G58" s="3723"/>
      <c r="H58" s="3723"/>
      <c r="I58" s="3723"/>
      <c r="J58" s="3723"/>
      <c r="K58" s="3723"/>
      <c r="L58" s="3724" t="s">
        <v>4057</v>
      </c>
      <c r="M58" s="3724"/>
      <c r="N58" s="3242"/>
      <c r="O58" s="3242"/>
      <c r="Q58" s="3242"/>
      <c r="R58" s="3242"/>
      <c r="S58" s="3242"/>
    </row>
    <row r="59" spans="1:19" ht="15.75" customHeight="1" thickBot="1">
      <c r="A59" s="3725" t="s">
        <v>2704</v>
      </c>
      <c r="B59" s="3728" t="s">
        <v>4058</v>
      </c>
      <c r="C59" s="3728"/>
      <c r="D59" s="3728"/>
      <c r="E59" s="3728"/>
      <c r="F59" s="3728"/>
      <c r="G59" s="3728"/>
      <c r="H59" s="3728"/>
      <c r="I59" s="3728"/>
      <c r="J59" s="3729" t="s">
        <v>495</v>
      </c>
      <c r="K59" s="3729"/>
      <c r="L59" s="3729"/>
      <c r="M59" s="3729"/>
      <c r="N59" s="3242"/>
      <c r="O59" s="3242"/>
      <c r="Q59" s="3242"/>
      <c r="R59" s="3242"/>
      <c r="S59" s="3242"/>
    </row>
    <row r="60" spans="1:19" ht="15.75" customHeight="1" thickBot="1">
      <c r="A60" s="3726"/>
      <c r="B60" s="3731" t="s">
        <v>1271</v>
      </c>
      <c r="C60" s="3732" t="s">
        <v>4059</v>
      </c>
      <c r="D60" s="3733" t="s">
        <v>4065</v>
      </c>
      <c r="E60" s="3733"/>
      <c r="F60" s="3733"/>
      <c r="G60" s="3733"/>
      <c r="H60" s="3733"/>
      <c r="I60" s="3733"/>
      <c r="J60" s="3730"/>
      <c r="K60" s="3730"/>
      <c r="L60" s="3730"/>
      <c r="M60" s="3730"/>
      <c r="N60" s="3242"/>
      <c r="O60" s="3242"/>
      <c r="Q60" s="3242"/>
      <c r="R60" s="3242"/>
      <c r="S60" s="3242"/>
    </row>
    <row r="61" spans="1:19" ht="15.75" customHeight="1" thickBot="1">
      <c r="A61" s="3726"/>
      <c r="B61" s="3731"/>
      <c r="C61" s="3732"/>
      <c r="D61" s="3230" t="s">
        <v>1271</v>
      </c>
      <c r="E61" s="3230" t="s">
        <v>4059</v>
      </c>
      <c r="F61" s="3230" t="s">
        <v>1271</v>
      </c>
      <c r="G61" s="3230" t="s">
        <v>4059</v>
      </c>
      <c r="H61" s="3230" t="s">
        <v>1271</v>
      </c>
      <c r="I61" s="3230" t="s">
        <v>4059</v>
      </c>
      <c r="J61" s="3730"/>
      <c r="K61" s="3730"/>
      <c r="L61" s="3730"/>
      <c r="M61" s="3730"/>
      <c r="N61" s="3242"/>
      <c r="O61" s="3242"/>
      <c r="Q61" s="3242"/>
      <c r="R61" s="3242"/>
      <c r="S61" s="3242"/>
    </row>
    <row r="62" spans="1:19" ht="32.25" thickBot="1">
      <c r="A62" s="3727"/>
      <c r="B62" s="3732" t="s">
        <v>4061</v>
      </c>
      <c r="C62" s="3732"/>
      <c r="D62" s="3732" t="str">
        <f>+D36</f>
        <v>2025. év előtt</v>
      </c>
      <c r="E62" s="3732"/>
      <c r="F62" s="3732" t="str">
        <f>+F36</f>
        <v>2025. évi</v>
      </c>
      <c r="G62" s="3732"/>
      <c r="H62" s="3732" t="str">
        <f>+H36</f>
        <v>2025. év után</v>
      </c>
      <c r="I62" s="3732"/>
      <c r="J62" s="3230" t="str">
        <f>+D62</f>
        <v>2025. év előtt</v>
      </c>
      <c r="K62" s="3230" t="str">
        <f>+F62</f>
        <v>2025. évi</v>
      </c>
      <c r="L62" s="3229" t="str">
        <f>+L36</f>
        <v>Összesen</v>
      </c>
      <c r="M62" s="3230" t="str">
        <f>+M36</f>
        <v>Teljesítés %-a 2025. XII. 31-ig</v>
      </c>
      <c r="N62" s="3242"/>
      <c r="O62" s="3242"/>
      <c r="Q62" s="3242"/>
      <c r="R62" s="3242"/>
      <c r="S62" s="3242"/>
    </row>
    <row r="63" spans="1:19" ht="15.75" customHeight="1" thickBot="1">
      <c r="A63" s="3231" t="s">
        <v>2728</v>
      </c>
      <c r="B63" s="3229" t="s">
        <v>2729</v>
      </c>
      <c r="C63" s="3229" t="s">
        <v>2730</v>
      </c>
      <c r="D63" s="3232" t="s">
        <v>2731</v>
      </c>
      <c r="E63" s="3230" t="s">
        <v>2732</v>
      </c>
      <c r="F63" s="3230" t="s">
        <v>2733</v>
      </c>
      <c r="G63" s="3230" t="s">
        <v>3463</v>
      </c>
      <c r="H63" s="3229" t="s">
        <v>3464</v>
      </c>
      <c r="I63" s="3232" t="s">
        <v>3913</v>
      </c>
      <c r="J63" s="3232" t="s">
        <v>3543</v>
      </c>
      <c r="K63" s="3232" t="s">
        <v>1707</v>
      </c>
      <c r="L63" s="3232" t="s">
        <v>4062</v>
      </c>
      <c r="M63" s="3233" t="s">
        <v>4063</v>
      </c>
      <c r="N63" s="3242"/>
      <c r="O63" s="3242"/>
      <c r="Q63" s="3242"/>
      <c r="R63" s="3242"/>
      <c r="S63" s="3242"/>
    </row>
    <row r="64" spans="1:19" ht="12.75" customHeight="1">
      <c r="A64" s="3234" t="s">
        <v>2708</v>
      </c>
      <c r="B64" s="3262"/>
      <c r="C64" s="3237"/>
      <c r="D64" s="3237">
        <f>+B64</f>
        <v>0</v>
      </c>
      <c r="E64" s="3238">
        <v>0</v>
      </c>
      <c r="F64" s="3237">
        <v>0</v>
      </c>
      <c r="G64" s="3237">
        <v>0</v>
      </c>
      <c r="H64" s="3237">
        <v>0</v>
      </c>
      <c r="I64" s="3237">
        <v>0</v>
      </c>
      <c r="J64" s="3237">
        <v>0</v>
      </c>
      <c r="K64" s="3237">
        <v>0</v>
      </c>
      <c r="L64" s="3240">
        <f t="shared" ref="L64:L70" si="19">+J64+K64</f>
        <v>0</v>
      </c>
      <c r="M64" s="3241" t="str">
        <f t="shared" ref="M64:M71" si="20">IF((C64&lt;&gt;0),ROUND((L64/C64)*100,1),"")</f>
        <v/>
      </c>
      <c r="N64" s="3242"/>
      <c r="O64" s="3242"/>
      <c r="Q64" s="3242"/>
      <c r="R64" s="3242"/>
      <c r="S64" s="3242"/>
    </row>
    <row r="65" spans="1:19" ht="12.75" customHeight="1">
      <c r="A65" s="3243" t="s">
        <v>2709</v>
      </c>
      <c r="B65" s="3271">
        <f t="shared" ref="B65" si="21">+D65+F65+H65</f>
        <v>0</v>
      </c>
      <c r="C65" s="3272">
        <f t="shared" ref="C65" si="22">+E65+G65+I65</f>
        <v>0</v>
      </c>
      <c r="D65" s="3244">
        <v>0</v>
      </c>
      <c r="E65" s="3244">
        <v>0</v>
      </c>
      <c r="F65" s="3244">
        <v>0</v>
      </c>
      <c r="G65" s="3244">
        <v>0</v>
      </c>
      <c r="H65" s="3244">
        <v>0</v>
      </c>
      <c r="I65" s="3244">
        <v>0</v>
      </c>
      <c r="J65" s="3244">
        <v>0</v>
      </c>
      <c r="K65" s="3244">
        <v>0</v>
      </c>
      <c r="L65" s="3245">
        <f t="shared" si="19"/>
        <v>0</v>
      </c>
      <c r="M65" s="3246" t="str">
        <f t="shared" si="20"/>
        <v/>
      </c>
      <c r="N65" s="3242"/>
      <c r="O65" s="3242"/>
      <c r="Q65" s="3242"/>
      <c r="R65" s="3242"/>
      <c r="S65" s="3242"/>
    </row>
    <row r="66" spans="1:19" ht="12.75" customHeight="1">
      <c r="A66" s="3247" t="s">
        <v>2710</v>
      </c>
      <c r="B66" s="3235">
        <v>1879476479</v>
      </c>
      <c r="C66" s="3273">
        <v>1879476479</v>
      </c>
      <c r="D66" s="3236">
        <v>0</v>
      </c>
      <c r="E66" s="3236">
        <v>0</v>
      </c>
      <c r="F66" s="3236">
        <v>0</v>
      </c>
      <c r="G66" s="3236">
        <v>0</v>
      </c>
      <c r="H66" s="3236">
        <v>1879476479</v>
      </c>
      <c r="I66" s="3236">
        <v>1879476479</v>
      </c>
      <c r="J66" s="3236">
        <v>0</v>
      </c>
      <c r="K66" s="3236"/>
      <c r="L66" s="3245">
        <f t="shared" si="19"/>
        <v>0</v>
      </c>
      <c r="M66" s="3246">
        <f t="shared" si="20"/>
        <v>0</v>
      </c>
      <c r="N66" s="3242"/>
      <c r="O66" s="3242"/>
      <c r="Q66" s="3242"/>
      <c r="R66" s="3242"/>
      <c r="S66" s="3242"/>
    </row>
    <row r="67" spans="1:19" ht="12.75" customHeight="1">
      <c r="A67" s="3247" t="s">
        <v>2711</v>
      </c>
      <c r="B67" s="3235">
        <f>0</f>
        <v>0</v>
      </c>
      <c r="C67" s="3273">
        <f t="shared" ref="C67:C68" si="23">+E67+G67+I67</f>
        <v>0</v>
      </c>
      <c r="D67" s="3236">
        <v>0</v>
      </c>
      <c r="E67" s="3236">
        <v>0</v>
      </c>
      <c r="F67" s="3236">
        <v>0</v>
      </c>
      <c r="G67" s="3236">
        <v>0</v>
      </c>
      <c r="H67" s="3236">
        <v>0</v>
      </c>
      <c r="I67" s="3236">
        <v>0</v>
      </c>
      <c r="J67" s="3236">
        <v>0</v>
      </c>
      <c r="K67" s="3236">
        <v>0</v>
      </c>
      <c r="L67" s="3245">
        <f t="shared" si="19"/>
        <v>0</v>
      </c>
      <c r="M67" s="3246" t="str">
        <f t="shared" si="20"/>
        <v/>
      </c>
      <c r="N67" s="3242"/>
      <c r="O67" s="3242"/>
      <c r="Q67" s="3242"/>
      <c r="R67" s="3242"/>
      <c r="S67" s="3242"/>
    </row>
    <row r="68" spans="1:19" ht="12.75" customHeight="1">
      <c r="A68" s="3247" t="s">
        <v>2712</v>
      </c>
      <c r="B68" s="3235">
        <f t="shared" ref="B68" si="24">+D68+F68+H68</f>
        <v>0</v>
      </c>
      <c r="C68" s="3273">
        <f t="shared" si="23"/>
        <v>0</v>
      </c>
      <c r="D68" s="3236">
        <v>0</v>
      </c>
      <c r="E68" s="3236">
        <v>0</v>
      </c>
      <c r="F68" s="3236">
        <v>0</v>
      </c>
      <c r="G68" s="3236">
        <v>0</v>
      </c>
      <c r="H68" s="3236">
        <v>0</v>
      </c>
      <c r="I68" s="3236">
        <v>0</v>
      </c>
      <c r="J68" s="3236">
        <v>0</v>
      </c>
      <c r="K68" s="3236">
        <v>0</v>
      </c>
      <c r="L68" s="3245">
        <f t="shared" si="19"/>
        <v>0</v>
      </c>
      <c r="M68" s="3246" t="str">
        <f t="shared" si="20"/>
        <v/>
      </c>
      <c r="N68" s="3242"/>
      <c r="O68" s="3242"/>
      <c r="Q68" s="3242"/>
      <c r="R68" s="3242"/>
      <c r="S68" s="3242"/>
    </row>
    <row r="69" spans="1:19" ht="12.75" customHeight="1" thickBot="1">
      <c r="A69" s="3247" t="s">
        <v>2713</v>
      </c>
      <c r="B69" s="3235">
        <v>0</v>
      </c>
      <c r="C69" s="3236">
        <v>0</v>
      </c>
      <c r="D69" s="3236">
        <v>0</v>
      </c>
      <c r="E69" s="3236">
        <v>0</v>
      </c>
      <c r="F69" s="3236">
        <v>0</v>
      </c>
      <c r="G69" s="3236">
        <v>0</v>
      </c>
      <c r="H69" s="3236">
        <v>0</v>
      </c>
      <c r="I69" s="3236">
        <v>0</v>
      </c>
      <c r="J69" s="3236">
        <v>0</v>
      </c>
      <c r="K69" s="3236">
        <f>+G69</f>
        <v>0</v>
      </c>
      <c r="L69" s="3245">
        <f t="shared" si="19"/>
        <v>0</v>
      </c>
      <c r="M69" s="3246" t="str">
        <f t="shared" si="20"/>
        <v/>
      </c>
      <c r="N69" s="3242"/>
      <c r="O69" s="3242"/>
      <c r="Q69" s="3242"/>
      <c r="R69" s="3242"/>
      <c r="S69" s="3242"/>
    </row>
    <row r="70" spans="1:19" ht="15.75" hidden="1" customHeight="1" thickBot="1">
      <c r="A70" s="3248"/>
      <c r="B70" s="3249"/>
      <c r="C70" s="3274"/>
      <c r="D70" s="3250"/>
      <c r="E70" s="3250"/>
      <c r="F70" s="3250"/>
      <c r="G70" s="3250"/>
      <c r="H70" s="3250"/>
      <c r="I70" s="3250"/>
      <c r="J70" s="3250"/>
      <c r="K70" s="3250"/>
      <c r="L70" s="3245">
        <f t="shared" si="19"/>
        <v>0</v>
      </c>
      <c r="M70" s="3251" t="str">
        <f t="shared" si="20"/>
        <v/>
      </c>
      <c r="N70" s="3242"/>
      <c r="O70" s="3242"/>
      <c r="Q70" s="3242"/>
      <c r="R70" s="3242"/>
      <c r="S70" s="3242"/>
    </row>
    <row r="71" spans="1:19" ht="15.75" customHeight="1" thickBot="1">
      <c r="A71" s="3252" t="s">
        <v>2714</v>
      </c>
      <c r="B71" s="3253">
        <f t="shared" ref="B71:L71" si="25">B64+SUM(B66:B70)</f>
        <v>1879476479</v>
      </c>
      <c r="C71" s="3253">
        <f t="shared" si="25"/>
        <v>1879476479</v>
      </c>
      <c r="D71" s="3253">
        <f t="shared" si="25"/>
        <v>0</v>
      </c>
      <c r="E71" s="3253">
        <f t="shared" si="25"/>
        <v>0</v>
      </c>
      <c r="F71" s="3253">
        <f t="shared" si="25"/>
        <v>0</v>
      </c>
      <c r="G71" s="3253">
        <f t="shared" si="25"/>
        <v>0</v>
      </c>
      <c r="H71" s="3253">
        <f t="shared" si="25"/>
        <v>1879476479</v>
      </c>
      <c r="I71" s="3253">
        <f t="shared" si="25"/>
        <v>1879476479</v>
      </c>
      <c r="J71" s="3253">
        <f t="shared" si="25"/>
        <v>0</v>
      </c>
      <c r="K71" s="3253">
        <f t="shared" si="25"/>
        <v>0</v>
      </c>
      <c r="L71" s="3253">
        <f t="shared" si="25"/>
        <v>0</v>
      </c>
      <c r="M71" s="3254">
        <f t="shared" si="20"/>
        <v>0</v>
      </c>
      <c r="N71" s="3242"/>
      <c r="O71" s="3242"/>
      <c r="Q71" s="3242"/>
      <c r="R71" s="3242"/>
      <c r="S71" s="3242"/>
    </row>
    <row r="72" spans="1:19" ht="11.25" customHeight="1">
      <c r="A72" s="3255"/>
      <c r="B72" s="3256"/>
      <c r="C72" s="3257"/>
      <c r="D72" s="3257"/>
      <c r="E72" s="3257"/>
      <c r="F72" s="3257"/>
      <c r="G72" s="3257"/>
      <c r="H72" s="3257"/>
      <c r="I72" s="3257"/>
      <c r="J72" s="3257"/>
      <c r="K72" s="3257"/>
      <c r="L72" s="3257"/>
      <c r="M72" s="3257"/>
      <c r="N72" s="3242"/>
      <c r="O72" s="3242"/>
      <c r="Q72" s="3242"/>
      <c r="R72" s="3242"/>
      <c r="S72" s="3242"/>
    </row>
    <row r="73" spans="1:19" ht="15.75" customHeight="1" thickBot="1">
      <c r="A73" s="3258" t="s">
        <v>2715</v>
      </c>
      <c r="B73" s="3259"/>
      <c r="C73" s="3260"/>
      <c r="D73" s="3260"/>
      <c r="E73" s="3260"/>
      <c r="F73" s="3260"/>
      <c r="G73" s="3260"/>
      <c r="H73" s="3260"/>
      <c r="I73" s="3260"/>
      <c r="J73" s="3260"/>
      <c r="K73" s="3260"/>
      <c r="L73" s="3260"/>
      <c r="M73" s="3260"/>
      <c r="N73" s="3242"/>
      <c r="O73" s="3242"/>
      <c r="Q73" s="3242"/>
      <c r="R73" s="3242"/>
      <c r="S73" s="3242"/>
    </row>
    <row r="74" spans="1:19" ht="12.75" customHeight="1">
      <c r="A74" s="3261" t="s">
        <v>2716</v>
      </c>
      <c r="B74" s="3262">
        <f t="shared" ref="B74" si="26">+D74+F74+H74</f>
        <v>0</v>
      </c>
      <c r="C74" s="3262">
        <f t="shared" ref="C74" si="27">+E74+G74+I74</f>
        <v>0</v>
      </c>
      <c r="D74" s="3237">
        <v>0</v>
      </c>
      <c r="E74" s="3238">
        <v>0</v>
      </c>
      <c r="F74" s="3262">
        <v>0</v>
      </c>
      <c r="G74" s="3262">
        <v>0</v>
      </c>
      <c r="H74" s="3237">
        <v>0</v>
      </c>
      <c r="I74" s="3237">
        <v>0</v>
      </c>
      <c r="J74" s="3237">
        <v>0</v>
      </c>
      <c r="K74" s="3237">
        <v>0</v>
      </c>
      <c r="L74" s="3263">
        <f t="shared" ref="L74:L79" si="28">+J74+K74</f>
        <v>0</v>
      </c>
      <c r="M74" s="3241" t="str">
        <f t="shared" ref="M74:M80" si="29">IF((C74&lt;&gt;0),ROUND((L74/C74)*100,1),"")</f>
        <v/>
      </c>
      <c r="N74" s="3242"/>
      <c r="O74" s="3242"/>
      <c r="Q74" s="3242"/>
      <c r="R74" s="3242"/>
      <c r="S74" s="3242"/>
    </row>
    <row r="75" spans="1:19" ht="12.75" customHeight="1">
      <c r="A75" s="3264" t="s">
        <v>2717</v>
      </c>
      <c r="B75" s="3235">
        <v>1879476479</v>
      </c>
      <c r="C75" s="3235">
        <v>1879476479</v>
      </c>
      <c r="D75" s="3235">
        <v>0</v>
      </c>
      <c r="E75" s="824">
        <f>6453700</f>
        <v>6453700</v>
      </c>
      <c r="F75" s="3235">
        <v>0</v>
      </c>
      <c r="G75" s="3235">
        <f>+'34-35.mell.Ber.,Felúj.'!P58</f>
        <v>1191200</v>
      </c>
      <c r="H75" s="3236">
        <v>1879476479</v>
      </c>
      <c r="I75" s="3236">
        <f>1879476479-E75-G75</f>
        <v>1871831579</v>
      </c>
      <c r="J75" s="824">
        <f>6453700</f>
        <v>6453700</v>
      </c>
      <c r="K75" s="3236">
        <f>1191200</f>
        <v>1191200</v>
      </c>
      <c r="L75" s="3245">
        <f t="shared" si="28"/>
        <v>7644900</v>
      </c>
      <c r="M75" s="3246">
        <f t="shared" si="29"/>
        <v>0.4</v>
      </c>
      <c r="N75" s="3242">
        <f>+D75+F75+H75</f>
        <v>1879476479</v>
      </c>
      <c r="O75" s="3242">
        <f>+E75+G75+I75</f>
        <v>1879476479</v>
      </c>
      <c r="Q75" s="3242"/>
      <c r="R75" s="3242"/>
      <c r="S75" s="3242"/>
    </row>
    <row r="76" spans="1:19" ht="12.75" customHeight="1">
      <c r="A76" s="3264" t="s">
        <v>2719</v>
      </c>
      <c r="B76" s="3235">
        <f t="shared" ref="B76:B77" si="30">+D76+F76+H76</f>
        <v>0</v>
      </c>
      <c r="C76" s="3235">
        <f t="shared" ref="C76:C77" si="31">+E76+G76+I76</f>
        <v>0</v>
      </c>
      <c r="D76" s="3236">
        <v>0</v>
      </c>
      <c r="E76" s="3236">
        <v>0</v>
      </c>
      <c r="F76" s="3235">
        <v>0</v>
      </c>
      <c r="G76" s="3235">
        <v>0</v>
      </c>
      <c r="H76" s="3236">
        <v>0</v>
      </c>
      <c r="I76" s="3236">
        <v>0</v>
      </c>
      <c r="J76" s="3236">
        <v>0</v>
      </c>
      <c r="K76" s="3236">
        <v>0</v>
      </c>
      <c r="L76" s="3245">
        <f t="shared" si="28"/>
        <v>0</v>
      </c>
      <c r="M76" s="3246" t="str">
        <f t="shared" si="29"/>
        <v/>
      </c>
      <c r="N76" s="3242"/>
      <c r="O76" s="3242"/>
      <c r="Q76" s="3242"/>
      <c r="R76" s="3242"/>
      <c r="S76" s="3242"/>
    </row>
    <row r="77" spans="1:19" ht="12.75" customHeight="1" thickBot="1">
      <c r="A77" s="3264" t="s">
        <v>2721</v>
      </c>
      <c r="B77" s="3235">
        <f t="shared" si="30"/>
        <v>0</v>
      </c>
      <c r="C77" s="3236">
        <f t="shared" si="31"/>
        <v>0</v>
      </c>
      <c r="D77" s="3236">
        <v>0</v>
      </c>
      <c r="E77" s="3236">
        <v>0</v>
      </c>
      <c r="F77" s="3236">
        <v>0</v>
      </c>
      <c r="G77" s="3236">
        <v>0</v>
      </c>
      <c r="H77" s="3236">
        <v>0</v>
      </c>
      <c r="I77" s="3236">
        <v>0</v>
      </c>
      <c r="J77" s="3236">
        <v>0</v>
      </c>
      <c r="K77" s="3236">
        <v>0</v>
      </c>
      <c r="L77" s="3245">
        <f t="shared" si="28"/>
        <v>0</v>
      </c>
      <c r="M77" s="3246" t="str">
        <f t="shared" si="29"/>
        <v/>
      </c>
      <c r="N77" s="3242"/>
      <c r="O77" s="3242"/>
      <c r="Q77" s="3242"/>
      <c r="R77" s="3242"/>
      <c r="S77" s="3242"/>
    </row>
    <row r="78" spans="1:19" ht="15.75" hidden="1" customHeight="1">
      <c r="A78" s="3265"/>
      <c r="B78" s="3235"/>
      <c r="C78" s="3236"/>
      <c r="D78" s="3236"/>
      <c r="E78" s="3236"/>
      <c r="F78" s="3236"/>
      <c r="G78" s="3236"/>
      <c r="H78" s="3236"/>
      <c r="I78" s="3236"/>
      <c r="J78" s="3236"/>
      <c r="K78" s="3236"/>
      <c r="L78" s="3245">
        <f t="shared" si="28"/>
        <v>0</v>
      </c>
      <c r="M78" s="3246" t="str">
        <f t="shared" si="29"/>
        <v/>
      </c>
      <c r="N78" s="3242"/>
      <c r="O78" s="3242"/>
      <c r="Q78" s="3242"/>
      <c r="R78" s="3242"/>
      <c r="S78" s="3242"/>
    </row>
    <row r="79" spans="1:19" ht="13.5" hidden="1" thickBot="1">
      <c r="A79" s="3266"/>
      <c r="B79" s="3249"/>
      <c r="C79" s="3250"/>
      <c r="D79" s="3250"/>
      <c r="E79" s="3250"/>
      <c r="F79" s="3250"/>
      <c r="G79" s="3250"/>
      <c r="H79" s="3250"/>
      <c r="I79" s="3250"/>
      <c r="J79" s="3250"/>
      <c r="K79" s="3250"/>
      <c r="L79" s="3245">
        <f t="shared" si="28"/>
        <v>0</v>
      </c>
      <c r="M79" s="3251" t="str">
        <f t="shared" si="29"/>
        <v/>
      </c>
      <c r="N79" s="3242"/>
      <c r="O79" s="3242"/>
      <c r="Q79" s="3242"/>
      <c r="R79" s="3242"/>
      <c r="S79" s="3242"/>
    </row>
    <row r="80" spans="1:19" ht="16.5" customHeight="1" thickBot="1">
      <c r="A80" s="3267" t="s">
        <v>2852</v>
      </c>
      <c r="B80" s="3253">
        <f t="shared" ref="B80:L80" si="32">SUM(B74:B79)</f>
        <v>1879476479</v>
      </c>
      <c r="C80" s="3253">
        <f t="shared" si="32"/>
        <v>1879476479</v>
      </c>
      <c r="D80" s="3253">
        <f t="shared" si="32"/>
        <v>0</v>
      </c>
      <c r="E80" s="3253">
        <f t="shared" si="32"/>
        <v>6453700</v>
      </c>
      <c r="F80" s="3253">
        <f t="shared" si="32"/>
        <v>0</v>
      </c>
      <c r="G80" s="3253">
        <f t="shared" si="32"/>
        <v>1191200</v>
      </c>
      <c r="H80" s="3253">
        <f t="shared" si="32"/>
        <v>1879476479</v>
      </c>
      <c r="I80" s="3253">
        <f t="shared" si="32"/>
        <v>1871831579</v>
      </c>
      <c r="J80" s="3253">
        <f t="shared" si="32"/>
        <v>6453700</v>
      </c>
      <c r="K80" s="3253">
        <f t="shared" si="32"/>
        <v>1191200</v>
      </c>
      <c r="L80" s="3253">
        <f t="shared" si="32"/>
        <v>7644900</v>
      </c>
      <c r="M80" s="3254">
        <f t="shared" si="29"/>
        <v>0.4</v>
      </c>
      <c r="N80" s="3242">
        <f>+D80+F80+H80</f>
        <v>1879476479</v>
      </c>
      <c r="O80" s="3242">
        <f>+E80+G80+I80</f>
        <v>1879476479</v>
      </c>
      <c r="Q80" s="3242"/>
      <c r="R80" s="3242"/>
      <c r="S80" s="3242"/>
    </row>
    <row r="81" spans="1:19" ht="13.5" customHeight="1">
      <c r="A81" s="3433"/>
      <c r="B81" s="3434"/>
      <c r="C81" s="3434"/>
      <c r="D81" s="3434"/>
      <c r="E81" s="3434"/>
      <c r="F81" s="3434"/>
      <c r="G81" s="3434"/>
      <c r="H81" s="3434"/>
      <c r="I81" s="3434"/>
      <c r="J81" s="3434"/>
      <c r="K81" s="3434"/>
      <c r="L81" s="3434"/>
      <c r="M81" s="3435"/>
      <c r="N81" s="3242"/>
      <c r="O81" s="3242"/>
      <c r="Q81" s="3242"/>
      <c r="R81" s="3242"/>
      <c r="S81" s="3242"/>
    </row>
    <row r="82" spans="1:19" ht="5.25" customHeight="1">
      <c r="A82" s="3275"/>
      <c r="B82" s="3275"/>
      <c r="C82" s="3275"/>
      <c r="D82" s="3275"/>
      <c r="E82" s="3275"/>
      <c r="F82" s="3275"/>
      <c r="G82" s="3275"/>
      <c r="H82" s="3275"/>
      <c r="I82" s="3275"/>
      <c r="J82" s="3275"/>
      <c r="K82" s="3275"/>
      <c r="L82" s="3275"/>
      <c r="M82" s="3275"/>
    </row>
    <row r="83" spans="1:19" ht="5.25" customHeight="1">
      <c r="A83" s="3275"/>
      <c r="B83" s="3275"/>
      <c r="C83" s="3275"/>
      <c r="D83" s="3275"/>
      <c r="E83" s="3275"/>
      <c r="F83" s="3275"/>
      <c r="G83" s="3275"/>
      <c r="H83" s="3275"/>
      <c r="I83" s="3275"/>
      <c r="J83" s="3275"/>
      <c r="K83" s="3275"/>
      <c r="L83" s="3275"/>
      <c r="M83" s="3275"/>
    </row>
    <row r="84" spans="1:19" ht="15.75" customHeight="1">
      <c r="A84" s="3742" t="s">
        <v>4250</v>
      </c>
      <c r="B84" s="3742"/>
      <c r="C84" s="3742"/>
      <c r="D84" s="3742"/>
      <c r="E84" s="3742"/>
      <c r="F84" s="3742"/>
      <c r="G84" s="3742"/>
      <c r="H84" s="3742"/>
      <c r="I84" s="3742"/>
      <c r="J84" s="3742"/>
      <c r="K84" s="3742"/>
      <c r="L84" s="3742"/>
      <c r="M84" s="3742"/>
    </row>
    <row r="85" spans="1:19" ht="12" customHeight="1" thickBot="1">
      <c r="A85" s="3276"/>
      <c r="B85" s="3276"/>
      <c r="C85" s="3276"/>
      <c r="D85" s="3276"/>
      <c r="E85" s="3276"/>
      <c r="F85" s="3276"/>
      <c r="G85" s="3276"/>
      <c r="H85" s="3276"/>
      <c r="I85" s="3276"/>
      <c r="J85" s="3276"/>
      <c r="K85" s="3276"/>
      <c r="L85" s="3743" t="s">
        <v>4057</v>
      </c>
      <c r="M85" s="3743"/>
    </row>
    <row r="86" spans="1:19" ht="21.75" thickBot="1">
      <c r="A86" s="3734" t="s">
        <v>2722</v>
      </c>
      <c r="B86" s="3735"/>
      <c r="C86" s="3735"/>
      <c r="D86" s="3735"/>
      <c r="E86" s="3735"/>
      <c r="F86" s="3735"/>
      <c r="G86" s="3735"/>
      <c r="H86" s="3735"/>
      <c r="I86" s="3735"/>
      <c r="J86" s="3735"/>
      <c r="K86" s="3277" t="s">
        <v>1722</v>
      </c>
      <c r="L86" s="3277" t="s">
        <v>4066</v>
      </c>
      <c r="M86" s="3277" t="s">
        <v>495</v>
      </c>
    </row>
    <row r="87" spans="1:19">
      <c r="A87" s="3736"/>
      <c r="B87" s="3737"/>
      <c r="C87" s="3737"/>
      <c r="D87" s="3737"/>
      <c r="E87" s="3737"/>
      <c r="F87" s="3737"/>
      <c r="G87" s="3737"/>
      <c r="H87" s="3737"/>
      <c r="I87" s="3737"/>
      <c r="J87" s="3737"/>
      <c r="K87" s="3238">
        <v>0</v>
      </c>
      <c r="L87" s="3278">
        <v>0</v>
      </c>
      <c r="M87" s="3278">
        <v>0</v>
      </c>
    </row>
    <row r="88" spans="1:19" ht="13.5" thickBot="1">
      <c r="A88" s="3738"/>
      <c r="B88" s="3739"/>
      <c r="C88" s="3739"/>
      <c r="D88" s="3739"/>
      <c r="E88" s="3739"/>
      <c r="F88" s="3739"/>
      <c r="G88" s="3739"/>
      <c r="H88" s="3739"/>
      <c r="I88" s="3739"/>
      <c r="J88" s="3739"/>
      <c r="K88" s="3279">
        <v>0</v>
      </c>
      <c r="L88" s="3250">
        <v>0</v>
      </c>
      <c r="M88" s="3250">
        <v>0</v>
      </c>
    </row>
    <row r="89" spans="1:19" ht="13.5" thickBot="1">
      <c r="A89" s="3740" t="s">
        <v>66</v>
      </c>
      <c r="B89" s="3741"/>
      <c r="C89" s="3741"/>
      <c r="D89" s="3741"/>
      <c r="E89" s="3741"/>
      <c r="F89" s="3741"/>
      <c r="G89" s="3741"/>
      <c r="H89" s="3741"/>
      <c r="I89" s="3741"/>
      <c r="J89" s="3741"/>
      <c r="K89" s="3280">
        <f>SUM(K87:K88)</f>
        <v>0</v>
      </c>
      <c r="L89" s="3280">
        <f>SUM(L87:L88)</f>
        <v>0</v>
      </c>
      <c r="M89" s="3280">
        <f>SUM(M87:M88)</f>
        <v>0</v>
      </c>
    </row>
  </sheetData>
  <sheetProtection algorithmName="SHA-512" hashValue="aGxIsCD86PoCzylrOm14KVqO2bFpXC/lC36Y7ZP3Or4isS8jWX4vpqwIiybQuYrZfJRE9JGyBeiPHUXl8guMrA==" saltValue="n6xvFYW8toiCBX3slK/czQ==" spinCount="100000" sheet="1" selectLockedCells="1" selectUnlockedCells="1"/>
  <mergeCells count="51">
    <mergeCell ref="J59:M61"/>
    <mergeCell ref="B60:B61"/>
    <mergeCell ref="C60:C61"/>
    <mergeCell ref="D60:I60"/>
    <mergeCell ref="B62:C62"/>
    <mergeCell ref="D62:E62"/>
    <mergeCell ref="F62:G62"/>
    <mergeCell ref="H62:I62"/>
    <mergeCell ref="A86:J86"/>
    <mergeCell ref="A87:J87"/>
    <mergeCell ref="A88:J88"/>
    <mergeCell ref="A89:J89"/>
    <mergeCell ref="B36:C36"/>
    <mergeCell ref="D36:E36"/>
    <mergeCell ref="F36:G36"/>
    <mergeCell ref="H36:I36"/>
    <mergeCell ref="A84:M84"/>
    <mergeCell ref="L85:M85"/>
    <mergeCell ref="A56:M56"/>
    <mergeCell ref="A58:C58"/>
    <mergeCell ref="D58:K58"/>
    <mergeCell ref="L58:M58"/>
    <mergeCell ref="A59:A62"/>
    <mergeCell ref="B59:I59"/>
    <mergeCell ref="A30:M30"/>
    <mergeCell ref="A32:C32"/>
    <mergeCell ref="D32:K32"/>
    <mergeCell ref="L32:M32"/>
    <mergeCell ref="A33:A36"/>
    <mergeCell ref="B33:I33"/>
    <mergeCell ref="J33:M35"/>
    <mergeCell ref="B34:B35"/>
    <mergeCell ref="C34:C35"/>
    <mergeCell ref="D34:I34"/>
    <mergeCell ref="A7:A10"/>
    <mergeCell ref="B7:I7"/>
    <mergeCell ref="J7:M9"/>
    <mergeCell ref="B8:B9"/>
    <mergeCell ref="C8:C9"/>
    <mergeCell ref="D8:I8"/>
    <mergeCell ref="B10:C10"/>
    <mergeCell ref="D10:E10"/>
    <mergeCell ref="F10:G10"/>
    <mergeCell ref="H10:I10"/>
    <mergeCell ref="A1:M1"/>
    <mergeCell ref="A2:M2"/>
    <mergeCell ref="A3:M3"/>
    <mergeCell ref="A4:M4"/>
    <mergeCell ref="A6:C6"/>
    <mergeCell ref="D6:K6"/>
    <mergeCell ref="L6:M6"/>
  </mergeCells>
  <printOptions horizontalCentered="1"/>
  <pageMargins left="0.19685039370078741" right="0.19685039370078741" top="0.47244094488188981" bottom="0.39370078740157483" header="0.23622047244094491" footer="0.15748031496062992"/>
  <pageSetup paperSize="9" scale="61" orientation="portrait" r:id="rId1"/>
  <headerFooter alignWithMargins="0">
    <oddFooter>&amp;C&amp;14&amp;P/&amp;N</oddFooter>
  </headerFooter>
  <rowBreaks count="1" manualBreakCount="1">
    <brk id="89" max="1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D8399-BBF1-4E86-A8D3-BBB01FC90A78}">
  <sheetPr>
    <tabColor rgb="FFFFFF00"/>
    <pageSetUpPr fitToPage="1"/>
  </sheetPr>
  <dimension ref="A1:AB44"/>
  <sheetViews>
    <sheetView view="pageBreakPreview" zoomScaleNormal="80" zoomScaleSheetLayoutView="100" workbookViewId="0">
      <pane xSplit="3" ySplit="8" topLeftCell="D9" activePane="bottomRight" state="frozen"/>
      <selection sqref="A1:AC1"/>
      <selection pane="topRight" sqref="A1:AC1"/>
      <selection pane="bottomLeft" sqref="A1:AC1"/>
      <selection pane="bottomRight" sqref="A1:AC1"/>
    </sheetView>
  </sheetViews>
  <sheetFormatPr defaultColWidth="8" defaultRowHeight="12.75"/>
  <cols>
    <col min="1" max="1" width="6" style="3282" customWidth="1"/>
    <col min="2" max="2" width="27.42578125" style="3281" customWidth="1"/>
    <col min="3" max="3" width="7.140625" style="3282" customWidth="1"/>
    <col min="4" max="4" width="14.42578125" style="3281" bestFit="1" customWidth="1"/>
    <col min="5" max="5" width="10.7109375" style="3281" customWidth="1"/>
    <col min="6" max="6" width="12.85546875" style="3281" bestFit="1" customWidth="1"/>
    <col min="7" max="7" width="11.42578125" style="3281" bestFit="1" customWidth="1"/>
    <col min="8" max="8" width="10.140625" style="3281" hidden="1" customWidth="1"/>
    <col min="9" max="9" width="13.28515625" style="3281" customWidth="1"/>
    <col min="10" max="11" width="12.85546875" style="3281" customWidth="1"/>
    <col min="12" max="14" width="11" style="3281" customWidth="1"/>
    <col min="15" max="16" width="12.42578125" style="3281" bestFit="1" customWidth="1"/>
    <col min="17" max="17" width="10.5703125" style="3281" customWidth="1"/>
    <col min="18" max="18" width="10.85546875" style="3281" hidden="1" customWidth="1"/>
    <col min="19" max="19" width="12.28515625" style="3281" hidden="1" customWidth="1"/>
    <col min="20" max="20" width="9.28515625" style="3281" hidden="1" customWidth="1"/>
    <col min="21" max="21" width="1.85546875" style="3281" hidden="1" customWidth="1"/>
    <col min="22" max="22" width="12.85546875" style="3281" hidden="1" customWidth="1"/>
    <col min="23" max="25" width="1.85546875" style="3281" hidden="1" customWidth="1"/>
    <col min="26" max="26" width="10.42578125" style="3281" hidden="1" customWidth="1"/>
    <col min="27" max="27" width="10.28515625" style="3281" customWidth="1"/>
    <col min="28" max="28" width="8" style="3281" customWidth="1"/>
    <col min="29" max="16384" width="8" style="3281"/>
  </cols>
  <sheetData>
    <row r="1" spans="1:28" ht="26.25" customHeight="1">
      <c r="A1" s="3752" t="s">
        <v>4292</v>
      </c>
      <c r="B1" s="3753"/>
      <c r="C1" s="3753"/>
      <c r="D1" s="3753"/>
      <c r="E1" s="3753"/>
      <c r="F1" s="3753"/>
      <c r="G1" s="3753"/>
      <c r="H1" s="3753"/>
      <c r="I1" s="3753"/>
      <c r="J1" s="3753"/>
      <c r="K1" s="3753"/>
      <c r="L1" s="3753"/>
      <c r="M1" s="3753"/>
      <c r="N1" s="3753"/>
      <c r="O1" s="3754"/>
      <c r="P1" s="3754"/>
      <c r="Q1" s="3754"/>
    </row>
    <row r="2" spans="1:28" ht="22.5" customHeight="1">
      <c r="A2" s="3755" t="s">
        <v>4067</v>
      </c>
      <c r="B2" s="3756"/>
      <c r="C2" s="3756"/>
      <c r="D2" s="3756"/>
      <c r="E2" s="3756"/>
      <c r="F2" s="3756"/>
      <c r="G2" s="3756"/>
      <c r="H2" s="3756"/>
      <c r="I2" s="3756"/>
      <c r="J2" s="3756"/>
      <c r="K2" s="3756"/>
      <c r="L2" s="3756"/>
      <c r="M2" s="3756"/>
      <c r="N2" s="3756"/>
      <c r="O2" s="3757"/>
      <c r="P2" s="3757"/>
      <c r="Q2" s="3757"/>
      <c r="AA2" s="3751"/>
      <c r="AB2" s="3568"/>
    </row>
    <row r="3" spans="1:28" ht="17.25" hidden="1" customHeight="1">
      <c r="B3" s="3283"/>
      <c r="C3" s="3283"/>
      <c r="D3" s="3283"/>
      <c r="E3" s="3283"/>
      <c r="F3" s="3283"/>
      <c r="G3" s="3283"/>
      <c r="H3" s="3283"/>
      <c r="I3" s="3283"/>
      <c r="J3" s="3283"/>
      <c r="K3" s="3283"/>
      <c r="L3" s="3283"/>
      <c r="M3" s="3283"/>
      <c r="N3" s="3283"/>
      <c r="AA3" s="3568"/>
      <c r="AB3" s="3568"/>
    </row>
    <row r="4" spans="1:28" ht="2.25" customHeight="1">
      <c r="B4" s="3283"/>
      <c r="C4" s="3283"/>
      <c r="D4" s="3283"/>
      <c r="E4" s="3283"/>
      <c r="F4" s="3283"/>
      <c r="G4" s="3283"/>
      <c r="H4" s="3283"/>
      <c r="I4" s="3283"/>
      <c r="J4" s="3283"/>
      <c r="K4" s="3283"/>
      <c r="L4" s="3283"/>
      <c r="M4" s="3283"/>
      <c r="N4" s="3283"/>
      <c r="AA4" s="3568"/>
      <c r="AB4" s="3568"/>
    </row>
    <row r="5" spans="1:28" ht="14.25" customHeight="1" thickBot="1">
      <c r="G5" s="3758"/>
      <c r="H5" s="3759"/>
      <c r="J5" s="3284"/>
      <c r="K5" s="3284"/>
      <c r="L5" s="3284"/>
      <c r="M5" s="3285"/>
      <c r="N5" s="3284"/>
      <c r="Q5" s="3286" t="s">
        <v>3354</v>
      </c>
      <c r="AA5" s="3568"/>
      <c r="AB5" s="3568"/>
    </row>
    <row r="6" spans="1:28" ht="41.25" customHeight="1">
      <c r="A6" s="3760" t="s">
        <v>2726</v>
      </c>
      <c r="B6" s="3762" t="s">
        <v>4068</v>
      </c>
      <c r="C6" s="3287"/>
      <c r="D6" s="3288" t="s">
        <v>4069</v>
      </c>
      <c r="E6" s="3288" t="s">
        <v>4070</v>
      </c>
      <c r="F6" s="3288" t="s">
        <v>4071</v>
      </c>
      <c r="G6" s="3764" t="s">
        <v>4072</v>
      </c>
      <c r="H6" s="3766" t="s">
        <v>4073</v>
      </c>
      <c r="I6" s="3768" t="s">
        <v>4074</v>
      </c>
      <c r="J6" s="3769"/>
      <c r="K6" s="3764" t="s">
        <v>4075</v>
      </c>
      <c r="L6" s="3768" t="s">
        <v>4076</v>
      </c>
      <c r="M6" s="3769"/>
      <c r="N6" s="3768" t="s">
        <v>4211</v>
      </c>
      <c r="O6" s="3766" t="s">
        <v>4077</v>
      </c>
      <c r="P6" s="3769"/>
      <c r="Q6" s="3771"/>
      <c r="AA6" s="3568"/>
      <c r="AB6" s="3568"/>
    </row>
    <row r="7" spans="1:28" s="3293" customFormat="1" ht="108" customHeight="1" thickBot="1">
      <c r="A7" s="3761"/>
      <c r="B7" s="3763"/>
      <c r="C7" s="3289" t="s">
        <v>4078</v>
      </c>
      <c r="D7" s="3290" t="s">
        <v>4079</v>
      </c>
      <c r="E7" s="3290" t="s">
        <v>4080</v>
      </c>
      <c r="F7" s="3290" t="s">
        <v>4081</v>
      </c>
      <c r="G7" s="3765"/>
      <c r="H7" s="3767"/>
      <c r="I7" s="3291" t="s">
        <v>4082</v>
      </c>
      <c r="J7" s="3291" t="s">
        <v>4083</v>
      </c>
      <c r="K7" s="3765"/>
      <c r="L7" s="3291" t="s">
        <v>4084</v>
      </c>
      <c r="M7" s="3291" t="s">
        <v>4085</v>
      </c>
      <c r="N7" s="3770"/>
      <c r="O7" s="3291" t="s">
        <v>4086</v>
      </c>
      <c r="P7" s="3291" t="s">
        <v>4087</v>
      </c>
      <c r="Q7" s="3292" t="s">
        <v>4088</v>
      </c>
    </row>
    <row r="8" spans="1:28" s="3299" customFormat="1" ht="15" customHeight="1" thickBot="1">
      <c r="A8" s="3294" t="s">
        <v>2728</v>
      </c>
      <c r="B8" s="3295" t="s">
        <v>2729</v>
      </c>
      <c r="C8" s="3295"/>
      <c r="D8" s="3295" t="s">
        <v>2730</v>
      </c>
      <c r="E8" s="3295" t="s">
        <v>2731</v>
      </c>
      <c r="F8" s="3295" t="s">
        <v>4089</v>
      </c>
      <c r="G8" s="3295" t="s">
        <v>2733</v>
      </c>
      <c r="H8" s="3295" t="s">
        <v>4090</v>
      </c>
      <c r="I8" s="3295" t="s">
        <v>3463</v>
      </c>
      <c r="J8" s="3295" t="s">
        <v>3464</v>
      </c>
      <c r="K8" s="3295" t="s">
        <v>3913</v>
      </c>
      <c r="L8" s="3295" t="s">
        <v>3543</v>
      </c>
      <c r="M8" s="3295" t="s">
        <v>1707</v>
      </c>
      <c r="N8" s="3296" t="s">
        <v>3923</v>
      </c>
      <c r="O8" s="3297" t="s">
        <v>4091</v>
      </c>
      <c r="P8" s="3298" t="s">
        <v>3924</v>
      </c>
      <c r="Q8" s="3298" t="s">
        <v>4092</v>
      </c>
    </row>
    <row r="9" spans="1:28" s="3307" customFormat="1" ht="22.5" customHeight="1">
      <c r="A9" s="3300" t="s">
        <v>6</v>
      </c>
      <c r="B9" s="3301" t="s">
        <v>4093</v>
      </c>
      <c r="C9" s="3302">
        <v>735793</v>
      </c>
      <c r="D9" s="3303">
        <f>+'38.mell.maradvany_2_oldal'!H14</f>
        <v>958683605</v>
      </c>
      <c r="E9" s="3303">
        <f>+'38.mell.maradvany_2_oldal'!H21</f>
        <v>0</v>
      </c>
      <c r="F9" s="3303">
        <f>+'38.mell.maradvany_2_oldal'!H22</f>
        <v>958683605</v>
      </c>
      <c r="G9" s="3304"/>
      <c r="H9" s="3304"/>
      <c r="I9" s="3303">
        <f>+'38.mell.maradvany_2_oldal'!H23</f>
        <v>935376287</v>
      </c>
      <c r="J9" s="3303">
        <f>+'38.mell.maradvany_2_oldal'!H24</f>
        <v>23307318</v>
      </c>
      <c r="K9" s="3305"/>
      <c r="L9" s="3303">
        <f>+'38.mell.maradvany_2_oldal'!H25</f>
        <v>0</v>
      </c>
      <c r="M9" s="3303">
        <f>+'38.mell.maradvany_2_oldal'!H26</f>
        <v>0</v>
      </c>
      <c r="N9" s="3305"/>
      <c r="O9" s="3305"/>
      <c r="P9" s="3305"/>
      <c r="Q9" s="3306"/>
      <c r="R9" s="3307">
        <f t="shared" ref="R9:R29" si="0">+D9+E9-F9</f>
        <v>0</v>
      </c>
      <c r="S9" s="3281">
        <f t="shared" ref="S9:S29" si="1">+F9-I9-J9-L9-M9</f>
        <v>0</v>
      </c>
      <c r="U9" s="3281"/>
    </row>
    <row r="10" spans="1:28" ht="22.5">
      <c r="A10" s="3308" t="s">
        <v>12</v>
      </c>
      <c r="B10" s="3309" t="s">
        <v>7</v>
      </c>
      <c r="C10" s="3310">
        <v>516000</v>
      </c>
      <c r="D10" s="3311">
        <f>+'38.mell.maradvany_2_oldal'!J14</f>
        <v>4139395</v>
      </c>
      <c r="E10" s="3311">
        <f>+'38.mell.maradvany_2_oldal'!J21</f>
        <v>0</v>
      </c>
      <c r="F10" s="3311">
        <f>+'38.mell.maradvany_2_oldal'!J22</f>
        <v>4139395</v>
      </c>
      <c r="G10" s="3312">
        <f>IF(J10&lt;0,0,J10)</f>
        <v>0</v>
      </c>
      <c r="H10" s="3313">
        <f>+F10-G10</f>
        <v>4139395</v>
      </c>
      <c r="I10" s="3311">
        <f>+'38.mell.maradvany_2_oldal'!J23</f>
        <v>4139395</v>
      </c>
      <c r="J10" s="3311">
        <f>+'38.mell.maradvany_2_oldal'!J24</f>
        <v>0</v>
      </c>
      <c r="K10" s="3311">
        <v>0</v>
      </c>
      <c r="L10" s="3311">
        <f>+'38.mell.maradvany_2_oldal'!J25</f>
        <v>0</v>
      </c>
      <c r="M10" s="3311">
        <f>+'38.mell.maradvany_2_oldal'!J26</f>
        <v>0</v>
      </c>
      <c r="N10" s="3311">
        <f t="shared" ref="N10:N27" si="2">IF(I10&gt;H10,I10-H10,0)</f>
        <v>0</v>
      </c>
      <c r="O10" s="3314">
        <f>+'9. mell. PMH'!I36</f>
        <v>2171559224</v>
      </c>
      <c r="P10" s="3314">
        <f>+'9. mell. PMH'!K36</f>
        <v>1971037117</v>
      </c>
      <c r="Q10" s="3315">
        <f>+O10-P10</f>
        <v>200522107</v>
      </c>
      <c r="R10" s="3307">
        <f t="shared" si="0"/>
        <v>0</v>
      </c>
      <c r="S10" s="3281">
        <f t="shared" si="1"/>
        <v>0</v>
      </c>
      <c r="Y10" s="3281">
        <f>+W10+X10</f>
        <v>0</v>
      </c>
      <c r="Z10" s="3281">
        <f t="shared" ref="Z10:Z28" si="3">+D10-Y10</f>
        <v>4139395</v>
      </c>
    </row>
    <row r="11" spans="1:28" ht="22.5">
      <c r="A11" s="3308" t="s">
        <v>14</v>
      </c>
      <c r="B11" s="3316" t="s">
        <v>13</v>
      </c>
      <c r="C11" s="3317">
        <v>516286</v>
      </c>
      <c r="D11" s="3312">
        <f>+'38.mell.maradvany_2_oldal'!L14</f>
        <v>221571597</v>
      </c>
      <c r="E11" s="3312">
        <f>+'38.mell.maradvany_2_oldal'!L21</f>
        <v>0</v>
      </c>
      <c r="F11" s="3312">
        <f>+'38.mell.maradvany_2_oldal'!L22</f>
        <v>221571597</v>
      </c>
      <c r="G11" s="3432">
        <f>IF(J11&lt;0,0,J11)-K11</f>
        <v>57615673</v>
      </c>
      <c r="H11" s="3313">
        <f t="shared" ref="H11:H26" si="4">+F11-G11</f>
        <v>163955924</v>
      </c>
      <c r="I11" s="3312">
        <f>+'38.mell.maradvany_2_oldal'!L23</f>
        <v>156932824</v>
      </c>
      <c r="J11" s="3312">
        <f>+'38.mell.maradvany_2_oldal'!L24</f>
        <v>64638773</v>
      </c>
      <c r="K11" s="3318">
        <f>7023100</f>
        <v>7023100</v>
      </c>
      <c r="L11" s="3312">
        <f>+'38.mell.maradvany_2_oldal'!L25</f>
        <v>0</v>
      </c>
      <c r="M11" s="3312">
        <f>+'38.mell.maradvany_2_oldal'!L26</f>
        <v>0</v>
      </c>
      <c r="N11" s="3312">
        <f t="shared" si="2"/>
        <v>0</v>
      </c>
      <c r="O11" s="3314">
        <f>+'12. mell. Szakrendelő'!I36</f>
        <v>803884782</v>
      </c>
      <c r="P11" s="3314">
        <f>+'12. mell. Szakrendelő'!K36</f>
        <v>803884782</v>
      </c>
      <c r="Q11" s="3315">
        <f t="shared" ref="Q11:Q27" si="5">+O11-P11</f>
        <v>0</v>
      </c>
      <c r="R11" s="3307">
        <f t="shared" si="0"/>
        <v>0</v>
      </c>
      <c r="S11" s="3281">
        <f t="shared" si="1"/>
        <v>0</v>
      </c>
      <c r="Y11" s="3281">
        <f t="shared" ref="Y11:Y28" si="6">+W11+X11</f>
        <v>0</v>
      </c>
      <c r="Z11" s="3281">
        <f t="shared" si="3"/>
        <v>221571597</v>
      </c>
    </row>
    <row r="12" spans="1:28" ht="15" customHeight="1">
      <c r="A12" s="3308" t="s">
        <v>15</v>
      </c>
      <c r="B12" s="3316" t="s">
        <v>46</v>
      </c>
      <c r="C12" s="3317">
        <v>516275</v>
      </c>
      <c r="D12" s="3312">
        <f>+'38.mell.maradvany_2_oldal'!N14</f>
        <v>3211439</v>
      </c>
      <c r="E12" s="3312">
        <f>+'38.mell.maradvany_2_oldal'!N21</f>
        <v>0</v>
      </c>
      <c r="F12" s="3312">
        <f>+'38.mell.maradvany_2_oldal'!N22</f>
        <v>3211439</v>
      </c>
      <c r="G12" s="3312">
        <f t="shared" ref="G12:G23" si="7">IF(J12&lt;0,0,J12)</f>
        <v>2842511</v>
      </c>
      <c r="H12" s="3313">
        <f t="shared" si="4"/>
        <v>368928</v>
      </c>
      <c r="I12" s="3312">
        <f>+'38.mell.maradvany_2_oldal'!N23</f>
        <v>368928</v>
      </c>
      <c r="J12" s="3312">
        <f>+'38.mell.maradvany_2_oldal'!N24</f>
        <v>2842511</v>
      </c>
      <c r="K12" s="3312">
        <v>0</v>
      </c>
      <c r="L12" s="3312">
        <f>+'38.mell.maradvany_2_oldal'!N25</f>
        <v>0</v>
      </c>
      <c r="M12" s="3312">
        <f>+'38.mell.maradvany_2_oldal'!N26</f>
        <v>0</v>
      </c>
      <c r="N12" s="3312">
        <f t="shared" si="2"/>
        <v>0</v>
      </c>
      <c r="O12" s="3314">
        <f>+'13. mell. GAMESZ'!I36</f>
        <v>198592450</v>
      </c>
      <c r="P12" s="3314">
        <f>+'13. mell. GAMESZ'!K36</f>
        <v>198592450</v>
      </c>
      <c r="Q12" s="3315">
        <f t="shared" si="5"/>
        <v>0</v>
      </c>
      <c r="R12" s="3307">
        <f t="shared" si="0"/>
        <v>0</v>
      </c>
      <c r="S12" s="3281">
        <f t="shared" si="1"/>
        <v>0</v>
      </c>
      <c r="Y12" s="3281">
        <f t="shared" si="6"/>
        <v>0</v>
      </c>
      <c r="Z12" s="3281">
        <f t="shared" si="3"/>
        <v>3211439</v>
      </c>
    </row>
    <row r="13" spans="1:28" ht="22.5">
      <c r="A13" s="3308" t="s">
        <v>17</v>
      </c>
      <c r="B13" s="3316" t="s">
        <v>16</v>
      </c>
      <c r="C13" s="3317">
        <v>681579</v>
      </c>
      <c r="D13" s="3312">
        <f>+'38.mell.maradvany_2_oldal'!P14</f>
        <v>23167226</v>
      </c>
      <c r="E13" s="3312">
        <f>+'38.mell.maradvany_2_oldal'!P21</f>
        <v>0</v>
      </c>
      <c r="F13" s="3312">
        <f>+'38.mell.maradvany_2_oldal'!P22</f>
        <v>23167226</v>
      </c>
      <c r="G13" s="3312">
        <f t="shared" si="7"/>
        <v>22239186</v>
      </c>
      <c r="H13" s="3313">
        <f t="shared" si="4"/>
        <v>928040</v>
      </c>
      <c r="I13" s="3312">
        <f>+'38.mell.maradvany_2_oldal'!P23</f>
        <v>928040</v>
      </c>
      <c r="J13" s="3312">
        <f>+'38.mell.maradvany_2_oldal'!P24</f>
        <v>22239186</v>
      </c>
      <c r="K13" s="3312">
        <v>0</v>
      </c>
      <c r="L13" s="3312">
        <f>+'38.mell.maradvany_2_oldal'!P25</f>
        <v>0</v>
      </c>
      <c r="M13" s="3312">
        <f>+'38.mell.maradvany_2_oldal'!P26</f>
        <v>0</v>
      </c>
      <c r="N13" s="3312">
        <f t="shared" si="2"/>
        <v>0</v>
      </c>
      <c r="O13" s="3314">
        <f>+'14. mell. Gyerekkuckó'!I36</f>
        <v>625758443</v>
      </c>
      <c r="P13" s="3314">
        <f>+'14. mell. Gyerekkuckó'!K36</f>
        <v>611017746</v>
      </c>
      <c r="Q13" s="3315">
        <f t="shared" si="5"/>
        <v>14740697</v>
      </c>
      <c r="R13" s="3307">
        <f t="shared" si="0"/>
        <v>0</v>
      </c>
      <c r="S13" s="3281">
        <f t="shared" si="1"/>
        <v>0</v>
      </c>
      <c r="Y13" s="3281">
        <f t="shared" si="6"/>
        <v>0</v>
      </c>
      <c r="Z13" s="3281">
        <f t="shared" si="3"/>
        <v>23167226</v>
      </c>
    </row>
    <row r="14" spans="1:28" ht="15" customHeight="1">
      <c r="A14" s="3308" t="s">
        <v>19</v>
      </c>
      <c r="B14" s="3316" t="s">
        <v>4094</v>
      </c>
      <c r="C14" s="3317">
        <v>681601</v>
      </c>
      <c r="D14" s="3312">
        <f>+'38.mell.maradvany_2_oldal'!R14</f>
        <v>12836061</v>
      </c>
      <c r="E14" s="3312">
        <f>+'38.mell.maradvany_2_oldal'!R21</f>
        <v>637631</v>
      </c>
      <c r="F14" s="3312">
        <f>+'38.mell.maradvany_2_oldal'!R22</f>
        <v>13473692</v>
      </c>
      <c r="G14" s="3312">
        <f t="shared" si="7"/>
        <v>10087274</v>
      </c>
      <c r="H14" s="3313">
        <f t="shared" si="4"/>
        <v>3386418</v>
      </c>
      <c r="I14" s="3312">
        <f>+'38.mell.maradvany_2_oldal'!R23</f>
        <v>2748787</v>
      </c>
      <c r="J14" s="3312">
        <f>+'38.mell.maradvany_2_oldal'!R24</f>
        <v>10087274</v>
      </c>
      <c r="K14" s="3312">
        <v>0</v>
      </c>
      <c r="L14" s="3312">
        <f>+'38.mell.maradvany_2_oldal'!R25</f>
        <v>57387</v>
      </c>
      <c r="M14" s="3312">
        <f>+'38.mell.maradvany_2_oldal'!R26</f>
        <v>580244</v>
      </c>
      <c r="N14" s="3312">
        <f t="shared" si="2"/>
        <v>0</v>
      </c>
      <c r="O14" s="3314">
        <f>+'15. mell. Cinkotai H.'!I36</f>
        <v>588035499</v>
      </c>
      <c r="P14" s="3314">
        <f>+'15. mell. Cinkotai H.'!K36</f>
        <v>567447527</v>
      </c>
      <c r="Q14" s="3315">
        <f t="shared" si="5"/>
        <v>20587972</v>
      </c>
      <c r="R14" s="3307">
        <f t="shared" si="0"/>
        <v>0</v>
      </c>
      <c r="S14" s="3281">
        <f t="shared" si="1"/>
        <v>0</v>
      </c>
      <c r="T14" s="3281">
        <f>+E14*0.09</f>
        <v>57386.79</v>
      </c>
      <c r="V14" s="3281">
        <f>+L14-T14</f>
        <v>0.20999999999912689</v>
      </c>
      <c r="Y14" s="3281">
        <f t="shared" si="6"/>
        <v>0</v>
      </c>
      <c r="Z14" s="3281">
        <f t="shared" si="3"/>
        <v>12836061</v>
      </c>
    </row>
    <row r="15" spans="1:28" ht="25.5" customHeight="1">
      <c r="A15" s="3308" t="s">
        <v>21</v>
      </c>
      <c r="B15" s="3316" t="s">
        <v>20</v>
      </c>
      <c r="C15" s="3317">
        <v>681580</v>
      </c>
      <c r="D15" s="3312">
        <f>+'38.mell.maradvany_2_oldal'!T14</f>
        <v>40050750</v>
      </c>
      <c r="E15" s="3312">
        <f>+'38.mell.maradvany_2_oldal'!T21</f>
        <v>0</v>
      </c>
      <c r="F15" s="3312">
        <f>+'38.mell.maradvany_2_oldal'!T22</f>
        <v>40050750</v>
      </c>
      <c r="G15" s="3312">
        <f t="shared" si="7"/>
        <v>35586052</v>
      </c>
      <c r="H15" s="3313">
        <f t="shared" si="4"/>
        <v>4464698</v>
      </c>
      <c r="I15" s="3312">
        <f>+'38.mell.maradvany_2_oldal'!T23</f>
        <v>4464698</v>
      </c>
      <c r="J15" s="3312">
        <f>+'38.mell.maradvany_2_oldal'!T24</f>
        <v>35586052</v>
      </c>
      <c r="K15" s="3312">
        <v>0</v>
      </c>
      <c r="L15" s="3312">
        <f>+'38.mell.maradvany_2_oldal'!T25</f>
        <v>0</v>
      </c>
      <c r="M15" s="3312">
        <f>+'38.mell.maradvany_2_oldal'!T26</f>
        <v>0</v>
      </c>
      <c r="N15" s="3312">
        <f t="shared" si="2"/>
        <v>0</v>
      </c>
      <c r="O15" s="3314">
        <f>+'16. mell. Napsugár'!I36</f>
        <v>721895719</v>
      </c>
      <c r="P15" s="3314">
        <f>+'16. mell. Napsugár'!K36</f>
        <v>670658562</v>
      </c>
      <c r="Q15" s="3315">
        <f t="shared" si="5"/>
        <v>51237157</v>
      </c>
      <c r="R15" s="3307">
        <f t="shared" si="0"/>
        <v>0</v>
      </c>
      <c r="S15" s="3281">
        <f t="shared" si="1"/>
        <v>0</v>
      </c>
      <c r="Y15" s="3281">
        <f t="shared" si="6"/>
        <v>0</v>
      </c>
      <c r="Z15" s="3281">
        <f t="shared" si="3"/>
        <v>40050750</v>
      </c>
    </row>
    <row r="16" spans="1:28" ht="15" customHeight="1">
      <c r="A16" s="3308" t="s">
        <v>23</v>
      </c>
      <c r="B16" s="3316" t="s">
        <v>22</v>
      </c>
      <c r="C16" s="3317">
        <v>681612</v>
      </c>
      <c r="D16" s="3312">
        <f>+'38.mell.maradvany_2_oldal'!V14</f>
        <v>11127877</v>
      </c>
      <c r="E16" s="3312">
        <f>+'38.mell.maradvany_2_oldal'!V21</f>
        <v>0</v>
      </c>
      <c r="F16" s="3312">
        <f>+'38.mell.maradvany_2_oldal'!V22</f>
        <v>11127877</v>
      </c>
      <c r="G16" s="3312">
        <f t="shared" si="7"/>
        <v>10379295</v>
      </c>
      <c r="H16" s="3313">
        <f t="shared" si="4"/>
        <v>748582</v>
      </c>
      <c r="I16" s="3312">
        <f>+'38.mell.maradvany_2_oldal'!V23</f>
        <v>748582</v>
      </c>
      <c r="J16" s="3312">
        <f>+'38.mell.maradvany_2_oldal'!V24</f>
        <v>10379295</v>
      </c>
      <c r="K16" s="3312">
        <v>0</v>
      </c>
      <c r="L16" s="3312">
        <f>+'38.mell.maradvany_2_oldal'!V25</f>
        <v>0</v>
      </c>
      <c r="M16" s="3312">
        <f>+'38.mell.maradvany_2_oldal'!V26</f>
        <v>0</v>
      </c>
      <c r="N16" s="3312">
        <f t="shared" si="2"/>
        <v>0</v>
      </c>
      <c r="O16" s="3314">
        <f>+'17. mell. Sashalmi M.'!I36</f>
        <v>406104900</v>
      </c>
      <c r="P16" s="3314">
        <f>+'17. mell. Sashalmi M.'!K36</f>
        <v>398488707</v>
      </c>
      <c r="Q16" s="3315">
        <f t="shared" si="5"/>
        <v>7616193</v>
      </c>
      <c r="R16" s="3307">
        <f t="shared" si="0"/>
        <v>0</v>
      </c>
      <c r="S16" s="3281">
        <f t="shared" si="1"/>
        <v>0</v>
      </c>
      <c r="Y16" s="3281">
        <f t="shared" si="6"/>
        <v>0</v>
      </c>
      <c r="Z16" s="3281">
        <f t="shared" si="3"/>
        <v>11127877</v>
      </c>
    </row>
    <row r="17" spans="1:26" ht="22.5">
      <c r="A17" s="3308" t="s">
        <v>25</v>
      </c>
      <c r="B17" s="3316" t="s">
        <v>24</v>
      </c>
      <c r="C17" s="3317">
        <v>681623</v>
      </c>
      <c r="D17" s="3312">
        <f>+'38.mell.maradvany_2_oldal'!X14</f>
        <v>9885146</v>
      </c>
      <c r="E17" s="3312">
        <f>+'38.mell.maradvany_2_oldal'!X21</f>
        <v>0</v>
      </c>
      <c r="F17" s="3312">
        <f>+'38.mell.maradvany_2_oldal'!X22</f>
        <v>9885146</v>
      </c>
      <c r="G17" s="3312">
        <f t="shared" si="7"/>
        <v>9328189</v>
      </c>
      <c r="H17" s="3313">
        <f t="shared" si="4"/>
        <v>556957</v>
      </c>
      <c r="I17" s="3312">
        <f>+'38.mell.maradvany_2_oldal'!X23</f>
        <v>556957</v>
      </c>
      <c r="J17" s="3312">
        <f>+'38.mell.maradvany_2_oldal'!X24</f>
        <v>9328189</v>
      </c>
      <c r="K17" s="3312">
        <v>0</v>
      </c>
      <c r="L17" s="3312">
        <f>+'38.mell.maradvany_2_oldal'!X25</f>
        <v>0</v>
      </c>
      <c r="M17" s="3312">
        <f>+'38.mell.maradvany_2_oldal'!X26</f>
        <v>0</v>
      </c>
      <c r="N17" s="3312">
        <f>IF(I17&gt;H17,I17-H17,0)</f>
        <v>0</v>
      </c>
      <c r="O17" s="3314">
        <f>+'18. mell. Margaréta'!I36</f>
        <v>616767775</v>
      </c>
      <c r="P17" s="3314">
        <f>+'18. mell. Margaréta'!K36</f>
        <v>607165350</v>
      </c>
      <c r="Q17" s="3315">
        <f t="shared" si="5"/>
        <v>9602425</v>
      </c>
      <c r="R17" s="3307">
        <f t="shared" si="0"/>
        <v>0</v>
      </c>
      <c r="S17" s="3281">
        <f t="shared" si="1"/>
        <v>0</v>
      </c>
      <c r="Y17" s="3281">
        <f t="shared" si="6"/>
        <v>0</v>
      </c>
      <c r="Z17" s="3281">
        <f t="shared" si="3"/>
        <v>9885146</v>
      </c>
    </row>
    <row r="18" spans="1:26" ht="15" customHeight="1">
      <c r="A18" s="3308" t="s">
        <v>27</v>
      </c>
      <c r="B18" s="3316" t="s">
        <v>26</v>
      </c>
      <c r="C18" s="3317">
        <v>681568</v>
      </c>
      <c r="D18" s="3312">
        <f>+'38.mell.maradvany_2_oldal'!Z14</f>
        <v>28696827</v>
      </c>
      <c r="E18" s="3312">
        <f>+'38.mell.maradvany_2_oldal'!Z21</f>
        <v>0</v>
      </c>
      <c r="F18" s="3312">
        <f>+'38.mell.maradvany_2_oldal'!Z22</f>
        <v>28696827</v>
      </c>
      <c r="G18" s="3312">
        <f t="shared" si="7"/>
        <v>25452011</v>
      </c>
      <c r="H18" s="3313">
        <f t="shared" si="4"/>
        <v>3244816</v>
      </c>
      <c r="I18" s="3312">
        <f>+'38.mell.maradvany_2_oldal'!Z23</f>
        <v>3244816</v>
      </c>
      <c r="J18" s="3312">
        <f>+'38.mell.maradvany_2_oldal'!Z24</f>
        <v>25452011</v>
      </c>
      <c r="K18" s="3312">
        <v>0</v>
      </c>
      <c r="L18" s="3312">
        <f>+'38.mell.maradvany_2_oldal'!Z25</f>
        <v>0</v>
      </c>
      <c r="M18" s="3312">
        <f>+'38.mell.maradvany_2_oldal'!Z26</f>
        <v>0</v>
      </c>
      <c r="N18" s="3312">
        <f t="shared" si="2"/>
        <v>0</v>
      </c>
      <c r="O18" s="3314">
        <f>+'19.mell.Szentmihályi Játszókert'!I36</f>
        <v>996454348</v>
      </c>
      <c r="P18" s="3314">
        <f>+'19.mell.Szentmihályi Játszókert'!K36</f>
        <v>971551949</v>
      </c>
      <c r="Q18" s="3315">
        <f t="shared" si="5"/>
        <v>24902399</v>
      </c>
      <c r="R18" s="3307">
        <f t="shared" si="0"/>
        <v>0</v>
      </c>
      <c r="S18" s="3281">
        <f t="shared" si="1"/>
        <v>0</v>
      </c>
      <c r="Y18" s="3281">
        <f t="shared" si="6"/>
        <v>0</v>
      </c>
      <c r="Z18" s="3281">
        <f t="shared" si="3"/>
        <v>28696827</v>
      </c>
    </row>
    <row r="19" spans="1:26" ht="15" customHeight="1">
      <c r="A19" s="3308" t="s">
        <v>29</v>
      </c>
      <c r="B19" s="3316" t="s">
        <v>28</v>
      </c>
      <c r="C19" s="3317">
        <v>681656</v>
      </c>
      <c r="D19" s="3312">
        <f>+'38.mell.maradvany_2_oldal'!AB14</f>
        <v>35470248</v>
      </c>
      <c r="E19" s="3312">
        <f>+'38.mell.maradvany_2_oldal'!AB21</f>
        <v>0</v>
      </c>
      <c r="F19" s="3312">
        <f>+'38.mell.maradvany_2_oldal'!AB22</f>
        <v>35470248</v>
      </c>
      <c r="G19" s="3312">
        <f t="shared" si="7"/>
        <v>33940175</v>
      </c>
      <c r="H19" s="3313">
        <f t="shared" si="4"/>
        <v>1530073</v>
      </c>
      <c r="I19" s="3312">
        <f>+'38.mell.maradvany_2_oldal'!AB23</f>
        <v>1530073</v>
      </c>
      <c r="J19" s="3312">
        <f>+'38.mell.maradvany_2_oldal'!AB24</f>
        <v>33940175</v>
      </c>
      <c r="K19" s="3312">
        <v>0</v>
      </c>
      <c r="L19" s="3312">
        <f>+'38.mell.maradvany_2_oldal'!AB25</f>
        <v>0</v>
      </c>
      <c r="M19" s="3312">
        <f>+'38.mell.maradvany_2_oldal'!AB26</f>
        <v>0</v>
      </c>
      <c r="N19" s="3312">
        <f t="shared" si="2"/>
        <v>0</v>
      </c>
      <c r="O19" s="3314">
        <f>+'20. mell. M. Fecskefészek'!I36</f>
        <v>1160035223</v>
      </c>
      <c r="P19" s="3314">
        <f>+'20. mell. M. Fecskefészek'!K36</f>
        <v>1105630581</v>
      </c>
      <c r="Q19" s="3315">
        <f t="shared" si="5"/>
        <v>54404642</v>
      </c>
      <c r="R19" s="3307">
        <f t="shared" si="0"/>
        <v>0</v>
      </c>
      <c r="S19" s="3281">
        <f t="shared" si="1"/>
        <v>0</v>
      </c>
      <c r="Y19" s="3281">
        <f t="shared" si="6"/>
        <v>0</v>
      </c>
      <c r="Z19" s="3281">
        <f t="shared" si="3"/>
        <v>35470248</v>
      </c>
    </row>
    <row r="20" spans="1:26" ht="15" customHeight="1">
      <c r="A20" s="3308" t="s">
        <v>31</v>
      </c>
      <c r="B20" s="3316" t="s">
        <v>30</v>
      </c>
      <c r="C20" s="3317">
        <v>681689</v>
      </c>
      <c r="D20" s="3312">
        <f>+'38.mell.maradvany_2_oldal'!AD14</f>
        <v>70950657</v>
      </c>
      <c r="E20" s="3312">
        <f>+'38.mell.maradvany_2_oldal'!AD21</f>
        <v>0</v>
      </c>
      <c r="F20" s="3312">
        <f>+'38.mell.maradvany_2_oldal'!AD22</f>
        <v>70950657</v>
      </c>
      <c r="G20" s="3312">
        <f t="shared" si="7"/>
        <v>0</v>
      </c>
      <c r="H20" s="3313">
        <f t="shared" si="4"/>
        <v>70950657</v>
      </c>
      <c r="I20" s="3312">
        <f>+'38.mell.maradvany_2_oldal'!AD23</f>
        <v>72933166</v>
      </c>
      <c r="J20" s="3312">
        <f>+'38.mell.maradvany_2_oldal'!AD24</f>
        <v>-1982509</v>
      </c>
      <c r="K20" s="3312">
        <v>0</v>
      </c>
      <c r="L20" s="3312">
        <f>+'38.mell.maradvany_2_oldal'!AD25</f>
        <v>0</v>
      </c>
      <c r="M20" s="3312">
        <f>+'38.mell.maradvany_2_oldal'!AD26</f>
        <v>0</v>
      </c>
      <c r="N20" s="3312">
        <f t="shared" si="2"/>
        <v>1982509</v>
      </c>
      <c r="O20" s="3314">
        <f>+'21. mell. CMH'!I36</f>
        <v>467398237</v>
      </c>
      <c r="P20" s="3314">
        <f>+'21. mell. CMH'!K36</f>
        <v>393528208</v>
      </c>
      <c r="Q20" s="3315">
        <f t="shared" si="5"/>
        <v>73870029</v>
      </c>
      <c r="R20" s="3307">
        <f t="shared" si="0"/>
        <v>0</v>
      </c>
      <c r="S20" s="3281">
        <f t="shared" si="1"/>
        <v>0</v>
      </c>
      <c r="Y20" s="3281">
        <f t="shared" si="6"/>
        <v>0</v>
      </c>
      <c r="Z20" s="3281">
        <f t="shared" si="3"/>
        <v>70950657</v>
      </c>
    </row>
    <row r="21" spans="1:26" ht="22.5">
      <c r="A21" s="3308" t="s">
        <v>33</v>
      </c>
      <c r="B21" s="3316" t="s">
        <v>32</v>
      </c>
      <c r="C21" s="3317">
        <v>681690</v>
      </c>
      <c r="D21" s="3312">
        <f>+'38.mell.maradvany_2_oldal'!AF14</f>
        <v>67552622</v>
      </c>
      <c r="E21" s="3312">
        <f>+'38.mell.maradvany_2_oldal'!AF21</f>
        <v>0</v>
      </c>
      <c r="F21" s="3312">
        <f>+'38.mell.maradvany_2_oldal'!AF22</f>
        <v>67552622</v>
      </c>
      <c r="G21" s="3312">
        <f t="shared" si="7"/>
        <v>55438683</v>
      </c>
      <c r="H21" s="3313">
        <f t="shared" si="4"/>
        <v>12113939</v>
      </c>
      <c r="I21" s="3312">
        <f>+'38.mell.maradvany_2_oldal'!AF23</f>
        <v>12113939</v>
      </c>
      <c r="J21" s="3312">
        <f>+'38.mell.maradvany_2_oldal'!AF24</f>
        <v>55438683</v>
      </c>
      <c r="K21" s="3312">
        <v>0</v>
      </c>
      <c r="L21" s="3312">
        <f>+'38.mell.maradvany_2_oldal'!AF25</f>
        <v>0</v>
      </c>
      <c r="M21" s="3312">
        <f>+'38.mell.maradvany_2_oldal'!AF26</f>
        <v>0</v>
      </c>
      <c r="N21" s="3312">
        <f t="shared" si="2"/>
        <v>0</v>
      </c>
      <c r="O21" s="3314">
        <f>+'22. mell. Bölcsőde'!I36</f>
        <v>1528893387</v>
      </c>
      <c r="P21" s="3314">
        <f>+'22. mell. Bölcsőde'!K36</f>
        <v>1456571981</v>
      </c>
      <c r="Q21" s="3315">
        <f t="shared" si="5"/>
        <v>72321406</v>
      </c>
      <c r="R21" s="3307">
        <f t="shared" si="0"/>
        <v>0</v>
      </c>
      <c r="S21" s="3281">
        <f t="shared" si="1"/>
        <v>0</v>
      </c>
      <c r="Y21" s="3281">
        <f t="shared" si="6"/>
        <v>0</v>
      </c>
      <c r="Z21" s="3281">
        <f t="shared" si="3"/>
        <v>67552622</v>
      </c>
    </row>
    <row r="22" spans="1:26" ht="15" customHeight="1">
      <c r="A22" s="3308" t="s">
        <v>35</v>
      </c>
      <c r="B22" s="3316" t="s">
        <v>34</v>
      </c>
      <c r="C22" s="3317">
        <v>681667</v>
      </c>
      <c r="D22" s="3312">
        <f>+'38.mell.maradvany_2_oldal'!AH14</f>
        <v>63218061</v>
      </c>
      <c r="E22" s="3312">
        <f>+'38.mell.maradvany_2_oldal'!AH21</f>
        <v>0</v>
      </c>
      <c r="F22" s="3312">
        <f>+'38.mell.maradvany_2_oldal'!AH22</f>
        <v>63218061</v>
      </c>
      <c r="G22" s="3312">
        <f t="shared" si="7"/>
        <v>10646037</v>
      </c>
      <c r="H22" s="3313">
        <f t="shared" si="4"/>
        <v>52572024</v>
      </c>
      <c r="I22" s="3312">
        <f>+'38.mell.maradvany_2_oldal'!AH23</f>
        <v>52572024</v>
      </c>
      <c r="J22" s="3312">
        <f>+'38.mell.maradvany_2_oldal'!AH24</f>
        <v>10646037</v>
      </c>
      <c r="K22" s="3312">
        <v>0</v>
      </c>
      <c r="L22" s="3312">
        <f>+'38.mell.maradvany_2_oldal'!AH25</f>
        <v>0</v>
      </c>
      <c r="M22" s="3312">
        <f>+'38.mell.maradvany_2_oldal'!AH26</f>
        <v>0</v>
      </c>
      <c r="N22" s="3312">
        <f t="shared" si="2"/>
        <v>0</v>
      </c>
      <c r="O22" s="3314">
        <f>+'23. mell. Terszoc.'!I36</f>
        <v>1050860143</v>
      </c>
      <c r="P22" s="3314">
        <f>+'23. mell. Terszoc.'!K36</f>
        <v>948855550</v>
      </c>
      <c r="Q22" s="3315">
        <f t="shared" si="5"/>
        <v>102004593</v>
      </c>
      <c r="R22" s="3307">
        <f t="shared" si="0"/>
        <v>0</v>
      </c>
      <c r="S22" s="3281">
        <f t="shared" si="1"/>
        <v>0</v>
      </c>
      <c r="Y22" s="3281">
        <f t="shared" si="6"/>
        <v>0</v>
      </c>
      <c r="Z22" s="3281">
        <f t="shared" si="3"/>
        <v>63218061</v>
      </c>
    </row>
    <row r="23" spans="1:26" ht="22.5">
      <c r="A23" s="3308" t="s">
        <v>37</v>
      </c>
      <c r="B23" s="3316" t="s">
        <v>36</v>
      </c>
      <c r="C23" s="3317">
        <v>681678</v>
      </c>
      <c r="D23" s="3312">
        <f>+'38.mell.maradvany_2_oldal'!AJ14</f>
        <v>19227563</v>
      </c>
      <c r="E23" s="3312">
        <f>+'38.mell.maradvany_2_oldal'!AJ21</f>
        <v>0</v>
      </c>
      <c r="F23" s="3312">
        <f>+'38.mell.maradvany_2_oldal'!AJ22</f>
        <v>19227563</v>
      </c>
      <c r="G23" s="3312">
        <f t="shared" si="7"/>
        <v>18651879</v>
      </c>
      <c r="H23" s="3313">
        <f t="shared" si="4"/>
        <v>575684</v>
      </c>
      <c r="I23" s="3312">
        <f>+'38.mell.maradvany_2_oldal'!AJ23</f>
        <v>575684</v>
      </c>
      <c r="J23" s="3312">
        <f>+'38.mell.maradvany_2_oldal'!AJ24</f>
        <v>18651879</v>
      </c>
      <c r="K23" s="3312">
        <v>0</v>
      </c>
      <c r="L23" s="3312">
        <f>+'38.mell.maradvany_2_oldal'!AJ25</f>
        <v>0</v>
      </c>
      <c r="M23" s="3312">
        <f>+'38.mell.maradvany_2_oldal'!AJ26</f>
        <v>0</v>
      </c>
      <c r="N23" s="3312">
        <f t="shared" si="2"/>
        <v>0</v>
      </c>
      <c r="O23" s="3314">
        <f>+'24. mell. Napraforgó'!I36</f>
        <v>394330373</v>
      </c>
      <c r="P23" s="3314">
        <f>+'24. mell. Napraforgó'!K36</f>
        <v>362844266</v>
      </c>
      <c r="Q23" s="3315">
        <f t="shared" si="5"/>
        <v>31486107</v>
      </c>
      <c r="R23" s="3307">
        <f t="shared" si="0"/>
        <v>0</v>
      </c>
      <c r="S23" s="3281">
        <f t="shared" si="1"/>
        <v>0</v>
      </c>
      <c r="Y23" s="3281">
        <f t="shared" si="6"/>
        <v>0</v>
      </c>
      <c r="Z23" s="3281">
        <f t="shared" si="3"/>
        <v>19227563</v>
      </c>
    </row>
    <row r="24" spans="1:26" ht="15" customHeight="1">
      <c r="A24" s="3308" t="s">
        <v>39</v>
      </c>
      <c r="B24" s="3316" t="s">
        <v>38</v>
      </c>
      <c r="C24" s="3317">
        <v>681711</v>
      </c>
      <c r="D24" s="3312">
        <f>+'38.mell.maradvany_2_oldal'!AL14</f>
        <v>101645087</v>
      </c>
      <c r="E24" s="3312">
        <f>+'38.mell.maradvany_2_oldal'!AL21</f>
        <v>12623889</v>
      </c>
      <c r="F24" s="3312">
        <f>+'38.mell.maradvany_2_oldal'!AL22</f>
        <v>114268976</v>
      </c>
      <c r="G24" s="3432">
        <f>IF(J24&lt;0,0,J24)-K24</f>
        <v>30110910</v>
      </c>
      <c r="H24" s="3313">
        <f t="shared" si="4"/>
        <v>84158066</v>
      </c>
      <c r="I24" s="3312">
        <f>+'38.mell.maradvany_2_oldal'!AL23</f>
        <v>53117997</v>
      </c>
      <c r="J24" s="3312">
        <f>+'38.mell.maradvany_2_oldal'!AL24</f>
        <v>48527090</v>
      </c>
      <c r="K24" s="3312">
        <f>17019180+1397000</f>
        <v>18416180</v>
      </c>
      <c r="L24" s="3312">
        <f>+'38.mell.maradvany_2_oldal'!AL25</f>
        <v>1136150</v>
      </c>
      <c r="M24" s="3312">
        <f>+'38.mell.maradvany_2_oldal'!AL26</f>
        <v>11487739</v>
      </c>
      <c r="N24" s="3312">
        <f t="shared" si="2"/>
        <v>0</v>
      </c>
      <c r="O24" s="3314">
        <f>+'25. mell. Kerületgazda'!I36</f>
        <v>2253336332</v>
      </c>
      <c r="P24" s="3314">
        <f>+'25. mell. Kerületgazda'!K36</f>
        <v>2046731498</v>
      </c>
      <c r="Q24" s="3315">
        <f t="shared" si="5"/>
        <v>206604834</v>
      </c>
      <c r="R24" s="3307">
        <f t="shared" si="0"/>
        <v>0</v>
      </c>
      <c r="S24" s="3281">
        <f t="shared" si="1"/>
        <v>0</v>
      </c>
      <c r="T24" s="3281">
        <f t="shared" ref="T24:T26" si="8">+E24*0.09</f>
        <v>1136150.01</v>
      </c>
      <c r="V24" s="3281">
        <f t="shared" ref="V24:V26" si="9">+L24-T24</f>
        <v>-1.0000000009313226E-2</v>
      </c>
      <c r="Y24" s="3281">
        <f t="shared" si="6"/>
        <v>0</v>
      </c>
      <c r="Z24" s="3281">
        <f t="shared" si="3"/>
        <v>101645087</v>
      </c>
    </row>
    <row r="25" spans="1:26" ht="15" customHeight="1">
      <c r="A25" s="3308" t="s">
        <v>41</v>
      </c>
      <c r="B25" s="3316" t="s">
        <v>40</v>
      </c>
      <c r="C25" s="3317">
        <v>766195</v>
      </c>
      <c r="D25" s="3312">
        <f>+'38.mell.maradvany_2_oldal'!AN14</f>
        <v>54683565</v>
      </c>
      <c r="E25" s="3312">
        <f>+'38.mell.maradvany_2_oldal'!AN21</f>
        <v>2223548</v>
      </c>
      <c r="F25" s="3312">
        <f>+'38.mell.maradvany_2_oldal'!AN22</f>
        <v>56907113</v>
      </c>
      <c r="G25" s="3432">
        <f>IF(J25&lt;0,0,J25)-K25</f>
        <v>11650631</v>
      </c>
      <c r="H25" s="3313">
        <f t="shared" si="4"/>
        <v>45256482</v>
      </c>
      <c r="I25" s="3312">
        <f>+'38.mell.maradvany_2_oldal'!AN23</f>
        <v>3178718</v>
      </c>
      <c r="J25" s="3312">
        <f>+'38.mell.maradvany_2_oldal'!AN24</f>
        <v>51504847</v>
      </c>
      <c r="K25" s="3312">
        <f>+M39</f>
        <v>39854216</v>
      </c>
      <c r="L25" s="3312">
        <f>+'38.mell.maradvany_2_oldal'!AN25</f>
        <v>200119</v>
      </c>
      <c r="M25" s="3312">
        <f>+'38.mell.maradvany_2_oldal'!AN26</f>
        <v>2023429</v>
      </c>
      <c r="N25" s="3312">
        <f t="shared" si="2"/>
        <v>0</v>
      </c>
      <c r="O25" s="3314">
        <f>+'26. mell. Őrszolgálat'!I36</f>
        <v>138817600</v>
      </c>
      <c r="P25" s="3314">
        <f>+'26. mell. Őrszolgálat'!K36</f>
        <v>138817600</v>
      </c>
      <c r="Q25" s="3315">
        <f t="shared" si="5"/>
        <v>0</v>
      </c>
      <c r="R25" s="3307">
        <f t="shared" si="0"/>
        <v>0</v>
      </c>
      <c r="S25" s="3281">
        <f t="shared" si="1"/>
        <v>0</v>
      </c>
      <c r="T25" s="3281">
        <f t="shared" si="8"/>
        <v>200119.32</v>
      </c>
      <c r="V25" s="3281">
        <f t="shared" si="9"/>
        <v>-0.32000000000698492</v>
      </c>
      <c r="Y25" s="3281">
        <f t="shared" si="6"/>
        <v>0</v>
      </c>
      <c r="Z25" s="3281">
        <f t="shared" si="3"/>
        <v>54683565</v>
      </c>
    </row>
    <row r="26" spans="1:26" ht="25.5" customHeight="1">
      <c r="A26" s="3308" t="s">
        <v>314</v>
      </c>
      <c r="B26" s="3316" t="s">
        <v>4095</v>
      </c>
      <c r="C26" s="3317">
        <v>833284</v>
      </c>
      <c r="D26" s="3312">
        <f>+'38.mell.maradvany_2_oldal'!AP14</f>
        <v>6873446</v>
      </c>
      <c r="E26" s="3312">
        <f>+'38.mell.maradvany_2_oldal'!AP21</f>
        <v>4636130</v>
      </c>
      <c r="F26" s="3312">
        <f>+'38.mell.maradvany_2_oldal'!AP22</f>
        <v>11509576</v>
      </c>
      <c r="G26" s="3312">
        <f>IF(J26&lt;0,0,J26)</f>
        <v>5741893</v>
      </c>
      <c r="H26" s="3313">
        <f t="shared" si="4"/>
        <v>5767683</v>
      </c>
      <c r="I26" s="3312">
        <f>+'38.mell.maradvany_2_oldal'!AP23</f>
        <v>1131553</v>
      </c>
      <c r="J26" s="3312">
        <f>+'38.mell.maradvany_2_oldal'!AP24</f>
        <v>5741893</v>
      </c>
      <c r="K26" s="3312">
        <v>0</v>
      </c>
      <c r="L26" s="3312">
        <f>+'38.mell.maradvany_2_oldal'!AP25</f>
        <v>417252</v>
      </c>
      <c r="M26" s="3312">
        <f>+'38.mell.maradvany_2_oldal'!AP26</f>
        <v>4218878</v>
      </c>
      <c r="N26" s="3312">
        <f>IF(I26&gt;H26,I26-H26,0)</f>
        <v>0</v>
      </c>
      <c r="O26" s="3314">
        <f>+'27. mell. KHEK'!I36</f>
        <v>101176135</v>
      </c>
      <c r="P26" s="3314">
        <f>+'27. mell. KHEK'!K36</f>
        <v>93975316</v>
      </c>
      <c r="Q26" s="3315">
        <f>+O26-P26</f>
        <v>7200819</v>
      </c>
      <c r="R26" s="3307">
        <f t="shared" si="0"/>
        <v>0</v>
      </c>
      <c r="S26" s="3281">
        <f t="shared" si="1"/>
        <v>0</v>
      </c>
      <c r="T26" s="3281">
        <f t="shared" si="8"/>
        <v>417251.7</v>
      </c>
      <c r="V26" s="3281">
        <f t="shared" si="9"/>
        <v>0.29999999998835847</v>
      </c>
      <c r="Y26" s="3281">
        <f t="shared" si="6"/>
        <v>0</v>
      </c>
      <c r="Z26" s="3281">
        <f t="shared" si="3"/>
        <v>6873446</v>
      </c>
    </row>
    <row r="27" spans="1:26" ht="23.25" customHeight="1" thickBot="1">
      <c r="A27" s="3308" t="s">
        <v>402</v>
      </c>
      <c r="B27" s="3316" t="s">
        <v>3665</v>
      </c>
      <c r="C27" s="3317">
        <v>852964</v>
      </c>
      <c r="D27" s="3312">
        <f>+'38.mell.maradvany_2_oldal'!AR14</f>
        <v>144799531</v>
      </c>
      <c r="E27" s="3312">
        <f>+'38.mell.maradvany_2_oldal'!AR21</f>
        <v>0</v>
      </c>
      <c r="F27" s="3312">
        <f>+'38.mell.maradvany_2_oldal'!AR22</f>
        <v>144799531</v>
      </c>
      <c r="G27" s="3432">
        <f>IF(J27&lt;0,0,J27)-K27</f>
        <v>0</v>
      </c>
      <c r="H27" s="3313">
        <f>+F27-G27</f>
        <v>144799531</v>
      </c>
      <c r="I27" s="3312">
        <f>+'38.mell.maradvany_2_oldal'!AR23</f>
        <v>5617464</v>
      </c>
      <c r="J27" s="3312">
        <f>+'38.mell.maradvany_2_oldal'!AR24</f>
        <v>139182067</v>
      </c>
      <c r="K27" s="3312">
        <f>139182067</f>
        <v>139182067</v>
      </c>
      <c r="L27" s="3312">
        <f>+'38.mell.maradvany_2_oldal'!AR25</f>
        <v>0</v>
      </c>
      <c r="M27" s="3312">
        <f>+'38.mell.maradvany_2_oldal'!AR26</f>
        <v>0</v>
      </c>
      <c r="N27" s="3312">
        <f t="shared" si="2"/>
        <v>0</v>
      </c>
      <c r="O27" s="3319">
        <f>+'28. mell. KIO'!I36</f>
        <v>126748305</v>
      </c>
      <c r="P27" s="3319">
        <f>+'28. mell. KIO'!K36</f>
        <v>126748305</v>
      </c>
      <c r="Q27" s="3315">
        <f t="shared" si="5"/>
        <v>0</v>
      </c>
      <c r="R27" s="3307">
        <f t="shared" si="0"/>
        <v>0</v>
      </c>
      <c r="S27" s="3281">
        <f t="shared" si="1"/>
        <v>0</v>
      </c>
      <c r="Y27" s="3281">
        <f t="shared" si="6"/>
        <v>0</v>
      </c>
      <c r="Z27" s="3281">
        <f t="shared" si="3"/>
        <v>144799531</v>
      </c>
    </row>
    <row r="28" spans="1:26" ht="15" customHeight="1" thickBot="1">
      <c r="A28" s="3744" t="s">
        <v>4096</v>
      </c>
      <c r="B28" s="3745"/>
      <c r="C28" s="3320"/>
      <c r="D28" s="3321">
        <f>SUM(D10:D27)</f>
        <v>919107098</v>
      </c>
      <c r="E28" s="3321">
        <f t="shared" ref="E28:Q28" si="10">SUM(E10:E27)</f>
        <v>20121198</v>
      </c>
      <c r="F28" s="3321">
        <f>SUM(F10:F27)</f>
        <v>939228296</v>
      </c>
      <c r="G28" s="3321">
        <f>SUM(G10:G27)</f>
        <v>339710399</v>
      </c>
      <c r="H28" s="3322">
        <f t="shared" si="10"/>
        <v>599517897</v>
      </c>
      <c r="I28" s="3323">
        <f>SUM(I10:I27)</f>
        <v>376903645</v>
      </c>
      <c r="J28" s="3321">
        <f>SUM(J10:J27)</f>
        <v>542203453</v>
      </c>
      <c r="K28" s="3321">
        <f>SUM(K10:K27)</f>
        <v>204475563</v>
      </c>
      <c r="L28" s="3321">
        <f t="shared" si="10"/>
        <v>1810908</v>
      </c>
      <c r="M28" s="3321">
        <f t="shared" si="10"/>
        <v>18310290</v>
      </c>
      <c r="N28" s="3321">
        <f>SUM(N10:N27)</f>
        <v>1982509</v>
      </c>
      <c r="O28" s="3324">
        <f t="shared" si="10"/>
        <v>14350648875</v>
      </c>
      <c r="P28" s="3324">
        <f t="shared" si="10"/>
        <v>13473547495</v>
      </c>
      <c r="Q28" s="3325">
        <f t="shared" si="10"/>
        <v>877101380</v>
      </c>
      <c r="R28" s="3307">
        <f t="shared" si="0"/>
        <v>0</v>
      </c>
      <c r="S28" s="3281">
        <f t="shared" si="1"/>
        <v>0</v>
      </c>
      <c r="U28" s="3281">
        <f>SUM(U10:U27)</f>
        <v>0</v>
      </c>
      <c r="W28" s="3281">
        <f>SUM(W10:W27)</f>
        <v>0</v>
      </c>
      <c r="X28" s="3281">
        <f>SUM(X10:X27)</f>
        <v>0</v>
      </c>
      <c r="Y28" s="3281">
        <f t="shared" si="6"/>
        <v>0</v>
      </c>
      <c r="Z28" s="3281">
        <f t="shared" si="3"/>
        <v>919107098</v>
      </c>
    </row>
    <row r="29" spans="1:26" ht="15" customHeight="1" thickBot="1">
      <c r="A29" s="3746" t="s">
        <v>43</v>
      </c>
      <c r="B29" s="3747"/>
      <c r="C29" s="3326"/>
      <c r="D29" s="3327">
        <f>+D9+D28</f>
        <v>1877790703</v>
      </c>
      <c r="E29" s="3327">
        <f t="shared" ref="E29:N29" si="11">+E9+E28</f>
        <v>20121198</v>
      </c>
      <c r="F29" s="3327">
        <f>+F9+F28</f>
        <v>1897911901</v>
      </c>
      <c r="G29" s="3327">
        <f t="shared" si="11"/>
        <v>339710399</v>
      </c>
      <c r="H29" s="3327">
        <f t="shared" si="11"/>
        <v>599517897</v>
      </c>
      <c r="I29" s="3327">
        <f t="shared" si="11"/>
        <v>1312279932</v>
      </c>
      <c r="J29" s="3327">
        <f t="shared" si="11"/>
        <v>565510771</v>
      </c>
      <c r="K29" s="3327">
        <f t="shared" si="11"/>
        <v>204475563</v>
      </c>
      <c r="L29" s="3327">
        <f t="shared" si="11"/>
        <v>1810908</v>
      </c>
      <c r="M29" s="3327">
        <f t="shared" si="11"/>
        <v>18310290</v>
      </c>
      <c r="N29" s="3327">
        <f t="shared" si="11"/>
        <v>1982509</v>
      </c>
      <c r="O29" s="3748"/>
      <c r="P29" s="3749"/>
      <c r="Q29" s="3750"/>
      <c r="R29" s="3307">
        <f t="shared" si="0"/>
        <v>0</v>
      </c>
      <c r="S29" s="3281">
        <f t="shared" si="1"/>
        <v>0</v>
      </c>
      <c r="U29" s="3281">
        <f>+U9+U28</f>
        <v>0</v>
      </c>
      <c r="W29" s="3281">
        <f>SUM(W28:X28)</f>
        <v>0</v>
      </c>
    </row>
    <row r="30" spans="1:26" ht="12.75" hidden="1" customHeight="1" thickBot="1">
      <c r="B30" s="3328"/>
      <c r="R30" s="3307"/>
    </row>
    <row r="31" spans="1:26" ht="28.5" hidden="1" customHeight="1" thickBot="1">
      <c r="B31" s="3328" t="s">
        <v>4097</v>
      </c>
      <c r="C31" s="3419">
        <f>+D31+V31</f>
        <v>939228296</v>
      </c>
      <c r="D31" s="3321">
        <f>+'8. mell. Intézmények összesen'!K57</f>
        <v>939228296</v>
      </c>
      <c r="E31" s="3329">
        <f>+D28+E28</f>
        <v>939228296</v>
      </c>
      <c r="F31" s="3281">
        <f>+G28+H28</f>
        <v>939228296</v>
      </c>
      <c r="G31" s="3281">
        <f>+F28-I31</f>
        <v>20121198</v>
      </c>
      <c r="I31" s="3281">
        <f>+I28+J28</f>
        <v>919107098</v>
      </c>
      <c r="N31" s="3281" t="s">
        <v>1183</v>
      </c>
      <c r="O31" s="3281">
        <f>+'8. mell. Intézmények összesen'!I36</f>
        <v>14350648875</v>
      </c>
      <c r="P31" s="3281">
        <f>+'8. mell. Intézmények összesen'!K36</f>
        <v>13473547495</v>
      </c>
      <c r="Q31" s="3281">
        <f>+O31-P31</f>
        <v>877101380</v>
      </c>
      <c r="R31" s="3307">
        <f>+D31-F31</f>
        <v>0</v>
      </c>
      <c r="S31" s="3281">
        <f>+F31-I31-J31</f>
        <v>20121198</v>
      </c>
      <c r="T31" s="3281">
        <f>-L28-M28</f>
        <v>-20121198</v>
      </c>
      <c r="V31" s="3330">
        <f>SUM(S31:T31)</f>
        <v>0</v>
      </c>
    </row>
    <row r="32" spans="1:26" ht="13.5" hidden="1" thickBot="1">
      <c r="B32" s="3328"/>
      <c r="C32" s="3419">
        <f>+D32+V32</f>
        <v>0</v>
      </c>
      <c r="D32" s="3327">
        <f>+'1. mell.ÖSSZEVONT_MÉRLEG'!J161</f>
        <v>1897911901</v>
      </c>
      <c r="E32" s="3329">
        <f>+D29+E29</f>
        <v>1897911901</v>
      </c>
      <c r="F32" s="3331">
        <f>+F28-F31</f>
        <v>0</v>
      </c>
      <c r="G32" s="3281">
        <f>+F29-I32</f>
        <v>20121198</v>
      </c>
      <c r="H32" s="3331"/>
      <c r="I32" s="3281">
        <f>+I29+J29</f>
        <v>1877790703</v>
      </c>
      <c r="O32" s="3281">
        <f>+O28-O31</f>
        <v>0</v>
      </c>
      <c r="P32" s="3281">
        <f>+P28-P31</f>
        <v>0</v>
      </c>
      <c r="Q32" s="3281">
        <f>+Q28-Q31</f>
        <v>0</v>
      </c>
      <c r="R32" s="3307">
        <f>+D32-F32</f>
        <v>1897911901</v>
      </c>
      <c r="S32" s="3281">
        <f>+F32-I32-J32</f>
        <v>-1877790703</v>
      </c>
      <c r="T32" s="3281">
        <f>-L29-M29</f>
        <v>-20121198</v>
      </c>
      <c r="V32" s="3330">
        <f>SUM(S32:T32)</f>
        <v>-1897911901</v>
      </c>
    </row>
    <row r="33" spans="6:18" hidden="1">
      <c r="H33" s="3330"/>
      <c r="I33" s="3330"/>
      <c r="J33" s="3281">
        <f>+G28+K28-N28</f>
        <v>542203453</v>
      </c>
      <c r="K33" s="3281">
        <f>+J28</f>
        <v>542203453</v>
      </c>
      <c r="L33" s="3281">
        <f>+J33-K33</f>
        <v>0</v>
      </c>
    </row>
    <row r="34" spans="6:18" hidden="1">
      <c r="F34" s="3281">
        <f>+F9</f>
        <v>958683605</v>
      </c>
      <c r="G34" s="3332" t="s">
        <v>4098</v>
      </c>
      <c r="M34" s="3281">
        <f>+G25+L25+M25</f>
        <v>13874179</v>
      </c>
    </row>
    <row r="35" spans="6:18" hidden="1">
      <c r="F35" s="3281">
        <v>950000000</v>
      </c>
      <c r="G35" s="3332" t="s">
        <v>4210</v>
      </c>
      <c r="M35" s="3281">
        <v>13874179</v>
      </c>
      <c r="N35" s="3751" t="s">
        <v>4240</v>
      </c>
      <c r="O35" s="3568"/>
      <c r="P35" s="3568"/>
      <c r="Q35" s="3568"/>
    </row>
    <row r="36" spans="6:18" hidden="1">
      <c r="F36" s="3281">
        <f>+F34-F35</f>
        <v>8683605</v>
      </c>
      <c r="G36" s="3332" t="s">
        <v>4099</v>
      </c>
      <c r="M36" s="3431">
        <f>+L25+M25</f>
        <v>2223548</v>
      </c>
      <c r="N36" s="3774" t="s">
        <v>4243</v>
      </c>
      <c r="O36" s="3775"/>
      <c r="P36" s="3775"/>
      <c r="Q36" s="3775"/>
      <c r="R36" s="3773"/>
    </row>
    <row r="37" spans="6:18" hidden="1">
      <c r="F37" s="3281">
        <f>+G29</f>
        <v>339710399</v>
      </c>
      <c r="G37" s="3332" t="s">
        <v>4100</v>
      </c>
      <c r="M37" s="3281">
        <f>+J25</f>
        <v>51504847</v>
      </c>
      <c r="N37" s="3751" t="s">
        <v>4241</v>
      </c>
      <c r="O37" s="3568"/>
      <c r="P37" s="3568"/>
      <c r="Q37" s="3568"/>
    </row>
    <row r="38" spans="6:18" hidden="1">
      <c r="F38" s="3281">
        <f>+M29</f>
        <v>18310290</v>
      </c>
      <c r="G38" s="3332" t="s">
        <v>4101</v>
      </c>
      <c r="M38" s="3431">
        <f>+M35-M36</f>
        <v>11650631</v>
      </c>
      <c r="N38" s="3772" t="s">
        <v>4242</v>
      </c>
      <c r="O38" s="3773"/>
      <c r="P38" s="3773"/>
      <c r="Q38" s="3773"/>
    </row>
    <row r="39" spans="6:18" hidden="1">
      <c r="F39" s="3281">
        <f>-+N29</f>
        <v>-1982509</v>
      </c>
      <c r="G39" s="3332" t="s">
        <v>4102</v>
      </c>
      <c r="M39" s="3281">
        <f>+M37-M38</f>
        <v>39854216</v>
      </c>
      <c r="N39" s="3751" t="s">
        <v>4244</v>
      </c>
      <c r="O39" s="3568"/>
      <c r="P39" s="3568"/>
      <c r="Q39" s="3568"/>
    </row>
    <row r="40" spans="6:18" hidden="1">
      <c r="F40" s="3281">
        <f>-'22.melléklet 2. oldal'!K16</f>
        <v>-2884855</v>
      </c>
      <c r="G40" s="3332" t="s">
        <v>4245</v>
      </c>
    </row>
    <row r="41" spans="6:18" hidden="1">
      <c r="F41" s="3281">
        <f>+L29</f>
        <v>1810908</v>
      </c>
      <c r="G41" s="3332" t="s">
        <v>4103</v>
      </c>
    </row>
    <row r="42" spans="6:18" hidden="1">
      <c r="F42" s="3281">
        <f>+F36+F37+F38+F39+F40+F41</f>
        <v>363647838</v>
      </c>
      <c r="G42" s="3332" t="s">
        <v>4104</v>
      </c>
    </row>
    <row r="43" spans="6:18" ht="13.5" hidden="1" thickBot="1">
      <c r="G43" s="3332" t="s">
        <v>4212</v>
      </c>
    </row>
    <row r="44" spans="6:18" ht="13.5" hidden="1" thickBot="1">
      <c r="F44" s="3333">
        <f>+F42-F43</f>
        <v>363647838</v>
      </c>
      <c r="G44" s="3334" t="s">
        <v>4105</v>
      </c>
      <c r="H44" s="3335"/>
      <c r="I44" s="3336"/>
    </row>
  </sheetData>
  <sheetProtection algorithmName="SHA-512" hashValue="folYfvyjvM9RU7u/fKLfreDwu4LT/93kfxb6i1txASJPGns8Bz9cWhtkeLe+hKIdYRPjeaKHbMw8Zp20+dlmYg==" saltValue="n4Xg4hWasJc76RN75l49+g==" spinCount="100000" sheet="1" selectLockedCells="1" selectUnlockedCells="1"/>
  <mergeCells count="21">
    <mergeCell ref="N35:Q35"/>
    <mergeCell ref="N37:Q37"/>
    <mergeCell ref="N38:Q38"/>
    <mergeCell ref="N39:Q39"/>
    <mergeCell ref="N36:R36"/>
    <mergeCell ref="A28:B28"/>
    <mergeCell ref="A29:B29"/>
    <mergeCell ref="O29:Q29"/>
    <mergeCell ref="AA2:AB6"/>
    <mergeCell ref="A1:Q1"/>
    <mergeCell ref="A2:Q2"/>
    <mergeCell ref="G5:H5"/>
    <mergeCell ref="A6:A7"/>
    <mergeCell ref="B6:B7"/>
    <mergeCell ref="G6:G7"/>
    <mergeCell ref="H6:H7"/>
    <mergeCell ref="I6:J6"/>
    <mergeCell ref="K6:K7"/>
    <mergeCell ref="L6:M6"/>
    <mergeCell ref="N6:N7"/>
    <mergeCell ref="O6:Q6"/>
  </mergeCells>
  <printOptions horizontalCentered="1"/>
  <pageMargins left="0.70866141732283472" right="0.70866141732283472" top="0.74803149606299213" bottom="0.74803149606299213" header="0.31496062992125984" footer="0.31496062992125984"/>
  <pageSetup paperSize="9" scale="67" orientation="landscape" r:id="rId1"/>
  <headerFooter>
    <oddFooter>&amp;C&amp;"Arial CE,Félkövér"&amp;12&amp;P/&amp;N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98814-5D13-4E99-A2E3-1B3CCE0C3F97}">
  <sheetPr>
    <tabColor rgb="FFFFFF00"/>
    <pageSetUpPr fitToPage="1"/>
  </sheetPr>
  <dimension ref="A1:AU32"/>
  <sheetViews>
    <sheetView view="pageBreakPreview" zoomScale="80" zoomScaleNormal="80" zoomScaleSheetLayoutView="80" workbookViewId="0">
      <pane xSplit="7" ySplit="7" topLeftCell="H8" activePane="bottomRight" state="frozen"/>
      <selection sqref="A1:AC1"/>
      <selection pane="topRight" sqref="A1:AC1"/>
      <selection pane="bottomLeft" sqref="A1:AC1"/>
      <selection pane="bottomRight" sqref="A1:AR1"/>
    </sheetView>
  </sheetViews>
  <sheetFormatPr defaultColWidth="10.28515625" defaultRowHeight="12.75"/>
  <cols>
    <col min="1" max="1" width="9.7109375" style="95" customWidth="1"/>
    <col min="2" max="2" width="64.85546875" style="95" customWidth="1"/>
    <col min="3" max="3" width="15.140625" style="95" hidden="1" customWidth="1"/>
    <col min="4" max="4" width="18.140625" style="95" hidden="1" customWidth="1"/>
    <col min="5" max="5" width="14.42578125" style="95" hidden="1" customWidth="1"/>
    <col min="6" max="6" width="16.7109375" style="95" customWidth="1"/>
    <col min="7" max="7" width="12.140625" style="95" hidden="1" customWidth="1"/>
    <col min="8" max="8" width="17" style="95" customWidth="1"/>
    <col min="9" max="9" width="11.5703125" style="95" hidden="1" customWidth="1"/>
    <col min="10" max="10" width="15.5703125" style="95" customWidth="1"/>
    <col min="11" max="11" width="12.5703125" style="95" hidden="1" customWidth="1"/>
    <col min="12" max="12" width="15.5703125" style="95" customWidth="1"/>
    <col min="13" max="13" width="10.28515625" style="95" hidden="1" customWidth="1"/>
    <col min="14" max="14" width="13.42578125" style="95" customWidth="1"/>
    <col min="15" max="15" width="10.85546875" style="95" hidden="1" customWidth="1"/>
    <col min="16" max="16" width="13.42578125" style="95" customWidth="1"/>
    <col min="17" max="17" width="11.28515625" style="95" hidden="1" customWidth="1"/>
    <col min="18" max="18" width="13.42578125" style="95" customWidth="1"/>
    <col min="19" max="19" width="10.28515625" style="95" hidden="1" customWidth="1"/>
    <col min="20" max="20" width="13.42578125" style="95" customWidth="1"/>
    <col min="21" max="21" width="10.28515625" style="95" hidden="1" customWidth="1"/>
    <col min="22" max="22" width="13.42578125" style="95" customWidth="1"/>
    <col min="23" max="23" width="10.28515625" style="95" hidden="1" customWidth="1"/>
    <col min="24" max="24" width="13.42578125" style="95" customWidth="1"/>
    <col min="25" max="25" width="10.28515625" style="95" hidden="1" customWidth="1"/>
    <col min="26" max="26" width="13.42578125" style="95" customWidth="1"/>
    <col min="27" max="27" width="11.7109375" style="95" hidden="1" customWidth="1"/>
    <col min="28" max="28" width="15.140625" style="95" bestFit="1" customWidth="1"/>
    <col min="29" max="29" width="10.28515625" style="95" hidden="1" customWidth="1"/>
    <col min="30" max="30" width="13.42578125" style="95" customWidth="1"/>
    <col min="31" max="31" width="10.28515625" style="95" hidden="1" customWidth="1"/>
    <col min="32" max="32" width="16" style="95" customWidth="1"/>
    <col min="33" max="33" width="10.28515625" style="95" hidden="1" customWidth="1"/>
    <col min="34" max="34" width="14.5703125" style="95" customWidth="1"/>
    <col min="35" max="35" width="10.28515625" style="95" hidden="1" customWidth="1"/>
    <col min="36" max="36" width="13.42578125" style="95" customWidth="1"/>
    <col min="37" max="37" width="12.140625" style="95" hidden="1" customWidth="1"/>
    <col min="38" max="38" width="15.85546875" style="95" customWidth="1"/>
    <col min="39" max="39" width="10.28515625" style="95" hidden="1" customWidth="1"/>
    <col min="40" max="40" width="13.42578125" style="95" bestFit="1" customWidth="1"/>
    <col min="41" max="41" width="10.28515625" style="95" hidden="1" customWidth="1"/>
    <col min="42" max="42" width="13.42578125" style="95" bestFit="1" customWidth="1"/>
    <col min="43" max="43" width="12.140625" style="95" hidden="1" customWidth="1"/>
    <col min="44" max="44" width="12.7109375" style="95" bestFit="1" customWidth="1"/>
    <col min="45" max="45" width="14.7109375" style="95" hidden="1" customWidth="1"/>
    <col min="46" max="46" width="10.28515625" style="95" hidden="1" customWidth="1"/>
    <col min="47" max="16384" width="10.28515625" style="95"/>
  </cols>
  <sheetData>
    <row r="1" spans="1:47" ht="28.5" customHeight="1">
      <c r="A1" s="3776" t="s">
        <v>4293</v>
      </c>
      <c r="B1" s="3776"/>
      <c r="C1" s="3776"/>
      <c r="D1" s="3776"/>
      <c r="E1" s="3776"/>
      <c r="F1" s="3776"/>
      <c r="G1" s="3776"/>
      <c r="H1" s="3776"/>
      <c r="I1" s="3776"/>
      <c r="J1" s="3776"/>
      <c r="K1" s="3777"/>
      <c r="L1" s="3777"/>
      <c r="M1" s="3777"/>
      <c r="N1" s="3777"/>
      <c r="O1" s="3777"/>
      <c r="P1" s="3777"/>
      <c r="Q1" s="3777"/>
      <c r="R1" s="3777"/>
      <c r="S1" s="3777"/>
      <c r="T1" s="3777"/>
      <c r="U1" s="3777"/>
      <c r="V1" s="3777"/>
      <c r="W1" s="3777"/>
      <c r="X1" s="3777"/>
      <c r="Y1" s="3777"/>
      <c r="Z1" s="3777"/>
      <c r="AA1" s="3777"/>
      <c r="AB1" s="3777"/>
      <c r="AC1" s="3777"/>
      <c r="AD1" s="3777"/>
      <c r="AE1" s="3777"/>
      <c r="AF1" s="3777"/>
      <c r="AG1" s="3777"/>
      <c r="AH1" s="3777"/>
      <c r="AI1" s="3777"/>
      <c r="AJ1" s="3777"/>
      <c r="AK1" s="3777"/>
      <c r="AL1" s="3777"/>
      <c r="AM1" s="3777"/>
      <c r="AN1" s="3777"/>
      <c r="AO1" s="3777"/>
      <c r="AP1" s="3777"/>
      <c r="AQ1" s="3778"/>
      <c r="AR1" s="3778"/>
      <c r="AS1" s="3337"/>
    </row>
    <row r="2" spans="1:47" ht="22.5" customHeight="1">
      <c r="A2" s="3779" t="s">
        <v>4106</v>
      </c>
      <c r="B2" s="3779"/>
      <c r="C2" s="3779"/>
      <c r="D2" s="3779"/>
      <c r="E2" s="3779"/>
      <c r="F2" s="3779"/>
      <c r="G2" s="3779"/>
      <c r="H2" s="3779"/>
      <c r="I2" s="3779"/>
      <c r="J2" s="3779"/>
      <c r="K2" s="3780"/>
      <c r="L2" s="3780"/>
      <c r="M2" s="3780"/>
      <c r="N2" s="3780"/>
      <c r="O2" s="3780"/>
      <c r="P2" s="3780"/>
      <c r="Q2" s="3780"/>
      <c r="R2" s="3780"/>
      <c r="S2" s="3780"/>
      <c r="T2" s="3780"/>
      <c r="U2" s="3780"/>
      <c r="V2" s="3780"/>
      <c r="W2" s="3780"/>
      <c r="X2" s="3780"/>
      <c r="Y2" s="3780"/>
      <c r="Z2" s="3780"/>
      <c r="AA2" s="3780"/>
      <c r="AB2" s="3780"/>
      <c r="AC2" s="3780"/>
      <c r="AD2" s="3780"/>
      <c r="AE2" s="3780"/>
      <c r="AF2" s="3780"/>
      <c r="AG2" s="3780"/>
      <c r="AH2" s="3780"/>
      <c r="AI2" s="3780"/>
      <c r="AJ2" s="3780"/>
      <c r="AK2" s="3780"/>
      <c r="AL2" s="3780"/>
      <c r="AM2" s="3780"/>
      <c r="AN2" s="3568"/>
      <c r="AO2" s="3568"/>
      <c r="AP2" s="3568"/>
      <c r="AQ2" s="3568"/>
      <c r="AR2" s="3568"/>
      <c r="AS2" s="3337"/>
    </row>
    <row r="3" spans="1:47" ht="4.5" customHeight="1">
      <c r="A3" s="3781"/>
      <c r="B3" s="3781"/>
      <c r="C3" s="3781"/>
      <c r="D3" s="3781"/>
      <c r="E3" s="3781"/>
      <c r="F3" s="3781"/>
      <c r="G3" s="3781"/>
      <c r="H3" s="3781"/>
      <c r="I3" s="3781"/>
      <c r="J3" s="3781"/>
      <c r="K3" s="3568"/>
      <c r="L3" s="3568"/>
      <c r="M3" s="3568"/>
      <c r="N3" s="3568"/>
      <c r="O3" s="3568"/>
      <c r="P3" s="3568"/>
      <c r="Q3" s="3568"/>
      <c r="R3" s="3568"/>
      <c r="S3" s="3568"/>
      <c r="T3" s="3568"/>
      <c r="U3" s="3568"/>
      <c r="V3" s="3568"/>
      <c r="W3" s="3568"/>
      <c r="X3" s="3568"/>
      <c r="Y3" s="3568"/>
      <c r="Z3" s="3568"/>
      <c r="AA3" s="3568"/>
      <c r="AB3" s="3568"/>
      <c r="AC3" s="3568"/>
      <c r="AD3" s="3568"/>
      <c r="AE3" s="3568"/>
      <c r="AF3" s="3568"/>
      <c r="AG3" s="3568"/>
      <c r="AH3" s="3568"/>
      <c r="AI3" s="3568"/>
      <c r="AJ3" s="3568"/>
      <c r="AK3" s="3568"/>
      <c r="AL3" s="3568"/>
      <c r="AM3" s="3568"/>
      <c r="AN3" s="300"/>
      <c r="AO3" s="300"/>
      <c r="AP3" s="300"/>
      <c r="AQ3" s="300"/>
      <c r="AR3" s="300"/>
      <c r="AS3" s="3337"/>
    </row>
    <row r="4" spans="1:47" ht="39" customHeight="1">
      <c r="A4" s="3781" t="s">
        <v>4107</v>
      </c>
      <c r="B4" s="3781"/>
      <c r="C4" s="3781"/>
      <c r="D4" s="3781"/>
      <c r="E4" s="3781"/>
      <c r="F4" s="3781"/>
      <c r="G4" s="3781"/>
      <c r="H4" s="3781"/>
      <c r="I4" s="3781"/>
      <c r="J4" s="3781"/>
      <c r="K4" s="3568"/>
      <c r="L4" s="3568"/>
      <c r="M4" s="3568"/>
      <c r="N4" s="3568"/>
      <c r="O4" s="3568"/>
      <c r="P4" s="3568"/>
      <c r="Q4" s="3568"/>
      <c r="R4" s="3568"/>
      <c r="S4" s="3568"/>
      <c r="T4" s="3568"/>
      <c r="U4" s="3568"/>
      <c r="V4" s="3568"/>
      <c r="W4" s="3568"/>
      <c r="X4" s="3568"/>
      <c r="Y4" s="3568"/>
      <c r="Z4" s="3568"/>
      <c r="AA4" s="3568"/>
      <c r="AB4" s="3568"/>
      <c r="AC4" s="3568"/>
      <c r="AD4" s="3568"/>
      <c r="AE4" s="3568"/>
      <c r="AF4" s="3568"/>
      <c r="AG4" s="3568"/>
      <c r="AH4" s="3568"/>
      <c r="AI4" s="3568"/>
      <c r="AJ4" s="3568"/>
      <c r="AK4" s="3568"/>
      <c r="AL4" s="3568"/>
      <c r="AM4" s="3568"/>
      <c r="AN4" s="3568"/>
      <c r="AO4" s="3568"/>
      <c r="AP4" s="3568"/>
      <c r="AQ4" s="3568"/>
      <c r="AR4" s="3568"/>
      <c r="AS4" s="3337"/>
    </row>
    <row r="5" spans="1:47" ht="16.5" thickBot="1">
      <c r="A5" s="3337"/>
      <c r="B5" s="3338"/>
      <c r="C5" s="3338"/>
      <c r="D5" s="3338"/>
      <c r="E5" s="3782"/>
      <c r="F5" s="3782"/>
      <c r="G5" s="3782"/>
      <c r="H5" s="3782"/>
      <c r="I5" s="3782"/>
      <c r="J5" s="3339"/>
      <c r="K5" s="3337"/>
      <c r="L5" s="3337"/>
      <c r="M5" s="3337"/>
      <c r="N5" s="3337"/>
      <c r="O5" s="3337"/>
      <c r="P5" s="3337"/>
      <c r="Q5" s="3337"/>
      <c r="R5" s="3337"/>
      <c r="S5" s="3337"/>
      <c r="T5" s="3337"/>
      <c r="U5" s="3337"/>
      <c r="V5" s="3337"/>
      <c r="W5" s="3337"/>
      <c r="X5" s="3337"/>
      <c r="Y5" s="3337"/>
      <c r="Z5" s="3337"/>
      <c r="AA5" s="3337"/>
      <c r="AB5" s="3337"/>
      <c r="AC5" s="3337"/>
      <c r="AD5" s="3337"/>
      <c r="AE5" s="3337"/>
      <c r="AF5" s="3337"/>
      <c r="AG5" s="3337"/>
      <c r="AH5" s="3337"/>
      <c r="AI5" s="3337"/>
      <c r="AJ5" s="3337"/>
      <c r="AK5" s="3337"/>
      <c r="AL5" s="3783" t="s">
        <v>3354</v>
      </c>
      <c r="AM5" s="3784"/>
      <c r="AN5" s="3784"/>
      <c r="AO5" s="3784"/>
      <c r="AP5" s="3784"/>
      <c r="AS5" s="3337"/>
    </row>
    <row r="6" spans="1:47" ht="59.25" customHeight="1">
      <c r="A6" s="3340"/>
      <c r="B6" s="3341"/>
      <c r="C6" s="3342" t="s">
        <v>4108</v>
      </c>
      <c r="D6" s="3342" t="s">
        <v>4109</v>
      </c>
      <c r="E6" s="3342" t="s">
        <v>4110</v>
      </c>
      <c r="F6" s="3342" t="s">
        <v>4110</v>
      </c>
      <c r="G6" s="3342" t="s">
        <v>4111</v>
      </c>
      <c r="H6" s="3342" t="s">
        <v>4111</v>
      </c>
      <c r="I6" s="3342" t="s">
        <v>7</v>
      </c>
      <c r="J6" s="3342" t="s">
        <v>7</v>
      </c>
      <c r="K6" s="3342" t="s">
        <v>13</v>
      </c>
      <c r="L6" s="3342" t="s">
        <v>4112</v>
      </c>
      <c r="M6" s="3343" t="s">
        <v>46</v>
      </c>
      <c r="N6" s="3343" t="s">
        <v>46</v>
      </c>
      <c r="O6" s="3343" t="s">
        <v>16</v>
      </c>
      <c r="P6" s="3343" t="s">
        <v>16</v>
      </c>
      <c r="Q6" s="3343" t="s">
        <v>4094</v>
      </c>
      <c r="R6" s="3343" t="s">
        <v>4094</v>
      </c>
      <c r="S6" s="3343" t="s">
        <v>20</v>
      </c>
      <c r="T6" s="3343" t="s">
        <v>20</v>
      </c>
      <c r="U6" s="3343" t="s">
        <v>22</v>
      </c>
      <c r="V6" s="3343" t="s">
        <v>22</v>
      </c>
      <c r="W6" s="3343" t="s">
        <v>24</v>
      </c>
      <c r="X6" s="3343" t="s">
        <v>24</v>
      </c>
      <c r="Y6" s="3343" t="s">
        <v>26</v>
      </c>
      <c r="Z6" s="3343" t="s">
        <v>26</v>
      </c>
      <c r="AA6" s="3343" t="s">
        <v>28</v>
      </c>
      <c r="AB6" s="3343" t="s">
        <v>28</v>
      </c>
      <c r="AC6" s="3343" t="s">
        <v>30</v>
      </c>
      <c r="AD6" s="3343" t="s">
        <v>30</v>
      </c>
      <c r="AE6" s="3342" t="s">
        <v>32</v>
      </c>
      <c r="AF6" s="3342" t="s">
        <v>32</v>
      </c>
      <c r="AG6" s="3342" t="s">
        <v>34</v>
      </c>
      <c r="AH6" s="3342" t="s">
        <v>34</v>
      </c>
      <c r="AI6" s="3342" t="s">
        <v>4113</v>
      </c>
      <c r="AJ6" s="3342" t="s">
        <v>4113</v>
      </c>
      <c r="AK6" s="3342" t="s">
        <v>38</v>
      </c>
      <c r="AL6" s="3342" t="s">
        <v>38</v>
      </c>
      <c r="AM6" s="3342" t="s">
        <v>40</v>
      </c>
      <c r="AN6" s="3342" t="s">
        <v>40</v>
      </c>
      <c r="AO6" s="3342" t="s">
        <v>4095</v>
      </c>
      <c r="AP6" s="3342" t="s">
        <v>4095</v>
      </c>
      <c r="AQ6" s="3342" t="s">
        <v>3665</v>
      </c>
      <c r="AR6" s="3344" t="s">
        <v>3665</v>
      </c>
      <c r="AS6" s="3337"/>
    </row>
    <row r="7" spans="1:47" s="3349" customFormat="1" ht="15.75">
      <c r="A7" s="3345" t="s">
        <v>6</v>
      </c>
      <c r="B7" s="3346" t="s">
        <v>12</v>
      </c>
      <c r="C7" s="3346"/>
      <c r="D7" s="3346"/>
      <c r="E7" s="3346"/>
      <c r="F7" s="3346" t="s">
        <v>14</v>
      </c>
      <c r="G7" s="3346"/>
      <c r="H7" s="3346" t="s">
        <v>15</v>
      </c>
      <c r="I7" s="3346"/>
      <c r="J7" s="3346" t="s">
        <v>17</v>
      </c>
      <c r="K7" s="3346"/>
      <c r="L7" s="3346" t="s">
        <v>19</v>
      </c>
      <c r="M7" s="3346"/>
      <c r="N7" s="3346" t="s">
        <v>21</v>
      </c>
      <c r="O7" s="3346"/>
      <c r="P7" s="3346" t="s">
        <v>23</v>
      </c>
      <c r="Q7" s="3346"/>
      <c r="R7" s="3346" t="s">
        <v>25</v>
      </c>
      <c r="S7" s="3346"/>
      <c r="T7" s="3346" t="s">
        <v>27</v>
      </c>
      <c r="U7" s="3346"/>
      <c r="V7" s="3346" t="s">
        <v>29</v>
      </c>
      <c r="W7" s="3346"/>
      <c r="X7" s="3346" t="s">
        <v>31</v>
      </c>
      <c r="Y7" s="3346"/>
      <c r="Z7" s="3346" t="s">
        <v>33</v>
      </c>
      <c r="AA7" s="3346"/>
      <c r="AB7" s="3346" t="s">
        <v>35</v>
      </c>
      <c r="AC7" s="3346"/>
      <c r="AD7" s="3346" t="s">
        <v>37</v>
      </c>
      <c r="AE7" s="3346"/>
      <c r="AF7" s="3346" t="s">
        <v>39</v>
      </c>
      <c r="AG7" s="3346"/>
      <c r="AH7" s="3346" t="s">
        <v>41</v>
      </c>
      <c r="AI7" s="3346"/>
      <c r="AJ7" s="3346" t="s">
        <v>314</v>
      </c>
      <c r="AK7" s="3346"/>
      <c r="AL7" s="3346" t="s">
        <v>402</v>
      </c>
      <c r="AM7" s="3346"/>
      <c r="AN7" s="3346" t="s">
        <v>404</v>
      </c>
      <c r="AO7" s="3346"/>
      <c r="AP7" s="3346" t="s">
        <v>407</v>
      </c>
      <c r="AQ7" s="3346"/>
      <c r="AR7" s="3347" t="s">
        <v>409</v>
      </c>
      <c r="AS7" s="3348"/>
    </row>
    <row r="8" spans="1:47" ht="15.75">
      <c r="A8" s="3350" t="s">
        <v>4114</v>
      </c>
      <c r="B8" s="3351" t="s">
        <v>4115</v>
      </c>
      <c r="C8" s="3352">
        <f>+F8-D8</f>
        <v>0</v>
      </c>
      <c r="D8" s="3352">
        <v>27189327982</v>
      </c>
      <c r="E8" s="3353">
        <f>(+G8+I8+K8+M8+O8+Q8+S8+U8+W8+Y8+AA8+AC8+AE8+AG8+AI8+AK8+AM8+AO8+AQ8)</f>
        <v>27189327.981999993</v>
      </c>
      <c r="F8" s="3353">
        <f>(+H8+J8+L8+N8+P8+R8+T8+V8+X8+Z8+AB8+AD8+AF8+AH8+AJ8+AL8+AN8+AP8+AR8)</f>
        <v>27189327982</v>
      </c>
      <c r="G8" s="3352">
        <f>+H8/AT8</f>
        <v>22082859.035999998</v>
      </c>
      <c r="H8" s="3352">
        <v>22082859036</v>
      </c>
      <c r="I8" s="3354">
        <f>+J8/AT8</f>
        <v>12369.826999999999</v>
      </c>
      <c r="J8" s="3352">
        <v>12369827</v>
      </c>
      <c r="K8" s="3355">
        <f>+L8/AT8</f>
        <v>3012224.0079999999</v>
      </c>
      <c r="L8" s="3352">
        <v>3012224008</v>
      </c>
      <c r="M8" s="3355">
        <f>+N8/AT8</f>
        <v>64.897000000000006</v>
      </c>
      <c r="N8" s="3352">
        <v>64897</v>
      </c>
      <c r="O8" s="3355">
        <f>+P8/AT8</f>
        <v>22318.91</v>
      </c>
      <c r="P8" s="3352">
        <v>22318910</v>
      </c>
      <c r="Q8" s="3355">
        <f>+R8/AT8</f>
        <v>34278.345999999998</v>
      </c>
      <c r="R8" s="3352">
        <v>34278346</v>
      </c>
      <c r="S8" s="3355">
        <f>+T8/AT8</f>
        <v>39968.555</v>
      </c>
      <c r="T8" s="3352">
        <v>39968555</v>
      </c>
      <c r="U8" s="3355">
        <f>+V8/AT8</f>
        <v>22981.513999999999</v>
      </c>
      <c r="V8" s="3352">
        <v>22981514</v>
      </c>
      <c r="W8" s="3355">
        <f>+X8/AT8</f>
        <v>22691.595000000001</v>
      </c>
      <c r="X8" s="3352">
        <v>22691595</v>
      </c>
      <c r="Y8" s="3355">
        <f>+Z8/AT8</f>
        <v>43734.131999999998</v>
      </c>
      <c r="Z8" s="3352">
        <v>43734132</v>
      </c>
      <c r="AA8" s="3355">
        <f>+AB8/AT8</f>
        <v>52176.190999999999</v>
      </c>
      <c r="AB8" s="3352">
        <v>52176191</v>
      </c>
      <c r="AC8" s="3355">
        <f>+AD8/AT8</f>
        <v>169051.13399999999</v>
      </c>
      <c r="AD8" s="3352">
        <v>169051134</v>
      </c>
      <c r="AE8" s="3355">
        <f>+AF8/AT8</f>
        <v>84925.024999999994</v>
      </c>
      <c r="AF8" s="3352">
        <v>84925025</v>
      </c>
      <c r="AG8" s="3355">
        <f>+AH8/AT8</f>
        <v>305732.31699999998</v>
      </c>
      <c r="AH8" s="3352">
        <v>305732317</v>
      </c>
      <c r="AI8" s="3355">
        <f>+AJ8/AT8</f>
        <v>455.80099999999999</v>
      </c>
      <c r="AJ8" s="3352">
        <v>455801</v>
      </c>
      <c r="AK8" s="3355">
        <f>+AL8/AT8</f>
        <v>1025408.275</v>
      </c>
      <c r="AL8" s="3352">
        <v>1025408275</v>
      </c>
      <c r="AM8" s="3355">
        <f>+AN8/AT8</f>
        <v>112791.614</v>
      </c>
      <c r="AN8" s="3352">
        <v>112791614</v>
      </c>
      <c r="AO8" s="3355">
        <f>+AP8/AT8</f>
        <v>4020.3009999999999</v>
      </c>
      <c r="AP8" s="3352">
        <v>4020301</v>
      </c>
      <c r="AQ8" s="3355">
        <f>+AR8/AT8</f>
        <v>141276.50399999999</v>
      </c>
      <c r="AR8" s="3356">
        <v>141276504</v>
      </c>
      <c r="AS8" s="3357">
        <f t="shared" ref="AS8:AS26" si="0">+C8-E8</f>
        <v>-27189327.981999993</v>
      </c>
      <c r="AT8" s="304">
        <v>1000</v>
      </c>
      <c r="AU8" s="304"/>
    </row>
    <row r="9" spans="1:47" ht="15.75">
      <c r="A9" s="3350" t="s">
        <v>4116</v>
      </c>
      <c r="B9" s="3351" t="s">
        <v>4117</v>
      </c>
      <c r="C9" s="3352">
        <f t="shared" ref="C9:C26" si="1">+F9-D9</f>
        <v>0</v>
      </c>
      <c r="D9" s="3352">
        <v>26496107991</v>
      </c>
      <c r="E9" s="3353">
        <f t="shared" ref="E9:F26" si="2">(+G9+I9+K9+M9+O9+Q9+S9+U9+W9+Y9+AA9+AC9+AE9+AG9+AI9+AK9+AM9+AO9+AQ9)</f>
        <v>26496107.990999997</v>
      </c>
      <c r="F9" s="3353">
        <f t="shared" si="2"/>
        <v>26496107991</v>
      </c>
      <c r="G9" s="3352">
        <f t="shared" ref="G9:G26" si="3">+H9/AT9</f>
        <v>8196222.9939999999</v>
      </c>
      <c r="H9" s="3352">
        <v>8196222994</v>
      </c>
      <c r="I9" s="3354">
        <f t="shared" ref="I9:I26" si="4">+J9/AT9</f>
        <v>1996580.9790000001</v>
      </c>
      <c r="J9" s="3352">
        <v>1996580979</v>
      </c>
      <c r="K9" s="3355">
        <f t="shared" ref="K9:K26" si="5">+L9/AT9</f>
        <v>3731411.56</v>
      </c>
      <c r="L9" s="3352">
        <v>3731411560</v>
      </c>
      <c r="M9" s="3355">
        <f t="shared" ref="M9:M26" si="6">+N9/AT9</f>
        <v>197488.70699999999</v>
      </c>
      <c r="N9" s="3352">
        <v>197488707</v>
      </c>
      <c r="O9" s="3355">
        <f t="shared" ref="O9:O26" si="7">+P9/AT9</f>
        <v>625903.75100000005</v>
      </c>
      <c r="P9" s="3352">
        <v>625903751</v>
      </c>
      <c r="Q9" s="3355">
        <f t="shared" ref="Q9:Q26" si="8">+R9/AT9</f>
        <v>598304.94400000002</v>
      </c>
      <c r="R9" s="3352">
        <v>598304944</v>
      </c>
      <c r="S9" s="3355">
        <f t="shared" ref="S9:S26" si="9">+T9/AT9</f>
        <v>680387.61100000003</v>
      </c>
      <c r="T9" s="3352">
        <v>680387611</v>
      </c>
      <c r="U9" s="3355">
        <f t="shared" ref="U9:U26" si="10">+V9/AT9</f>
        <v>412688.04499999998</v>
      </c>
      <c r="V9" s="3352">
        <v>412688045</v>
      </c>
      <c r="W9" s="3355">
        <f t="shared" ref="W9:W26" si="11">+X9/AT9</f>
        <v>621406.576</v>
      </c>
      <c r="X9" s="3352">
        <v>621406576</v>
      </c>
      <c r="Y9" s="3355">
        <f t="shared" ref="Y9:Y26" si="12">+Z9/AT9</f>
        <v>990389.11499999999</v>
      </c>
      <c r="Z9" s="3352">
        <v>990389115</v>
      </c>
      <c r="AA9" s="3355">
        <f t="shared" ref="AA9:AA26" si="13">+AB9/AT9</f>
        <v>1135131.628</v>
      </c>
      <c r="AB9" s="3352">
        <v>1135131628</v>
      </c>
      <c r="AC9" s="3355">
        <f t="shared" ref="AC9:AC26" si="14">+AD9/AT9</f>
        <v>596223.39</v>
      </c>
      <c r="AD9" s="3352">
        <v>596223390</v>
      </c>
      <c r="AE9" s="3355">
        <f t="shared" ref="AE9:AE26" si="15">+AF9/AT9</f>
        <v>1506584.0120000001</v>
      </c>
      <c r="AF9" s="3352">
        <v>1506584012</v>
      </c>
      <c r="AG9" s="3355">
        <f t="shared" ref="AG9:AG26" si="16">+AH9/AT9</f>
        <v>1264071.5290000001</v>
      </c>
      <c r="AH9" s="3352">
        <v>1264071529</v>
      </c>
      <c r="AI9" s="3355">
        <f t="shared" ref="AI9:AI26" si="17">+AJ9/AT9</f>
        <v>353173.86499999999</v>
      </c>
      <c r="AJ9" s="3352">
        <v>353173865</v>
      </c>
      <c r="AK9" s="3355">
        <f t="shared" ref="AK9:AK26" si="18">+AL9/AT9</f>
        <v>3148745.0720000002</v>
      </c>
      <c r="AL9" s="3352">
        <v>3148745072</v>
      </c>
      <c r="AM9" s="3355">
        <f t="shared" ref="AM9:AM26" si="19">+AN9/AT9</f>
        <v>216270.83600000001</v>
      </c>
      <c r="AN9" s="3352">
        <v>216270836</v>
      </c>
      <c r="AO9" s="3355">
        <f t="shared" ref="AO9:AO26" si="20">+AP9/AT9</f>
        <v>99932.192999999999</v>
      </c>
      <c r="AP9" s="3352">
        <v>99932193</v>
      </c>
      <c r="AQ9" s="3355">
        <f t="shared" ref="AQ9:AQ26" si="21">+AR9/AT9</f>
        <v>125191.18399999999</v>
      </c>
      <c r="AR9" s="3356">
        <v>125191184</v>
      </c>
      <c r="AS9" s="3357">
        <f t="shared" si="0"/>
        <v>-26496107.990999997</v>
      </c>
      <c r="AT9" s="304">
        <v>1000</v>
      </c>
      <c r="AU9" s="304"/>
    </row>
    <row r="10" spans="1:47" ht="15.75">
      <c r="A10" s="3358" t="s">
        <v>4118</v>
      </c>
      <c r="B10" s="3359" t="s">
        <v>4119</v>
      </c>
      <c r="C10" s="3352">
        <f t="shared" si="1"/>
        <v>0</v>
      </c>
      <c r="D10" s="3352">
        <v>693219991</v>
      </c>
      <c r="E10" s="3353">
        <f t="shared" si="2"/>
        <v>693219.99100000062</v>
      </c>
      <c r="F10" s="3353">
        <f t="shared" si="2"/>
        <v>693219991</v>
      </c>
      <c r="G10" s="3352">
        <f t="shared" si="3"/>
        <v>13886636.041999999</v>
      </c>
      <c r="H10" s="3352">
        <v>13886636042</v>
      </c>
      <c r="I10" s="3354">
        <f t="shared" si="4"/>
        <v>-1984211.152</v>
      </c>
      <c r="J10" s="3352">
        <v>-1984211152</v>
      </c>
      <c r="K10" s="3355">
        <f t="shared" si="5"/>
        <v>-719187.55200000003</v>
      </c>
      <c r="L10" s="3352">
        <v>-719187552</v>
      </c>
      <c r="M10" s="3355">
        <f t="shared" si="6"/>
        <v>-197423.81</v>
      </c>
      <c r="N10" s="3352">
        <v>-197423810</v>
      </c>
      <c r="O10" s="3355">
        <f t="shared" si="7"/>
        <v>-603584.84100000001</v>
      </c>
      <c r="P10" s="3352">
        <v>-603584841</v>
      </c>
      <c r="Q10" s="3355">
        <f t="shared" si="8"/>
        <v>-564026.598</v>
      </c>
      <c r="R10" s="3352">
        <v>-564026598</v>
      </c>
      <c r="S10" s="3355">
        <f t="shared" si="9"/>
        <v>-640419.05599999998</v>
      </c>
      <c r="T10" s="3352">
        <v>-640419056</v>
      </c>
      <c r="U10" s="3355">
        <f t="shared" si="10"/>
        <v>-389706.53100000002</v>
      </c>
      <c r="V10" s="3352">
        <v>-389706531</v>
      </c>
      <c r="W10" s="3355">
        <f t="shared" si="11"/>
        <v>-598714.98100000003</v>
      </c>
      <c r="X10" s="3352">
        <v>-598714981</v>
      </c>
      <c r="Y10" s="3355">
        <f t="shared" si="12"/>
        <v>-946654.98300000001</v>
      </c>
      <c r="Z10" s="3352">
        <v>-946654983</v>
      </c>
      <c r="AA10" s="3355">
        <f t="shared" si="13"/>
        <v>-1082955.4369999999</v>
      </c>
      <c r="AB10" s="3352">
        <v>-1082955437</v>
      </c>
      <c r="AC10" s="3355">
        <f t="shared" si="14"/>
        <v>-427172.25599999999</v>
      </c>
      <c r="AD10" s="3352">
        <v>-427172256</v>
      </c>
      <c r="AE10" s="3355">
        <f t="shared" si="15"/>
        <v>-1421658.987</v>
      </c>
      <c r="AF10" s="3352">
        <v>-1421658987</v>
      </c>
      <c r="AG10" s="3355">
        <f t="shared" si="16"/>
        <v>-958339.21200000006</v>
      </c>
      <c r="AH10" s="3352">
        <v>-958339212</v>
      </c>
      <c r="AI10" s="3355">
        <f t="shared" si="17"/>
        <v>-352718.06400000001</v>
      </c>
      <c r="AJ10" s="3352">
        <v>-352718064</v>
      </c>
      <c r="AK10" s="3355">
        <f t="shared" si="18"/>
        <v>-2123336.7969999998</v>
      </c>
      <c r="AL10" s="3352">
        <v>-2123336797</v>
      </c>
      <c r="AM10" s="3355">
        <f t="shared" si="19"/>
        <v>-103479.22199999999</v>
      </c>
      <c r="AN10" s="3352">
        <v>-103479222</v>
      </c>
      <c r="AO10" s="3355">
        <f t="shared" si="20"/>
        <v>-95911.892000000007</v>
      </c>
      <c r="AP10" s="3352">
        <v>-95911892</v>
      </c>
      <c r="AQ10" s="3355">
        <f t="shared" si="21"/>
        <v>16085.32</v>
      </c>
      <c r="AR10" s="3356">
        <v>16085320</v>
      </c>
      <c r="AS10" s="3357">
        <f t="shared" si="0"/>
        <v>-693219.99100000062</v>
      </c>
      <c r="AT10" s="304">
        <v>1000</v>
      </c>
      <c r="AU10" s="304"/>
    </row>
    <row r="11" spans="1:47" ht="15.75">
      <c r="A11" s="3350" t="s">
        <v>4120</v>
      </c>
      <c r="B11" s="3351" t="s">
        <v>4121</v>
      </c>
      <c r="C11" s="3352">
        <f t="shared" si="1"/>
        <v>0</v>
      </c>
      <c r="D11" s="3352">
        <v>28087129794</v>
      </c>
      <c r="E11" s="3353">
        <f t="shared" si="2"/>
        <v>28087129.793999996</v>
      </c>
      <c r="F11" s="3353">
        <f t="shared" si="2"/>
        <v>28087129794</v>
      </c>
      <c r="G11" s="3352">
        <f t="shared" si="3"/>
        <v>13974606.645</v>
      </c>
      <c r="H11" s="3352">
        <v>13974606645</v>
      </c>
      <c r="I11" s="3354">
        <f t="shared" si="4"/>
        <v>1988350.547</v>
      </c>
      <c r="J11" s="3352">
        <v>1988350547</v>
      </c>
      <c r="K11" s="3355">
        <f t="shared" si="5"/>
        <v>940759.14899999998</v>
      </c>
      <c r="L11" s="3352">
        <v>940759149</v>
      </c>
      <c r="M11" s="3355">
        <f t="shared" si="6"/>
        <v>200635.24900000001</v>
      </c>
      <c r="N11" s="3352">
        <v>200635249</v>
      </c>
      <c r="O11" s="3355">
        <f t="shared" si="7"/>
        <v>626752.06700000004</v>
      </c>
      <c r="P11" s="3352">
        <v>626752067</v>
      </c>
      <c r="Q11" s="3355">
        <f t="shared" si="8"/>
        <v>576862.65899999999</v>
      </c>
      <c r="R11" s="3352">
        <v>576862659</v>
      </c>
      <c r="S11" s="3355">
        <f t="shared" si="9"/>
        <v>680469.80599999998</v>
      </c>
      <c r="T11" s="3352">
        <v>680469806</v>
      </c>
      <c r="U11" s="3355">
        <f t="shared" si="10"/>
        <v>400834.408</v>
      </c>
      <c r="V11" s="3352">
        <v>400834408</v>
      </c>
      <c r="W11" s="3355">
        <f t="shared" si="11"/>
        <v>608600.12699999998</v>
      </c>
      <c r="X11" s="3352">
        <v>608600127</v>
      </c>
      <c r="Y11" s="3355">
        <f t="shared" si="12"/>
        <v>975351.81</v>
      </c>
      <c r="Z11" s="3352">
        <v>975351810</v>
      </c>
      <c r="AA11" s="3355">
        <f t="shared" si="13"/>
        <v>1118425.6850000001</v>
      </c>
      <c r="AB11" s="3352">
        <v>1118425685</v>
      </c>
      <c r="AC11" s="3355">
        <f t="shared" si="14"/>
        <v>498122.913</v>
      </c>
      <c r="AD11" s="3352">
        <v>498122913</v>
      </c>
      <c r="AE11" s="3355">
        <f t="shared" si="15"/>
        <v>1489211.6089999999</v>
      </c>
      <c r="AF11" s="3352">
        <v>1489211609</v>
      </c>
      <c r="AG11" s="3355">
        <f t="shared" si="16"/>
        <v>1021557.273</v>
      </c>
      <c r="AH11" s="3352">
        <v>1021557273</v>
      </c>
      <c r="AI11" s="3355">
        <f t="shared" si="17"/>
        <v>371945.62699999998</v>
      </c>
      <c r="AJ11" s="3352">
        <v>371945627</v>
      </c>
      <c r="AK11" s="3355">
        <f t="shared" si="18"/>
        <v>2224981.8840000001</v>
      </c>
      <c r="AL11" s="3352">
        <v>2224981884</v>
      </c>
      <c r="AM11" s="3355">
        <f t="shared" si="19"/>
        <v>158162.78700000001</v>
      </c>
      <c r="AN11" s="3352">
        <v>158162787</v>
      </c>
      <c r="AO11" s="3355">
        <f t="shared" si="20"/>
        <v>102785.338</v>
      </c>
      <c r="AP11" s="3352">
        <v>102785338</v>
      </c>
      <c r="AQ11" s="3355">
        <f t="shared" si="21"/>
        <v>128714.211</v>
      </c>
      <c r="AR11" s="3356">
        <v>128714211</v>
      </c>
      <c r="AS11" s="3357">
        <f t="shared" si="0"/>
        <v>-28087129.793999996</v>
      </c>
      <c r="AT11" s="304">
        <v>1000</v>
      </c>
      <c r="AU11" s="304"/>
    </row>
    <row r="12" spans="1:47" ht="15.75">
      <c r="A12" s="3350" t="s">
        <v>4122</v>
      </c>
      <c r="B12" s="3351" t="s">
        <v>4123</v>
      </c>
      <c r="C12" s="3352">
        <f t="shared" si="1"/>
        <v>0</v>
      </c>
      <c r="D12" s="3352">
        <v>26902559082</v>
      </c>
      <c r="E12" s="3353">
        <f t="shared" si="2"/>
        <v>26902559.081999999</v>
      </c>
      <c r="F12" s="3353">
        <f t="shared" si="2"/>
        <v>26902559082</v>
      </c>
      <c r="G12" s="3352">
        <f t="shared" si="3"/>
        <v>26902559.081999999</v>
      </c>
      <c r="H12" s="3352">
        <v>26902559082</v>
      </c>
      <c r="I12" s="3354">
        <f t="shared" si="4"/>
        <v>0</v>
      </c>
      <c r="J12" s="3352">
        <v>0</v>
      </c>
      <c r="K12" s="3355">
        <f t="shared" si="5"/>
        <v>0</v>
      </c>
      <c r="L12" s="3352">
        <v>0</v>
      </c>
      <c r="M12" s="3355">
        <f t="shared" si="6"/>
        <v>0</v>
      </c>
      <c r="N12" s="3352">
        <v>0</v>
      </c>
      <c r="O12" s="3355">
        <f t="shared" si="7"/>
        <v>0</v>
      </c>
      <c r="P12" s="3352">
        <v>0</v>
      </c>
      <c r="Q12" s="3355">
        <f t="shared" si="8"/>
        <v>0</v>
      </c>
      <c r="R12" s="3352">
        <v>0</v>
      </c>
      <c r="S12" s="3355">
        <f t="shared" si="9"/>
        <v>0</v>
      </c>
      <c r="T12" s="3352">
        <v>0</v>
      </c>
      <c r="U12" s="3355">
        <f t="shared" si="10"/>
        <v>0</v>
      </c>
      <c r="V12" s="3352">
        <v>0</v>
      </c>
      <c r="W12" s="3355">
        <f t="shared" si="11"/>
        <v>0</v>
      </c>
      <c r="X12" s="3352">
        <v>0</v>
      </c>
      <c r="Y12" s="3355">
        <f t="shared" si="12"/>
        <v>0</v>
      </c>
      <c r="Z12" s="3352">
        <v>0</v>
      </c>
      <c r="AA12" s="3355">
        <f t="shared" si="13"/>
        <v>0</v>
      </c>
      <c r="AB12" s="3352">
        <v>0</v>
      </c>
      <c r="AC12" s="3355">
        <f t="shared" si="14"/>
        <v>0</v>
      </c>
      <c r="AD12" s="3352">
        <v>0</v>
      </c>
      <c r="AE12" s="3355">
        <f t="shared" si="15"/>
        <v>0</v>
      </c>
      <c r="AF12" s="3352">
        <v>0</v>
      </c>
      <c r="AG12" s="3355">
        <f t="shared" si="16"/>
        <v>0</v>
      </c>
      <c r="AH12" s="3352">
        <v>0</v>
      </c>
      <c r="AI12" s="3355">
        <f t="shared" si="17"/>
        <v>0</v>
      </c>
      <c r="AJ12" s="3352">
        <v>0</v>
      </c>
      <c r="AK12" s="3355">
        <f t="shared" si="18"/>
        <v>0</v>
      </c>
      <c r="AL12" s="3352">
        <v>0</v>
      </c>
      <c r="AM12" s="3355">
        <f t="shared" si="19"/>
        <v>0</v>
      </c>
      <c r="AN12" s="3352">
        <v>0</v>
      </c>
      <c r="AO12" s="3355">
        <f t="shared" si="20"/>
        <v>0</v>
      </c>
      <c r="AP12" s="3352">
        <v>0</v>
      </c>
      <c r="AQ12" s="3355">
        <f t="shared" si="21"/>
        <v>0</v>
      </c>
      <c r="AR12" s="3356">
        <v>0</v>
      </c>
      <c r="AS12" s="3357">
        <f t="shared" si="0"/>
        <v>-26902559.081999999</v>
      </c>
      <c r="AT12" s="304">
        <v>1000</v>
      </c>
      <c r="AU12" s="304"/>
    </row>
    <row r="13" spans="1:47" ht="15.75">
      <c r="A13" s="3358" t="s">
        <v>4124</v>
      </c>
      <c r="B13" s="3359" t="s">
        <v>4125</v>
      </c>
      <c r="C13" s="3352">
        <f t="shared" si="1"/>
        <v>0</v>
      </c>
      <c r="D13" s="3352">
        <v>1184570712</v>
      </c>
      <c r="E13" s="3353">
        <f t="shared" si="2"/>
        <v>1184570.7120000001</v>
      </c>
      <c r="F13" s="3353">
        <f t="shared" si="2"/>
        <v>1184570712</v>
      </c>
      <c r="G13" s="3352">
        <f t="shared" si="3"/>
        <v>-12927952.437000001</v>
      </c>
      <c r="H13" s="3352">
        <v>-12927952437</v>
      </c>
      <c r="I13" s="3354">
        <f t="shared" si="4"/>
        <v>1988350.547</v>
      </c>
      <c r="J13" s="3352">
        <v>1988350547</v>
      </c>
      <c r="K13" s="3355">
        <f t="shared" si="5"/>
        <v>940759.14899999998</v>
      </c>
      <c r="L13" s="3352">
        <v>940759149</v>
      </c>
      <c r="M13" s="3355">
        <f t="shared" si="6"/>
        <v>200635.24900000001</v>
      </c>
      <c r="N13" s="3352">
        <v>200635249</v>
      </c>
      <c r="O13" s="3355">
        <f t="shared" si="7"/>
        <v>626752.06700000004</v>
      </c>
      <c r="P13" s="3352">
        <v>626752067</v>
      </c>
      <c r="Q13" s="3355">
        <f t="shared" si="8"/>
        <v>576862.65899999999</v>
      </c>
      <c r="R13" s="3352">
        <v>576862659</v>
      </c>
      <c r="S13" s="3355">
        <f t="shared" si="9"/>
        <v>680469.80599999998</v>
      </c>
      <c r="T13" s="3352">
        <v>680469806</v>
      </c>
      <c r="U13" s="3355">
        <f t="shared" si="10"/>
        <v>400834.408</v>
      </c>
      <c r="V13" s="3352">
        <v>400834408</v>
      </c>
      <c r="W13" s="3355">
        <f t="shared" si="11"/>
        <v>608600.12699999998</v>
      </c>
      <c r="X13" s="3352">
        <v>608600127</v>
      </c>
      <c r="Y13" s="3355">
        <f t="shared" si="12"/>
        <v>975351.81</v>
      </c>
      <c r="Z13" s="3352">
        <v>975351810</v>
      </c>
      <c r="AA13" s="3355">
        <f t="shared" si="13"/>
        <v>1118425.6850000001</v>
      </c>
      <c r="AB13" s="3352">
        <v>1118425685</v>
      </c>
      <c r="AC13" s="3355">
        <f t="shared" si="14"/>
        <v>498122.913</v>
      </c>
      <c r="AD13" s="3352">
        <v>498122913</v>
      </c>
      <c r="AE13" s="3355">
        <f t="shared" si="15"/>
        <v>1489211.6089999999</v>
      </c>
      <c r="AF13" s="3352">
        <v>1489211609</v>
      </c>
      <c r="AG13" s="3355">
        <f t="shared" si="16"/>
        <v>1021557.273</v>
      </c>
      <c r="AH13" s="3352">
        <v>1021557273</v>
      </c>
      <c r="AI13" s="3355">
        <f t="shared" si="17"/>
        <v>371945.62699999998</v>
      </c>
      <c r="AJ13" s="3352">
        <v>371945627</v>
      </c>
      <c r="AK13" s="3355">
        <f t="shared" si="18"/>
        <v>2224981.8840000001</v>
      </c>
      <c r="AL13" s="3352">
        <v>2224981884</v>
      </c>
      <c r="AM13" s="3355">
        <f t="shared" si="19"/>
        <v>158162.78700000001</v>
      </c>
      <c r="AN13" s="3352">
        <v>158162787</v>
      </c>
      <c r="AO13" s="3355">
        <f t="shared" si="20"/>
        <v>102785.338</v>
      </c>
      <c r="AP13" s="3352">
        <v>102785338</v>
      </c>
      <c r="AQ13" s="3355">
        <f t="shared" si="21"/>
        <v>128714.211</v>
      </c>
      <c r="AR13" s="3356">
        <v>128714211</v>
      </c>
      <c r="AS13" s="3357">
        <f t="shared" si="0"/>
        <v>-1184570.7120000001</v>
      </c>
      <c r="AT13" s="304">
        <v>1000</v>
      </c>
      <c r="AU13" s="304"/>
    </row>
    <row r="14" spans="1:47" ht="15.75">
      <c r="A14" s="3360" t="s">
        <v>4126</v>
      </c>
      <c r="B14" s="3361" t="s">
        <v>4127</v>
      </c>
      <c r="C14" s="3362">
        <f t="shared" si="1"/>
        <v>0</v>
      </c>
      <c r="D14" s="3362">
        <v>1877790703</v>
      </c>
      <c r="E14" s="3363">
        <f t="shared" si="2"/>
        <v>1877790.7030000002</v>
      </c>
      <c r="F14" s="3363">
        <f t="shared" si="2"/>
        <v>1877790703</v>
      </c>
      <c r="G14" s="3362">
        <f t="shared" si="3"/>
        <v>958683.60499999998</v>
      </c>
      <c r="H14" s="3362">
        <v>958683605</v>
      </c>
      <c r="I14" s="3362">
        <f t="shared" si="4"/>
        <v>4139.3950000000004</v>
      </c>
      <c r="J14" s="3362">
        <v>4139395</v>
      </c>
      <c r="K14" s="3362">
        <f t="shared" si="5"/>
        <v>221571.59700000001</v>
      </c>
      <c r="L14" s="3362">
        <v>221571597</v>
      </c>
      <c r="M14" s="3362">
        <f t="shared" si="6"/>
        <v>3211.4389999999999</v>
      </c>
      <c r="N14" s="3362">
        <v>3211439</v>
      </c>
      <c r="O14" s="3362">
        <f t="shared" si="7"/>
        <v>23167.225999999999</v>
      </c>
      <c r="P14" s="3362">
        <v>23167226</v>
      </c>
      <c r="Q14" s="3362">
        <f t="shared" si="8"/>
        <v>12836.061</v>
      </c>
      <c r="R14" s="3362">
        <v>12836061</v>
      </c>
      <c r="S14" s="3362">
        <f t="shared" si="9"/>
        <v>40050.75</v>
      </c>
      <c r="T14" s="3362">
        <v>40050750</v>
      </c>
      <c r="U14" s="3362">
        <f t="shared" si="10"/>
        <v>11127.877</v>
      </c>
      <c r="V14" s="3362">
        <v>11127877</v>
      </c>
      <c r="W14" s="3362">
        <f t="shared" si="11"/>
        <v>9885.1460000000006</v>
      </c>
      <c r="X14" s="3362">
        <v>9885146</v>
      </c>
      <c r="Y14" s="3362">
        <f t="shared" si="12"/>
        <v>28696.827000000001</v>
      </c>
      <c r="Z14" s="3362">
        <v>28696827</v>
      </c>
      <c r="AA14" s="3362">
        <f t="shared" si="13"/>
        <v>35470.248</v>
      </c>
      <c r="AB14" s="3362">
        <v>35470248</v>
      </c>
      <c r="AC14" s="3362">
        <f t="shared" si="14"/>
        <v>70950.657000000007</v>
      </c>
      <c r="AD14" s="3362">
        <v>70950657</v>
      </c>
      <c r="AE14" s="3362">
        <f t="shared" si="15"/>
        <v>67552.622000000003</v>
      </c>
      <c r="AF14" s="3362">
        <v>67552622</v>
      </c>
      <c r="AG14" s="3362">
        <f t="shared" si="16"/>
        <v>63218.061000000002</v>
      </c>
      <c r="AH14" s="3362">
        <v>63218061</v>
      </c>
      <c r="AI14" s="3362">
        <f t="shared" si="17"/>
        <v>19227.562999999998</v>
      </c>
      <c r="AJ14" s="3362">
        <v>19227563</v>
      </c>
      <c r="AK14" s="3362">
        <f t="shared" si="18"/>
        <v>101645.087</v>
      </c>
      <c r="AL14" s="3362">
        <v>101645087</v>
      </c>
      <c r="AM14" s="3362">
        <f t="shared" si="19"/>
        <v>54683.565000000002</v>
      </c>
      <c r="AN14" s="3362">
        <v>54683565</v>
      </c>
      <c r="AO14" s="3362">
        <f t="shared" si="20"/>
        <v>6873.4459999999999</v>
      </c>
      <c r="AP14" s="3362">
        <v>6873446</v>
      </c>
      <c r="AQ14" s="3362">
        <f t="shared" si="21"/>
        <v>144799.53099999999</v>
      </c>
      <c r="AR14" s="3364">
        <v>144799531</v>
      </c>
      <c r="AS14" s="3357">
        <f t="shared" si="0"/>
        <v>-1877790.7030000002</v>
      </c>
      <c r="AT14" s="304">
        <v>1000</v>
      </c>
      <c r="AU14" s="304"/>
    </row>
    <row r="15" spans="1:47" ht="15.75">
      <c r="A15" s="3350" t="s">
        <v>4128</v>
      </c>
      <c r="B15" s="3351" t="s">
        <v>4129</v>
      </c>
      <c r="C15" s="3352">
        <f t="shared" si="1"/>
        <v>0</v>
      </c>
      <c r="D15" s="3352">
        <v>20320511</v>
      </c>
      <c r="E15" s="3353">
        <f t="shared" si="2"/>
        <v>20320.510999999999</v>
      </c>
      <c r="F15" s="3353">
        <f t="shared" si="2"/>
        <v>20320511</v>
      </c>
      <c r="G15" s="3352">
        <f t="shared" si="3"/>
        <v>0</v>
      </c>
      <c r="H15" s="3352">
        <v>0</v>
      </c>
      <c r="I15" s="3352">
        <f t="shared" si="4"/>
        <v>0</v>
      </c>
      <c r="J15" s="3352">
        <v>0</v>
      </c>
      <c r="K15" s="3352">
        <f t="shared" si="5"/>
        <v>0</v>
      </c>
      <c r="L15" s="3352">
        <v>0</v>
      </c>
      <c r="M15" s="3352">
        <f t="shared" si="6"/>
        <v>0</v>
      </c>
      <c r="N15" s="3352">
        <v>0</v>
      </c>
      <c r="O15" s="3352">
        <f t="shared" si="7"/>
        <v>0</v>
      </c>
      <c r="P15" s="3352">
        <v>0</v>
      </c>
      <c r="Q15" s="3352">
        <f t="shared" si="8"/>
        <v>332.83100000000002</v>
      </c>
      <c r="R15" s="3352">
        <v>332831</v>
      </c>
      <c r="S15" s="3352">
        <f t="shared" si="9"/>
        <v>0</v>
      </c>
      <c r="T15" s="3352">
        <v>0</v>
      </c>
      <c r="U15" s="3352">
        <f t="shared" si="10"/>
        <v>0</v>
      </c>
      <c r="V15" s="3352">
        <v>0</v>
      </c>
      <c r="W15" s="3352">
        <f t="shared" si="11"/>
        <v>0</v>
      </c>
      <c r="X15" s="3352">
        <v>0</v>
      </c>
      <c r="Y15" s="3352">
        <f t="shared" si="12"/>
        <v>0</v>
      </c>
      <c r="Z15" s="3352">
        <v>0</v>
      </c>
      <c r="AA15" s="3352">
        <f t="shared" si="13"/>
        <v>0</v>
      </c>
      <c r="AB15" s="3352">
        <v>0</v>
      </c>
      <c r="AC15" s="3352">
        <f t="shared" si="14"/>
        <v>0</v>
      </c>
      <c r="AD15" s="3352">
        <v>0</v>
      </c>
      <c r="AE15" s="3352">
        <f t="shared" si="15"/>
        <v>0</v>
      </c>
      <c r="AF15" s="3352">
        <v>0</v>
      </c>
      <c r="AG15" s="3352">
        <f t="shared" si="16"/>
        <v>0</v>
      </c>
      <c r="AH15" s="3352">
        <v>0</v>
      </c>
      <c r="AI15" s="3352">
        <f t="shared" si="17"/>
        <v>0</v>
      </c>
      <c r="AJ15" s="3352">
        <v>0</v>
      </c>
      <c r="AK15" s="3352">
        <f t="shared" si="18"/>
        <v>12740.972</v>
      </c>
      <c r="AL15" s="3352">
        <v>12740972</v>
      </c>
      <c r="AM15" s="3352">
        <f t="shared" si="19"/>
        <v>2244.8000000000002</v>
      </c>
      <c r="AN15" s="3352">
        <v>2244800</v>
      </c>
      <c r="AO15" s="3352">
        <f t="shared" si="20"/>
        <v>5001.9080000000004</v>
      </c>
      <c r="AP15" s="3352">
        <v>5001908</v>
      </c>
      <c r="AQ15" s="3352">
        <f t="shared" si="21"/>
        <v>0</v>
      </c>
      <c r="AR15" s="3356">
        <v>0</v>
      </c>
      <c r="AS15" s="3357">
        <f t="shared" si="0"/>
        <v>-20320.510999999999</v>
      </c>
      <c r="AT15" s="304">
        <v>1000</v>
      </c>
      <c r="AU15" s="304"/>
    </row>
    <row r="16" spans="1:47" ht="15.75">
      <c r="A16" s="3350" t="s">
        <v>4130</v>
      </c>
      <c r="B16" s="3351" t="s">
        <v>4131</v>
      </c>
      <c r="C16" s="3352">
        <f t="shared" si="1"/>
        <v>0</v>
      </c>
      <c r="D16" s="3352">
        <v>2264273</v>
      </c>
      <c r="E16" s="3353">
        <f t="shared" si="2"/>
        <v>2264.2730000000001</v>
      </c>
      <c r="F16" s="3353">
        <f t="shared" si="2"/>
        <v>2264273</v>
      </c>
      <c r="G16" s="3352">
        <f t="shared" si="3"/>
        <v>0</v>
      </c>
      <c r="H16" s="3352">
        <v>0</v>
      </c>
      <c r="I16" s="3352">
        <f t="shared" si="4"/>
        <v>0</v>
      </c>
      <c r="J16" s="3352">
        <v>0</v>
      </c>
      <c r="K16" s="3352">
        <f t="shared" si="5"/>
        <v>0</v>
      </c>
      <c r="L16" s="3352">
        <v>0</v>
      </c>
      <c r="M16" s="3352">
        <f t="shared" si="6"/>
        <v>0</v>
      </c>
      <c r="N16" s="3352">
        <v>0</v>
      </c>
      <c r="O16" s="3352">
        <f t="shared" si="7"/>
        <v>0</v>
      </c>
      <c r="P16" s="3352">
        <v>0</v>
      </c>
      <c r="Q16" s="3352">
        <f t="shared" si="8"/>
        <v>0</v>
      </c>
      <c r="R16" s="3352">
        <v>0</v>
      </c>
      <c r="S16" s="3352">
        <f t="shared" si="9"/>
        <v>0</v>
      </c>
      <c r="T16" s="3352">
        <v>0</v>
      </c>
      <c r="U16" s="3352">
        <f t="shared" si="10"/>
        <v>0</v>
      </c>
      <c r="V16" s="3352">
        <v>0</v>
      </c>
      <c r="W16" s="3352">
        <f t="shared" si="11"/>
        <v>0</v>
      </c>
      <c r="X16" s="3352">
        <v>0</v>
      </c>
      <c r="Y16" s="3352">
        <f t="shared" si="12"/>
        <v>0</v>
      </c>
      <c r="Z16" s="3352">
        <v>0</v>
      </c>
      <c r="AA16" s="3352">
        <f t="shared" si="13"/>
        <v>0</v>
      </c>
      <c r="AB16" s="3352">
        <v>0</v>
      </c>
      <c r="AC16" s="3352">
        <f t="shared" si="14"/>
        <v>0</v>
      </c>
      <c r="AD16" s="3352">
        <v>0</v>
      </c>
      <c r="AE16" s="3352">
        <f t="shared" si="15"/>
        <v>0</v>
      </c>
      <c r="AF16" s="3352">
        <v>0</v>
      </c>
      <c r="AG16" s="3352">
        <f t="shared" si="16"/>
        <v>0</v>
      </c>
      <c r="AH16" s="3352">
        <v>0</v>
      </c>
      <c r="AI16" s="3352">
        <f t="shared" si="17"/>
        <v>0</v>
      </c>
      <c r="AJ16" s="3352">
        <v>0</v>
      </c>
      <c r="AK16" s="3352">
        <f t="shared" si="18"/>
        <v>117.083</v>
      </c>
      <c r="AL16" s="3352">
        <v>117083</v>
      </c>
      <c r="AM16" s="3352">
        <f t="shared" si="19"/>
        <v>21.251999999999999</v>
      </c>
      <c r="AN16" s="3352">
        <v>21252</v>
      </c>
      <c r="AO16" s="3352">
        <f t="shared" si="20"/>
        <v>2125.9380000000001</v>
      </c>
      <c r="AP16" s="3352">
        <v>2125938</v>
      </c>
      <c r="AQ16" s="3352">
        <f t="shared" si="21"/>
        <v>0</v>
      </c>
      <c r="AR16" s="3356">
        <v>0</v>
      </c>
      <c r="AS16" s="3357">
        <f t="shared" si="0"/>
        <v>-2264.2730000000001</v>
      </c>
      <c r="AT16" s="304">
        <v>1000</v>
      </c>
      <c r="AU16" s="304"/>
    </row>
    <row r="17" spans="1:47" ht="15.75">
      <c r="A17" s="3358" t="s">
        <v>4132</v>
      </c>
      <c r="B17" s="3359" t="s">
        <v>4133</v>
      </c>
      <c r="C17" s="3352">
        <f t="shared" si="1"/>
        <v>0</v>
      </c>
      <c r="D17" s="3352">
        <v>18056238</v>
      </c>
      <c r="E17" s="3353">
        <f t="shared" si="2"/>
        <v>18056.238000000001</v>
      </c>
      <c r="F17" s="3353">
        <f t="shared" si="2"/>
        <v>18056238</v>
      </c>
      <c r="G17" s="3352">
        <f t="shared" si="3"/>
        <v>0</v>
      </c>
      <c r="H17" s="3352">
        <v>0</v>
      </c>
      <c r="I17" s="3352">
        <f t="shared" si="4"/>
        <v>0</v>
      </c>
      <c r="J17" s="3352">
        <v>0</v>
      </c>
      <c r="K17" s="3352">
        <f t="shared" si="5"/>
        <v>0</v>
      </c>
      <c r="L17" s="3352">
        <v>0</v>
      </c>
      <c r="M17" s="3352">
        <f t="shared" si="6"/>
        <v>0</v>
      </c>
      <c r="N17" s="3352">
        <v>0</v>
      </c>
      <c r="O17" s="3352">
        <f t="shared" si="7"/>
        <v>0</v>
      </c>
      <c r="P17" s="3352">
        <v>0</v>
      </c>
      <c r="Q17" s="3352">
        <f t="shared" si="8"/>
        <v>332.83100000000002</v>
      </c>
      <c r="R17" s="3352">
        <v>332831</v>
      </c>
      <c r="S17" s="3352">
        <f t="shared" si="9"/>
        <v>0</v>
      </c>
      <c r="T17" s="3352">
        <v>0</v>
      </c>
      <c r="U17" s="3352">
        <f t="shared" si="10"/>
        <v>0</v>
      </c>
      <c r="V17" s="3352">
        <v>0</v>
      </c>
      <c r="W17" s="3352">
        <f t="shared" si="11"/>
        <v>0</v>
      </c>
      <c r="X17" s="3352">
        <v>0</v>
      </c>
      <c r="Y17" s="3352">
        <f t="shared" si="12"/>
        <v>0</v>
      </c>
      <c r="Z17" s="3352">
        <v>0</v>
      </c>
      <c r="AA17" s="3352">
        <f t="shared" si="13"/>
        <v>0</v>
      </c>
      <c r="AB17" s="3352">
        <v>0</v>
      </c>
      <c r="AC17" s="3352">
        <f t="shared" si="14"/>
        <v>0</v>
      </c>
      <c r="AD17" s="3352">
        <v>0</v>
      </c>
      <c r="AE17" s="3352">
        <f t="shared" si="15"/>
        <v>0</v>
      </c>
      <c r="AF17" s="3352">
        <v>0</v>
      </c>
      <c r="AG17" s="3352">
        <f t="shared" si="16"/>
        <v>0</v>
      </c>
      <c r="AH17" s="3352">
        <v>0</v>
      </c>
      <c r="AI17" s="3352">
        <f t="shared" si="17"/>
        <v>0</v>
      </c>
      <c r="AJ17" s="3352">
        <v>0</v>
      </c>
      <c r="AK17" s="3352">
        <f t="shared" si="18"/>
        <v>12623.888999999999</v>
      </c>
      <c r="AL17" s="3352">
        <v>12623889</v>
      </c>
      <c r="AM17" s="3352">
        <f t="shared" si="19"/>
        <v>2223.5479999999998</v>
      </c>
      <c r="AN17" s="3352">
        <v>2223548</v>
      </c>
      <c r="AO17" s="3352">
        <f t="shared" si="20"/>
        <v>2875.97</v>
      </c>
      <c r="AP17" s="3352">
        <v>2875970</v>
      </c>
      <c r="AQ17" s="3352">
        <f t="shared" si="21"/>
        <v>0</v>
      </c>
      <c r="AR17" s="3356">
        <v>0</v>
      </c>
      <c r="AS17" s="3357">
        <f t="shared" si="0"/>
        <v>-18056.238000000001</v>
      </c>
      <c r="AT17" s="304">
        <v>1000</v>
      </c>
      <c r="AU17" s="304"/>
    </row>
    <row r="18" spans="1:47" ht="15.75">
      <c r="A18" s="3350" t="s">
        <v>4134</v>
      </c>
      <c r="B18" s="3351" t="s">
        <v>4135</v>
      </c>
      <c r="C18" s="3352">
        <f t="shared" si="1"/>
        <v>0</v>
      </c>
      <c r="D18" s="3352">
        <v>2064960</v>
      </c>
      <c r="E18" s="3353">
        <f t="shared" si="2"/>
        <v>2064.96</v>
      </c>
      <c r="F18" s="3353">
        <f t="shared" si="2"/>
        <v>2064960</v>
      </c>
      <c r="G18" s="3352">
        <f t="shared" si="3"/>
        <v>0</v>
      </c>
      <c r="H18" s="3352">
        <v>0</v>
      </c>
      <c r="I18" s="3352">
        <f t="shared" si="4"/>
        <v>0</v>
      </c>
      <c r="J18" s="3352">
        <v>0</v>
      </c>
      <c r="K18" s="3352">
        <f t="shared" si="5"/>
        <v>0</v>
      </c>
      <c r="L18" s="3352">
        <v>0</v>
      </c>
      <c r="M18" s="3352">
        <f t="shared" si="6"/>
        <v>0</v>
      </c>
      <c r="N18" s="3352">
        <v>0</v>
      </c>
      <c r="O18" s="3352">
        <f t="shared" si="7"/>
        <v>0</v>
      </c>
      <c r="P18" s="3352">
        <v>0</v>
      </c>
      <c r="Q18" s="3352">
        <f t="shared" si="8"/>
        <v>304.8</v>
      </c>
      <c r="R18" s="3352">
        <v>304800</v>
      </c>
      <c r="S18" s="3352">
        <f t="shared" si="9"/>
        <v>0</v>
      </c>
      <c r="T18" s="3352">
        <v>0</v>
      </c>
      <c r="U18" s="3352">
        <f t="shared" si="10"/>
        <v>0</v>
      </c>
      <c r="V18" s="3352">
        <v>0</v>
      </c>
      <c r="W18" s="3352">
        <f t="shared" si="11"/>
        <v>0</v>
      </c>
      <c r="X18" s="3352">
        <v>0</v>
      </c>
      <c r="Y18" s="3352">
        <f t="shared" si="12"/>
        <v>0</v>
      </c>
      <c r="Z18" s="3352">
        <v>0</v>
      </c>
      <c r="AA18" s="3352">
        <f t="shared" si="13"/>
        <v>0</v>
      </c>
      <c r="AB18" s="3352">
        <v>0</v>
      </c>
      <c r="AC18" s="3352">
        <f t="shared" si="14"/>
        <v>0</v>
      </c>
      <c r="AD18" s="3352">
        <v>0</v>
      </c>
      <c r="AE18" s="3352">
        <f t="shared" si="15"/>
        <v>0</v>
      </c>
      <c r="AF18" s="3352">
        <v>0</v>
      </c>
      <c r="AG18" s="3352">
        <f t="shared" si="16"/>
        <v>0</v>
      </c>
      <c r="AH18" s="3352">
        <v>0</v>
      </c>
      <c r="AI18" s="3352">
        <f t="shared" si="17"/>
        <v>0</v>
      </c>
      <c r="AJ18" s="3352">
        <v>0</v>
      </c>
      <c r="AK18" s="3352">
        <f t="shared" si="18"/>
        <v>0</v>
      </c>
      <c r="AL18" s="3352">
        <v>0</v>
      </c>
      <c r="AM18" s="3352">
        <f t="shared" si="19"/>
        <v>0</v>
      </c>
      <c r="AN18" s="3352">
        <v>0</v>
      </c>
      <c r="AO18" s="3352">
        <f t="shared" si="20"/>
        <v>1760.16</v>
      </c>
      <c r="AP18" s="3352">
        <v>1760160</v>
      </c>
      <c r="AQ18" s="3352">
        <f t="shared" si="21"/>
        <v>0</v>
      </c>
      <c r="AR18" s="3356">
        <v>0</v>
      </c>
      <c r="AS18" s="3357">
        <f t="shared" si="0"/>
        <v>-2064.96</v>
      </c>
      <c r="AT18" s="304">
        <v>1000</v>
      </c>
      <c r="AU18" s="304"/>
    </row>
    <row r="19" spans="1:47" ht="15.75">
      <c r="A19" s="3350" t="s">
        <v>4136</v>
      </c>
      <c r="B19" s="3351" t="s">
        <v>4137</v>
      </c>
      <c r="C19" s="3352">
        <f t="shared" si="1"/>
        <v>0</v>
      </c>
      <c r="D19" s="3352">
        <v>0</v>
      </c>
      <c r="E19" s="3353">
        <f t="shared" si="2"/>
        <v>0</v>
      </c>
      <c r="F19" s="3353">
        <f t="shared" si="2"/>
        <v>0</v>
      </c>
      <c r="G19" s="3352">
        <f t="shared" si="3"/>
        <v>0</v>
      </c>
      <c r="H19" s="3352">
        <v>0</v>
      </c>
      <c r="I19" s="3352">
        <f t="shared" si="4"/>
        <v>0</v>
      </c>
      <c r="J19" s="3352">
        <v>0</v>
      </c>
      <c r="K19" s="3352">
        <f t="shared" si="5"/>
        <v>0</v>
      </c>
      <c r="L19" s="3352">
        <v>0</v>
      </c>
      <c r="M19" s="3352">
        <f t="shared" si="6"/>
        <v>0</v>
      </c>
      <c r="N19" s="3352">
        <v>0</v>
      </c>
      <c r="O19" s="3352">
        <f t="shared" si="7"/>
        <v>0</v>
      </c>
      <c r="P19" s="3352">
        <v>0</v>
      </c>
      <c r="Q19" s="3352">
        <f t="shared" si="8"/>
        <v>0</v>
      </c>
      <c r="R19" s="3352">
        <v>0</v>
      </c>
      <c r="S19" s="3352">
        <f t="shared" si="9"/>
        <v>0</v>
      </c>
      <c r="T19" s="3352">
        <v>0</v>
      </c>
      <c r="U19" s="3352">
        <f t="shared" si="10"/>
        <v>0</v>
      </c>
      <c r="V19" s="3352">
        <v>0</v>
      </c>
      <c r="W19" s="3352">
        <f t="shared" si="11"/>
        <v>0</v>
      </c>
      <c r="X19" s="3352">
        <v>0</v>
      </c>
      <c r="Y19" s="3352">
        <f t="shared" si="12"/>
        <v>0</v>
      </c>
      <c r="Z19" s="3352">
        <v>0</v>
      </c>
      <c r="AA19" s="3352">
        <f t="shared" si="13"/>
        <v>0</v>
      </c>
      <c r="AB19" s="3352">
        <v>0</v>
      </c>
      <c r="AC19" s="3352">
        <f t="shared" si="14"/>
        <v>0</v>
      </c>
      <c r="AD19" s="3352">
        <v>0</v>
      </c>
      <c r="AE19" s="3352">
        <f t="shared" si="15"/>
        <v>0</v>
      </c>
      <c r="AF19" s="3352">
        <v>0</v>
      </c>
      <c r="AG19" s="3352">
        <f t="shared" si="16"/>
        <v>0</v>
      </c>
      <c r="AH19" s="3352">
        <v>0</v>
      </c>
      <c r="AI19" s="3352">
        <f t="shared" si="17"/>
        <v>0</v>
      </c>
      <c r="AJ19" s="3352">
        <v>0</v>
      </c>
      <c r="AK19" s="3352">
        <f t="shared" si="18"/>
        <v>0</v>
      </c>
      <c r="AL19" s="3352">
        <v>0</v>
      </c>
      <c r="AM19" s="3352">
        <f t="shared" si="19"/>
        <v>0</v>
      </c>
      <c r="AN19" s="3352">
        <v>0</v>
      </c>
      <c r="AO19" s="3352">
        <f t="shared" si="20"/>
        <v>0</v>
      </c>
      <c r="AP19" s="3352">
        <v>0</v>
      </c>
      <c r="AQ19" s="3352">
        <f t="shared" si="21"/>
        <v>0</v>
      </c>
      <c r="AR19" s="3356">
        <v>0</v>
      </c>
      <c r="AS19" s="3357">
        <f t="shared" si="0"/>
        <v>0</v>
      </c>
      <c r="AT19" s="304">
        <v>1000</v>
      </c>
      <c r="AU19" s="304"/>
    </row>
    <row r="20" spans="1:47" ht="15.75">
      <c r="A20" s="3358" t="s">
        <v>4138</v>
      </c>
      <c r="B20" s="3359" t="s">
        <v>4139</v>
      </c>
      <c r="C20" s="3352">
        <f t="shared" si="1"/>
        <v>0</v>
      </c>
      <c r="D20" s="3352">
        <v>2064960</v>
      </c>
      <c r="E20" s="3353">
        <f t="shared" si="2"/>
        <v>2064.96</v>
      </c>
      <c r="F20" s="3353">
        <f t="shared" si="2"/>
        <v>2064960</v>
      </c>
      <c r="G20" s="3352">
        <f t="shared" si="3"/>
        <v>0</v>
      </c>
      <c r="H20" s="3352">
        <v>0</v>
      </c>
      <c r="I20" s="3352">
        <f t="shared" si="4"/>
        <v>0</v>
      </c>
      <c r="J20" s="3352">
        <v>0</v>
      </c>
      <c r="K20" s="3352">
        <f t="shared" si="5"/>
        <v>0</v>
      </c>
      <c r="L20" s="3352">
        <v>0</v>
      </c>
      <c r="M20" s="3352">
        <f t="shared" si="6"/>
        <v>0</v>
      </c>
      <c r="N20" s="3352">
        <v>0</v>
      </c>
      <c r="O20" s="3352">
        <f t="shared" si="7"/>
        <v>0</v>
      </c>
      <c r="P20" s="3352">
        <v>0</v>
      </c>
      <c r="Q20" s="3352">
        <f t="shared" si="8"/>
        <v>304.8</v>
      </c>
      <c r="R20" s="3352">
        <v>304800</v>
      </c>
      <c r="S20" s="3352">
        <f t="shared" si="9"/>
        <v>0</v>
      </c>
      <c r="T20" s="3352">
        <v>0</v>
      </c>
      <c r="U20" s="3352">
        <f t="shared" si="10"/>
        <v>0</v>
      </c>
      <c r="V20" s="3352">
        <v>0</v>
      </c>
      <c r="W20" s="3352">
        <f t="shared" si="11"/>
        <v>0</v>
      </c>
      <c r="X20" s="3352">
        <v>0</v>
      </c>
      <c r="Y20" s="3352">
        <f t="shared" si="12"/>
        <v>0</v>
      </c>
      <c r="Z20" s="3352">
        <v>0</v>
      </c>
      <c r="AA20" s="3352">
        <f t="shared" si="13"/>
        <v>0</v>
      </c>
      <c r="AB20" s="3352">
        <v>0</v>
      </c>
      <c r="AC20" s="3352">
        <f t="shared" si="14"/>
        <v>0</v>
      </c>
      <c r="AD20" s="3352">
        <v>0</v>
      </c>
      <c r="AE20" s="3352">
        <f t="shared" si="15"/>
        <v>0</v>
      </c>
      <c r="AF20" s="3352">
        <v>0</v>
      </c>
      <c r="AG20" s="3352">
        <f t="shared" si="16"/>
        <v>0</v>
      </c>
      <c r="AH20" s="3352">
        <v>0</v>
      </c>
      <c r="AI20" s="3352">
        <f t="shared" si="17"/>
        <v>0</v>
      </c>
      <c r="AJ20" s="3352">
        <v>0</v>
      </c>
      <c r="AK20" s="3352">
        <f t="shared" si="18"/>
        <v>0</v>
      </c>
      <c r="AL20" s="3352">
        <v>0</v>
      </c>
      <c r="AM20" s="3352">
        <f t="shared" si="19"/>
        <v>0</v>
      </c>
      <c r="AN20" s="3352">
        <v>0</v>
      </c>
      <c r="AO20" s="3352">
        <f t="shared" si="20"/>
        <v>1760.16</v>
      </c>
      <c r="AP20" s="3352">
        <v>1760160</v>
      </c>
      <c r="AQ20" s="3352">
        <f t="shared" si="21"/>
        <v>0</v>
      </c>
      <c r="AR20" s="3356">
        <v>0</v>
      </c>
      <c r="AS20" s="3357">
        <f t="shared" si="0"/>
        <v>-2064.96</v>
      </c>
      <c r="AT20" s="304">
        <v>1000</v>
      </c>
      <c r="AU20" s="304"/>
    </row>
    <row r="21" spans="1:47" ht="15.75">
      <c r="A21" s="3360" t="s">
        <v>4140</v>
      </c>
      <c r="B21" s="3361" t="s">
        <v>4141</v>
      </c>
      <c r="C21" s="3362">
        <f t="shared" si="1"/>
        <v>0</v>
      </c>
      <c r="D21" s="3362">
        <v>20121198</v>
      </c>
      <c r="E21" s="3363">
        <f t="shared" si="2"/>
        <v>20121.198</v>
      </c>
      <c r="F21" s="3363">
        <f t="shared" si="2"/>
        <v>20121198</v>
      </c>
      <c r="G21" s="3362">
        <f t="shared" si="3"/>
        <v>0</v>
      </c>
      <c r="H21" s="3362">
        <v>0</v>
      </c>
      <c r="I21" s="3362">
        <f t="shared" si="4"/>
        <v>0</v>
      </c>
      <c r="J21" s="3362">
        <v>0</v>
      </c>
      <c r="K21" s="3362">
        <f t="shared" si="5"/>
        <v>0</v>
      </c>
      <c r="L21" s="3362">
        <v>0</v>
      </c>
      <c r="M21" s="3362">
        <f t="shared" si="6"/>
        <v>0</v>
      </c>
      <c r="N21" s="3362">
        <v>0</v>
      </c>
      <c r="O21" s="3362">
        <f t="shared" si="7"/>
        <v>0</v>
      </c>
      <c r="P21" s="3362">
        <v>0</v>
      </c>
      <c r="Q21" s="3362">
        <f t="shared" si="8"/>
        <v>637.63099999999997</v>
      </c>
      <c r="R21" s="3362">
        <v>637631</v>
      </c>
      <c r="S21" s="3362">
        <f t="shared" si="9"/>
        <v>0</v>
      </c>
      <c r="T21" s="3362">
        <v>0</v>
      </c>
      <c r="U21" s="3362">
        <f t="shared" si="10"/>
        <v>0</v>
      </c>
      <c r="V21" s="3362">
        <v>0</v>
      </c>
      <c r="W21" s="3362">
        <f t="shared" si="11"/>
        <v>0</v>
      </c>
      <c r="X21" s="3362">
        <v>0</v>
      </c>
      <c r="Y21" s="3362">
        <f t="shared" si="12"/>
        <v>0</v>
      </c>
      <c r="Z21" s="3362">
        <v>0</v>
      </c>
      <c r="AA21" s="3362">
        <f t="shared" si="13"/>
        <v>0</v>
      </c>
      <c r="AB21" s="3362">
        <v>0</v>
      </c>
      <c r="AC21" s="3362">
        <f t="shared" si="14"/>
        <v>0</v>
      </c>
      <c r="AD21" s="3362">
        <v>0</v>
      </c>
      <c r="AE21" s="3362">
        <f t="shared" si="15"/>
        <v>0</v>
      </c>
      <c r="AF21" s="3362">
        <v>0</v>
      </c>
      <c r="AG21" s="3362">
        <f t="shared" si="16"/>
        <v>0</v>
      </c>
      <c r="AH21" s="3362">
        <v>0</v>
      </c>
      <c r="AI21" s="3362">
        <f t="shared" si="17"/>
        <v>0</v>
      </c>
      <c r="AJ21" s="3362">
        <v>0</v>
      </c>
      <c r="AK21" s="3362">
        <f t="shared" si="18"/>
        <v>12623.888999999999</v>
      </c>
      <c r="AL21" s="3362">
        <v>12623889</v>
      </c>
      <c r="AM21" s="3362">
        <f t="shared" si="19"/>
        <v>2223.5479999999998</v>
      </c>
      <c r="AN21" s="3362">
        <v>2223548</v>
      </c>
      <c r="AO21" s="3362">
        <f t="shared" si="20"/>
        <v>4636.13</v>
      </c>
      <c r="AP21" s="3362">
        <v>4636130</v>
      </c>
      <c r="AQ21" s="3362">
        <f t="shared" si="21"/>
        <v>0</v>
      </c>
      <c r="AR21" s="3364">
        <v>0</v>
      </c>
      <c r="AS21" s="3357">
        <f t="shared" si="0"/>
        <v>-20121.198</v>
      </c>
      <c r="AT21" s="304">
        <v>1000</v>
      </c>
      <c r="AU21" s="304"/>
    </row>
    <row r="22" spans="1:47" ht="15.75">
      <c r="A22" s="3365" t="s">
        <v>4142</v>
      </c>
      <c r="B22" s="3366" t="s">
        <v>4143</v>
      </c>
      <c r="C22" s="3367">
        <f t="shared" si="1"/>
        <v>0</v>
      </c>
      <c r="D22" s="3367">
        <v>1897911901</v>
      </c>
      <c r="E22" s="3368">
        <f t="shared" si="2"/>
        <v>1897911.9010000001</v>
      </c>
      <c r="F22" s="3368">
        <f t="shared" si="2"/>
        <v>1897911901</v>
      </c>
      <c r="G22" s="3367">
        <f t="shared" si="3"/>
        <v>958683.60499999998</v>
      </c>
      <c r="H22" s="3367">
        <v>958683605</v>
      </c>
      <c r="I22" s="3367">
        <f t="shared" si="4"/>
        <v>4139.3950000000004</v>
      </c>
      <c r="J22" s="3367">
        <v>4139395</v>
      </c>
      <c r="K22" s="3367">
        <f t="shared" si="5"/>
        <v>221571.59700000001</v>
      </c>
      <c r="L22" s="3367">
        <v>221571597</v>
      </c>
      <c r="M22" s="3367">
        <f t="shared" si="6"/>
        <v>3211.4389999999999</v>
      </c>
      <c r="N22" s="3367">
        <v>3211439</v>
      </c>
      <c r="O22" s="3367">
        <f t="shared" si="7"/>
        <v>23167.225999999999</v>
      </c>
      <c r="P22" s="3367">
        <v>23167226</v>
      </c>
      <c r="Q22" s="3367">
        <f t="shared" si="8"/>
        <v>13473.691999999999</v>
      </c>
      <c r="R22" s="3367">
        <v>13473692</v>
      </c>
      <c r="S22" s="3367">
        <f t="shared" si="9"/>
        <v>40050.75</v>
      </c>
      <c r="T22" s="3367">
        <v>40050750</v>
      </c>
      <c r="U22" s="3367">
        <f t="shared" si="10"/>
        <v>11127.877</v>
      </c>
      <c r="V22" s="3367">
        <v>11127877</v>
      </c>
      <c r="W22" s="3367">
        <f t="shared" si="11"/>
        <v>9885.1460000000006</v>
      </c>
      <c r="X22" s="3367">
        <v>9885146</v>
      </c>
      <c r="Y22" s="3367">
        <f t="shared" si="12"/>
        <v>28696.827000000001</v>
      </c>
      <c r="Z22" s="3367">
        <v>28696827</v>
      </c>
      <c r="AA22" s="3367">
        <f t="shared" si="13"/>
        <v>35470.248</v>
      </c>
      <c r="AB22" s="3367">
        <v>35470248</v>
      </c>
      <c r="AC22" s="3367">
        <f t="shared" si="14"/>
        <v>70950.657000000007</v>
      </c>
      <c r="AD22" s="3367">
        <v>70950657</v>
      </c>
      <c r="AE22" s="3367">
        <f t="shared" si="15"/>
        <v>67552.622000000003</v>
      </c>
      <c r="AF22" s="3367">
        <v>67552622</v>
      </c>
      <c r="AG22" s="3367">
        <f t="shared" si="16"/>
        <v>63218.061000000002</v>
      </c>
      <c r="AH22" s="3367">
        <v>63218061</v>
      </c>
      <c r="AI22" s="3367">
        <f t="shared" si="17"/>
        <v>19227.562999999998</v>
      </c>
      <c r="AJ22" s="3367">
        <v>19227563</v>
      </c>
      <c r="AK22" s="3367">
        <f t="shared" si="18"/>
        <v>114268.976</v>
      </c>
      <c r="AL22" s="3367">
        <v>114268976</v>
      </c>
      <c r="AM22" s="3367">
        <f t="shared" si="19"/>
        <v>56907.112999999998</v>
      </c>
      <c r="AN22" s="3367">
        <v>56907113</v>
      </c>
      <c r="AO22" s="3367">
        <f t="shared" si="20"/>
        <v>11509.575999999999</v>
      </c>
      <c r="AP22" s="3367">
        <v>11509576</v>
      </c>
      <c r="AQ22" s="3367">
        <f t="shared" si="21"/>
        <v>144799.53099999999</v>
      </c>
      <c r="AR22" s="3369">
        <v>144799531</v>
      </c>
      <c r="AS22" s="3357">
        <f t="shared" si="0"/>
        <v>-1897911.9010000001</v>
      </c>
      <c r="AT22" s="304">
        <v>1000</v>
      </c>
      <c r="AU22" s="304"/>
    </row>
    <row r="23" spans="1:47" ht="15.75">
      <c r="A23" s="3358" t="s">
        <v>4144</v>
      </c>
      <c r="B23" s="3359" t="s">
        <v>4145</v>
      </c>
      <c r="C23" s="3352">
        <f t="shared" si="1"/>
        <v>0</v>
      </c>
      <c r="D23" s="3352">
        <v>1312279932</v>
      </c>
      <c r="E23" s="3353">
        <f t="shared" si="2"/>
        <v>1312279.9320000003</v>
      </c>
      <c r="F23" s="3353">
        <f t="shared" si="2"/>
        <v>1312279932</v>
      </c>
      <c r="G23" s="3355">
        <f t="shared" si="3"/>
        <v>935376.28700000001</v>
      </c>
      <c r="H23" s="3352">
        <v>935376287</v>
      </c>
      <c r="I23" s="3370">
        <f t="shared" si="4"/>
        <v>4139.3950000000004</v>
      </c>
      <c r="J23" s="3352">
        <v>4139395</v>
      </c>
      <c r="K23" s="3370">
        <f t="shared" si="5"/>
        <v>156932.82399999999</v>
      </c>
      <c r="L23" s="3352">
        <v>156932824</v>
      </c>
      <c r="M23" s="3370">
        <f t="shared" si="6"/>
        <v>368.928</v>
      </c>
      <c r="N23" s="3352">
        <v>368928</v>
      </c>
      <c r="O23" s="3370">
        <f t="shared" si="7"/>
        <v>928.04</v>
      </c>
      <c r="P23" s="3352">
        <v>928040</v>
      </c>
      <c r="Q23" s="3370">
        <f t="shared" si="8"/>
        <v>2748.7869999999998</v>
      </c>
      <c r="R23" s="3352">
        <v>2748787</v>
      </c>
      <c r="S23" s="3370">
        <f t="shared" si="9"/>
        <v>4464.6980000000003</v>
      </c>
      <c r="T23" s="3352">
        <v>4464698</v>
      </c>
      <c r="U23" s="3370">
        <f t="shared" si="10"/>
        <v>748.58199999999999</v>
      </c>
      <c r="V23" s="3352">
        <v>748582</v>
      </c>
      <c r="W23" s="3370">
        <f t="shared" si="11"/>
        <v>556.95699999999999</v>
      </c>
      <c r="X23" s="3352">
        <v>556957</v>
      </c>
      <c r="Y23" s="3370">
        <f t="shared" si="12"/>
        <v>3244.8159999999998</v>
      </c>
      <c r="Z23" s="3352">
        <v>3244816</v>
      </c>
      <c r="AA23" s="3370">
        <f t="shared" si="13"/>
        <v>1530.0730000000001</v>
      </c>
      <c r="AB23" s="3352">
        <v>1530073</v>
      </c>
      <c r="AC23" s="3370">
        <f t="shared" si="14"/>
        <v>72933.165999999997</v>
      </c>
      <c r="AD23" s="3352">
        <v>72933166</v>
      </c>
      <c r="AE23" s="3370">
        <f t="shared" si="15"/>
        <v>12113.939</v>
      </c>
      <c r="AF23" s="3352">
        <v>12113939</v>
      </c>
      <c r="AG23" s="3370">
        <f t="shared" si="16"/>
        <v>52572.023999999998</v>
      </c>
      <c r="AH23" s="3352">
        <v>52572024</v>
      </c>
      <c r="AI23" s="3370">
        <f t="shared" si="17"/>
        <v>575.68399999999997</v>
      </c>
      <c r="AJ23" s="3352">
        <v>575684</v>
      </c>
      <c r="AK23" s="3370">
        <f t="shared" si="18"/>
        <v>53117.997000000003</v>
      </c>
      <c r="AL23" s="3352">
        <v>53117997</v>
      </c>
      <c r="AM23" s="3370">
        <f t="shared" si="19"/>
        <v>3178.7179999999998</v>
      </c>
      <c r="AN23" s="3352">
        <v>3178718</v>
      </c>
      <c r="AO23" s="3370">
        <f t="shared" si="20"/>
        <v>1131.5530000000001</v>
      </c>
      <c r="AP23" s="3352">
        <v>1131553</v>
      </c>
      <c r="AQ23" s="3370">
        <f t="shared" si="21"/>
        <v>5617.4639999999999</v>
      </c>
      <c r="AR23" s="3356">
        <v>5617464</v>
      </c>
      <c r="AS23" s="3357">
        <f t="shared" si="0"/>
        <v>-1312279.9320000003</v>
      </c>
      <c r="AT23" s="304">
        <v>1000</v>
      </c>
      <c r="AU23" s="304"/>
    </row>
    <row r="24" spans="1:47" ht="15.75">
      <c r="A24" s="3358" t="s">
        <v>4146</v>
      </c>
      <c r="B24" s="3359" t="s">
        <v>4147</v>
      </c>
      <c r="C24" s="3352">
        <f t="shared" si="1"/>
        <v>0</v>
      </c>
      <c r="D24" s="3352">
        <v>565510771</v>
      </c>
      <c r="E24" s="3353">
        <f t="shared" si="2"/>
        <v>565510.77100000007</v>
      </c>
      <c r="F24" s="3353">
        <f t="shared" si="2"/>
        <v>565510771</v>
      </c>
      <c r="G24" s="3355">
        <f t="shared" si="3"/>
        <v>23307.317999999999</v>
      </c>
      <c r="H24" s="3352">
        <v>23307318</v>
      </c>
      <c r="I24" s="3370">
        <f t="shared" si="4"/>
        <v>0</v>
      </c>
      <c r="J24" s="3352">
        <v>0</v>
      </c>
      <c r="K24" s="3370">
        <f t="shared" si="5"/>
        <v>64638.773000000001</v>
      </c>
      <c r="L24" s="3352">
        <v>64638773</v>
      </c>
      <c r="M24" s="3370">
        <f t="shared" si="6"/>
        <v>2842.511</v>
      </c>
      <c r="N24" s="3352">
        <v>2842511</v>
      </c>
      <c r="O24" s="3370">
        <f t="shared" si="7"/>
        <v>22239.186000000002</v>
      </c>
      <c r="P24" s="3352">
        <v>22239186</v>
      </c>
      <c r="Q24" s="3370">
        <f t="shared" si="8"/>
        <v>10087.273999999999</v>
      </c>
      <c r="R24" s="3352">
        <v>10087274</v>
      </c>
      <c r="S24" s="3370">
        <f t="shared" si="9"/>
        <v>35586.052000000003</v>
      </c>
      <c r="T24" s="3352">
        <v>35586052</v>
      </c>
      <c r="U24" s="3370">
        <f t="shared" si="10"/>
        <v>10379.295</v>
      </c>
      <c r="V24" s="3352">
        <v>10379295</v>
      </c>
      <c r="W24" s="3370">
        <f t="shared" si="11"/>
        <v>9328.1890000000003</v>
      </c>
      <c r="X24" s="3352">
        <v>9328189</v>
      </c>
      <c r="Y24" s="3370">
        <f t="shared" si="12"/>
        <v>25452.010999999999</v>
      </c>
      <c r="Z24" s="3352">
        <v>25452011</v>
      </c>
      <c r="AA24" s="3370">
        <f t="shared" si="13"/>
        <v>33940.175000000003</v>
      </c>
      <c r="AB24" s="3352">
        <v>33940175</v>
      </c>
      <c r="AC24" s="3370">
        <f t="shared" si="14"/>
        <v>-1982.509</v>
      </c>
      <c r="AD24" s="3352">
        <v>-1982509</v>
      </c>
      <c r="AE24" s="3370">
        <f t="shared" si="15"/>
        <v>55438.682999999997</v>
      </c>
      <c r="AF24" s="3352">
        <v>55438683</v>
      </c>
      <c r="AG24" s="3370">
        <f t="shared" si="16"/>
        <v>10646.037</v>
      </c>
      <c r="AH24" s="3352">
        <v>10646037</v>
      </c>
      <c r="AI24" s="3370">
        <f t="shared" si="17"/>
        <v>18651.879000000001</v>
      </c>
      <c r="AJ24" s="3352">
        <v>18651879</v>
      </c>
      <c r="AK24" s="3370">
        <f t="shared" si="18"/>
        <v>48527.09</v>
      </c>
      <c r="AL24" s="3352">
        <v>48527090</v>
      </c>
      <c r="AM24" s="3370">
        <f t="shared" si="19"/>
        <v>51504.847000000002</v>
      </c>
      <c r="AN24" s="3352">
        <v>51504847</v>
      </c>
      <c r="AO24" s="3370">
        <f t="shared" si="20"/>
        <v>5741.893</v>
      </c>
      <c r="AP24" s="3352">
        <v>5741893</v>
      </c>
      <c r="AQ24" s="3370">
        <f t="shared" si="21"/>
        <v>139182.06700000001</v>
      </c>
      <c r="AR24" s="3356">
        <v>139182067</v>
      </c>
      <c r="AS24" s="3357">
        <f t="shared" si="0"/>
        <v>-565510.77100000007</v>
      </c>
      <c r="AT24" s="304">
        <v>1000</v>
      </c>
      <c r="AU24" s="304"/>
    </row>
    <row r="25" spans="1:47" ht="30" customHeight="1">
      <c r="A25" s="3358" t="s">
        <v>4148</v>
      </c>
      <c r="B25" s="3359" t="s">
        <v>4149</v>
      </c>
      <c r="C25" s="3352">
        <f t="shared" si="1"/>
        <v>0</v>
      </c>
      <c r="D25" s="3352">
        <v>1810908</v>
      </c>
      <c r="E25" s="3353">
        <f t="shared" si="2"/>
        <v>1810.9079999999999</v>
      </c>
      <c r="F25" s="3353">
        <f t="shared" si="2"/>
        <v>1810908</v>
      </c>
      <c r="G25" s="3352">
        <f t="shared" si="3"/>
        <v>0</v>
      </c>
      <c r="H25" s="3352">
        <v>0</v>
      </c>
      <c r="I25" s="3370">
        <f t="shared" si="4"/>
        <v>0</v>
      </c>
      <c r="J25" s="3352">
        <v>0</v>
      </c>
      <c r="K25" s="3370">
        <f t="shared" si="5"/>
        <v>0</v>
      </c>
      <c r="L25" s="3352">
        <v>0</v>
      </c>
      <c r="M25" s="3370">
        <f t="shared" si="6"/>
        <v>0</v>
      </c>
      <c r="N25" s="3352">
        <v>0</v>
      </c>
      <c r="O25" s="3370">
        <f t="shared" si="7"/>
        <v>0</v>
      </c>
      <c r="P25" s="3352">
        <v>0</v>
      </c>
      <c r="Q25" s="3370">
        <f t="shared" si="8"/>
        <v>57.387</v>
      </c>
      <c r="R25" s="3352">
        <v>57387</v>
      </c>
      <c r="S25" s="3370">
        <f t="shared" si="9"/>
        <v>0</v>
      </c>
      <c r="T25" s="3352">
        <v>0</v>
      </c>
      <c r="U25" s="3370">
        <f t="shared" si="10"/>
        <v>0</v>
      </c>
      <c r="V25" s="3352">
        <v>0</v>
      </c>
      <c r="W25" s="3370">
        <f t="shared" si="11"/>
        <v>0</v>
      </c>
      <c r="X25" s="3352">
        <v>0</v>
      </c>
      <c r="Y25" s="3370">
        <f t="shared" si="12"/>
        <v>0</v>
      </c>
      <c r="Z25" s="3352">
        <v>0</v>
      </c>
      <c r="AA25" s="3370">
        <f t="shared" si="13"/>
        <v>0</v>
      </c>
      <c r="AB25" s="3352">
        <v>0</v>
      </c>
      <c r="AC25" s="3370">
        <f t="shared" si="14"/>
        <v>0</v>
      </c>
      <c r="AD25" s="3352">
        <v>0</v>
      </c>
      <c r="AE25" s="3370">
        <f t="shared" si="15"/>
        <v>0</v>
      </c>
      <c r="AF25" s="3352">
        <v>0</v>
      </c>
      <c r="AG25" s="3370">
        <f t="shared" si="16"/>
        <v>0</v>
      </c>
      <c r="AH25" s="3352">
        <v>0</v>
      </c>
      <c r="AI25" s="3370">
        <f t="shared" si="17"/>
        <v>0</v>
      </c>
      <c r="AJ25" s="3352">
        <v>0</v>
      </c>
      <c r="AK25" s="3370">
        <f t="shared" si="18"/>
        <v>1136.1500000000001</v>
      </c>
      <c r="AL25" s="3352">
        <v>1136150</v>
      </c>
      <c r="AM25" s="3370">
        <f t="shared" si="19"/>
        <v>200.119</v>
      </c>
      <c r="AN25" s="3352">
        <v>200119</v>
      </c>
      <c r="AO25" s="3370">
        <f t="shared" si="20"/>
        <v>417.25200000000001</v>
      </c>
      <c r="AP25" s="3352">
        <v>417252</v>
      </c>
      <c r="AQ25" s="3370">
        <f t="shared" si="21"/>
        <v>0</v>
      </c>
      <c r="AR25" s="3356">
        <v>0</v>
      </c>
      <c r="AS25" s="3357">
        <f t="shared" si="0"/>
        <v>-1810.9079999999999</v>
      </c>
      <c r="AT25" s="304">
        <v>1000</v>
      </c>
      <c r="AU25" s="304"/>
    </row>
    <row r="26" spans="1:47" ht="16.5" thickBot="1">
      <c r="A26" s="3371" t="s">
        <v>4150</v>
      </c>
      <c r="B26" s="3372" t="s">
        <v>4151</v>
      </c>
      <c r="C26" s="3373">
        <f t="shared" si="1"/>
        <v>0</v>
      </c>
      <c r="D26" s="3373">
        <v>18310290</v>
      </c>
      <c r="E26" s="3374">
        <f t="shared" si="2"/>
        <v>18310.29</v>
      </c>
      <c r="F26" s="3374">
        <f t="shared" si="2"/>
        <v>18310290</v>
      </c>
      <c r="G26" s="3373">
        <f t="shared" si="3"/>
        <v>0</v>
      </c>
      <c r="H26" s="3373">
        <v>0</v>
      </c>
      <c r="I26" s="3375">
        <f t="shared" si="4"/>
        <v>0</v>
      </c>
      <c r="J26" s="3373">
        <v>0</v>
      </c>
      <c r="K26" s="3375">
        <f t="shared" si="5"/>
        <v>0</v>
      </c>
      <c r="L26" s="3373">
        <v>0</v>
      </c>
      <c r="M26" s="3375">
        <f t="shared" si="6"/>
        <v>0</v>
      </c>
      <c r="N26" s="3373">
        <v>0</v>
      </c>
      <c r="O26" s="3375">
        <f t="shared" si="7"/>
        <v>0</v>
      </c>
      <c r="P26" s="3373">
        <v>0</v>
      </c>
      <c r="Q26" s="3375">
        <f t="shared" si="8"/>
        <v>580.24400000000003</v>
      </c>
      <c r="R26" s="3373">
        <v>580244</v>
      </c>
      <c r="S26" s="3375">
        <f t="shared" si="9"/>
        <v>0</v>
      </c>
      <c r="T26" s="3373">
        <v>0</v>
      </c>
      <c r="U26" s="3375">
        <f t="shared" si="10"/>
        <v>0</v>
      </c>
      <c r="V26" s="3373">
        <v>0</v>
      </c>
      <c r="W26" s="3375">
        <f t="shared" si="11"/>
        <v>0</v>
      </c>
      <c r="X26" s="3373">
        <v>0</v>
      </c>
      <c r="Y26" s="3375">
        <f t="shared" si="12"/>
        <v>0</v>
      </c>
      <c r="Z26" s="3373">
        <v>0</v>
      </c>
      <c r="AA26" s="3375">
        <f t="shared" si="13"/>
        <v>0</v>
      </c>
      <c r="AB26" s="3373">
        <v>0</v>
      </c>
      <c r="AC26" s="3375">
        <f t="shared" si="14"/>
        <v>0</v>
      </c>
      <c r="AD26" s="3373">
        <v>0</v>
      </c>
      <c r="AE26" s="3375">
        <f t="shared" si="15"/>
        <v>0</v>
      </c>
      <c r="AF26" s="3373">
        <v>0</v>
      </c>
      <c r="AG26" s="3375">
        <f t="shared" si="16"/>
        <v>0</v>
      </c>
      <c r="AH26" s="3373">
        <v>0</v>
      </c>
      <c r="AI26" s="3375">
        <f t="shared" si="17"/>
        <v>0</v>
      </c>
      <c r="AJ26" s="3373">
        <v>0</v>
      </c>
      <c r="AK26" s="3375">
        <f t="shared" si="18"/>
        <v>11487.739</v>
      </c>
      <c r="AL26" s="3373">
        <v>11487739</v>
      </c>
      <c r="AM26" s="3375">
        <f t="shared" si="19"/>
        <v>2023.4290000000001</v>
      </c>
      <c r="AN26" s="3373">
        <v>2023429</v>
      </c>
      <c r="AO26" s="3375">
        <f t="shared" si="20"/>
        <v>4218.8779999999997</v>
      </c>
      <c r="AP26" s="3373">
        <v>4218878</v>
      </c>
      <c r="AQ26" s="3375">
        <f t="shared" si="21"/>
        <v>0</v>
      </c>
      <c r="AR26" s="3376">
        <v>0</v>
      </c>
      <c r="AS26" s="3357">
        <f t="shared" si="0"/>
        <v>-18310.29</v>
      </c>
      <c r="AT26" s="304">
        <v>1000</v>
      </c>
      <c r="AU26" s="304"/>
    </row>
    <row r="27" spans="1:47" s="3377" customFormat="1" ht="15.75" hidden="1">
      <c r="C27" s="3377">
        <f>+C14</f>
        <v>0</v>
      </c>
      <c r="D27" s="3377">
        <f t="shared" ref="D27:E27" si="22">+D14+D21</f>
        <v>1897911901</v>
      </c>
      <c r="E27" s="3377">
        <f t="shared" si="22"/>
        <v>1897911.9010000003</v>
      </c>
      <c r="F27" s="3377">
        <f>+F14+F21</f>
        <v>1897911901</v>
      </c>
      <c r="G27" s="3377">
        <f t="shared" ref="G27:AR27" si="23">+G14+G21</f>
        <v>958683.60499999998</v>
      </c>
      <c r="H27" s="3377">
        <f t="shared" si="23"/>
        <v>958683605</v>
      </c>
      <c r="I27" s="3377">
        <f t="shared" si="23"/>
        <v>4139.3950000000004</v>
      </c>
      <c r="J27" s="3377">
        <f t="shared" si="23"/>
        <v>4139395</v>
      </c>
      <c r="K27" s="3377">
        <f t="shared" si="23"/>
        <v>221571.59700000001</v>
      </c>
      <c r="L27" s="3377">
        <f t="shared" si="23"/>
        <v>221571597</v>
      </c>
      <c r="M27" s="3377">
        <f t="shared" si="23"/>
        <v>3211.4389999999999</v>
      </c>
      <c r="N27" s="3377">
        <f t="shared" si="23"/>
        <v>3211439</v>
      </c>
      <c r="O27" s="3377">
        <f t="shared" si="23"/>
        <v>23167.225999999999</v>
      </c>
      <c r="P27" s="3377">
        <f t="shared" si="23"/>
        <v>23167226</v>
      </c>
      <c r="Q27" s="3377">
        <f t="shared" si="23"/>
        <v>13473.691999999999</v>
      </c>
      <c r="R27" s="3377">
        <f t="shared" si="23"/>
        <v>13473692</v>
      </c>
      <c r="S27" s="3377">
        <f t="shared" si="23"/>
        <v>40050.75</v>
      </c>
      <c r="T27" s="3377">
        <f t="shared" si="23"/>
        <v>40050750</v>
      </c>
      <c r="U27" s="3377">
        <f t="shared" si="23"/>
        <v>11127.877</v>
      </c>
      <c r="V27" s="3377">
        <f t="shared" si="23"/>
        <v>11127877</v>
      </c>
      <c r="W27" s="3377">
        <f t="shared" si="23"/>
        <v>9885.1460000000006</v>
      </c>
      <c r="X27" s="3377">
        <f t="shared" si="23"/>
        <v>9885146</v>
      </c>
      <c r="Y27" s="3377">
        <f t="shared" si="23"/>
        <v>28696.827000000001</v>
      </c>
      <c r="Z27" s="3377">
        <f t="shared" si="23"/>
        <v>28696827</v>
      </c>
      <c r="AA27" s="3377">
        <f t="shared" si="23"/>
        <v>35470.248</v>
      </c>
      <c r="AB27" s="3377">
        <f t="shared" si="23"/>
        <v>35470248</v>
      </c>
      <c r="AC27" s="3377">
        <f t="shared" si="23"/>
        <v>70950.657000000007</v>
      </c>
      <c r="AD27" s="3377">
        <f t="shared" si="23"/>
        <v>70950657</v>
      </c>
      <c r="AE27" s="3377">
        <f t="shared" si="23"/>
        <v>67552.622000000003</v>
      </c>
      <c r="AF27" s="3377">
        <f t="shared" si="23"/>
        <v>67552622</v>
      </c>
      <c r="AG27" s="3377">
        <f t="shared" si="23"/>
        <v>63218.061000000002</v>
      </c>
      <c r="AH27" s="3377">
        <f t="shared" si="23"/>
        <v>63218061</v>
      </c>
      <c r="AI27" s="3377">
        <f t="shared" si="23"/>
        <v>19227.562999999998</v>
      </c>
      <c r="AJ27" s="3377">
        <f t="shared" si="23"/>
        <v>19227563</v>
      </c>
      <c r="AK27" s="3377">
        <f t="shared" si="23"/>
        <v>114268.976</v>
      </c>
      <c r="AL27" s="3377">
        <f t="shared" si="23"/>
        <v>114268976</v>
      </c>
      <c r="AM27" s="3377">
        <f t="shared" si="23"/>
        <v>56907.113000000005</v>
      </c>
      <c r="AN27" s="3377">
        <f t="shared" si="23"/>
        <v>56907113</v>
      </c>
      <c r="AO27" s="3377">
        <f t="shared" si="23"/>
        <v>11509.576000000001</v>
      </c>
      <c r="AP27" s="3377">
        <f t="shared" si="23"/>
        <v>11509576</v>
      </c>
      <c r="AQ27" s="3377">
        <f t="shared" si="23"/>
        <v>144799.53099999999</v>
      </c>
      <c r="AR27" s="3377">
        <f t="shared" si="23"/>
        <v>144799531</v>
      </c>
      <c r="AS27" s="3357"/>
      <c r="AU27" s="304"/>
    </row>
    <row r="28" spans="1:47" ht="15.75" hidden="1">
      <c r="A28" s="304"/>
      <c r="B28" s="3378" t="s">
        <v>4152</v>
      </c>
      <c r="C28" s="304"/>
      <c r="D28" s="304"/>
      <c r="E28" s="304"/>
      <c r="F28" s="3415">
        <f>+'1. mell.ÖSSZEVONT_MÉRLEG'!J161</f>
        <v>1897911901</v>
      </c>
      <c r="G28" s="3415"/>
      <c r="H28" s="3415">
        <f>+'5. mell.Önk-i mérleg'!J157</f>
        <v>958683605</v>
      </c>
      <c r="I28" s="3415"/>
      <c r="J28" s="3415">
        <f>+'9. mell. PMH'!K57</f>
        <v>4139395</v>
      </c>
      <c r="K28" s="3415"/>
      <c r="L28" s="3415">
        <f>+'12. mell. Szakrendelő'!K57</f>
        <v>221571597</v>
      </c>
      <c r="M28" s="3415"/>
      <c r="N28" s="3415">
        <f>+'13. mell. GAMESZ'!K57</f>
        <v>3211439</v>
      </c>
      <c r="O28" s="3415"/>
      <c r="P28" s="3415">
        <f>+'14. mell. Gyerekkuckó'!K57</f>
        <v>23167226</v>
      </c>
      <c r="Q28" s="3415"/>
      <c r="R28" s="3415">
        <f>+'15. mell. Cinkotai H.'!K57</f>
        <v>13473692</v>
      </c>
      <c r="S28" s="3415"/>
      <c r="T28" s="3415">
        <f>+'16. mell. Napsugár'!K57</f>
        <v>40050750</v>
      </c>
      <c r="U28" s="3415"/>
      <c r="V28" s="3415">
        <f>+'17. mell. Sashalmi M.'!K57</f>
        <v>11127877</v>
      </c>
      <c r="W28" s="3415"/>
      <c r="X28" s="3415">
        <f>+'18. mell. Margaréta'!K57</f>
        <v>9885146</v>
      </c>
      <c r="Y28" s="3415"/>
      <c r="Z28" s="3415">
        <f>+'19.mell.Szentmihályi Játszókert'!K57</f>
        <v>28696827</v>
      </c>
      <c r="AA28" s="3415"/>
      <c r="AB28" s="3415">
        <f>+'20. mell. M. Fecskefészek'!K57</f>
        <v>35470248</v>
      </c>
      <c r="AC28" s="3415"/>
      <c r="AD28" s="3415">
        <f>+'21. mell. CMH'!K57</f>
        <v>70950657</v>
      </c>
      <c r="AE28" s="3415"/>
      <c r="AF28" s="3415">
        <f>+'22. mell. Bölcsőde'!K57</f>
        <v>67552622</v>
      </c>
      <c r="AG28" s="3415"/>
      <c r="AH28" s="3415">
        <f>+'23. mell. Terszoc.'!K57</f>
        <v>63218061</v>
      </c>
      <c r="AI28" s="3415"/>
      <c r="AJ28" s="3415">
        <f>+'24. mell. Napraforgó'!K57</f>
        <v>19227563</v>
      </c>
      <c r="AK28" s="3415"/>
      <c r="AL28" s="3415">
        <f>+'25. mell. Kerületgazda'!K57</f>
        <v>114268976</v>
      </c>
      <c r="AM28" s="3415"/>
      <c r="AN28" s="3415">
        <f>+'26. mell. Őrszolgálat'!K57</f>
        <v>56907113</v>
      </c>
      <c r="AO28" s="3415"/>
      <c r="AP28" s="3415">
        <f>+'27. mell. KHEK'!K57</f>
        <v>11509576</v>
      </c>
      <c r="AQ28" s="3415"/>
      <c r="AR28" s="3415">
        <f>+'28. mell. KIO'!K57</f>
        <v>144799531</v>
      </c>
      <c r="AS28" s="3415">
        <f>+H28+J28+L28+N28+P28+R28+T28+V28+X28+Z28+AB28+AD28+AF28+AH28+AJ28+AL28+AN28+AP28+AR28</f>
        <v>1897911901</v>
      </c>
    </row>
    <row r="29" spans="1:47" ht="15.75" hidden="1">
      <c r="B29" s="3379" t="s">
        <v>3059</v>
      </c>
      <c r="C29" s="304">
        <f>+C27-C28</f>
        <v>0</v>
      </c>
      <c r="D29" s="304">
        <f>+D27-D28</f>
        <v>1897911901</v>
      </c>
      <c r="E29" s="304"/>
      <c r="F29" s="3415">
        <f>+F27-F28</f>
        <v>0</v>
      </c>
      <c r="G29" s="3415">
        <f t="shared" ref="G29:AR29" si="24">+G27-G28</f>
        <v>958683.60499999998</v>
      </c>
      <c r="H29" s="3415">
        <f t="shared" si="24"/>
        <v>0</v>
      </c>
      <c r="I29" s="3415">
        <f t="shared" si="24"/>
        <v>4139.3950000000004</v>
      </c>
      <c r="J29" s="3415">
        <f t="shared" si="24"/>
        <v>0</v>
      </c>
      <c r="K29" s="3415">
        <f t="shared" si="24"/>
        <v>221571.59700000001</v>
      </c>
      <c r="L29" s="3415">
        <f t="shared" si="24"/>
        <v>0</v>
      </c>
      <c r="M29" s="3415">
        <f t="shared" si="24"/>
        <v>3211.4389999999999</v>
      </c>
      <c r="N29" s="3415">
        <f t="shared" si="24"/>
        <v>0</v>
      </c>
      <c r="O29" s="3415">
        <f t="shared" si="24"/>
        <v>23167.225999999999</v>
      </c>
      <c r="P29" s="3415">
        <f t="shared" si="24"/>
        <v>0</v>
      </c>
      <c r="Q29" s="3415">
        <f t="shared" si="24"/>
        <v>13473.691999999999</v>
      </c>
      <c r="R29" s="3415">
        <f t="shared" si="24"/>
        <v>0</v>
      </c>
      <c r="S29" s="3415">
        <f t="shared" si="24"/>
        <v>40050.75</v>
      </c>
      <c r="T29" s="3415">
        <f t="shared" si="24"/>
        <v>0</v>
      </c>
      <c r="U29" s="3415">
        <f t="shared" si="24"/>
        <v>11127.877</v>
      </c>
      <c r="V29" s="3415">
        <f t="shared" si="24"/>
        <v>0</v>
      </c>
      <c r="W29" s="3415">
        <f t="shared" si="24"/>
        <v>9885.1460000000006</v>
      </c>
      <c r="X29" s="3415">
        <f t="shared" si="24"/>
        <v>0</v>
      </c>
      <c r="Y29" s="3415">
        <f t="shared" si="24"/>
        <v>28696.827000000001</v>
      </c>
      <c r="Z29" s="3415">
        <f t="shared" si="24"/>
        <v>0</v>
      </c>
      <c r="AA29" s="3415">
        <f t="shared" si="24"/>
        <v>35470.248</v>
      </c>
      <c r="AB29" s="3415">
        <f t="shared" si="24"/>
        <v>0</v>
      </c>
      <c r="AC29" s="3415">
        <f t="shared" si="24"/>
        <v>70950.657000000007</v>
      </c>
      <c r="AD29" s="3415">
        <f t="shared" si="24"/>
        <v>0</v>
      </c>
      <c r="AE29" s="3415">
        <f t="shared" si="24"/>
        <v>67552.622000000003</v>
      </c>
      <c r="AF29" s="3415">
        <f t="shared" si="24"/>
        <v>0</v>
      </c>
      <c r="AG29" s="3415">
        <f t="shared" si="24"/>
        <v>63218.061000000002</v>
      </c>
      <c r="AH29" s="3415">
        <f t="shared" si="24"/>
        <v>0</v>
      </c>
      <c r="AI29" s="3415">
        <f t="shared" si="24"/>
        <v>19227.562999999998</v>
      </c>
      <c r="AJ29" s="3415">
        <f t="shared" si="24"/>
        <v>0</v>
      </c>
      <c r="AK29" s="3415">
        <f t="shared" si="24"/>
        <v>114268.976</v>
      </c>
      <c r="AL29" s="3415">
        <f t="shared" si="24"/>
        <v>0</v>
      </c>
      <c r="AM29" s="3415">
        <f t="shared" si="24"/>
        <v>56907.113000000005</v>
      </c>
      <c r="AN29" s="3415">
        <f t="shared" si="24"/>
        <v>0</v>
      </c>
      <c r="AO29" s="3415">
        <f t="shared" si="24"/>
        <v>11509.576000000001</v>
      </c>
      <c r="AP29" s="3415">
        <f t="shared" si="24"/>
        <v>0</v>
      </c>
      <c r="AQ29" s="3415">
        <f t="shared" si="24"/>
        <v>144799.53099999999</v>
      </c>
      <c r="AR29" s="3415">
        <f t="shared" si="24"/>
        <v>0</v>
      </c>
      <c r="AS29" s="3415"/>
    </row>
    <row r="30" spans="1:47">
      <c r="F30" s="3415"/>
      <c r="G30" s="3226"/>
      <c r="H30" s="3226"/>
      <c r="I30" s="3226"/>
      <c r="J30" s="3226"/>
      <c r="K30" s="3226"/>
      <c r="L30" s="3226"/>
      <c r="M30" s="3226"/>
      <c r="N30" s="3226"/>
      <c r="O30" s="3226"/>
      <c r="P30" s="3226"/>
      <c r="Q30" s="3226"/>
      <c r="R30" s="3226"/>
      <c r="S30" s="3226"/>
      <c r="T30" s="3226"/>
      <c r="U30" s="3226"/>
      <c r="V30" s="3226"/>
      <c r="W30" s="3226"/>
      <c r="X30" s="3226"/>
      <c r="Y30" s="3226"/>
      <c r="Z30" s="3226"/>
      <c r="AA30" s="3226"/>
      <c r="AB30" s="3226"/>
      <c r="AC30" s="3226"/>
      <c r="AD30" s="3226"/>
      <c r="AE30" s="3226"/>
      <c r="AF30" s="3226"/>
      <c r="AG30" s="3226"/>
      <c r="AH30" s="3226"/>
      <c r="AI30" s="3226"/>
      <c r="AJ30" s="3226"/>
      <c r="AK30" s="3226"/>
      <c r="AL30" s="3226"/>
      <c r="AM30" s="3226"/>
      <c r="AN30" s="3226"/>
      <c r="AO30" s="3226"/>
      <c r="AP30" s="3226"/>
      <c r="AQ30" s="3226"/>
      <c r="AR30" s="3226"/>
      <c r="AS30" s="3226"/>
    </row>
    <row r="31" spans="1:47">
      <c r="F31" s="3226"/>
      <c r="G31" s="3226"/>
      <c r="H31" s="3226"/>
      <c r="I31" s="3226"/>
      <c r="J31" s="3226"/>
      <c r="K31" s="3226"/>
      <c r="L31" s="3226"/>
      <c r="M31" s="3226"/>
      <c r="N31" s="3226"/>
      <c r="O31" s="3226"/>
      <c r="P31" s="3226"/>
      <c r="Q31" s="3226"/>
      <c r="R31" s="3416"/>
      <c r="S31" s="3226"/>
      <c r="T31" s="3226"/>
      <c r="U31" s="3226"/>
      <c r="V31" s="3226"/>
      <c r="W31" s="3226"/>
      <c r="X31" s="3226"/>
      <c r="Y31" s="3226"/>
      <c r="Z31" s="3226"/>
      <c r="AA31" s="3226"/>
      <c r="AB31" s="3226"/>
      <c r="AC31" s="3226"/>
      <c r="AD31" s="3226"/>
      <c r="AE31" s="3226"/>
      <c r="AF31" s="3226"/>
      <c r="AG31" s="3226"/>
      <c r="AH31" s="3226"/>
      <c r="AI31" s="3226"/>
      <c r="AJ31" s="3226"/>
      <c r="AK31" s="3226"/>
      <c r="AL31" s="3226"/>
      <c r="AM31" s="3226"/>
      <c r="AN31" s="3226"/>
      <c r="AO31" s="3226"/>
      <c r="AP31" s="3416"/>
      <c r="AQ31" s="3226"/>
      <c r="AR31" s="3226"/>
      <c r="AS31" s="3226"/>
    </row>
    <row r="32" spans="1:47">
      <c r="E32" s="304"/>
      <c r="F32" s="304"/>
      <c r="G32" s="304"/>
      <c r="H32" s="3417"/>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row>
  </sheetData>
  <sheetProtection algorithmName="SHA-512" hashValue="66diwbMBUwDFxphSivMZnwW1Doy4Wc2w7fB2BCsxuS110hgm2nV6e/3YRLdchIqLjQReWEAZx60qrKAz7e995Q==" saltValue="Sr7ph7qlLQW6y7HM2DNHPw==" spinCount="100000" sheet="1" selectLockedCells="1" selectUnlockedCells="1"/>
  <mergeCells count="6">
    <mergeCell ref="A1:AR1"/>
    <mergeCell ref="A2:AR2"/>
    <mergeCell ref="A3:AM3"/>
    <mergeCell ref="A4:AR4"/>
    <mergeCell ref="E5:I5"/>
    <mergeCell ref="AL5:AP5"/>
  </mergeCells>
  <printOptions horizontalCentered="1"/>
  <pageMargins left="0" right="0" top="0.74803149606299213" bottom="0.74803149606299213" header="0.31496062992125984" footer="0.31496062992125984"/>
  <pageSetup paperSize="9" scale="40" orientation="landscape" r:id="rId1"/>
  <headerFooter>
    <oddFooter>&amp;C&amp;"Arial CE,Félkövér"&amp;20&amp;P/&amp;N</oddFooter>
  </headerFooter>
  <colBreaks count="1" manualBreakCount="1">
    <brk id="41"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37CB4-A9F6-447D-8D08-EC6B9A11B5C8}">
  <sheetPr>
    <tabColor rgb="FF92D050"/>
  </sheetPr>
  <dimension ref="A1:T43"/>
  <sheetViews>
    <sheetView zoomScaleNormal="100" workbookViewId="0">
      <pane ySplit="2" topLeftCell="A3" activePane="bottomLeft" state="frozen"/>
      <selection sqref="A1:K1"/>
      <selection pane="bottomLeft" sqref="A1:G1"/>
    </sheetView>
  </sheetViews>
  <sheetFormatPr defaultRowHeight="15.75"/>
  <cols>
    <col min="1" max="1" width="6.5703125" style="3380" customWidth="1"/>
    <col min="2" max="2" width="37.85546875" style="3380" customWidth="1"/>
    <col min="3" max="4" width="15.7109375" style="3381" customWidth="1"/>
    <col min="5" max="5" width="15.5703125" style="3381" customWidth="1"/>
    <col min="6" max="6" width="16.85546875" style="3381" customWidth="1"/>
    <col min="7" max="7" width="16.140625" style="3381" bestFit="1" customWidth="1"/>
    <col min="8" max="8" width="14.5703125" style="3380" hidden="1" customWidth="1"/>
    <col min="9" max="9" width="15" style="3380" hidden="1" customWidth="1"/>
    <col min="10" max="10" width="2.140625" style="3380" hidden="1" customWidth="1"/>
    <col min="11" max="11" width="3" style="3380" hidden="1" customWidth="1"/>
    <col min="12" max="13" width="11" style="3380" hidden="1" customWidth="1"/>
    <col min="14" max="14" width="7.5703125" style="3380" bestFit="1" customWidth="1"/>
    <col min="15" max="15" width="9.140625" style="3380"/>
    <col min="16" max="16" width="15.42578125" style="3380" bestFit="1" customWidth="1"/>
    <col min="17" max="17" width="12.42578125" style="3380" bestFit="1" customWidth="1"/>
    <col min="18" max="18" width="9.140625" style="3380"/>
    <col min="19" max="20" width="12.42578125" style="3380" bestFit="1" customWidth="1"/>
    <col min="21" max="16384" width="9.140625" style="3380"/>
  </cols>
  <sheetData>
    <row r="1" spans="1:17" ht="38.25" customHeight="1">
      <c r="A1" s="3785" t="s">
        <v>4153</v>
      </c>
      <c r="B1" s="3785"/>
      <c r="C1" s="3785"/>
      <c r="D1" s="3785"/>
      <c r="E1" s="3785"/>
      <c r="F1" s="3785"/>
      <c r="G1" s="3785"/>
      <c r="P1" s="3380" t="s">
        <v>4208</v>
      </c>
    </row>
    <row r="2" spans="1:17" ht="24.75" customHeight="1">
      <c r="A2" s="3786" t="s">
        <v>4154</v>
      </c>
      <c r="B2" s="3786"/>
      <c r="C2" s="3786"/>
      <c r="D2" s="3786"/>
      <c r="E2" s="3786"/>
      <c r="F2" s="3786"/>
      <c r="G2" s="3786"/>
    </row>
    <row r="3" spans="1:17" ht="24.75" customHeight="1">
      <c r="G3" s="3382" t="s">
        <v>3546</v>
      </c>
    </row>
    <row r="4" spans="1:17" ht="24.75" customHeight="1">
      <c r="B4" s="3383" t="s">
        <v>4155</v>
      </c>
      <c r="F4" s="3384"/>
      <c r="G4" s="3385"/>
    </row>
    <row r="5" spans="1:17" ht="55.5" customHeight="1">
      <c r="A5" s="3386" t="s">
        <v>2726</v>
      </c>
      <c r="B5" s="1914" t="s">
        <v>136</v>
      </c>
      <c r="C5" s="3387" t="s">
        <v>4156</v>
      </c>
      <c r="D5" s="3387" t="s">
        <v>4157</v>
      </c>
      <c r="E5" s="3387" t="s">
        <v>4158</v>
      </c>
      <c r="F5" s="3387" t="s">
        <v>4159</v>
      </c>
      <c r="G5" s="3387" t="s">
        <v>156</v>
      </c>
      <c r="H5" s="3381"/>
      <c r="I5" s="3380" t="s">
        <v>459</v>
      </c>
    </row>
    <row r="6" spans="1:17" ht="15" customHeight="1">
      <c r="A6" s="3388" t="s">
        <v>6</v>
      </c>
      <c r="B6" s="3389" t="s">
        <v>4160</v>
      </c>
      <c r="C6" s="3390">
        <v>26498372264</v>
      </c>
      <c r="D6" s="3390">
        <v>8196222994</v>
      </c>
      <c r="E6" s="3390">
        <v>1996580979</v>
      </c>
      <c r="F6" s="3390">
        <v>16305568291</v>
      </c>
      <c r="G6" s="3390">
        <f>SUM(D6:F6)</f>
        <v>26498372264</v>
      </c>
      <c r="H6" s="3381"/>
      <c r="I6" s="3381">
        <f t="shared" ref="I6:M12" si="0">+C6-C16</f>
        <v>0</v>
      </c>
      <c r="J6" s="3381">
        <f t="shared" si="0"/>
        <v>0</v>
      </c>
      <c r="K6" s="3381">
        <f t="shared" si="0"/>
        <v>0</v>
      </c>
      <c r="L6" s="3381">
        <f t="shared" si="0"/>
        <v>0</v>
      </c>
      <c r="M6" s="3381">
        <f t="shared" si="0"/>
        <v>0</v>
      </c>
      <c r="N6" s="3381"/>
      <c r="O6" s="3381"/>
    </row>
    <row r="7" spans="1:17" ht="15" customHeight="1">
      <c r="A7" s="3388" t="s">
        <v>12</v>
      </c>
      <c r="B7" s="3389" t="s">
        <v>4161</v>
      </c>
      <c r="C7" s="3390">
        <v>26902559082</v>
      </c>
      <c r="D7" s="3390">
        <v>26902559082</v>
      </c>
      <c r="E7" s="3390">
        <v>0</v>
      </c>
      <c r="F7" s="3390"/>
      <c r="G7" s="3390">
        <f>SUM(D7:F7)</f>
        <v>26902559082</v>
      </c>
      <c r="H7" s="3381"/>
      <c r="I7" s="3381">
        <f t="shared" si="0"/>
        <v>13473547495</v>
      </c>
      <c r="J7" s="3381">
        <f t="shared" si="0"/>
        <v>0</v>
      </c>
      <c r="K7" s="3381">
        <f t="shared" si="0"/>
        <v>0</v>
      </c>
      <c r="L7" s="3381">
        <f t="shared" si="0"/>
        <v>0</v>
      </c>
      <c r="M7" s="3381">
        <f t="shared" si="0"/>
        <v>0</v>
      </c>
    </row>
    <row r="8" spans="1:17" ht="15" customHeight="1">
      <c r="A8" s="3391" t="s">
        <v>14</v>
      </c>
      <c r="B8" s="3392" t="s">
        <v>4162</v>
      </c>
      <c r="C8" s="3393">
        <f>SUM(C6:C7)</f>
        <v>53400931346</v>
      </c>
      <c r="D8" s="3393">
        <f>SUM(D6:D7)</f>
        <v>35098782076</v>
      </c>
      <c r="E8" s="3393">
        <f>SUM(E6:E7)</f>
        <v>1996580979</v>
      </c>
      <c r="F8" s="3393">
        <f>SUM(F6:F7)</f>
        <v>16305568291</v>
      </c>
      <c r="G8" s="3393">
        <f>SUM(G6:G7)</f>
        <v>53400931346</v>
      </c>
      <c r="H8" s="3381"/>
      <c r="I8" s="3381">
        <f t="shared" si="0"/>
        <v>13473547495</v>
      </c>
      <c r="J8" s="3381">
        <f t="shared" si="0"/>
        <v>0</v>
      </c>
      <c r="K8" s="3381">
        <f t="shared" si="0"/>
        <v>0</v>
      </c>
      <c r="L8" s="3381">
        <f t="shared" si="0"/>
        <v>0</v>
      </c>
      <c r="M8" s="3381">
        <f t="shared" si="0"/>
        <v>0</v>
      </c>
    </row>
    <row r="9" spans="1:17" ht="15" customHeight="1">
      <c r="A9" s="3388" t="s">
        <v>15</v>
      </c>
      <c r="B9" s="3389" t="s">
        <v>4163</v>
      </c>
      <c r="C9" s="3390">
        <v>27209648493</v>
      </c>
      <c r="D9" s="3390">
        <v>22082859036</v>
      </c>
      <c r="E9" s="3390">
        <v>12369827</v>
      </c>
      <c r="F9" s="3390">
        <v>5114419630</v>
      </c>
      <c r="G9" s="3390">
        <f>SUM(D9:F9)</f>
        <v>27209648493</v>
      </c>
      <c r="H9" s="3381"/>
      <c r="I9" s="3381">
        <f t="shared" si="0"/>
        <v>0</v>
      </c>
      <c r="J9" s="3381">
        <f t="shared" si="0"/>
        <v>0</v>
      </c>
      <c r="K9" s="3381">
        <f t="shared" si="0"/>
        <v>0</v>
      </c>
      <c r="L9" s="3381">
        <f t="shared" si="0"/>
        <v>0</v>
      </c>
      <c r="M9" s="3381">
        <f t="shared" si="0"/>
        <v>0</v>
      </c>
    </row>
    <row r="10" spans="1:17" ht="15" customHeight="1">
      <c r="A10" s="3388" t="s">
        <v>17</v>
      </c>
      <c r="B10" s="3389" t="s">
        <v>4164</v>
      </c>
      <c r="C10" s="3390">
        <v>28089194754</v>
      </c>
      <c r="D10" s="3390">
        <v>13974606645</v>
      </c>
      <c r="E10" s="3390">
        <v>1988350547</v>
      </c>
      <c r="F10" s="3390">
        <v>12126237562</v>
      </c>
      <c r="G10" s="3390">
        <f>SUM(D10:F10)</f>
        <v>28089194754</v>
      </c>
      <c r="H10" s="3381"/>
      <c r="I10" s="3381">
        <f t="shared" si="0"/>
        <v>13473547495</v>
      </c>
      <c r="J10" s="3381">
        <f t="shared" si="0"/>
        <v>0</v>
      </c>
      <c r="K10" s="3381">
        <f t="shared" si="0"/>
        <v>0</v>
      </c>
      <c r="L10" s="3381">
        <f t="shared" si="0"/>
        <v>0</v>
      </c>
      <c r="M10" s="3381">
        <f t="shared" si="0"/>
        <v>0</v>
      </c>
    </row>
    <row r="11" spans="1:17" ht="15" customHeight="1">
      <c r="A11" s="3391" t="s">
        <v>19</v>
      </c>
      <c r="B11" s="3392" t="s">
        <v>4165</v>
      </c>
      <c r="C11" s="3393">
        <f>SUM(C9:C10)</f>
        <v>55298843247</v>
      </c>
      <c r="D11" s="3393">
        <f>SUM(D9:D10)</f>
        <v>36057465681</v>
      </c>
      <c r="E11" s="3393">
        <f>SUM(E9:E10)</f>
        <v>2000720374</v>
      </c>
      <c r="F11" s="3393">
        <f>SUM(F9:F10)</f>
        <v>17240657192</v>
      </c>
      <c r="G11" s="3393">
        <f>SUM(G9:G10)</f>
        <v>55298843247</v>
      </c>
      <c r="H11" s="3381"/>
      <c r="I11" s="3381">
        <f t="shared" si="0"/>
        <v>13473547495</v>
      </c>
      <c r="J11" s="3381">
        <f t="shared" si="0"/>
        <v>0</v>
      </c>
      <c r="K11" s="3381">
        <f t="shared" si="0"/>
        <v>0</v>
      </c>
      <c r="L11" s="3381">
        <f t="shared" si="0"/>
        <v>0</v>
      </c>
      <c r="M11" s="3381">
        <f t="shared" si="0"/>
        <v>0</v>
      </c>
    </row>
    <row r="12" spans="1:17" ht="15" customHeight="1">
      <c r="A12" s="3391" t="s">
        <v>21</v>
      </c>
      <c r="B12" s="3392" t="s">
        <v>4166</v>
      </c>
      <c r="C12" s="3393">
        <f>+C11-C8</f>
        <v>1897911901</v>
      </c>
      <c r="D12" s="3393">
        <f>+D11-D8</f>
        <v>958683605</v>
      </c>
      <c r="E12" s="3393">
        <f>+E11-E8</f>
        <v>4139395</v>
      </c>
      <c r="F12" s="3393">
        <f>+F11-F8</f>
        <v>935088901</v>
      </c>
      <c r="G12" s="3393">
        <f>+G11-G8</f>
        <v>1897911901</v>
      </c>
      <c r="H12" s="3381"/>
      <c r="I12" s="3381">
        <f t="shared" si="0"/>
        <v>0</v>
      </c>
      <c r="J12" s="3381">
        <f t="shared" si="0"/>
        <v>0</v>
      </c>
      <c r="K12" s="3381">
        <f t="shared" si="0"/>
        <v>0</v>
      </c>
      <c r="L12" s="3381">
        <f t="shared" si="0"/>
        <v>0</v>
      </c>
      <c r="M12" s="3381">
        <f t="shared" si="0"/>
        <v>0</v>
      </c>
      <c r="P12" s="3381">
        <f>SUM(E12:F12)</f>
        <v>939228296</v>
      </c>
    </row>
    <row r="13" spans="1:17" ht="15" customHeight="1">
      <c r="A13" s="3394"/>
      <c r="B13" s="3383"/>
      <c r="C13" s="3395"/>
      <c r="D13" s="3395"/>
      <c r="E13" s="3395"/>
      <c r="F13" s="3395"/>
      <c r="G13" s="3395"/>
      <c r="H13" s="3381"/>
      <c r="I13" s="3381"/>
      <c r="J13" s="3381"/>
      <c r="K13" s="3381"/>
      <c r="L13" s="3381"/>
      <c r="M13" s="3381"/>
    </row>
    <row r="14" spans="1:17" ht="15" customHeight="1">
      <c r="A14" s="3394"/>
      <c r="B14" s="3383" t="s">
        <v>4167</v>
      </c>
      <c r="C14" s="3395"/>
      <c r="D14" s="3395"/>
      <c r="E14" s="3395"/>
      <c r="F14" s="3395"/>
      <c r="G14" s="3395"/>
      <c r="H14" s="3381"/>
      <c r="I14" s="3381"/>
      <c r="J14" s="3381"/>
      <c r="K14" s="3381"/>
      <c r="L14" s="3381"/>
      <c r="M14" s="3381"/>
    </row>
    <row r="15" spans="1:17" ht="113.25" customHeight="1">
      <c r="A15" s="3386" t="s">
        <v>2726</v>
      </c>
      <c r="B15" s="1914" t="s">
        <v>136</v>
      </c>
      <c r="C15" s="3387" t="s">
        <v>4168</v>
      </c>
      <c r="D15" s="3387" t="s">
        <v>4169</v>
      </c>
      <c r="E15" s="3387" t="s">
        <v>4170</v>
      </c>
      <c r="F15" s="3387" t="s">
        <v>4171</v>
      </c>
      <c r="G15" s="3387" t="s">
        <v>156</v>
      </c>
      <c r="H15" s="3381"/>
      <c r="I15" s="3381"/>
      <c r="J15" s="3381"/>
      <c r="K15" s="3381"/>
      <c r="L15" s="3381"/>
      <c r="M15" s="3381"/>
    </row>
    <row r="16" spans="1:17" ht="15" customHeight="1">
      <c r="A16" s="3388" t="s">
        <v>6</v>
      </c>
      <c r="B16" s="3389" t="s">
        <v>4172</v>
      </c>
      <c r="C16" s="3390">
        <f>+'1. mell.ÖSSZEVONT_MÉRLEG'!J130</f>
        <v>26498372264</v>
      </c>
      <c r="D16" s="3390">
        <f>+'5. mell.Önk-i mérleg'!J128</f>
        <v>8196222994</v>
      </c>
      <c r="E16" s="3390">
        <f>+'9. mell. PMH'!K52</f>
        <v>1996580979</v>
      </c>
      <c r="F16" s="3390">
        <f>+'8. mell. Intézmények összesen'!K52-'9. mell. PMH'!K52</f>
        <v>16305568291</v>
      </c>
      <c r="G16" s="3390">
        <f>+D16+E16+F16</f>
        <v>26498372264</v>
      </c>
      <c r="H16" s="3381">
        <v>-11189275</v>
      </c>
      <c r="P16" s="3381">
        <f>+C16-D16-E16</f>
        <v>16305568291</v>
      </c>
      <c r="Q16" s="3381">
        <f>+P16-F6</f>
        <v>0</v>
      </c>
    </row>
    <row r="17" spans="1:20" ht="15" customHeight="1">
      <c r="A17" s="3388" t="s">
        <v>12</v>
      </c>
      <c r="B17" s="3389" t="s">
        <v>4173</v>
      </c>
      <c r="C17" s="3390">
        <f>+'1. mell.ÖSSZEVONT_MÉRLEG'!J152</f>
        <v>13429011587</v>
      </c>
      <c r="D17" s="3390">
        <f>+'5. mell.Önk-i mérleg'!J151</f>
        <v>26902559082</v>
      </c>
      <c r="E17" s="3390">
        <v>0</v>
      </c>
      <c r="F17" s="3390">
        <v>0</v>
      </c>
      <c r="G17" s="3390">
        <f>+D17+E17+F17</f>
        <v>26902559082</v>
      </c>
      <c r="H17" s="3381"/>
    </row>
    <row r="18" spans="1:20" ht="15" customHeight="1">
      <c r="A18" s="3391" t="s">
        <v>14</v>
      </c>
      <c r="B18" s="3392" t="s">
        <v>2852</v>
      </c>
      <c r="C18" s="3393">
        <f>SUM(C16:C17)</f>
        <v>39927383851</v>
      </c>
      <c r="D18" s="3393">
        <f>SUM(D16:D17)</f>
        <v>35098782076</v>
      </c>
      <c r="E18" s="3393">
        <f>SUM(E16:E17)</f>
        <v>1996580979</v>
      </c>
      <c r="F18" s="3393">
        <f>SUM(F16:F17)</f>
        <v>16305568291</v>
      </c>
      <c r="G18" s="3393">
        <f>SUM(G16:G17)</f>
        <v>53400931346</v>
      </c>
      <c r="H18" s="3381"/>
    </row>
    <row r="19" spans="1:20" ht="15" customHeight="1">
      <c r="A19" s="3388" t="s">
        <v>15</v>
      </c>
      <c r="B19" s="3389" t="s">
        <v>4174</v>
      </c>
      <c r="C19" s="3390">
        <f>+'1. mell.ÖSSZEVONT_MÉRLEG'!J63</f>
        <v>27209648493</v>
      </c>
      <c r="D19" s="3390">
        <f>+'5. mell.Önk-i mérleg'!J63</f>
        <v>22082859036</v>
      </c>
      <c r="E19" s="3390">
        <f>+'9. mell. PMH'!K32</f>
        <v>12369827</v>
      </c>
      <c r="F19" s="3390">
        <f>+'8. mell. Intézmények összesen'!K32-'9. mell. PMH'!K32</f>
        <v>5114419630</v>
      </c>
      <c r="G19" s="3390">
        <f>+D19+E19+F19</f>
        <v>27209648493</v>
      </c>
      <c r="H19" s="3381">
        <v>-3776203</v>
      </c>
    </row>
    <row r="20" spans="1:20" ht="15" customHeight="1">
      <c r="A20" s="3388" t="s">
        <v>17</v>
      </c>
      <c r="B20" s="3389" t="s">
        <v>4175</v>
      </c>
      <c r="C20" s="3390">
        <f>+'1. mell.ÖSSZEVONT_MÉRLEG'!J87</f>
        <v>14615647259</v>
      </c>
      <c r="D20" s="3390">
        <f>+'5. mell.Önk-i mérleg'!J87</f>
        <v>13974606645</v>
      </c>
      <c r="E20" s="3390">
        <f>+'9. mell. PMH'!K33</f>
        <v>1988350547</v>
      </c>
      <c r="F20" s="3390">
        <f>+'8. mell. Intézmények összesen'!K33-'9. mell. PMH'!K33</f>
        <v>12126237562</v>
      </c>
      <c r="G20" s="3390">
        <f>+D20+E20+F20</f>
        <v>28089194754</v>
      </c>
      <c r="H20" s="3381">
        <v>-8024912</v>
      </c>
      <c r="P20" s="3381">
        <f>+E20+F20</f>
        <v>14114588109</v>
      </c>
    </row>
    <row r="21" spans="1:20" ht="15" customHeight="1">
      <c r="A21" s="3391" t="s">
        <v>19</v>
      </c>
      <c r="B21" s="3392" t="s">
        <v>4165</v>
      </c>
      <c r="C21" s="3393">
        <f>SUM(C19:C20)</f>
        <v>41825295752</v>
      </c>
      <c r="D21" s="3393">
        <f>SUM(D19:D20)</f>
        <v>36057465681</v>
      </c>
      <c r="E21" s="3393">
        <f>SUM(E19:E20)</f>
        <v>2000720374</v>
      </c>
      <c r="F21" s="3393">
        <f>SUM(F19:F20)</f>
        <v>17240657192</v>
      </c>
      <c r="G21" s="3393">
        <f>SUM(G19:G20)</f>
        <v>55298843247</v>
      </c>
      <c r="H21" s="3381"/>
      <c r="P21" s="3381">
        <f>+G21-C21</f>
        <v>13473547495</v>
      </c>
    </row>
    <row r="22" spans="1:20" ht="15" customHeight="1">
      <c r="A22" s="3391" t="s">
        <v>21</v>
      </c>
      <c r="B22" s="3392" t="s">
        <v>4166</v>
      </c>
      <c r="C22" s="3393">
        <f>+C21-C18</f>
        <v>1897911901</v>
      </c>
      <c r="D22" s="3393">
        <f>+D21-D18</f>
        <v>958683605</v>
      </c>
      <c r="E22" s="3393">
        <f>+E21-E18</f>
        <v>4139395</v>
      </c>
      <c r="F22" s="3393">
        <f>+F21-F18</f>
        <v>935088901</v>
      </c>
      <c r="G22" s="3393">
        <f>+G21-G18</f>
        <v>1897911901</v>
      </c>
      <c r="H22" s="3381">
        <v>-611840</v>
      </c>
      <c r="I22" s="3381">
        <f>+E22+F22</f>
        <v>939228296</v>
      </c>
      <c r="P22" s="3381">
        <f>+P20-P21</f>
        <v>641040614</v>
      </c>
      <c r="S22" s="3381">
        <f>+F22+E22</f>
        <v>939228296</v>
      </c>
      <c r="T22" s="3381">
        <f>+'8. mell. Intézmények összesen'!K57</f>
        <v>939228296</v>
      </c>
    </row>
    <row r="23" spans="1:20" ht="15" customHeight="1">
      <c r="A23" s="3394"/>
      <c r="B23" s="3383"/>
      <c r="C23" s="3395"/>
      <c r="D23" s="3395"/>
      <c r="E23" s="3395"/>
      <c r="F23" s="3395"/>
      <c r="G23" s="3395"/>
      <c r="H23" s="3381"/>
      <c r="I23" s="3381">
        <v>772563</v>
      </c>
      <c r="P23" s="3381">
        <f>+'8. mell. Intézmények összesen'!K34+'8. mell. Intézmények összesen'!K35</f>
        <v>641040614</v>
      </c>
    </row>
    <row r="24" spans="1:20" ht="15" customHeight="1">
      <c r="A24" s="3391" t="s">
        <v>6</v>
      </c>
      <c r="B24" s="3392" t="s">
        <v>4176</v>
      </c>
      <c r="C24" s="3393">
        <f>+C8-C18</f>
        <v>13473547495</v>
      </c>
      <c r="D24" s="3393">
        <f>+D8-D18</f>
        <v>0</v>
      </c>
      <c r="E24" s="3393">
        <f>+E8-E18</f>
        <v>0</v>
      </c>
      <c r="F24" s="3393">
        <f>+F8-F18</f>
        <v>0</v>
      </c>
      <c r="G24" s="3393">
        <f>+G8-G18</f>
        <v>0</v>
      </c>
      <c r="H24" s="3381"/>
      <c r="I24" s="3381">
        <f>+I22-I23</f>
        <v>938455733</v>
      </c>
    </row>
    <row r="25" spans="1:20" ht="15" customHeight="1">
      <c r="A25" s="3391" t="s">
        <v>12</v>
      </c>
      <c r="B25" s="3392" t="s">
        <v>4177</v>
      </c>
      <c r="C25" s="3393">
        <f t="shared" ref="C25:G26" si="1">+C11-C21</f>
        <v>13473547495</v>
      </c>
      <c r="D25" s="3393">
        <f t="shared" si="1"/>
        <v>0</v>
      </c>
      <c r="E25" s="3393">
        <f t="shared" si="1"/>
        <v>0</v>
      </c>
      <c r="F25" s="3393">
        <f t="shared" si="1"/>
        <v>0</v>
      </c>
      <c r="G25" s="3393">
        <f t="shared" si="1"/>
        <v>0</v>
      </c>
      <c r="H25" s="3381"/>
    </row>
    <row r="26" spans="1:20" ht="15" customHeight="1">
      <c r="A26" s="3391" t="s">
        <v>14</v>
      </c>
      <c r="B26" s="3396" t="s">
        <v>4178</v>
      </c>
      <c r="C26" s="3393">
        <f t="shared" si="1"/>
        <v>0</v>
      </c>
      <c r="D26" s="3393">
        <f t="shared" si="1"/>
        <v>0</v>
      </c>
      <c r="E26" s="3393">
        <f t="shared" si="1"/>
        <v>0</v>
      </c>
      <c r="F26" s="3393">
        <f t="shared" si="1"/>
        <v>0</v>
      </c>
      <c r="G26" s="3393">
        <f t="shared" si="1"/>
        <v>0</v>
      </c>
      <c r="H26" s="3381"/>
    </row>
    <row r="27" spans="1:20" ht="15" customHeight="1">
      <c r="A27" s="3394"/>
      <c r="B27" s="3397"/>
      <c r="C27" s="3395"/>
      <c r="D27" s="3395"/>
      <c r="E27" s="3395"/>
      <c r="F27" s="3395"/>
      <c r="G27" s="3395"/>
      <c r="H27" s="3381"/>
      <c r="P27" s="3381">
        <f>+'8. mell. Intézmények összesen'!K60</f>
        <v>939228296</v>
      </c>
    </row>
    <row r="28" spans="1:20" ht="15" customHeight="1">
      <c r="A28" s="3394"/>
      <c r="B28" s="3383" t="s">
        <v>3058</v>
      </c>
      <c r="C28" s="3395"/>
      <c r="D28" s="3395"/>
      <c r="E28" s="3395"/>
      <c r="F28" s="3395"/>
      <c r="G28" s="3395"/>
      <c r="H28" s="3381"/>
      <c r="P28" s="3381">
        <f>+E22+F22</f>
        <v>939228296</v>
      </c>
    </row>
    <row r="29" spans="1:20" ht="15" customHeight="1">
      <c r="A29" s="3394"/>
      <c r="B29" s="3383" t="s">
        <v>4179</v>
      </c>
      <c r="C29" s="3787" t="s">
        <v>4180</v>
      </c>
      <c r="D29" s="3788"/>
      <c r="E29" s="3788"/>
      <c r="F29" s="3382">
        <f>+'8. mell. Intézmények összesen'!K36</f>
        <v>13473547495</v>
      </c>
      <c r="G29" s="3395" t="s">
        <v>4181</v>
      </c>
      <c r="H29" s="3381"/>
      <c r="P29" s="3381">
        <f>+P27-P28</f>
        <v>0</v>
      </c>
    </row>
    <row r="30" spans="1:20" ht="15" customHeight="1">
      <c r="A30" s="3394"/>
      <c r="B30" s="3383" t="s">
        <v>4182</v>
      </c>
      <c r="C30" s="3395"/>
      <c r="D30" s="3395"/>
      <c r="E30" s="3395"/>
      <c r="F30" s="3395"/>
      <c r="G30" s="3395"/>
      <c r="H30" s="3381"/>
    </row>
    <row r="31" spans="1:20">
      <c r="B31" s="3383"/>
    </row>
    <row r="37" spans="5:7">
      <c r="E37" s="3380"/>
      <c r="F37" s="3380"/>
      <c r="G37" s="3380"/>
    </row>
    <row r="38" spans="5:7">
      <c r="E38" s="3380"/>
      <c r="F38" s="3380"/>
      <c r="G38" s="3380"/>
    </row>
    <row r="39" spans="5:7">
      <c r="E39" s="3380"/>
      <c r="F39" s="3380"/>
      <c r="G39" s="3380"/>
    </row>
    <row r="40" spans="5:7">
      <c r="E40" s="3380"/>
      <c r="F40" s="3380"/>
      <c r="G40" s="3380"/>
    </row>
    <row r="41" spans="5:7">
      <c r="E41" s="3380"/>
      <c r="F41" s="3380"/>
      <c r="G41" s="3380"/>
    </row>
    <row r="42" spans="5:7">
      <c r="E42" s="3380"/>
      <c r="F42" s="3380"/>
      <c r="G42" s="3380"/>
    </row>
    <row r="43" spans="5:7">
      <c r="E43" s="3380"/>
      <c r="F43" s="3380"/>
      <c r="G43" s="3380"/>
    </row>
  </sheetData>
  <sheetProtection selectLockedCells="1" selectUnlockedCells="1"/>
  <mergeCells count="3">
    <mergeCell ref="A1:G1"/>
    <mergeCell ref="A2:G2"/>
    <mergeCell ref="C29:E29"/>
  </mergeCells>
  <printOptions horizontalCentered="1"/>
  <pageMargins left="0.70866141732283472" right="0.70866141732283472" top="0.74803149606299213" bottom="0.74803149606299213" header="0.31496062992125984" footer="0.31496062992125984"/>
  <pageSetup paperSize="9" scale="76" orientation="landscape" r:id="rId1"/>
  <headerFooter>
    <oddFooter>&amp;C&amp;P/&amp;N</oddFooter>
  </headerFooter>
  <colBreaks count="1" manualBreakCount="1">
    <brk id="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03029-113C-4633-B79F-A6C693A2C511}">
  <sheetPr>
    <tabColor rgb="FF92D050"/>
    <pageSetUpPr fitToPage="1"/>
  </sheetPr>
  <dimension ref="A1:G40"/>
  <sheetViews>
    <sheetView zoomScale="90" zoomScaleNormal="90" workbookViewId="0">
      <pane xSplit="1" ySplit="2" topLeftCell="B3" activePane="bottomRight" state="frozen"/>
      <selection activeCell="A3" sqref="A3:F3"/>
      <selection pane="topRight" activeCell="A3" sqref="A3:F3"/>
      <selection pane="bottomLeft" activeCell="A3" sqref="A3:F3"/>
      <selection pane="bottomRight" activeCell="A3" sqref="A3:F3"/>
    </sheetView>
  </sheetViews>
  <sheetFormatPr defaultRowHeight="12.75"/>
  <cols>
    <col min="1" max="1" width="9.140625" style="1790"/>
    <col min="2" max="2" width="54.85546875" style="1790" customWidth="1"/>
    <col min="3" max="3" width="19" style="1790" customWidth="1"/>
    <col min="4" max="4" width="25.85546875" style="1790" customWidth="1"/>
    <col min="5" max="5" width="20.7109375" style="1790" customWidth="1"/>
    <col min="6" max="6" width="17" style="1790" customWidth="1"/>
    <col min="7" max="7" width="10.140625" style="1790" customWidth="1"/>
    <col min="8" max="8" width="11.140625" style="1790" customWidth="1"/>
    <col min="9" max="9" width="10.28515625" style="1790" customWidth="1"/>
    <col min="10" max="10" width="12" style="1790" bestFit="1" customWidth="1"/>
    <col min="11" max="11" width="25.42578125" style="1790" customWidth="1"/>
    <col min="12" max="12" width="21.85546875" style="1790" customWidth="1"/>
    <col min="13" max="13" width="31.7109375" style="1790" customWidth="1"/>
    <col min="14" max="16384" width="9.140625" style="1790"/>
  </cols>
  <sheetData>
    <row r="1" spans="1:7" ht="12.75" customHeight="1">
      <c r="A1" s="3789" t="s">
        <v>4237</v>
      </c>
      <c r="B1" s="3651"/>
      <c r="C1" s="3651"/>
      <c r="D1" s="3651"/>
      <c r="E1" s="3651"/>
      <c r="F1" s="3651"/>
    </row>
    <row r="2" spans="1:7">
      <c r="A2" s="3651"/>
      <c r="B2" s="3651"/>
      <c r="C2" s="3651"/>
      <c r="D2" s="3651"/>
      <c r="E2" s="3651"/>
      <c r="F2" s="3651"/>
    </row>
    <row r="3" spans="1:7" ht="55.5" customHeight="1">
      <c r="A3" s="3790" t="s">
        <v>4213</v>
      </c>
      <c r="B3" s="3790"/>
      <c r="C3" s="3790"/>
      <c r="D3" s="3790"/>
      <c r="E3" s="3790"/>
      <c r="F3" s="3790"/>
    </row>
    <row r="4" spans="1:7" ht="30" customHeight="1">
      <c r="A4" s="3791" t="s">
        <v>4183</v>
      </c>
      <c r="B4" s="3791"/>
      <c r="C4" s="3791"/>
      <c r="D4" s="3791"/>
      <c r="E4" s="3791"/>
      <c r="F4" s="3791"/>
    </row>
    <row r="5" spans="1:7" ht="78.75">
      <c r="A5" s="3398" t="s">
        <v>2766</v>
      </c>
      <c r="B5" s="3399" t="s">
        <v>136</v>
      </c>
      <c r="C5" s="3399" t="s">
        <v>4184</v>
      </c>
      <c r="D5" s="3399" t="s">
        <v>4185</v>
      </c>
      <c r="E5" s="3399" t="s">
        <v>4186</v>
      </c>
      <c r="F5" s="3399" t="s">
        <v>4187</v>
      </c>
      <c r="G5" s="3420"/>
    </row>
    <row r="6" spans="1:7" ht="15.75">
      <c r="A6" s="3399">
        <v>1</v>
      </c>
      <c r="B6" s="3399">
        <v>2</v>
      </c>
      <c r="C6" s="3399">
        <v>3</v>
      </c>
      <c r="D6" s="3399">
        <v>4</v>
      </c>
      <c r="E6" s="3399">
        <v>5</v>
      </c>
      <c r="F6" s="3399">
        <v>6</v>
      </c>
    </row>
    <row r="7" spans="1:7" ht="28.5" customHeight="1">
      <c r="A7" s="3405" t="s">
        <v>4122</v>
      </c>
      <c r="B7" s="2156" t="s">
        <v>4188</v>
      </c>
      <c r="C7" s="3421">
        <v>40823296</v>
      </c>
      <c r="D7" s="3421">
        <v>40823296</v>
      </c>
      <c r="E7" s="3421">
        <v>0</v>
      </c>
      <c r="F7" s="3421">
        <v>0</v>
      </c>
    </row>
    <row r="8" spans="1:7" ht="28.5" customHeight="1">
      <c r="A8" s="3405" t="s">
        <v>4148</v>
      </c>
      <c r="B8" s="2156" t="s">
        <v>4214</v>
      </c>
      <c r="C8" s="3421">
        <v>132524202</v>
      </c>
      <c r="D8" s="3421">
        <v>132524202</v>
      </c>
      <c r="E8" s="3421">
        <v>0</v>
      </c>
      <c r="F8" s="3421">
        <v>0</v>
      </c>
    </row>
    <row r="9" spans="1:7" ht="28.5" customHeight="1">
      <c r="A9" s="3405" t="s">
        <v>4215</v>
      </c>
      <c r="B9" s="2156" t="s">
        <v>4216</v>
      </c>
      <c r="C9" s="3421">
        <v>45137746</v>
      </c>
      <c r="D9" s="3421">
        <v>45137746</v>
      </c>
      <c r="E9" s="3421">
        <v>0</v>
      </c>
      <c r="F9" s="3421">
        <v>0</v>
      </c>
    </row>
    <row r="10" spans="1:7" ht="28.5" customHeight="1">
      <c r="A10" s="3413" t="s">
        <v>4217</v>
      </c>
      <c r="B10" s="3414" t="s">
        <v>4218</v>
      </c>
      <c r="C10" s="3423">
        <v>177661948</v>
      </c>
      <c r="D10" s="3423">
        <v>177661948</v>
      </c>
      <c r="E10" s="3423">
        <v>0</v>
      </c>
      <c r="F10" s="3423">
        <v>0</v>
      </c>
      <c r="G10" s="3401"/>
    </row>
    <row r="11" spans="1:7" ht="28.5" customHeight="1">
      <c r="A11" s="3405" t="s">
        <v>4219</v>
      </c>
      <c r="B11" s="2156" t="s">
        <v>4220</v>
      </c>
      <c r="C11" s="3421">
        <v>175000000</v>
      </c>
      <c r="D11" s="3421">
        <v>82366897</v>
      </c>
      <c r="E11" s="3421">
        <v>92633103</v>
      </c>
      <c r="F11" s="3421">
        <v>0</v>
      </c>
      <c r="G11" s="3401"/>
    </row>
    <row r="12" spans="1:7" ht="25.5">
      <c r="A12" s="3405" t="s">
        <v>4221</v>
      </c>
      <c r="B12" s="2156" t="s">
        <v>4189</v>
      </c>
      <c r="C12" s="3421">
        <v>7300000</v>
      </c>
      <c r="D12" s="3421">
        <v>7300000</v>
      </c>
      <c r="E12" s="3421">
        <v>0</v>
      </c>
      <c r="F12" s="3421">
        <v>0</v>
      </c>
    </row>
    <row r="13" spans="1:7">
      <c r="A13" s="3413" t="s">
        <v>4222</v>
      </c>
      <c r="B13" s="3422" t="s">
        <v>4223</v>
      </c>
      <c r="C13" s="3423">
        <v>400785244</v>
      </c>
      <c r="D13" s="3423">
        <v>308152141</v>
      </c>
      <c r="E13" s="3423">
        <v>92633103</v>
      </c>
      <c r="F13" s="3423">
        <v>0</v>
      </c>
    </row>
    <row r="40" spans="2:4">
      <c r="B40" s="3402"/>
      <c r="C40" s="3403"/>
      <c r="D40" s="3403"/>
    </row>
  </sheetData>
  <sheetProtection selectLockedCells="1" selectUnlockedCells="1"/>
  <mergeCells count="3">
    <mergeCell ref="A1:F2"/>
    <mergeCell ref="A3:F3"/>
    <mergeCell ref="A4:F4"/>
  </mergeCells>
  <printOptions horizontalCentered="1"/>
  <pageMargins left="0.70866141732283472" right="0.70866141732283472" top="0.74803149606299213" bottom="0.74803149606299213" header="0.31496062992125984" footer="0.31496062992125984"/>
  <pageSetup paperSize="9" scale="60" orientation="portrait" r:id="rId1"/>
  <headerFooter>
    <oddFooter>&amp;C&amp;"Arial CE,Félkövér"&amp;20&amp;P/&amp;N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0F925-E727-4CD9-8ADC-3C3CD853DB8C}">
  <sheetPr>
    <tabColor rgb="FF92D050"/>
    <pageSetUpPr fitToPage="1"/>
  </sheetPr>
  <dimension ref="A1:K23"/>
  <sheetViews>
    <sheetView zoomScale="80" zoomScaleNormal="80" workbookViewId="0">
      <pane xSplit="2" ySplit="4" topLeftCell="C5" activePane="bottomRight" state="frozen"/>
      <selection activeCell="A3" sqref="A3:F3"/>
      <selection pane="topRight" activeCell="A3" sqref="A3:F3"/>
      <selection pane="bottomLeft" activeCell="A3" sqref="A3:F3"/>
      <selection pane="bottomRight" activeCell="K16" sqref="K16"/>
    </sheetView>
  </sheetViews>
  <sheetFormatPr defaultRowHeight="12.75"/>
  <cols>
    <col min="1" max="1" width="4.85546875" style="1790" customWidth="1"/>
    <col min="2" max="2" width="44.5703125" style="1790" customWidth="1"/>
    <col min="3" max="3" width="15.7109375" style="1790" customWidth="1"/>
    <col min="4" max="4" width="15.140625" style="1790" customWidth="1"/>
    <col min="5" max="5" width="13.85546875" style="1790" customWidth="1"/>
    <col min="6" max="6" width="13.140625" style="1790" customWidth="1"/>
    <col min="7" max="7" width="17.28515625" style="1790" customWidth="1"/>
    <col min="8" max="8" width="20" style="1790" customWidth="1"/>
    <col min="9" max="9" width="18.7109375" style="1790" customWidth="1"/>
    <col min="10" max="10" width="19.5703125" style="1790" customWidth="1"/>
    <col min="11" max="11" width="16.140625" style="1790" customWidth="1"/>
    <col min="12" max="12" width="9.140625" style="1790"/>
    <col min="13" max="13" width="21.7109375" style="1790" customWidth="1"/>
    <col min="14" max="14" width="10.7109375" style="1790" bestFit="1" customWidth="1"/>
    <col min="15" max="16384" width="9.140625" style="1790"/>
  </cols>
  <sheetData>
    <row r="1" spans="1:11" ht="33">
      <c r="A1" s="3792" t="s">
        <v>4238</v>
      </c>
      <c r="B1" s="3792"/>
      <c r="C1" s="3792"/>
      <c r="D1" s="3792"/>
      <c r="E1" s="3792"/>
      <c r="F1" s="3792"/>
      <c r="G1" s="3792"/>
      <c r="H1" s="3792"/>
      <c r="I1" s="3792"/>
      <c r="J1" s="3792"/>
      <c r="K1" s="3792"/>
    </row>
    <row r="2" spans="1:11" ht="69.75" customHeight="1">
      <c r="A2" s="3793" t="s">
        <v>4190</v>
      </c>
      <c r="B2" s="3793"/>
      <c r="C2" s="3793"/>
      <c r="D2" s="3793"/>
      <c r="E2" s="3793"/>
      <c r="F2" s="3793"/>
      <c r="G2" s="3793"/>
      <c r="H2" s="3793"/>
      <c r="I2" s="3793"/>
      <c r="J2" s="3793"/>
      <c r="K2" s="3793"/>
    </row>
    <row r="3" spans="1:11" ht="156.75" customHeight="1">
      <c r="A3" s="3404" t="s">
        <v>2766</v>
      </c>
      <c r="B3" s="3405" t="s">
        <v>136</v>
      </c>
      <c r="C3" s="3405" t="s">
        <v>4191</v>
      </c>
      <c r="D3" s="3405" t="s">
        <v>4192</v>
      </c>
      <c r="E3" s="3405" t="s">
        <v>4193</v>
      </c>
      <c r="F3" s="3405" t="s">
        <v>4194</v>
      </c>
      <c r="G3" s="3405" t="s">
        <v>4195</v>
      </c>
      <c r="H3" s="3405" t="s">
        <v>4224</v>
      </c>
      <c r="I3" s="3405" t="s">
        <v>4196</v>
      </c>
      <c r="J3" s="3405" t="s">
        <v>4197</v>
      </c>
      <c r="K3" s="3405" t="s">
        <v>4198</v>
      </c>
    </row>
    <row r="4" spans="1:11" ht="15.75">
      <c r="A4" s="3399">
        <v>1</v>
      </c>
      <c r="B4" s="3399">
        <v>2</v>
      </c>
      <c r="C4" s="3399">
        <v>3</v>
      </c>
      <c r="D4" s="3399">
        <v>4</v>
      </c>
      <c r="E4" s="3399">
        <v>5</v>
      </c>
      <c r="F4" s="3399">
        <v>6</v>
      </c>
      <c r="G4" s="3399">
        <v>7</v>
      </c>
      <c r="H4" s="3399">
        <v>8</v>
      </c>
      <c r="I4" s="3399">
        <v>9</v>
      </c>
      <c r="J4" s="3399">
        <v>10</v>
      </c>
      <c r="K4" s="3399">
        <v>11</v>
      </c>
    </row>
    <row r="5" spans="1:11" ht="38.25">
      <c r="A5" s="3406" t="s">
        <v>4114</v>
      </c>
      <c r="B5" s="3407" t="s">
        <v>4225</v>
      </c>
      <c r="C5" s="3408">
        <v>1238973205</v>
      </c>
      <c r="D5" s="3408">
        <v>0</v>
      </c>
      <c r="E5" s="3408">
        <v>0</v>
      </c>
      <c r="F5" s="3408">
        <v>1238973205</v>
      </c>
      <c r="G5" s="3408">
        <v>0</v>
      </c>
      <c r="H5" s="3408">
        <v>1238973205</v>
      </c>
      <c r="I5" s="3408">
        <v>1238973205</v>
      </c>
      <c r="J5" s="3408">
        <v>0</v>
      </c>
      <c r="K5" s="3408">
        <v>0</v>
      </c>
    </row>
    <row r="6" spans="1:11" ht="25.5">
      <c r="A6" s="3406" t="s">
        <v>4122</v>
      </c>
      <c r="B6" s="3409" t="s">
        <v>4226</v>
      </c>
      <c r="C6" s="3408">
        <v>3022096356</v>
      </c>
      <c r="D6" s="3408">
        <v>81195622</v>
      </c>
      <c r="E6" s="3408">
        <v>-91519808</v>
      </c>
      <c r="F6" s="3408">
        <v>3030651200</v>
      </c>
      <c r="G6" s="3408">
        <v>18879030</v>
      </c>
      <c r="H6" s="3408">
        <v>3755547825</v>
      </c>
      <c r="I6" s="3408">
        <v>3030651200</v>
      </c>
      <c r="J6" s="3408">
        <v>18879030</v>
      </c>
      <c r="K6" s="3408">
        <v>0</v>
      </c>
    </row>
    <row r="7" spans="1:11" ht="38.25">
      <c r="A7" s="3406" t="s">
        <v>4124</v>
      </c>
      <c r="B7" s="3407" t="s">
        <v>4227</v>
      </c>
      <c r="C7" s="3408">
        <v>149364515</v>
      </c>
      <c r="D7" s="3408">
        <v>0</v>
      </c>
      <c r="E7" s="3408">
        <v>0</v>
      </c>
      <c r="F7" s="3408">
        <v>149364515</v>
      </c>
      <c r="G7" s="3408">
        <v>0</v>
      </c>
      <c r="H7" s="3408">
        <v>280706288</v>
      </c>
      <c r="I7" s="3408">
        <v>149364515</v>
      </c>
      <c r="J7" s="3408">
        <v>0</v>
      </c>
      <c r="K7" s="3408">
        <v>0</v>
      </c>
    </row>
    <row r="8" spans="1:11" ht="38.25">
      <c r="A8" s="3406" t="s">
        <v>4126</v>
      </c>
      <c r="B8" s="3407" t="s">
        <v>4228</v>
      </c>
      <c r="C8" s="3408">
        <v>225733420</v>
      </c>
      <c r="D8" s="3408">
        <v>10091380</v>
      </c>
      <c r="E8" s="3408">
        <v>-4987880</v>
      </c>
      <c r="F8" s="3408">
        <v>233469500</v>
      </c>
      <c r="G8" s="3408">
        <v>2632580</v>
      </c>
      <c r="H8" s="3408">
        <v>1309952931</v>
      </c>
      <c r="I8" s="3408">
        <v>233469500</v>
      </c>
      <c r="J8" s="3408">
        <v>2632580</v>
      </c>
      <c r="K8" s="3408">
        <v>0</v>
      </c>
    </row>
    <row r="9" spans="1:11">
      <c r="A9" s="3406" t="s">
        <v>4128</v>
      </c>
      <c r="B9" s="3407" t="s">
        <v>4229</v>
      </c>
      <c r="C9" s="3408">
        <v>899956400</v>
      </c>
      <c r="D9" s="3408">
        <v>38340400</v>
      </c>
      <c r="E9" s="3408">
        <v>-11236546</v>
      </c>
      <c r="F9" s="3408">
        <v>922681254</v>
      </c>
      <c r="G9" s="3408">
        <v>-4379000</v>
      </c>
      <c r="H9" s="3408">
        <v>1231587369</v>
      </c>
      <c r="I9" s="3408">
        <v>922681254</v>
      </c>
      <c r="J9" s="3408">
        <v>0</v>
      </c>
      <c r="K9" s="3408">
        <v>4379000</v>
      </c>
    </row>
    <row r="10" spans="1:11" ht="51">
      <c r="A10" s="3406" t="s">
        <v>4130</v>
      </c>
      <c r="B10" s="3407" t="s">
        <v>4230</v>
      </c>
      <c r="C10" s="3408">
        <v>0</v>
      </c>
      <c r="D10" s="3408">
        <v>0</v>
      </c>
      <c r="E10" s="3408">
        <v>41020417</v>
      </c>
      <c r="F10" s="3408">
        <v>25438017</v>
      </c>
      <c r="G10" s="3408">
        <v>-15582400</v>
      </c>
      <c r="H10" s="3408">
        <v>143738929</v>
      </c>
      <c r="I10" s="3408">
        <v>25438017</v>
      </c>
      <c r="J10" s="3408">
        <v>0</v>
      </c>
      <c r="K10" s="3408">
        <v>15582400</v>
      </c>
    </row>
    <row r="11" spans="1:11">
      <c r="A11" s="3406" t="s">
        <v>4132</v>
      </c>
      <c r="B11" s="3407" t="s">
        <v>4231</v>
      </c>
      <c r="C11" s="3408">
        <v>1104080182</v>
      </c>
      <c r="D11" s="3408">
        <v>65543864</v>
      </c>
      <c r="E11" s="3408">
        <v>80626955</v>
      </c>
      <c r="F11" s="3408">
        <v>1245856121</v>
      </c>
      <c r="G11" s="3408">
        <v>-4394880</v>
      </c>
      <c r="H11" s="3408">
        <v>1568017287</v>
      </c>
      <c r="I11" s="3408">
        <v>1245856121</v>
      </c>
      <c r="J11" s="3408">
        <v>0</v>
      </c>
      <c r="K11" s="3408">
        <v>4394880</v>
      </c>
    </row>
    <row r="12" spans="1:11">
      <c r="A12" s="3406" t="s">
        <v>4134</v>
      </c>
      <c r="B12" s="3407" t="s">
        <v>4232</v>
      </c>
      <c r="C12" s="3408">
        <v>99750</v>
      </c>
      <c r="D12" s="3408">
        <v>-12540</v>
      </c>
      <c r="E12" s="3408">
        <v>-13965</v>
      </c>
      <c r="F12" s="3408">
        <v>33060</v>
      </c>
      <c r="G12" s="3408">
        <v>-40185</v>
      </c>
      <c r="H12" s="3408">
        <v>336376</v>
      </c>
      <c r="I12" s="3408">
        <v>33060</v>
      </c>
      <c r="J12" s="3408">
        <v>0</v>
      </c>
      <c r="K12" s="3408">
        <v>40185</v>
      </c>
    </row>
    <row r="13" spans="1:11" s="3427" customFormat="1">
      <c r="A13" s="3424" t="s">
        <v>4136</v>
      </c>
      <c r="B13" s="3425" t="s">
        <v>4233</v>
      </c>
      <c r="C13" s="3426">
        <v>6640303828</v>
      </c>
      <c r="D13" s="3426">
        <v>195158726</v>
      </c>
      <c r="E13" s="3426">
        <v>13889173</v>
      </c>
      <c r="F13" s="3426">
        <v>6846466872</v>
      </c>
      <c r="G13" s="3426">
        <v>-2884855</v>
      </c>
      <c r="H13" s="3426">
        <v>9528860210</v>
      </c>
      <c r="I13" s="3426">
        <v>6846466872</v>
      </c>
      <c r="J13" s="3426">
        <v>21511610</v>
      </c>
      <c r="K13" s="3426">
        <v>24396465</v>
      </c>
    </row>
    <row r="14" spans="1:11">
      <c r="I14" s="3401"/>
      <c r="J14" s="3401"/>
    </row>
    <row r="15" spans="1:11">
      <c r="I15" s="3401"/>
      <c r="J15" s="3401"/>
    </row>
    <row r="16" spans="1:11" ht="15.75">
      <c r="H16" s="3428" t="s">
        <v>4234</v>
      </c>
      <c r="I16" s="3429"/>
      <c r="J16" s="3430"/>
      <c r="K16" s="3429">
        <f>+K13-J13</f>
        <v>2884855</v>
      </c>
    </row>
    <row r="17" spans="10:10">
      <c r="J17" s="3401"/>
    </row>
    <row r="18" spans="10:10">
      <c r="J18" s="3401"/>
    </row>
    <row r="19" spans="10:10">
      <c r="J19" s="3401"/>
    </row>
    <row r="20" spans="10:10">
      <c r="J20" s="3401"/>
    </row>
    <row r="21" spans="10:10">
      <c r="J21" s="3401"/>
    </row>
    <row r="22" spans="10:10">
      <c r="J22" s="3401"/>
    </row>
    <row r="23" spans="10:10">
      <c r="J23" s="3401"/>
    </row>
  </sheetData>
  <sheetProtection selectLockedCells="1" selectUnlockedCells="1"/>
  <mergeCells count="2">
    <mergeCell ref="A1:K1"/>
    <mergeCell ref="A2:K2"/>
  </mergeCells>
  <printOptions horizontalCentered="1"/>
  <pageMargins left="0" right="0" top="0.98425196850393704" bottom="0.98425196850393704" header="0.51181102362204722" footer="0.51181102362204722"/>
  <pageSetup scale="53" orientation="portrait" r:id="rId1"/>
  <headerFooter alignWithMargins="0">
    <oddFooter>&amp;C&amp;"Arial CE,Félkövér"&amp;24&amp;P/&amp;N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809C-D636-4141-80BD-FB93C9E7793C}">
  <sheetPr>
    <tabColor rgb="FF92D050"/>
    <pageSetUpPr fitToPage="1"/>
  </sheetPr>
  <dimension ref="A1:C12"/>
  <sheetViews>
    <sheetView zoomScaleNormal="100" workbookViewId="0">
      <pane xSplit="1" ySplit="5" topLeftCell="B6" activePane="bottomRight" state="frozen"/>
      <selection activeCell="A3" sqref="A3:F3"/>
      <selection pane="topRight" activeCell="A3" sqref="A3:F3"/>
      <selection pane="bottomLeft" activeCell="A3" sqref="A3:F3"/>
      <selection pane="bottomRight" activeCell="A3" sqref="A3:F3"/>
    </sheetView>
  </sheetViews>
  <sheetFormatPr defaultRowHeight="12.75"/>
  <cols>
    <col min="1" max="1" width="6" style="1790" customWidth="1"/>
    <col min="2" max="2" width="66.85546875" style="1790" customWidth="1"/>
    <col min="3" max="3" width="26.140625" style="1790" customWidth="1"/>
    <col min="4" max="4" width="0" style="1790" hidden="1" customWidth="1"/>
    <col min="5" max="16384" width="9.140625" style="1790"/>
  </cols>
  <sheetData>
    <row r="1" spans="1:3" ht="12.75" customHeight="1">
      <c r="A1" s="3790" t="s">
        <v>4239</v>
      </c>
      <c r="B1" s="3790"/>
      <c r="C1" s="3790"/>
    </row>
    <row r="2" spans="1:3" ht="36" customHeight="1">
      <c r="A2" s="3790"/>
      <c r="B2" s="3790"/>
      <c r="C2" s="3790"/>
    </row>
    <row r="3" spans="1:3" ht="36.75" customHeight="1">
      <c r="A3" s="3791" t="s">
        <v>4199</v>
      </c>
      <c r="B3" s="3791"/>
      <c r="C3" s="3791"/>
    </row>
    <row r="4" spans="1:3" ht="45" customHeight="1">
      <c r="A4" s="3404" t="s">
        <v>2766</v>
      </c>
      <c r="B4" s="3399" t="s">
        <v>136</v>
      </c>
      <c r="C4" s="3399" t="s">
        <v>4200</v>
      </c>
    </row>
    <row r="5" spans="1:3" ht="15.75">
      <c r="A5" s="3399">
        <v>1</v>
      </c>
      <c r="B5" s="3399">
        <v>2</v>
      </c>
      <c r="C5" s="3399">
        <v>3</v>
      </c>
    </row>
    <row r="6" spans="1:3" ht="15.75">
      <c r="A6" s="3405" t="s">
        <v>4114</v>
      </c>
      <c r="B6" s="2156" t="s">
        <v>4201</v>
      </c>
      <c r="C6" s="3400">
        <v>2884855</v>
      </c>
    </row>
    <row r="7" spans="1:3" ht="25.5">
      <c r="A7" s="3405" t="s">
        <v>4132</v>
      </c>
      <c r="B7" s="2156" t="s">
        <v>4235</v>
      </c>
      <c r="C7" s="3400">
        <v>2884855</v>
      </c>
    </row>
    <row r="8" spans="1:3" ht="38.25">
      <c r="A8" s="3405" t="s">
        <v>4134</v>
      </c>
      <c r="B8" s="2156" t="s">
        <v>4236</v>
      </c>
      <c r="C8" s="3400">
        <v>5610378522</v>
      </c>
    </row>
    <row r="9" spans="1:3" ht="15.75">
      <c r="A9" s="3405" t="s">
        <v>4146</v>
      </c>
      <c r="B9" s="2156" t="s">
        <v>4202</v>
      </c>
      <c r="C9" s="3400">
        <v>2884855</v>
      </c>
    </row>
    <row r="10" spans="1:3" ht="25.5">
      <c r="A10" s="3405" t="s">
        <v>4148</v>
      </c>
      <c r="B10" s="2156" t="s">
        <v>4203</v>
      </c>
      <c r="C10" s="3400">
        <v>2884855</v>
      </c>
    </row>
    <row r="11" spans="1:3" ht="15.75">
      <c r="A11" s="3410" t="s">
        <v>4204</v>
      </c>
      <c r="B11" s="3411" t="s">
        <v>4205</v>
      </c>
      <c r="C11" s="3412">
        <v>2884855</v>
      </c>
    </row>
    <row r="12" spans="1:3" ht="38.25">
      <c r="A12" s="3405" t="s">
        <v>4206</v>
      </c>
      <c r="B12" s="2156" t="s">
        <v>4207</v>
      </c>
      <c r="C12" s="3400">
        <v>1</v>
      </c>
    </row>
  </sheetData>
  <sheetProtection selectLockedCells="1" selectUnlockedCells="1"/>
  <mergeCells count="2">
    <mergeCell ref="A1:C2"/>
    <mergeCell ref="A3:C3"/>
  </mergeCells>
  <printOptions horizontalCentered="1"/>
  <pageMargins left="0.70866141732283472" right="0.70866141732283472" top="0.74803149606299213" bottom="0.74803149606299213" header="0.31496062992125984" footer="0.31496062992125984"/>
  <pageSetup paperSize="9" scale="90" orientation="portrait" r:id="rId1"/>
  <headerFooter>
    <oddFooter>&amp;C&amp;"Arial CE,Félkövér"&amp;14&amp;P/&amp;N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75EEA-D6B0-4370-9A2C-85172E97FABD}">
  <sheetPr>
    <tabColor indexed="13"/>
    <pageSetUpPr fitToPage="1"/>
  </sheetPr>
  <dimension ref="A1:I41"/>
  <sheetViews>
    <sheetView view="pageBreakPreview" zoomScaleNormal="120" workbookViewId="0">
      <pane ySplit="1" topLeftCell="A2" activePane="bottomLeft" state="frozen"/>
      <selection sqref="A1:K1"/>
      <selection pane="bottomLeft" sqref="A1:F1"/>
    </sheetView>
  </sheetViews>
  <sheetFormatPr defaultColWidth="8" defaultRowHeight="15"/>
  <cols>
    <col min="1" max="1" width="4.85546875" style="754" customWidth="1"/>
    <col min="2" max="2" width="54.42578125" style="754" customWidth="1"/>
    <col min="3" max="5" width="12" style="754" customWidth="1"/>
    <col min="6" max="6" width="16" style="754" customWidth="1"/>
    <col min="7" max="8" width="8" style="754"/>
    <col min="9" max="9" width="0" style="754" hidden="1" customWidth="1"/>
    <col min="10" max="16384" width="8" style="754"/>
  </cols>
  <sheetData>
    <row r="1" spans="1:9" ht="29.25" customHeight="1">
      <c r="A1" s="3806" t="s">
        <v>3848</v>
      </c>
      <c r="B1" s="3807"/>
      <c r="C1" s="3807"/>
      <c r="D1" s="3807"/>
      <c r="E1" s="3807"/>
      <c r="F1" s="3807"/>
    </row>
    <row r="2" spans="1:9" ht="49.5" customHeight="1" thickBot="1">
      <c r="A2" s="3804" t="s">
        <v>3048</v>
      </c>
      <c r="B2" s="3804"/>
      <c r="C2" s="3804"/>
      <c r="D2" s="3804"/>
      <c r="E2" s="3804"/>
      <c r="F2" s="3804"/>
    </row>
    <row r="3" spans="1:9" ht="15.95" hidden="1" customHeight="1" thickBot="1">
      <c r="A3" s="755"/>
      <c r="B3" s="755"/>
      <c r="C3" s="3808"/>
      <c r="D3" s="3808"/>
      <c r="E3" s="3809"/>
      <c r="F3" s="3809"/>
      <c r="G3" s="756"/>
    </row>
    <row r="4" spans="1:9" ht="15.75" thickBot="1">
      <c r="A4" s="1416"/>
      <c r="B4" s="1417" t="s">
        <v>2728</v>
      </c>
      <c r="C4" s="1418" t="s">
        <v>2729</v>
      </c>
      <c r="D4" s="1418" t="s">
        <v>2730</v>
      </c>
      <c r="E4" s="1418" t="s">
        <v>2731</v>
      </c>
      <c r="F4" s="1419" t="s">
        <v>2732</v>
      </c>
    </row>
    <row r="5" spans="1:9" s="773" customFormat="1" ht="26.25" thickBot="1">
      <c r="A5" s="769"/>
      <c r="B5" s="1512" t="s">
        <v>2727</v>
      </c>
      <c r="C5" s="1511" t="s">
        <v>3457</v>
      </c>
      <c r="D5" s="1511" t="s">
        <v>3566</v>
      </c>
      <c r="E5" s="1511" t="s">
        <v>3704</v>
      </c>
      <c r="F5" s="1511" t="s">
        <v>3460</v>
      </c>
    </row>
    <row r="6" spans="1:9">
      <c r="A6" s="757" t="s">
        <v>6</v>
      </c>
      <c r="B6" s="758" t="s">
        <v>3456</v>
      </c>
      <c r="C6" s="759">
        <v>0</v>
      </c>
      <c r="D6" s="759">
        <v>0</v>
      </c>
      <c r="E6" s="759">
        <v>0</v>
      </c>
      <c r="F6" s="760">
        <f>SUM(C6:E6)</f>
        <v>0</v>
      </c>
    </row>
    <row r="7" spans="1:9">
      <c r="A7" s="761" t="s">
        <v>12</v>
      </c>
      <c r="B7" s="762" t="s">
        <v>3458</v>
      </c>
      <c r="C7" s="763">
        <v>0</v>
      </c>
      <c r="D7" s="763">
        <v>0</v>
      </c>
      <c r="E7" s="763">
        <v>0</v>
      </c>
      <c r="F7" s="764">
        <f>SUM(C7:E7)</f>
        <v>0</v>
      </c>
    </row>
    <row r="8" spans="1:9" ht="15.75" thickBot="1">
      <c r="A8" s="761" t="s">
        <v>14</v>
      </c>
      <c r="B8" s="765" t="s">
        <v>3459</v>
      </c>
      <c r="C8" s="763">
        <v>0</v>
      </c>
      <c r="D8" s="763">
        <v>0</v>
      </c>
      <c r="E8" s="763">
        <v>0</v>
      </c>
      <c r="F8" s="764">
        <f>SUM(C8:E8)</f>
        <v>0</v>
      </c>
    </row>
    <row r="9" spans="1:9" ht="15" hidden="1" customHeight="1">
      <c r="A9" s="761" t="s">
        <v>15</v>
      </c>
      <c r="B9" s="762"/>
      <c r="C9" s="763"/>
      <c r="D9" s="763"/>
      <c r="E9" s="763"/>
      <c r="F9" s="764">
        <f>SUM(C9:E9)</f>
        <v>0</v>
      </c>
    </row>
    <row r="10" spans="1:9" ht="15" hidden="1" customHeight="1">
      <c r="A10" s="766" t="s">
        <v>17</v>
      </c>
      <c r="B10" s="767"/>
      <c r="C10" s="768"/>
      <c r="D10" s="768"/>
      <c r="E10" s="768"/>
      <c r="F10" s="764">
        <f>SUM(C10:E10)</f>
        <v>0</v>
      </c>
    </row>
    <row r="11" spans="1:9" s="773" customFormat="1" thickBot="1">
      <c r="A11" s="769" t="s">
        <v>15</v>
      </c>
      <c r="B11" s="770" t="s">
        <v>2734</v>
      </c>
      <c r="C11" s="771">
        <f>SUM(C6:C10)</f>
        <v>0</v>
      </c>
      <c r="D11" s="771">
        <f>SUM(D6:D10)</f>
        <v>0</v>
      </c>
      <c r="E11" s="771">
        <f>SUM(E6:E10)</f>
        <v>0</v>
      </c>
      <c r="F11" s="772">
        <f>SUM(F6:F10)</f>
        <v>0</v>
      </c>
    </row>
    <row r="13" spans="1:9" hidden="1"/>
    <row r="14" spans="1:9" ht="25.5" customHeight="1">
      <c r="A14" s="3806" t="s">
        <v>3849</v>
      </c>
      <c r="B14" s="3806"/>
      <c r="C14" s="3806"/>
      <c r="D14" s="3806"/>
      <c r="E14" s="3806"/>
      <c r="F14" s="3806"/>
    </row>
    <row r="15" spans="1:9" ht="59.25" customHeight="1" thickBot="1">
      <c r="A15" s="3804" t="s">
        <v>2735</v>
      </c>
      <c r="B15" s="3804"/>
      <c r="C15" s="3804"/>
      <c r="D15" s="3804"/>
      <c r="E15" s="3804"/>
      <c r="F15" s="3804"/>
    </row>
    <row r="16" spans="1:9" ht="15.75" thickBot="1">
      <c r="A16" s="1518"/>
      <c r="B16" s="3810" t="s">
        <v>2728</v>
      </c>
      <c r="C16" s="3810"/>
      <c r="D16" s="3810"/>
      <c r="E16" s="3810"/>
      <c r="F16" s="1519" t="s">
        <v>2729</v>
      </c>
      <c r="I16" s="754" t="s">
        <v>2736</v>
      </c>
    </row>
    <row r="17" spans="1:9" ht="35.25" customHeight="1" thickBot="1">
      <c r="A17" s="1520" t="s">
        <v>6</v>
      </c>
      <c r="B17" s="3795" t="s">
        <v>2737</v>
      </c>
      <c r="C17" s="3795"/>
      <c r="D17" s="3795"/>
      <c r="E17" s="3795"/>
      <c r="F17" s="1521" t="str">
        <f>+'1. mell.ÖSSZEVONT_MÉRLEG'!E5</f>
        <v>2025. évi eredeti előirányzat forintban</v>
      </c>
      <c r="I17" s="754" t="s">
        <v>2738</v>
      </c>
    </row>
    <row r="18" spans="1:9" ht="15.75" hidden="1" thickBot="1">
      <c r="A18" s="1522"/>
      <c r="B18" s="3796"/>
      <c r="C18" s="3796"/>
      <c r="D18" s="3796"/>
      <c r="E18" s="3796"/>
      <c r="F18" s="1523"/>
    </row>
    <row r="19" spans="1:9" ht="15" customHeight="1">
      <c r="A19" s="1524" t="s">
        <v>12</v>
      </c>
      <c r="B19" s="3797" t="s">
        <v>2739</v>
      </c>
      <c r="C19" s="3797"/>
      <c r="D19" s="3797"/>
      <c r="E19" s="3797"/>
      <c r="F19" s="1525">
        <f>'1. mell.ÖSSZEVONT_MÉRLEG'!E29</f>
        <v>11974768010</v>
      </c>
      <c r="I19" s="754" t="s">
        <v>2740</v>
      </c>
    </row>
    <row r="20" spans="1:9" ht="23.25" customHeight="1">
      <c r="A20" s="1526" t="s">
        <v>14</v>
      </c>
      <c r="B20" s="3798" t="s">
        <v>2741</v>
      </c>
      <c r="C20" s="3798"/>
      <c r="D20" s="3798"/>
      <c r="E20" s="3798"/>
      <c r="F20" s="1527">
        <f>'1. mell.ÖSSZEVONT_MÉRLEG'!E49</f>
        <v>1091394854</v>
      </c>
      <c r="I20" s="754" t="s">
        <v>2742</v>
      </c>
    </row>
    <row r="21" spans="1:9">
      <c r="A21" s="1526" t="s">
        <v>15</v>
      </c>
      <c r="B21" s="3798" t="s">
        <v>2743</v>
      </c>
      <c r="C21" s="3798"/>
      <c r="D21" s="3798"/>
      <c r="E21" s="3798"/>
      <c r="F21" s="1527">
        <f>+'7. mell. Önk.összes.bevétele'!K286</f>
        <v>0</v>
      </c>
      <c r="I21" s="754" t="s">
        <v>2744</v>
      </c>
    </row>
    <row r="22" spans="1:9" ht="23.25" customHeight="1">
      <c r="A22" s="1526" t="s">
        <v>17</v>
      </c>
      <c r="B22" s="3798" t="s">
        <v>2745</v>
      </c>
      <c r="C22" s="3798"/>
      <c r="D22" s="3798"/>
      <c r="E22" s="3798"/>
      <c r="F22" s="1527">
        <f>'1. mell.ÖSSZEVONT_MÉRLEG'!E50</f>
        <v>475000</v>
      </c>
      <c r="I22" s="754" t="s">
        <v>2746</v>
      </c>
    </row>
    <row r="23" spans="1:9" ht="12.75" customHeight="1">
      <c r="A23" s="1526" t="s">
        <v>19</v>
      </c>
      <c r="B23" s="3798" t="s">
        <v>2747</v>
      </c>
      <c r="C23" s="3798"/>
      <c r="D23" s="3798"/>
      <c r="E23" s="3798"/>
      <c r="F23" s="1527">
        <f>+'1. mell.ÖSSZEVONT_MÉRLEG'!E34</f>
        <v>56359909</v>
      </c>
      <c r="I23" s="754" t="s">
        <v>2748</v>
      </c>
    </row>
    <row r="24" spans="1:9" ht="15.75" thickBot="1">
      <c r="A24" s="1528" t="s">
        <v>21</v>
      </c>
      <c r="B24" s="3799" t="s">
        <v>2749</v>
      </c>
      <c r="C24" s="3799"/>
      <c r="D24" s="3799"/>
      <c r="E24" s="3799"/>
      <c r="F24" s="1529">
        <v>0</v>
      </c>
      <c r="I24" s="754" t="s">
        <v>2750</v>
      </c>
    </row>
    <row r="25" spans="1:9" ht="36" customHeight="1" thickBot="1">
      <c r="A25" s="1515" t="s">
        <v>23</v>
      </c>
      <c r="B25" s="3811" t="s">
        <v>3462</v>
      </c>
      <c r="C25" s="3812"/>
      <c r="D25" s="3812"/>
      <c r="E25" s="3812"/>
      <c r="F25" s="1516">
        <f>SUM(F19:F24)</f>
        <v>13122997773</v>
      </c>
    </row>
    <row r="26" spans="1:9" ht="24.75" hidden="1" customHeight="1" thickBot="1">
      <c r="A26" s="3801"/>
      <c r="B26" s="3802"/>
      <c r="C26" s="3802"/>
      <c r="D26" s="3802"/>
      <c r="E26" s="3802"/>
      <c r="F26" s="3803"/>
    </row>
    <row r="27" spans="1:9" ht="15.75" thickBot="1">
      <c r="A27" s="1517" t="s">
        <v>25</v>
      </c>
      <c r="B27" s="3813" t="s">
        <v>2751</v>
      </c>
      <c r="C27" s="3702"/>
      <c r="D27" s="3702"/>
      <c r="E27" s="3814"/>
      <c r="F27" s="1514">
        <f>F25*0.5</f>
        <v>6561498886.5</v>
      </c>
    </row>
    <row r="29" spans="1:9" ht="25.5" customHeight="1">
      <c r="A29" s="3806" t="s">
        <v>3850</v>
      </c>
      <c r="B29" s="3807"/>
      <c r="C29" s="3807"/>
      <c r="D29" s="3807"/>
      <c r="E29" s="3807"/>
      <c r="F29" s="3807"/>
    </row>
    <row r="30" spans="1:9" ht="21" customHeight="1" thickBot="1">
      <c r="A30" s="3804" t="s">
        <v>3705</v>
      </c>
      <c r="B30" s="3804"/>
      <c r="C30" s="3804"/>
      <c r="D30" s="3804"/>
      <c r="E30" s="3804"/>
      <c r="F30" s="3804"/>
    </row>
    <row r="31" spans="1:9" ht="15.75" thickBot="1">
      <c r="A31" s="776"/>
      <c r="B31" s="3805" t="s">
        <v>2728</v>
      </c>
      <c r="C31" s="3805"/>
      <c r="D31" s="3805"/>
      <c r="E31" s="3805"/>
      <c r="F31" s="1513" t="s">
        <v>2729</v>
      </c>
    </row>
    <row r="32" spans="1:9" ht="21.75" customHeight="1" thickBot="1">
      <c r="A32" s="774" t="s">
        <v>6</v>
      </c>
      <c r="B32" s="3795" t="s">
        <v>2752</v>
      </c>
      <c r="C32" s="3795"/>
      <c r="D32" s="3795"/>
      <c r="E32" s="3795"/>
      <c r="F32" s="775" t="s">
        <v>3461</v>
      </c>
    </row>
    <row r="33" spans="1:6" hidden="1">
      <c r="A33" s="776"/>
      <c r="B33" s="3796"/>
      <c r="C33" s="3796"/>
      <c r="D33" s="3796"/>
      <c r="E33" s="3796"/>
      <c r="F33" s="777"/>
    </row>
    <row r="34" spans="1:6">
      <c r="A34" s="778" t="s">
        <v>12</v>
      </c>
      <c r="B34" s="3797"/>
      <c r="C34" s="3797"/>
      <c r="D34" s="3797"/>
      <c r="E34" s="3797"/>
      <c r="F34" s="779">
        <v>0</v>
      </c>
    </row>
    <row r="35" spans="1:6">
      <c r="A35" s="780" t="s">
        <v>14</v>
      </c>
      <c r="B35" s="3798"/>
      <c r="C35" s="3798"/>
      <c r="D35" s="3798"/>
      <c r="E35" s="3798"/>
      <c r="F35" s="781">
        <v>0</v>
      </c>
    </row>
    <row r="36" spans="1:6">
      <c r="A36" s="782" t="s">
        <v>15</v>
      </c>
      <c r="B36" s="3799"/>
      <c r="C36" s="3799"/>
      <c r="D36" s="3799"/>
      <c r="E36" s="3799"/>
      <c r="F36" s="783">
        <v>0</v>
      </c>
    </row>
    <row r="37" spans="1:6" s="786" customFormat="1" ht="14.25">
      <c r="A37" s="784" t="s">
        <v>17</v>
      </c>
      <c r="B37" s="3800" t="s">
        <v>2753</v>
      </c>
      <c r="C37" s="3800"/>
      <c r="D37" s="3800"/>
      <c r="E37" s="3800"/>
      <c r="F37" s="785">
        <f>SUM(F34:F36)</f>
        <v>0</v>
      </c>
    </row>
    <row r="39" spans="1:6" ht="66.75" customHeight="1">
      <c r="A39" s="3794" t="s">
        <v>3152</v>
      </c>
      <c r="B39" s="3794"/>
      <c r="C39" s="3794"/>
      <c r="D39" s="3794"/>
      <c r="E39" s="3794"/>
      <c r="F39" s="3794"/>
    </row>
    <row r="41" spans="1:6" ht="35.25" customHeight="1">
      <c r="A41" s="3794" t="s">
        <v>3706</v>
      </c>
      <c r="B41" s="3794"/>
      <c r="C41" s="3794"/>
      <c r="D41" s="3794"/>
      <c r="E41" s="3794"/>
      <c r="F41" s="3794"/>
    </row>
  </sheetData>
  <sheetProtection selectLockedCells="1" selectUnlockedCells="1"/>
  <mergeCells count="29">
    <mergeCell ref="A1:F1"/>
    <mergeCell ref="A14:F14"/>
    <mergeCell ref="A29:F29"/>
    <mergeCell ref="A2:F2"/>
    <mergeCell ref="C3:D3"/>
    <mergeCell ref="E3:F3"/>
    <mergeCell ref="B16:E16"/>
    <mergeCell ref="B25:E25"/>
    <mergeCell ref="B27:E27"/>
    <mergeCell ref="A15:F15"/>
    <mergeCell ref="B17:E17"/>
    <mergeCell ref="B18:E18"/>
    <mergeCell ref="B19:E19"/>
    <mergeCell ref="B20:E20"/>
    <mergeCell ref="B21:E21"/>
    <mergeCell ref="B22:E22"/>
    <mergeCell ref="B23:E23"/>
    <mergeCell ref="B24:E24"/>
    <mergeCell ref="A26:F26"/>
    <mergeCell ref="A30:F30"/>
    <mergeCell ref="A39:F39"/>
    <mergeCell ref="B31:E31"/>
    <mergeCell ref="A41:F41"/>
    <mergeCell ref="B32:E32"/>
    <mergeCell ref="B33:E33"/>
    <mergeCell ref="B34:E34"/>
    <mergeCell ref="B35:E35"/>
    <mergeCell ref="B36:E36"/>
    <mergeCell ref="B37:E37"/>
  </mergeCells>
  <phoneticPr fontId="143" type="noConversion"/>
  <printOptions horizontalCentered="1"/>
  <pageMargins left="0.11811023622047245" right="0.15748031496062992" top="0.39370078740157483" bottom="0.39370078740157483" header="0.23622047244094491" footer="0.19685039370078741"/>
  <pageSetup paperSize="9" scale="92" firstPageNumber="0" orientation="portrait" r:id="rId1"/>
  <headerFooter alignWithMargins="0">
    <oddHeader xml:space="preserve">&amp;R&amp;"Times New Roman CE,Félkövér dőlt"&amp;11 </oddHeader>
    <oddFooter>&amp;C&amp;"Arial CE,Félkövér"&amp;14&amp;P/&amp;N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13D35-2A40-4163-BBE3-4C1DAE4116FD}">
  <sheetPr>
    <tabColor theme="6" tint="0.39997558519241921"/>
  </sheetPr>
  <dimension ref="A1:O173"/>
  <sheetViews>
    <sheetView view="pageBreakPreview" zoomScaleNormal="120" zoomScaleSheetLayoutView="100" workbookViewId="0">
      <pane xSplit="2" ySplit="6" topLeftCell="C7" activePane="bottomRight" state="frozen"/>
      <selection activeCell="A3" sqref="A3:E3"/>
      <selection pane="topRight" activeCell="A3" sqref="A3:E3"/>
      <selection pane="bottomLeft" activeCell="A3" sqref="A3:E3"/>
      <selection pane="bottomRight" activeCell="A3" sqref="A3:E3"/>
    </sheetView>
  </sheetViews>
  <sheetFormatPr defaultColWidth="8" defaultRowHeight="15.75"/>
  <cols>
    <col min="1" max="1" width="7.7109375" style="60" customWidth="1"/>
    <col min="2" max="2" width="67.140625" style="61" customWidth="1"/>
    <col min="3" max="3" width="14.28515625" style="62" bestFit="1" customWidth="1"/>
    <col min="4" max="4" width="14.28515625" style="61" bestFit="1" customWidth="1"/>
    <col min="5" max="5" width="13.28515625" style="61" customWidth="1"/>
    <col min="6" max="6" width="13.42578125" style="61" hidden="1" customWidth="1"/>
    <col min="7" max="7" width="13.7109375" style="2312" hidden="1" customWidth="1"/>
    <col min="8" max="8" width="13.140625" style="2312" hidden="1" customWidth="1"/>
    <col min="9" max="9" width="0" style="61" hidden="1" customWidth="1"/>
    <col min="10" max="10" width="14.28515625" style="61" hidden="1" customWidth="1"/>
    <col min="11" max="12" width="0" style="61" hidden="1" customWidth="1"/>
    <col min="13" max="14" width="14.42578125" style="41" hidden="1" customWidth="1"/>
    <col min="15" max="15" width="8" style="63"/>
    <col min="16" max="16384" width="8" style="61"/>
  </cols>
  <sheetData>
    <row r="1" spans="1:15" ht="6.75" customHeight="1"/>
    <row r="2" spans="1:15" ht="6.75" customHeight="1"/>
    <row r="3" spans="1:15" ht="15.95" customHeight="1">
      <c r="A3" s="3815" t="s">
        <v>168</v>
      </c>
      <c r="B3" s="3815"/>
      <c r="C3" s="3815"/>
      <c r="D3" s="3815"/>
      <c r="E3" s="3815"/>
    </row>
    <row r="4" spans="1:15" ht="15.95" customHeight="1" thickBot="1">
      <c r="A4" s="3816" t="s">
        <v>169</v>
      </c>
      <c r="B4" s="3816"/>
      <c r="C4" s="3817"/>
      <c r="D4" s="3818"/>
      <c r="E4" s="3818"/>
    </row>
    <row r="5" spans="1:15" ht="49.5" customHeight="1" thickBot="1">
      <c r="A5" s="788"/>
      <c r="B5" s="789" t="s">
        <v>2737</v>
      </c>
      <c r="C5" s="789" t="s">
        <v>3770</v>
      </c>
      <c r="D5" s="790" t="s">
        <v>3767</v>
      </c>
      <c r="E5" s="791" t="str">
        <f>+'1. mell.ÖSSZEVONT_MÉRLEG'!E5</f>
        <v>2025. évi eredeti előirányzat forintban</v>
      </c>
      <c r="F5" s="791" t="s">
        <v>3769</v>
      </c>
      <c r="J5" s="790" t="s">
        <v>3767</v>
      </c>
    </row>
    <row r="6" spans="1:15" s="960" customFormat="1" ht="12" customHeight="1" thickBot="1">
      <c r="A6" s="792"/>
      <c r="B6" s="793" t="s">
        <v>2728</v>
      </c>
      <c r="C6" s="793" t="s">
        <v>2729</v>
      </c>
      <c r="D6" s="793" t="s">
        <v>2730</v>
      </c>
      <c r="E6" s="794" t="s">
        <v>2731</v>
      </c>
      <c r="G6" s="2313" t="s">
        <v>3840</v>
      </c>
      <c r="H6" s="2314" t="s">
        <v>3627</v>
      </c>
      <c r="J6" s="793"/>
      <c r="M6" s="41"/>
      <c r="N6" s="41"/>
      <c r="O6" s="2320"/>
    </row>
    <row r="7" spans="1:15" s="44" customFormat="1" ht="26.25" customHeight="1" thickBot="1">
      <c r="A7" s="144" t="s">
        <v>6</v>
      </c>
      <c r="B7" s="2269" t="s">
        <v>3381</v>
      </c>
      <c r="C7" s="111">
        <f>+C8+C9+C10+C11+C12+C13</f>
        <v>6457118542</v>
      </c>
      <c r="D7" s="111">
        <f>+D8+D9+D10+D11+D12+D13</f>
        <v>6378941324</v>
      </c>
      <c r="E7" s="2270">
        <f>+E8+E9+E10+E11+E12+E13</f>
        <v>6635944194</v>
      </c>
      <c r="F7" s="1800">
        <v>6457118542</v>
      </c>
      <c r="G7" s="2315">
        <f>+D7/C7</f>
        <v>0.98789286312594382</v>
      </c>
      <c r="H7" s="2315">
        <f>+E7/D7</f>
        <v>1.0402892669717869</v>
      </c>
      <c r="J7" s="111">
        <v>6378941324</v>
      </c>
      <c r="L7" s="2271">
        <f>+D7-J7</f>
        <v>0</v>
      </c>
      <c r="M7" s="41">
        <f>+D7-C7</f>
        <v>-78177218</v>
      </c>
      <c r="N7" s="41">
        <f>+E7-D7</f>
        <v>257002870</v>
      </c>
      <c r="O7" s="2271"/>
    </row>
    <row r="8" spans="1:15" s="44" customFormat="1" ht="12" customHeight="1">
      <c r="A8" s="142" t="s">
        <v>176</v>
      </c>
      <c r="B8" s="2272" t="s">
        <v>177</v>
      </c>
      <c r="C8" s="2273">
        <f t="shared" ref="C8:C13" si="0">+F8</f>
        <v>1838667628</v>
      </c>
      <c r="D8" s="2274">
        <f t="shared" ref="D8:D13" si="1">+J8</f>
        <v>1197603775</v>
      </c>
      <c r="E8" s="106">
        <f>+'1. mell.ÖSSZEVONT_MÉRLEG'!E8</f>
        <v>1196771675</v>
      </c>
      <c r="F8" s="1801">
        <v>1838667628</v>
      </c>
      <c r="G8" s="2315">
        <f t="shared" ref="G8:G63" si="2">+D8/C8</f>
        <v>0.65134326441733603</v>
      </c>
      <c r="H8" s="2315">
        <f t="shared" ref="H8:H63" si="3">+E8/D8</f>
        <v>0.99930519591089295</v>
      </c>
      <c r="J8" s="2274">
        <v>1197603775</v>
      </c>
      <c r="L8" s="2271">
        <f t="shared" ref="L8:L71" si="4">+D8-J8</f>
        <v>0</v>
      </c>
      <c r="M8" s="41">
        <f t="shared" ref="M8:M71" si="5">+D8-C8</f>
        <v>-641063853</v>
      </c>
      <c r="N8" s="41">
        <f t="shared" ref="N8:N71" si="6">+E8-D8</f>
        <v>-832100</v>
      </c>
      <c r="O8" s="2271"/>
    </row>
    <row r="9" spans="1:15" s="44" customFormat="1" ht="24" customHeight="1">
      <c r="A9" s="2316" t="s">
        <v>178</v>
      </c>
      <c r="B9" s="2272" t="s">
        <v>2754</v>
      </c>
      <c r="C9" s="161">
        <f t="shared" si="0"/>
        <v>2097969785</v>
      </c>
      <c r="D9" s="2274">
        <f t="shared" si="1"/>
        <v>2712360142</v>
      </c>
      <c r="E9" s="106">
        <f>+'1. mell.ÖSSZEVONT_MÉRLEG'!E9</f>
        <v>3022096356</v>
      </c>
      <c r="F9" s="1801">
        <v>2097969785</v>
      </c>
      <c r="G9" s="2315">
        <f t="shared" si="2"/>
        <v>1.292849954938698</v>
      </c>
      <c r="H9" s="2315">
        <f t="shared" si="3"/>
        <v>1.1141943539148202</v>
      </c>
      <c r="J9" s="2274">
        <v>2712360142</v>
      </c>
      <c r="L9" s="2271">
        <f t="shared" si="4"/>
        <v>0</v>
      </c>
      <c r="M9" s="41">
        <f t="shared" si="5"/>
        <v>614390357</v>
      </c>
      <c r="N9" s="41">
        <f t="shared" si="6"/>
        <v>309736214</v>
      </c>
      <c r="O9" s="2271"/>
    </row>
    <row r="10" spans="1:15" s="44" customFormat="1" ht="12" customHeight="1">
      <c r="A10" s="2316" t="s">
        <v>179</v>
      </c>
      <c r="B10" s="2272" t="s">
        <v>138</v>
      </c>
      <c r="C10" s="161">
        <f t="shared" si="0"/>
        <v>2386798545</v>
      </c>
      <c r="D10" s="2274">
        <f t="shared" si="1"/>
        <v>2354952863</v>
      </c>
      <c r="E10" s="106">
        <f>+'1. mell.ÖSSZEVONT_MÉRLEG'!E10</f>
        <v>2376252867</v>
      </c>
      <c r="F10" s="1801">
        <v>2386798545</v>
      </c>
      <c r="G10" s="2315">
        <f t="shared" si="2"/>
        <v>0.98665757440370816</v>
      </c>
      <c r="H10" s="2315">
        <f t="shared" si="3"/>
        <v>1.009044768723254</v>
      </c>
      <c r="J10" s="2274">
        <v>2354952863</v>
      </c>
      <c r="L10" s="2271">
        <f t="shared" si="4"/>
        <v>0</v>
      </c>
      <c r="M10" s="41">
        <f t="shared" si="5"/>
        <v>-31845682</v>
      </c>
      <c r="N10" s="41">
        <f t="shared" si="6"/>
        <v>21300004</v>
      </c>
      <c r="O10" s="2271"/>
    </row>
    <row r="11" spans="1:15" s="44" customFormat="1" ht="12" customHeight="1">
      <c r="A11" s="2316" t="s">
        <v>180</v>
      </c>
      <c r="B11" s="2272" t="s">
        <v>139</v>
      </c>
      <c r="C11" s="161">
        <f t="shared" si="0"/>
        <v>84810584</v>
      </c>
      <c r="D11" s="2274">
        <f t="shared" si="1"/>
        <v>84509544</v>
      </c>
      <c r="E11" s="106">
        <f>+'1. mell.ÖSSZEVONT_MÉRLEG'!E11</f>
        <v>40823296</v>
      </c>
      <c r="F11" s="1801">
        <v>84810584</v>
      </c>
      <c r="G11" s="2315">
        <f t="shared" si="2"/>
        <v>0.99645044302489416</v>
      </c>
      <c r="H11" s="2315">
        <f t="shared" si="3"/>
        <v>0.48306136878457184</v>
      </c>
      <c r="J11" s="2274">
        <v>84509544</v>
      </c>
      <c r="L11" s="2271">
        <f t="shared" si="4"/>
        <v>0</v>
      </c>
      <c r="M11" s="41">
        <f t="shared" si="5"/>
        <v>-301040</v>
      </c>
      <c r="N11" s="41">
        <f t="shared" si="6"/>
        <v>-43686248</v>
      </c>
      <c r="O11" s="2271"/>
    </row>
    <row r="12" spans="1:15" s="44" customFormat="1" ht="12" customHeight="1">
      <c r="A12" s="2316" t="s">
        <v>181</v>
      </c>
      <c r="B12" s="2272" t="s">
        <v>182</v>
      </c>
      <c r="C12" s="161">
        <f t="shared" si="0"/>
        <v>48872000</v>
      </c>
      <c r="D12" s="2274">
        <f t="shared" si="1"/>
        <v>29515000</v>
      </c>
      <c r="E12" s="106">
        <f>+'1. mell.ÖSSZEVONT_MÉRLEG'!E12</f>
        <v>0</v>
      </c>
      <c r="F12" s="1801">
        <v>48872000</v>
      </c>
      <c r="G12" s="2315">
        <f t="shared" si="2"/>
        <v>0.60392453756752329</v>
      </c>
      <c r="H12" s="2315">
        <f t="shared" si="3"/>
        <v>0</v>
      </c>
      <c r="J12" s="2274">
        <v>29515000</v>
      </c>
      <c r="L12" s="2271">
        <f t="shared" si="4"/>
        <v>0</v>
      </c>
      <c r="M12" s="41">
        <f t="shared" si="5"/>
        <v>-19357000</v>
      </c>
      <c r="N12" s="41">
        <f t="shared" si="6"/>
        <v>-29515000</v>
      </c>
      <c r="O12" s="2271"/>
    </row>
    <row r="13" spans="1:15" s="44" customFormat="1" ht="12" customHeight="1" thickBot="1">
      <c r="A13" s="2317" t="s">
        <v>183</v>
      </c>
      <c r="B13" s="2272" t="s">
        <v>184</v>
      </c>
      <c r="C13" s="2275">
        <f t="shared" si="0"/>
        <v>0</v>
      </c>
      <c r="D13" s="2274">
        <f t="shared" si="1"/>
        <v>0</v>
      </c>
      <c r="E13" s="106">
        <f>+'1. mell.ÖSSZEVONT_MÉRLEG'!E13</f>
        <v>0</v>
      </c>
      <c r="F13" s="1801">
        <v>0</v>
      </c>
      <c r="G13" s="2315"/>
      <c r="H13" s="2315"/>
      <c r="J13" s="2274">
        <v>0</v>
      </c>
      <c r="L13" s="2271">
        <f t="shared" si="4"/>
        <v>0</v>
      </c>
      <c r="M13" s="41">
        <f t="shared" si="5"/>
        <v>0</v>
      </c>
      <c r="N13" s="41">
        <f t="shared" si="6"/>
        <v>0</v>
      </c>
      <c r="O13" s="2271"/>
    </row>
    <row r="14" spans="1:15" s="44" customFormat="1" ht="12" customHeight="1" thickBot="1">
      <c r="A14" s="144" t="s">
        <v>12</v>
      </c>
      <c r="B14" s="2269" t="s">
        <v>3382</v>
      </c>
      <c r="C14" s="111">
        <f>+C15+C16+C17+C18+C19</f>
        <v>3150399291</v>
      </c>
      <c r="D14" s="111">
        <f>+D15+D16+D17+D18+D19</f>
        <v>3154863072</v>
      </c>
      <c r="E14" s="111">
        <f>+E15+E16+E17+E18+E19</f>
        <v>3116514628</v>
      </c>
      <c r="F14" s="1800">
        <v>3150399291</v>
      </c>
      <c r="G14" s="2315">
        <f t="shared" si="2"/>
        <v>1.0014168937292336</v>
      </c>
      <c r="H14" s="2315">
        <f t="shared" si="3"/>
        <v>0.98784465660638343</v>
      </c>
      <c r="J14" s="111">
        <v>3154863072</v>
      </c>
      <c r="L14" s="2271">
        <f t="shared" si="4"/>
        <v>0</v>
      </c>
      <c r="M14" s="41">
        <f t="shared" si="5"/>
        <v>4463781</v>
      </c>
      <c r="N14" s="41">
        <f t="shared" si="6"/>
        <v>-38348444</v>
      </c>
      <c r="O14" s="2271"/>
    </row>
    <row r="15" spans="1:15" s="44" customFormat="1" ht="12" customHeight="1">
      <c r="A15" s="142" t="s">
        <v>185</v>
      </c>
      <c r="B15" s="2272" t="s">
        <v>186</v>
      </c>
      <c r="C15" s="161">
        <f t="shared" ref="C15:C20" si="7">+F15</f>
        <v>233855724</v>
      </c>
      <c r="D15" s="161">
        <f t="shared" ref="D15:D20" si="8">+J15</f>
        <v>204742187</v>
      </c>
      <c r="E15" s="106">
        <f>+'1. mell.ÖSSZEVONT_MÉRLEG'!E15</f>
        <v>0</v>
      </c>
      <c r="F15" s="1801">
        <v>233855724</v>
      </c>
      <c r="G15" s="2315">
        <f t="shared" si="2"/>
        <v>0.87550641693936049</v>
      </c>
      <c r="H15" s="2315">
        <f t="shared" si="3"/>
        <v>0</v>
      </c>
      <c r="J15" s="161">
        <v>204742187</v>
      </c>
      <c r="L15" s="2271">
        <f t="shared" si="4"/>
        <v>0</v>
      </c>
      <c r="M15" s="41">
        <f t="shared" si="5"/>
        <v>-29113537</v>
      </c>
      <c r="N15" s="41">
        <f t="shared" si="6"/>
        <v>-204742187</v>
      </c>
      <c r="O15" s="2271"/>
    </row>
    <row r="16" spans="1:15" s="44" customFormat="1" ht="12" customHeight="1">
      <c r="A16" s="2316" t="s">
        <v>187</v>
      </c>
      <c r="B16" s="2276" t="s">
        <v>188</v>
      </c>
      <c r="C16" s="162">
        <f t="shared" si="7"/>
        <v>0</v>
      </c>
      <c r="D16" s="161">
        <f t="shared" si="8"/>
        <v>0</v>
      </c>
      <c r="E16" s="106">
        <f>+'1. mell.ÖSSZEVONT_MÉRLEG'!E16</f>
        <v>0</v>
      </c>
      <c r="F16" s="1801">
        <v>0</v>
      </c>
      <c r="G16" s="2315"/>
      <c r="H16" s="2315"/>
      <c r="J16" s="161">
        <v>0</v>
      </c>
      <c r="L16" s="2271">
        <f t="shared" si="4"/>
        <v>0</v>
      </c>
      <c r="M16" s="41">
        <f t="shared" si="5"/>
        <v>0</v>
      </c>
      <c r="N16" s="41">
        <f t="shared" si="6"/>
        <v>0</v>
      </c>
      <c r="O16" s="2271"/>
    </row>
    <row r="17" spans="1:15" s="44" customFormat="1" ht="12" customHeight="1">
      <c r="A17" s="2316" t="s">
        <v>189</v>
      </c>
      <c r="B17" s="2276" t="s">
        <v>190</v>
      </c>
      <c r="C17" s="162">
        <f t="shared" si="7"/>
        <v>0</v>
      </c>
      <c r="D17" s="161">
        <f t="shared" si="8"/>
        <v>0</v>
      </c>
      <c r="E17" s="106">
        <f>+'1. mell.ÖSSZEVONT_MÉRLEG'!E17</f>
        <v>0</v>
      </c>
      <c r="F17" s="1801">
        <v>0</v>
      </c>
      <c r="G17" s="2315"/>
      <c r="H17" s="2315"/>
      <c r="J17" s="161">
        <v>0</v>
      </c>
      <c r="L17" s="2271">
        <f t="shared" si="4"/>
        <v>0</v>
      </c>
      <c r="M17" s="41">
        <f t="shared" si="5"/>
        <v>0</v>
      </c>
      <c r="N17" s="41">
        <f t="shared" si="6"/>
        <v>0</v>
      </c>
      <c r="O17" s="2271"/>
    </row>
    <row r="18" spans="1:15" s="44" customFormat="1" ht="12" customHeight="1">
      <c r="A18" s="2316" t="s">
        <v>191</v>
      </c>
      <c r="B18" s="2276" t="s">
        <v>192</v>
      </c>
      <c r="C18" s="162">
        <f t="shared" si="7"/>
        <v>0</v>
      </c>
      <c r="D18" s="161">
        <f t="shared" si="8"/>
        <v>0</v>
      </c>
      <c r="E18" s="106">
        <f>+'1. mell.ÖSSZEVONT_MÉRLEG'!E18</f>
        <v>0</v>
      </c>
      <c r="F18" s="1801">
        <v>0</v>
      </c>
      <c r="G18" s="2315"/>
      <c r="H18" s="2315"/>
      <c r="J18" s="161">
        <v>0</v>
      </c>
      <c r="L18" s="2271">
        <f t="shared" si="4"/>
        <v>0</v>
      </c>
      <c r="M18" s="41">
        <f t="shared" si="5"/>
        <v>0</v>
      </c>
      <c r="N18" s="41">
        <f t="shared" si="6"/>
        <v>0</v>
      </c>
      <c r="O18" s="2271"/>
    </row>
    <row r="19" spans="1:15" s="44" customFormat="1" ht="12" customHeight="1">
      <c r="A19" s="2316" t="s">
        <v>193</v>
      </c>
      <c r="B19" s="2276" t="s">
        <v>194</v>
      </c>
      <c r="C19" s="162">
        <f t="shared" si="7"/>
        <v>2916543567</v>
      </c>
      <c r="D19" s="161">
        <f t="shared" si="8"/>
        <v>2950120885</v>
      </c>
      <c r="E19" s="106">
        <f>+'1. mell.ÖSSZEVONT_MÉRLEG'!E19</f>
        <v>3116514628</v>
      </c>
      <c r="F19" s="1801">
        <v>2916543567</v>
      </c>
      <c r="G19" s="2315">
        <f t="shared" si="2"/>
        <v>1.0115127092150857</v>
      </c>
      <c r="H19" s="2315">
        <f t="shared" si="3"/>
        <v>1.0564023473905884</v>
      </c>
      <c r="J19" s="161">
        <v>2950120885</v>
      </c>
      <c r="L19" s="2271">
        <f t="shared" si="4"/>
        <v>0</v>
      </c>
      <c r="M19" s="41">
        <f t="shared" si="5"/>
        <v>33577318</v>
      </c>
      <c r="N19" s="41">
        <f t="shared" si="6"/>
        <v>166393743</v>
      </c>
      <c r="O19" s="2271"/>
    </row>
    <row r="20" spans="1:15" s="44" customFormat="1" ht="12" customHeight="1" thickBot="1">
      <c r="A20" s="2317" t="s">
        <v>195</v>
      </c>
      <c r="B20" s="143" t="s">
        <v>196</v>
      </c>
      <c r="C20" s="975">
        <f t="shared" si="7"/>
        <v>0</v>
      </c>
      <c r="D20" s="161">
        <f t="shared" si="8"/>
        <v>0</v>
      </c>
      <c r="E20" s="106">
        <f>+'1. mell.ÖSSZEVONT_MÉRLEG'!E20</f>
        <v>0</v>
      </c>
      <c r="F20" s="1801">
        <v>0</v>
      </c>
      <c r="G20" s="2315"/>
      <c r="H20" s="2315"/>
      <c r="J20" s="161">
        <v>0</v>
      </c>
      <c r="L20" s="2271">
        <f t="shared" si="4"/>
        <v>0</v>
      </c>
      <c r="M20" s="41">
        <f t="shared" si="5"/>
        <v>0</v>
      </c>
      <c r="N20" s="41">
        <f t="shared" si="6"/>
        <v>0</v>
      </c>
      <c r="O20" s="2271"/>
    </row>
    <row r="21" spans="1:15" s="44" customFormat="1" ht="12" customHeight="1" thickBot="1">
      <c r="A21" s="144" t="s">
        <v>14</v>
      </c>
      <c r="B21" s="2277" t="s">
        <v>197</v>
      </c>
      <c r="C21" s="111">
        <f>+C22+C23+C24+C25+C26</f>
        <v>67789254</v>
      </c>
      <c r="D21" s="111">
        <f>+D22+D23+D24+D25+D26</f>
        <v>620000</v>
      </c>
      <c r="E21" s="111">
        <f>+E22+E23+E24+E25+E26</f>
        <v>1631350723</v>
      </c>
      <c r="F21" s="1800">
        <v>67789254</v>
      </c>
      <c r="G21" s="2315">
        <f t="shared" si="2"/>
        <v>9.1459923721833557E-3</v>
      </c>
      <c r="H21" s="2315">
        <f t="shared" si="3"/>
        <v>2631.2108435483869</v>
      </c>
      <c r="J21" s="111">
        <v>620000</v>
      </c>
      <c r="L21" s="2271">
        <f t="shared" si="4"/>
        <v>0</v>
      </c>
      <c r="M21" s="41">
        <f t="shared" si="5"/>
        <v>-67169254</v>
      </c>
      <c r="N21" s="41">
        <f t="shared" si="6"/>
        <v>1630730723</v>
      </c>
      <c r="O21" s="2271"/>
    </row>
    <row r="22" spans="1:15" s="44" customFormat="1" ht="12" customHeight="1">
      <c r="A22" s="142" t="s">
        <v>198</v>
      </c>
      <c r="B22" s="2272" t="s">
        <v>199</v>
      </c>
      <c r="C22" s="161">
        <f t="shared" ref="C22:C27" si="9">+F22</f>
        <v>67489254</v>
      </c>
      <c r="D22" s="2274">
        <f t="shared" ref="D22:D27" si="10">+J22</f>
        <v>0</v>
      </c>
      <c r="E22" s="106">
        <f>+'1. mell.ÖSSZEVONT_MÉRLEG'!E22</f>
        <v>0</v>
      </c>
      <c r="F22" s="1801">
        <v>67489254</v>
      </c>
      <c r="G22" s="2315">
        <f>+D22/C22</f>
        <v>0</v>
      </c>
      <c r="H22" s="2315"/>
      <c r="J22" s="2274">
        <v>0</v>
      </c>
      <c r="L22" s="2271">
        <f t="shared" si="4"/>
        <v>0</v>
      </c>
      <c r="M22" s="41">
        <f t="shared" si="5"/>
        <v>-67489254</v>
      </c>
      <c r="N22" s="41">
        <f t="shared" si="6"/>
        <v>0</v>
      </c>
      <c r="O22" s="2271"/>
    </row>
    <row r="23" spans="1:15" s="44" customFormat="1" ht="12" customHeight="1">
      <c r="A23" s="2316" t="s">
        <v>200</v>
      </c>
      <c r="B23" s="2276" t="s">
        <v>201</v>
      </c>
      <c r="C23" s="162">
        <f t="shared" si="9"/>
        <v>0</v>
      </c>
      <c r="D23" s="2274">
        <f t="shared" si="10"/>
        <v>0</v>
      </c>
      <c r="E23" s="106">
        <f>+'1. mell.ÖSSZEVONT_MÉRLEG'!E23</f>
        <v>0</v>
      </c>
      <c r="F23" s="1801">
        <v>0</v>
      </c>
      <c r="G23" s="2315"/>
      <c r="H23" s="2315"/>
      <c r="J23" s="2274">
        <v>0</v>
      </c>
      <c r="L23" s="2271">
        <f t="shared" si="4"/>
        <v>0</v>
      </c>
      <c r="M23" s="41">
        <f t="shared" si="5"/>
        <v>0</v>
      </c>
      <c r="N23" s="41">
        <f t="shared" si="6"/>
        <v>0</v>
      </c>
      <c r="O23" s="2271"/>
    </row>
    <row r="24" spans="1:15" s="44" customFormat="1" ht="12" customHeight="1">
      <c r="A24" s="2316" t="s">
        <v>202</v>
      </c>
      <c r="B24" s="2276" t="s">
        <v>203</v>
      </c>
      <c r="C24" s="162">
        <f t="shared" si="9"/>
        <v>0</v>
      </c>
      <c r="D24" s="2274">
        <f t="shared" si="10"/>
        <v>0</v>
      </c>
      <c r="E24" s="106">
        <f>+'1. mell.ÖSSZEVONT_MÉRLEG'!E24</f>
        <v>0</v>
      </c>
      <c r="F24" s="1801">
        <v>0</v>
      </c>
      <c r="G24" s="2315"/>
      <c r="H24" s="2315"/>
      <c r="J24" s="2274">
        <v>0</v>
      </c>
      <c r="L24" s="2271">
        <f t="shared" si="4"/>
        <v>0</v>
      </c>
      <c r="M24" s="41">
        <f t="shared" si="5"/>
        <v>0</v>
      </c>
      <c r="N24" s="41">
        <f t="shared" si="6"/>
        <v>0</v>
      </c>
      <c r="O24" s="2271"/>
    </row>
    <row r="25" spans="1:15" s="44" customFormat="1" ht="12" customHeight="1">
      <c r="A25" s="2316" t="s">
        <v>204</v>
      </c>
      <c r="B25" s="2276" t="s">
        <v>205</v>
      </c>
      <c r="C25" s="162">
        <f t="shared" si="9"/>
        <v>0</v>
      </c>
      <c r="D25" s="2274">
        <f t="shared" si="10"/>
        <v>0</v>
      </c>
      <c r="E25" s="106">
        <f>+'1. mell.ÖSSZEVONT_MÉRLEG'!E25</f>
        <v>0</v>
      </c>
      <c r="F25" s="1801">
        <v>0</v>
      </c>
      <c r="G25" s="2315"/>
      <c r="H25" s="2315"/>
      <c r="J25" s="2274">
        <v>0</v>
      </c>
      <c r="L25" s="2271">
        <f t="shared" si="4"/>
        <v>0</v>
      </c>
      <c r="M25" s="41">
        <f t="shared" si="5"/>
        <v>0</v>
      </c>
      <c r="N25" s="41">
        <f t="shared" si="6"/>
        <v>0</v>
      </c>
      <c r="O25" s="2271"/>
    </row>
    <row r="26" spans="1:15" s="44" customFormat="1" ht="12" customHeight="1">
      <c r="A26" s="2316" t="s">
        <v>206</v>
      </c>
      <c r="B26" s="2276" t="s">
        <v>207</v>
      </c>
      <c r="C26" s="162">
        <f t="shared" si="9"/>
        <v>300000</v>
      </c>
      <c r="D26" s="2274">
        <f t="shared" si="10"/>
        <v>620000</v>
      </c>
      <c r="E26" s="106">
        <f>+'1. mell.ÖSSZEVONT_MÉRLEG'!E26</f>
        <v>1631350723</v>
      </c>
      <c r="F26" s="1801">
        <v>300000</v>
      </c>
      <c r="G26" s="2315">
        <f t="shared" si="2"/>
        <v>2.0666666666666669</v>
      </c>
      <c r="H26" s="2315">
        <f t="shared" si="3"/>
        <v>2631.2108435483869</v>
      </c>
      <c r="J26" s="2274">
        <v>620000</v>
      </c>
      <c r="L26" s="2271">
        <f t="shared" si="4"/>
        <v>0</v>
      </c>
      <c r="M26" s="41">
        <f t="shared" si="5"/>
        <v>320000</v>
      </c>
      <c r="N26" s="41">
        <f t="shared" si="6"/>
        <v>1630730723</v>
      </c>
      <c r="O26" s="2271"/>
    </row>
    <row r="27" spans="1:15" s="44" customFormat="1" ht="12" customHeight="1" thickBot="1">
      <c r="A27" s="2317" t="s">
        <v>208</v>
      </c>
      <c r="B27" s="143" t="s">
        <v>209</v>
      </c>
      <c r="C27" s="975">
        <f t="shared" si="9"/>
        <v>0</v>
      </c>
      <c r="D27" s="2274">
        <f t="shared" si="10"/>
        <v>0</v>
      </c>
      <c r="E27" s="106">
        <f>+'1. mell.ÖSSZEVONT_MÉRLEG'!E27</f>
        <v>538761279</v>
      </c>
      <c r="F27" s="1801">
        <v>0</v>
      </c>
      <c r="G27" s="2315"/>
      <c r="H27" s="2315"/>
      <c r="J27" s="2274">
        <v>0</v>
      </c>
      <c r="L27" s="2271">
        <f t="shared" si="4"/>
        <v>0</v>
      </c>
      <c r="M27" s="41">
        <f t="shared" si="5"/>
        <v>0</v>
      </c>
      <c r="N27" s="41">
        <f t="shared" si="6"/>
        <v>538761279</v>
      </c>
      <c r="O27" s="2271"/>
    </row>
    <row r="28" spans="1:15" s="44" customFormat="1" ht="12" customHeight="1" thickBot="1">
      <c r="A28" s="144" t="s">
        <v>210</v>
      </c>
      <c r="B28" s="2277" t="s">
        <v>211</v>
      </c>
      <c r="C28" s="113">
        <f>+C29+C32+C33+C34</f>
        <v>10462431013</v>
      </c>
      <c r="D28" s="113">
        <f>+D29+D32+D33+D34</f>
        <v>11519032239</v>
      </c>
      <c r="E28" s="113">
        <f>+E29+E32+E33+E34</f>
        <v>12039227919</v>
      </c>
      <c r="F28" s="1800">
        <v>10462431013</v>
      </c>
      <c r="G28" s="2315">
        <f t="shared" si="2"/>
        <v>1.1009900303941913</v>
      </c>
      <c r="H28" s="2315">
        <f t="shared" si="3"/>
        <v>1.0451596687297022</v>
      </c>
      <c r="J28" s="113">
        <v>11519032239</v>
      </c>
      <c r="L28" s="2271">
        <f t="shared" si="4"/>
        <v>0</v>
      </c>
      <c r="M28" s="41">
        <f t="shared" si="5"/>
        <v>1056601226</v>
      </c>
      <c r="N28" s="41">
        <f t="shared" si="6"/>
        <v>520195680</v>
      </c>
      <c r="O28" s="2271"/>
    </row>
    <row r="29" spans="1:15" s="44" customFormat="1" ht="12" customHeight="1">
      <c r="A29" s="142" t="s">
        <v>212</v>
      </c>
      <c r="B29" s="2272" t="s">
        <v>213</v>
      </c>
      <c r="C29" s="145">
        <f t="shared" ref="C29:C34" si="11">+F29</f>
        <v>10367394595</v>
      </c>
      <c r="D29" s="145">
        <f t="shared" ref="D29:D34" si="12">+J29</f>
        <v>11424300024</v>
      </c>
      <c r="E29" s="145">
        <f>SUM(E30:E31)</f>
        <v>11974768010</v>
      </c>
      <c r="F29" s="1802">
        <v>10367394595</v>
      </c>
      <c r="G29" s="2315">
        <f t="shared" si="2"/>
        <v>1.1019451337860455</v>
      </c>
      <c r="H29" s="2315">
        <f t="shared" si="3"/>
        <v>1.0481839574279024</v>
      </c>
      <c r="J29" s="145">
        <v>11424300024</v>
      </c>
      <c r="L29" s="2271">
        <f t="shared" si="4"/>
        <v>0</v>
      </c>
      <c r="M29" s="41">
        <f t="shared" si="5"/>
        <v>1056905429</v>
      </c>
      <c r="N29" s="41">
        <f t="shared" si="6"/>
        <v>550467986</v>
      </c>
      <c r="O29" s="2271"/>
    </row>
    <row r="30" spans="1:15" s="44" customFormat="1" ht="12" customHeight="1">
      <c r="A30" s="2316" t="s">
        <v>214</v>
      </c>
      <c r="B30" s="2276" t="s">
        <v>215</v>
      </c>
      <c r="C30" s="162">
        <f t="shared" si="11"/>
        <v>928593516</v>
      </c>
      <c r="D30" s="145">
        <f t="shared" si="12"/>
        <v>903916941</v>
      </c>
      <c r="E30" s="106">
        <f>+'1. mell.ÖSSZEVONT_MÉRLEG'!E30</f>
        <v>1200000000</v>
      </c>
      <c r="F30" s="1802">
        <v>928593516</v>
      </c>
      <c r="G30" s="2315">
        <f t="shared" si="2"/>
        <v>0.97342585902785905</v>
      </c>
      <c r="H30" s="2315">
        <f t="shared" si="3"/>
        <v>1.327555603363783</v>
      </c>
      <c r="J30" s="145">
        <v>903916941</v>
      </c>
      <c r="L30" s="2271">
        <f t="shared" si="4"/>
        <v>0</v>
      </c>
      <c r="M30" s="41">
        <f t="shared" si="5"/>
        <v>-24676575</v>
      </c>
      <c r="N30" s="41">
        <f t="shared" si="6"/>
        <v>296083059</v>
      </c>
      <c r="O30" s="2271"/>
    </row>
    <row r="31" spans="1:15" s="44" customFormat="1" ht="12" customHeight="1">
      <c r="A31" s="2316" t="s">
        <v>216</v>
      </c>
      <c r="B31" s="2276" t="s">
        <v>217</v>
      </c>
      <c r="C31" s="162">
        <f t="shared" si="11"/>
        <v>9438801079</v>
      </c>
      <c r="D31" s="145">
        <f t="shared" si="12"/>
        <v>10520383083</v>
      </c>
      <c r="E31" s="106">
        <f>+'1. mell.ÖSSZEVONT_MÉRLEG'!E31</f>
        <v>10774768010</v>
      </c>
      <c r="F31" s="1802">
        <v>9438801079</v>
      </c>
      <c r="G31" s="2315">
        <f t="shared" si="2"/>
        <v>1.1145889181207946</v>
      </c>
      <c r="H31" s="2315">
        <f t="shared" si="3"/>
        <v>1.0241801961956178</v>
      </c>
      <c r="J31" s="145">
        <v>10520383083</v>
      </c>
      <c r="L31" s="2271">
        <f t="shared" si="4"/>
        <v>0</v>
      </c>
      <c r="M31" s="41">
        <f t="shared" si="5"/>
        <v>1081582004</v>
      </c>
      <c r="N31" s="41">
        <f t="shared" si="6"/>
        <v>254384927</v>
      </c>
      <c r="O31" s="2271"/>
    </row>
    <row r="32" spans="1:15" s="44" customFormat="1" ht="12" customHeight="1">
      <c r="A32" s="2316" t="s">
        <v>218</v>
      </c>
      <c r="B32" s="2276" t="s">
        <v>219</v>
      </c>
      <c r="C32" s="162">
        <f t="shared" si="11"/>
        <v>0</v>
      </c>
      <c r="D32" s="145">
        <f t="shared" si="12"/>
        <v>0</v>
      </c>
      <c r="E32" s="106">
        <f>+'1. mell.ÖSSZEVONT_MÉRLEG'!E32</f>
        <v>0</v>
      </c>
      <c r="F32" s="1802">
        <v>0</v>
      </c>
      <c r="G32" s="2315"/>
      <c r="H32" s="2315"/>
      <c r="J32" s="145">
        <v>0</v>
      </c>
      <c r="L32" s="2271">
        <f t="shared" si="4"/>
        <v>0</v>
      </c>
      <c r="M32" s="41">
        <f t="shared" si="5"/>
        <v>0</v>
      </c>
      <c r="N32" s="41">
        <f t="shared" si="6"/>
        <v>0</v>
      </c>
      <c r="O32" s="2271"/>
    </row>
    <row r="33" spans="1:15" s="44" customFormat="1" ht="12" customHeight="1">
      <c r="A33" s="2316" t="s">
        <v>220</v>
      </c>
      <c r="B33" s="2276" t="s">
        <v>221</v>
      </c>
      <c r="C33" s="162">
        <f t="shared" si="11"/>
        <v>4311437</v>
      </c>
      <c r="D33" s="145">
        <f t="shared" si="12"/>
        <v>9663830</v>
      </c>
      <c r="E33" s="106">
        <f>+'1. mell.ÖSSZEVONT_MÉRLEG'!E33</f>
        <v>8100000</v>
      </c>
      <c r="F33" s="1802">
        <v>4311437</v>
      </c>
      <c r="G33" s="2315">
        <f t="shared" si="2"/>
        <v>2.2414406148112564</v>
      </c>
      <c r="H33" s="2315">
        <f t="shared" si="3"/>
        <v>0.8381769960771247</v>
      </c>
      <c r="J33" s="145">
        <v>9663830</v>
      </c>
      <c r="L33" s="2271">
        <f t="shared" si="4"/>
        <v>0</v>
      </c>
      <c r="M33" s="41">
        <f t="shared" si="5"/>
        <v>5352393</v>
      </c>
      <c r="N33" s="41">
        <f t="shared" si="6"/>
        <v>-1563830</v>
      </c>
      <c r="O33" s="2271"/>
    </row>
    <row r="34" spans="1:15" s="44" customFormat="1" ht="12" customHeight="1" thickBot="1">
      <c r="A34" s="2317" t="s">
        <v>222</v>
      </c>
      <c r="B34" s="143" t="s">
        <v>223</v>
      </c>
      <c r="C34" s="975">
        <f t="shared" si="11"/>
        <v>90724981</v>
      </c>
      <c r="D34" s="145">
        <f t="shared" si="12"/>
        <v>85068385</v>
      </c>
      <c r="E34" s="106">
        <f>+'1. mell.ÖSSZEVONT_MÉRLEG'!E34</f>
        <v>56359909</v>
      </c>
      <c r="F34" s="1802">
        <v>90724981</v>
      </c>
      <c r="G34" s="2315">
        <f t="shared" si="2"/>
        <v>0.93765117459765579</v>
      </c>
      <c r="H34" s="2315">
        <f t="shared" si="3"/>
        <v>0.66252473230801312</v>
      </c>
      <c r="J34" s="145">
        <v>85068385</v>
      </c>
      <c r="L34" s="2271">
        <f t="shared" si="4"/>
        <v>0</v>
      </c>
      <c r="M34" s="41">
        <f t="shared" si="5"/>
        <v>-5656596</v>
      </c>
      <c r="N34" s="41">
        <f t="shared" si="6"/>
        <v>-28708476</v>
      </c>
      <c r="O34" s="2271"/>
    </row>
    <row r="35" spans="1:15" s="44" customFormat="1" ht="12" customHeight="1" thickBot="1">
      <c r="A35" s="144" t="s">
        <v>17</v>
      </c>
      <c r="B35" s="2277" t="s">
        <v>224</v>
      </c>
      <c r="C35" s="111">
        <f>SUM(C36:C46)</f>
        <v>3236605952</v>
      </c>
      <c r="D35" s="111">
        <f>SUM(D36:D46)</f>
        <v>3146037384</v>
      </c>
      <c r="E35" s="111">
        <f>SUM(E36:E46)</f>
        <v>2723483039.26968</v>
      </c>
      <c r="F35" s="1800">
        <v>3236605952</v>
      </c>
      <c r="G35" s="2315">
        <f t="shared" si="2"/>
        <v>0.97201742524633405</v>
      </c>
      <c r="H35" s="2315">
        <f t="shared" si="3"/>
        <v>0.86568680115521479</v>
      </c>
      <c r="J35" s="111">
        <v>3146037384</v>
      </c>
      <c r="L35" s="2271">
        <f t="shared" si="4"/>
        <v>0</v>
      </c>
      <c r="M35" s="41">
        <f t="shared" si="5"/>
        <v>-90568568</v>
      </c>
      <c r="N35" s="41">
        <f t="shared" si="6"/>
        <v>-422554344.73031998</v>
      </c>
      <c r="O35" s="2271"/>
    </row>
    <row r="36" spans="1:15" s="44" customFormat="1" ht="12" customHeight="1">
      <c r="A36" s="142" t="s">
        <v>225</v>
      </c>
      <c r="B36" s="2272" t="s">
        <v>226</v>
      </c>
      <c r="C36" s="161">
        <f>+F36</f>
        <v>1719854</v>
      </c>
      <c r="D36" s="2274">
        <f>+J36</f>
        <v>1187118</v>
      </c>
      <c r="E36" s="106">
        <f>+'1. mell.ÖSSZEVONT_MÉRLEG'!E36</f>
        <v>1250000</v>
      </c>
      <c r="F36" s="1801">
        <v>1719854</v>
      </c>
      <c r="G36" s="2315">
        <f t="shared" si="2"/>
        <v>0.69024347415536436</v>
      </c>
      <c r="H36" s="2315">
        <f t="shared" si="3"/>
        <v>1.0529703028679542</v>
      </c>
      <c r="J36" s="2274">
        <v>1187118</v>
      </c>
      <c r="L36" s="2271">
        <f t="shared" si="4"/>
        <v>0</v>
      </c>
      <c r="M36" s="41">
        <f t="shared" si="5"/>
        <v>-532736</v>
      </c>
      <c r="N36" s="41">
        <f t="shared" si="6"/>
        <v>62882</v>
      </c>
      <c r="O36" s="2271"/>
    </row>
    <row r="37" spans="1:15" s="44" customFormat="1" ht="12" customHeight="1">
      <c r="A37" s="2316" t="s">
        <v>227</v>
      </c>
      <c r="B37" s="2276" t="s">
        <v>228</v>
      </c>
      <c r="C37" s="162">
        <f>+F37</f>
        <v>384411858</v>
      </c>
      <c r="D37" s="2274">
        <f t="shared" ref="D37:D46" si="13">+J37</f>
        <v>433737664</v>
      </c>
      <c r="E37" s="106">
        <f>+'1. mell.ÖSSZEVONT_MÉRLEG'!E37</f>
        <v>520507331</v>
      </c>
      <c r="F37" s="1801">
        <v>384411858</v>
      </c>
      <c r="G37" s="2315">
        <f t="shared" si="2"/>
        <v>1.1283149959437515</v>
      </c>
      <c r="H37" s="2315">
        <f t="shared" si="3"/>
        <v>1.2000510313072559</v>
      </c>
      <c r="J37" s="2274">
        <v>433737664</v>
      </c>
      <c r="L37" s="2271">
        <f t="shared" si="4"/>
        <v>0</v>
      </c>
      <c r="M37" s="41">
        <f t="shared" si="5"/>
        <v>49325806</v>
      </c>
      <c r="N37" s="41">
        <f t="shared" si="6"/>
        <v>86769667</v>
      </c>
      <c r="O37" s="2271"/>
    </row>
    <row r="38" spans="1:15" s="44" customFormat="1" ht="12" customHeight="1">
      <c r="A38" s="2316" t="s">
        <v>229</v>
      </c>
      <c r="B38" s="2276" t="s">
        <v>230</v>
      </c>
      <c r="C38" s="162">
        <f t="shared" ref="C38:C45" si="14">+F38</f>
        <v>108083887</v>
      </c>
      <c r="D38" s="2274">
        <f t="shared" si="13"/>
        <v>118456613</v>
      </c>
      <c r="E38" s="106">
        <f>+'1. mell.ÖSSZEVONT_MÉRLEG'!E38</f>
        <v>124619785</v>
      </c>
      <c r="F38" s="1801">
        <v>108083887</v>
      </c>
      <c r="G38" s="2315">
        <f t="shared" si="2"/>
        <v>1.0959692169472033</v>
      </c>
      <c r="H38" s="2315">
        <f t="shared" si="3"/>
        <v>1.0520289399123712</v>
      </c>
      <c r="J38" s="2274">
        <v>118456613</v>
      </c>
      <c r="L38" s="2271">
        <f t="shared" si="4"/>
        <v>0</v>
      </c>
      <c r="M38" s="41">
        <f t="shared" si="5"/>
        <v>10372726</v>
      </c>
      <c r="N38" s="41">
        <f t="shared" si="6"/>
        <v>6163172</v>
      </c>
      <c r="O38" s="2271"/>
    </row>
    <row r="39" spans="1:15" s="44" customFormat="1" ht="12" customHeight="1">
      <c r="A39" s="2316" t="s">
        <v>231</v>
      </c>
      <c r="B39" s="2276" t="s">
        <v>232</v>
      </c>
      <c r="C39" s="162">
        <f t="shared" si="14"/>
        <v>330954765</v>
      </c>
      <c r="D39" s="2274">
        <f t="shared" si="13"/>
        <v>428238734</v>
      </c>
      <c r="E39" s="106">
        <f>+'1. mell.ÖSSZEVONT_MÉRLEG'!E39</f>
        <v>528164717</v>
      </c>
      <c r="F39" s="1801">
        <v>330954765</v>
      </c>
      <c r="G39" s="2315">
        <f t="shared" si="2"/>
        <v>1.2939494435138288</v>
      </c>
      <c r="H39" s="2315">
        <f t="shared" si="3"/>
        <v>1.2333417672582603</v>
      </c>
      <c r="J39" s="2274">
        <v>428238734</v>
      </c>
      <c r="L39" s="2271">
        <f t="shared" si="4"/>
        <v>0</v>
      </c>
      <c r="M39" s="41">
        <f t="shared" si="5"/>
        <v>97283969</v>
      </c>
      <c r="N39" s="41">
        <f t="shared" si="6"/>
        <v>99925983</v>
      </c>
      <c r="O39" s="2271"/>
    </row>
    <row r="40" spans="1:15" s="44" customFormat="1" ht="12" customHeight="1">
      <c r="A40" s="2316" t="s">
        <v>233</v>
      </c>
      <c r="B40" s="2276" t="s">
        <v>234</v>
      </c>
      <c r="C40" s="162">
        <f t="shared" si="14"/>
        <v>541005618</v>
      </c>
      <c r="D40" s="2274">
        <f t="shared" si="13"/>
        <v>624915030</v>
      </c>
      <c r="E40" s="106">
        <f>+'1. mell.ÖSSZEVONT_MÉRLEG'!E40</f>
        <v>1019155664</v>
      </c>
      <c r="F40" s="1801">
        <v>541005618</v>
      </c>
      <c r="G40" s="2315">
        <f t="shared" si="2"/>
        <v>1.1550989660887403</v>
      </c>
      <c r="H40" s="2315">
        <f t="shared" si="3"/>
        <v>1.6308707825446285</v>
      </c>
      <c r="J40" s="2274">
        <v>624915030</v>
      </c>
      <c r="L40" s="2271">
        <f t="shared" si="4"/>
        <v>0</v>
      </c>
      <c r="M40" s="41">
        <f t="shared" si="5"/>
        <v>83909412</v>
      </c>
      <c r="N40" s="41">
        <f t="shared" si="6"/>
        <v>394240634</v>
      </c>
      <c r="O40" s="2271"/>
    </row>
    <row r="41" spans="1:15" s="44" customFormat="1" ht="12" customHeight="1">
      <c r="A41" s="2316" t="s">
        <v>235</v>
      </c>
      <c r="B41" s="2276" t="s">
        <v>887</v>
      </c>
      <c r="C41" s="162">
        <f t="shared" si="14"/>
        <v>214420693</v>
      </c>
      <c r="D41" s="2274">
        <f t="shared" si="13"/>
        <v>250923880</v>
      </c>
      <c r="E41" s="106">
        <f>+'1. mell.ÖSSZEVONT_MÉRLEG'!E41</f>
        <v>285265556.26968002</v>
      </c>
      <c r="F41" s="1801">
        <v>214420693</v>
      </c>
      <c r="G41" s="2315">
        <f t="shared" si="2"/>
        <v>1.1702409710988109</v>
      </c>
      <c r="H41" s="2315">
        <f t="shared" si="3"/>
        <v>1.1368609327644703</v>
      </c>
      <c r="J41" s="2274">
        <v>250923880</v>
      </c>
      <c r="L41" s="2271">
        <f t="shared" si="4"/>
        <v>0</v>
      </c>
      <c r="M41" s="41">
        <f t="shared" si="5"/>
        <v>36503187</v>
      </c>
      <c r="N41" s="41">
        <f t="shared" si="6"/>
        <v>34341676.269680023</v>
      </c>
      <c r="O41" s="2271"/>
    </row>
    <row r="42" spans="1:15" s="44" customFormat="1" ht="12" customHeight="1">
      <c r="A42" s="2316" t="s">
        <v>237</v>
      </c>
      <c r="B42" s="2276" t="s">
        <v>238</v>
      </c>
      <c r="C42" s="162">
        <f t="shared" si="14"/>
        <v>307394418</v>
      </c>
      <c r="D42" s="2274">
        <f t="shared" si="13"/>
        <v>448798028</v>
      </c>
      <c r="E42" s="106">
        <f>+'1. mell.ÖSSZEVONT_MÉRLEG'!E42</f>
        <v>5336000</v>
      </c>
      <c r="F42" s="1801">
        <v>307394418</v>
      </c>
      <c r="G42" s="2315">
        <f t="shared" si="2"/>
        <v>1.4600070844487489</v>
      </c>
      <c r="H42" s="2315">
        <f t="shared" si="3"/>
        <v>1.1889535307851218E-2</v>
      </c>
      <c r="J42" s="2274">
        <v>448798028</v>
      </c>
      <c r="L42" s="2271">
        <f t="shared" si="4"/>
        <v>0</v>
      </c>
      <c r="M42" s="41">
        <f t="shared" si="5"/>
        <v>141403610</v>
      </c>
      <c r="N42" s="41">
        <f t="shared" si="6"/>
        <v>-443462028</v>
      </c>
      <c r="O42" s="2271"/>
    </row>
    <row r="43" spans="1:15" s="44" customFormat="1" ht="12" customHeight="1">
      <c r="A43" s="2316" t="s">
        <v>239</v>
      </c>
      <c r="B43" s="2276" t="s">
        <v>240</v>
      </c>
      <c r="C43" s="162">
        <f t="shared" si="14"/>
        <v>1238488553</v>
      </c>
      <c r="D43" s="2274">
        <f t="shared" si="13"/>
        <v>448162516</v>
      </c>
      <c r="E43" s="106">
        <f>+'1. mell.ÖSSZEVONT_MÉRLEG'!E43</f>
        <v>226523986</v>
      </c>
      <c r="F43" s="1801">
        <v>1238488553</v>
      </c>
      <c r="G43" s="2315">
        <f t="shared" si="2"/>
        <v>0.36186246123503735</v>
      </c>
      <c r="H43" s="2315">
        <f t="shared" si="3"/>
        <v>0.50545054062486561</v>
      </c>
      <c r="J43" s="2274">
        <v>448162516</v>
      </c>
      <c r="L43" s="2271">
        <f t="shared" si="4"/>
        <v>0</v>
      </c>
      <c r="M43" s="41">
        <f t="shared" si="5"/>
        <v>-790326037</v>
      </c>
      <c r="N43" s="41">
        <f t="shared" si="6"/>
        <v>-221638530</v>
      </c>
      <c r="O43" s="2271"/>
    </row>
    <row r="44" spans="1:15" s="44" customFormat="1" ht="12" customHeight="1">
      <c r="A44" s="2316" t="s">
        <v>241</v>
      </c>
      <c r="B44" s="2276" t="s">
        <v>242</v>
      </c>
      <c r="C44" s="162">
        <f t="shared" si="14"/>
        <v>0</v>
      </c>
      <c r="D44" s="2274">
        <f t="shared" si="13"/>
        <v>10</v>
      </c>
      <c r="E44" s="106">
        <f>+'1. mell.ÖSSZEVONT_MÉRLEG'!E44</f>
        <v>0</v>
      </c>
      <c r="F44" s="1801">
        <v>0</v>
      </c>
      <c r="G44" s="2315"/>
      <c r="H44" s="2315"/>
      <c r="J44" s="2274">
        <v>10</v>
      </c>
      <c r="L44" s="2271">
        <f t="shared" si="4"/>
        <v>0</v>
      </c>
      <c r="M44" s="41">
        <f t="shared" si="5"/>
        <v>10</v>
      </c>
      <c r="N44" s="41">
        <f t="shared" si="6"/>
        <v>-10</v>
      </c>
      <c r="O44" s="2271"/>
    </row>
    <row r="45" spans="1:15" s="44" customFormat="1" ht="12" customHeight="1">
      <c r="A45" s="2317" t="s">
        <v>243</v>
      </c>
      <c r="B45" s="143" t="s">
        <v>163</v>
      </c>
      <c r="C45" s="162">
        <f t="shared" si="14"/>
        <v>80553755</v>
      </c>
      <c r="D45" s="2274">
        <f t="shared" si="13"/>
        <v>151902446</v>
      </c>
      <c r="E45" s="106">
        <f>+'1. mell.ÖSSZEVONT_MÉRLEG'!E45</f>
        <v>0</v>
      </c>
      <c r="F45" s="1801">
        <v>80553755</v>
      </c>
      <c r="G45" s="2315">
        <f t="shared" si="2"/>
        <v>1.8857276858167569</v>
      </c>
      <c r="H45" s="2315">
        <f t="shared" si="3"/>
        <v>0</v>
      </c>
      <c r="J45" s="2274">
        <v>151902446</v>
      </c>
      <c r="L45" s="2271">
        <f t="shared" si="4"/>
        <v>0</v>
      </c>
      <c r="M45" s="41">
        <f t="shared" si="5"/>
        <v>71348691</v>
      </c>
      <c r="N45" s="41">
        <f t="shared" si="6"/>
        <v>-151902446</v>
      </c>
      <c r="O45" s="2271"/>
    </row>
    <row r="46" spans="1:15" s="44" customFormat="1" ht="12" customHeight="1" thickBot="1">
      <c r="A46" s="2317" t="s">
        <v>244</v>
      </c>
      <c r="B46" s="143" t="s">
        <v>162</v>
      </c>
      <c r="C46" s="2275">
        <f>+F46</f>
        <v>29572551</v>
      </c>
      <c r="D46" s="2274">
        <f t="shared" si="13"/>
        <v>239715345</v>
      </c>
      <c r="E46" s="106">
        <f>+'1. mell.ÖSSZEVONT_MÉRLEG'!E46</f>
        <v>12660000</v>
      </c>
      <c r="F46" s="1801">
        <v>29572551</v>
      </c>
      <c r="G46" s="2315">
        <f t="shared" si="2"/>
        <v>8.1060083386110318</v>
      </c>
      <c r="H46" s="2315">
        <f t="shared" si="3"/>
        <v>5.2812639090751574E-2</v>
      </c>
      <c r="J46" s="2274">
        <v>239715345</v>
      </c>
      <c r="L46" s="2271">
        <f t="shared" si="4"/>
        <v>0</v>
      </c>
      <c r="M46" s="41">
        <f t="shared" si="5"/>
        <v>210142794</v>
      </c>
      <c r="N46" s="41">
        <f t="shared" si="6"/>
        <v>-227055345</v>
      </c>
      <c r="O46" s="2271"/>
    </row>
    <row r="47" spans="1:15" s="44" customFormat="1" ht="12" customHeight="1" thickBot="1">
      <c r="A47" s="144" t="s">
        <v>19</v>
      </c>
      <c r="B47" s="2277" t="s">
        <v>245</v>
      </c>
      <c r="C47" s="111">
        <f>SUM(C48:C52)</f>
        <v>557562981</v>
      </c>
      <c r="D47" s="111">
        <f>SUM(D48:D52)</f>
        <v>299399798</v>
      </c>
      <c r="E47" s="111">
        <f>SUM(E48:E52)</f>
        <v>1091869854</v>
      </c>
      <c r="F47" s="1800">
        <v>557562981</v>
      </c>
      <c r="G47" s="2315">
        <f t="shared" si="2"/>
        <v>0.53697933364051653</v>
      </c>
      <c r="H47" s="2315">
        <f t="shared" si="3"/>
        <v>3.6468623602745383</v>
      </c>
      <c r="J47" s="111">
        <v>299399798</v>
      </c>
      <c r="L47" s="2271">
        <f t="shared" si="4"/>
        <v>0</v>
      </c>
      <c r="M47" s="41">
        <f t="shared" si="5"/>
        <v>-258163183</v>
      </c>
      <c r="N47" s="41">
        <f t="shared" si="6"/>
        <v>792470056</v>
      </c>
      <c r="O47" s="2271"/>
    </row>
    <row r="48" spans="1:15" s="44" customFormat="1" ht="12" customHeight="1">
      <c r="A48" s="142" t="s">
        <v>246</v>
      </c>
      <c r="B48" s="2272" t="s">
        <v>247</v>
      </c>
      <c r="C48" s="2278">
        <f>+F48</f>
        <v>0</v>
      </c>
      <c r="D48" s="2274">
        <f>+J48</f>
        <v>0</v>
      </c>
      <c r="E48" s="106">
        <f>+'1. mell.ÖSSZEVONT_MÉRLEG'!E48</f>
        <v>0</v>
      </c>
      <c r="F48" s="1803">
        <v>0</v>
      </c>
      <c r="G48" s="2315"/>
      <c r="H48" s="2315"/>
      <c r="J48" s="2274">
        <v>0</v>
      </c>
      <c r="L48" s="2271">
        <f t="shared" si="4"/>
        <v>0</v>
      </c>
      <c r="M48" s="41">
        <f t="shared" si="5"/>
        <v>0</v>
      </c>
      <c r="N48" s="41">
        <f t="shared" si="6"/>
        <v>0</v>
      </c>
      <c r="O48" s="2271"/>
    </row>
    <row r="49" spans="1:15" s="44" customFormat="1" ht="12" customHeight="1">
      <c r="A49" s="2316" t="s">
        <v>248</v>
      </c>
      <c r="B49" s="2276" t="s">
        <v>249</v>
      </c>
      <c r="C49" s="2279">
        <f>+F49</f>
        <v>556552981</v>
      </c>
      <c r="D49" s="2274">
        <f>+J49</f>
        <v>299305310</v>
      </c>
      <c r="E49" s="106">
        <f>+'1. mell.ÖSSZEVONT_MÉRLEG'!E49</f>
        <v>1091394854</v>
      </c>
      <c r="F49" s="1803">
        <v>556552981</v>
      </c>
      <c r="G49" s="2315">
        <f t="shared" si="2"/>
        <v>0.53778403892872151</v>
      </c>
      <c r="H49" s="2315">
        <f t="shared" si="3"/>
        <v>3.6464266337272799</v>
      </c>
      <c r="J49" s="2274">
        <v>299305310</v>
      </c>
      <c r="L49" s="2271">
        <f t="shared" si="4"/>
        <v>0</v>
      </c>
      <c r="M49" s="41">
        <f t="shared" si="5"/>
        <v>-257247671</v>
      </c>
      <c r="N49" s="41">
        <f t="shared" si="6"/>
        <v>792089544</v>
      </c>
      <c r="O49" s="2271"/>
    </row>
    <row r="50" spans="1:15" s="44" customFormat="1" ht="12" customHeight="1">
      <c r="A50" s="2316" t="s">
        <v>250</v>
      </c>
      <c r="B50" s="2276" t="s">
        <v>155</v>
      </c>
      <c r="C50" s="2279">
        <f>+F50</f>
        <v>1010000</v>
      </c>
      <c r="D50" s="2274">
        <f>+J50</f>
        <v>94488</v>
      </c>
      <c r="E50" s="106">
        <f>+'1. mell.ÖSSZEVONT_MÉRLEG'!E50</f>
        <v>475000</v>
      </c>
      <c r="F50" s="1803">
        <v>1010000</v>
      </c>
      <c r="G50" s="2315">
        <f t="shared" si="2"/>
        <v>9.3552475247524747E-2</v>
      </c>
      <c r="H50" s="2315">
        <f t="shared" si="3"/>
        <v>5.0270933875201083</v>
      </c>
      <c r="J50" s="2274">
        <v>94488</v>
      </c>
      <c r="L50" s="2271">
        <f t="shared" si="4"/>
        <v>0</v>
      </c>
      <c r="M50" s="41">
        <f t="shared" si="5"/>
        <v>-915512</v>
      </c>
      <c r="N50" s="41">
        <f t="shared" si="6"/>
        <v>380512</v>
      </c>
      <c r="O50" s="2271"/>
    </row>
    <row r="51" spans="1:15" s="44" customFormat="1" ht="12" customHeight="1">
      <c r="A51" s="2316" t="s">
        <v>251</v>
      </c>
      <c r="B51" s="2276" t="s">
        <v>252</v>
      </c>
      <c r="C51" s="2279">
        <f>+F51</f>
        <v>0</v>
      </c>
      <c r="D51" s="2274">
        <f>+J51</f>
        <v>0</v>
      </c>
      <c r="E51" s="106">
        <f>+'1. mell.ÖSSZEVONT_MÉRLEG'!E51</f>
        <v>0</v>
      </c>
      <c r="F51" s="1803">
        <v>0</v>
      </c>
      <c r="G51" s="2315"/>
      <c r="H51" s="2315"/>
      <c r="J51" s="2274">
        <v>0</v>
      </c>
      <c r="L51" s="2271">
        <f t="shared" si="4"/>
        <v>0</v>
      </c>
      <c r="M51" s="41">
        <f t="shared" si="5"/>
        <v>0</v>
      </c>
      <c r="N51" s="41">
        <f t="shared" si="6"/>
        <v>0</v>
      </c>
      <c r="O51" s="2271"/>
    </row>
    <row r="52" spans="1:15" s="44" customFormat="1" ht="12" customHeight="1" thickBot="1">
      <c r="A52" s="2317" t="s">
        <v>253</v>
      </c>
      <c r="B52" s="143" t="s">
        <v>254</v>
      </c>
      <c r="C52" s="2280">
        <f>+F52</f>
        <v>0</v>
      </c>
      <c r="D52" s="2274">
        <f>+J52</f>
        <v>0</v>
      </c>
      <c r="E52" s="106">
        <f>+'1. mell.ÖSSZEVONT_MÉRLEG'!E52</f>
        <v>0</v>
      </c>
      <c r="F52" s="1803">
        <v>0</v>
      </c>
      <c r="G52" s="2315"/>
      <c r="H52" s="2315"/>
      <c r="J52" s="2274">
        <v>0</v>
      </c>
      <c r="L52" s="2271">
        <f t="shared" si="4"/>
        <v>0</v>
      </c>
      <c r="M52" s="41">
        <f t="shared" si="5"/>
        <v>0</v>
      </c>
      <c r="N52" s="41">
        <f t="shared" si="6"/>
        <v>0</v>
      </c>
      <c r="O52" s="2271"/>
    </row>
    <row r="53" spans="1:15" s="44" customFormat="1" ht="12" customHeight="1" thickBot="1">
      <c r="A53" s="144" t="s">
        <v>255</v>
      </c>
      <c r="B53" s="2277" t="s">
        <v>256</v>
      </c>
      <c r="C53" s="111">
        <f>SUM(C54:C56)</f>
        <v>22226602</v>
      </c>
      <c r="D53" s="111">
        <f>SUM(D54:D56)</f>
        <v>37170131</v>
      </c>
      <c r="E53" s="111">
        <f>SUM(E54:E56)</f>
        <v>16328120</v>
      </c>
      <c r="F53" s="1800">
        <v>22226602</v>
      </c>
      <c r="G53" s="2315">
        <f t="shared" si="2"/>
        <v>1.6723262962102798</v>
      </c>
      <c r="H53" s="2315">
        <f t="shared" si="3"/>
        <v>0.43928066866377197</v>
      </c>
      <c r="J53" s="111">
        <v>37170131</v>
      </c>
      <c r="L53" s="2271">
        <f t="shared" si="4"/>
        <v>0</v>
      </c>
      <c r="M53" s="41">
        <f t="shared" si="5"/>
        <v>14943529</v>
      </c>
      <c r="N53" s="41">
        <f t="shared" si="6"/>
        <v>-20842011</v>
      </c>
      <c r="O53" s="2271"/>
    </row>
    <row r="54" spans="1:15" s="44" customFormat="1" ht="12" customHeight="1">
      <c r="A54" s="142" t="s">
        <v>257</v>
      </c>
      <c r="B54" s="2272" t="s">
        <v>258</v>
      </c>
      <c r="C54" s="161">
        <f>+F54</f>
        <v>0</v>
      </c>
      <c r="D54" s="2274">
        <f>+J54</f>
        <v>0</v>
      </c>
      <c r="E54" s="106">
        <f>+'1. mell.ÖSSZEVONT_MÉRLEG'!E54</f>
        <v>0</v>
      </c>
      <c r="F54" s="1801">
        <v>0</v>
      </c>
      <c r="G54" s="2315"/>
      <c r="H54" s="2315"/>
      <c r="J54" s="2274">
        <v>0</v>
      </c>
      <c r="L54" s="2271">
        <f t="shared" si="4"/>
        <v>0</v>
      </c>
      <c r="M54" s="41">
        <f t="shared" si="5"/>
        <v>0</v>
      </c>
      <c r="N54" s="41">
        <f t="shared" si="6"/>
        <v>0</v>
      </c>
      <c r="O54" s="2271"/>
    </row>
    <row r="55" spans="1:15" s="44" customFormat="1" ht="12" customHeight="1">
      <c r="A55" s="2316" t="s">
        <v>259</v>
      </c>
      <c r="B55" s="2276" t="s">
        <v>260</v>
      </c>
      <c r="C55" s="162">
        <f>+F55</f>
        <v>20401602</v>
      </c>
      <c r="D55" s="2274">
        <f>+J55</f>
        <v>15000000</v>
      </c>
      <c r="E55" s="106">
        <f>+'1. mell.ÖSSZEVONT_MÉRLEG'!E55</f>
        <v>16328120</v>
      </c>
      <c r="F55" s="1801">
        <v>20401602</v>
      </c>
      <c r="G55" s="2315">
        <f t="shared" si="2"/>
        <v>0.73523637996663205</v>
      </c>
      <c r="H55" s="2315">
        <f t="shared" si="3"/>
        <v>1.0885413333333334</v>
      </c>
      <c r="J55" s="2274">
        <v>15000000</v>
      </c>
      <c r="L55" s="2271">
        <f t="shared" si="4"/>
        <v>0</v>
      </c>
      <c r="M55" s="41">
        <f t="shared" si="5"/>
        <v>-5401602</v>
      </c>
      <c r="N55" s="41">
        <f t="shared" si="6"/>
        <v>1328120</v>
      </c>
      <c r="O55" s="2271"/>
    </row>
    <row r="56" spans="1:15" s="44" customFormat="1" ht="12" customHeight="1">
      <c r="A56" s="2316" t="s">
        <v>261</v>
      </c>
      <c r="B56" s="2276" t="s">
        <v>262</v>
      </c>
      <c r="C56" s="162">
        <f>+F56</f>
        <v>1825000</v>
      </c>
      <c r="D56" s="2274">
        <f>+J56</f>
        <v>22170131</v>
      </c>
      <c r="E56" s="106">
        <f>+'1. mell.ÖSSZEVONT_MÉRLEG'!E56</f>
        <v>0</v>
      </c>
      <c r="F56" s="1801">
        <v>1825000</v>
      </c>
      <c r="G56" s="2315">
        <f t="shared" si="2"/>
        <v>12.14801698630137</v>
      </c>
      <c r="H56" s="2315">
        <f t="shared" si="3"/>
        <v>0</v>
      </c>
      <c r="J56" s="2274">
        <v>22170131</v>
      </c>
      <c r="L56" s="2271">
        <f t="shared" si="4"/>
        <v>0</v>
      </c>
      <c r="M56" s="41">
        <f t="shared" si="5"/>
        <v>20345131</v>
      </c>
      <c r="N56" s="41">
        <f t="shared" si="6"/>
        <v>-22170131</v>
      </c>
      <c r="O56" s="2271"/>
    </row>
    <row r="57" spans="1:15" s="44" customFormat="1" ht="12" customHeight="1" thickBot="1">
      <c r="A57" s="2317" t="s">
        <v>263</v>
      </c>
      <c r="B57" s="143" t="s">
        <v>264</v>
      </c>
      <c r="C57" s="975">
        <f>+F57</f>
        <v>0</v>
      </c>
      <c r="D57" s="2274">
        <f>+J57</f>
        <v>22170131</v>
      </c>
      <c r="E57" s="106">
        <f>+'1. mell.ÖSSZEVONT_MÉRLEG'!E57</f>
        <v>0</v>
      </c>
      <c r="F57" s="1801">
        <v>0</v>
      </c>
      <c r="G57" s="2315"/>
      <c r="H57" s="2315">
        <f>+E57/D57</f>
        <v>0</v>
      </c>
      <c r="J57" s="2274">
        <v>22170131</v>
      </c>
      <c r="L57" s="2271">
        <f t="shared" si="4"/>
        <v>0</v>
      </c>
      <c r="M57" s="41">
        <f t="shared" si="5"/>
        <v>22170131</v>
      </c>
      <c r="N57" s="41">
        <f t="shared" si="6"/>
        <v>-22170131</v>
      </c>
      <c r="O57" s="2271"/>
    </row>
    <row r="58" spans="1:15" s="44" customFormat="1" ht="12" customHeight="1" thickBot="1">
      <c r="A58" s="144" t="s">
        <v>23</v>
      </c>
      <c r="B58" s="2269" t="s">
        <v>3032</v>
      </c>
      <c r="C58" s="111">
        <f>SUM(C59:C61)</f>
        <v>53033489</v>
      </c>
      <c r="D58" s="111">
        <f>SUM(D59:D61)</f>
        <v>62546164</v>
      </c>
      <c r="E58" s="111">
        <f>SUM(E59:E61)</f>
        <v>3218439</v>
      </c>
      <c r="F58" s="1800">
        <v>53033489</v>
      </c>
      <c r="G58" s="2315">
        <f t="shared" si="2"/>
        <v>1.17937109512067</v>
      </c>
      <c r="H58" s="2315">
        <f t="shared" si="3"/>
        <v>5.1457016612561565E-2</v>
      </c>
      <c r="J58" s="111">
        <v>62546164</v>
      </c>
      <c r="L58" s="2271">
        <f t="shared" si="4"/>
        <v>0</v>
      </c>
      <c r="M58" s="41">
        <f t="shared" si="5"/>
        <v>9512675</v>
      </c>
      <c r="N58" s="41">
        <f t="shared" si="6"/>
        <v>-59327725</v>
      </c>
      <c r="O58" s="2271"/>
    </row>
    <row r="59" spans="1:15" s="44" customFormat="1" ht="12" customHeight="1">
      <c r="A59" s="2316" t="s">
        <v>265</v>
      </c>
      <c r="B59" s="2272" t="s">
        <v>3167</v>
      </c>
      <c r="C59" s="2279">
        <f>+F59</f>
        <v>0</v>
      </c>
      <c r="D59" s="2274">
        <f>+J59</f>
        <v>0</v>
      </c>
      <c r="E59" s="106">
        <f>+'1. mell.ÖSSZEVONT_MÉRLEG'!E59</f>
        <v>0</v>
      </c>
      <c r="F59" s="1804">
        <v>0</v>
      </c>
      <c r="G59" s="2315"/>
      <c r="H59" s="2315"/>
      <c r="J59" s="2274">
        <v>0</v>
      </c>
      <c r="L59" s="2271">
        <f t="shared" si="4"/>
        <v>0</v>
      </c>
      <c r="M59" s="41">
        <f t="shared" si="5"/>
        <v>0</v>
      </c>
      <c r="N59" s="41">
        <f t="shared" si="6"/>
        <v>0</v>
      </c>
      <c r="O59" s="2271"/>
    </row>
    <row r="60" spans="1:15" s="44" customFormat="1" ht="12" customHeight="1">
      <c r="A60" s="2316" t="s">
        <v>266</v>
      </c>
      <c r="B60" s="2276" t="s">
        <v>3166</v>
      </c>
      <c r="C60" s="2279">
        <f>+F60</f>
        <v>8237626</v>
      </c>
      <c r="D60" s="2274">
        <f>+J60</f>
        <v>5200891</v>
      </c>
      <c r="E60" s="106">
        <f>+'1. mell.ÖSSZEVONT_MÉRLEG'!E60</f>
        <v>2812314</v>
      </c>
      <c r="F60" s="1804">
        <v>8237626</v>
      </c>
      <c r="G60" s="2315">
        <f t="shared" si="2"/>
        <v>0.63135799076093035</v>
      </c>
      <c r="H60" s="2315">
        <f t="shared" si="3"/>
        <v>0.54073696218590239</v>
      </c>
      <c r="J60" s="2274">
        <v>5200891</v>
      </c>
      <c r="L60" s="2271">
        <f t="shared" si="4"/>
        <v>0</v>
      </c>
      <c r="M60" s="41">
        <f t="shared" si="5"/>
        <v>-3036735</v>
      </c>
      <c r="N60" s="41">
        <f t="shared" si="6"/>
        <v>-2388577</v>
      </c>
      <c r="O60" s="2271"/>
    </row>
    <row r="61" spans="1:15" s="44" customFormat="1" ht="12" customHeight="1">
      <c r="A61" s="2316" t="s">
        <v>267</v>
      </c>
      <c r="B61" s="2276" t="s">
        <v>268</v>
      </c>
      <c r="C61" s="2279">
        <f>+F61</f>
        <v>44795863</v>
      </c>
      <c r="D61" s="2274">
        <f>+J61</f>
        <v>57345273</v>
      </c>
      <c r="E61" s="106">
        <f>+'1. mell.ÖSSZEVONT_MÉRLEG'!E61</f>
        <v>406125</v>
      </c>
      <c r="F61" s="1804">
        <v>44795863</v>
      </c>
      <c r="G61" s="2315">
        <f t="shared" si="2"/>
        <v>1.2801466287188172</v>
      </c>
      <c r="H61" s="2315">
        <f t="shared" si="3"/>
        <v>7.0821007339175101E-3</v>
      </c>
      <c r="J61" s="2274">
        <v>57345273</v>
      </c>
      <c r="L61" s="2271">
        <f t="shared" si="4"/>
        <v>0</v>
      </c>
      <c r="M61" s="41">
        <f t="shared" si="5"/>
        <v>12549410</v>
      </c>
      <c r="N61" s="41">
        <f t="shared" si="6"/>
        <v>-56939148</v>
      </c>
      <c r="O61" s="2271"/>
    </row>
    <row r="62" spans="1:15" s="44" customFormat="1" ht="12" customHeight="1" thickBot="1">
      <c r="A62" s="2316" t="s">
        <v>269</v>
      </c>
      <c r="B62" s="143" t="s">
        <v>270</v>
      </c>
      <c r="C62" s="2279">
        <f>+F62</f>
        <v>0</v>
      </c>
      <c r="D62" s="2274">
        <f>+J62</f>
        <v>0</v>
      </c>
      <c r="E62" s="106">
        <f>+'1. mell.ÖSSZEVONT_MÉRLEG'!E62</f>
        <v>0</v>
      </c>
      <c r="F62" s="1804">
        <v>0</v>
      </c>
      <c r="G62" s="2315"/>
      <c r="H62" s="2315"/>
      <c r="J62" s="2274">
        <v>0</v>
      </c>
      <c r="L62" s="2271">
        <f t="shared" si="4"/>
        <v>0</v>
      </c>
      <c r="M62" s="41">
        <f t="shared" si="5"/>
        <v>0</v>
      </c>
      <c r="N62" s="41">
        <f t="shared" si="6"/>
        <v>0</v>
      </c>
      <c r="O62" s="2271"/>
    </row>
    <row r="63" spans="1:15" s="44" customFormat="1" ht="12" customHeight="1" thickBot="1">
      <c r="A63" s="146" t="s">
        <v>25</v>
      </c>
      <c r="B63" s="2281" t="s">
        <v>3036</v>
      </c>
      <c r="C63" s="2282">
        <f>+C7+C14+C21+C28+C35+C47+C53+C58</f>
        <v>24007167124</v>
      </c>
      <c r="D63" s="2282">
        <f>+D7+D14+D21+D28+D35+D47+D53+D58</f>
        <v>24598610112</v>
      </c>
      <c r="E63" s="2282">
        <f>+E7+E14+E21+E28+E35+E47+E53+E58</f>
        <v>27257936916.26968</v>
      </c>
      <c r="F63" s="1805">
        <v>24007167124</v>
      </c>
      <c r="G63" s="2315">
        <f t="shared" si="2"/>
        <v>1.0246361007504603</v>
      </c>
      <c r="H63" s="2315">
        <f t="shared" si="3"/>
        <v>1.1081088237165226</v>
      </c>
      <c r="J63" s="2282">
        <v>24598610112</v>
      </c>
      <c r="L63" s="2271">
        <f t="shared" si="4"/>
        <v>0</v>
      </c>
      <c r="M63" s="41">
        <f t="shared" si="5"/>
        <v>591442988</v>
      </c>
      <c r="N63" s="41">
        <f t="shared" si="6"/>
        <v>2659326804.26968</v>
      </c>
      <c r="O63" s="2271"/>
    </row>
    <row r="64" spans="1:15" s="44" customFormat="1" ht="12" customHeight="1" thickBot="1">
      <c r="A64" s="147" t="s">
        <v>27</v>
      </c>
      <c r="B64" s="2269" t="s">
        <v>3033</v>
      </c>
      <c r="C64" s="111">
        <f>SUM(C65:C67)</f>
        <v>0</v>
      </c>
      <c r="D64" s="111">
        <f>SUM(D65:D67)</f>
        <v>0</v>
      </c>
      <c r="E64" s="111">
        <f>SUM(E65:E67)</f>
        <v>0</v>
      </c>
      <c r="F64" s="1800">
        <v>0</v>
      </c>
      <c r="G64" s="2315"/>
      <c r="H64" s="2315"/>
      <c r="J64" s="111">
        <v>0</v>
      </c>
      <c r="L64" s="2271">
        <f t="shared" si="4"/>
        <v>0</v>
      </c>
      <c r="M64" s="41">
        <f t="shared" si="5"/>
        <v>0</v>
      </c>
      <c r="N64" s="41">
        <f t="shared" si="6"/>
        <v>0</v>
      </c>
      <c r="O64" s="2271"/>
    </row>
    <row r="65" spans="1:15" s="44" customFormat="1" ht="12" customHeight="1">
      <c r="A65" s="2316" t="s">
        <v>273</v>
      </c>
      <c r="B65" s="2272" t="s">
        <v>274</v>
      </c>
      <c r="C65" s="2279">
        <f>+F65</f>
        <v>0</v>
      </c>
      <c r="D65" s="2274">
        <f>+J65</f>
        <v>0</v>
      </c>
      <c r="E65" s="106">
        <f>+'1. mell.ÖSSZEVONT_MÉRLEG'!E65</f>
        <v>0</v>
      </c>
      <c r="F65" s="1804">
        <v>0</v>
      </c>
      <c r="G65" s="2315"/>
      <c r="H65" s="2315"/>
      <c r="J65" s="2274">
        <v>0</v>
      </c>
      <c r="L65" s="2271">
        <f t="shared" si="4"/>
        <v>0</v>
      </c>
      <c r="M65" s="41">
        <f t="shared" si="5"/>
        <v>0</v>
      </c>
      <c r="N65" s="41">
        <f t="shared" si="6"/>
        <v>0</v>
      </c>
      <c r="O65" s="2271"/>
    </row>
    <row r="66" spans="1:15" s="44" customFormat="1" ht="12" customHeight="1">
      <c r="A66" s="2316" t="s">
        <v>275</v>
      </c>
      <c r="B66" s="2276" t="s">
        <v>276</v>
      </c>
      <c r="C66" s="2279">
        <f>+F66</f>
        <v>0</v>
      </c>
      <c r="D66" s="2274">
        <f>+J66</f>
        <v>0</v>
      </c>
      <c r="E66" s="106">
        <f>+'1. mell.ÖSSZEVONT_MÉRLEG'!E66</f>
        <v>0</v>
      </c>
      <c r="F66" s="1804">
        <v>0</v>
      </c>
      <c r="G66" s="2315"/>
      <c r="H66" s="2315"/>
      <c r="J66" s="2274">
        <v>0</v>
      </c>
      <c r="L66" s="2271">
        <f t="shared" si="4"/>
        <v>0</v>
      </c>
      <c r="M66" s="41">
        <f t="shared" si="5"/>
        <v>0</v>
      </c>
      <c r="N66" s="41">
        <f t="shared" si="6"/>
        <v>0</v>
      </c>
      <c r="O66" s="2271"/>
    </row>
    <row r="67" spans="1:15" s="44" customFormat="1" ht="12" customHeight="1" thickBot="1">
      <c r="A67" s="2316" t="s">
        <v>277</v>
      </c>
      <c r="B67" s="143" t="s">
        <v>461</v>
      </c>
      <c r="C67" s="2279">
        <f>+F67</f>
        <v>0</v>
      </c>
      <c r="D67" s="2274">
        <f>+J67</f>
        <v>0</v>
      </c>
      <c r="E67" s="106">
        <f>+'1. mell.ÖSSZEVONT_MÉRLEG'!E67</f>
        <v>0</v>
      </c>
      <c r="F67" s="1804">
        <v>0</v>
      </c>
      <c r="G67" s="2315"/>
      <c r="H67" s="2315"/>
      <c r="J67" s="2274">
        <v>0</v>
      </c>
      <c r="L67" s="2271">
        <f t="shared" si="4"/>
        <v>0</v>
      </c>
      <c r="M67" s="41">
        <f t="shared" si="5"/>
        <v>0</v>
      </c>
      <c r="N67" s="41">
        <f t="shared" si="6"/>
        <v>0</v>
      </c>
      <c r="O67" s="2271"/>
    </row>
    <row r="68" spans="1:15" s="44" customFormat="1" ht="12" customHeight="1" thickBot="1">
      <c r="A68" s="147" t="s">
        <v>29</v>
      </c>
      <c r="B68" s="2269" t="s">
        <v>279</v>
      </c>
      <c r="C68" s="111">
        <f>SUM(C69:C72)</f>
        <v>0</v>
      </c>
      <c r="D68" s="111">
        <f>SUM(D69:D72)</f>
        <v>0</v>
      </c>
      <c r="E68" s="111">
        <f>SUM(E69:E72)</f>
        <v>0</v>
      </c>
      <c r="F68" s="1800">
        <v>0</v>
      </c>
      <c r="G68" s="2315"/>
      <c r="H68" s="2315"/>
      <c r="J68" s="111">
        <v>0</v>
      </c>
      <c r="L68" s="2271">
        <f t="shared" si="4"/>
        <v>0</v>
      </c>
      <c r="M68" s="41">
        <f t="shared" si="5"/>
        <v>0</v>
      </c>
      <c r="N68" s="41">
        <f t="shared" si="6"/>
        <v>0</v>
      </c>
      <c r="O68" s="2271"/>
    </row>
    <row r="69" spans="1:15" s="44" customFormat="1" ht="12" customHeight="1">
      <c r="A69" s="2316" t="s">
        <v>280</v>
      </c>
      <c r="B69" s="2272" t="s">
        <v>281</v>
      </c>
      <c r="C69" s="2279">
        <f>+F69</f>
        <v>0</v>
      </c>
      <c r="D69" s="2274">
        <f>+J69</f>
        <v>0</v>
      </c>
      <c r="E69" s="106">
        <f>+'1. mell.ÖSSZEVONT_MÉRLEG'!E69</f>
        <v>0</v>
      </c>
      <c r="F69" s="1804">
        <v>0</v>
      </c>
      <c r="G69" s="2315"/>
      <c r="H69" s="2315"/>
      <c r="J69" s="2274">
        <v>0</v>
      </c>
      <c r="L69" s="2271">
        <f t="shared" si="4"/>
        <v>0</v>
      </c>
      <c r="M69" s="41">
        <f t="shared" si="5"/>
        <v>0</v>
      </c>
      <c r="N69" s="41">
        <f t="shared" si="6"/>
        <v>0</v>
      </c>
      <c r="O69" s="2271"/>
    </row>
    <row r="70" spans="1:15" s="44" customFormat="1" ht="12" customHeight="1">
      <c r="A70" s="2316" t="s">
        <v>282</v>
      </c>
      <c r="B70" s="2276" t="s">
        <v>283</v>
      </c>
      <c r="C70" s="2279">
        <f>+F70</f>
        <v>0</v>
      </c>
      <c r="D70" s="2274">
        <f>+J70</f>
        <v>0</v>
      </c>
      <c r="E70" s="106">
        <f>+'1. mell.ÖSSZEVONT_MÉRLEG'!E70</f>
        <v>0</v>
      </c>
      <c r="F70" s="1804">
        <v>0</v>
      </c>
      <c r="G70" s="2315"/>
      <c r="H70" s="2315"/>
      <c r="J70" s="2274">
        <v>0</v>
      </c>
      <c r="L70" s="2271">
        <f t="shared" si="4"/>
        <v>0</v>
      </c>
      <c r="M70" s="41">
        <f t="shared" si="5"/>
        <v>0</v>
      </c>
      <c r="N70" s="41">
        <f t="shared" si="6"/>
        <v>0</v>
      </c>
      <c r="O70" s="2271"/>
    </row>
    <row r="71" spans="1:15" s="44" customFormat="1" ht="12" customHeight="1">
      <c r="A71" s="2316" t="s">
        <v>284</v>
      </c>
      <c r="B71" s="2276" t="s">
        <v>285</v>
      </c>
      <c r="C71" s="2279">
        <f>+F71</f>
        <v>0</v>
      </c>
      <c r="D71" s="2274">
        <f>+J71</f>
        <v>0</v>
      </c>
      <c r="E71" s="106">
        <f>+'1. mell.ÖSSZEVONT_MÉRLEG'!E71</f>
        <v>0</v>
      </c>
      <c r="F71" s="1804">
        <v>0</v>
      </c>
      <c r="G71" s="2315"/>
      <c r="H71" s="2315"/>
      <c r="J71" s="2274">
        <v>0</v>
      </c>
      <c r="L71" s="2271">
        <f t="shared" si="4"/>
        <v>0</v>
      </c>
      <c r="M71" s="41">
        <f t="shared" si="5"/>
        <v>0</v>
      </c>
      <c r="N71" s="41">
        <f t="shared" si="6"/>
        <v>0</v>
      </c>
      <c r="O71" s="2271"/>
    </row>
    <row r="72" spans="1:15" s="44" customFormat="1" ht="17.25" customHeight="1" thickBot="1">
      <c r="A72" s="2316" t="s">
        <v>286</v>
      </c>
      <c r="B72" s="143" t="s">
        <v>287</v>
      </c>
      <c r="C72" s="2279">
        <f>+F72</f>
        <v>0</v>
      </c>
      <c r="D72" s="2274">
        <f>+J72</f>
        <v>0</v>
      </c>
      <c r="E72" s="106">
        <f>+'1. mell.ÖSSZEVONT_MÉRLEG'!E72</f>
        <v>0</v>
      </c>
      <c r="F72" s="1804">
        <v>0</v>
      </c>
      <c r="G72" s="2315"/>
      <c r="H72" s="2315"/>
      <c r="J72" s="2274">
        <v>0</v>
      </c>
      <c r="L72" s="2271">
        <f t="shared" ref="L72:L135" si="15">+D72-J72</f>
        <v>0</v>
      </c>
      <c r="M72" s="41">
        <f t="shared" ref="M72:M135" si="16">+D72-C72</f>
        <v>0</v>
      </c>
      <c r="N72" s="41">
        <f t="shared" ref="N72:N135" si="17">+E72-D72</f>
        <v>0</v>
      </c>
      <c r="O72" s="2271"/>
    </row>
    <row r="73" spans="1:15" s="44" customFormat="1" ht="12" customHeight="1" thickBot="1">
      <c r="A73" s="147" t="s">
        <v>31</v>
      </c>
      <c r="B73" s="2269" t="s">
        <v>288</v>
      </c>
      <c r="C73" s="111">
        <f>SUM(C74:C75)</f>
        <v>8096344393</v>
      </c>
      <c r="D73" s="111">
        <f>SUM(D74:D75)</f>
        <v>7971810877</v>
      </c>
      <c r="E73" s="111">
        <f>SUM(E74:E75)</f>
        <v>2690000000</v>
      </c>
      <c r="F73" s="1800">
        <v>8096344393</v>
      </c>
      <c r="G73" s="2315">
        <f>+D73/C73</f>
        <v>0.98461855005727394</v>
      </c>
      <c r="H73" s="2315">
        <f>+E73/D73</f>
        <v>0.33743901373288937</v>
      </c>
      <c r="J73" s="111">
        <v>7971810877</v>
      </c>
      <c r="L73" s="2271">
        <f t="shared" si="15"/>
        <v>0</v>
      </c>
      <c r="M73" s="41">
        <f t="shared" si="16"/>
        <v>-124533516</v>
      </c>
      <c r="N73" s="41">
        <f t="shared" si="17"/>
        <v>-5281810877</v>
      </c>
      <c r="O73" s="2271"/>
    </row>
    <row r="74" spans="1:15" s="44" customFormat="1" ht="12" customHeight="1">
      <c r="A74" s="2316" t="s">
        <v>289</v>
      </c>
      <c r="B74" s="2272" t="s">
        <v>290</v>
      </c>
      <c r="C74" s="2279">
        <f>+F74</f>
        <v>8096344393</v>
      </c>
      <c r="D74" s="2274">
        <f>+J74</f>
        <v>7971810877</v>
      </c>
      <c r="E74" s="106">
        <f>+'1. mell.ÖSSZEVONT_MÉRLEG'!E74</f>
        <v>2690000000</v>
      </c>
      <c r="F74" s="1804">
        <v>8096344393</v>
      </c>
      <c r="G74" s="2315">
        <f>+D74/C74</f>
        <v>0.98461855005727394</v>
      </c>
      <c r="H74" s="2315">
        <f>+E74/D74</f>
        <v>0.33743901373288937</v>
      </c>
      <c r="J74" s="2274">
        <v>7971810877</v>
      </c>
      <c r="L74" s="2271">
        <f t="shared" si="15"/>
        <v>0</v>
      </c>
      <c r="M74" s="41">
        <f t="shared" si="16"/>
        <v>-124533516</v>
      </c>
      <c r="N74" s="41">
        <f t="shared" si="17"/>
        <v>-5281810877</v>
      </c>
      <c r="O74" s="2271"/>
    </row>
    <row r="75" spans="1:15" s="44" customFormat="1" ht="12" customHeight="1" thickBot="1">
      <c r="A75" s="2316" t="s">
        <v>291</v>
      </c>
      <c r="B75" s="143" t="s">
        <v>292</v>
      </c>
      <c r="C75" s="2279">
        <f>+F75</f>
        <v>0</v>
      </c>
      <c r="D75" s="2274">
        <f>+J75</f>
        <v>0</v>
      </c>
      <c r="E75" s="106">
        <f>+'1. mell.ÖSSZEVONT_MÉRLEG'!E75</f>
        <v>0</v>
      </c>
      <c r="F75" s="1804">
        <v>0</v>
      </c>
      <c r="G75" s="2315"/>
      <c r="H75" s="2315"/>
      <c r="J75" s="2274">
        <v>0</v>
      </c>
      <c r="L75" s="2271">
        <f t="shared" si="15"/>
        <v>0</v>
      </c>
      <c r="M75" s="41">
        <f t="shared" si="16"/>
        <v>0</v>
      </c>
      <c r="N75" s="41">
        <f t="shared" si="17"/>
        <v>0</v>
      </c>
      <c r="O75" s="2271"/>
    </row>
    <row r="76" spans="1:15" s="44" customFormat="1" ht="12" customHeight="1" thickBot="1">
      <c r="A76" s="147" t="s">
        <v>33</v>
      </c>
      <c r="B76" s="2269" t="s">
        <v>293</v>
      </c>
      <c r="C76" s="111">
        <f>SUM(C77:C79)</f>
        <v>7924610505</v>
      </c>
      <c r="D76" s="111">
        <f>SUM(D77:D79)</f>
        <v>6283964780</v>
      </c>
      <c r="E76" s="111">
        <f>SUM(E77:E79)</f>
        <v>5500000000</v>
      </c>
      <c r="F76" s="1800">
        <v>7924610505</v>
      </c>
      <c r="G76" s="2315">
        <f>+D76/C76</f>
        <v>0.79296828229414662</v>
      </c>
      <c r="H76" s="2315">
        <f>+E76/D76</f>
        <v>0.87524360695096071</v>
      </c>
      <c r="J76" s="111">
        <v>6283964780</v>
      </c>
      <c r="L76" s="2271">
        <f t="shared" si="15"/>
        <v>0</v>
      </c>
      <c r="M76" s="41">
        <f t="shared" si="16"/>
        <v>-1640645725</v>
      </c>
      <c r="N76" s="41">
        <f t="shared" si="17"/>
        <v>-783964780</v>
      </c>
      <c r="O76" s="2271"/>
    </row>
    <row r="77" spans="1:15" s="44" customFormat="1" ht="12" customHeight="1">
      <c r="A77" s="2316" t="s">
        <v>294</v>
      </c>
      <c r="B77" s="2272" t="s">
        <v>295</v>
      </c>
      <c r="C77" s="2279">
        <f>+F77</f>
        <v>224610505</v>
      </c>
      <c r="D77" s="2274">
        <f>+J77</f>
        <v>783964780</v>
      </c>
      <c r="E77" s="106">
        <f>+'1. mell.ÖSSZEVONT_MÉRLEG'!E77</f>
        <v>0</v>
      </c>
      <c r="F77" s="1804">
        <v>224610505</v>
      </c>
      <c r="G77" s="2315">
        <f>+D77/C77</f>
        <v>3.4903299825624807</v>
      </c>
      <c r="H77" s="2315"/>
      <c r="J77" s="2274">
        <v>783964780</v>
      </c>
      <c r="L77" s="2271">
        <f t="shared" si="15"/>
        <v>0</v>
      </c>
      <c r="M77" s="41">
        <f t="shared" si="16"/>
        <v>559354275</v>
      </c>
      <c r="N77" s="41">
        <f t="shared" si="17"/>
        <v>-783964780</v>
      </c>
      <c r="O77" s="2271"/>
    </row>
    <row r="78" spans="1:15" s="44" customFormat="1" ht="12" customHeight="1">
      <c r="A78" s="2316" t="s">
        <v>296</v>
      </c>
      <c r="B78" s="2276" t="s">
        <v>297</v>
      </c>
      <c r="C78" s="2279">
        <f>+F78</f>
        <v>0</v>
      </c>
      <c r="D78" s="2274">
        <f>+J78</f>
        <v>0</v>
      </c>
      <c r="E78" s="106">
        <f>+'1. mell.ÖSSZEVONT_MÉRLEG'!E78</f>
        <v>0</v>
      </c>
      <c r="F78" s="1804">
        <v>0</v>
      </c>
      <c r="G78" s="2315"/>
      <c r="H78" s="2315"/>
      <c r="J78" s="2274">
        <v>0</v>
      </c>
      <c r="L78" s="2271">
        <f t="shared" si="15"/>
        <v>0</v>
      </c>
      <c r="M78" s="41">
        <f t="shared" si="16"/>
        <v>0</v>
      </c>
      <c r="N78" s="41">
        <f t="shared" si="17"/>
        <v>0</v>
      </c>
      <c r="O78" s="2271"/>
    </row>
    <row r="79" spans="1:15" s="44" customFormat="1" ht="12" customHeight="1" thickBot="1">
      <c r="A79" s="2316" t="s">
        <v>298</v>
      </c>
      <c r="B79" s="143" t="s">
        <v>299</v>
      </c>
      <c r="C79" s="2279">
        <f>+F79</f>
        <v>7700000000</v>
      </c>
      <c r="D79" s="2274">
        <f>+J79</f>
        <v>5500000000</v>
      </c>
      <c r="E79" s="106">
        <f>+'1. mell.ÖSSZEVONT_MÉRLEG'!E79</f>
        <v>5500000000</v>
      </c>
      <c r="F79" s="1804">
        <v>7700000000</v>
      </c>
      <c r="G79" s="2315">
        <f>+D79/C79</f>
        <v>0.7142857142857143</v>
      </c>
      <c r="H79" s="2315">
        <f>+E79/D79</f>
        <v>1</v>
      </c>
      <c r="J79" s="2274">
        <v>5500000000</v>
      </c>
      <c r="L79" s="2271">
        <f t="shared" si="15"/>
        <v>0</v>
      </c>
      <c r="M79" s="41">
        <f t="shared" si="16"/>
        <v>-2200000000</v>
      </c>
      <c r="N79" s="41">
        <f t="shared" si="17"/>
        <v>0</v>
      </c>
      <c r="O79" s="2271"/>
    </row>
    <row r="80" spans="1:15" s="44" customFormat="1" ht="12" customHeight="1" thickBot="1">
      <c r="A80" s="147" t="s">
        <v>35</v>
      </c>
      <c r="B80" s="2269" t="s">
        <v>496</v>
      </c>
      <c r="C80" s="111">
        <f>SUM(C81:C84)</f>
        <v>0</v>
      </c>
      <c r="D80" s="111">
        <f>SUM(D81:D84)</f>
        <v>0</v>
      </c>
      <c r="E80" s="111">
        <f>SUM(E81:E84)</f>
        <v>0</v>
      </c>
      <c r="F80" s="1800">
        <v>0</v>
      </c>
      <c r="G80" s="2315"/>
      <c r="H80" s="2315"/>
      <c r="J80" s="111">
        <v>0</v>
      </c>
      <c r="L80" s="2271">
        <f t="shared" si="15"/>
        <v>0</v>
      </c>
      <c r="M80" s="41">
        <f t="shared" si="16"/>
        <v>0</v>
      </c>
      <c r="N80" s="41">
        <f t="shared" si="17"/>
        <v>0</v>
      </c>
      <c r="O80" s="2271"/>
    </row>
    <row r="81" spans="1:15" s="44" customFormat="1" ht="12" hidden="1" customHeight="1">
      <c r="A81" s="148" t="s">
        <v>302</v>
      </c>
      <c r="B81" s="2272" t="s">
        <v>303</v>
      </c>
      <c r="C81" s="106">
        <f>+'1. mell.ÖSSZEVONT_MÉRLEG'!C81</f>
        <v>0</v>
      </c>
      <c r="D81" s="106">
        <f>+'1. mell.ÖSSZEVONT_MÉRLEG'!D81</f>
        <v>0</v>
      </c>
      <c r="E81" s="106">
        <f>+'1. mell.ÖSSZEVONT_MÉRLEG'!E81</f>
        <v>0</v>
      </c>
      <c r="F81" s="1804">
        <v>0</v>
      </c>
      <c r="G81" s="2315"/>
      <c r="H81" s="2315"/>
      <c r="J81" s="106">
        <v>0</v>
      </c>
      <c r="L81" s="2271">
        <f t="shared" si="15"/>
        <v>0</v>
      </c>
      <c r="M81" s="41">
        <f t="shared" si="16"/>
        <v>0</v>
      </c>
      <c r="N81" s="41">
        <f t="shared" si="17"/>
        <v>0</v>
      </c>
      <c r="O81" s="2271"/>
    </row>
    <row r="82" spans="1:15" s="44" customFormat="1" ht="12" hidden="1" customHeight="1">
      <c r="A82" s="149" t="s">
        <v>304</v>
      </c>
      <c r="B82" s="2276" t="s">
        <v>305</v>
      </c>
      <c r="C82" s="106">
        <f>+'1. mell.ÖSSZEVONT_MÉRLEG'!C82</f>
        <v>0</v>
      </c>
      <c r="D82" s="106">
        <f>+'1. mell.ÖSSZEVONT_MÉRLEG'!D82</f>
        <v>0</v>
      </c>
      <c r="E82" s="106">
        <f>+'1. mell.ÖSSZEVONT_MÉRLEG'!E82</f>
        <v>0</v>
      </c>
      <c r="F82" s="1804">
        <v>0</v>
      </c>
      <c r="G82" s="2315"/>
      <c r="H82" s="2315"/>
      <c r="J82" s="106">
        <v>0</v>
      </c>
      <c r="L82" s="2271">
        <f t="shared" si="15"/>
        <v>0</v>
      </c>
      <c r="M82" s="41">
        <f t="shared" si="16"/>
        <v>0</v>
      </c>
      <c r="N82" s="41">
        <f t="shared" si="17"/>
        <v>0</v>
      </c>
      <c r="O82" s="2271"/>
    </row>
    <row r="83" spans="1:15" s="44" customFormat="1" ht="12" hidden="1" customHeight="1">
      <c r="A83" s="149" t="s">
        <v>306</v>
      </c>
      <c r="B83" s="2276" t="s">
        <v>307</v>
      </c>
      <c r="C83" s="106">
        <f>+'1. mell.ÖSSZEVONT_MÉRLEG'!C83</f>
        <v>0</v>
      </c>
      <c r="D83" s="106">
        <f>+'1. mell.ÖSSZEVONT_MÉRLEG'!D83</f>
        <v>0</v>
      </c>
      <c r="E83" s="106">
        <f>+'1. mell.ÖSSZEVONT_MÉRLEG'!E83</f>
        <v>0</v>
      </c>
      <c r="F83" s="1804">
        <v>0</v>
      </c>
      <c r="G83" s="2315"/>
      <c r="H83" s="2315"/>
      <c r="J83" s="106">
        <v>0</v>
      </c>
      <c r="L83" s="2271">
        <f t="shared" si="15"/>
        <v>0</v>
      </c>
      <c r="M83" s="41">
        <f t="shared" si="16"/>
        <v>0</v>
      </c>
      <c r="N83" s="41">
        <f t="shared" si="17"/>
        <v>0</v>
      </c>
      <c r="O83" s="2271"/>
    </row>
    <row r="84" spans="1:15" s="44" customFormat="1" ht="12" hidden="1" customHeight="1">
      <c r="A84" s="150" t="s">
        <v>308</v>
      </c>
      <c r="B84" s="143" t="s">
        <v>309</v>
      </c>
      <c r="C84" s="106">
        <f>+'1. mell.ÖSSZEVONT_MÉRLEG'!C84</f>
        <v>0</v>
      </c>
      <c r="D84" s="106">
        <f>+'1. mell.ÖSSZEVONT_MÉRLEG'!D84</f>
        <v>0</v>
      </c>
      <c r="E84" s="106">
        <f>+'1. mell.ÖSSZEVONT_MÉRLEG'!E84</f>
        <v>0</v>
      </c>
      <c r="F84" s="1804">
        <v>0</v>
      </c>
      <c r="G84" s="2315"/>
      <c r="H84" s="2315"/>
      <c r="J84" s="106">
        <v>0</v>
      </c>
      <c r="L84" s="2271">
        <f t="shared" si="15"/>
        <v>0</v>
      </c>
      <c r="M84" s="41">
        <f t="shared" si="16"/>
        <v>0</v>
      </c>
      <c r="N84" s="41">
        <f t="shared" si="17"/>
        <v>0</v>
      </c>
      <c r="O84" s="2271"/>
    </row>
    <row r="85" spans="1:15" s="44" customFormat="1" ht="12" customHeight="1" thickBot="1">
      <c r="A85" s="147" t="s">
        <v>37</v>
      </c>
      <c r="B85" s="2269" t="s">
        <v>310</v>
      </c>
      <c r="C85" s="111">
        <f>+F85</f>
        <v>0</v>
      </c>
      <c r="D85" s="111">
        <f>+'1. mell.ÖSSZEVONT_MÉRLEG'!J85</f>
        <v>0</v>
      </c>
      <c r="E85" s="111">
        <f>+'1. mell.ÖSSZEVONT_MÉRLEG'!E85</f>
        <v>0</v>
      </c>
      <c r="F85" s="1800">
        <v>0</v>
      </c>
      <c r="G85" s="2315"/>
      <c r="H85" s="2315"/>
      <c r="J85" s="111">
        <v>0</v>
      </c>
      <c r="L85" s="2271">
        <f t="shared" si="15"/>
        <v>0</v>
      </c>
      <c r="M85" s="41">
        <f t="shared" si="16"/>
        <v>0</v>
      </c>
      <c r="N85" s="41">
        <f t="shared" si="17"/>
        <v>0</v>
      </c>
      <c r="O85" s="2271"/>
    </row>
    <row r="86" spans="1:15" s="44" customFormat="1" ht="12" customHeight="1" thickBot="1">
      <c r="A86" s="147" t="s">
        <v>39</v>
      </c>
      <c r="B86" s="2269" t="s">
        <v>311</v>
      </c>
      <c r="C86" s="2283">
        <f>+F86</f>
        <v>0</v>
      </c>
      <c r="D86" s="111">
        <f>+'1. mell.ÖSSZEVONT_MÉRLEG'!J86</f>
        <v>0</v>
      </c>
      <c r="E86" s="2283">
        <f>+'1. mell.ÖSSZEVONT_MÉRLEG'!E86</f>
        <v>0</v>
      </c>
      <c r="F86" s="1800">
        <v>0</v>
      </c>
      <c r="G86" s="2315"/>
      <c r="H86" s="2315"/>
      <c r="J86" s="111">
        <v>0</v>
      </c>
      <c r="L86" s="2271">
        <f t="shared" si="15"/>
        <v>0</v>
      </c>
      <c r="M86" s="41">
        <f t="shared" si="16"/>
        <v>0</v>
      </c>
      <c r="N86" s="41">
        <f t="shared" si="17"/>
        <v>0</v>
      </c>
      <c r="O86" s="2271"/>
    </row>
    <row r="87" spans="1:15" s="44" customFormat="1" ht="12" customHeight="1" thickBot="1">
      <c r="A87" s="151" t="s">
        <v>41</v>
      </c>
      <c r="B87" s="152" t="s">
        <v>313</v>
      </c>
      <c r="C87" s="2282">
        <f>+C64+C68+C73+C76+C80+C86</f>
        <v>16020954898</v>
      </c>
      <c r="D87" s="2282">
        <f>+D64+D68+D73+D76+D80+D86</f>
        <v>14255775657</v>
      </c>
      <c r="E87" s="2282">
        <f>+E64+E68+E73+E76+E80+E86</f>
        <v>8190000000</v>
      </c>
      <c r="F87" s="1805">
        <v>16020954898</v>
      </c>
      <c r="G87" s="2315">
        <f>+D87/C87</f>
        <v>0.88982059732155172</v>
      </c>
      <c r="H87" s="2315">
        <f>+E87/D87</f>
        <v>0.57450399031626675</v>
      </c>
      <c r="J87" s="2282">
        <v>14255775657</v>
      </c>
      <c r="L87" s="2271">
        <f t="shared" si="15"/>
        <v>0</v>
      </c>
      <c r="M87" s="41">
        <f t="shared" si="16"/>
        <v>-1765179241</v>
      </c>
      <c r="N87" s="41">
        <f t="shared" si="17"/>
        <v>-6065775657</v>
      </c>
      <c r="O87" s="2271"/>
    </row>
    <row r="88" spans="1:15" s="44" customFormat="1" ht="12" customHeight="1" thickBot="1">
      <c r="A88" s="153" t="s">
        <v>314</v>
      </c>
      <c r="B88" s="154" t="s">
        <v>3034</v>
      </c>
      <c r="C88" s="2282">
        <f>+C63+C87</f>
        <v>40028122022</v>
      </c>
      <c r="D88" s="2282">
        <f>+D63+D87</f>
        <v>38854385769</v>
      </c>
      <c r="E88" s="2282">
        <f>+E63+E87</f>
        <v>35447936916.269684</v>
      </c>
      <c r="F88" s="1806">
        <v>40028122022</v>
      </c>
      <c r="G88" s="2315">
        <f>+D88/C88</f>
        <v>0.97067720907928434</v>
      </c>
      <c r="H88" s="2315">
        <f>+E88/D88</f>
        <v>0.91232781614455083</v>
      </c>
      <c r="J88" s="2282">
        <v>38854385769</v>
      </c>
      <c r="L88" s="2271">
        <f t="shared" si="15"/>
        <v>0</v>
      </c>
      <c r="M88" s="41">
        <f t="shared" si="16"/>
        <v>-1173736253</v>
      </c>
      <c r="N88" s="41">
        <f t="shared" si="17"/>
        <v>-3406448852.7303162</v>
      </c>
      <c r="O88" s="2271"/>
    </row>
    <row r="89" spans="1:15" s="44" customFormat="1" ht="12" customHeight="1">
      <c r="A89" s="795"/>
      <c r="B89" s="796"/>
      <c r="C89" s="2284"/>
      <c r="D89" s="2285"/>
      <c r="E89" s="2286"/>
      <c r="G89" s="2315"/>
      <c r="H89" s="2315"/>
      <c r="L89" s="2271">
        <f t="shared" si="15"/>
        <v>0</v>
      </c>
      <c r="M89" s="41"/>
      <c r="N89" s="41"/>
      <c r="O89" s="2271"/>
    </row>
    <row r="90" spans="1:15" s="44" customFormat="1" ht="4.5" customHeight="1">
      <c r="A90" s="797"/>
      <c r="B90" s="798"/>
      <c r="C90" s="2287"/>
      <c r="D90" s="2288"/>
      <c r="E90" s="2289"/>
      <c r="G90" s="2315"/>
      <c r="H90" s="2315"/>
      <c r="L90" s="2271">
        <f t="shared" si="15"/>
        <v>0</v>
      </c>
      <c r="M90" s="41"/>
      <c r="N90" s="41"/>
      <c r="O90" s="2271"/>
    </row>
    <row r="91" spans="1:15" s="44" customFormat="1" ht="12" customHeight="1">
      <c r="A91" s="3815" t="s">
        <v>2755</v>
      </c>
      <c r="B91" s="3815"/>
      <c r="C91" s="3815"/>
      <c r="D91" s="3815"/>
      <c r="E91" s="3815"/>
      <c r="F91" s="40"/>
      <c r="G91" s="2315"/>
      <c r="H91" s="2315"/>
      <c r="L91" s="2271">
        <f t="shared" si="15"/>
        <v>0</v>
      </c>
      <c r="M91" s="41"/>
      <c r="N91" s="41"/>
      <c r="O91" s="2271"/>
    </row>
    <row r="92" spans="1:15" s="44" customFormat="1" ht="12" customHeight="1" thickBot="1">
      <c r="A92" s="3816" t="s">
        <v>315</v>
      </c>
      <c r="B92" s="3816"/>
      <c r="C92" s="62"/>
      <c r="D92" s="787"/>
      <c r="E92" s="799"/>
      <c r="F92" s="40"/>
      <c r="G92" s="2315"/>
      <c r="H92" s="2315"/>
      <c r="L92" s="2271">
        <f t="shared" si="15"/>
        <v>0</v>
      </c>
      <c r="M92" s="41"/>
      <c r="N92" s="41"/>
      <c r="O92" s="2271"/>
    </row>
    <row r="93" spans="1:15" s="44" customFormat="1" ht="49.5" customHeight="1" thickBot="1">
      <c r="A93" s="788"/>
      <c r="B93" s="789" t="s">
        <v>316</v>
      </c>
      <c r="C93" s="789" t="str">
        <f t="shared" ref="C93:E94" si="18">+C5</f>
        <v>2023. évi tény
forintban</v>
      </c>
      <c r="D93" s="789" t="str">
        <f t="shared" si="18"/>
        <v>2024. évi 
várható teljesítés
 forintban</v>
      </c>
      <c r="E93" s="789" t="str">
        <f t="shared" si="18"/>
        <v>2025. évi eredeti előirányzat forintban</v>
      </c>
      <c r="F93" s="1807" t="s">
        <v>3768</v>
      </c>
      <c r="G93" s="2315"/>
      <c r="H93" s="2315"/>
      <c r="J93" s="789" t="str">
        <f>+J5</f>
        <v>2024. évi 
várható teljesítés
 forintban</v>
      </c>
      <c r="L93" s="2271"/>
      <c r="M93" s="41"/>
      <c r="N93" s="41"/>
      <c r="O93" s="2271"/>
    </row>
    <row r="94" spans="1:15" s="44" customFormat="1" ht="12" customHeight="1" thickBot="1">
      <c r="A94" s="792"/>
      <c r="B94" s="793" t="str">
        <f>+B6</f>
        <v>A</v>
      </c>
      <c r="C94" s="793" t="str">
        <f t="shared" si="18"/>
        <v>B</v>
      </c>
      <c r="D94" s="793" t="str">
        <f t="shared" si="18"/>
        <v>C</v>
      </c>
      <c r="E94" s="793" t="str">
        <f t="shared" si="18"/>
        <v>D</v>
      </c>
      <c r="F94" s="1808"/>
      <c r="G94" s="2315"/>
      <c r="H94" s="2315"/>
      <c r="J94" s="793"/>
      <c r="L94" s="2271"/>
      <c r="M94" s="41"/>
      <c r="N94" s="41"/>
      <c r="O94" s="2271"/>
    </row>
    <row r="95" spans="1:15" s="44" customFormat="1" ht="15" customHeight="1" thickBot="1">
      <c r="A95" s="1006" t="s">
        <v>6</v>
      </c>
      <c r="B95" s="800" t="s">
        <v>497</v>
      </c>
      <c r="C95" s="2290">
        <f>+C96+C97+C98+C99+C100</f>
        <v>19387243453</v>
      </c>
      <c r="D95" s="2290">
        <f>+D96+D97+D98+D99+D100</f>
        <v>23349669435</v>
      </c>
      <c r="E95" s="2290">
        <f>+E96+E97+E98+E99+E100</f>
        <v>24757906758</v>
      </c>
      <c r="F95" s="1800">
        <v>19387243453</v>
      </c>
      <c r="G95" s="2315">
        <f t="shared" ref="G95:G100" si="19">+D95/C95</f>
        <v>1.2043831549134878</v>
      </c>
      <c r="H95" s="2315">
        <f t="shared" ref="H95:H100" si="20">+E95/D95</f>
        <v>1.0603108034107378</v>
      </c>
      <c r="J95" s="2290">
        <v>23349669435</v>
      </c>
      <c r="L95" s="2271">
        <f t="shared" si="15"/>
        <v>0</v>
      </c>
      <c r="M95" s="41">
        <f t="shared" si="16"/>
        <v>3962425982</v>
      </c>
      <c r="N95" s="41">
        <f t="shared" si="17"/>
        <v>1408237323</v>
      </c>
      <c r="O95" s="2271"/>
    </row>
    <row r="96" spans="1:15" s="44" customFormat="1" ht="12.95" customHeight="1">
      <c r="A96" s="2318" t="s">
        <v>176</v>
      </c>
      <c r="B96" s="2291" t="s">
        <v>147</v>
      </c>
      <c r="C96" s="2274">
        <f>+F96</f>
        <v>8857303688</v>
      </c>
      <c r="D96" s="1973">
        <f>+J96</f>
        <v>10498499949</v>
      </c>
      <c r="E96" s="2292">
        <f>+'1. mell.ÖSSZEVONT_MÉRLEG'!E96</f>
        <v>12285987880</v>
      </c>
      <c r="F96" s="1809">
        <v>8857303688</v>
      </c>
      <c r="G96" s="2315">
        <f t="shared" si="19"/>
        <v>1.1852929874385492</v>
      </c>
      <c r="H96" s="2315">
        <f t="shared" si="20"/>
        <v>1.1702612696750321</v>
      </c>
      <c r="J96" s="1973">
        <v>10498499949</v>
      </c>
      <c r="L96" s="2271">
        <f t="shared" si="15"/>
        <v>0</v>
      </c>
      <c r="M96" s="41">
        <f t="shared" si="16"/>
        <v>1641196261</v>
      </c>
      <c r="N96" s="41">
        <f t="shared" si="17"/>
        <v>1787487931</v>
      </c>
      <c r="O96" s="2271"/>
    </row>
    <row r="97" spans="1:15" ht="16.5" customHeight="1">
      <c r="A97" s="2316" t="s">
        <v>178</v>
      </c>
      <c r="B97" s="159" t="s">
        <v>8</v>
      </c>
      <c r="C97" s="2293">
        <f>+F97</f>
        <v>1253499231</v>
      </c>
      <c r="D97" s="1973">
        <f t="shared" ref="D97:D112" si="21">+J97</f>
        <v>1450756530</v>
      </c>
      <c r="E97" s="2294">
        <f>+'1. mell.ÖSSZEVONT_MÉRLEG'!E97</f>
        <v>1810991316</v>
      </c>
      <c r="F97" s="1810">
        <v>1253499231</v>
      </c>
      <c r="G97" s="2315">
        <f t="shared" si="19"/>
        <v>1.1573653131343644</v>
      </c>
      <c r="H97" s="2315">
        <f t="shared" si="20"/>
        <v>1.2483082299136714</v>
      </c>
      <c r="J97" s="1973">
        <v>1450756530</v>
      </c>
      <c r="L97" s="2271">
        <f t="shared" si="15"/>
        <v>0</v>
      </c>
      <c r="M97" s="41">
        <f t="shared" si="16"/>
        <v>197257299</v>
      </c>
      <c r="N97" s="41">
        <f t="shared" si="17"/>
        <v>360234786</v>
      </c>
    </row>
    <row r="98" spans="1:15">
      <c r="A98" s="2316" t="s">
        <v>179</v>
      </c>
      <c r="B98" s="159" t="s">
        <v>317</v>
      </c>
      <c r="C98" s="2293">
        <f t="shared" ref="C98:C111" si="22">+F98</f>
        <v>6133177729</v>
      </c>
      <c r="D98" s="1973">
        <f t="shared" si="21"/>
        <v>7553350942</v>
      </c>
      <c r="E98" s="2294">
        <f>+'1. mell.ÖSSZEVONT_MÉRLEG'!E98</f>
        <v>6467211394</v>
      </c>
      <c r="F98" s="1811">
        <v>6133177729</v>
      </c>
      <c r="G98" s="2315">
        <f t="shared" si="19"/>
        <v>1.2315558550153993</v>
      </c>
      <c r="H98" s="2315">
        <f t="shared" si="20"/>
        <v>0.85620427855925774</v>
      </c>
      <c r="J98" s="1973">
        <v>7553350942</v>
      </c>
      <c r="L98" s="2271">
        <f t="shared" si="15"/>
        <v>0</v>
      </c>
      <c r="M98" s="41">
        <f t="shared" si="16"/>
        <v>1420173213</v>
      </c>
      <c r="N98" s="41">
        <f t="shared" si="17"/>
        <v>-1086139548</v>
      </c>
    </row>
    <row r="99" spans="1:15" s="960" customFormat="1" ht="12" customHeight="1">
      <c r="A99" s="2316" t="s">
        <v>180</v>
      </c>
      <c r="B99" s="2295" t="s">
        <v>318</v>
      </c>
      <c r="C99" s="2293">
        <f t="shared" si="22"/>
        <v>100276362</v>
      </c>
      <c r="D99" s="1973">
        <f t="shared" si="21"/>
        <v>96255152</v>
      </c>
      <c r="E99" s="2294">
        <f>+'1. mell.ÖSSZEVONT_MÉRLEG'!E99</f>
        <v>166570000</v>
      </c>
      <c r="F99" s="1811">
        <v>100276362</v>
      </c>
      <c r="G99" s="2315">
        <f t="shared" si="19"/>
        <v>0.95989872468648196</v>
      </c>
      <c r="H99" s="2315">
        <f t="shared" si="20"/>
        <v>1.7305047733964412</v>
      </c>
      <c r="J99" s="1973">
        <v>96255152</v>
      </c>
      <c r="L99" s="2271">
        <f t="shared" si="15"/>
        <v>0</v>
      </c>
      <c r="M99" s="41">
        <f t="shared" si="16"/>
        <v>-4021210</v>
      </c>
      <c r="N99" s="41">
        <f t="shared" si="17"/>
        <v>70314848</v>
      </c>
      <c r="O99" s="2320"/>
    </row>
    <row r="100" spans="1:15" ht="12" customHeight="1">
      <c r="A100" s="2316" t="s">
        <v>319</v>
      </c>
      <c r="B100" s="2296" t="s">
        <v>151</v>
      </c>
      <c r="C100" s="2293">
        <f t="shared" si="22"/>
        <v>3042986443</v>
      </c>
      <c r="D100" s="1973">
        <f t="shared" si="21"/>
        <v>3750806862</v>
      </c>
      <c r="E100" s="2294">
        <f>+'1. mell.ÖSSZEVONT_MÉRLEG'!E100</f>
        <v>4027146168</v>
      </c>
      <c r="F100" s="1811">
        <v>3042986443</v>
      </c>
      <c r="G100" s="2315">
        <f t="shared" si="19"/>
        <v>1.2326071549310547</v>
      </c>
      <c r="H100" s="2315">
        <f t="shared" si="20"/>
        <v>1.0736746295309514</v>
      </c>
      <c r="J100" s="1973">
        <v>3750806862</v>
      </c>
      <c r="L100" s="2271">
        <f t="shared" si="15"/>
        <v>0</v>
      </c>
      <c r="M100" s="41">
        <f t="shared" si="16"/>
        <v>707820419</v>
      </c>
      <c r="N100" s="41">
        <f t="shared" si="17"/>
        <v>276339306</v>
      </c>
    </row>
    <row r="101" spans="1:15" ht="12" customHeight="1">
      <c r="A101" s="2316" t="s">
        <v>183</v>
      </c>
      <c r="B101" s="159" t="s">
        <v>320</v>
      </c>
      <c r="C101" s="2293">
        <f t="shared" si="22"/>
        <v>0</v>
      </c>
      <c r="D101" s="1973">
        <f t="shared" si="21"/>
        <v>0</v>
      </c>
      <c r="E101" s="2294">
        <f>+'1. mell.ÖSSZEVONT_MÉRLEG'!E101</f>
        <v>0</v>
      </c>
      <c r="F101" s="1811">
        <v>0</v>
      </c>
      <c r="G101" s="2315"/>
      <c r="H101" s="2315"/>
      <c r="J101" s="1973">
        <v>0</v>
      </c>
      <c r="L101" s="2271">
        <f t="shared" si="15"/>
        <v>0</v>
      </c>
      <c r="M101" s="41">
        <f t="shared" si="16"/>
        <v>0</v>
      </c>
      <c r="N101" s="41">
        <f t="shared" si="17"/>
        <v>0</v>
      </c>
    </row>
    <row r="102" spans="1:15" ht="12" customHeight="1">
      <c r="A102" s="2316" t="s">
        <v>321</v>
      </c>
      <c r="B102" s="2297" t="s">
        <v>322</v>
      </c>
      <c r="C102" s="2293">
        <f t="shared" si="22"/>
        <v>0</v>
      </c>
      <c r="D102" s="1973">
        <f t="shared" si="21"/>
        <v>0</v>
      </c>
      <c r="E102" s="2294">
        <f>+'1. mell.ÖSSZEVONT_MÉRLEG'!E102</f>
        <v>0</v>
      </c>
      <c r="F102" s="1811">
        <v>0</v>
      </c>
      <c r="G102" s="2315"/>
      <c r="H102" s="2315"/>
      <c r="J102" s="1973">
        <v>0</v>
      </c>
      <c r="L102" s="2271">
        <f t="shared" si="15"/>
        <v>0</v>
      </c>
      <c r="M102" s="41">
        <f t="shared" si="16"/>
        <v>0</v>
      </c>
      <c r="N102" s="41">
        <f t="shared" si="17"/>
        <v>0</v>
      </c>
    </row>
    <row r="103" spans="1:15" ht="12" customHeight="1">
      <c r="A103" s="2316" t="s">
        <v>323</v>
      </c>
      <c r="B103" s="2297" t="s">
        <v>324</v>
      </c>
      <c r="C103" s="2293">
        <f t="shared" si="22"/>
        <v>2075786636</v>
      </c>
      <c r="D103" s="1973">
        <f t="shared" si="21"/>
        <v>2694820510</v>
      </c>
      <c r="E103" s="2294">
        <f>+'1. mell.ÖSSZEVONT_MÉRLEG'!E103</f>
        <v>3018447566</v>
      </c>
      <c r="F103" s="1811">
        <v>2075786636</v>
      </c>
      <c r="G103" s="2315">
        <f>+D103/C103</f>
        <v>1.2982165234442717</v>
      </c>
      <c r="H103" s="2315">
        <f>+E103/D103</f>
        <v>1.1200922491123537</v>
      </c>
      <c r="J103" s="1973">
        <v>2694820510</v>
      </c>
      <c r="L103" s="2271">
        <f t="shared" si="15"/>
        <v>0</v>
      </c>
      <c r="M103" s="41">
        <f t="shared" si="16"/>
        <v>619033874</v>
      </c>
      <c r="N103" s="41">
        <f t="shared" si="17"/>
        <v>323627056</v>
      </c>
    </row>
    <row r="104" spans="1:15" ht="12" customHeight="1">
      <c r="A104" s="2316" t="s">
        <v>325</v>
      </c>
      <c r="B104" s="2297" t="s">
        <v>326</v>
      </c>
      <c r="C104" s="2293">
        <f t="shared" si="22"/>
        <v>0</v>
      </c>
      <c r="D104" s="1973">
        <f t="shared" si="21"/>
        <v>0</v>
      </c>
      <c r="E104" s="2294">
        <f>+'1. mell.ÖSSZEVONT_MÉRLEG'!E104</f>
        <v>0</v>
      </c>
      <c r="F104" s="1811">
        <v>0</v>
      </c>
      <c r="G104" s="2315"/>
      <c r="H104" s="2315"/>
      <c r="J104" s="1973">
        <v>0</v>
      </c>
      <c r="L104" s="2271">
        <f t="shared" si="15"/>
        <v>0</v>
      </c>
      <c r="M104" s="41">
        <f t="shared" si="16"/>
        <v>0</v>
      </c>
      <c r="N104" s="41">
        <f t="shared" si="17"/>
        <v>0</v>
      </c>
    </row>
    <row r="105" spans="1:15" ht="12" customHeight="1">
      <c r="A105" s="2316" t="s">
        <v>327</v>
      </c>
      <c r="B105" s="159" t="s">
        <v>328</v>
      </c>
      <c r="C105" s="2293">
        <f t="shared" si="22"/>
        <v>0</v>
      </c>
      <c r="D105" s="1973">
        <f t="shared" si="21"/>
        <v>0</v>
      </c>
      <c r="E105" s="2294">
        <f>+'1. mell.ÖSSZEVONT_MÉRLEG'!E105</f>
        <v>0</v>
      </c>
      <c r="F105" s="1811">
        <v>0</v>
      </c>
      <c r="G105" s="2315"/>
      <c r="H105" s="2315"/>
      <c r="J105" s="1973">
        <v>0</v>
      </c>
      <c r="L105" s="2271">
        <f t="shared" si="15"/>
        <v>0</v>
      </c>
      <c r="M105" s="41">
        <f t="shared" si="16"/>
        <v>0</v>
      </c>
      <c r="N105" s="41">
        <f t="shared" si="17"/>
        <v>0</v>
      </c>
    </row>
    <row r="106" spans="1:15" ht="12" customHeight="1">
      <c r="A106" s="2316" t="s">
        <v>329</v>
      </c>
      <c r="B106" s="159" t="s">
        <v>330</v>
      </c>
      <c r="C106" s="2293">
        <f t="shared" si="22"/>
        <v>0</v>
      </c>
      <c r="D106" s="1973">
        <f t="shared" si="21"/>
        <v>0</v>
      </c>
      <c r="E106" s="2294">
        <f>+'1. mell.ÖSSZEVONT_MÉRLEG'!E106</f>
        <v>0</v>
      </c>
      <c r="F106" s="1811">
        <v>0</v>
      </c>
      <c r="G106" s="2315"/>
      <c r="H106" s="2315"/>
      <c r="J106" s="1973">
        <v>0</v>
      </c>
      <c r="L106" s="2271">
        <f t="shared" si="15"/>
        <v>0</v>
      </c>
      <c r="M106" s="41">
        <f t="shared" si="16"/>
        <v>0</v>
      </c>
      <c r="N106" s="41">
        <f t="shared" si="17"/>
        <v>0</v>
      </c>
    </row>
    <row r="107" spans="1:15" ht="12" customHeight="1">
      <c r="A107" s="2316" t="s">
        <v>331</v>
      </c>
      <c r="B107" s="2297" t="s">
        <v>332</v>
      </c>
      <c r="C107" s="2293">
        <f t="shared" si="22"/>
        <v>273810730</v>
      </c>
      <c r="D107" s="1973">
        <f t="shared" si="21"/>
        <v>247120216</v>
      </c>
      <c r="E107" s="2294">
        <f>+'1. mell.ÖSSZEVONT_MÉRLEG'!E107</f>
        <v>54607539</v>
      </c>
      <c r="F107" s="1811">
        <v>273810730</v>
      </c>
      <c r="G107" s="2315">
        <f>+D107/C107</f>
        <v>0.90252203045512502</v>
      </c>
      <c r="H107" s="2315">
        <f>+E107/D107</f>
        <v>0.22097560403556785</v>
      </c>
      <c r="J107" s="1973">
        <v>247120216</v>
      </c>
      <c r="L107" s="2271">
        <f t="shared" si="15"/>
        <v>0</v>
      </c>
      <c r="M107" s="41">
        <f t="shared" si="16"/>
        <v>-26690514</v>
      </c>
      <c r="N107" s="41">
        <f t="shared" si="17"/>
        <v>-192512677</v>
      </c>
    </row>
    <row r="108" spans="1:15" ht="12" customHeight="1">
      <c r="A108" s="2316" t="s">
        <v>333</v>
      </c>
      <c r="B108" s="2297" t="s">
        <v>334</v>
      </c>
      <c r="C108" s="2293">
        <f t="shared" si="22"/>
        <v>0</v>
      </c>
      <c r="D108" s="1973">
        <f t="shared" si="21"/>
        <v>0</v>
      </c>
      <c r="E108" s="2294">
        <f>+'1. mell.ÖSSZEVONT_MÉRLEG'!E108</f>
        <v>0</v>
      </c>
      <c r="F108" s="1811">
        <v>0</v>
      </c>
      <c r="G108" s="2315"/>
      <c r="H108" s="2315"/>
      <c r="J108" s="1973">
        <v>0</v>
      </c>
      <c r="L108" s="2271">
        <f t="shared" si="15"/>
        <v>0</v>
      </c>
      <c r="M108" s="41">
        <f t="shared" si="16"/>
        <v>0</v>
      </c>
      <c r="N108" s="41">
        <f t="shared" si="17"/>
        <v>0</v>
      </c>
    </row>
    <row r="109" spans="1:15" ht="12" customHeight="1">
      <c r="A109" s="2316" t="s">
        <v>335</v>
      </c>
      <c r="B109" s="159" t="s">
        <v>336</v>
      </c>
      <c r="C109" s="2293">
        <f t="shared" si="22"/>
        <v>10400000</v>
      </c>
      <c r="D109" s="1973">
        <f t="shared" si="21"/>
        <v>16700000</v>
      </c>
      <c r="E109" s="106">
        <f>+'1. mell.ÖSSZEVONT_MÉRLEG'!E109</f>
        <v>16000000</v>
      </c>
      <c r="F109" s="1811">
        <v>10400000</v>
      </c>
      <c r="G109" s="2315">
        <f>+D109/C109</f>
        <v>1.6057692307692308</v>
      </c>
      <c r="H109" s="2315">
        <f>+E109/D109</f>
        <v>0.95808383233532934</v>
      </c>
      <c r="J109" s="1973">
        <v>16700000</v>
      </c>
      <c r="L109" s="2271">
        <f t="shared" si="15"/>
        <v>0</v>
      </c>
      <c r="M109" s="41">
        <f t="shared" si="16"/>
        <v>6300000</v>
      </c>
      <c r="N109" s="41">
        <f t="shared" si="17"/>
        <v>-700000</v>
      </c>
    </row>
    <row r="110" spans="1:15" ht="12" customHeight="1">
      <c r="A110" s="2316" t="s">
        <v>337</v>
      </c>
      <c r="B110" s="160" t="s">
        <v>338</v>
      </c>
      <c r="C110" s="2293">
        <f t="shared" si="22"/>
        <v>0</v>
      </c>
      <c r="D110" s="1973">
        <f t="shared" si="21"/>
        <v>0</v>
      </c>
      <c r="E110" s="106">
        <f>+'1. mell.ÖSSZEVONT_MÉRLEG'!E110</f>
        <v>0</v>
      </c>
      <c r="F110" s="1811">
        <v>0</v>
      </c>
      <c r="G110" s="2315"/>
      <c r="H110" s="2315"/>
      <c r="J110" s="1973">
        <v>0</v>
      </c>
      <c r="L110" s="2271">
        <f t="shared" si="15"/>
        <v>0</v>
      </c>
      <c r="M110" s="41">
        <f t="shared" si="16"/>
        <v>0</v>
      </c>
      <c r="N110" s="41">
        <f t="shared" si="17"/>
        <v>0</v>
      </c>
    </row>
    <row r="111" spans="1:15" ht="12" customHeight="1">
      <c r="A111" s="2316" t="s">
        <v>339</v>
      </c>
      <c r="B111" s="160" t="s">
        <v>340</v>
      </c>
      <c r="C111" s="2293">
        <f t="shared" si="22"/>
        <v>0</v>
      </c>
      <c r="D111" s="1973">
        <f t="shared" si="21"/>
        <v>0</v>
      </c>
      <c r="E111" s="106">
        <f>+'1. mell.ÖSSZEVONT_MÉRLEG'!E111</f>
        <v>0</v>
      </c>
      <c r="F111" s="1811">
        <v>0</v>
      </c>
      <c r="G111" s="2315"/>
      <c r="H111" s="2315"/>
      <c r="J111" s="1973">
        <v>0</v>
      </c>
      <c r="L111" s="2271">
        <f t="shared" si="15"/>
        <v>0</v>
      </c>
      <c r="M111" s="41">
        <f t="shared" si="16"/>
        <v>0</v>
      </c>
      <c r="N111" s="41">
        <f t="shared" si="17"/>
        <v>0</v>
      </c>
    </row>
    <row r="112" spans="1:15" ht="12" customHeight="1" thickBot="1">
      <c r="A112" s="2316" t="s">
        <v>341</v>
      </c>
      <c r="B112" s="2298" t="s">
        <v>342</v>
      </c>
      <c r="C112" s="2299">
        <f>+F112</f>
        <v>682989077</v>
      </c>
      <c r="D112" s="1973">
        <f t="shared" si="21"/>
        <v>792166136</v>
      </c>
      <c r="E112" s="106">
        <f>+'1. mell.ÖSSZEVONT_MÉRLEG'!E112</f>
        <v>938091063</v>
      </c>
      <c r="F112" s="1811">
        <v>682989077</v>
      </c>
      <c r="G112" s="2315">
        <f t="shared" ref="G112:H114" si="23">+D112/C112</f>
        <v>1.1598518375719207</v>
      </c>
      <c r="H112" s="2315">
        <f t="shared" si="23"/>
        <v>1.1842100038974652</v>
      </c>
      <c r="J112" s="1973">
        <v>792166136</v>
      </c>
      <c r="L112" s="2271">
        <f t="shared" si="15"/>
        <v>0</v>
      </c>
      <c r="M112" s="41">
        <f t="shared" si="16"/>
        <v>109177059</v>
      </c>
      <c r="N112" s="41">
        <f t="shared" si="17"/>
        <v>145924927</v>
      </c>
    </row>
    <row r="113" spans="1:14" ht="12" customHeight="1" thickBot="1">
      <c r="A113" s="144" t="s">
        <v>12</v>
      </c>
      <c r="B113" s="158" t="s">
        <v>499</v>
      </c>
      <c r="C113" s="111">
        <f>+C114+C116+C118</f>
        <v>4777541141</v>
      </c>
      <c r="D113" s="111">
        <f>+D114+D116+D118</f>
        <v>5877630158</v>
      </c>
      <c r="E113" s="111">
        <f>+E114+E116+E118</f>
        <v>3665997046</v>
      </c>
      <c r="F113" s="1800">
        <v>4777541141</v>
      </c>
      <c r="G113" s="2315">
        <f t="shared" si="23"/>
        <v>1.2302625941949998</v>
      </c>
      <c r="H113" s="2315">
        <f t="shared" si="23"/>
        <v>0.62372026606850006</v>
      </c>
      <c r="J113" s="111">
        <v>5877630158</v>
      </c>
      <c r="L113" s="2271">
        <f t="shared" si="15"/>
        <v>0</v>
      </c>
      <c r="M113" s="41">
        <f t="shared" si="16"/>
        <v>1100089017</v>
      </c>
      <c r="N113" s="41">
        <f t="shared" si="17"/>
        <v>-2211633112</v>
      </c>
    </row>
    <row r="114" spans="1:14" ht="12" customHeight="1">
      <c r="A114" s="142" t="s">
        <v>185</v>
      </c>
      <c r="B114" s="159" t="s">
        <v>82</v>
      </c>
      <c r="C114" s="2300">
        <f>+F114</f>
        <v>4286293990</v>
      </c>
      <c r="D114" s="161">
        <f>+J114</f>
        <v>5465388970</v>
      </c>
      <c r="E114" s="106">
        <f>+'1. mell.ÖSSZEVONT_MÉRLEG'!E114</f>
        <v>2638893541</v>
      </c>
      <c r="F114" s="1801">
        <v>4286293990</v>
      </c>
      <c r="G114" s="2315">
        <f t="shared" si="23"/>
        <v>1.2750849528172472</v>
      </c>
      <c r="H114" s="2315">
        <f t="shared" si="23"/>
        <v>0.48283727937482918</v>
      </c>
      <c r="J114" s="161">
        <v>5465388970</v>
      </c>
      <c r="L114" s="2271">
        <f t="shared" si="15"/>
        <v>0</v>
      </c>
      <c r="M114" s="41">
        <f t="shared" si="16"/>
        <v>1179094980</v>
      </c>
      <c r="N114" s="41">
        <f t="shared" si="17"/>
        <v>-2826495429</v>
      </c>
    </row>
    <row r="115" spans="1:14" ht="12" customHeight="1">
      <c r="A115" s="142" t="s">
        <v>187</v>
      </c>
      <c r="B115" s="160" t="s">
        <v>343</v>
      </c>
      <c r="C115" s="2300">
        <f>+F115</f>
        <v>0</v>
      </c>
      <c r="D115" s="161">
        <f t="shared" ref="D115:D126" si="24">+J115</f>
        <v>0</v>
      </c>
      <c r="E115" s="106">
        <f>+'1. mell.ÖSSZEVONT_MÉRLEG'!E115</f>
        <v>47248350</v>
      </c>
      <c r="F115" s="1801">
        <v>0</v>
      </c>
      <c r="G115" s="2315"/>
      <c r="H115" s="2315"/>
      <c r="J115" s="161">
        <v>0</v>
      </c>
      <c r="L115" s="2271">
        <f t="shared" si="15"/>
        <v>0</v>
      </c>
      <c r="M115" s="41">
        <f t="shared" si="16"/>
        <v>0</v>
      </c>
      <c r="N115" s="41">
        <f t="shared" si="17"/>
        <v>47248350</v>
      </c>
    </row>
    <row r="116" spans="1:14" ht="12" customHeight="1">
      <c r="A116" s="142" t="s">
        <v>189</v>
      </c>
      <c r="B116" s="160" t="s">
        <v>344</v>
      </c>
      <c r="C116" s="2293">
        <f>+F116</f>
        <v>462377346</v>
      </c>
      <c r="D116" s="161">
        <f t="shared" si="24"/>
        <v>311370321</v>
      </c>
      <c r="E116" s="106">
        <f>+'1. mell.ÖSSZEVONT_MÉRLEG'!E116</f>
        <v>772037459</v>
      </c>
      <c r="F116" s="1801">
        <v>462377346</v>
      </c>
      <c r="G116" s="2315">
        <f>+D116/C116</f>
        <v>0.67341171381696541</v>
      </c>
      <c r="H116" s="2315">
        <f>+E116/D116</f>
        <v>2.4794831328834324</v>
      </c>
      <c r="J116" s="161">
        <v>311370321</v>
      </c>
      <c r="L116" s="2271">
        <f t="shared" si="15"/>
        <v>0</v>
      </c>
      <c r="M116" s="41">
        <f t="shared" si="16"/>
        <v>-151007025</v>
      </c>
      <c r="N116" s="41">
        <f t="shared" si="17"/>
        <v>460667138</v>
      </c>
    </row>
    <row r="117" spans="1:14" ht="12" customHeight="1">
      <c r="A117" s="142" t="s">
        <v>191</v>
      </c>
      <c r="B117" s="160" t="s">
        <v>345</v>
      </c>
      <c r="C117" s="2293">
        <f t="shared" ref="C117:C125" si="25">+F117</f>
        <v>0</v>
      </c>
      <c r="D117" s="161">
        <f t="shared" si="24"/>
        <v>0</v>
      </c>
      <c r="E117" s="106">
        <f>+'1. mell.ÖSSZEVONT_MÉRLEG'!E117</f>
        <v>0</v>
      </c>
      <c r="F117" s="1801">
        <v>0</v>
      </c>
      <c r="G117" s="2315"/>
      <c r="H117" s="2315"/>
      <c r="J117" s="161">
        <v>0</v>
      </c>
      <c r="L117" s="2271">
        <f t="shared" si="15"/>
        <v>0</v>
      </c>
      <c r="M117" s="41">
        <f t="shared" si="16"/>
        <v>0</v>
      </c>
      <c r="N117" s="41">
        <f t="shared" si="17"/>
        <v>0</v>
      </c>
    </row>
    <row r="118" spans="1:14" ht="12" customHeight="1">
      <c r="A118" s="142" t="s">
        <v>193</v>
      </c>
      <c r="B118" s="143" t="s">
        <v>346</v>
      </c>
      <c r="C118" s="2293">
        <f t="shared" si="25"/>
        <v>28869805</v>
      </c>
      <c r="D118" s="161">
        <f t="shared" si="24"/>
        <v>100870867</v>
      </c>
      <c r="E118" s="106">
        <f>+'1. mell.ÖSSZEVONT_MÉRLEG'!E118</f>
        <v>255066046</v>
      </c>
      <c r="F118" s="1801">
        <v>28869805</v>
      </c>
      <c r="G118" s="2315">
        <f>+D118/C118</f>
        <v>3.4939919753527953</v>
      </c>
      <c r="H118" s="2315">
        <f>+E118/D118</f>
        <v>2.5286393741415942</v>
      </c>
      <c r="J118" s="161">
        <v>100870867</v>
      </c>
      <c r="L118" s="2271">
        <f t="shared" si="15"/>
        <v>0</v>
      </c>
      <c r="M118" s="41">
        <f t="shared" si="16"/>
        <v>72001062</v>
      </c>
      <c r="N118" s="41">
        <f t="shared" si="17"/>
        <v>154195179</v>
      </c>
    </row>
    <row r="119" spans="1:14" ht="12" customHeight="1">
      <c r="A119" s="142" t="s">
        <v>195</v>
      </c>
      <c r="B119" s="2276" t="s">
        <v>347</v>
      </c>
      <c r="C119" s="2293">
        <f t="shared" si="25"/>
        <v>0</v>
      </c>
      <c r="D119" s="161">
        <f t="shared" si="24"/>
        <v>0</v>
      </c>
      <c r="E119" s="106">
        <f>+'1. mell.ÖSSZEVONT_MÉRLEG'!E119</f>
        <v>0</v>
      </c>
      <c r="F119" s="1812">
        <v>0</v>
      </c>
      <c r="G119" s="2315"/>
      <c r="H119" s="2315"/>
      <c r="J119" s="161">
        <v>0</v>
      </c>
      <c r="L119" s="2271">
        <f t="shared" si="15"/>
        <v>0</v>
      </c>
      <c r="M119" s="41">
        <f t="shared" si="16"/>
        <v>0</v>
      </c>
      <c r="N119" s="41">
        <f t="shared" si="17"/>
        <v>0</v>
      </c>
    </row>
    <row r="120" spans="1:14">
      <c r="A120" s="142" t="s">
        <v>348</v>
      </c>
      <c r="B120" s="2301" t="s">
        <v>349</v>
      </c>
      <c r="C120" s="2293">
        <f t="shared" si="25"/>
        <v>0</v>
      </c>
      <c r="D120" s="161">
        <f t="shared" si="24"/>
        <v>0</v>
      </c>
      <c r="E120" s="106">
        <f>+'1. mell.ÖSSZEVONT_MÉRLEG'!E120</f>
        <v>0</v>
      </c>
      <c r="F120" s="1812">
        <v>0</v>
      </c>
      <c r="G120" s="2315"/>
      <c r="H120" s="2315"/>
      <c r="J120" s="161">
        <v>0</v>
      </c>
      <c r="L120" s="2271">
        <f t="shared" si="15"/>
        <v>0</v>
      </c>
      <c r="M120" s="41">
        <f t="shared" si="16"/>
        <v>0</v>
      </c>
      <c r="N120" s="41">
        <f t="shared" si="17"/>
        <v>0</v>
      </c>
    </row>
    <row r="121" spans="1:14" ht="12" customHeight="1">
      <c r="A121" s="142" t="s">
        <v>350</v>
      </c>
      <c r="B121" s="159" t="s">
        <v>330</v>
      </c>
      <c r="C121" s="2293">
        <f t="shared" si="25"/>
        <v>0</v>
      </c>
      <c r="D121" s="161">
        <f t="shared" si="24"/>
        <v>0</v>
      </c>
      <c r="E121" s="106">
        <f>+'1. mell.ÖSSZEVONT_MÉRLEG'!E121</f>
        <v>0</v>
      </c>
      <c r="F121" s="1812">
        <v>0</v>
      </c>
      <c r="G121" s="2315"/>
      <c r="H121" s="2315"/>
      <c r="J121" s="161">
        <v>0</v>
      </c>
      <c r="L121" s="2271">
        <f t="shared" si="15"/>
        <v>0</v>
      </c>
      <c r="M121" s="41">
        <f t="shared" si="16"/>
        <v>0</v>
      </c>
      <c r="N121" s="41">
        <f t="shared" si="17"/>
        <v>0</v>
      </c>
    </row>
    <row r="122" spans="1:14" ht="12" customHeight="1">
      <c r="A122" s="142" t="s">
        <v>351</v>
      </c>
      <c r="B122" s="159" t="s">
        <v>352</v>
      </c>
      <c r="C122" s="2293">
        <f t="shared" si="25"/>
        <v>0</v>
      </c>
      <c r="D122" s="161">
        <f t="shared" si="24"/>
        <v>0</v>
      </c>
      <c r="E122" s="106">
        <f>+'1. mell.ÖSSZEVONT_MÉRLEG'!E122</f>
        <v>0</v>
      </c>
      <c r="F122" s="1812">
        <v>0</v>
      </c>
      <c r="G122" s="2315"/>
      <c r="H122" s="2315"/>
      <c r="J122" s="161">
        <v>0</v>
      </c>
      <c r="L122" s="2271">
        <f t="shared" si="15"/>
        <v>0</v>
      </c>
      <c r="M122" s="41">
        <f t="shared" si="16"/>
        <v>0</v>
      </c>
      <c r="N122" s="41">
        <f t="shared" si="17"/>
        <v>0</v>
      </c>
    </row>
    <row r="123" spans="1:14" ht="12" customHeight="1">
      <c r="A123" s="142" t="s">
        <v>353</v>
      </c>
      <c r="B123" s="159" t="s">
        <v>354</v>
      </c>
      <c r="C123" s="2293">
        <f t="shared" si="25"/>
        <v>0</v>
      </c>
      <c r="D123" s="161">
        <f t="shared" si="24"/>
        <v>0</v>
      </c>
      <c r="E123" s="106">
        <f>+'1. mell.ÖSSZEVONT_MÉRLEG'!E123</f>
        <v>0</v>
      </c>
      <c r="F123" s="1812">
        <v>0</v>
      </c>
      <c r="G123" s="2315"/>
      <c r="H123" s="2315"/>
      <c r="J123" s="161">
        <v>0</v>
      </c>
      <c r="L123" s="2271">
        <f t="shared" si="15"/>
        <v>0</v>
      </c>
      <c r="M123" s="41">
        <f t="shared" si="16"/>
        <v>0</v>
      </c>
      <c r="N123" s="41">
        <f t="shared" si="17"/>
        <v>0</v>
      </c>
    </row>
    <row r="124" spans="1:14" ht="12" customHeight="1">
      <c r="A124" s="142" t="s">
        <v>355</v>
      </c>
      <c r="B124" s="159" t="s">
        <v>336</v>
      </c>
      <c r="C124" s="2293">
        <f t="shared" si="25"/>
        <v>0</v>
      </c>
      <c r="D124" s="161">
        <f t="shared" si="24"/>
        <v>2307846</v>
      </c>
      <c r="E124" s="106">
        <f>+'1. mell.ÖSSZEVONT_MÉRLEG'!E124</f>
        <v>8000000</v>
      </c>
      <c r="F124" s="1812">
        <v>0</v>
      </c>
      <c r="G124" s="2315"/>
      <c r="H124" s="2315">
        <f>+E124/D124</f>
        <v>3.4664358020422505</v>
      </c>
      <c r="J124" s="161">
        <v>2307846</v>
      </c>
      <c r="L124" s="2271">
        <f t="shared" si="15"/>
        <v>0</v>
      </c>
      <c r="M124" s="41">
        <f t="shared" si="16"/>
        <v>2307846</v>
      </c>
      <c r="N124" s="41">
        <f t="shared" si="17"/>
        <v>5692154</v>
      </c>
    </row>
    <row r="125" spans="1:14" ht="12" customHeight="1">
      <c r="A125" s="142" t="s">
        <v>356</v>
      </c>
      <c r="B125" s="159" t="s">
        <v>357</v>
      </c>
      <c r="C125" s="2293">
        <f t="shared" si="25"/>
        <v>0</v>
      </c>
      <c r="D125" s="161">
        <f t="shared" si="24"/>
        <v>0</v>
      </c>
      <c r="E125" s="106">
        <f>+'1. mell.ÖSSZEVONT_MÉRLEG'!E125</f>
        <v>2000000</v>
      </c>
      <c r="F125" s="1812">
        <v>0</v>
      </c>
      <c r="G125" s="2315"/>
      <c r="H125" s="2315"/>
      <c r="J125" s="161">
        <v>0</v>
      </c>
      <c r="L125" s="2271">
        <f t="shared" si="15"/>
        <v>0</v>
      </c>
      <c r="M125" s="41">
        <f t="shared" si="16"/>
        <v>0</v>
      </c>
      <c r="N125" s="41">
        <f t="shared" si="17"/>
        <v>2000000</v>
      </c>
    </row>
    <row r="126" spans="1:14" ht="12" customHeight="1" thickBot="1">
      <c r="A126" s="2319" t="s">
        <v>358</v>
      </c>
      <c r="B126" s="159" t="s">
        <v>359</v>
      </c>
      <c r="C126" s="2302">
        <f>+F126</f>
        <v>28869805</v>
      </c>
      <c r="D126" s="161">
        <f t="shared" si="24"/>
        <v>98563021</v>
      </c>
      <c r="E126" s="106">
        <f>+'1. mell.ÖSSZEVONT_MÉRLEG'!E126</f>
        <v>245066046</v>
      </c>
      <c r="F126" s="1812">
        <v>28869805</v>
      </c>
      <c r="G126" s="2315">
        <f>+D126/C126</f>
        <v>3.4140521905153154</v>
      </c>
      <c r="H126" s="2315">
        <f>+E126/D126</f>
        <v>2.4863893528588172</v>
      </c>
      <c r="J126" s="161">
        <v>98563021</v>
      </c>
      <c r="L126" s="2271">
        <f t="shared" si="15"/>
        <v>0</v>
      </c>
      <c r="M126" s="41">
        <f t="shared" si="16"/>
        <v>69693216</v>
      </c>
      <c r="N126" s="41">
        <f t="shared" si="17"/>
        <v>146503025</v>
      </c>
    </row>
    <row r="127" spans="1:14" ht="12" customHeight="1" thickBot="1">
      <c r="A127" s="144" t="s">
        <v>14</v>
      </c>
      <c r="B127" s="2303" t="s">
        <v>360</v>
      </c>
      <c r="C127" s="111">
        <f>+C128+C129</f>
        <v>0</v>
      </c>
      <c r="D127" s="111">
        <f>+D128+D129</f>
        <v>0</v>
      </c>
      <c r="E127" s="111">
        <f>+E128+E129</f>
        <v>1489059013</v>
      </c>
      <c r="F127" s="1800">
        <v>0</v>
      </c>
      <c r="G127" s="2315"/>
      <c r="H127" s="2315"/>
      <c r="J127" s="111">
        <v>0</v>
      </c>
      <c r="L127" s="2271">
        <f t="shared" si="15"/>
        <v>0</v>
      </c>
      <c r="M127" s="41">
        <f t="shared" si="16"/>
        <v>0</v>
      </c>
      <c r="N127" s="41">
        <f t="shared" si="17"/>
        <v>1489059013</v>
      </c>
    </row>
    <row r="128" spans="1:14" ht="12" customHeight="1">
      <c r="A128" s="142" t="s">
        <v>198</v>
      </c>
      <c r="B128" s="2301" t="s">
        <v>361</v>
      </c>
      <c r="C128" s="2300">
        <f>+F128</f>
        <v>0</v>
      </c>
      <c r="D128" s="161">
        <f>+J128</f>
        <v>0</v>
      </c>
      <c r="E128" s="106">
        <f>+'1. mell.ÖSSZEVONT_MÉRLEG'!E128</f>
        <v>339515136</v>
      </c>
      <c r="F128" s="1801">
        <v>0</v>
      </c>
      <c r="G128" s="2315"/>
      <c r="H128" s="2315"/>
      <c r="J128" s="161">
        <v>0</v>
      </c>
      <c r="L128" s="2271">
        <f t="shared" si="15"/>
        <v>0</v>
      </c>
      <c r="M128" s="41">
        <f t="shared" si="16"/>
        <v>0</v>
      </c>
      <c r="N128" s="41">
        <f t="shared" si="17"/>
        <v>339515136</v>
      </c>
    </row>
    <row r="129" spans="1:14" ht="12" customHeight="1" thickBot="1">
      <c r="A129" s="2317" t="s">
        <v>200</v>
      </c>
      <c r="B129" s="160" t="s">
        <v>362</v>
      </c>
      <c r="C129" s="2304">
        <f>+F129</f>
        <v>0</v>
      </c>
      <c r="D129" s="161">
        <f>+J129</f>
        <v>0</v>
      </c>
      <c r="E129" s="106">
        <f>+'1. mell.ÖSSZEVONT_MÉRLEG'!E129</f>
        <v>1149543877</v>
      </c>
      <c r="F129" s="1811">
        <v>0</v>
      </c>
      <c r="G129" s="2315"/>
      <c r="H129" s="2315"/>
      <c r="J129" s="161">
        <v>0</v>
      </c>
      <c r="L129" s="2271">
        <f t="shared" si="15"/>
        <v>0</v>
      </c>
      <c r="M129" s="41">
        <f t="shared" si="16"/>
        <v>0</v>
      </c>
      <c r="N129" s="41">
        <f t="shared" si="17"/>
        <v>1149543877</v>
      </c>
    </row>
    <row r="130" spans="1:14" ht="12" customHeight="1" thickBot="1">
      <c r="A130" s="146" t="s">
        <v>15</v>
      </c>
      <c r="B130" s="2305" t="s">
        <v>3035</v>
      </c>
      <c r="C130" s="122">
        <f>+C95+C113+C127</f>
        <v>24164784594</v>
      </c>
      <c r="D130" s="122">
        <f>+D95+D113+D127</f>
        <v>29227299593</v>
      </c>
      <c r="E130" s="122">
        <f>+E95+E113+E127</f>
        <v>29912962817</v>
      </c>
      <c r="F130" s="1805">
        <v>24164784594</v>
      </c>
      <c r="G130" s="2315">
        <f>+D130/C130</f>
        <v>1.2094996948682504</v>
      </c>
      <c r="H130" s="2315">
        <f>+E130/D130</f>
        <v>1.0234596843891872</v>
      </c>
      <c r="J130" s="122">
        <v>29227299593</v>
      </c>
      <c r="L130" s="2271">
        <f t="shared" si="15"/>
        <v>0</v>
      </c>
      <c r="M130" s="41">
        <f t="shared" si="16"/>
        <v>5062514999</v>
      </c>
      <c r="N130" s="41">
        <f t="shared" si="17"/>
        <v>685663224</v>
      </c>
    </row>
    <row r="131" spans="1:14" ht="12" customHeight="1" thickBot="1">
      <c r="A131" s="144" t="s">
        <v>17</v>
      </c>
      <c r="B131" s="2303" t="s">
        <v>364</v>
      </c>
      <c r="C131" s="111">
        <f>+C132+C133+C134</f>
        <v>0</v>
      </c>
      <c r="D131" s="111">
        <f>+D132+D133+D134</f>
        <v>0</v>
      </c>
      <c r="E131" s="111">
        <f>+E132+E133+E134</f>
        <v>0</v>
      </c>
      <c r="F131" s="1800">
        <v>0</v>
      </c>
      <c r="G131" s="2315"/>
      <c r="H131" s="2315"/>
      <c r="J131" s="111">
        <v>0</v>
      </c>
      <c r="L131" s="2271">
        <f t="shared" si="15"/>
        <v>0</v>
      </c>
      <c r="M131" s="41">
        <f t="shared" si="16"/>
        <v>0</v>
      </c>
      <c r="N131" s="41">
        <f t="shared" si="17"/>
        <v>0</v>
      </c>
    </row>
    <row r="132" spans="1:14" ht="12" customHeight="1">
      <c r="A132" s="142" t="s">
        <v>225</v>
      </c>
      <c r="B132" s="2301" t="s">
        <v>468</v>
      </c>
      <c r="C132" s="2306">
        <f>+F132</f>
        <v>0</v>
      </c>
      <c r="D132" s="161">
        <f>+J132</f>
        <v>0</v>
      </c>
      <c r="E132" s="106">
        <f>+'1. mell.ÖSSZEVONT_MÉRLEG'!E132</f>
        <v>0</v>
      </c>
      <c r="F132" s="1812">
        <v>0</v>
      </c>
      <c r="G132" s="2315"/>
      <c r="H132" s="2315"/>
      <c r="J132" s="161">
        <v>0</v>
      </c>
      <c r="L132" s="2271">
        <f t="shared" si="15"/>
        <v>0</v>
      </c>
      <c r="M132" s="41">
        <f t="shared" si="16"/>
        <v>0</v>
      </c>
      <c r="N132" s="41">
        <f t="shared" si="17"/>
        <v>0</v>
      </c>
    </row>
    <row r="133" spans="1:14" ht="12" customHeight="1">
      <c r="A133" s="142" t="s">
        <v>227</v>
      </c>
      <c r="B133" s="2301" t="s">
        <v>469</v>
      </c>
      <c r="C133" s="2306">
        <f>+F133</f>
        <v>0</v>
      </c>
      <c r="D133" s="161">
        <f>+J133</f>
        <v>0</v>
      </c>
      <c r="E133" s="106">
        <f>+'1. mell.ÖSSZEVONT_MÉRLEG'!E133</f>
        <v>0</v>
      </c>
      <c r="F133" s="1812">
        <v>0</v>
      </c>
      <c r="G133" s="2315"/>
      <c r="H133" s="2315"/>
      <c r="J133" s="161">
        <v>0</v>
      </c>
      <c r="L133" s="2271">
        <f t="shared" si="15"/>
        <v>0</v>
      </c>
      <c r="M133" s="41">
        <f t="shared" si="16"/>
        <v>0</v>
      </c>
      <c r="N133" s="41">
        <f t="shared" si="17"/>
        <v>0</v>
      </c>
    </row>
    <row r="134" spans="1:14" ht="12" customHeight="1" thickBot="1">
      <c r="A134" s="2319" t="s">
        <v>229</v>
      </c>
      <c r="B134" s="2307" t="s">
        <v>470</v>
      </c>
      <c r="C134" s="2306">
        <f>+F134</f>
        <v>0</v>
      </c>
      <c r="D134" s="161">
        <f>+J134</f>
        <v>0</v>
      </c>
      <c r="E134" s="106">
        <f>+'1. mell.ÖSSZEVONT_MÉRLEG'!E134</f>
        <v>0</v>
      </c>
      <c r="F134" s="1812">
        <v>0</v>
      </c>
      <c r="G134" s="2315"/>
      <c r="H134" s="2315"/>
      <c r="J134" s="161">
        <v>0</v>
      </c>
      <c r="L134" s="2271">
        <f t="shared" si="15"/>
        <v>0</v>
      </c>
      <c r="M134" s="41">
        <f t="shared" si="16"/>
        <v>0</v>
      </c>
      <c r="N134" s="41">
        <f t="shared" si="17"/>
        <v>0</v>
      </c>
    </row>
    <row r="135" spans="1:14" ht="12" customHeight="1" thickBot="1">
      <c r="A135" s="144" t="s">
        <v>19</v>
      </c>
      <c r="B135" s="2303" t="s">
        <v>368</v>
      </c>
      <c r="C135" s="111">
        <f>+C136+C137+C138+C139</f>
        <v>0</v>
      </c>
      <c r="D135" s="111">
        <f>+D136+D137+D138+D139</f>
        <v>0</v>
      </c>
      <c r="E135" s="111">
        <f>+E136+E137+E138+E139</f>
        <v>0</v>
      </c>
      <c r="F135" s="1800">
        <v>0</v>
      </c>
      <c r="G135" s="2315"/>
      <c r="H135" s="2315"/>
      <c r="J135" s="111">
        <v>0</v>
      </c>
      <c r="L135" s="2271">
        <f t="shared" si="15"/>
        <v>0</v>
      </c>
      <c r="M135" s="41">
        <f t="shared" si="16"/>
        <v>0</v>
      </c>
      <c r="N135" s="41">
        <f t="shared" si="17"/>
        <v>0</v>
      </c>
    </row>
    <row r="136" spans="1:14">
      <c r="A136" s="142" t="s">
        <v>246</v>
      </c>
      <c r="B136" s="2301" t="s">
        <v>471</v>
      </c>
      <c r="C136" s="2306">
        <f>+F136</f>
        <v>0</v>
      </c>
      <c r="D136" s="161">
        <f>+J136</f>
        <v>0</v>
      </c>
      <c r="E136" s="106">
        <f>+'1. mell.ÖSSZEVONT_MÉRLEG'!E136</f>
        <v>0</v>
      </c>
      <c r="F136" s="1812">
        <v>0</v>
      </c>
      <c r="G136" s="2315"/>
      <c r="H136" s="2315"/>
      <c r="J136" s="161">
        <v>0</v>
      </c>
      <c r="L136" s="2271">
        <f t="shared" ref="L136:L154" si="26">+D136-J136</f>
        <v>0</v>
      </c>
      <c r="M136" s="41">
        <f t="shared" ref="M136:M153" si="27">+D136-C136</f>
        <v>0</v>
      </c>
      <c r="N136" s="41">
        <f t="shared" ref="N136:N153" si="28">+E136-D136</f>
        <v>0</v>
      </c>
    </row>
    <row r="137" spans="1:14" ht="12" customHeight="1">
      <c r="A137" s="142" t="s">
        <v>248</v>
      </c>
      <c r="B137" s="2301" t="s">
        <v>472</v>
      </c>
      <c r="C137" s="2306">
        <f>+F137</f>
        <v>0</v>
      </c>
      <c r="D137" s="161">
        <f>+J137</f>
        <v>0</v>
      </c>
      <c r="E137" s="106">
        <f>+'1. mell.ÖSSZEVONT_MÉRLEG'!E137</f>
        <v>0</v>
      </c>
      <c r="F137" s="1812">
        <v>0</v>
      </c>
      <c r="G137" s="2315"/>
      <c r="H137" s="2315"/>
      <c r="J137" s="161">
        <v>0</v>
      </c>
      <c r="L137" s="2271">
        <f t="shared" si="26"/>
        <v>0</v>
      </c>
      <c r="M137" s="41">
        <f t="shared" si="27"/>
        <v>0</v>
      </c>
      <c r="N137" s="41">
        <f t="shared" si="28"/>
        <v>0</v>
      </c>
    </row>
    <row r="138" spans="1:14" ht="12" customHeight="1">
      <c r="A138" s="142" t="s">
        <v>250</v>
      </c>
      <c r="B138" s="2301" t="s">
        <v>473</v>
      </c>
      <c r="C138" s="2306">
        <f>+F138</f>
        <v>0</v>
      </c>
      <c r="D138" s="161">
        <f>+J138</f>
        <v>0</v>
      </c>
      <c r="E138" s="106">
        <f>+'1. mell.ÖSSZEVONT_MÉRLEG'!E138</f>
        <v>0</v>
      </c>
      <c r="F138" s="1812">
        <v>0</v>
      </c>
      <c r="G138" s="2315"/>
      <c r="H138" s="2315"/>
      <c r="J138" s="161">
        <v>0</v>
      </c>
      <c r="L138" s="2271">
        <f t="shared" si="26"/>
        <v>0</v>
      </c>
      <c r="M138" s="41">
        <f t="shared" si="27"/>
        <v>0</v>
      </c>
      <c r="N138" s="41">
        <f t="shared" si="28"/>
        <v>0</v>
      </c>
    </row>
    <row r="139" spans="1:14" ht="12" customHeight="1" thickBot="1">
      <c r="A139" s="2319" t="s">
        <v>251</v>
      </c>
      <c r="B139" s="2307" t="s">
        <v>489</v>
      </c>
      <c r="C139" s="2306">
        <f>+F139</f>
        <v>0</v>
      </c>
      <c r="D139" s="161">
        <f>+J139</f>
        <v>0</v>
      </c>
      <c r="E139" s="106">
        <f>+'1. mell.ÖSSZEVONT_MÉRLEG'!E139</f>
        <v>0</v>
      </c>
      <c r="F139" s="1812">
        <v>0</v>
      </c>
      <c r="G139" s="2315"/>
      <c r="H139" s="2315"/>
      <c r="J139" s="161">
        <v>0</v>
      </c>
      <c r="L139" s="2271">
        <f t="shared" si="26"/>
        <v>0</v>
      </c>
      <c r="M139" s="41">
        <f t="shared" si="27"/>
        <v>0</v>
      </c>
      <c r="N139" s="41">
        <f t="shared" si="28"/>
        <v>0</v>
      </c>
    </row>
    <row r="140" spans="1:14" ht="12" customHeight="1" thickBot="1">
      <c r="A140" s="144" t="s">
        <v>21</v>
      </c>
      <c r="B140" s="2303" t="s">
        <v>373</v>
      </c>
      <c r="C140" s="113">
        <f>+C141+C142+C143+C144</f>
        <v>7891526551</v>
      </c>
      <c r="D140" s="113">
        <f>+D141+D142+D143+D144</f>
        <v>6291700219</v>
      </c>
      <c r="E140" s="113">
        <f>+E141+E142+E143+E144</f>
        <v>5534974099</v>
      </c>
      <c r="F140" s="1800">
        <v>7891526551</v>
      </c>
      <c r="G140" s="2315">
        <f>+D140/C140</f>
        <v>0.79727289496386822</v>
      </c>
      <c r="H140" s="2315">
        <f>+E140/D140</f>
        <v>0.87972629119950763</v>
      </c>
      <c r="J140" s="113">
        <v>6291700219</v>
      </c>
      <c r="L140" s="2271">
        <f t="shared" si="26"/>
        <v>0</v>
      </c>
      <c r="M140" s="41">
        <f t="shared" si="27"/>
        <v>-1599826332</v>
      </c>
      <c r="N140" s="41">
        <f t="shared" si="28"/>
        <v>-756726120</v>
      </c>
    </row>
    <row r="141" spans="1:14" ht="12" customHeight="1">
      <c r="A141" s="142" t="s">
        <v>257</v>
      </c>
      <c r="B141" s="2301" t="s">
        <v>374</v>
      </c>
      <c r="C141" s="2306">
        <f>+F141</f>
        <v>0</v>
      </c>
      <c r="D141" s="161">
        <f>+J141</f>
        <v>0</v>
      </c>
      <c r="E141" s="106">
        <f>+'1. mell.ÖSSZEVONT_MÉRLEG'!E141</f>
        <v>0</v>
      </c>
      <c r="F141" s="1812">
        <v>0</v>
      </c>
      <c r="G141" s="2315"/>
      <c r="H141" s="2315"/>
      <c r="J141" s="161">
        <v>0</v>
      </c>
      <c r="L141" s="2271">
        <f t="shared" si="26"/>
        <v>0</v>
      </c>
      <c r="M141" s="41">
        <f t="shared" si="27"/>
        <v>0</v>
      </c>
      <c r="N141" s="41">
        <f t="shared" si="28"/>
        <v>0</v>
      </c>
    </row>
    <row r="142" spans="1:14" ht="12" customHeight="1">
      <c r="A142" s="142" t="s">
        <v>259</v>
      </c>
      <c r="B142" s="2301" t="s">
        <v>375</v>
      </c>
      <c r="C142" s="2306">
        <f>+F142</f>
        <v>191526551</v>
      </c>
      <c r="D142" s="161">
        <f>+J142</f>
        <v>791700219</v>
      </c>
      <c r="E142" s="106">
        <f>+'1. mell.ÖSSZEVONT_MÉRLEG'!E142</f>
        <v>34974099</v>
      </c>
      <c r="F142" s="1812">
        <v>191526551</v>
      </c>
      <c r="G142" s="2315">
        <f>+D142/C142</f>
        <v>4.1336316811761522</v>
      </c>
      <c r="H142" s="2315">
        <f>+E142/D142</f>
        <v>4.4175937003245923E-2</v>
      </c>
      <c r="J142" s="161">
        <v>791700219</v>
      </c>
      <c r="L142" s="2271">
        <f t="shared" si="26"/>
        <v>0</v>
      </c>
      <c r="M142" s="41">
        <f t="shared" si="27"/>
        <v>600173668</v>
      </c>
      <c r="N142" s="41">
        <f t="shared" si="28"/>
        <v>-756726120</v>
      </c>
    </row>
    <row r="143" spans="1:14" ht="12" customHeight="1">
      <c r="A143" s="142" t="s">
        <v>261</v>
      </c>
      <c r="B143" s="2301" t="s">
        <v>376</v>
      </c>
      <c r="C143" s="2306">
        <f>+F143</f>
        <v>7700000000</v>
      </c>
      <c r="D143" s="161">
        <f>+J143</f>
        <v>5500000000</v>
      </c>
      <c r="E143" s="106">
        <f>+'1. mell.ÖSSZEVONT_MÉRLEG'!E143</f>
        <v>5500000000</v>
      </c>
      <c r="F143" s="1812">
        <v>7700000000</v>
      </c>
      <c r="G143" s="2315">
        <f>+D143/C143</f>
        <v>0.7142857142857143</v>
      </c>
      <c r="H143" s="2315">
        <f>+E143/D143</f>
        <v>1</v>
      </c>
      <c r="J143" s="161">
        <v>5500000000</v>
      </c>
      <c r="L143" s="2271">
        <f t="shared" si="26"/>
        <v>0</v>
      </c>
      <c r="M143" s="41">
        <f t="shared" si="27"/>
        <v>-2200000000</v>
      </c>
      <c r="N143" s="41">
        <f t="shared" si="28"/>
        <v>0</v>
      </c>
    </row>
    <row r="144" spans="1:14" ht="12" customHeight="1" thickBot="1">
      <c r="A144" s="2319" t="s">
        <v>263</v>
      </c>
      <c r="B144" s="2307" t="s">
        <v>377</v>
      </c>
      <c r="C144" s="2306">
        <f>+F144</f>
        <v>0</v>
      </c>
      <c r="D144" s="161">
        <f>+J144</f>
        <v>0</v>
      </c>
      <c r="E144" s="106">
        <f>+'1. mell.ÖSSZEVONT_MÉRLEG'!E144</f>
        <v>0</v>
      </c>
      <c r="F144" s="1812">
        <v>0</v>
      </c>
      <c r="G144" s="2315"/>
      <c r="H144" s="2315"/>
      <c r="J144" s="161">
        <v>0</v>
      </c>
      <c r="L144" s="2271">
        <f t="shared" si="26"/>
        <v>0</v>
      </c>
      <c r="M144" s="41">
        <f t="shared" si="27"/>
        <v>0</v>
      </c>
      <c r="N144" s="41">
        <f t="shared" si="28"/>
        <v>0</v>
      </c>
    </row>
    <row r="145" spans="1:14" ht="12" customHeight="1" thickBot="1">
      <c r="A145" s="144" t="s">
        <v>23</v>
      </c>
      <c r="B145" s="2303" t="s">
        <v>500</v>
      </c>
      <c r="C145" s="2308">
        <f>+C146+C147+C148+C149</f>
        <v>0</v>
      </c>
      <c r="D145" s="2308">
        <f>+D146+D147+D148+D149</f>
        <v>0</v>
      </c>
      <c r="E145" s="2308">
        <f>+E146+E147+E148+E149</f>
        <v>0</v>
      </c>
      <c r="F145" s="1800">
        <v>0</v>
      </c>
      <c r="G145" s="2315"/>
      <c r="H145" s="2315"/>
      <c r="J145" s="2308">
        <v>0</v>
      </c>
      <c r="L145" s="2271">
        <f t="shared" si="26"/>
        <v>0</v>
      </c>
      <c r="M145" s="41">
        <f t="shared" si="27"/>
        <v>0</v>
      </c>
      <c r="N145" s="41">
        <f t="shared" si="28"/>
        <v>0</v>
      </c>
    </row>
    <row r="146" spans="1:14" ht="12" hidden="1" customHeight="1">
      <c r="A146" s="142" t="s">
        <v>265</v>
      </c>
      <c r="B146" s="2301" t="s">
        <v>379</v>
      </c>
      <c r="C146" s="106">
        <f>+'1. mell.ÖSSZEVONT_MÉRLEG'!C146</f>
        <v>0</v>
      </c>
      <c r="D146" s="106">
        <f>+'1. mell.ÖSSZEVONT_MÉRLEG'!D146</f>
        <v>0</v>
      </c>
      <c r="E146" s="106">
        <f>+'1. mell.ÖSSZEVONT_MÉRLEG'!E146</f>
        <v>0</v>
      </c>
      <c r="F146" s="1812">
        <v>0</v>
      </c>
      <c r="G146" s="2315"/>
      <c r="H146" s="2315"/>
      <c r="J146" s="106">
        <v>0</v>
      </c>
      <c r="L146" s="2271">
        <f t="shared" si="26"/>
        <v>0</v>
      </c>
      <c r="M146" s="41">
        <f t="shared" si="27"/>
        <v>0</v>
      </c>
      <c r="N146" s="41">
        <f t="shared" si="28"/>
        <v>0</v>
      </c>
    </row>
    <row r="147" spans="1:14" ht="12" hidden="1" customHeight="1">
      <c r="A147" s="142" t="s">
        <v>266</v>
      </c>
      <c r="B147" s="2301" t="s">
        <v>380</v>
      </c>
      <c r="C147" s="106">
        <f>+'1. mell.ÖSSZEVONT_MÉRLEG'!C147</f>
        <v>0</v>
      </c>
      <c r="D147" s="106">
        <f>+'1. mell.ÖSSZEVONT_MÉRLEG'!D147</f>
        <v>0</v>
      </c>
      <c r="E147" s="106">
        <f>+'1. mell.ÖSSZEVONT_MÉRLEG'!E147</f>
        <v>0</v>
      </c>
      <c r="F147" s="1812">
        <v>0</v>
      </c>
      <c r="G147" s="2315"/>
      <c r="H147" s="2315"/>
      <c r="J147" s="106">
        <v>0</v>
      </c>
      <c r="L147" s="2271">
        <f t="shared" si="26"/>
        <v>0</v>
      </c>
      <c r="M147" s="41">
        <f t="shared" si="27"/>
        <v>0</v>
      </c>
      <c r="N147" s="41">
        <f t="shared" si="28"/>
        <v>0</v>
      </c>
    </row>
    <row r="148" spans="1:14" ht="12" hidden="1" customHeight="1">
      <c r="A148" s="142" t="s">
        <v>267</v>
      </c>
      <c r="B148" s="2301" t="s">
        <v>381</v>
      </c>
      <c r="C148" s="106">
        <f>+'1. mell.ÖSSZEVONT_MÉRLEG'!C148</f>
        <v>0</v>
      </c>
      <c r="D148" s="106">
        <f>+'1. mell.ÖSSZEVONT_MÉRLEG'!D148</f>
        <v>0</v>
      </c>
      <c r="E148" s="106">
        <f>+'1. mell.ÖSSZEVONT_MÉRLEG'!E148</f>
        <v>0</v>
      </c>
      <c r="F148" s="1812">
        <v>0</v>
      </c>
      <c r="G148" s="2315"/>
      <c r="H148" s="2315"/>
      <c r="J148" s="106">
        <v>0</v>
      </c>
      <c r="L148" s="2271">
        <f t="shared" si="26"/>
        <v>0</v>
      </c>
      <c r="M148" s="41">
        <f t="shared" si="27"/>
        <v>0</v>
      </c>
      <c r="N148" s="41">
        <f t="shared" si="28"/>
        <v>0</v>
      </c>
    </row>
    <row r="149" spans="1:14" ht="12" hidden="1" customHeight="1">
      <c r="A149" s="142" t="s">
        <v>269</v>
      </c>
      <c r="B149" s="2301" t="s">
        <v>2756</v>
      </c>
      <c r="C149" s="106">
        <f>+'1. mell.ÖSSZEVONT_MÉRLEG'!C149</f>
        <v>0</v>
      </c>
      <c r="D149" s="106">
        <f>+'1. mell.ÖSSZEVONT_MÉRLEG'!D149</f>
        <v>0</v>
      </c>
      <c r="E149" s="106">
        <f>+'1. mell.ÖSSZEVONT_MÉRLEG'!E149</f>
        <v>0</v>
      </c>
      <c r="F149" s="1812">
        <v>0</v>
      </c>
      <c r="G149" s="2315"/>
      <c r="H149" s="2315"/>
      <c r="J149" s="106">
        <v>0</v>
      </c>
      <c r="L149" s="2271">
        <f t="shared" si="26"/>
        <v>0</v>
      </c>
      <c r="M149" s="41">
        <f t="shared" si="27"/>
        <v>0</v>
      </c>
      <c r="N149" s="41">
        <f t="shared" si="28"/>
        <v>0</v>
      </c>
    </row>
    <row r="150" spans="1:14" ht="12" customHeight="1" thickBot="1">
      <c r="A150" s="144" t="s">
        <v>25</v>
      </c>
      <c r="B150" s="2303" t="s">
        <v>383</v>
      </c>
      <c r="C150" s="2308">
        <f>+F150</f>
        <v>0</v>
      </c>
      <c r="D150" s="2308">
        <f>+'1. mell.ÖSSZEVONT_MÉRLEG'!J150</f>
        <v>0</v>
      </c>
      <c r="E150" s="2308">
        <v>0</v>
      </c>
      <c r="F150" s="1800">
        <v>0</v>
      </c>
      <c r="G150" s="2315"/>
      <c r="H150" s="2315"/>
      <c r="J150" s="2308">
        <v>0</v>
      </c>
      <c r="L150" s="2271">
        <f t="shared" si="26"/>
        <v>0</v>
      </c>
      <c r="M150" s="41">
        <f t="shared" si="27"/>
        <v>0</v>
      </c>
      <c r="N150" s="41">
        <f t="shared" si="28"/>
        <v>0</v>
      </c>
    </row>
    <row r="151" spans="1:14" ht="12" customHeight="1" thickBot="1">
      <c r="A151" s="144" t="s">
        <v>27</v>
      </c>
      <c r="B151" s="2303" t="s">
        <v>384</v>
      </c>
      <c r="C151" s="2308">
        <f>+F151</f>
        <v>0</v>
      </c>
      <c r="D151" s="2308">
        <f>+'1. mell.ÖSSZEVONT_MÉRLEG'!J151</f>
        <v>0</v>
      </c>
      <c r="E151" s="2308">
        <f>+'1. mell.ÖSSZEVONT_MÉRLEG'!E151</f>
        <v>0</v>
      </c>
      <c r="F151" s="1800">
        <v>0</v>
      </c>
      <c r="G151" s="2315"/>
      <c r="H151" s="2315"/>
      <c r="J151" s="2308">
        <v>0</v>
      </c>
      <c r="L151" s="2271">
        <f t="shared" si="26"/>
        <v>0</v>
      </c>
      <c r="M151" s="41">
        <f t="shared" si="27"/>
        <v>0</v>
      </c>
      <c r="N151" s="41">
        <f t="shared" si="28"/>
        <v>0</v>
      </c>
    </row>
    <row r="152" spans="1:14" ht="12" customHeight="1" thickBot="1">
      <c r="A152" s="146" t="s">
        <v>29</v>
      </c>
      <c r="B152" s="2305" t="s">
        <v>385</v>
      </c>
      <c r="C152" s="2309">
        <f>+C131+C135+C140+C145</f>
        <v>7891526551</v>
      </c>
      <c r="D152" s="2309">
        <f>+D131+D135+D140+D145</f>
        <v>6291700219</v>
      </c>
      <c r="E152" s="2309">
        <f>+E131+E135+E140+E145</f>
        <v>5534974099</v>
      </c>
      <c r="F152" s="1805">
        <v>7891526551</v>
      </c>
      <c r="G152" s="2315">
        <f>+D152/C152</f>
        <v>0.79727289496386822</v>
      </c>
      <c r="H152" s="2315">
        <f>+E152/D152</f>
        <v>0.87972629119950763</v>
      </c>
      <c r="J152" s="2309">
        <v>6291700219</v>
      </c>
      <c r="L152" s="2271">
        <f t="shared" si="26"/>
        <v>0</v>
      </c>
      <c r="M152" s="41">
        <f t="shared" si="27"/>
        <v>-1599826332</v>
      </c>
      <c r="N152" s="41">
        <f t="shared" si="28"/>
        <v>-756726120</v>
      </c>
    </row>
    <row r="153" spans="1:14" ht="12" customHeight="1" thickBot="1">
      <c r="A153" s="153" t="s">
        <v>31</v>
      </c>
      <c r="B153" s="2310" t="s">
        <v>2757</v>
      </c>
      <c r="C153" s="2309">
        <f>+C130+C152</f>
        <v>32056311145</v>
      </c>
      <c r="D153" s="2309">
        <f>+D130+D152</f>
        <v>35518999812</v>
      </c>
      <c r="E153" s="2309">
        <f>+E130+E152</f>
        <v>35447936916</v>
      </c>
      <c r="F153" s="1805">
        <v>32056311145</v>
      </c>
      <c r="G153" s="2315">
        <f>+D153/C153</f>
        <v>1.1080189374047829</v>
      </c>
      <c r="H153" s="2315">
        <f>+E153/D153</f>
        <v>0.99799929906877638</v>
      </c>
      <c r="J153" s="2309">
        <v>35518999812</v>
      </c>
      <c r="L153" s="2271">
        <f t="shared" si="26"/>
        <v>0</v>
      </c>
      <c r="M153" s="41">
        <f t="shared" si="27"/>
        <v>3462688667</v>
      </c>
      <c r="N153" s="41">
        <f t="shared" si="28"/>
        <v>-71062896</v>
      </c>
    </row>
    <row r="154" spans="1:14" ht="12" hidden="1" customHeight="1">
      <c r="C154" s="41">
        <f>+C88-C153</f>
        <v>7971810877</v>
      </c>
      <c r="D154" s="41">
        <f>+D88-D153</f>
        <v>3335385957</v>
      </c>
      <c r="E154" s="41">
        <f>+E88-E153</f>
        <v>0.269683837890625</v>
      </c>
      <c r="F154" s="41"/>
      <c r="G154" s="2312">
        <f>+D154/C154</f>
        <v>0.41839752704409272</v>
      </c>
      <c r="H154" s="2312">
        <f>+E154/(D154*1000)</f>
        <v>8.0855361678500051E-14</v>
      </c>
      <c r="J154" s="1776">
        <v>3335385957</v>
      </c>
      <c r="L154" s="2271">
        <f t="shared" si="26"/>
        <v>0</v>
      </c>
    </row>
    <row r="155" spans="1:14" ht="12" hidden="1" customHeight="1">
      <c r="C155" s="61"/>
      <c r="D155" s="41"/>
      <c r="F155" s="40"/>
      <c r="J155" s="1776">
        <f>+J88-J153</f>
        <v>3335385957</v>
      </c>
      <c r="L155" s="2271"/>
    </row>
    <row r="156" spans="1:14" ht="18" hidden="1" customHeight="1">
      <c r="C156" s="2311">
        <f>+C88-C153</f>
        <v>7971810877</v>
      </c>
      <c r="D156" s="2311">
        <f>+D88-D153</f>
        <v>3335385957</v>
      </c>
      <c r="E156" s="2311">
        <f>+E88-E153</f>
        <v>0.269683837890625</v>
      </c>
      <c r="F156" s="2311">
        <f>+F88-F153</f>
        <v>7971810877</v>
      </c>
      <c r="G156" s="2312">
        <f>+D156/C156</f>
        <v>0.41839752704409272</v>
      </c>
    </row>
    <row r="157" spans="1:14" ht="15.75" customHeight="1">
      <c r="D157" s="63"/>
      <c r="F157" s="40"/>
    </row>
    <row r="158" spans="1:14" ht="12" customHeight="1">
      <c r="F158" s="40"/>
    </row>
    <row r="159" spans="1:14" ht="15" customHeight="1">
      <c r="F159" s="40"/>
    </row>
    <row r="160" spans="1:14" ht="12.95" customHeight="1">
      <c r="F160" s="40"/>
    </row>
    <row r="161" spans="6:6">
      <c r="F161" s="2311">
        <v>7971810877</v>
      </c>
    </row>
    <row r="162" spans="6:6">
      <c r="F162" s="61">
        <v>7971810877</v>
      </c>
    </row>
    <row r="164" spans="6:6" ht="16.5" customHeight="1"/>
    <row r="173" spans="6:6">
      <c r="F173" s="61">
        <v>7971810877</v>
      </c>
    </row>
  </sheetData>
  <sheetProtection selectLockedCells="1" selectUnlockedCells="1"/>
  <mergeCells count="5">
    <mergeCell ref="A3:E3"/>
    <mergeCell ref="A4:B4"/>
    <mergeCell ref="A91:E91"/>
    <mergeCell ref="A92:B92"/>
    <mergeCell ref="C4:E4"/>
  </mergeCells>
  <printOptions horizontalCentered="1"/>
  <pageMargins left="0.19685039370078741" right="0.19685039370078741" top="0.78740157480314965" bottom="0.27559055118110237" header="0.27559055118110237" footer="0.15748031496062992"/>
  <pageSetup paperSize="9" scale="72" firstPageNumber="0" orientation="portrait" horizontalDpi="300" verticalDpi="300" r:id="rId1"/>
  <headerFooter alignWithMargins="0">
    <oddHeader>&amp;C&amp;"Times New Roman CE,Félkövér"&amp;12&amp;UTájékoztató kimutatások, mérlegek
&amp;UBudapest Főváros XVI. kerületi Önkormányzat
2023. évi tény - 2024. évi (várható) és 2025. évi KÖLTSÉGVETÉSÉNEK MÉRLEGE&amp;R&amp;"Times New Roman CE,Félkövér dőlt"&amp;11 1. tájékoztató tábla</oddHeader>
    <oddFooter>&amp;C&amp;"Arial CE,Félkövér"&amp;16&amp;P/&amp;N</oddFooter>
  </headerFooter>
  <rowBreaks count="1" manualBreakCount="1">
    <brk id="88" max="16383" man="1"/>
  </row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5445-8F9A-4EB0-ACF0-CC07BE255840}">
  <sheetPr>
    <tabColor theme="6" tint="0.39997558519241921"/>
    <pageSetUpPr fitToPage="1"/>
  </sheetPr>
  <dimension ref="A1:AE94"/>
  <sheetViews>
    <sheetView view="pageBreakPreview" zoomScaleSheetLayoutView="100" workbookViewId="0">
      <pane xSplit="1" ySplit="6" topLeftCell="B7" activePane="bottomRight" state="frozen"/>
      <selection activeCell="A3" sqref="A3:E3"/>
      <selection pane="topRight" activeCell="A3" sqref="A3:E3"/>
      <selection pane="bottomLeft" activeCell="A3" sqref="A3:E3"/>
      <selection pane="bottomRight" activeCell="A3" sqref="A3:E3"/>
    </sheetView>
  </sheetViews>
  <sheetFormatPr defaultColWidth="8" defaultRowHeight="12.75"/>
  <cols>
    <col min="1" max="1" width="5.85546875" style="801" customWidth="1"/>
    <col min="2" max="2" width="46.140625" style="802" customWidth="1"/>
    <col min="3" max="5" width="11.85546875" style="802" customWidth="1"/>
    <col min="6" max="6" width="11.7109375" style="802" customWidth="1"/>
    <col min="7" max="7" width="11.85546875" style="802" customWidth="1"/>
    <col min="8" max="8" width="11" style="802" customWidth="1"/>
    <col min="9" max="9" width="12.7109375" style="802" customWidth="1"/>
    <col min="10" max="10" width="9.42578125" style="802" hidden="1" customWidth="1"/>
    <col min="11" max="11" width="10.85546875" style="802" hidden="1" customWidth="1"/>
    <col min="12" max="12" width="10.140625" style="802" hidden="1" customWidth="1"/>
    <col min="13" max="14" width="10.85546875" style="802" hidden="1" customWidth="1"/>
    <col min="15" max="15" width="8" style="802" hidden="1" customWidth="1"/>
    <col min="16" max="16" width="13.28515625" style="802" hidden="1" customWidth="1"/>
    <col min="17" max="17" width="13.5703125" style="802" hidden="1" customWidth="1"/>
    <col min="18" max="18" width="8" style="802" hidden="1" customWidth="1"/>
    <col min="19" max="19" width="10.85546875" style="802" hidden="1" customWidth="1"/>
    <col min="20" max="21" width="0" style="802" hidden="1" customWidth="1"/>
    <col min="22" max="22" width="12.42578125" style="802" hidden="1" customWidth="1"/>
    <col min="23" max="23" width="9.5703125" style="802" hidden="1" customWidth="1"/>
    <col min="24" max="24" width="0" style="802" hidden="1" customWidth="1"/>
    <col min="25" max="25" width="8" style="802"/>
    <col min="26" max="26" width="10.85546875" style="802" hidden="1" customWidth="1"/>
    <col min="27" max="27" width="11.7109375" style="802" hidden="1" customWidth="1"/>
    <col min="28" max="28" width="22.5703125" style="802" hidden="1" customWidth="1"/>
    <col min="29" max="29" width="0" style="802" hidden="1" customWidth="1"/>
    <col min="30" max="30" width="14.42578125" style="802" hidden="1" customWidth="1"/>
    <col min="31" max="31" width="15.5703125" style="802" hidden="1" customWidth="1"/>
    <col min="32" max="16384" width="8" style="802"/>
  </cols>
  <sheetData>
    <row r="1" spans="1:31" ht="7.5" customHeight="1">
      <c r="A1" s="3822"/>
      <c r="B1" s="3822"/>
      <c r="C1" s="3822"/>
      <c r="D1" s="3822"/>
      <c r="E1" s="3822"/>
      <c r="F1" s="3822"/>
      <c r="G1" s="3822"/>
      <c r="H1" s="3822"/>
      <c r="I1" s="3822"/>
    </row>
    <row r="2" spans="1:31" ht="27.75" customHeight="1">
      <c r="A2" s="3823" t="s">
        <v>2758</v>
      </c>
      <c r="B2" s="3823"/>
      <c r="C2" s="3823"/>
      <c r="D2" s="3823"/>
      <c r="E2" s="3823"/>
      <c r="F2" s="3823"/>
      <c r="G2" s="3823"/>
      <c r="H2" s="3823"/>
      <c r="I2" s="3823"/>
    </row>
    <row r="3" spans="1:31" ht="11.25" customHeight="1" thickBot="1">
      <c r="I3" s="803" t="s">
        <v>3300</v>
      </c>
    </row>
    <row r="4" spans="1:31" s="804" customFormat="1" ht="26.25" customHeight="1" thickBot="1">
      <c r="A4" s="3824" t="s">
        <v>170</v>
      </c>
      <c r="B4" s="3825" t="s">
        <v>2759</v>
      </c>
      <c r="C4" s="3824" t="s">
        <v>2760</v>
      </c>
      <c r="D4" s="3824" t="s">
        <v>3814</v>
      </c>
      <c r="E4" s="3826" t="s">
        <v>2761</v>
      </c>
      <c r="F4" s="3826"/>
      <c r="G4" s="3826"/>
      <c r="H4" s="3826"/>
      <c r="I4" s="3825" t="s">
        <v>156</v>
      </c>
      <c r="V4" s="804">
        <v>37079762.579999998</v>
      </c>
    </row>
    <row r="5" spans="1:31" s="807" customFormat="1" ht="37.5" customHeight="1" thickBot="1">
      <c r="A5" s="3824"/>
      <c r="B5" s="3825"/>
      <c r="C5" s="3825"/>
      <c r="D5" s="3824"/>
      <c r="E5" s="805" t="s">
        <v>3815</v>
      </c>
      <c r="F5" s="805">
        <f>+E5+1</f>
        <v>2026</v>
      </c>
      <c r="G5" s="805">
        <f>+F5+1</f>
        <v>2027</v>
      </c>
      <c r="H5" s="806" t="s">
        <v>3630</v>
      </c>
      <c r="I5" s="3825"/>
      <c r="V5" s="807">
        <v>137428174</v>
      </c>
      <c r="Z5" s="1813" t="s">
        <v>3631</v>
      </c>
    </row>
    <row r="6" spans="1:31" s="813" customFormat="1" ht="12.95" customHeight="1" thickBot="1">
      <c r="A6" s="808">
        <v>1</v>
      </c>
      <c r="B6" s="809">
        <v>2</v>
      </c>
      <c r="C6" s="810">
        <v>3</v>
      </c>
      <c r="D6" s="809">
        <v>4</v>
      </c>
      <c r="E6" s="808">
        <v>5</v>
      </c>
      <c r="F6" s="810">
        <v>6</v>
      </c>
      <c r="G6" s="810">
        <v>7</v>
      </c>
      <c r="H6" s="811">
        <v>8</v>
      </c>
      <c r="I6" s="812" t="s">
        <v>2762</v>
      </c>
      <c r="Z6" t="s">
        <v>3632</v>
      </c>
    </row>
    <row r="7" spans="1:31" ht="24.75" customHeight="1" thickBot="1">
      <c r="A7" s="814" t="s">
        <v>6</v>
      </c>
      <c r="B7" s="815" t="s">
        <v>2763</v>
      </c>
      <c r="C7" s="816"/>
      <c r="D7" s="816"/>
      <c r="E7" s="817">
        <f>SUM(E8:E9)</f>
        <v>0</v>
      </c>
      <c r="F7" s="818">
        <f>SUM(F8:F9)</f>
        <v>0</v>
      </c>
      <c r="G7" s="819">
        <f>SUM(G8:G9)</f>
        <v>0</v>
      </c>
      <c r="H7" s="819">
        <f>SUM(H8:H9)</f>
        <v>0</v>
      </c>
      <c r="I7" s="820">
        <f t="shared" ref="I7:I34" si="0">SUM(D7:H7)</f>
        <v>0</v>
      </c>
    </row>
    <row r="8" spans="1:31" ht="20.100000000000001" customHeight="1">
      <c r="A8" s="821" t="s">
        <v>12</v>
      </c>
      <c r="B8" s="822" t="s">
        <v>2764</v>
      </c>
      <c r="C8" s="823"/>
      <c r="D8" s="824">
        <v>0</v>
      </c>
      <c r="E8" s="825">
        <v>0</v>
      </c>
      <c r="F8" s="826">
        <v>0</v>
      </c>
      <c r="G8" s="826">
        <v>0</v>
      </c>
      <c r="H8" s="827">
        <v>0</v>
      </c>
      <c r="I8" s="828">
        <f t="shared" si="0"/>
        <v>0</v>
      </c>
    </row>
    <row r="9" spans="1:31" ht="20.100000000000001" customHeight="1" thickBot="1">
      <c r="A9" s="821" t="s">
        <v>14</v>
      </c>
      <c r="B9" s="822" t="s">
        <v>2764</v>
      </c>
      <c r="C9" s="823"/>
      <c r="D9" s="824">
        <v>0</v>
      </c>
      <c r="E9" s="825">
        <v>0</v>
      </c>
      <c r="F9" s="826">
        <v>0</v>
      </c>
      <c r="G9" s="826">
        <v>0</v>
      </c>
      <c r="H9" s="827">
        <v>0</v>
      </c>
      <c r="I9" s="828">
        <f t="shared" si="0"/>
        <v>0</v>
      </c>
    </row>
    <row r="10" spans="1:31" ht="26.1" customHeight="1" thickBot="1">
      <c r="A10" s="814" t="s">
        <v>15</v>
      </c>
      <c r="B10" s="815" t="s">
        <v>3234</v>
      </c>
      <c r="C10" s="816"/>
      <c r="D10" s="829">
        <f>SUM(D11:D12)</f>
        <v>0</v>
      </c>
      <c r="E10" s="830">
        <f>SUM(E11:E13)</f>
        <v>0</v>
      </c>
      <c r="F10" s="831">
        <f>SUM(F11:F13)</f>
        <v>0</v>
      </c>
      <c r="G10" s="829">
        <f>SUM(G11:G13)</f>
        <v>0</v>
      </c>
      <c r="H10" s="829">
        <f>SUM(H11:H13)</f>
        <v>0</v>
      </c>
      <c r="I10" s="832">
        <f t="shared" si="0"/>
        <v>0</v>
      </c>
      <c r="J10" s="3820"/>
      <c r="K10" s="3820"/>
      <c r="L10" s="3820"/>
      <c r="M10" s="3820"/>
      <c r="P10" s="802">
        <v>785200</v>
      </c>
    </row>
    <row r="11" spans="1:31" ht="20.100000000000001" customHeight="1">
      <c r="A11" s="821" t="s">
        <v>17</v>
      </c>
      <c r="B11" s="822" t="s">
        <v>2764</v>
      </c>
      <c r="C11" s="823"/>
      <c r="D11" s="824">
        <v>0</v>
      </c>
      <c r="E11" s="825">
        <v>0</v>
      </c>
      <c r="F11" s="825">
        <v>0</v>
      </c>
      <c r="G11" s="825">
        <v>0</v>
      </c>
      <c r="H11" s="825">
        <v>0</v>
      </c>
      <c r="I11" s="828">
        <f t="shared" si="0"/>
        <v>0</v>
      </c>
      <c r="P11" s="802">
        <v>382600</v>
      </c>
    </row>
    <row r="12" spans="1:31" ht="20.100000000000001" customHeight="1" thickBot="1">
      <c r="A12" s="821" t="s">
        <v>19</v>
      </c>
      <c r="B12" s="822" t="s">
        <v>2764</v>
      </c>
      <c r="C12" s="823"/>
      <c r="D12" s="824">
        <v>0</v>
      </c>
      <c r="E12" s="825">
        <f>+'Fin.kiad.-nem része a rend-nek'!K20</f>
        <v>0</v>
      </c>
      <c r="F12" s="825">
        <v>0</v>
      </c>
      <c r="G12" s="825">
        <v>0</v>
      </c>
      <c r="H12" s="825">
        <v>0</v>
      </c>
      <c r="I12" s="828">
        <f t="shared" si="0"/>
        <v>0</v>
      </c>
      <c r="P12" s="802">
        <v>215000</v>
      </c>
    </row>
    <row r="13" spans="1:31" ht="20.100000000000001" hidden="1" customHeight="1">
      <c r="A13" s="821" t="s">
        <v>21</v>
      </c>
      <c r="B13" s="822" t="s">
        <v>2764</v>
      </c>
      <c r="C13" s="833"/>
      <c r="D13" s="824"/>
      <c r="E13" s="825"/>
      <c r="F13" s="826"/>
      <c r="G13" s="826"/>
      <c r="H13" s="827"/>
      <c r="I13" s="828">
        <f t="shared" si="0"/>
        <v>0</v>
      </c>
    </row>
    <row r="14" spans="1:31" ht="20.100000000000001" customHeight="1" thickBot="1">
      <c r="A14" s="814" t="s">
        <v>21</v>
      </c>
      <c r="B14" s="815" t="s">
        <v>3328</v>
      </c>
      <c r="C14" s="816"/>
      <c r="D14" s="829">
        <f>SUM(D15:D26)</f>
        <v>19486245206</v>
      </c>
      <c r="E14" s="830">
        <f>SUM(E15:E26)</f>
        <v>1981982310</v>
      </c>
      <c r="F14" s="831">
        <f>SUM(F15:F26)</f>
        <v>175000000</v>
      </c>
      <c r="G14" s="829">
        <f>SUM(G15:G26)</f>
        <v>0</v>
      </c>
      <c r="H14" s="829">
        <f>SUM(H15:H26)</f>
        <v>0</v>
      </c>
      <c r="I14" s="829">
        <f t="shared" si="0"/>
        <v>21643227516</v>
      </c>
      <c r="P14" s="802">
        <f>SUM(P10:P13)</f>
        <v>1382800</v>
      </c>
      <c r="AA14" s="2266" t="s">
        <v>3827</v>
      </c>
      <c r="AC14" s="2267" t="s">
        <v>3832</v>
      </c>
      <c r="AD14" s="2266" t="s">
        <v>3830</v>
      </c>
      <c r="AE14" s="2266" t="s">
        <v>3831</v>
      </c>
    </row>
    <row r="15" spans="1:31">
      <c r="A15" s="834" t="s">
        <v>23</v>
      </c>
      <c r="B15" s="835" t="s">
        <v>2765</v>
      </c>
      <c r="C15" s="833" t="s">
        <v>2705</v>
      </c>
      <c r="D15" s="836">
        <f>(28947+2650+207917+2945+31581+5653+2310+16516)*1000+9990437+1211973+756117+281400</f>
        <v>310758927</v>
      </c>
      <c r="E15" s="837">
        <f>+'34-35.mell.Ber.,Felúj.'!K14</f>
        <v>4192832</v>
      </c>
      <c r="F15" s="838">
        <v>0</v>
      </c>
      <c r="G15" s="838">
        <v>0</v>
      </c>
      <c r="H15" s="839">
        <v>0</v>
      </c>
      <c r="I15" s="840">
        <f t="shared" si="0"/>
        <v>314951759</v>
      </c>
      <c r="P15" s="802">
        <v>635429</v>
      </c>
      <c r="Z15" s="802">
        <f>+'34-35.mell.Ber.,Felúj.'!P14</f>
        <v>4140000</v>
      </c>
      <c r="AA15" s="802">
        <f>+'34-35.mell.Ber.,Felúj.'!AD14</f>
        <v>281400</v>
      </c>
    </row>
    <row r="16" spans="1:31" ht="22.5">
      <c r="A16" s="821" t="s">
        <v>25</v>
      </c>
      <c r="B16" s="841" t="s">
        <v>3829</v>
      </c>
      <c r="C16" s="833" t="s">
        <v>2706</v>
      </c>
      <c r="D16" s="824">
        <f>(635429+141904+875979+237245+2156061+517987)*1000+24893292+67311916+799175447+330123471+37151466+502710784+885502510+252057317+((10294+34959)*1000+1648421764+137795276+376111999+128918576+32601891)+660826058+174574202</f>
        <v>10668033969</v>
      </c>
      <c r="E16" s="825">
        <f>+'34-35.mell.Ber.,Felúj.'!K27+9176407-F16</f>
        <v>187193657</v>
      </c>
      <c r="F16" s="826">
        <f>175000000</f>
        <v>175000000</v>
      </c>
      <c r="G16" s="826">
        <v>0</v>
      </c>
      <c r="H16" s="827">
        <v>0</v>
      </c>
      <c r="I16" s="828">
        <f t="shared" si="0"/>
        <v>11030227626</v>
      </c>
      <c r="J16" s="802">
        <f>785200+382600+215000+2193250+446000+'7. mell. Önk.összes.bevétele'!K267</f>
        <v>50022050</v>
      </c>
      <c r="P16" s="802">
        <v>141904</v>
      </c>
      <c r="T16" s="802">
        <f>+'34-35.mell.Ber.,Felúj.'!P27</f>
        <v>82525647</v>
      </c>
      <c r="U16" s="802">
        <f>517986888/1000</f>
        <v>517986.88799999998</v>
      </c>
      <c r="Z16" s="802">
        <f>+'34-35.mell.Ber.,Felúj.'!P27</f>
        <v>82525647</v>
      </c>
      <c r="AA16" s="802">
        <f>+'34-35.mell.Ber.,Felúj.'!AD27+'34-35.mell.Ber.,Felúj.'!AD29</f>
        <v>660826058</v>
      </c>
    </row>
    <row r="17" spans="1:31">
      <c r="A17" s="821" t="s">
        <v>27</v>
      </c>
      <c r="B17" s="841" t="str">
        <f>+'34-35.mell.Ber.,Felúj.'!B47</f>
        <v>Cseperedő Bölcsőde építése (Vívó utca 2.)</v>
      </c>
      <c r="C17" s="833" t="s">
        <v>3229</v>
      </c>
      <c r="D17" s="824">
        <f>36195000+93076584+200000+559410031+176082272+1020700</f>
        <v>865984587</v>
      </c>
      <c r="E17" s="825">
        <f>+'34-35.mell.Ber.,Felúj.'!K47+22492556</f>
        <v>105798319</v>
      </c>
      <c r="F17" s="842">
        <v>0</v>
      </c>
      <c r="G17" s="842">
        <v>0</v>
      </c>
      <c r="H17" s="827">
        <v>0</v>
      </c>
      <c r="I17" s="828">
        <f t="shared" si="0"/>
        <v>971782906</v>
      </c>
      <c r="J17" s="802">
        <f>+'37. mell.költségvetésben'!F16</f>
        <v>0</v>
      </c>
      <c r="P17" s="802">
        <f>SUM(P15:P16)</f>
        <v>777333</v>
      </c>
      <c r="V17" s="802">
        <v>36195000</v>
      </c>
      <c r="Z17" s="802">
        <f>+'34-35.mell.Ber.,Felúj.'!P47</f>
        <v>45996545</v>
      </c>
      <c r="AA17" s="802">
        <f>+'34-35.mell.Ber.,Felúj.'!AD47</f>
        <v>559410031</v>
      </c>
      <c r="AD17" s="802">
        <v>1020700</v>
      </c>
      <c r="AE17" s="802">
        <v>0</v>
      </c>
    </row>
    <row r="18" spans="1:31">
      <c r="A18" s="821" t="s">
        <v>29</v>
      </c>
      <c r="B18" s="841" t="str">
        <f>+'34-35.mell.Ber.,Felúj.'!B48</f>
        <v>Kertvárosi energetikai fejlesztési alap</v>
      </c>
      <c r="C18" s="833" t="s">
        <v>3326</v>
      </c>
      <c r="D18" s="824">
        <f>841756799+116004865+99466+45288200+27581266+28305391</f>
        <v>1059035987</v>
      </c>
      <c r="E18" s="843">
        <f>+'34-35.mell.Ber.,Felúj.'!K48+3454407</f>
        <v>103454407</v>
      </c>
      <c r="F18" s="826">
        <v>0</v>
      </c>
      <c r="G18" s="826">
        <v>0</v>
      </c>
      <c r="H18" s="827">
        <v>0</v>
      </c>
      <c r="I18" s="828">
        <f t="shared" si="0"/>
        <v>1162490394</v>
      </c>
      <c r="J18" s="802">
        <f>+'37. mell.költségvetésben'!J92</f>
        <v>0</v>
      </c>
      <c r="Z18" s="802">
        <f>+'34-35.mell.Ber.,Felúj.'!P48+116004865+99466+45288200</f>
        <v>161392531</v>
      </c>
      <c r="AA18" s="802">
        <v>27581266</v>
      </c>
      <c r="AB18" s="802" t="s">
        <v>3828</v>
      </c>
      <c r="AD18" s="802">
        <v>28305391</v>
      </c>
      <c r="AE18" s="802">
        <v>3454407</v>
      </c>
    </row>
    <row r="19" spans="1:31">
      <c r="A19" s="821" t="s">
        <v>31</v>
      </c>
      <c r="B19" s="841" t="s">
        <v>3151</v>
      </c>
      <c r="C19" s="833" t="s">
        <v>2706</v>
      </c>
      <c r="D19" s="824">
        <f>(225038319/1000+42774940/1000+100403607/1000)*1000+3975100+234248824+107017623</f>
        <v>713458413</v>
      </c>
      <c r="E19" s="825">
        <f>+'34-35.mell.Ber.,Felúj.'!K43</f>
        <v>0</v>
      </c>
      <c r="F19" s="826">
        <v>0</v>
      </c>
      <c r="G19" s="826">
        <v>0</v>
      </c>
      <c r="H19" s="827">
        <v>0</v>
      </c>
      <c r="I19" s="828">
        <f t="shared" si="0"/>
        <v>713458413</v>
      </c>
      <c r="T19" s="802">
        <f>+'34-35.mell.Ber.,Felúj.'!P43</f>
        <v>0</v>
      </c>
      <c r="Z19" s="802">
        <f>+'34-35.mell.Ber.,Felúj.'!P43</f>
        <v>0</v>
      </c>
      <c r="AA19" s="802">
        <f>+'34-35.mell.Ber.,Felúj.'!AD43</f>
        <v>107017623</v>
      </c>
    </row>
    <row r="20" spans="1:31" ht="22.5">
      <c r="A20" s="821" t="s">
        <v>33</v>
      </c>
      <c r="B20" s="841" t="s">
        <v>3584</v>
      </c>
      <c r="C20" s="833" t="s">
        <v>3326</v>
      </c>
      <c r="D20" s="1334">
        <f>78795836+378484+1518987330+431381960+32252000</f>
        <v>2061795610</v>
      </c>
      <c r="E20" s="825">
        <f>+'34-35.mell.Ber.,Felúj.'!K61+59240506+1981200</f>
        <v>280630988</v>
      </c>
      <c r="F20" s="826">
        <v>0</v>
      </c>
      <c r="G20" s="826">
        <v>0</v>
      </c>
      <c r="H20" s="827">
        <v>0</v>
      </c>
      <c r="I20" s="828">
        <f t="shared" si="0"/>
        <v>2342426598</v>
      </c>
      <c r="J20" s="802">
        <v>1347548</v>
      </c>
      <c r="K20" s="802">
        <v>74853</v>
      </c>
      <c r="L20" s="802">
        <v>120000</v>
      </c>
      <c r="M20" s="802">
        <f>+'12. mell. Szakrendelő'!F34</f>
        <v>0</v>
      </c>
      <c r="N20" s="1117">
        <f>+(Q28+Q29+S28+S29)/1000</f>
        <v>0</v>
      </c>
      <c r="P20" s="802">
        <v>81202374.719999999</v>
      </c>
      <c r="V20" s="802">
        <v>1066800</v>
      </c>
      <c r="W20" s="802">
        <v>169116947</v>
      </c>
      <c r="X20" s="802">
        <v>5816600</v>
      </c>
      <c r="Z20" s="802">
        <f>+'34-35.mell.Ber.,Felúj.'!P61</f>
        <v>168776371</v>
      </c>
      <c r="AA20" s="802">
        <f>+'34-35.mell.Ber.,Felúj.'!AD61</f>
        <v>1518987330</v>
      </c>
      <c r="AD20" s="802">
        <v>32252000</v>
      </c>
      <c r="AE20" s="802">
        <v>1981200</v>
      </c>
    </row>
    <row r="21" spans="1:31">
      <c r="A21" s="821" t="s">
        <v>35</v>
      </c>
      <c r="B21" s="841" t="s">
        <v>3192</v>
      </c>
      <c r="C21" s="833" t="s">
        <v>3148</v>
      </c>
      <c r="D21" s="824">
        <f>137428174+37079763+3530914+643631331+152579679+2504897+117713533+31782654+770850</f>
        <v>1127021795</v>
      </c>
      <c r="E21" s="825">
        <f>+'34-35.mell.Ber.,Felúj.'!K50</f>
        <v>0</v>
      </c>
      <c r="F21" s="826">
        <v>0</v>
      </c>
      <c r="G21" s="826">
        <v>0</v>
      </c>
      <c r="H21" s="827">
        <v>0</v>
      </c>
      <c r="I21" s="828">
        <f t="shared" si="0"/>
        <v>1127021795</v>
      </c>
      <c r="L21" s="802">
        <v>850000</v>
      </c>
      <c r="M21" s="802">
        <f>+'34-35.mell.Ber.,Felúj.'!K48</f>
        <v>100000000</v>
      </c>
      <c r="V21" s="802">
        <v>3530914</v>
      </c>
      <c r="W21" s="802">
        <v>6324600</v>
      </c>
      <c r="Z21" s="802">
        <f>+'34-35.mell.Ber.,Felúj.'!P50</f>
        <v>0</v>
      </c>
      <c r="AA21" s="802">
        <f>+'34-35.mell.Ber.,Felúj.'!AD50</f>
        <v>117713533</v>
      </c>
      <c r="AD21" s="802">
        <v>770850</v>
      </c>
      <c r="AE21" s="802">
        <v>0</v>
      </c>
    </row>
    <row r="22" spans="1:31" ht="22.5">
      <c r="A22" s="821" t="s">
        <v>37</v>
      </c>
      <c r="B22" s="841" t="str">
        <f>+'34-35.mell.Ber.,Felúj.'!B53</f>
        <v>Kertvárosi Idősek Otthona és Közösségi Központja és kapcsolódó tematikus természetközeli közösségi park</v>
      </c>
      <c r="C22" s="846" t="s">
        <v>2707</v>
      </c>
      <c r="D22" s="837">
        <f>105677615+0+360784552+1801400+1657233638+544864913+3340100</f>
        <v>2673702218</v>
      </c>
      <c r="E22" s="825">
        <f>+'34-35.mell.Ber.,Felúj.'!K53+265930921+2603500</f>
        <v>1253463757</v>
      </c>
      <c r="F22" s="826">
        <v>0</v>
      </c>
      <c r="G22" s="826">
        <v>0</v>
      </c>
      <c r="H22" s="827">
        <v>0</v>
      </c>
      <c r="I22" s="828">
        <f t="shared" si="0"/>
        <v>3927165975</v>
      </c>
      <c r="Z22" s="802">
        <f>+'34-35.mell.Ber.,Felúj.'!P53</f>
        <v>926985005</v>
      </c>
      <c r="AA22" s="802">
        <f>+'34-35.mell.Ber.,Felúj.'!AD53</f>
        <v>1657233638</v>
      </c>
      <c r="AD22" s="802">
        <v>3340100</v>
      </c>
      <c r="AE22" s="802">
        <v>2603500</v>
      </c>
    </row>
    <row r="23" spans="1:31" ht="13.5" thickBot="1">
      <c r="A23" s="821" t="s">
        <v>39</v>
      </c>
      <c r="B23" s="841" t="str">
        <f>+'34-35.mell.Ber.,Felúj.'!B58</f>
        <v>TOP+4.1.1. Egészséges utcák pályázat</v>
      </c>
      <c r="C23" s="833">
        <v>2024</v>
      </c>
      <c r="D23" s="824">
        <f>6453700</f>
        <v>6453700</v>
      </c>
      <c r="E23" s="825">
        <f>+'34-35.mell.Ber.,Felúj.'!K58</f>
        <v>47248350</v>
      </c>
      <c r="F23" s="826">
        <v>0</v>
      </c>
      <c r="G23" s="826">
        <v>0</v>
      </c>
      <c r="H23" s="827">
        <v>0</v>
      </c>
      <c r="I23" s="828">
        <f t="shared" si="0"/>
        <v>53702050</v>
      </c>
      <c r="J23" s="802">
        <f>2383420+175000</f>
        <v>2558420</v>
      </c>
      <c r="Z23" s="802">
        <f>+'34-35.mell.Ber.,Felúj.'!P29</f>
        <v>0</v>
      </c>
      <c r="AA23" s="802">
        <f>+'34-35.mell.Ber.,Felúj.'!AD58</f>
        <v>6453700</v>
      </c>
    </row>
    <row r="24" spans="1:31" ht="13.5" hidden="1" thickBot="1">
      <c r="A24" s="821"/>
      <c r="B24" s="841"/>
      <c r="C24" s="833"/>
      <c r="D24" s="824"/>
      <c r="E24" s="825"/>
      <c r="F24" s="826"/>
      <c r="G24" s="826">
        <v>0</v>
      </c>
      <c r="H24" s="827">
        <f>G24</f>
        <v>0</v>
      </c>
      <c r="I24" s="828">
        <f t="shared" si="0"/>
        <v>0</v>
      </c>
    </row>
    <row r="25" spans="1:31" ht="13.5" hidden="1" thickBot="1">
      <c r="A25" s="821" t="s">
        <v>39</v>
      </c>
      <c r="B25" s="841"/>
      <c r="C25" s="833"/>
      <c r="D25" s="824"/>
      <c r="E25" s="825">
        <v>0</v>
      </c>
      <c r="F25" s="826">
        <v>0</v>
      </c>
      <c r="G25" s="826">
        <v>0</v>
      </c>
      <c r="H25" s="827">
        <v>0</v>
      </c>
      <c r="I25" s="828">
        <f t="shared" si="0"/>
        <v>0</v>
      </c>
    </row>
    <row r="26" spans="1:31" ht="13.5" hidden="1" thickBot="1">
      <c r="A26" s="821" t="s">
        <v>41</v>
      </c>
      <c r="B26" s="841"/>
      <c r="C26" s="833"/>
      <c r="D26" s="824"/>
      <c r="E26" s="825">
        <v>0</v>
      </c>
      <c r="F26" s="826">
        <v>0</v>
      </c>
      <c r="G26" s="826">
        <v>0</v>
      </c>
      <c r="H26" s="827">
        <v>0</v>
      </c>
      <c r="I26" s="828">
        <f t="shared" si="0"/>
        <v>0</v>
      </c>
    </row>
    <row r="27" spans="1:31" ht="20.100000000000001" customHeight="1" thickBot="1">
      <c r="A27" s="821" t="s">
        <v>41</v>
      </c>
      <c r="B27" s="815" t="s">
        <v>3329</v>
      </c>
      <c r="C27" s="816"/>
      <c r="D27" s="829">
        <f>+D28-D28+D29+D30+D31</f>
        <v>203276322</v>
      </c>
      <c r="E27" s="830">
        <f>+E28+E29+E30+E31</f>
        <v>281500000</v>
      </c>
      <c r="F27" s="831">
        <f>+F28+F29+F30+F31</f>
        <v>281500000</v>
      </c>
      <c r="G27" s="829">
        <f>+G28+G29+G30+G31</f>
        <v>0</v>
      </c>
      <c r="H27" s="829">
        <f>+H28+H29+H30+H31</f>
        <v>0</v>
      </c>
      <c r="I27" s="832">
        <f t="shared" si="0"/>
        <v>766276322</v>
      </c>
      <c r="J27" s="844"/>
      <c r="O27" s="3819"/>
      <c r="P27" s="3631"/>
      <c r="Q27" s="3631"/>
      <c r="R27" s="3631"/>
    </row>
    <row r="28" spans="1:31" ht="13.5" hidden="1" thickBot="1">
      <c r="A28" s="821" t="s">
        <v>314</v>
      </c>
      <c r="B28" s="845" t="str">
        <f>+'34-35.mell.Ber.,Felúj.'!B125</f>
        <v>Napsugár Óvoda épületének felújítása</v>
      </c>
      <c r="C28" s="846" t="s">
        <v>3326</v>
      </c>
      <c r="D28" s="837">
        <f>19812000+12000</f>
        <v>19824000</v>
      </c>
      <c r="E28" s="836">
        <f>+'34-35.mell.Ber.,Felúj.'!K125</f>
        <v>0</v>
      </c>
      <c r="F28" s="838">
        <v>0</v>
      </c>
      <c r="G28" s="838">
        <v>0</v>
      </c>
      <c r="H28" s="839">
        <v>0</v>
      </c>
      <c r="I28" s="847">
        <f t="shared" si="0"/>
        <v>19824000</v>
      </c>
      <c r="J28" s="844"/>
      <c r="Q28" s="1117"/>
      <c r="S28" s="1118"/>
      <c r="V28" s="802">
        <v>7372933</v>
      </c>
    </row>
    <row r="29" spans="1:31">
      <c r="A29" s="821" t="s">
        <v>314</v>
      </c>
      <c r="B29" s="845" t="str">
        <f>+'34-35.mell.Ber.,Felúj.'!B150</f>
        <v>Óvodai tornaszoba-és fejlesztőszobák kialakítása</v>
      </c>
      <c r="C29" s="846" t="s">
        <v>3229</v>
      </c>
      <c r="D29" s="848">
        <f>1905000+7620000+191433572+2317750</f>
        <v>203276322</v>
      </c>
      <c r="E29" s="849">
        <f>+'34-35.mell.Ber.,Felúj.'!K150</f>
        <v>0</v>
      </c>
      <c r="F29" s="850"/>
      <c r="G29" s="850">
        <v>0</v>
      </c>
      <c r="H29" s="851">
        <v>0</v>
      </c>
      <c r="I29" s="828">
        <f t="shared" si="0"/>
        <v>203276322</v>
      </c>
      <c r="J29" s="844"/>
      <c r="L29" s="1331">
        <f>4000+53175</f>
        <v>57175</v>
      </c>
      <c r="Q29" s="1117"/>
      <c r="S29" s="1117"/>
      <c r="V29" s="802">
        <v>1905000</v>
      </c>
      <c r="W29" s="802">
        <v>7620000</v>
      </c>
      <c r="Z29">
        <f>+'34-35.mell.Ber.,Felúj.'!P150</f>
        <v>19049989</v>
      </c>
      <c r="AA29" s="802">
        <f>+'34-35.mell.Ber.,Felúj.'!AD150</f>
        <v>191433572</v>
      </c>
      <c r="AD29" s="802">
        <v>2317750</v>
      </c>
      <c r="AE29" s="802">
        <v>0</v>
      </c>
    </row>
    <row r="30" spans="1:31" ht="23.25" thickBot="1">
      <c r="A30" s="821" t="s">
        <v>402</v>
      </c>
      <c r="B30" s="845" t="str">
        <f>+'34-35.mell.Ber.,Felúj.'!B151</f>
        <v>Hunyadvár utcai tüdőgondozó  felújításának utolsó fázisa (EBP program keretében)</v>
      </c>
      <c r="C30" s="846"/>
      <c r="D30" s="1328"/>
      <c r="E30" s="849">
        <f>+'34-35.mell.Ber.,Felúj.'!K124+'34-35.mell.Ber.,Felúj.'!K151/2</f>
        <v>281500000</v>
      </c>
      <c r="F30" s="850">
        <f>+'34-35.mell.Ber.,Felúj.'!K124+'34-35.mell.Ber.,Felúj.'!K151/2</f>
        <v>281500000</v>
      </c>
      <c r="G30" s="850">
        <v>0</v>
      </c>
      <c r="H30" s="851">
        <v>0</v>
      </c>
      <c r="I30" s="852">
        <f t="shared" si="0"/>
        <v>563000000</v>
      </c>
      <c r="J30" s="844">
        <f>+'34-35.mell.Ber.,Felúj.'!P125</f>
        <v>0</v>
      </c>
      <c r="L30" s="1332">
        <v>74853</v>
      </c>
    </row>
    <row r="31" spans="1:31" ht="13.5" hidden="1" thickBot="1">
      <c r="A31" s="821"/>
      <c r="B31" s="845"/>
      <c r="C31" s="846"/>
      <c r="D31" s="848"/>
      <c r="E31" s="849">
        <f>+'34-35.mell.Ber.,Felúj.'!K147</f>
        <v>0</v>
      </c>
      <c r="F31" s="850">
        <v>0</v>
      </c>
      <c r="G31" s="850">
        <v>0</v>
      </c>
      <c r="H31" s="851">
        <v>0</v>
      </c>
      <c r="I31" s="853">
        <f t="shared" si="0"/>
        <v>0</v>
      </c>
      <c r="J31" s="802">
        <f>+'34-35.mell.Ber.,Felúj.'!P147</f>
        <v>0</v>
      </c>
      <c r="L31" s="1332">
        <v>1347548</v>
      </c>
    </row>
    <row r="32" spans="1:31" ht="13.5" thickBot="1">
      <c r="A32" s="821" t="s">
        <v>404</v>
      </c>
      <c r="B32" s="815" t="s">
        <v>3633</v>
      </c>
      <c r="C32" s="816"/>
      <c r="D32" s="819">
        <v>0</v>
      </c>
      <c r="E32" s="817">
        <f>+E33</f>
        <v>0</v>
      </c>
      <c r="F32" s="818">
        <f>+F33</f>
        <v>0</v>
      </c>
      <c r="G32" s="819">
        <f>+G33</f>
        <v>0</v>
      </c>
      <c r="H32" s="819">
        <f>+H33</f>
        <v>0</v>
      </c>
      <c r="I32" s="820">
        <f t="shared" si="0"/>
        <v>0</v>
      </c>
      <c r="L32" s="1332">
        <v>120000</v>
      </c>
    </row>
    <row r="33" spans="1:27" ht="13.5" hidden="1" thickBot="1">
      <c r="A33" s="834"/>
      <c r="B33" s="854"/>
      <c r="C33" s="855"/>
      <c r="D33" s="837"/>
      <c r="E33" s="836"/>
      <c r="F33" s="838"/>
      <c r="G33" s="838"/>
      <c r="H33" s="839"/>
      <c r="I33" s="852">
        <f t="shared" si="0"/>
        <v>0</v>
      </c>
      <c r="L33" s="1332"/>
    </row>
    <row r="34" spans="1:27" ht="20.100000000000001" customHeight="1" thickBot="1">
      <c r="A34" s="3821" t="s">
        <v>3330</v>
      </c>
      <c r="B34" s="3821"/>
      <c r="C34" s="816"/>
      <c r="D34" s="820">
        <f>D7+D10+D14+D27+D32</f>
        <v>19689521528</v>
      </c>
      <c r="E34" s="856">
        <f>E7+E10+E14+E27+E32</f>
        <v>2263482310</v>
      </c>
      <c r="F34" s="857">
        <f>F7+F10+F14+F27+F32</f>
        <v>456500000</v>
      </c>
      <c r="G34" s="857">
        <f>G7+G10+G14+G27+G32</f>
        <v>0</v>
      </c>
      <c r="H34" s="858">
        <f>H7+H10+H14+H27+H32</f>
        <v>0</v>
      </c>
      <c r="I34" s="820">
        <f t="shared" si="0"/>
        <v>22409503838</v>
      </c>
      <c r="K34" s="802">
        <f>+I10+I14+I27</f>
        <v>22409503838</v>
      </c>
      <c r="L34" s="1332">
        <v>850000</v>
      </c>
      <c r="M34" s="802">
        <v>266108</v>
      </c>
      <c r="Z34" s="802">
        <f>+Z15+Z16+Z17+Z18+Z19+Z20+Z21+Z22+Z23+Z29</f>
        <v>1408866088</v>
      </c>
      <c r="AA34" s="802">
        <f>+I14+I27+I32</f>
        <v>22409503838</v>
      </c>
    </row>
    <row r="35" spans="1:27" hidden="1">
      <c r="H35" t="s">
        <v>494</v>
      </c>
      <c r="I35" s="802">
        <f>+I7+I10+I14+I27+I32</f>
        <v>22409503838</v>
      </c>
      <c r="L35" s="1332">
        <v>62410</v>
      </c>
    </row>
    <row r="36" spans="1:27">
      <c r="L36" s="1332">
        <v>507716</v>
      </c>
      <c r="M36" s="802">
        <v>5125</v>
      </c>
    </row>
    <row r="37" spans="1:27" ht="13.5" thickBot="1">
      <c r="L37" s="1333">
        <f>SUM(L29:L36)</f>
        <v>3019702</v>
      </c>
      <c r="M37" s="802">
        <f>+L37+M36</f>
        <v>3024827</v>
      </c>
    </row>
    <row r="94" ht="36.75" customHeight="1"/>
  </sheetData>
  <sheetProtection selectLockedCells="1" selectUnlockedCells="1"/>
  <mergeCells count="11">
    <mergeCell ref="O27:R27"/>
    <mergeCell ref="J10:M10"/>
    <mergeCell ref="A34:B34"/>
    <mergeCell ref="A1:I1"/>
    <mergeCell ref="A2:I2"/>
    <mergeCell ref="A4:A5"/>
    <mergeCell ref="B4:B5"/>
    <mergeCell ref="C4:C5"/>
    <mergeCell ref="D4:D5"/>
    <mergeCell ref="E4:H4"/>
    <mergeCell ref="I4:I5"/>
  </mergeCells>
  <printOptions horizontalCentered="1"/>
  <pageMargins left="0.35433070866141736" right="0.35433070866141736" top="0.70866141732283472" bottom="0.59055118110236227" header="0.35433070866141736" footer="0.35433070866141736"/>
  <pageSetup paperSize="9" scale="73" firstPageNumber="0" orientation="portrait" r:id="rId1"/>
  <headerFooter alignWithMargins="0">
    <oddHeader>&amp;R&amp;"Times New Roman CE,Félkövér dőlt"2. tájékoztató tábla</oddHeader>
    <oddFooter>&amp;C&amp;"Arial CE,Félkövér"&amp;14&amp;P/&amp;N</oddFooter>
  </headerFooter>
  <colBreaks count="1" manualBreakCount="1">
    <brk id="9"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44DF2-43D0-4D36-9182-39BBE8400D7B}">
  <sheetPr>
    <tabColor indexed="50"/>
    <pageSetUpPr fitToPage="1"/>
  </sheetPr>
  <dimension ref="A1:Z49"/>
  <sheetViews>
    <sheetView view="pageBreakPreview" zoomScaleSheetLayoutView="100" workbookViewId="0">
      <pane xSplit="2" ySplit="5" topLeftCell="D6" activePane="bottomRight" state="frozen"/>
      <selection sqref="A1:AC1"/>
      <selection pane="topRight" sqref="A1:AC1"/>
      <selection pane="bottomLeft" sqref="A1:AC1"/>
      <selection pane="bottomRight" sqref="A1:Y1"/>
    </sheetView>
  </sheetViews>
  <sheetFormatPr defaultColWidth="8" defaultRowHeight="12.75"/>
  <cols>
    <col min="1" max="1" width="5.85546875" style="45" customWidth="1"/>
    <col min="2" max="2" width="47.28515625" style="45" customWidth="1"/>
    <col min="3" max="3" width="13.42578125" style="45" hidden="1" customWidth="1"/>
    <col min="4" max="4" width="14.28515625" style="46" hidden="1" customWidth="1"/>
    <col min="5" max="5" width="14" style="47" customWidth="1"/>
    <col min="6" max="7" width="14" style="47" hidden="1" customWidth="1"/>
    <col min="8" max="8" width="14" style="47" customWidth="1"/>
    <col min="9" max="9" width="14" style="47" hidden="1" customWidth="1"/>
    <col min="10" max="10" width="14" style="47" customWidth="1"/>
    <col min="11" max="11" width="13" style="47" customWidth="1"/>
    <col min="12" max="12" width="13.85546875" style="47" hidden="1" customWidth="1"/>
    <col min="13" max="13" width="47.28515625" style="48" customWidth="1"/>
    <col min="14" max="14" width="13.42578125" style="48" hidden="1" customWidth="1"/>
    <col min="15" max="15" width="13.42578125" style="49" hidden="1" customWidth="1"/>
    <col min="16" max="16" width="14" style="47" customWidth="1"/>
    <col min="17" max="18" width="14" style="47" hidden="1" customWidth="1"/>
    <col min="19" max="19" width="14" style="47" customWidth="1"/>
    <col min="20" max="20" width="14" style="47" hidden="1" customWidth="1"/>
    <col min="21" max="21" width="14" style="47" customWidth="1"/>
    <col min="22" max="22" width="13.5703125" style="47" customWidth="1"/>
    <col min="23" max="23" width="4.140625" style="48" hidden="1" customWidth="1"/>
    <col min="24" max="25" width="14.140625" style="48" hidden="1" customWidth="1"/>
    <col min="26" max="26" width="0" style="48" hidden="1" customWidth="1"/>
    <col min="27" max="16384" width="8" style="48"/>
  </cols>
  <sheetData>
    <row r="1" spans="1:26" ht="27" customHeight="1">
      <c r="A1" s="3566" t="s">
        <v>4256</v>
      </c>
      <c r="B1" s="3567"/>
      <c r="C1" s="3567"/>
      <c r="D1" s="3567"/>
      <c r="E1" s="3567"/>
      <c r="F1" s="3567"/>
      <c r="G1" s="3567"/>
      <c r="H1" s="3567"/>
      <c r="I1" s="3567"/>
      <c r="J1" s="3567"/>
      <c r="K1" s="3567"/>
      <c r="L1" s="3567"/>
      <c r="M1" s="3567"/>
      <c r="N1" s="3567"/>
      <c r="O1" s="3567"/>
      <c r="P1" s="3567"/>
      <c r="Q1" s="3567"/>
      <c r="R1" s="3567"/>
      <c r="S1" s="3567"/>
      <c r="T1" s="3567"/>
      <c r="U1" s="3567"/>
      <c r="V1" s="3567"/>
      <c r="W1" s="3568"/>
      <c r="X1" s="3568"/>
      <c r="Y1" s="3568"/>
    </row>
    <row r="2" spans="1:26" ht="23.25" customHeight="1">
      <c r="A2" s="3569" t="s">
        <v>3367</v>
      </c>
      <c r="B2" s="3570"/>
      <c r="C2" s="3570"/>
      <c r="D2" s="3570"/>
      <c r="E2" s="3570"/>
      <c r="F2" s="3570"/>
      <c r="G2" s="3570"/>
      <c r="H2" s="3570"/>
      <c r="I2" s="3570"/>
      <c r="J2" s="3570"/>
      <c r="K2" s="3570"/>
      <c r="L2" s="3570"/>
      <c r="M2" s="3570"/>
      <c r="N2" s="3570"/>
      <c r="O2" s="3570"/>
      <c r="P2" s="3570"/>
      <c r="Q2" s="3570"/>
      <c r="R2" s="3570"/>
      <c r="S2" s="3570"/>
      <c r="T2" s="3570"/>
      <c r="U2" s="3570"/>
      <c r="V2" s="3570"/>
      <c r="W2" s="3571"/>
      <c r="X2" s="3571"/>
      <c r="Y2" s="3571"/>
    </row>
    <row r="3" spans="1:26" s="1058" customFormat="1" ht="18" customHeight="1">
      <c r="A3" s="1870"/>
      <c r="B3" s="1871" t="s">
        <v>2728</v>
      </c>
      <c r="C3" s="1871" t="s">
        <v>2729</v>
      </c>
      <c r="D3" s="1871" t="s">
        <v>2729</v>
      </c>
      <c r="E3" s="1871" t="s">
        <v>2729</v>
      </c>
      <c r="F3" s="1871" t="s">
        <v>2731</v>
      </c>
      <c r="G3" s="1871" t="s">
        <v>2732</v>
      </c>
      <c r="H3" s="1872" t="s">
        <v>2730</v>
      </c>
      <c r="I3" s="1872"/>
      <c r="J3" s="1873" t="s">
        <v>2731</v>
      </c>
      <c r="K3" s="1873" t="s">
        <v>2732</v>
      </c>
      <c r="L3" s="1873" t="s">
        <v>3463</v>
      </c>
      <c r="M3" s="1871" t="s">
        <v>2733</v>
      </c>
      <c r="N3" s="1871" t="s">
        <v>3464</v>
      </c>
      <c r="O3" s="1871" t="s">
        <v>3464</v>
      </c>
      <c r="P3" s="1871" t="s">
        <v>3463</v>
      </c>
      <c r="Q3" s="1871" t="s">
        <v>1707</v>
      </c>
      <c r="R3" s="1871" t="s">
        <v>3923</v>
      </c>
      <c r="S3" s="1871" t="s">
        <v>3464</v>
      </c>
      <c r="T3" s="1871"/>
      <c r="U3" s="1873" t="s">
        <v>3913</v>
      </c>
      <c r="V3" s="2530" t="s">
        <v>3543</v>
      </c>
      <c r="W3" s="2761"/>
      <c r="X3" s="1871" t="s">
        <v>3913</v>
      </c>
      <c r="Y3" s="1871" t="s">
        <v>3924</v>
      </c>
      <c r="Z3" s="3488"/>
    </row>
    <row r="4" spans="1:26" s="50" customFormat="1" ht="96" customHeight="1">
      <c r="A4" s="1870" t="s">
        <v>6</v>
      </c>
      <c r="B4" s="1875" t="s">
        <v>3355</v>
      </c>
      <c r="C4" s="1875" t="str">
        <f>+'1. mell.ÖSSZEVONT_MÉRLEG'!C5</f>
        <v>2024. évi eredeti előirányzat
forintban</v>
      </c>
      <c r="D4" s="2557" t="str">
        <f>+'1. mell.ÖSSZEVONT_MÉRLEG'!D5</f>
        <v>2024. évi teljesítés forintban</v>
      </c>
      <c r="E4" s="1875" t="str">
        <f>+'1. mell.ÖSSZEVONT_MÉRLEG'!E5</f>
        <v>2025. évi eredeti előirányzat forintban</v>
      </c>
      <c r="F4" s="1875" t="str">
        <f>+'1. mell.ÖSSZEVONT_MÉRLEG'!F5</f>
        <v>2025. évi I. számú módosított előirányzat
forintban</v>
      </c>
      <c r="G4" s="1875" t="str">
        <f>+'1. mell.ÖSSZEVONT_MÉRLEG'!G5</f>
        <v>2025. évi II. számú módosított előirányzat forintban</v>
      </c>
      <c r="H4" s="1875" t="str">
        <f>+'1. mell.ÖSSZEVONT_MÉRLEG'!H5</f>
        <v>2025. évi III. számú módosított előirányzat forintban</v>
      </c>
      <c r="I4" s="1875" t="str">
        <f>+'1. mell.ÖSSZEVONT_MÉRLEG'!I5</f>
        <v>2025. évi IV. számú módosított előirányzat forintban</v>
      </c>
      <c r="J4" s="1876" t="str">
        <f>+'1. mell.ÖSSZEVONT_MÉRLEG'!J5</f>
        <v>2025. évi
teljesítés forintban</v>
      </c>
      <c r="K4" s="1877" t="str">
        <f>+'1. mell.ÖSSZEVONT_MÉRLEG'!K5</f>
        <v xml:space="preserve"> 2025. évi teljesítés / 2025. évi III. számú módosított előirányzat</v>
      </c>
      <c r="L4" s="3168" t="s">
        <v>4038</v>
      </c>
      <c r="M4" s="1875" t="s">
        <v>3356</v>
      </c>
      <c r="N4" s="1875" t="str">
        <f t="shared" ref="N4:V4" si="0">+C4</f>
        <v>2024. évi eredeti előirányzat
forintban</v>
      </c>
      <c r="O4" s="2557" t="str">
        <f t="shared" si="0"/>
        <v>2024. évi teljesítés forintban</v>
      </c>
      <c r="P4" s="1875" t="str">
        <f t="shared" si="0"/>
        <v>2025. évi eredeti előirányzat forintban</v>
      </c>
      <c r="Q4" s="1875" t="str">
        <f t="shared" si="0"/>
        <v>2025. évi I. számú módosított előirányzat
forintban</v>
      </c>
      <c r="R4" s="1875" t="str">
        <f t="shared" si="0"/>
        <v>2025. évi II. számú módosított előirányzat forintban</v>
      </c>
      <c r="S4" s="1875" t="str">
        <f t="shared" si="0"/>
        <v>2025. évi III. számú módosított előirányzat forintban</v>
      </c>
      <c r="T4" s="1875" t="str">
        <f t="shared" si="0"/>
        <v>2025. évi IV. számú módosított előirányzat forintban</v>
      </c>
      <c r="U4" s="1876" t="str">
        <f t="shared" si="0"/>
        <v>2025. évi
teljesítés forintban</v>
      </c>
      <c r="V4" s="1877" t="str">
        <f t="shared" si="0"/>
        <v xml:space="preserve"> 2025. évi teljesítés / 2025. évi III. számú módosított előirányzat</v>
      </c>
      <c r="W4" s="2761"/>
      <c r="X4" s="1875" t="s">
        <v>3914</v>
      </c>
      <c r="Y4" s="1960" t="str">
        <f>+L4</f>
        <v>Bevételi előirányzat-módosítások, előirányzat-átcsoportosítások összegszerű változásai a III. módosításnál</v>
      </c>
      <c r="Z4" s="3489"/>
    </row>
    <row r="5" spans="1:26" s="51" customFormat="1" ht="12" hidden="1" customHeight="1" thickBot="1">
      <c r="A5" s="1878"/>
      <c r="B5" s="1878"/>
      <c r="C5" s="1874"/>
      <c r="D5" s="2558"/>
      <c r="E5" s="1879"/>
      <c r="F5" s="1879"/>
      <c r="G5" s="1879"/>
      <c r="H5" s="1879"/>
      <c r="I5" s="1879"/>
      <c r="J5" s="1880"/>
      <c r="K5" s="1881"/>
      <c r="L5" s="1881"/>
      <c r="M5" s="1878"/>
      <c r="N5" s="1874"/>
      <c r="O5" s="2558"/>
      <c r="P5" s="1878"/>
      <c r="Q5" s="1878"/>
      <c r="R5" s="1878"/>
      <c r="S5" s="1878"/>
      <c r="T5" s="1878"/>
      <c r="U5" s="1880"/>
      <c r="V5" s="3487"/>
      <c r="W5" s="2761"/>
      <c r="X5" s="2543"/>
      <c r="Y5" s="2543"/>
      <c r="Z5" s="1878"/>
    </row>
    <row r="6" spans="1:26" ht="26.25" customHeight="1">
      <c r="A6" s="1882" t="s">
        <v>12</v>
      </c>
      <c r="B6" s="1883" t="s">
        <v>3384</v>
      </c>
      <c r="C6" s="997">
        <f>+'5. mell.Önk-i mérleg'!C7</f>
        <v>6535171723</v>
      </c>
      <c r="D6" s="2559">
        <f>+'5. mell.Önk-i mérleg'!D7</f>
        <v>6378941324</v>
      </c>
      <c r="E6" s="997">
        <f>+'5. mell.Önk-i mérleg'!E7</f>
        <v>6635944194</v>
      </c>
      <c r="F6" s="997">
        <f>+'5. mell.Önk-i mérleg'!F7</f>
        <v>6691653646</v>
      </c>
      <c r="G6" s="997">
        <f>+'5. mell.Önk-i mérleg'!G7</f>
        <v>6877928836</v>
      </c>
      <c r="H6" s="997">
        <f>+'5. mell.Önk-i mérleg'!H7</f>
        <v>7130846423</v>
      </c>
      <c r="I6" s="997">
        <f>+'5. mell.Önk-i mérleg'!I7</f>
        <v>7130846423</v>
      </c>
      <c r="J6" s="998">
        <f>+'5. mell.Önk-i mérleg'!J7</f>
        <v>7130846423</v>
      </c>
      <c r="K6" s="1884">
        <f>+J6/H6</f>
        <v>1</v>
      </c>
      <c r="L6" s="997">
        <f>+H6-G6</f>
        <v>252917587</v>
      </c>
      <c r="M6" s="1883" t="s">
        <v>9</v>
      </c>
      <c r="N6" s="997">
        <f>+'5. mell.Önk-i mérleg'!C93+'8. mell. Intézmények összesen'!D42</f>
        <v>10485947028</v>
      </c>
      <c r="O6" s="2559">
        <f>+'5. mell.Önk-i mérleg'!D93+'8. mell. Intézmények összesen'!E42</f>
        <v>10501562085</v>
      </c>
      <c r="P6" s="997">
        <f>+'5. mell.Önk-i mérleg'!E93+'8. mell. Intézmények összesen'!F42</f>
        <v>12285987880</v>
      </c>
      <c r="Q6" s="997">
        <f>+'5. mell.Önk-i mérleg'!F93+'8. mell. Intézmények összesen'!G42</f>
        <v>12340165771</v>
      </c>
      <c r="R6" s="997">
        <f>+'5. mell.Önk-i mérleg'!G93+'8. mell. Intézmények összesen'!H42</f>
        <v>12369047063</v>
      </c>
      <c r="S6" s="997">
        <f>+'5. mell.Önk-i mérleg'!H93+'8. mell. Intézmények összesen'!I42</f>
        <v>12523275716</v>
      </c>
      <c r="T6" s="997">
        <f>+'5. mell.Önk-i mérleg'!I93+'8. mell. Intézmények összesen'!J42</f>
        <v>12523275716</v>
      </c>
      <c r="U6" s="998">
        <f>+'5. mell.Önk-i mérleg'!J93+'8. mell. Intézmények összesen'!K42</f>
        <v>11811532593</v>
      </c>
      <c r="V6" s="1884">
        <f>+U6/S6</f>
        <v>0.94316637762030087</v>
      </c>
      <c r="W6" s="2761"/>
      <c r="X6" s="1251">
        <f>+G6-F6</f>
        <v>186275190</v>
      </c>
      <c r="Y6" s="997">
        <f>+S6-R6</f>
        <v>154228653</v>
      </c>
      <c r="Z6" s="3490"/>
    </row>
    <row r="7" spans="1:26" ht="12.95" customHeight="1">
      <c r="A7" s="1882" t="s">
        <v>14</v>
      </c>
      <c r="B7" s="1883" t="s">
        <v>3383</v>
      </c>
      <c r="C7" s="997">
        <f>+'5. mell.Önk-i mérleg'!C14+'8. mell. Intézmények összesen'!D23</f>
        <v>3089893860</v>
      </c>
      <c r="D7" s="2559">
        <f>+'5. mell.Önk-i mérleg'!D14+'8. mell. Intézmények összesen'!E23</f>
        <v>3154863072</v>
      </c>
      <c r="E7" s="997">
        <f>+'5. mell.Önk-i mérleg'!E14+'8. mell. Intézmények összesen'!F23</f>
        <v>3116514628</v>
      </c>
      <c r="F7" s="997">
        <f>+'5. mell.Önk-i mérleg'!F14+'8. mell. Intézmények összesen'!G23</f>
        <v>3475758125</v>
      </c>
      <c r="G7" s="997">
        <f>+'5. mell.Önk-i mérleg'!G14+'8. mell. Intézmények összesen'!H23</f>
        <v>3289482935</v>
      </c>
      <c r="H7" s="997">
        <f>+'5. mell.Önk-i mérleg'!H14+'8. mell. Intézmények összesen'!I23</f>
        <v>3378019406</v>
      </c>
      <c r="I7" s="997">
        <f>+'5. mell.Önk-i mérleg'!I14+'8. mell. Intézmények összesen'!J23</f>
        <v>3378019406</v>
      </c>
      <c r="J7" s="998">
        <f>+'5. mell.Önk-i mérleg'!J14+'8. mell. Intézmények összesen'!K23</f>
        <v>3378019406</v>
      </c>
      <c r="K7" s="1884">
        <f t="shared" ref="K7:K24" si="1">+J7/H7</f>
        <v>1</v>
      </c>
      <c r="L7" s="997">
        <f t="shared" ref="L7:L33" si="2">+H7-G7</f>
        <v>88536471</v>
      </c>
      <c r="M7" s="1883" t="s">
        <v>8</v>
      </c>
      <c r="N7" s="997">
        <f>+'5. mell.Önk-i mérleg'!C94+'8. mell. Intézmények összesen'!D43</f>
        <v>1579443315</v>
      </c>
      <c r="O7" s="2559">
        <f>+'5. mell.Önk-i mérleg'!D94+'8. mell. Intézmények összesen'!E43</f>
        <v>1450756530</v>
      </c>
      <c r="P7" s="997">
        <f>+'5. mell.Önk-i mérleg'!E94+'8. mell. Intézmények összesen'!F43</f>
        <v>1810991316</v>
      </c>
      <c r="Q7" s="997">
        <f>+'5. mell.Önk-i mérleg'!F94+'8. mell. Intézmények összesen'!G43</f>
        <v>1823023570</v>
      </c>
      <c r="R7" s="997">
        <f>+'5. mell.Önk-i mérleg'!G94+'8. mell. Intézmények összesen'!H43</f>
        <v>1827286260</v>
      </c>
      <c r="S7" s="997">
        <f>+'5. mell.Önk-i mérleg'!H94+'8. mell. Intézmények összesen'!I43</f>
        <v>1814321250</v>
      </c>
      <c r="T7" s="997">
        <f>+'5. mell.Önk-i mérleg'!I94+'8. mell. Intézmények összesen'!J43</f>
        <v>1814321250</v>
      </c>
      <c r="U7" s="998">
        <f>+'5. mell.Önk-i mérleg'!J94+'8. mell. Intézmények összesen'!K43</f>
        <v>1626405454</v>
      </c>
      <c r="V7" s="1884">
        <f>+U7/S7</f>
        <v>0.89642639306572636</v>
      </c>
      <c r="W7" s="2761"/>
      <c r="X7" s="1251">
        <f t="shared" ref="X7:X31" si="3">+G7-F7</f>
        <v>-186275190</v>
      </c>
      <c r="Y7" s="997">
        <f t="shared" ref="Y7:Y31" si="4">+S7-R7</f>
        <v>-12965010</v>
      </c>
      <c r="Z7" s="3490"/>
    </row>
    <row r="8" spans="1:26" ht="12.95" customHeight="1">
      <c r="A8" s="1882" t="s">
        <v>15</v>
      </c>
      <c r="B8" s="1883" t="s">
        <v>392</v>
      </c>
      <c r="C8" s="997">
        <f>+'5. mell.Önk-i mérleg'!C20+'8. mell. Intézmények összesen'!D26</f>
        <v>0</v>
      </c>
      <c r="D8" s="2559">
        <f>+'5. mell.Önk-i mérleg'!D20+'8. mell. Intézmények összesen'!E26</f>
        <v>0</v>
      </c>
      <c r="E8" s="997">
        <f>+'5. mell.Önk-i mérleg'!E20+'8. mell. Intézmények összesen'!F26</f>
        <v>0</v>
      </c>
      <c r="F8" s="997">
        <f>+'5. mell.Önk-i mérleg'!F20+'8. mell. Intézmények összesen'!G26</f>
        <v>0</v>
      </c>
      <c r="G8" s="997">
        <f>+'5. mell.Önk-i mérleg'!G20+'8. mell. Intézmények összesen'!H26</f>
        <v>0</v>
      </c>
      <c r="H8" s="997">
        <f>+'5. mell.Önk-i mérleg'!H20+'8. mell. Intézmények összesen'!I26</f>
        <v>0</v>
      </c>
      <c r="I8" s="997">
        <f>+'5. mell.Önk-i mérleg'!I20+'8. mell. Intézmények összesen'!J26</f>
        <v>0</v>
      </c>
      <c r="J8" s="998">
        <f>+'5. mell.Önk-i mérleg'!J20+'8. mell. Intézmények összesen'!K26</f>
        <v>0</v>
      </c>
      <c r="K8" s="1884"/>
      <c r="L8" s="997">
        <f t="shared" si="2"/>
        <v>0</v>
      </c>
      <c r="M8" s="1883" t="s">
        <v>81</v>
      </c>
      <c r="N8" s="997">
        <f>+'5. mell.Önk-i mérleg'!C95+'8. mell. Intézmények összesen'!D44</f>
        <v>6258522849.1900005</v>
      </c>
      <c r="O8" s="2559">
        <f>+'5. mell.Önk-i mérleg'!D95+'8. mell. Intézmények összesen'!E44</f>
        <v>7553150942</v>
      </c>
      <c r="P8" s="997">
        <f>+'5. mell.Önk-i mérleg'!E95+'8. mell. Intézmények összesen'!F44</f>
        <v>6467211394</v>
      </c>
      <c r="Q8" s="997">
        <f>+'5. mell.Önk-i mérleg'!F95+'8. mell. Intézmények összesen'!G44</f>
        <v>6839183716</v>
      </c>
      <c r="R8" s="997">
        <f>+'5. mell.Önk-i mérleg'!G95+'8. mell. Intézmények összesen'!H44</f>
        <v>7052593863</v>
      </c>
      <c r="S8" s="997">
        <f>+'5. mell.Önk-i mérleg'!H95+'8. mell. Intézmények összesen'!I44</f>
        <v>7632409727</v>
      </c>
      <c r="T8" s="997">
        <f>+'5. mell.Önk-i mérleg'!I95+'8. mell. Intézmények összesen'!J44</f>
        <v>7632409727</v>
      </c>
      <c r="U8" s="998">
        <f>+'5. mell.Önk-i mérleg'!J95+'8. mell. Intézmények összesen'!K44</f>
        <v>6393530369</v>
      </c>
      <c r="V8" s="1884">
        <f>+U8/S8</f>
        <v>0.83768175421487034</v>
      </c>
      <c r="W8" s="2761"/>
      <c r="X8" s="1251">
        <f t="shared" si="3"/>
        <v>0</v>
      </c>
      <c r="Y8" s="997">
        <f t="shared" si="4"/>
        <v>579815864</v>
      </c>
      <c r="Z8" s="3490"/>
    </row>
    <row r="9" spans="1:26" ht="12.95" customHeight="1">
      <c r="A9" s="1882" t="s">
        <v>17</v>
      </c>
      <c r="B9" s="1883" t="s">
        <v>393</v>
      </c>
      <c r="C9" s="997">
        <f>+'5. mell.Önk-i mérleg'!C28+'8. mell. Intézmények összesen'!D31</f>
        <v>11841918010</v>
      </c>
      <c r="D9" s="2559">
        <f>+'5. mell.Önk-i mérleg'!D28+'8. mell. Intézmények összesen'!E31</f>
        <v>11553038482</v>
      </c>
      <c r="E9" s="997">
        <f>+'5. mell.Önk-i mérleg'!E28+'8. mell. Intézmények összesen'!F31</f>
        <v>12039227919</v>
      </c>
      <c r="F9" s="997">
        <f>+'5. mell.Önk-i mérleg'!F28+'8. mell. Intézmények összesen'!G31</f>
        <v>12039227919</v>
      </c>
      <c r="G9" s="997">
        <f>+'5. mell.Önk-i mérleg'!G28+'8. mell. Intézmények összesen'!H31</f>
        <v>12039227919</v>
      </c>
      <c r="H9" s="997">
        <f>+'5. mell.Önk-i mérleg'!H28+'8. mell. Intézmények összesen'!I31</f>
        <v>12429256040</v>
      </c>
      <c r="I9" s="997">
        <f>+'5. mell.Önk-i mérleg'!I28+'8. mell. Intézmények összesen'!J31</f>
        <v>12429256040</v>
      </c>
      <c r="J9" s="998">
        <f>+'5. mell.Önk-i mérleg'!J28+'8. mell. Intézmények összesen'!K31</f>
        <v>12429256040</v>
      </c>
      <c r="K9" s="1884">
        <f t="shared" si="1"/>
        <v>1</v>
      </c>
      <c r="L9" s="997">
        <f t="shared" si="2"/>
        <v>390028121</v>
      </c>
      <c r="M9" s="1883" t="s">
        <v>318</v>
      </c>
      <c r="N9" s="997">
        <f>+'5. mell.Önk-i mérleg'!C96+'8. mell. Intézmények összesen'!D45</f>
        <v>166570000</v>
      </c>
      <c r="O9" s="2559">
        <f>+'5. mell.Önk-i mérleg'!D96+'8. mell. Intézmények összesen'!E45</f>
        <v>96255152</v>
      </c>
      <c r="P9" s="997">
        <f>+'5. mell.Önk-i mérleg'!E96+'8. mell. Intézmények összesen'!F45</f>
        <v>166570000</v>
      </c>
      <c r="Q9" s="997">
        <f>+'5. mell.Önk-i mérleg'!F96+'8. mell. Intézmények összesen'!G45</f>
        <v>166370000</v>
      </c>
      <c r="R9" s="997">
        <f>+'5. mell.Önk-i mérleg'!G96+'8. mell. Intézmények összesen'!H45</f>
        <v>166370000</v>
      </c>
      <c r="S9" s="997">
        <f>+'5. mell.Önk-i mérleg'!H96+'8. mell. Intézmények összesen'!I45</f>
        <v>162174054</v>
      </c>
      <c r="T9" s="997">
        <f>+'5. mell.Önk-i mérleg'!I96+'8. mell. Intézmények összesen'!J45</f>
        <v>162174054</v>
      </c>
      <c r="U9" s="998">
        <f>+'5. mell.Önk-i mérleg'!J96+'8. mell. Intézmények összesen'!K45</f>
        <v>91481574</v>
      </c>
      <c r="V9" s="1884">
        <f>+U9/S9</f>
        <v>0.5640950062209088</v>
      </c>
      <c r="W9" s="2761"/>
      <c r="X9" s="1251">
        <f t="shared" si="3"/>
        <v>0</v>
      </c>
      <c r="Y9" s="997">
        <f t="shared" si="4"/>
        <v>-4195946</v>
      </c>
      <c r="Z9" s="3490"/>
    </row>
    <row r="10" spans="1:26" ht="12.95" customHeight="1">
      <c r="A10" s="1882" t="s">
        <v>19</v>
      </c>
      <c r="B10" s="1883" t="s">
        <v>153</v>
      </c>
      <c r="C10" s="997">
        <f>+'5. mell.Önk-i mérleg'!C53+'8. mell. Intézmények összesen'!D29</f>
        <v>27253713</v>
      </c>
      <c r="D10" s="2559">
        <f>+'5. mell.Önk-i mérleg'!D53+'8. mell. Intézmények összesen'!E29</f>
        <v>37625131</v>
      </c>
      <c r="E10" s="997">
        <f>+'5. mell.Önk-i mérleg'!E53+'8. mell. Intézmények összesen'!F29</f>
        <v>16328120</v>
      </c>
      <c r="F10" s="997">
        <f>+'5. mell.Önk-i mérleg'!F53+'8. mell. Intézmények összesen'!G29</f>
        <v>16328120</v>
      </c>
      <c r="G10" s="997">
        <f>+'5. mell.Önk-i mérleg'!G53+'8. mell. Intézmények összesen'!H29</f>
        <v>16328120</v>
      </c>
      <c r="H10" s="997">
        <f>+'5. mell.Önk-i mérleg'!H53+'8. mell. Intézmények összesen'!I29</f>
        <v>15909030</v>
      </c>
      <c r="I10" s="997">
        <f>+'5. mell.Önk-i mérleg'!I53+'8. mell. Intézmények összesen'!J29</f>
        <v>15909030</v>
      </c>
      <c r="J10" s="998">
        <f>+'5. mell.Önk-i mérleg'!J53+'8. mell. Intézmények összesen'!K29</f>
        <v>15909030</v>
      </c>
      <c r="K10" s="1884">
        <f t="shared" si="1"/>
        <v>1</v>
      </c>
      <c r="L10" s="997">
        <f t="shared" si="2"/>
        <v>-419090</v>
      </c>
      <c r="M10" s="1883" t="s">
        <v>151</v>
      </c>
      <c r="N10" s="997">
        <f>+'5. mell.Önk-i mérleg'!C97+'8. mell. Intézmények összesen'!D46-'5. mell.Önk-i mérleg'!C105</f>
        <v>3449355178</v>
      </c>
      <c r="O10" s="2559">
        <f>+'5. mell.Önk-i mérleg'!D97+'8. mell. Intézmények összesen'!E46-'5. mell.Önk-i mérleg'!D105</f>
        <v>3748698726</v>
      </c>
      <c r="P10" s="997">
        <f>+'5. mell.Önk-i mérleg'!E97+'8. mell. Intézmények összesen'!F46-'5. mell.Önk-i mérleg'!E105</f>
        <v>4027146168</v>
      </c>
      <c r="Q10" s="997">
        <f>+'5. mell.Önk-i mérleg'!F97+'8. mell. Intézmények összesen'!G46-'5. mell.Önk-i mérleg'!F105</f>
        <v>4347234582</v>
      </c>
      <c r="R10" s="997">
        <f>+'5. mell.Önk-i mérleg'!G97+'8. mell. Intézmények összesen'!H46-'5. mell.Önk-i mérleg'!G105</f>
        <v>4339067591</v>
      </c>
      <c r="S10" s="997">
        <f>+'5. mell.Önk-i mérleg'!H97+'8. mell. Intézmények összesen'!I46-'5. mell.Önk-i mérleg'!H105</f>
        <v>4427746422</v>
      </c>
      <c r="T10" s="997">
        <f>+'5. mell.Önk-i mérleg'!I97+'8. mell. Intézmények összesen'!J46-'5. mell.Önk-i mérleg'!I105</f>
        <v>4427746422</v>
      </c>
      <c r="U10" s="998">
        <f>+'5. mell.Önk-i mérleg'!J97+'8. mell. Intézmények összesen'!K46-'5. mell.Önk-i mérleg'!J105</f>
        <v>4375378634</v>
      </c>
      <c r="V10" s="1884">
        <f>+U10/S10</f>
        <v>0.98817281230474219</v>
      </c>
      <c r="W10" s="2761"/>
      <c r="X10" s="1251">
        <f t="shared" si="3"/>
        <v>0</v>
      </c>
      <c r="Y10" s="997">
        <f t="shared" si="4"/>
        <v>88678831</v>
      </c>
      <c r="Z10" s="3490"/>
    </row>
    <row r="11" spans="1:26" ht="12.95" customHeight="1">
      <c r="A11" s="1882" t="s">
        <v>21</v>
      </c>
      <c r="B11" s="1883" t="s">
        <v>394</v>
      </c>
      <c r="C11" s="997">
        <f>+'5. mell.Önk-i mérleg'!C57</f>
        <v>11400000</v>
      </c>
      <c r="D11" s="2559">
        <f>+'5. mell.Önk-i mérleg'!D57</f>
        <v>22170131</v>
      </c>
      <c r="E11" s="997">
        <f>+'5. mell.Önk-i mérleg'!E57</f>
        <v>0</v>
      </c>
      <c r="F11" s="997">
        <f>+'5. mell.Önk-i mérleg'!F57</f>
        <v>0</v>
      </c>
      <c r="G11" s="997">
        <f>+'5. mell.Önk-i mérleg'!G57</f>
        <v>0</v>
      </c>
      <c r="H11" s="997">
        <f>+'5. mell.Önk-i mérleg'!H57</f>
        <v>0</v>
      </c>
      <c r="I11" s="997">
        <f>+'5. mell.Önk-i mérleg'!I57</f>
        <v>0</v>
      </c>
      <c r="J11" s="998">
        <f>+'5. mell.Önk-i mérleg'!J57</f>
        <v>0</v>
      </c>
      <c r="K11" s="1884"/>
      <c r="L11" s="997">
        <f t="shared" si="2"/>
        <v>0</v>
      </c>
      <c r="M11" s="1885" t="s">
        <v>395</v>
      </c>
      <c r="N11" s="997"/>
      <c r="O11" s="2559"/>
      <c r="P11" s="997"/>
      <c r="Q11" s="997"/>
      <c r="R11" s="997"/>
      <c r="S11" s="997"/>
      <c r="T11" s="997"/>
      <c r="U11" s="998"/>
      <c r="V11" s="1884"/>
      <c r="W11" s="2761"/>
      <c r="X11" s="1251">
        <f t="shared" si="3"/>
        <v>0</v>
      </c>
      <c r="Y11" s="997">
        <f t="shared" si="4"/>
        <v>0</v>
      </c>
      <c r="Z11" s="3490"/>
    </row>
    <row r="12" spans="1:26" ht="12.95" customHeight="1">
      <c r="A12" s="1882" t="s">
        <v>23</v>
      </c>
      <c r="B12" s="1883" t="s">
        <v>149</v>
      </c>
      <c r="C12" s="997">
        <f>+'5. mell.Önk-i mérleg'!C35+'8. mell. Intézmények összesen'!D8</f>
        <v>2976871201</v>
      </c>
      <c r="D12" s="2559">
        <f>+'5. mell.Önk-i mérleg'!D35+'8. mell. Intézmények összesen'!E8</f>
        <v>3110906519</v>
      </c>
      <c r="E12" s="997">
        <f>+'5. mell.Önk-i mérleg'!E35+'8. mell. Intézmények összesen'!F8</f>
        <v>2723483039.26968</v>
      </c>
      <c r="F12" s="997">
        <f>+'5. mell.Önk-i mérleg'!F35+'8. mell. Intézmények összesen'!G8</f>
        <v>2786097471.26968</v>
      </c>
      <c r="G12" s="997">
        <f>+'5. mell.Önk-i mérleg'!G35+'8. mell. Intézmények összesen'!H8</f>
        <v>2847934722.26968</v>
      </c>
      <c r="H12" s="997">
        <f>+'5. mell.Önk-i mérleg'!H35+'8. mell. Intézmények összesen'!I8</f>
        <v>2882380520.26968</v>
      </c>
      <c r="I12" s="997">
        <f>+'5. mell.Önk-i mérleg'!I35+'8. mell. Intézmények összesen'!J8</f>
        <v>2882380520.26968</v>
      </c>
      <c r="J12" s="998">
        <f>+'5. mell.Önk-i mérleg'!J35+'8. mell. Intézmények összesen'!K8</f>
        <v>2882380520</v>
      </c>
      <c r="K12" s="1884">
        <f t="shared" si="1"/>
        <v>0.9999999999064384</v>
      </c>
      <c r="L12" s="997">
        <f t="shared" si="2"/>
        <v>34445798</v>
      </c>
      <c r="M12" s="1886" t="str">
        <f>+'33. mell. E.műk.c.kiad.'!B88</f>
        <v>Közmű-és energetikai céltartalék</v>
      </c>
      <c r="N12" s="997">
        <f>+'33. mell. E.műk.c.kiad.'!I88</f>
        <v>25000000</v>
      </c>
      <c r="O12" s="2559">
        <f>+'33. mell. E.műk.c.kiad.'!J88</f>
        <v>0</v>
      </c>
      <c r="P12" s="997">
        <f>+'33. mell. E.műk.c.kiad.'!K88</f>
        <v>25000000</v>
      </c>
      <c r="Q12" s="997">
        <f>+'33. mell. E.műk.c.kiad.'!L88</f>
        <v>23270417</v>
      </c>
      <c r="R12" s="997">
        <f>+'33. mell. E.műk.c.kiad.'!M88</f>
        <v>17882487</v>
      </c>
      <c r="S12" s="997">
        <f>+'33. mell. E.műk.c.kiad.'!N88</f>
        <v>7277922</v>
      </c>
      <c r="T12" s="997">
        <f>+'33. mell. E.műk.c.kiad.'!O88</f>
        <v>7277922</v>
      </c>
      <c r="U12" s="998">
        <f>+'33. mell. E.műk.c.kiad.'!P88</f>
        <v>0</v>
      </c>
      <c r="V12" s="1884">
        <f t="shared" ref="V12:V18" si="5">+U12/S12</f>
        <v>0</v>
      </c>
      <c r="W12" s="2761"/>
      <c r="X12" s="1251">
        <f t="shared" si="3"/>
        <v>61837251</v>
      </c>
      <c r="Y12" s="997">
        <f t="shared" si="4"/>
        <v>-10604565</v>
      </c>
      <c r="Z12" s="3490"/>
    </row>
    <row r="13" spans="1:26" ht="12.95" customHeight="1">
      <c r="A13" s="1882" t="s">
        <v>25</v>
      </c>
      <c r="B13" s="1886"/>
      <c r="C13" s="997"/>
      <c r="D13" s="2559"/>
      <c r="E13" s="997"/>
      <c r="F13" s="997"/>
      <c r="G13" s="997"/>
      <c r="H13" s="997"/>
      <c r="I13" s="997"/>
      <c r="J13" s="998"/>
      <c r="K13" s="1884"/>
      <c r="L13" s="997">
        <f t="shared" si="2"/>
        <v>0</v>
      </c>
      <c r="M13" s="1886" t="str">
        <f>+'33. mell. E.műk.c.kiad.'!B89</f>
        <v>Intézmények részére rendelkezésre álló működési tartalék</v>
      </c>
      <c r="N13" s="997">
        <f>+'33. mell. E.műk.c.kiad.'!I89</f>
        <v>50000000</v>
      </c>
      <c r="O13" s="2559">
        <f>+'33. mell. E.műk.c.kiad.'!J89</f>
        <v>0</v>
      </c>
      <c r="P13" s="997">
        <f>+'33. mell. E.műk.c.kiad.'!K89</f>
        <v>50000000</v>
      </c>
      <c r="Q13" s="997">
        <f>+'33. mell. E.műk.c.kiad.'!L89</f>
        <v>32139284</v>
      </c>
      <c r="R13" s="997">
        <f>+'33. mell. E.műk.c.kiad.'!M89</f>
        <v>19756933</v>
      </c>
      <c r="S13" s="997">
        <f>+'33. mell. E.műk.c.kiad.'!N89</f>
        <v>74001520</v>
      </c>
      <c r="T13" s="997">
        <f>+'33. mell. E.műk.c.kiad.'!O89</f>
        <v>74001520</v>
      </c>
      <c r="U13" s="998">
        <f>+'33. mell. E.műk.c.kiad.'!P89</f>
        <v>0</v>
      </c>
      <c r="V13" s="1884">
        <f t="shared" si="5"/>
        <v>0</v>
      </c>
      <c r="W13" s="2761"/>
      <c r="X13" s="1251">
        <f t="shared" si="3"/>
        <v>0</v>
      </c>
      <c r="Y13" s="997">
        <f t="shared" si="4"/>
        <v>54244587</v>
      </c>
      <c r="Z13" s="3490"/>
    </row>
    <row r="14" spans="1:26" ht="12.95" customHeight="1">
      <c r="A14" s="1882" t="s">
        <v>27</v>
      </c>
      <c r="B14" s="1887"/>
      <c r="C14" s="997"/>
      <c r="D14" s="2559"/>
      <c r="E14" s="997"/>
      <c r="F14" s="997"/>
      <c r="G14" s="997"/>
      <c r="H14" s="997"/>
      <c r="I14" s="997"/>
      <c r="J14" s="998"/>
      <c r="K14" s="1884"/>
      <c r="L14" s="997">
        <f t="shared" si="2"/>
        <v>0</v>
      </c>
      <c r="M14" s="1886" t="str">
        <f>+'33. mell. E.műk.c.kiad.'!B90</f>
        <v>Önkormányzat általános működési tartaléka</v>
      </c>
      <c r="N14" s="997">
        <f>+'33. mell. E.műk.c.kiad.'!I90</f>
        <v>337591480</v>
      </c>
      <c r="O14" s="2559">
        <f>+'33. mell. E.műk.c.kiad.'!J90</f>
        <v>0</v>
      </c>
      <c r="P14" s="997">
        <f>+'33. mell. E.műk.c.kiad.'!K90</f>
        <v>264515136</v>
      </c>
      <c r="Q14" s="997">
        <f>+'33. mell. E.műk.c.kiad.'!L90</f>
        <v>637409919</v>
      </c>
      <c r="R14" s="997">
        <f>+'33. mell. E.műk.c.kiad.'!M90</f>
        <v>549285592</v>
      </c>
      <c r="S14" s="997">
        <f>+'33. mell. E.műk.c.kiad.'!N90</f>
        <v>391995887</v>
      </c>
      <c r="T14" s="997">
        <f>+'33. mell. E.műk.c.kiad.'!O90</f>
        <v>391995887</v>
      </c>
      <c r="U14" s="998">
        <f>+'33. mell. E.műk.c.kiad.'!P90</f>
        <v>0</v>
      </c>
      <c r="V14" s="1884">
        <f t="shared" si="5"/>
        <v>0</v>
      </c>
      <c r="W14" s="2761"/>
      <c r="X14" s="1251">
        <f t="shared" si="3"/>
        <v>0</v>
      </c>
      <c r="Y14" s="997">
        <f t="shared" si="4"/>
        <v>-157289705</v>
      </c>
      <c r="Z14" s="3490"/>
    </row>
    <row r="15" spans="1:26" ht="12.95" hidden="1" customHeight="1">
      <c r="A15" s="1882"/>
      <c r="B15" s="1886"/>
      <c r="C15" s="997"/>
      <c r="D15" s="2559"/>
      <c r="E15" s="997"/>
      <c r="F15" s="997"/>
      <c r="G15" s="997"/>
      <c r="H15" s="997"/>
      <c r="I15" s="997"/>
      <c r="J15" s="998"/>
      <c r="K15" s="1884" t="e">
        <f t="shared" si="1"/>
        <v>#DIV/0!</v>
      </c>
      <c r="L15" s="997">
        <f t="shared" si="2"/>
        <v>0</v>
      </c>
      <c r="M15" s="1886"/>
      <c r="N15" s="997"/>
      <c r="O15" s="2559">
        <v>0</v>
      </c>
      <c r="P15" s="997"/>
      <c r="Q15" s="997"/>
      <c r="R15" s="997"/>
      <c r="S15" s="997"/>
      <c r="T15" s="997"/>
      <c r="U15" s="998"/>
      <c r="V15" s="1884" t="e">
        <f t="shared" si="5"/>
        <v>#DIV/0!</v>
      </c>
      <c r="W15" s="2761"/>
      <c r="X15" s="1251">
        <f t="shared" si="3"/>
        <v>0</v>
      </c>
      <c r="Y15" s="997">
        <f t="shared" si="4"/>
        <v>0</v>
      </c>
      <c r="Z15" s="3490"/>
    </row>
    <row r="16" spans="1:26" ht="12.95" hidden="1" customHeight="1">
      <c r="A16" s="1882"/>
      <c r="B16" s="1886"/>
      <c r="C16" s="997"/>
      <c r="D16" s="2559"/>
      <c r="E16" s="997"/>
      <c r="F16" s="997"/>
      <c r="G16" s="997"/>
      <c r="H16" s="997"/>
      <c r="I16" s="997"/>
      <c r="J16" s="998"/>
      <c r="K16" s="1884" t="e">
        <f t="shared" si="1"/>
        <v>#DIV/0!</v>
      </c>
      <c r="L16" s="997">
        <f t="shared" si="2"/>
        <v>0</v>
      </c>
      <c r="M16" s="1886"/>
      <c r="N16" s="997"/>
      <c r="O16" s="2559"/>
      <c r="P16" s="997"/>
      <c r="Q16" s="997"/>
      <c r="R16" s="997"/>
      <c r="S16" s="997"/>
      <c r="T16" s="997"/>
      <c r="U16" s="998"/>
      <c r="V16" s="1884" t="e">
        <f t="shared" si="5"/>
        <v>#DIV/0!</v>
      </c>
      <c r="W16" s="2761"/>
      <c r="X16" s="1251">
        <f t="shared" si="3"/>
        <v>0</v>
      </c>
      <c r="Y16" s="997">
        <f t="shared" si="4"/>
        <v>0</v>
      </c>
      <c r="Z16" s="3490"/>
    </row>
    <row r="17" spans="1:26" ht="12.95" hidden="1" customHeight="1" thickBot="1">
      <c r="A17" s="1882"/>
      <c r="B17" s="1886"/>
      <c r="C17" s="997"/>
      <c r="D17" s="2559"/>
      <c r="E17" s="997"/>
      <c r="F17" s="997"/>
      <c r="G17" s="997"/>
      <c r="H17" s="997"/>
      <c r="I17" s="997"/>
      <c r="J17" s="998"/>
      <c r="K17" s="1884" t="e">
        <f t="shared" si="1"/>
        <v>#DIV/0!</v>
      </c>
      <c r="L17" s="997">
        <f t="shared" si="2"/>
        <v>0</v>
      </c>
      <c r="M17" s="1886"/>
      <c r="N17" s="997"/>
      <c r="O17" s="2559"/>
      <c r="P17" s="997"/>
      <c r="Q17" s="997"/>
      <c r="R17" s="997"/>
      <c r="S17" s="997"/>
      <c r="T17" s="997"/>
      <c r="U17" s="998"/>
      <c r="V17" s="1884" t="e">
        <f t="shared" si="5"/>
        <v>#DIV/0!</v>
      </c>
      <c r="W17" s="2761"/>
      <c r="X17" s="1251">
        <f t="shared" si="3"/>
        <v>0</v>
      </c>
      <c r="Y17" s="997">
        <f t="shared" si="4"/>
        <v>0</v>
      </c>
      <c r="Z17" s="3490"/>
    </row>
    <row r="18" spans="1:26" ht="15.95" customHeight="1">
      <c r="A18" s="1888" t="s">
        <v>29</v>
      </c>
      <c r="B18" s="1889" t="s">
        <v>3357</v>
      </c>
      <c r="C18" s="1890">
        <f t="shared" ref="C18:J18" si="6">+C6+C7+C9+C10+C12+C13+C14+C15+C16+C17</f>
        <v>24471108507</v>
      </c>
      <c r="D18" s="2560">
        <f t="shared" si="6"/>
        <v>24235374528</v>
      </c>
      <c r="E18" s="1890">
        <f t="shared" si="6"/>
        <v>24531497900.26968</v>
      </c>
      <c r="F18" s="1890">
        <f t="shared" si="6"/>
        <v>25009065281.26968</v>
      </c>
      <c r="G18" s="1890">
        <f t="shared" si="6"/>
        <v>25070902532.26968</v>
      </c>
      <c r="H18" s="1890">
        <f t="shared" si="6"/>
        <v>25836411419.26968</v>
      </c>
      <c r="I18" s="1890">
        <f t="shared" si="6"/>
        <v>25836411419.26968</v>
      </c>
      <c r="J18" s="1891">
        <f t="shared" si="6"/>
        <v>25836411419</v>
      </c>
      <c r="K18" s="1892">
        <f t="shared" si="1"/>
        <v>0.99999999998956202</v>
      </c>
      <c r="L18" s="1890">
        <f t="shared" si="2"/>
        <v>765508887</v>
      </c>
      <c r="M18" s="1889" t="s">
        <v>3358</v>
      </c>
      <c r="N18" s="1890">
        <f t="shared" ref="N18:U18" si="7">SUM(N6:N17)</f>
        <v>22352429850.190002</v>
      </c>
      <c r="O18" s="2560">
        <f t="shared" si="7"/>
        <v>23350423435</v>
      </c>
      <c r="P18" s="1890">
        <f t="shared" si="7"/>
        <v>25097421894</v>
      </c>
      <c r="Q18" s="1890">
        <f t="shared" si="7"/>
        <v>26208797259</v>
      </c>
      <c r="R18" s="1890">
        <f t="shared" si="7"/>
        <v>26341289789</v>
      </c>
      <c r="S18" s="1890">
        <f t="shared" si="7"/>
        <v>27033202498</v>
      </c>
      <c r="T18" s="1890">
        <f t="shared" si="7"/>
        <v>27033202498</v>
      </c>
      <c r="U18" s="1891">
        <f t="shared" si="7"/>
        <v>24298328624</v>
      </c>
      <c r="V18" s="1892">
        <f t="shared" si="5"/>
        <v>0.89883278260493427</v>
      </c>
      <c r="W18" s="2761"/>
      <c r="X18" s="1251">
        <f t="shared" si="3"/>
        <v>61837251</v>
      </c>
      <c r="Y18" s="1890">
        <f t="shared" si="4"/>
        <v>691912709</v>
      </c>
      <c r="Z18" s="3490"/>
    </row>
    <row r="19" spans="1:26" ht="12.95" customHeight="1">
      <c r="A19" s="1882" t="s">
        <v>31</v>
      </c>
      <c r="B19" s="1893" t="s">
        <v>3359</v>
      </c>
      <c r="C19" s="999">
        <f>+C20+C21+C23+C24</f>
        <v>8000000000</v>
      </c>
      <c r="D19" s="2561">
        <v>6281391459</v>
      </c>
      <c r="E19" s="999">
        <f t="shared" ref="E19:J19" si="8">+E20+E21+E22+E23+E24</f>
        <v>6250000000</v>
      </c>
      <c r="F19" s="999">
        <f t="shared" si="8"/>
        <v>6335579108</v>
      </c>
      <c r="G19" s="999">
        <f t="shared" si="8"/>
        <v>7709243924</v>
      </c>
      <c r="H19" s="999">
        <f t="shared" si="8"/>
        <v>14325214410</v>
      </c>
      <c r="I19" s="999">
        <f t="shared" si="8"/>
        <v>14325214410</v>
      </c>
      <c r="J19" s="1000">
        <f t="shared" si="8"/>
        <v>12116594410</v>
      </c>
      <c r="K19" s="1894">
        <f t="shared" si="1"/>
        <v>0.84582290102002045</v>
      </c>
      <c r="L19" s="999">
        <f t="shared" si="2"/>
        <v>6615970486</v>
      </c>
      <c r="M19" s="1895" t="s">
        <v>396</v>
      </c>
      <c r="N19" s="1001">
        <v>0</v>
      </c>
      <c r="O19" s="2562">
        <v>0</v>
      </c>
      <c r="P19" s="999">
        <v>0</v>
      </c>
      <c r="Q19" s="999">
        <f t="shared" ref="Q19:U24" si="9">+P19</f>
        <v>0</v>
      </c>
      <c r="R19" s="999">
        <f t="shared" si="9"/>
        <v>0</v>
      </c>
      <c r="S19" s="1001">
        <f t="shared" si="9"/>
        <v>0</v>
      </c>
      <c r="T19" s="1001">
        <f t="shared" si="9"/>
        <v>0</v>
      </c>
      <c r="U19" s="1000">
        <f t="shared" si="9"/>
        <v>0</v>
      </c>
      <c r="V19" s="1896"/>
      <c r="W19" s="2761"/>
      <c r="X19" s="1251">
        <f t="shared" si="3"/>
        <v>1373664816</v>
      </c>
      <c r="Y19" s="999">
        <f t="shared" si="4"/>
        <v>0</v>
      </c>
      <c r="Z19" s="3490"/>
    </row>
    <row r="20" spans="1:26" ht="12.95" customHeight="1">
      <c r="A20" s="1897" t="s">
        <v>294</v>
      </c>
      <c r="B20" s="1895" t="s">
        <v>3479</v>
      </c>
      <c r="C20" s="1785">
        <f>+'8. mell. Intézmények összesen'!D34</f>
        <v>0</v>
      </c>
      <c r="D20" s="2562">
        <v>781391459</v>
      </c>
      <c r="E20" s="1001">
        <f>+'Fin.bev-nem része a rend-nek'!K34+'8. mell. Intézmények összesen'!F34-'12. mell. Szakrendelő'!F34</f>
        <v>750000000</v>
      </c>
      <c r="F20" s="1001">
        <f>+'Fin.bev-nem része a rend-nek'!L34+'8. mell. Intézmények összesen'!G34-'8. mell. Intézmények összesen'!G58</f>
        <v>833514148</v>
      </c>
      <c r="G20" s="1001">
        <f>+'Fin.bev-nem része a rend-nek'!M34+'8. mell. Intézmények összesen'!H34-'8. mell. Intézmények összesen'!H58</f>
        <v>833514148</v>
      </c>
      <c r="H20" s="1001">
        <f>+'Fin.bev-nem része a rend-nek'!N34+'8. mell. Intézmények összesen'!I34-'8. mell. Intézmények összesen'!I58</f>
        <v>833514148</v>
      </c>
      <c r="I20" s="1001">
        <f>+'Fin.bev-nem része a rend-nek'!O34+'8. mell. Intézmények összesen'!J34-'8. mell. Intézmények összesen'!J58</f>
        <v>833514148</v>
      </c>
      <c r="J20" s="1000">
        <f>+'Fin.bev-nem része a rend-nek'!P34+'8. mell. Intézmények összesen'!K34-'8. mell. Intézmények összesen'!K58</f>
        <v>833514148</v>
      </c>
      <c r="K20" s="1896">
        <f t="shared" si="1"/>
        <v>1</v>
      </c>
      <c r="L20" s="1001">
        <f t="shared" si="2"/>
        <v>0</v>
      </c>
      <c r="M20" s="1895" t="s">
        <v>397</v>
      </c>
      <c r="N20" s="1001">
        <v>0</v>
      </c>
      <c r="O20" s="2562">
        <v>0</v>
      </c>
      <c r="P20" s="1001">
        <v>0</v>
      </c>
      <c r="Q20" s="1001">
        <f t="shared" si="9"/>
        <v>0</v>
      </c>
      <c r="R20" s="1001">
        <f t="shared" si="9"/>
        <v>0</v>
      </c>
      <c r="S20" s="1001">
        <f t="shared" si="9"/>
        <v>0</v>
      </c>
      <c r="T20" s="1001">
        <f t="shared" si="9"/>
        <v>0</v>
      </c>
      <c r="U20" s="1002">
        <f t="shared" si="9"/>
        <v>0</v>
      </c>
      <c r="V20" s="1896"/>
      <c r="W20" s="2761"/>
      <c r="X20" s="1251">
        <f t="shared" si="3"/>
        <v>0</v>
      </c>
      <c r="Y20" s="1001">
        <f t="shared" si="4"/>
        <v>0</v>
      </c>
      <c r="Z20" s="3490"/>
    </row>
    <row r="21" spans="1:26">
      <c r="A21" s="1897" t="s">
        <v>296</v>
      </c>
      <c r="B21" s="1895" t="s">
        <v>3481</v>
      </c>
      <c r="C21" s="997">
        <v>0</v>
      </c>
      <c r="D21" s="2559">
        <v>0</v>
      </c>
      <c r="E21" s="997">
        <f>+'8. mell. Intézmények összesen'!F35</f>
        <v>0</v>
      </c>
      <c r="F21" s="997">
        <f>+'8. mell. Intézmények összesen'!G35</f>
        <v>2064960</v>
      </c>
      <c r="G21" s="997">
        <f>+'8. mell. Intézmények összesen'!H35</f>
        <v>2064960</v>
      </c>
      <c r="H21" s="997">
        <f>+'8. mell. Intézmények összesen'!I35</f>
        <v>2064960</v>
      </c>
      <c r="I21" s="997">
        <f>+'8. mell. Intézmények összesen'!J35</f>
        <v>2064960</v>
      </c>
      <c r="J21" s="1000">
        <f>+'8. mell. Intézmények összesen'!K35</f>
        <v>2064960</v>
      </c>
      <c r="K21" s="1896">
        <f t="shared" si="1"/>
        <v>1</v>
      </c>
      <c r="L21" s="997">
        <f t="shared" si="2"/>
        <v>0</v>
      </c>
      <c r="M21" s="1895" t="s">
        <v>398</v>
      </c>
      <c r="N21" s="1001">
        <v>0</v>
      </c>
      <c r="O21" s="2562">
        <v>0</v>
      </c>
      <c r="P21" s="997">
        <v>0</v>
      </c>
      <c r="Q21" s="997">
        <f t="shared" si="9"/>
        <v>0</v>
      </c>
      <c r="R21" s="997">
        <f t="shared" si="9"/>
        <v>0</v>
      </c>
      <c r="S21" s="1001">
        <f t="shared" si="9"/>
        <v>0</v>
      </c>
      <c r="T21" s="1001">
        <f t="shared" si="9"/>
        <v>0</v>
      </c>
      <c r="U21" s="998">
        <f t="shared" si="9"/>
        <v>0</v>
      </c>
      <c r="V21" s="1896"/>
      <c r="W21" s="2761"/>
      <c r="X21" s="1251">
        <f t="shared" si="3"/>
        <v>0</v>
      </c>
      <c r="Y21" s="997">
        <f t="shared" si="4"/>
        <v>0</v>
      </c>
      <c r="Z21" s="3490"/>
    </row>
    <row r="22" spans="1:26">
      <c r="A22" s="1882" t="s">
        <v>35</v>
      </c>
      <c r="B22" s="1895" t="s">
        <v>3480</v>
      </c>
      <c r="C22" s="997">
        <f>0</f>
        <v>0</v>
      </c>
      <c r="D22" s="2559">
        <f>+'Fin.bev-nem része a rend-nek'!J38</f>
        <v>965865747</v>
      </c>
      <c r="E22" s="997">
        <f>+'Fin.bev-nem része a rend-nek'!K38</f>
        <v>0</v>
      </c>
      <c r="F22" s="997">
        <f>+'Fin.bev-nem része a rend-nek'!L38</f>
        <v>0</v>
      </c>
      <c r="G22" s="997">
        <f>+'Fin.bev-nem része a rend-nek'!M38</f>
        <v>1373664816</v>
      </c>
      <c r="H22" s="997">
        <f>+'Fin.bev-nem része a rend-nek'!N38</f>
        <v>1790545302</v>
      </c>
      <c r="I22" s="997">
        <f>+'Fin.bev-nem része a rend-nek'!O38</f>
        <v>1790545302</v>
      </c>
      <c r="J22" s="1585">
        <f>+'Fin.bev-nem része a rend-nek'!P38</f>
        <v>1790545302</v>
      </c>
      <c r="K22" s="1896">
        <f t="shared" si="1"/>
        <v>1</v>
      </c>
      <c r="L22" s="997">
        <f t="shared" si="2"/>
        <v>416880486</v>
      </c>
      <c r="M22" s="1895"/>
      <c r="N22" s="1001"/>
      <c r="O22" s="2562"/>
      <c r="P22" s="997"/>
      <c r="Q22" s="997"/>
      <c r="R22" s="997"/>
      <c r="S22" s="1001"/>
      <c r="T22" s="1001"/>
      <c r="U22" s="998"/>
      <c r="V22" s="1896"/>
      <c r="W22" s="2761"/>
      <c r="X22" s="1251">
        <f t="shared" si="3"/>
        <v>1373664816</v>
      </c>
      <c r="Y22" s="997">
        <f t="shared" si="4"/>
        <v>0</v>
      </c>
      <c r="Z22" s="3490"/>
    </row>
    <row r="23" spans="1:26" ht="12.95" customHeight="1">
      <c r="A23" s="1882" t="s">
        <v>37</v>
      </c>
      <c r="B23" s="1895" t="s">
        <v>399</v>
      </c>
      <c r="C23" s="997">
        <f>+'Fin.bev-nem része a rend-nek'!I44</f>
        <v>8000000000</v>
      </c>
      <c r="D23" s="2559">
        <v>5500000000</v>
      </c>
      <c r="E23" s="997">
        <f>+'Fin.bev-nem része a rend-nek'!K44</f>
        <v>5500000000</v>
      </c>
      <c r="F23" s="997">
        <f>+'Fin.bev-nem része a rend-nek'!L44</f>
        <v>5500000000</v>
      </c>
      <c r="G23" s="997">
        <f>+'Fin.bev-nem része a rend-nek'!M44</f>
        <v>5500000000</v>
      </c>
      <c r="H23" s="997">
        <f>+'Fin.bev-nem része a rend-nek'!N44</f>
        <v>6700000000</v>
      </c>
      <c r="I23" s="997">
        <f>+'Fin.bev-nem része a rend-nek'!O44</f>
        <v>6700000000</v>
      </c>
      <c r="J23" s="998">
        <f>+'Fin.bev-nem része a rend-nek'!P44</f>
        <v>6700000000</v>
      </c>
      <c r="K23" s="1884">
        <f t="shared" si="1"/>
        <v>1</v>
      </c>
      <c r="L23" s="997">
        <f t="shared" si="2"/>
        <v>1200000000</v>
      </c>
      <c r="M23" s="1895" t="s">
        <v>400</v>
      </c>
      <c r="N23" s="1001">
        <v>0</v>
      </c>
      <c r="O23" s="2562">
        <v>0</v>
      </c>
      <c r="P23" s="997">
        <v>0</v>
      </c>
      <c r="Q23" s="997">
        <f t="shared" si="9"/>
        <v>0</v>
      </c>
      <c r="R23" s="997">
        <f t="shared" si="9"/>
        <v>0</v>
      </c>
      <c r="S23" s="1001">
        <f t="shared" si="9"/>
        <v>0</v>
      </c>
      <c r="T23" s="1001">
        <f t="shared" si="9"/>
        <v>0</v>
      </c>
      <c r="U23" s="998">
        <f t="shared" si="9"/>
        <v>0</v>
      </c>
      <c r="V23" s="1896"/>
      <c r="W23" s="2761"/>
      <c r="X23" s="1251">
        <f t="shared" si="3"/>
        <v>0</v>
      </c>
      <c r="Y23" s="997">
        <f t="shared" si="4"/>
        <v>0</v>
      </c>
      <c r="Z23" s="3490"/>
    </row>
    <row r="24" spans="1:26" ht="33.75">
      <c r="A24" s="1882" t="s">
        <v>39</v>
      </c>
      <c r="B24" s="1895" t="s">
        <v>3980</v>
      </c>
      <c r="C24" s="997">
        <f>+'Fin.bev-nem része a rend-nek'!I33</f>
        <v>0</v>
      </c>
      <c r="D24" s="2559">
        <v>0</v>
      </c>
      <c r="E24" s="997">
        <f>+'Fin.bev-nem része a rend-nek'!K33</f>
        <v>0</v>
      </c>
      <c r="F24" s="997">
        <f>+'Fin.bev-nem része a rend-nek'!L20</f>
        <v>0</v>
      </c>
      <c r="G24" s="997">
        <f>+'Fin.bev-nem része a rend-nek'!M20</f>
        <v>0</v>
      </c>
      <c r="H24" s="997">
        <f>+'Fin.bev-nem része a rend-nek'!N20</f>
        <v>4999090000</v>
      </c>
      <c r="I24" s="997">
        <f>+'Fin.bev-nem része a rend-nek'!O20</f>
        <v>4999090000</v>
      </c>
      <c r="J24" s="998">
        <f>+'Fin.bev-nem része a rend-nek'!P20</f>
        <v>2790470000</v>
      </c>
      <c r="K24" s="1884">
        <f t="shared" si="1"/>
        <v>0.55819559159767074</v>
      </c>
      <c r="L24" s="997">
        <f t="shared" si="2"/>
        <v>4999090000</v>
      </c>
      <c r="M24" s="1895" t="s">
        <v>401</v>
      </c>
      <c r="N24" s="1001">
        <v>0</v>
      </c>
      <c r="O24" s="2562">
        <v>0</v>
      </c>
      <c r="P24" s="997">
        <v>0</v>
      </c>
      <c r="Q24" s="997">
        <f t="shared" si="9"/>
        <v>0</v>
      </c>
      <c r="R24" s="997">
        <f t="shared" si="9"/>
        <v>0</v>
      </c>
      <c r="S24" s="1001">
        <f t="shared" si="9"/>
        <v>0</v>
      </c>
      <c r="T24" s="1001">
        <f t="shared" si="9"/>
        <v>0</v>
      </c>
      <c r="U24" s="998">
        <f t="shared" si="9"/>
        <v>0</v>
      </c>
      <c r="V24" s="1896"/>
      <c r="W24" s="2761"/>
      <c r="X24" s="1251">
        <f t="shared" si="3"/>
        <v>0</v>
      </c>
      <c r="Y24" s="997">
        <f t="shared" si="4"/>
        <v>0</v>
      </c>
      <c r="Z24" s="3490"/>
    </row>
    <row r="25" spans="1:26" ht="22.5">
      <c r="A25" s="1882" t="s">
        <v>41</v>
      </c>
      <c r="B25" s="1893" t="s">
        <v>3362</v>
      </c>
      <c r="C25" s="999">
        <f>+C26+C29</f>
        <v>0</v>
      </c>
      <c r="D25" s="2561">
        <v>0</v>
      </c>
      <c r="E25" s="999">
        <f t="shared" ref="E25:J25" si="10">+E26+E29</f>
        <v>0</v>
      </c>
      <c r="F25" s="999">
        <f t="shared" si="10"/>
        <v>0</v>
      </c>
      <c r="G25" s="999">
        <f t="shared" si="10"/>
        <v>0</v>
      </c>
      <c r="H25" s="999">
        <f t="shared" si="10"/>
        <v>0</v>
      </c>
      <c r="I25" s="999">
        <f t="shared" si="10"/>
        <v>0</v>
      </c>
      <c r="J25" s="1000">
        <f t="shared" si="10"/>
        <v>0</v>
      </c>
      <c r="K25" s="1894"/>
      <c r="L25" s="999">
        <f t="shared" si="2"/>
        <v>0</v>
      </c>
      <c r="M25" s="1895" t="s">
        <v>403</v>
      </c>
      <c r="N25" s="1001">
        <f>+'Fin.kiad.-nem része a rend-nek'!I33</f>
        <v>0</v>
      </c>
      <c r="O25" s="2562">
        <v>0</v>
      </c>
      <c r="P25" s="999">
        <f>+'Fin.kiad.-nem része a rend-nek'!K33</f>
        <v>0</v>
      </c>
      <c r="Q25" s="999">
        <f>+'Fin.kiad.-nem része a rend-nek'!L33</f>
        <v>0</v>
      </c>
      <c r="R25" s="999">
        <f>+'Fin.kiad.-nem része a rend-nek'!M33</f>
        <v>0</v>
      </c>
      <c r="S25" s="1001">
        <f>+'Fin.kiad.-nem része a rend-nek'!N33</f>
        <v>4999090000</v>
      </c>
      <c r="T25" s="1001">
        <f>+'Fin.kiad.-nem része a rend-nek'!O33</f>
        <v>4999090000</v>
      </c>
      <c r="U25" s="1000">
        <f>+'Fin.kiad.-nem része a rend-nek'!P33</f>
        <v>4999090000</v>
      </c>
      <c r="V25" s="1884">
        <f t="shared" ref="V25" si="11">+U25/S25</f>
        <v>1</v>
      </c>
      <c r="W25" s="2761"/>
      <c r="X25" s="1251">
        <f t="shared" si="3"/>
        <v>0</v>
      </c>
      <c r="Y25" s="999">
        <f t="shared" si="4"/>
        <v>4999090000</v>
      </c>
      <c r="Z25" s="3490"/>
    </row>
    <row r="26" spans="1:26" ht="12.95" customHeight="1">
      <c r="A26" s="1882" t="s">
        <v>314</v>
      </c>
      <c r="B26" s="1895" t="s">
        <v>405</v>
      </c>
      <c r="C26" s="997">
        <v>0</v>
      </c>
      <c r="D26" s="2559">
        <v>0</v>
      </c>
      <c r="E26" s="997">
        <v>0</v>
      </c>
      <c r="F26" s="997">
        <f>+E26</f>
        <v>0</v>
      </c>
      <c r="G26" s="997">
        <f>+F26</f>
        <v>0</v>
      </c>
      <c r="H26" s="997">
        <f>+G26</f>
        <v>0</v>
      </c>
      <c r="I26" s="997">
        <f>+H26</f>
        <v>0</v>
      </c>
      <c r="J26" s="998">
        <f>+I26</f>
        <v>0</v>
      </c>
      <c r="K26" s="1884"/>
      <c r="L26" s="997">
        <f t="shared" si="2"/>
        <v>0</v>
      </c>
      <c r="M26" s="1883" t="s">
        <v>406</v>
      </c>
      <c r="N26" s="1001">
        <f>+'Fin.kiad.-nem része a rend-nek'!I39</f>
        <v>8000000000</v>
      </c>
      <c r="O26" s="2562">
        <v>5500000000</v>
      </c>
      <c r="P26" s="997">
        <f>+'Fin.kiad.-nem része a rend-nek'!K39</f>
        <v>5500000000</v>
      </c>
      <c r="Q26" s="997">
        <f>+'Fin.kiad.-nem része a rend-nek'!L39</f>
        <v>5500000000</v>
      </c>
      <c r="R26" s="997">
        <f>+'Fin.kiad.-nem része a rend-nek'!M39</f>
        <v>5500000000</v>
      </c>
      <c r="S26" s="1001">
        <f>+'Fin.kiad.-nem része a rend-nek'!N39</f>
        <v>6700000000</v>
      </c>
      <c r="T26" s="1001">
        <f>+'Fin.kiad.-nem része a rend-nek'!O39</f>
        <v>6700000000</v>
      </c>
      <c r="U26" s="998">
        <f>+'Fin.kiad.-nem része a rend-nek'!P39</f>
        <v>6700000000</v>
      </c>
      <c r="V26" s="1884">
        <f>+U26/S26</f>
        <v>1</v>
      </c>
      <c r="W26" s="2761"/>
      <c r="X26" s="1251">
        <f t="shared" si="3"/>
        <v>0</v>
      </c>
      <c r="Y26" s="997">
        <f t="shared" si="4"/>
        <v>1200000000</v>
      </c>
      <c r="Z26" s="3490"/>
    </row>
    <row r="27" spans="1:26" ht="12.95" customHeight="1">
      <c r="A27" s="1882" t="s">
        <v>402</v>
      </c>
      <c r="B27" s="1895" t="s">
        <v>408</v>
      </c>
      <c r="C27" s="997">
        <v>0</v>
      </c>
      <c r="D27" s="2559">
        <v>0</v>
      </c>
      <c r="E27" s="997">
        <v>0</v>
      </c>
      <c r="F27" s="997">
        <v>0</v>
      </c>
      <c r="G27" s="997">
        <f t="shared" ref="G27:J29" si="12">+F27</f>
        <v>0</v>
      </c>
      <c r="H27" s="997">
        <f t="shared" si="12"/>
        <v>0</v>
      </c>
      <c r="I27" s="997">
        <f t="shared" si="12"/>
        <v>0</v>
      </c>
      <c r="J27" s="998">
        <f t="shared" si="12"/>
        <v>0</v>
      </c>
      <c r="K27" s="1884"/>
      <c r="L27" s="997">
        <f t="shared" si="2"/>
        <v>0</v>
      </c>
      <c r="M27" s="1895" t="s">
        <v>383</v>
      </c>
      <c r="N27" s="1001">
        <v>0</v>
      </c>
      <c r="O27" s="2562">
        <v>0</v>
      </c>
      <c r="P27" s="997">
        <v>0</v>
      </c>
      <c r="Q27" s="997">
        <f t="shared" ref="Q27:U28" si="13">+P27</f>
        <v>0</v>
      </c>
      <c r="R27" s="997">
        <f t="shared" si="13"/>
        <v>0</v>
      </c>
      <c r="S27" s="1001">
        <f t="shared" si="13"/>
        <v>0</v>
      </c>
      <c r="T27" s="1001">
        <f t="shared" si="13"/>
        <v>0</v>
      </c>
      <c r="U27" s="998">
        <f t="shared" si="13"/>
        <v>0</v>
      </c>
      <c r="V27" s="1896"/>
      <c r="W27" s="2761"/>
      <c r="X27" s="1251">
        <f t="shared" si="3"/>
        <v>0</v>
      </c>
      <c r="Y27" s="997">
        <f t="shared" si="4"/>
        <v>0</v>
      </c>
      <c r="Z27" s="3490"/>
    </row>
    <row r="28" spans="1:26" ht="12.95" customHeight="1">
      <c r="A28" s="1882" t="s">
        <v>404</v>
      </c>
      <c r="B28" s="1895" t="s">
        <v>3360</v>
      </c>
      <c r="C28" s="997">
        <v>0</v>
      </c>
      <c r="D28" s="2559">
        <v>0</v>
      </c>
      <c r="E28" s="997">
        <v>0</v>
      </c>
      <c r="F28" s="997">
        <v>0</v>
      </c>
      <c r="G28" s="997">
        <f t="shared" si="12"/>
        <v>0</v>
      </c>
      <c r="H28" s="997">
        <f t="shared" si="12"/>
        <v>0</v>
      </c>
      <c r="I28" s="997">
        <f t="shared" si="12"/>
        <v>0</v>
      </c>
      <c r="J28" s="998">
        <f t="shared" si="12"/>
        <v>0</v>
      </c>
      <c r="K28" s="1884"/>
      <c r="L28" s="997">
        <f t="shared" si="2"/>
        <v>0</v>
      </c>
      <c r="M28" s="1883" t="s">
        <v>384</v>
      </c>
      <c r="N28" s="1001">
        <v>0</v>
      </c>
      <c r="O28" s="2562">
        <v>0</v>
      </c>
      <c r="P28" s="997">
        <v>0</v>
      </c>
      <c r="Q28" s="997">
        <f t="shared" si="13"/>
        <v>0</v>
      </c>
      <c r="R28" s="997">
        <f t="shared" si="13"/>
        <v>0</v>
      </c>
      <c r="S28" s="1001">
        <f t="shared" si="13"/>
        <v>0</v>
      </c>
      <c r="T28" s="1001">
        <f t="shared" si="13"/>
        <v>0</v>
      </c>
      <c r="U28" s="998">
        <f t="shared" si="13"/>
        <v>0</v>
      </c>
      <c r="V28" s="1896"/>
      <c r="W28" s="2761"/>
      <c r="X28" s="1251">
        <f t="shared" si="3"/>
        <v>0</v>
      </c>
      <c r="Y28" s="997">
        <f t="shared" si="4"/>
        <v>0</v>
      </c>
      <c r="Z28" s="3490"/>
    </row>
    <row r="29" spans="1:26" ht="12.95" customHeight="1">
      <c r="A29" s="1882" t="s">
        <v>407</v>
      </c>
      <c r="B29" s="1895" t="s">
        <v>3361</v>
      </c>
      <c r="C29" s="997">
        <v>0</v>
      </c>
      <c r="D29" s="2559">
        <v>0</v>
      </c>
      <c r="E29" s="997">
        <v>0</v>
      </c>
      <c r="F29" s="997">
        <f>+E29</f>
        <v>0</v>
      </c>
      <c r="G29" s="997">
        <f t="shared" si="12"/>
        <v>0</v>
      </c>
      <c r="H29" s="997">
        <f t="shared" si="12"/>
        <v>0</v>
      </c>
      <c r="I29" s="997">
        <f t="shared" si="12"/>
        <v>0</v>
      </c>
      <c r="J29" s="998">
        <f t="shared" si="12"/>
        <v>0</v>
      </c>
      <c r="K29" s="1884"/>
      <c r="L29" s="997">
        <f t="shared" si="2"/>
        <v>0</v>
      </c>
      <c r="M29" s="1886" t="s">
        <v>375</v>
      </c>
      <c r="N29" s="1001">
        <f>+'Fin.kiad.-nem része a rend-nek'!I35</f>
        <v>224610505</v>
      </c>
      <c r="O29" s="2562">
        <f>+'Fin.kiad.-nem része a rend-nek'!J35</f>
        <v>973601186</v>
      </c>
      <c r="P29" s="997">
        <f>+'Fin.kiad.-nem része a rend-nek'!K35</f>
        <v>34974099</v>
      </c>
      <c r="Q29" s="997">
        <f>+'Fin.kiad.-nem része a rend-nek'!L35</f>
        <v>34974099</v>
      </c>
      <c r="R29" s="997">
        <f>+'Fin.kiad.-nem része a rend-nek'!M35</f>
        <v>1408638915</v>
      </c>
      <c r="S29" s="1001">
        <f>+'Fin.kiad.-nem része a rend-nek'!N35</f>
        <v>1729921587</v>
      </c>
      <c r="T29" s="1001">
        <f>+'Fin.kiad.-nem része a rend-nek'!O35</f>
        <v>1729921587</v>
      </c>
      <c r="U29" s="998">
        <f>+'Fin.kiad.-nem része a rend-nek'!P35</f>
        <v>1729921587</v>
      </c>
      <c r="V29" s="1896">
        <f>+U29/S29</f>
        <v>1</v>
      </c>
      <c r="W29" s="2761"/>
      <c r="X29" s="1251">
        <f t="shared" si="3"/>
        <v>0</v>
      </c>
      <c r="Y29" s="997">
        <f t="shared" si="4"/>
        <v>321282672</v>
      </c>
      <c r="Z29" s="3490"/>
    </row>
    <row r="30" spans="1:26" ht="24" customHeight="1">
      <c r="A30" s="1888" t="s">
        <v>409</v>
      </c>
      <c r="B30" s="1889" t="s">
        <v>3363</v>
      </c>
      <c r="C30" s="1890">
        <f t="shared" ref="C30:J30" si="14">+C19+C25</f>
        <v>8000000000</v>
      </c>
      <c r="D30" s="2560">
        <f t="shared" si="14"/>
        <v>6281391459</v>
      </c>
      <c r="E30" s="1890">
        <f t="shared" si="14"/>
        <v>6250000000</v>
      </c>
      <c r="F30" s="1890">
        <f t="shared" si="14"/>
        <v>6335579108</v>
      </c>
      <c r="G30" s="1890">
        <f t="shared" si="14"/>
        <v>7709243924</v>
      </c>
      <c r="H30" s="1890">
        <f t="shared" si="14"/>
        <v>14325214410</v>
      </c>
      <c r="I30" s="1890">
        <f t="shared" si="14"/>
        <v>14325214410</v>
      </c>
      <c r="J30" s="1891">
        <f t="shared" si="14"/>
        <v>12116594410</v>
      </c>
      <c r="K30" s="1892">
        <f t="shared" ref="K30:K31" si="15">+J30/H30</f>
        <v>0.84582290102002045</v>
      </c>
      <c r="L30" s="1890">
        <f t="shared" si="2"/>
        <v>6615970486</v>
      </c>
      <c r="M30" s="1889" t="s">
        <v>3365</v>
      </c>
      <c r="N30" s="1890">
        <f t="shared" ref="N30:U30" si="16">SUM(N19:N29)</f>
        <v>8224610505</v>
      </c>
      <c r="O30" s="2560">
        <f t="shared" si="16"/>
        <v>6473601186</v>
      </c>
      <c r="P30" s="1890">
        <f t="shared" si="16"/>
        <v>5534974099</v>
      </c>
      <c r="Q30" s="1890">
        <f t="shared" si="16"/>
        <v>5534974099</v>
      </c>
      <c r="R30" s="1890">
        <f t="shared" si="16"/>
        <v>6908638915</v>
      </c>
      <c r="S30" s="1890">
        <f t="shared" si="16"/>
        <v>13429011587</v>
      </c>
      <c r="T30" s="1890">
        <f t="shared" si="16"/>
        <v>13429011587</v>
      </c>
      <c r="U30" s="1891">
        <f t="shared" si="16"/>
        <v>13429011587</v>
      </c>
      <c r="V30" s="1892">
        <f>+U30/S30</f>
        <v>1</v>
      </c>
      <c r="W30" s="2761"/>
      <c r="X30" s="1251">
        <f t="shared" si="3"/>
        <v>1373664816</v>
      </c>
      <c r="Y30" s="1890">
        <f t="shared" si="4"/>
        <v>6520372672</v>
      </c>
      <c r="Z30" s="3490"/>
    </row>
    <row r="31" spans="1:26">
      <c r="A31" s="1888" t="s">
        <v>410</v>
      </c>
      <c r="B31" s="1898" t="s">
        <v>3364</v>
      </c>
      <c r="C31" s="1899">
        <f t="shared" ref="C31:J31" si="17">+C18+C30</f>
        <v>32471108507</v>
      </c>
      <c r="D31" s="2563">
        <f t="shared" si="17"/>
        <v>30516765987</v>
      </c>
      <c r="E31" s="1899">
        <f t="shared" si="17"/>
        <v>30781497900.26968</v>
      </c>
      <c r="F31" s="1899">
        <f t="shared" si="17"/>
        <v>31344644389.26968</v>
      </c>
      <c r="G31" s="1899">
        <f t="shared" si="17"/>
        <v>32780146456.26968</v>
      </c>
      <c r="H31" s="1899">
        <f t="shared" si="17"/>
        <v>40161625829.269684</v>
      </c>
      <c r="I31" s="1899">
        <f t="shared" si="17"/>
        <v>40161625829.269684</v>
      </c>
      <c r="J31" s="1900">
        <f t="shared" si="17"/>
        <v>37953005829</v>
      </c>
      <c r="K31" s="1901">
        <f t="shared" si="15"/>
        <v>0.94500670840222689</v>
      </c>
      <c r="L31" s="1899">
        <f t="shared" si="2"/>
        <v>7381479373.0000038</v>
      </c>
      <c r="M31" s="1898" t="s">
        <v>3366</v>
      </c>
      <c r="N31" s="1899">
        <f t="shared" ref="N31:U31" si="18">+N18+N30</f>
        <v>30577040355.190002</v>
      </c>
      <c r="O31" s="2563">
        <f t="shared" si="18"/>
        <v>29824024621</v>
      </c>
      <c r="P31" s="1899">
        <f t="shared" si="18"/>
        <v>30632395993</v>
      </c>
      <c r="Q31" s="1899">
        <f t="shared" si="18"/>
        <v>31743771358</v>
      </c>
      <c r="R31" s="1899">
        <f t="shared" si="18"/>
        <v>33249928704</v>
      </c>
      <c r="S31" s="1899">
        <f t="shared" si="18"/>
        <v>40462214085</v>
      </c>
      <c r="T31" s="1899">
        <f t="shared" si="18"/>
        <v>40462214085</v>
      </c>
      <c r="U31" s="1900">
        <f t="shared" si="18"/>
        <v>37727340211</v>
      </c>
      <c r="V31" s="1901">
        <f>+U31/S31</f>
        <v>0.93240918877412937</v>
      </c>
      <c r="W31" s="2761"/>
      <c r="X31" s="1251">
        <f t="shared" si="3"/>
        <v>1435502067</v>
      </c>
      <c r="Y31" s="1899">
        <f t="shared" si="4"/>
        <v>7212285381</v>
      </c>
      <c r="Z31" s="3490"/>
    </row>
    <row r="32" spans="1:26">
      <c r="A32" s="1888" t="s">
        <v>411</v>
      </c>
      <c r="B32" s="1898" t="s">
        <v>414</v>
      </c>
      <c r="C32" s="1899" t="str">
        <f t="shared" ref="C32:J32" si="19">IF(C18-N18&lt;0,N18-C18,"-")</f>
        <v>-</v>
      </c>
      <c r="D32" s="2563" t="str">
        <f t="shared" si="19"/>
        <v>-</v>
      </c>
      <c r="E32" s="1899">
        <f t="shared" si="19"/>
        <v>565923993.73031998</v>
      </c>
      <c r="F32" s="1899">
        <f t="shared" si="19"/>
        <v>1199731977.73032</v>
      </c>
      <c r="G32" s="1899">
        <f t="shared" si="19"/>
        <v>1270387256.73032</v>
      </c>
      <c r="H32" s="1899">
        <f t="shared" si="19"/>
        <v>1196791078.73032</v>
      </c>
      <c r="I32" s="1899">
        <f t="shared" si="19"/>
        <v>1196791078.73032</v>
      </c>
      <c r="J32" s="1900" t="str">
        <f t="shared" si="19"/>
        <v>-</v>
      </c>
      <c r="K32" s="1901"/>
      <c r="L32" s="1899">
        <f t="shared" si="2"/>
        <v>-73596178</v>
      </c>
      <c r="M32" s="1898" t="s">
        <v>416</v>
      </c>
      <c r="N32" s="1899">
        <f>IF(C18-N18&gt;0,C18-N18,"-")</f>
        <v>2118678656.8099976</v>
      </c>
      <c r="O32" s="1899">
        <f>IF(D18-O18&gt;0,D18-O18,"-")</f>
        <v>884951093</v>
      </c>
      <c r="P32" s="1899" t="str">
        <f t="shared" ref="P32:U32" si="20">IF(E18-P18&gt;0,E18-P18,"-")</f>
        <v>-</v>
      </c>
      <c r="Q32" s="1899" t="str">
        <f t="shared" si="20"/>
        <v>-</v>
      </c>
      <c r="R32" s="1899" t="str">
        <f t="shared" si="20"/>
        <v>-</v>
      </c>
      <c r="S32" s="1899" t="str">
        <f t="shared" si="20"/>
        <v>-</v>
      </c>
      <c r="T32" s="1899" t="str">
        <f t="shared" si="20"/>
        <v>-</v>
      </c>
      <c r="U32" s="1900">
        <f t="shared" si="20"/>
        <v>1538082795</v>
      </c>
      <c r="V32" s="1901"/>
      <c r="W32" s="2761"/>
      <c r="X32" s="1251">
        <f>+G32-F32</f>
        <v>70655279</v>
      </c>
      <c r="Y32" s="1899"/>
      <c r="Z32" s="3490"/>
    </row>
    <row r="33" spans="1:26">
      <c r="A33" s="1888" t="s">
        <v>412</v>
      </c>
      <c r="B33" s="1898" t="s">
        <v>418</v>
      </c>
      <c r="C33" s="1899" t="str">
        <f>IF(C18+C19-N31&lt;0,N31-(C18+C19),"-")</f>
        <v>-</v>
      </c>
      <c r="D33" s="2563" t="s">
        <v>415</v>
      </c>
      <c r="E33" s="1899" t="str">
        <f t="shared" ref="E33:J33" si="21">IF(E18+E19-P31&lt;0,P31-(E18+E19),"-")</f>
        <v>-</v>
      </c>
      <c r="F33" s="1899">
        <f t="shared" si="21"/>
        <v>399126968.73031998</v>
      </c>
      <c r="G33" s="1899">
        <f t="shared" si="21"/>
        <v>469782247.73031998</v>
      </c>
      <c r="H33" s="1899">
        <f t="shared" si="21"/>
        <v>300588255.73031616</v>
      </c>
      <c r="I33" s="1899">
        <f t="shared" si="21"/>
        <v>300588255.73031616</v>
      </c>
      <c r="J33" s="1900" t="str">
        <f t="shared" si="21"/>
        <v>-</v>
      </c>
      <c r="K33" s="1901"/>
      <c r="L33" s="1899">
        <f t="shared" si="2"/>
        <v>-169193992.00000381</v>
      </c>
      <c r="M33" s="1898" t="s">
        <v>419</v>
      </c>
      <c r="N33" s="1899">
        <f>IF(C18+C19-N31&gt;0,C18+C19-N31,"-")</f>
        <v>1894068151.8099976</v>
      </c>
      <c r="O33" s="1899">
        <f>IF(D18+D19-O31&gt;0,D18+D19-O31,"-")</f>
        <v>692741366</v>
      </c>
      <c r="P33" s="1899">
        <f t="shared" ref="P33:U33" si="22">IF(E18+E19-P31&gt;0,E18+E19-P31,"-")</f>
        <v>149101907.26968002</v>
      </c>
      <c r="Q33" s="1899" t="str">
        <f t="shared" si="22"/>
        <v>-</v>
      </c>
      <c r="R33" s="1899" t="str">
        <f t="shared" si="22"/>
        <v>-</v>
      </c>
      <c r="S33" s="1899" t="str">
        <f t="shared" si="22"/>
        <v>-</v>
      </c>
      <c r="T33" s="1899" t="str">
        <f t="shared" si="22"/>
        <v>-</v>
      </c>
      <c r="U33" s="1900">
        <f t="shared" si="22"/>
        <v>225665618</v>
      </c>
      <c r="V33" s="1901"/>
      <c r="W33" s="2761"/>
      <c r="X33" s="1251">
        <f>+G33-F33</f>
        <v>70655279</v>
      </c>
      <c r="Y33" s="1899"/>
      <c r="Z33" s="3490"/>
    </row>
    <row r="34" spans="1:26" ht="12.75" customHeight="1">
      <c r="B34" s="3564" t="s">
        <v>420</v>
      </c>
      <c r="C34" s="3564"/>
      <c r="D34" s="3564"/>
      <c r="E34" s="3564"/>
      <c r="F34" s="3564"/>
      <c r="G34" s="3564"/>
      <c r="H34" s="3564"/>
      <c r="I34" s="3564"/>
      <c r="J34" s="3564"/>
      <c r="K34" s="3564"/>
      <c r="L34" s="3564"/>
      <c r="M34" s="3564"/>
      <c r="N34" s="53">
        <f>+N31/'1. mell.ÖSSZEVONT_MÉRLEG'!C153</f>
        <v>0.73045511409271158</v>
      </c>
      <c r="O34" s="53">
        <f>+O31/'1. mell.ÖSSZEVONT_MÉRLEG'!D153</f>
        <v>0.8353681308504145</v>
      </c>
      <c r="P34" s="53">
        <f>+P31/'1. mell.ÖSSZEVONT_MÉRLEG'!E153</f>
        <v>0.86415172949525232</v>
      </c>
      <c r="Q34" s="53">
        <f>+Q31/'1. mell.ÖSSZEVONT_MÉRLEG'!F153</f>
        <v>0.86802442127975121</v>
      </c>
      <c r="R34" s="53">
        <f>+R31/'1. mell.ÖSSZEVONT_MÉRLEG'!G153</f>
        <v>0.87348932450862704</v>
      </c>
      <c r="S34" s="53">
        <f>+S31/'1. mell.ÖSSZEVONT_MÉRLEG'!H153</f>
        <v>0.91888748465805525</v>
      </c>
      <c r="T34" s="53">
        <f>+T31/'1. mell.ÖSSZEVONT_MÉRLEG'!I153</f>
        <v>0.91888748465805525</v>
      </c>
      <c r="U34" s="53">
        <f>+U31/'1. mell.ÖSSZEVONT_MÉRLEG'!J153</f>
        <v>0.94489887821826579</v>
      </c>
      <c r="V34" s="996"/>
      <c r="W34" s="48" t="s">
        <v>421</v>
      </c>
    </row>
    <row r="35" spans="1:26" hidden="1">
      <c r="C35" s="47">
        <f>+C18+C30</f>
        <v>32471108507</v>
      </c>
      <c r="D35" s="54"/>
      <c r="E35" s="47">
        <f>+E18+E30</f>
        <v>30781497900.26968</v>
      </c>
      <c r="F35" s="47">
        <f>+F18+F30</f>
        <v>31344644389.26968</v>
      </c>
      <c r="G35" s="47">
        <f>+G18+G30</f>
        <v>32780146456.26968</v>
      </c>
      <c r="H35" s="47">
        <f>+H18+H30</f>
        <v>40161625829.269684</v>
      </c>
      <c r="I35" s="47">
        <f>+I18+I30</f>
        <v>40161625829.269684</v>
      </c>
      <c r="N35" s="47">
        <f>+N18+N30</f>
        <v>30577040355.190002</v>
      </c>
      <c r="O35" s="54"/>
      <c r="P35" s="47">
        <f>+P18+P30</f>
        <v>30632395993</v>
      </c>
      <c r="Q35" s="47">
        <f>+Q18+Q30</f>
        <v>31743771358</v>
      </c>
      <c r="R35" s="47">
        <f>+R18+R30</f>
        <v>33249928704</v>
      </c>
      <c r="S35" s="47">
        <f>+S18+S30</f>
        <v>40462214085</v>
      </c>
      <c r="T35" s="47">
        <f>+T18+T30</f>
        <v>40462214085</v>
      </c>
    </row>
    <row r="36" spans="1:26" hidden="1">
      <c r="N36" s="47">
        <f>+C18-N18</f>
        <v>2118678656.8099976</v>
      </c>
      <c r="O36" s="54"/>
      <c r="P36" s="47">
        <f>+E18-P18</f>
        <v>-565923993.73031998</v>
      </c>
      <c r="Q36" s="47">
        <f>+F18-Q18</f>
        <v>-1199731977.73032</v>
      </c>
      <c r="R36" s="47">
        <f>+G18-R18</f>
        <v>-1270387256.73032</v>
      </c>
      <c r="S36" s="47">
        <f>+H18-S18</f>
        <v>-1196791078.73032</v>
      </c>
      <c r="T36" s="47">
        <f>+I18-T18</f>
        <v>-1196791078.73032</v>
      </c>
    </row>
    <row r="37" spans="1:26" hidden="1">
      <c r="N37" s="47">
        <f>+C31-N31</f>
        <v>1894068151.8099976</v>
      </c>
      <c r="O37" s="54"/>
      <c r="P37" s="47">
        <f>+E31-P31</f>
        <v>149101907.26968002</v>
      </c>
      <c r="Q37" s="47">
        <f>+F31-Q31</f>
        <v>-399126968.73031998</v>
      </c>
      <c r="R37" s="47">
        <f>+G31-R31</f>
        <v>-469782247.73031998</v>
      </c>
      <c r="S37" s="47">
        <f>+H31-S31</f>
        <v>-300588255.73031616</v>
      </c>
      <c r="T37" s="47">
        <f>+I31-T31</f>
        <v>-300588255.73031616</v>
      </c>
    </row>
    <row r="38" spans="1:26" hidden="1">
      <c r="N38" s="47">
        <f>+C18-N18+C30-N30</f>
        <v>1894068151.8099976</v>
      </c>
      <c r="O38" s="54"/>
      <c r="P38" s="47">
        <f>+E18-P18+E30-P30</f>
        <v>149101907.26968002</v>
      </c>
      <c r="Q38" s="47">
        <f>+F18-Q18+F30-Q30</f>
        <v>-399126968.73031998</v>
      </c>
      <c r="R38" s="47">
        <f>+G18-R18+G30-R30</f>
        <v>-469782247.73031998</v>
      </c>
      <c r="S38" s="47">
        <f>+H18-S18+H30-S30</f>
        <v>-300588255.73031998</v>
      </c>
      <c r="T38" s="47">
        <f>+I18-T18+I30-T30</f>
        <v>-300588255.73031998</v>
      </c>
    </row>
    <row r="41" spans="1:26" hidden="1"/>
    <row r="42" spans="1:26" hidden="1">
      <c r="P42" s="47">
        <f>+E31-P31</f>
        <v>149101907.26968002</v>
      </c>
      <c r="S42" s="47">
        <f>+H31-S31</f>
        <v>-300588255.73031616</v>
      </c>
      <c r="T42" s="47">
        <f>+I31-T31</f>
        <v>-300588255.73031616</v>
      </c>
      <c r="U42" s="47">
        <f>+J31-U31</f>
        <v>225665618</v>
      </c>
      <c r="V42" s="47">
        <f>+K31-V31</f>
        <v>1.259751962809752E-2</v>
      </c>
    </row>
    <row r="43" spans="1:26" hidden="1"/>
    <row r="44" spans="1:26" ht="12.75" hidden="1" customHeight="1">
      <c r="E44" s="3565" t="s">
        <v>422</v>
      </c>
      <c r="F44" s="3565"/>
    </row>
    <row r="45" spans="1:26" hidden="1">
      <c r="B45" s="55" t="s">
        <v>423</v>
      </c>
      <c r="E45" s="47">
        <f>+'1. mell.ÖSSZEVONT_MÉRLEG'!E74</f>
        <v>2690000000</v>
      </c>
      <c r="F45" s="47">
        <f>+F20+'3. mell.  '!F20</f>
        <v>3332566997</v>
      </c>
      <c r="M45" s="56">
        <f>E46+E48</f>
        <v>35447936916.269684</v>
      </c>
    </row>
    <row r="46" spans="1:26" hidden="1">
      <c r="B46" s="55" t="s">
        <v>424</v>
      </c>
      <c r="E46" s="47">
        <f>+'1. mell.ÖSSZEVONT_MÉRLEG'!E63</f>
        <v>27257936916.26968</v>
      </c>
      <c r="F46" s="47">
        <f>+F18+'3. mell.  '!F18</f>
        <v>27735504297.26968</v>
      </c>
      <c r="M46" s="56">
        <f>+E47+E49</f>
        <v>35447936916</v>
      </c>
    </row>
    <row r="47" spans="1:26" hidden="1">
      <c r="B47" s="55" t="s">
        <v>425</v>
      </c>
      <c r="E47" s="47">
        <f>+'1. mell.ÖSSZEVONT_MÉRLEG'!E130</f>
        <v>29912962817</v>
      </c>
      <c r="F47" s="47">
        <f>+Q18+'3. mell.  '!Q18</f>
        <v>31035162155</v>
      </c>
      <c r="M47" s="56">
        <f>+M45-M46</f>
        <v>0.269683837890625</v>
      </c>
    </row>
    <row r="48" spans="1:26" hidden="1">
      <c r="B48" s="55" t="s">
        <v>426</v>
      </c>
      <c r="E48" s="47">
        <f>+'1. mell.ÖSSZEVONT_MÉRLEG'!E87</f>
        <v>8190000000</v>
      </c>
      <c r="F48" s="47">
        <f>+F30+'3. mell.  '!F31</f>
        <v>8834631957</v>
      </c>
      <c r="M48" s="56"/>
    </row>
    <row r="49" spans="2:13" hidden="1">
      <c r="B49" s="55" t="s">
        <v>427</v>
      </c>
      <c r="E49" s="47">
        <f>+'1. mell.ÖSSZEVONT_MÉRLEG'!E152</f>
        <v>5534974099</v>
      </c>
      <c r="F49" s="47">
        <f>+Q30+'3. mell.  '!Q31</f>
        <v>5534974099</v>
      </c>
      <c r="M49" s="56"/>
    </row>
  </sheetData>
  <sheetProtection algorithmName="SHA-512" hashValue="sjcqb3BDCb713uTwiZTSo/MAHXZdBGMAcpYabKaPR7/9y6dCtLlUAIiDMAmUyUG/BSSxqlII7UiHC2wXJPXn+Q==" saltValue="KiJb9W6AwrW0F7cDZfQQFg==" spinCount="100000" sheet="1" selectLockedCells="1" selectUnlockedCells="1"/>
  <mergeCells count="4">
    <mergeCell ref="B34:M34"/>
    <mergeCell ref="E44:F44"/>
    <mergeCell ref="A1:Y1"/>
    <mergeCell ref="A2:Y2"/>
  </mergeCells>
  <printOptions horizontalCentered="1"/>
  <pageMargins left="0" right="0" top="0.47244094488188981" bottom="0.51181102362204722" header="0.19685039370078741" footer="0.27559055118110237"/>
  <pageSetup paperSize="9" scale="48" firstPageNumber="0" orientation="portrait" r:id="rId1"/>
  <headerFooter alignWithMargins="0">
    <oddHeader xml:space="preserve">&amp;R&amp;"Times New Roman CE,Félkövér dőlt"&amp;11 </oddHeader>
    <oddFooter>&amp;C&amp;"Arial CE,Félkövér"&amp;12&amp;P/&amp;N</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4184-A66A-497D-92E4-A1204A0E98E3}">
  <sheetPr>
    <tabColor theme="6" tint="0.39997558519241921"/>
    <pageSetUpPr fitToPage="1"/>
  </sheetPr>
  <dimension ref="A1:K88"/>
  <sheetViews>
    <sheetView view="pageBreakPreview" topLeftCell="B1" zoomScale="80" zoomScaleNormal="70" zoomScaleSheetLayoutView="80" workbookViewId="0">
      <pane xSplit="1" ySplit="2" topLeftCell="C3" activePane="bottomRight" state="frozen"/>
      <selection activeCell="A3" sqref="A3:E3"/>
      <selection pane="topRight" activeCell="A3" sqref="A3:E3"/>
      <selection pane="bottomLeft" activeCell="A3" sqref="A3:E3"/>
      <selection pane="bottomRight" activeCell="A3" sqref="A3:E3"/>
    </sheetView>
  </sheetViews>
  <sheetFormatPr defaultRowHeight="15.75"/>
  <cols>
    <col min="1" max="1" width="11.5703125" style="859" customWidth="1"/>
    <col min="2" max="2" width="70.140625" style="859" customWidth="1"/>
    <col min="3" max="3" width="60.85546875" style="859" customWidth="1"/>
    <col min="4" max="4" width="17.7109375" style="859" customWidth="1"/>
    <col min="5" max="5" width="26.140625" style="859" customWidth="1"/>
    <col min="6" max="6" width="67.28515625" style="859" customWidth="1"/>
    <col min="7" max="16384" width="9.140625" style="859"/>
  </cols>
  <sheetData>
    <row r="1" spans="1:7" ht="23.25" hidden="1" thickBot="1">
      <c r="B1" s="3827"/>
      <c r="C1" s="3827"/>
      <c r="D1" s="3827"/>
      <c r="E1" s="3827"/>
      <c r="F1" s="860"/>
      <c r="G1" s="860"/>
    </row>
    <row r="2" spans="1:7" s="291" customFormat="1" ht="57.75" customHeight="1">
      <c r="A2" s="861" t="s">
        <v>2766</v>
      </c>
      <c r="B2" s="1380" t="s">
        <v>2767</v>
      </c>
      <c r="C2" s="1381" t="s">
        <v>2768</v>
      </c>
      <c r="D2" s="1381" t="s">
        <v>2769</v>
      </c>
      <c r="E2" s="1382" t="s">
        <v>3335</v>
      </c>
      <c r="F2" s="862"/>
    </row>
    <row r="3" spans="1:7" s="866" customFormat="1">
      <c r="A3" s="863" t="s">
        <v>6</v>
      </c>
      <c r="B3" s="1383" t="s">
        <v>2770</v>
      </c>
      <c r="C3" s="864" t="s">
        <v>2771</v>
      </c>
      <c r="D3" s="865"/>
      <c r="E3" s="1384"/>
    </row>
    <row r="4" spans="1:7" s="291" customFormat="1" ht="20.100000000000001" customHeight="1">
      <c r="A4" s="867" t="s">
        <v>2772</v>
      </c>
      <c r="B4" s="1385" t="s">
        <v>2773</v>
      </c>
      <c r="C4" s="868" t="s">
        <v>3820</v>
      </c>
      <c r="D4" s="1007">
        <v>0</v>
      </c>
      <c r="E4" s="1008">
        <v>0</v>
      </c>
    </row>
    <row r="5" spans="1:7" s="291" customFormat="1" ht="20.100000000000001" customHeight="1">
      <c r="A5" s="867" t="s">
        <v>2774</v>
      </c>
      <c r="B5" s="1385" t="s">
        <v>620</v>
      </c>
      <c r="C5" s="868" t="s">
        <v>3820</v>
      </c>
      <c r="D5" s="869">
        <v>0</v>
      </c>
      <c r="E5" s="1386">
        <v>0</v>
      </c>
    </row>
    <row r="6" spans="1:7" s="291" customFormat="1" ht="20.100000000000001" customHeight="1">
      <c r="A6" s="867" t="s">
        <v>2775</v>
      </c>
      <c r="B6" s="1385" t="s">
        <v>2776</v>
      </c>
      <c r="C6" s="868" t="s">
        <v>3820</v>
      </c>
      <c r="D6" s="869">
        <v>1</v>
      </c>
      <c r="E6" s="1386">
        <v>14985</v>
      </c>
    </row>
    <row r="7" spans="1:7" s="873" customFormat="1" ht="20.100000000000001" customHeight="1">
      <c r="A7" s="870"/>
      <c r="B7" s="1387"/>
      <c r="C7" s="871" t="s">
        <v>2777</v>
      </c>
      <c r="D7" s="872">
        <f>+D4+D5+D6</f>
        <v>1</v>
      </c>
      <c r="E7" s="1388">
        <f>+E4+E5+E6</f>
        <v>14985</v>
      </c>
    </row>
    <row r="8" spans="1:7" s="866" customFormat="1" ht="20.100000000000001" customHeight="1">
      <c r="A8" s="863" t="s">
        <v>12</v>
      </c>
      <c r="B8" s="1389" t="s">
        <v>2778</v>
      </c>
      <c r="C8" s="864" t="s">
        <v>2779</v>
      </c>
      <c r="D8" s="875"/>
      <c r="E8" s="1390"/>
    </row>
    <row r="9" spans="1:7" s="291" customFormat="1" ht="47.25">
      <c r="A9" s="867" t="s">
        <v>2780</v>
      </c>
      <c r="B9" s="1385" t="s">
        <v>2773</v>
      </c>
      <c r="C9" s="876" t="s">
        <v>3821</v>
      </c>
      <c r="D9" s="869">
        <v>0</v>
      </c>
      <c r="E9" s="1386">
        <v>0</v>
      </c>
    </row>
    <row r="10" spans="1:7" s="291" customFormat="1" ht="47.25">
      <c r="A10" s="867" t="s">
        <v>2781</v>
      </c>
      <c r="B10" s="1385" t="s">
        <v>620</v>
      </c>
      <c r="C10" s="876" t="s">
        <v>3822</v>
      </c>
      <c r="D10" s="869">
        <v>0</v>
      </c>
      <c r="E10" s="1386">
        <v>0</v>
      </c>
    </row>
    <row r="11" spans="1:7" s="291" customFormat="1" ht="29.25" customHeight="1">
      <c r="A11" s="867" t="s">
        <v>2782</v>
      </c>
      <c r="B11" s="1385" t="s">
        <v>2776</v>
      </c>
      <c r="C11" s="868" t="s">
        <v>2783</v>
      </c>
      <c r="D11" s="877">
        <v>0</v>
      </c>
      <c r="E11" s="1386">
        <v>0</v>
      </c>
    </row>
    <row r="12" spans="1:7" s="873" customFormat="1" ht="20.25" customHeight="1">
      <c r="A12" s="870"/>
      <c r="B12" s="1387"/>
      <c r="C12" s="871" t="s">
        <v>2784</v>
      </c>
      <c r="D12" s="878">
        <f>+D9+D10+D11</f>
        <v>0</v>
      </c>
      <c r="E12" s="1391">
        <f>+E9+E10+E11</f>
        <v>0</v>
      </c>
    </row>
    <row r="13" spans="1:7" s="866" customFormat="1" ht="19.5" customHeight="1">
      <c r="A13" s="863" t="s">
        <v>14</v>
      </c>
      <c r="B13" s="1389" t="s">
        <v>2785</v>
      </c>
      <c r="C13" s="864" t="s">
        <v>2786</v>
      </c>
      <c r="D13" s="879" t="s">
        <v>2787</v>
      </c>
      <c r="E13" s="1392" t="s">
        <v>2788</v>
      </c>
    </row>
    <row r="14" spans="1:7" s="291" customFormat="1" ht="20.25" customHeight="1">
      <c r="A14" s="867" t="s">
        <v>2789</v>
      </c>
      <c r="B14" s="1385" t="s">
        <v>613</v>
      </c>
      <c r="C14" s="868" t="s">
        <v>2790</v>
      </c>
      <c r="D14" s="1009">
        <v>0</v>
      </c>
      <c r="E14" s="1008">
        <v>0</v>
      </c>
    </row>
    <row r="15" spans="1:7" s="291" customFormat="1" ht="18" customHeight="1">
      <c r="A15" s="867" t="s">
        <v>2791</v>
      </c>
      <c r="B15" s="1385" t="s">
        <v>620</v>
      </c>
      <c r="C15" s="868" t="s">
        <v>2792</v>
      </c>
      <c r="D15" s="1007">
        <v>0</v>
      </c>
      <c r="E15" s="1008">
        <v>0</v>
      </c>
    </row>
    <row r="16" spans="1:7" s="291" customFormat="1" ht="21.75" hidden="1" customHeight="1">
      <c r="A16" s="867" t="s">
        <v>1773</v>
      </c>
      <c r="B16" s="1385"/>
      <c r="C16" s="868"/>
      <c r="D16" s="1329"/>
      <c r="E16" s="1330"/>
    </row>
    <row r="17" spans="1:11" s="291" customFormat="1" hidden="1">
      <c r="A17" s="867"/>
      <c r="B17" s="1385"/>
      <c r="C17" s="868" t="s">
        <v>2793</v>
      </c>
      <c r="D17" s="877">
        <v>62</v>
      </c>
      <c r="E17" s="1393">
        <v>1575</v>
      </c>
    </row>
    <row r="18" spans="1:11" s="291" customFormat="1" hidden="1">
      <c r="A18" s="867"/>
      <c r="B18" s="1385"/>
      <c r="C18" s="868" t="s">
        <v>2794</v>
      </c>
      <c r="D18" s="877">
        <v>7339</v>
      </c>
      <c r="E18" s="1393">
        <v>652738</v>
      </c>
    </row>
    <row r="19" spans="1:11" s="291" customFormat="1" hidden="1">
      <c r="A19" s="867"/>
      <c r="B19" s="1385"/>
      <c r="C19" s="868" t="s">
        <v>2795</v>
      </c>
      <c r="D19" s="877">
        <v>706</v>
      </c>
      <c r="E19" s="1393">
        <v>8148</v>
      </c>
    </row>
    <row r="20" spans="1:11" s="882" customFormat="1">
      <c r="A20" s="881"/>
      <c r="B20" s="1387"/>
      <c r="C20" s="871"/>
      <c r="D20" s="878"/>
      <c r="E20" s="1391"/>
    </row>
    <row r="21" spans="1:11" s="291" customFormat="1" ht="35.25" customHeight="1">
      <c r="A21" s="863" t="s">
        <v>15</v>
      </c>
      <c r="B21" s="1383" t="s">
        <v>2796</v>
      </c>
      <c r="C21" s="864" t="s">
        <v>2797</v>
      </c>
      <c r="D21" s="883"/>
      <c r="E21" s="1394" t="s">
        <v>3335</v>
      </c>
    </row>
    <row r="22" spans="1:11" s="291" customFormat="1" ht="20.25" customHeight="1">
      <c r="A22" s="867"/>
      <c r="B22" s="1389"/>
      <c r="C22" s="876" t="s">
        <v>3349</v>
      </c>
      <c r="D22" s="880">
        <v>0</v>
      </c>
      <c r="E22" s="1386">
        <v>0</v>
      </c>
    </row>
    <row r="23" spans="1:11" s="291" customFormat="1">
      <c r="A23" s="867"/>
      <c r="B23" s="1385" t="s">
        <v>2798</v>
      </c>
      <c r="C23" s="876"/>
      <c r="D23" s="880">
        <v>0</v>
      </c>
      <c r="E23" s="1386">
        <v>0</v>
      </c>
    </row>
    <row r="24" spans="1:11" s="873" customFormat="1" ht="27" customHeight="1">
      <c r="A24" s="870"/>
      <c r="B24" s="1387"/>
      <c r="C24" s="865" t="s">
        <v>2799</v>
      </c>
      <c r="D24" s="884">
        <f>SUM(D22:D23)</f>
        <v>0</v>
      </c>
      <c r="E24" s="1395">
        <f>SUM(E22:E23)</f>
        <v>0</v>
      </c>
    </row>
    <row r="25" spans="1:11" s="866" customFormat="1" ht="47.25">
      <c r="A25" s="863" t="s">
        <v>17</v>
      </c>
      <c r="B25" s="1383" t="s">
        <v>2800</v>
      </c>
      <c r="C25" s="885" t="s">
        <v>2801</v>
      </c>
      <c r="D25" s="864" t="s">
        <v>2769</v>
      </c>
      <c r="E25" s="1394" t="s">
        <v>3335</v>
      </c>
      <c r="G25" s="886"/>
      <c r="H25" s="887"/>
      <c r="I25" s="887"/>
      <c r="J25" s="887"/>
      <c r="K25" s="887"/>
    </row>
    <row r="26" spans="1:11" s="291" customFormat="1" ht="27" customHeight="1">
      <c r="A26" s="867" t="s">
        <v>2802</v>
      </c>
      <c r="B26" s="1396" t="s">
        <v>2803</v>
      </c>
      <c r="C26" s="1114" t="s">
        <v>2804</v>
      </c>
      <c r="D26" s="1115">
        <v>2</v>
      </c>
      <c r="E26" s="1397">
        <f>2*185*891</f>
        <v>329670</v>
      </c>
    </row>
    <row r="27" spans="1:11" ht="36.75" customHeight="1">
      <c r="A27" s="888" t="s">
        <v>2805</v>
      </c>
      <c r="B27" s="876" t="s">
        <v>3348</v>
      </c>
      <c r="C27" s="1114" t="s">
        <v>2806</v>
      </c>
      <c r="D27" s="880">
        <f>43+9+3+47</f>
        <v>102</v>
      </c>
      <c r="E27" s="1386">
        <v>11072220</v>
      </c>
    </row>
    <row r="28" spans="1:11" ht="27" hidden="1" customHeight="1">
      <c r="A28" s="888" t="s">
        <v>2807</v>
      </c>
      <c r="B28" s="1396"/>
      <c r="C28" s="1114"/>
      <c r="D28" s="1115"/>
      <c r="E28" s="1397"/>
    </row>
    <row r="29" spans="1:11" ht="27" customHeight="1">
      <c r="A29" s="888"/>
      <c r="B29" s="1396" t="s">
        <v>2808</v>
      </c>
      <c r="C29" s="1114"/>
      <c r="D29" s="1116">
        <v>0</v>
      </c>
      <c r="E29" s="1397">
        <v>0</v>
      </c>
    </row>
    <row r="30" spans="1:11" s="891" customFormat="1" ht="27" customHeight="1">
      <c r="A30" s="889"/>
      <c r="B30" s="1387"/>
      <c r="C30" s="865" t="s">
        <v>2809</v>
      </c>
      <c r="D30" s="890">
        <f>SUM(D26:D29)</f>
        <v>104</v>
      </c>
      <c r="E30" s="1390">
        <f>SUM(E26:E29)</f>
        <v>11401890</v>
      </c>
    </row>
    <row r="31" spans="1:11" s="866" customFormat="1" ht="31.5">
      <c r="A31" s="863" t="s">
        <v>19</v>
      </c>
      <c r="B31" s="1383" t="s">
        <v>2810</v>
      </c>
      <c r="C31" s="864" t="s">
        <v>2811</v>
      </c>
      <c r="D31" s="875"/>
      <c r="E31" s="1394" t="s">
        <v>3336</v>
      </c>
    </row>
    <row r="32" spans="1:11" s="866" customFormat="1" ht="27.75" customHeight="1">
      <c r="A32" s="863"/>
      <c r="B32" s="3828" t="s">
        <v>2812</v>
      </c>
      <c r="C32" s="3829"/>
      <c r="D32" s="3829"/>
      <c r="E32" s="3830"/>
    </row>
    <row r="33" spans="1:6" s="866" customFormat="1" ht="65.25" customHeight="1">
      <c r="A33" s="863"/>
      <c r="B33" s="1398" t="s">
        <v>2813</v>
      </c>
      <c r="C33" s="876" t="s">
        <v>2814</v>
      </c>
      <c r="D33" s="892"/>
      <c r="E33" s="1399" t="s">
        <v>2815</v>
      </c>
    </row>
    <row r="34" spans="1:6" s="866" customFormat="1" ht="34.5" hidden="1">
      <c r="A34" s="863"/>
      <c r="B34" s="1398" t="s">
        <v>2816</v>
      </c>
      <c r="C34" s="876" t="s">
        <v>2817</v>
      </c>
      <c r="D34" s="869"/>
      <c r="E34" s="1400"/>
      <c r="F34" s="866" t="s">
        <v>3333</v>
      </c>
    </row>
    <row r="35" spans="1:6" s="866" customFormat="1" ht="34.5" hidden="1">
      <c r="A35" s="863"/>
      <c r="B35" s="1398" t="s">
        <v>2818</v>
      </c>
      <c r="C35" s="876" t="s">
        <v>2819</v>
      </c>
      <c r="D35" s="869"/>
      <c r="E35" s="1400"/>
      <c r="F35" s="866" t="s">
        <v>2820</v>
      </c>
    </row>
    <row r="36" spans="1:6" s="866" customFormat="1" ht="34.5" hidden="1">
      <c r="A36" s="863"/>
      <c r="B36" s="1398" t="s">
        <v>2821</v>
      </c>
      <c r="C36" s="876" t="s">
        <v>2822</v>
      </c>
      <c r="D36" s="869"/>
      <c r="E36" s="1400"/>
      <c r="F36" s="866" t="s">
        <v>2823</v>
      </c>
    </row>
    <row r="37" spans="1:6" s="866" customFormat="1" ht="34.5" hidden="1">
      <c r="A37" s="863"/>
      <c r="B37" s="1398" t="s">
        <v>2824</v>
      </c>
      <c r="C37" s="876" t="s">
        <v>2825</v>
      </c>
      <c r="D37" s="869"/>
      <c r="E37" s="1400"/>
      <c r="F37" s="866" t="s">
        <v>3334</v>
      </c>
    </row>
    <row r="38" spans="1:6" s="866" customFormat="1" ht="34.5" hidden="1">
      <c r="A38" s="863"/>
      <c r="B38" s="1398" t="s">
        <v>2826</v>
      </c>
      <c r="C38" s="876" t="s">
        <v>2827</v>
      </c>
      <c r="D38" s="869"/>
      <c r="E38" s="1400"/>
      <c r="F38" s="866" t="s">
        <v>2820</v>
      </c>
    </row>
    <row r="39" spans="1:6" s="866" customFormat="1" ht="50.25" hidden="1">
      <c r="A39" s="863"/>
      <c r="B39" s="1398" t="s">
        <v>2828</v>
      </c>
      <c r="C39" s="876" t="s">
        <v>2829</v>
      </c>
      <c r="D39" s="869"/>
      <c r="E39" s="1400"/>
      <c r="F39" s="866" t="s">
        <v>2820</v>
      </c>
    </row>
    <row r="40" spans="1:6" s="866" customFormat="1" ht="81" customHeight="1">
      <c r="A40" s="863"/>
      <c r="B40" s="1401" t="s">
        <v>2830</v>
      </c>
      <c r="C40" s="1113" t="s">
        <v>3337</v>
      </c>
      <c r="D40" s="1327">
        <v>1</v>
      </c>
      <c r="E40" s="1402">
        <f>812800</f>
        <v>812800</v>
      </c>
    </row>
    <row r="41" spans="1:6" s="866" customFormat="1" ht="71.25" customHeight="1">
      <c r="A41" s="863"/>
      <c r="B41" s="1401" t="s">
        <v>2831</v>
      </c>
      <c r="C41" s="1113" t="s">
        <v>3029</v>
      </c>
      <c r="D41" s="1327">
        <v>1</v>
      </c>
      <c r="E41" s="1402">
        <f>25000*12*1.27</f>
        <v>381000</v>
      </c>
    </row>
    <row r="42" spans="1:6" s="866" customFormat="1" hidden="1">
      <c r="A42" s="863"/>
      <c r="B42" s="1398"/>
      <c r="C42" s="876"/>
      <c r="D42" s="869"/>
      <c r="E42" s="1403"/>
    </row>
    <row r="43" spans="1:6" s="866" customFormat="1" hidden="1">
      <c r="A43" s="863"/>
      <c r="B43" s="1398" t="s">
        <v>2832</v>
      </c>
      <c r="C43" s="876"/>
      <c r="D43" s="869"/>
      <c r="E43" s="1403"/>
    </row>
    <row r="44" spans="1:6" s="291" customFormat="1" ht="111.75" hidden="1" customHeight="1">
      <c r="A44" s="867"/>
      <c r="B44" s="1398" t="s">
        <v>2833</v>
      </c>
      <c r="C44" s="876"/>
      <c r="D44" s="869"/>
      <c r="E44" s="1403"/>
    </row>
    <row r="45" spans="1:6" s="291" customFormat="1" ht="31.5">
      <c r="A45" s="867"/>
      <c r="B45" s="1389"/>
      <c r="C45" s="893" t="s">
        <v>2834</v>
      </c>
      <c r="D45" s="875">
        <f>SUM(D34:D44)</f>
        <v>2</v>
      </c>
      <c r="E45" s="1390">
        <f>SUM(E34:E41)</f>
        <v>1193800</v>
      </c>
    </row>
    <row r="46" spans="1:6" s="866" customFormat="1" ht="47.25">
      <c r="A46" s="863" t="s">
        <v>21</v>
      </c>
      <c r="B46" s="1389" t="s">
        <v>2835</v>
      </c>
      <c r="C46" s="893" t="s">
        <v>2836</v>
      </c>
      <c r="D46" s="875"/>
      <c r="E46" s="1394" t="s">
        <v>3332</v>
      </c>
    </row>
    <row r="47" spans="1:6" s="866" customFormat="1">
      <c r="A47" s="863"/>
      <c r="B47" s="1389"/>
      <c r="C47" s="1112"/>
      <c r="D47" s="875">
        <v>0</v>
      </c>
      <c r="E47" s="1404">
        <v>0</v>
      </c>
    </row>
    <row r="48" spans="1:6" s="866" customFormat="1" ht="48" thickBot="1">
      <c r="A48" s="894"/>
      <c r="B48" s="1389" t="s">
        <v>3153</v>
      </c>
      <c r="C48" s="874" t="s">
        <v>3154</v>
      </c>
      <c r="D48" s="875"/>
      <c r="E48" s="1394" t="s">
        <v>3331</v>
      </c>
    </row>
    <row r="49" spans="2:6">
      <c r="B49" s="1796" t="s">
        <v>3155</v>
      </c>
      <c r="C49" s="1799" t="s">
        <v>3823</v>
      </c>
      <c r="D49" s="1670">
        <v>1</v>
      </c>
      <c r="E49" s="1798">
        <v>36000</v>
      </c>
    </row>
    <row r="50" spans="2:6">
      <c r="B50" s="1796" t="s">
        <v>3824</v>
      </c>
      <c r="C50" s="1797" t="s">
        <v>3823</v>
      </c>
      <c r="D50" s="1670">
        <v>1</v>
      </c>
      <c r="E50" s="1798">
        <v>16000</v>
      </c>
    </row>
    <row r="51" spans="2:6" ht="15.75" customHeight="1">
      <c r="B51" s="1796" t="s">
        <v>3824</v>
      </c>
      <c r="C51" s="1797" t="s">
        <v>3825</v>
      </c>
      <c r="D51" s="1670">
        <v>1</v>
      </c>
      <c r="E51" s="1405">
        <v>13000</v>
      </c>
    </row>
    <row r="52" spans="2:6">
      <c r="B52" s="1796" t="s">
        <v>3347</v>
      </c>
      <c r="C52" s="1797" t="s">
        <v>3823</v>
      </c>
      <c r="D52" s="1670">
        <v>1</v>
      </c>
      <c r="E52" s="1405">
        <v>35000</v>
      </c>
    </row>
    <row r="53" spans="2:6">
      <c r="B53" s="1796" t="s">
        <v>3156</v>
      </c>
      <c r="C53" s="1797" t="s">
        <v>3825</v>
      </c>
      <c r="D53" s="1670">
        <v>1</v>
      </c>
      <c r="E53" s="1405">
        <v>12000</v>
      </c>
    </row>
    <row r="54" spans="2:6">
      <c r="B54" s="1796" t="s">
        <v>3626</v>
      </c>
      <c r="C54" s="1797" t="s">
        <v>3823</v>
      </c>
      <c r="D54" s="1670">
        <v>1</v>
      </c>
      <c r="E54" s="1405">
        <v>27000</v>
      </c>
    </row>
    <row r="55" spans="2:6">
      <c r="B55" s="2263" t="s">
        <v>3826</v>
      </c>
      <c r="C55" s="2264" t="s">
        <v>3825</v>
      </c>
      <c r="D55" s="2265">
        <v>1</v>
      </c>
      <c r="E55" s="1407">
        <v>18000</v>
      </c>
    </row>
    <row r="56" spans="2:6" hidden="1">
      <c r="B56" s="1406"/>
      <c r="C56" s="1111"/>
      <c r="D56" s="1110"/>
      <c r="E56" s="1407"/>
    </row>
    <row r="57" spans="2:6" hidden="1">
      <c r="B57" s="1406"/>
      <c r="C57" s="1111"/>
      <c r="D57" s="1110"/>
      <c r="E57" s="1407"/>
    </row>
    <row r="58" spans="2:6" hidden="1">
      <c r="B58" s="1406"/>
      <c r="C58" s="1111"/>
      <c r="D58" s="1110"/>
      <c r="E58" s="1407"/>
    </row>
    <row r="59" spans="2:6" hidden="1">
      <c r="B59" s="1406"/>
      <c r="C59" s="1111"/>
      <c r="D59" s="1110"/>
      <c r="E59" s="1407"/>
    </row>
    <row r="60" spans="2:6" hidden="1">
      <c r="B60" s="1406"/>
      <c r="C60" s="1111"/>
      <c r="D60" s="1110"/>
      <c r="E60" s="1407"/>
    </row>
    <row r="61" spans="2:6" ht="16.5" thickBot="1">
      <c r="B61" s="1408"/>
      <c r="C61" s="1409" t="s">
        <v>3157</v>
      </c>
      <c r="D61" s="1410">
        <f>SUM(D49:D60)</f>
        <v>7</v>
      </c>
      <c r="E61" s="1411">
        <f>SUM(E49:E60)</f>
        <v>157000</v>
      </c>
    </row>
    <row r="62" spans="2:6">
      <c r="F62" s="290"/>
    </row>
    <row r="63" spans="2:6" hidden="1">
      <c r="E63" s="290">
        <f>+E61+E45+E30+E16</f>
        <v>12752690</v>
      </c>
    </row>
    <row r="88" ht="36.75" customHeight="1"/>
  </sheetData>
  <sheetProtection selectLockedCells="1" selectUnlockedCells="1"/>
  <mergeCells count="2">
    <mergeCell ref="B1:E1"/>
    <mergeCell ref="B32:E32"/>
  </mergeCells>
  <printOptions horizontalCentered="1"/>
  <pageMargins left="0.23622047244094491" right="0.23622047244094491" top="0.39370078740157483" bottom="0.23622047244094491" header="0.19685039370078741" footer="0.15748031496062992"/>
  <pageSetup paperSize="9" scale="58" firstPageNumber="0" orientation="portrait" r:id="rId1"/>
  <headerFooter alignWithMargins="0">
    <oddHeader xml:space="preserve">&amp;C&amp;"Arial CE,Félkövér"&amp;11Budapest Főváros XVI. kerületi Önkormányzat által nyújtott közvetett támogatásokról&amp;R&amp;"Arial CE,Félkövér"&amp;14 3. tájékoztató tábla </oddHeader>
    <oddFooter>&amp;C&amp;"Arial CE,Félkövér"&amp;18&amp;P/&amp;N</oddFooter>
  </headerFooter>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57207-3638-416A-8CAF-951B4B822575}">
  <sheetPr>
    <tabColor theme="6" tint="0.39997558519241921"/>
  </sheetPr>
  <dimension ref="A1:S93"/>
  <sheetViews>
    <sheetView view="pageBreakPreview" zoomScale="90" zoomScaleSheetLayoutView="90" workbookViewId="0">
      <pane xSplit="2" ySplit="5" topLeftCell="C6" activePane="bottomRight" state="frozen"/>
      <selection activeCell="A3" sqref="A3:E3"/>
      <selection pane="topRight" activeCell="A3" sqref="A3:E3"/>
      <selection pane="bottomLeft" activeCell="A3" sqref="A3:E3"/>
      <selection pane="bottomRight" activeCell="A3" sqref="A3:E3"/>
    </sheetView>
  </sheetViews>
  <sheetFormatPr defaultColWidth="8" defaultRowHeight="15.75"/>
  <cols>
    <col min="1" max="1" width="5.5703125" style="895" customWidth="1"/>
    <col min="2" max="2" width="30.28515625" style="896" customWidth="1"/>
    <col min="3" max="5" width="10.85546875" style="896" bestFit="1" customWidth="1"/>
    <col min="6" max="6" width="11.7109375" style="896" bestFit="1" customWidth="1"/>
    <col min="7" max="10" width="10.85546875" style="896" bestFit="1" customWidth="1"/>
    <col min="11" max="14" width="11.7109375" style="896" bestFit="1" customWidth="1"/>
    <col min="15" max="15" width="15.5703125" style="895" customWidth="1"/>
    <col min="16" max="16" width="15.42578125" style="896" hidden="1" customWidth="1"/>
    <col min="17" max="17" width="17.7109375" style="896" hidden="1" customWidth="1"/>
    <col min="18" max="18" width="9.28515625" style="896" bestFit="1" customWidth="1"/>
    <col min="19" max="19" width="11" style="896" bestFit="1" customWidth="1"/>
    <col min="20" max="16384" width="8" style="896"/>
  </cols>
  <sheetData>
    <row r="1" spans="1:19">
      <c r="O1" s="897" t="s">
        <v>3628</v>
      </c>
    </row>
    <row r="2" spans="1:19" ht="31.5" customHeight="1">
      <c r="A2" s="3831" t="s">
        <v>3771</v>
      </c>
      <c r="B2" s="3831"/>
      <c r="C2" s="3831"/>
      <c r="D2" s="3831"/>
      <c r="E2" s="3831"/>
      <c r="F2" s="3831"/>
      <c r="G2" s="3831"/>
      <c r="H2" s="3831"/>
      <c r="I2" s="3831"/>
      <c r="J2" s="3831"/>
      <c r="K2" s="3831"/>
      <c r="L2" s="3831"/>
      <c r="M2" s="3831"/>
      <c r="N2" s="3831"/>
      <c r="O2" s="3831"/>
      <c r="Q2" s="898"/>
    </row>
    <row r="3" spans="1:19">
      <c r="O3" s="924" t="s">
        <v>3300</v>
      </c>
    </row>
    <row r="4" spans="1:19" s="895" customFormat="1" ht="26.1" customHeight="1">
      <c r="A4" s="899" t="s">
        <v>2726</v>
      </c>
      <c r="B4" s="900" t="s">
        <v>136</v>
      </c>
      <c r="C4" s="900" t="s">
        <v>2837</v>
      </c>
      <c r="D4" s="900" t="s">
        <v>2838</v>
      </c>
      <c r="E4" s="900" t="s">
        <v>2839</v>
      </c>
      <c r="F4" s="900" t="s">
        <v>2840</v>
      </c>
      <c r="G4" s="900" t="s">
        <v>2841</v>
      </c>
      <c r="H4" s="900" t="s">
        <v>2842</v>
      </c>
      <c r="I4" s="900" t="s">
        <v>2843</v>
      </c>
      <c r="J4" s="900" t="s">
        <v>2844</v>
      </c>
      <c r="K4" s="900" t="s">
        <v>2845</v>
      </c>
      <c r="L4" s="900" t="s">
        <v>2846</v>
      </c>
      <c r="M4" s="900" t="s">
        <v>2847</v>
      </c>
      <c r="N4" s="900" t="s">
        <v>2848</v>
      </c>
      <c r="O4" s="901" t="s">
        <v>66</v>
      </c>
    </row>
    <row r="5" spans="1:19" s="895" customFormat="1" ht="15" customHeight="1">
      <c r="A5" s="902" t="s">
        <v>6</v>
      </c>
      <c r="B5" s="3832" t="s">
        <v>390</v>
      </c>
      <c r="C5" s="3832"/>
      <c r="D5" s="3832"/>
      <c r="E5" s="3832"/>
      <c r="F5" s="3832"/>
      <c r="G5" s="3832"/>
      <c r="H5" s="3832"/>
      <c r="I5" s="3832"/>
      <c r="J5" s="3832"/>
      <c r="K5" s="3832"/>
      <c r="L5" s="3832"/>
      <c r="M5" s="3832"/>
      <c r="N5" s="3832"/>
      <c r="O5" s="3832"/>
    </row>
    <row r="6" spans="1:19" s="895" customFormat="1" ht="22.5">
      <c r="A6" s="903" t="s">
        <v>12</v>
      </c>
      <c r="B6" s="904" t="s">
        <v>3385</v>
      </c>
      <c r="C6" s="905">
        <f>+P6*0.05</f>
        <v>331797209.70000005</v>
      </c>
      <c r="D6" s="905">
        <f>+P6*0.08</f>
        <v>530875535.52000004</v>
      </c>
      <c r="E6" s="905">
        <f>+P6*0.13</f>
        <v>862672745.22000003</v>
      </c>
      <c r="F6" s="905">
        <f>+P6*0.08</f>
        <v>530875535.52000004</v>
      </c>
      <c r="G6" s="905">
        <f>+P6*0.08</f>
        <v>530875535.52000004</v>
      </c>
      <c r="H6" s="905">
        <f>+P6*0.08</f>
        <v>530875535.52000004</v>
      </c>
      <c r="I6" s="905">
        <f>+P6*0.08</f>
        <v>530875535.52000004</v>
      </c>
      <c r="J6" s="905">
        <f>+P6*0.08</f>
        <v>530875535.52000004</v>
      </c>
      <c r="K6" s="905">
        <f>+P6*0.08</f>
        <v>530875535.52000004</v>
      </c>
      <c r="L6" s="905">
        <f>+P6*0.08</f>
        <v>530875535.52000004</v>
      </c>
      <c r="M6" s="905">
        <f>+P6*0.08</f>
        <v>530875535.52000004</v>
      </c>
      <c r="N6" s="905">
        <f>+P6*0.1</f>
        <v>663594419.4000001</v>
      </c>
      <c r="O6" s="906">
        <f t="shared" ref="O6:O15" si="0">SUM(C6:N6)</f>
        <v>6635944194.0000019</v>
      </c>
      <c r="P6" s="907">
        <f>+'1. mell.ÖSSZEVONT_MÉRLEG'!E7</f>
        <v>6635944194</v>
      </c>
      <c r="Q6" s="907">
        <f t="shared" ref="Q6:Q15" si="1">+O6-P6</f>
        <v>0</v>
      </c>
    </row>
    <row r="7" spans="1:19">
      <c r="A7" s="908" t="s">
        <v>14</v>
      </c>
      <c r="B7" s="909" t="s">
        <v>3386</v>
      </c>
      <c r="C7" s="910">
        <f>'7. mell. Önk.összes.bevétele'!K58/12-'7. mell. Önk.összes.bevétele'!K50/12+'8. mell. Intézmények összesen'!F23/12+'7. mell. Önk.összes.bevétele'!K41+538906+333333</f>
        <v>259709458</v>
      </c>
      <c r="D7" s="910">
        <f>'7. mell. Önk.összes.bevétele'!K58/12-'7. mell. Önk.összes.bevétele'!K50/12+'8. mell. Intézmények összesen'!F23/12+538906+333333</f>
        <v>259709458</v>
      </c>
      <c r="E7" s="910">
        <f>'7. mell. Önk.összes.bevétele'!K58/12-'7. mell. Önk.összes.bevétele'!K50/12+'8. mell. Intézmények összesen'!F23/12+538906+333333</f>
        <v>259709458</v>
      </c>
      <c r="F7" s="910">
        <f>'7. mell. Önk.összes.bevétele'!K58/12-'7. mell. Önk.összes.bevétele'!K50/12+'8. mell. Intézmények összesen'!F23/12+538906+333333</f>
        <v>259709458</v>
      </c>
      <c r="G7" s="910">
        <f>'7. mell. Önk.összes.bevétele'!K58/12-'7. mell. Önk.összes.bevétele'!K50/12+'8. mell. Intézmények összesen'!F23/12+'7. mell. Önk.összes.bevétele'!K40+538906+333333</f>
        <v>259709458</v>
      </c>
      <c r="H7" s="910">
        <f>'7. mell. Önk.összes.bevétele'!K58/12-'7. mell. Önk.összes.bevétele'!K50/12+'8. mell. Intézmények összesen'!F23/12+538906+333333</f>
        <v>259709458</v>
      </c>
      <c r="I7" s="910">
        <f>'7. mell. Önk.összes.bevétele'!K58/12-'7. mell. Önk.összes.bevétele'!K50/12+'8. mell. Intézmények összesen'!F23/12+538906+333333</f>
        <v>259709458</v>
      </c>
      <c r="J7" s="910">
        <f>'7. mell. Önk.összes.bevétele'!K58/12-'7. mell. Önk.összes.bevétele'!K50/12+'8. mell. Intézmények összesen'!F23/12+538906+333333</f>
        <v>259709458</v>
      </c>
      <c r="K7" s="910">
        <f>'7. mell. Önk.összes.bevétele'!K58/12-'7. mell. Önk.összes.bevétele'!K50/12+'8. mell. Intézmények összesen'!F23/12+538906+333333</f>
        <v>259709458</v>
      </c>
      <c r="L7" s="910">
        <f>'7. mell. Önk.összes.bevétele'!K58/12-'7. mell. Önk.összes.bevétele'!K50/12+'8. mell. Intézmények összesen'!F23/12+538906+333333</f>
        <v>259709458</v>
      </c>
      <c r="M7" s="910">
        <f>'7. mell. Önk.összes.bevétele'!K58/12-'7. mell. Önk.összes.bevétele'!K50/12+'8. mell. Intézmények összesen'!F23/12+540034+333333</f>
        <v>259710586</v>
      </c>
      <c r="N7" s="910">
        <f>'7. mell. Önk.összes.bevétele'!K58/12-'7. mell. Önk.összes.bevétele'!K50/12+'8. mell. Intézmények összesen'!F23/12+538906+333337</f>
        <v>259709462</v>
      </c>
      <c r="O7" s="911">
        <f t="shared" si="0"/>
        <v>3116514628</v>
      </c>
      <c r="P7" s="898">
        <f>+'1. mell.ÖSSZEVONT_MÉRLEG'!E14</f>
        <v>3116514628</v>
      </c>
      <c r="Q7" s="907">
        <f t="shared" si="1"/>
        <v>0</v>
      </c>
      <c r="S7" s="907"/>
    </row>
    <row r="8" spans="1:19" ht="22.5">
      <c r="A8" s="908" t="s">
        <v>15</v>
      </c>
      <c r="B8" s="912" t="s">
        <v>2849</v>
      </c>
      <c r="C8" s="913">
        <f>+'7. mell. Önk.összes.bevétele'!K268</f>
        <v>563000000</v>
      </c>
      <c r="D8" s="913">
        <v>0</v>
      </c>
      <c r="E8" s="913">
        <f>+'7. mell. Önk.összes.bevétele'!K262</f>
        <v>0</v>
      </c>
      <c r="F8" s="913">
        <v>0</v>
      </c>
      <c r="G8" s="913">
        <f>+'7. mell. Önk.összes.bevétele'!K266</f>
        <v>672350723</v>
      </c>
      <c r="H8" s="913">
        <f>+'7. mell. Önk.összes.bevétele'!K251+'7. mell. Önk.összes.bevétele'!K265</f>
        <v>0</v>
      </c>
      <c r="I8" s="913">
        <f>0</f>
        <v>0</v>
      </c>
      <c r="J8" s="913">
        <f>+'7. mell. Önk.összes.bevétele'!K267</f>
        <v>46000000</v>
      </c>
      <c r="K8" s="913">
        <f>+'7. mell. Önk.összes.bevétele'!K259/2</f>
        <v>175000000</v>
      </c>
      <c r="L8" s="913">
        <v>0</v>
      </c>
      <c r="M8" s="913">
        <v>0</v>
      </c>
      <c r="N8" s="913">
        <f>+'7. mell. Önk.összes.bevétele'!K259/2</f>
        <v>175000000</v>
      </c>
      <c r="O8" s="914">
        <f t="shared" si="0"/>
        <v>1631350723</v>
      </c>
      <c r="P8" s="898">
        <f>+'1. mell.ÖSSZEVONT_MÉRLEG'!E21</f>
        <v>1631350723</v>
      </c>
      <c r="Q8" s="907">
        <f t="shared" si="1"/>
        <v>0</v>
      </c>
    </row>
    <row r="9" spans="1:19" ht="14.1" customHeight="1">
      <c r="A9" s="908" t="s">
        <v>17</v>
      </c>
      <c r="B9" s="915" t="s">
        <v>393</v>
      </c>
      <c r="C9" s="910">
        <f>+$P$9*0.01</f>
        <v>120392279.19</v>
      </c>
      <c r="D9" s="910">
        <f>+$P$9*0.01</f>
        <v>120392279.19</v>
      </c>
      <c r="E9" s="910">
        <f>+$P$9*0.1</f>
        <v>1203922791.9000001</v>
      </c>
      <c r="F9" s="910">
        <f>+$P$9*0.3</f>
        <v>3611768375.6999998</v>
      </c>
      <c r="G9" s="910">
        <f>+$P$9*0.02</f>
        <v>240784558.38</v>
      </c>
      <c r="H9" s="910">
        <f>+$P$9*0.02</f>
        <v>240784558.38</v>
      </c>
      <c r="I9" s="910">
        <f>+$P$9*0.01</f>
        <v>120392279.19</v>
      </c>
      <c r="J9" s="910">
        <f>+$P$9*0.01</f>
        <v>120392279.19</v>
      </c>
      <c r="K9" s="910">
        <f>+$P$9*0.1</f>
        <v>1203922791.9000001</v>
      </c>
      <c r="L9" s="910">
        <f>+$P$9*0.3</f>
        <v>3611768375.6999998</v>
      </c>
      <c r="M9" s="910">
        <f>+$P$9*0.02</f>
        <v>240784558.38</v>
      </c>
      <c r="N9" s="910">
        <f>+$P$9*0.1</f>
        <v>1203922791.9000001</v>
      </c>
      <c r="O9" s="911">
        <f t="shared" si="0"/>
        <v>12039227918.999996</v>
      </c>
      <c r="P9" s="898">
        <f>+'1. mell.ÖSSZEVONT_MÉRLEG'!E28</f>
        <v>12039227919</v>
      </c>
      <c r="Q9" s="907">
        <f t="shared" si="1"/>
        <v>0</v>
      </c>
    </row>
    <row r="10" spans="1:19" ht="14.1" customHeight="1">
      <c r="A10" s="908" t="s">
        <v>19</v>
      </c>
      <c r="B10" s="915" t="s">
        <v>149</v>
      </c>
      <c r="C10" s="910">
        <f>+P10/12</f>
        <v>226956919.93913999</v>
      </c>
      <c r="D10" s="910">
        <f>+P10/12</f>
        <v>226956919.93913999</v>
      </c>
      <c r="E10" s="910">
        <f>+P10/12</f>
        <v>226956919.93913999</v>
      </c>
      <c r="F10" s="910">
        <f>+P10/12</f>
        <v>226956919.93913999</v>
      </c>
      <c r="G10" s="910">
        <f>+P10/12</f>
        <v>226956919.93913999</v>
      </c>
      <c r="H10" s="910">
        <f>+P10/12</f>
        <v>226956919.93913999</v>
      </c>
      <c r="I10" s="910">
        <f>+P10/12</f>
        <v>226956919.93913999</v>
      </c>
      <c r="J10" s="910">
        <f>+P10/12</f>
        <v>226956919.93913999</v>
      </c>
      <c r="K10" s="910">
        <f>+P10/12</f>
        <v>226956919.93913999</v>
      </c>
      <c r="L10" s="910">
        <f>+P10/12</f>
        <v>226956919.93913999</v>
      </c>
      <c r="M10" s="910">
        <f>+P10/12</f>
        <v>226956919.93913999</v>
      </c>
      <c r="N10" s="910">
        <f>+P10/12</f>
        <v>226956919.93913999</v>
      </c>
      <c r="O10" s="911">
        <f t="shared" si="0"/>
        <v>2723483039.26968</v>
      </c>
      <c r="P10" s="898">
        <f>+'1. mell.ÖSSZEVONT_MÉRLEG'!E35</f>
        <v>2723483039.26968</v>
      </c>
      <c r="Q10" s="907">
        <f t="shared" si="1"/>
        <v>0</v>
      </c>
    </row>
    <row r="11" spans="1:19" ht="14.1" customHeight="1">
      <c r="A11" s="908" t="s">
        <v>21</v>
      </c>
      <c r="B11" s="915" t="s">
        <v>431</v>
      </c>
      <c r="C11" s="910">
        <f>+$P$11/12</f>
        <v>90989154.5</v>
      </c>
      <c r="D11" s="910">
        <f t="shared" ref="D11:N11" si="2">+$P$11/12</f>
        <v>90989154.5</v>
      </c>
      <c r="E11" s="910">
        <f t="shared" si="2"/>
        <v>90989154.5</v>
      </c>
      <c r="F11" s="910">
        <f t="shared" si="2"/>
        <v>90989154.5</v>
      </c>
      <c r="G11" s="910">
        <f t="shared" si="2"/>
        <v>90989154.5</v>
      </c>
      <c r="H11" s="910">
        <f t="shared" si="2"/>
        <v>90989154.5</v>
      </c>
      <c r="I11" s="910">
        <f t="shared" si="2"/>
        <v>90989154.5</v>
      </c>
      <c r="J11" s="910">
        <f t="shared" si="2"/>
        <v>90989154.5</v>
      </c>
      <c r="K11" s="910">
        <f t="shared" si="2"/>
        <v>90989154.5</v>
      </c>
      <c r="L11" s="910">
        <f t="shared" si="2"/>
        <v>90989154.5</v>
      </c>
      <c r="M11" s="910">
        <f t="shared" si="2"/>
        <v>90989154.5</v>
      </c>
      <c r="N11" s="910">
        <f t="shared" si="2"/>
        <v>90989154.5</v>
      </c>
      <c r="O11" s="911">
        <f t="shared" si="0"/>
        <v>1091869854</v>
      </c>
      <c r="P11" s="898">
        <f>+'1. mell.ÖSSZEVONT_MÉRLEG'!E47</f>
        <v>1091869854</v>
      </c>
      <c r="Q11" s="907">
        <f t="shared" si="1"/>
        <v>0</v>
      </c>
    </row>
    <row r="12" spans="1:19" ht="14.1" customHeight="1">
      <c r="A12" s="908" t="s">
        <v>23</v>
      </c>
      <c r="B12" s="915" t="s">
        <v>153</v>
      </c>
      <c r="C12" s="910">
        <v>132812</v>
      </c>
      <c r="D12" s="910">
        <v>132812</v>
      </c>
      <c r="E12" s="910">
        <v>132812</v>
      </c>
      <c r="F12" s="910">
        <v>132812</v>
      </c>
      <c r="G12" s="910">
        <v>132812</v>
      </c>
      <c r="H12" s="910">
        <v>132812</v>
      </c>
      <c r="I12" s="910">
        <v>7000000</v>
      </c>
      <c r="J12" s="910">
        <v>132812</v>
      </c>
      <c r="K12" s="910">
        <v>132812</v>
      </c>
      <c r="L12" s="910">
        <v>132812</v>
      </c>
      <c r="M12" s="910">
        <v>132812</v>
      </c>
      <c r="N12" s="910">
        <f>8000000</f>
        <v>8000000</v>
      </c>
      <c r="O12" s="911">
        <f t="shared" si="0"/>
        <v>16328120</v>
      </c>
      <c r="P12" s="898">
        <f>+'1. mell.ÖSSZEVONT_MÉRLEG'!E53</f>
        <v>16328120</v>
      </c>
      <c r="Q12" s="907">
        <f t="shared" si="1"/>
        <v>0</v>
      </c>
      <c r="R12" s="907"/>
    </row>
    <row r="13" spans="1:19">
      <c r="A13" s="908" t="s">
        <v>25</v>
      </c>
      <c r="B13" s="909" t="s">
        <v>1281</v>
      </c>
      <c r="C13" s="910">
        <f>(P13-'7. mell. Önk.összes.bevétele'!K304)/12</f>
        <v>268203.25</v>
      </c>
      <c r="D13" s="910">
        <f>(P13-'7. mell. Önk.összes.bevétele'!K304)/12</f>
        <v>268203.25</v>
      </c>
      <c r="E13" s="910">
        <f>(P13-'7. mell. Önk.összes.bevétele'!K304)/12</f>
        <v>268203.25</v>
      </c>
      <c r="F13" s="910">
        <f>(P13-'7. mell. Önk.összes.bevétele'!K304)/12</f>
        <v>268203.25</v>
      </c>
      <c r="G13" s="910">
        <f>(P13-'7. mell. Önk.összes.bevétele'!K304)/12</f>
        <v>268203.25</v>
      </c>
      <c r="H13" s="910">
        <f>(P13-'7. mell. Önk.összes.bevétele'!K304)/12</f>
        <v>268203.25</v>
      </c>
      <c r="I13" s="910">
        <f>(P13-'7. mell. Önk.összes.bevétele'!K304)/12</f>
        <v>268203.25</v>
      </c>
      <c r="J13" s="910">
        <f>(P13-'7. mell. Önk.összes.bevétele'!K304)/12</f>
        <v>268203.25</v>
      </c>
      <c r="K13" s="910">
        <f>(P13-'7. mell. Önk.összes.bevétele'!K304)/12</f>
        <v>268203.25</v>
      </c>
      <c r="L13" s="910">
        <f>(P13-'7. mell. Önk.összes.bevétele'!K304)/12+'7. mell. Önk.összes.bevétele'!K304</f>
        <v>268203.25</v>
      </c>
      <c r="M13" s="910">
        <f>(P13-'7. mell. Önk.összes.bevétele'!K304)/12</f>
        <v>268203.25</v>
      </c>
      <c r="N13" s="910">
        <f>(P13-'7. mell. Önk.összes.bevétele'!K304)/12</f>
        <v>268203.25</v>
      </c>
      <c r="O13" s="911">
        <f t="shared" si="0"/>
        <v>3218439</v>
      </c>
      <c r="P13" s="898">
        <f>+'1. mell.ÖSSZEVONT_MÉRLEG'!E58</f>
        <v>3218439</v>
      </c>
      <c r="Q13" s="907">
        <f t="shared" si="1"/>
        <v>0</v>
      </c>
    </row>
    <row r="14" spans="1:19" ht="14.1" customHeight="1">
      <c r="A14" s="908" t="s">
        <v>27</v>
      </c>
      <c r="B14" s="915" t="s">
        <v>1257</v>
      </c>
      <c r="C14" s="910">
        <f>7200000000/6</f>
        <v>1200000000</v>
      </c>
      <c r="D14" s="910">
        <f>7200000000/6</f>
        <v>1200000000</v>
      </c>
      <c r="E14" s="910">
        <f>7200000000/6</f>
        <v>1200000000</v>
      </c>
      <c r="F14" s="910">
        <f>7200000000/6</f>
        <v>1200000000</v>
      </c>
      <c r="G14" s="910">
        <f>7200000000/6</f>
        <v>1200000000</v>
      </c>
      <c r="H14" s="910">
        <v>0</v>
      </c>
      <c r="I14" s="910">
        <v>0</v>
      </c>
      <c r="J14" s="910">
        <v>2190000000</v>
      </c>
      <c r="K14" s="910">
        <v>0</v>
      </c>
      <c r="L14" s="910">
        <v>0</v>
      </c>
      <c r="M14" s="910">
        <v>0</v>
      </c>
      <c r="N14" s="910">
        <v>0</v>
      </c>
      <c r="O14" s="911">
        <f t="shared" si="0"/>
        <v>8190000000</v>
      </c>
      <c r="P14" s="898">
        <f>+'1. mell.ÖSSZEVONT_MÉRLEG'!E87</f>
        <v>8190000000</v>
      </c>
      <c r="Q14" s="907">
        <f t="shared" si="1"/>
        <v>0</v>
      </c>
    </row>
    <row r="15" spans="1:19" s="895" customFormat="1" ht="15.95" customHeight="1">
      <c r="A15" s="902" t="s">
        <v>29</v>
      </c>
      <c r="B15" s="916" t="s">
        <v>2850</v>
      </c>
      <c r="C15" s="917">
        <f t="shared" ref="C15:N15" si="3">SUM(C6:C14)</f>
        <v>2793246036.5791402</v>
      </c>
      <c r="D15" s="917">
        <f t="shared" si="3"/>
        <v>2429324362.3991404</v>
      </c>
      <c r="E15" s="917">
        <f t="shared" si="3"/>
        <v>3844652084.8091397</v>
      </c>
      <c r="F15" s="917">
        <f t="shared" si="3"/>
        <v>5920700458.9091396</v>
      </c>
      <c r="G15" s="917">
        <f t="shared" si="3"/>
        <v>3222067364.5891399</v>
      </c>
      <c r="H15" s="917">
        <f t="shared" si="3"/>
        <v>1349716641.5891399</v>
      </c>
      <c r="I15" s="917">
        <f t="shared" si="3"/>
        <v>1236191550.3991401</v>
      </c>
      <c r="J15" s="917">
        <f t="shared" si="3"/>
        <v>3465324362.3991404</v>
      </c>
      <c r="K15" s="917">
        <f t="shared" si="3"/>
        <v>2487854875.1091399</v>
      </c>
      <c r="L15" s="917">
        <f t="shared" si="3"/>
        <v>4720700458.9091396</v>
      </c>
      <c r="M15" s="917">
        <f t="shared" si="3"/>
        <v>1349717769.5891399</v>
      </c>
      <c r="N15" s="917">
        <f t="shared" si="3"/>
        <v>2628440950.98914</v>
      </c>
      <c r="O15" s="918">
        <f t="shared" si="0"/>
        <v>35447936916.269684</v>
      </c>
      <c r="P15" s="907">
        <f>SUM(P6:P14)</f>
        <v>35447936916.269684</v>
      </c>
      <c r="Q15" s="907">
        <f t="shared" si="1"/>
        <v>0</v>
      </c>
    </row>
    <row r="16" spans="1:19" s="895" customFormat="1" ht="15" customHeight="1">
      <c r="A16" s="902" t="s">
        <v>31</v>
      </c>
      <c r="B16" s="3832" t="s">
        <v>391</v>
      </c>
      <c r="C16" s="3832"/>
      <c r="D16" s="3832"/>
      <c r="E16" s="3832"/>
      <c r="F16" s="3832"/>
      <c r="G16" s="3832"/>
      <c r="H16" s="3832"/>
      <c r="I16" s="3832"/>
      <c r="J16" s="3832"/>
      <c r="K16" s="3832"/>
      <c r="L16" s="3832"/>
      <c r="M16" s="3832"/>
      <c r="N16" s="3832"/>
      <c r="O16" s="3832"/>
      <c r="Q16" s="907"/>
    </row>
    <row r="17" spans="1:17" ht="14.1" customHeight="1">
      <c r="A17" s="919" t="s">
        <v>33</v>
      </c>
      <c r="B17" s="920" t="s">
        <v>9</v>
      </c>
      <c r="C17" s="913">
        <f t="shared" ref="C17:N17" si="4">+$P$17/12</f>
        <v>1023832323.3333334</v>
      </c>
      <c r="D17" s="913">
        <f t="shared" si="4"/>
        <v>1023832323.3333334</v>
      </c>
      <c r="E17" s="913">
        <f t="shared" si="4"/>
        <v>1023832323.3333334</v>
      </c>
      <c r="F17" s="913">
        <f t="shared" si="4"/>
        <v>1023832323.3333334</v>
      </c>
      <c r="G17" s="913">
        <f t="shared" si="4"/>
        <v>1023832323.3333334</v>
      </c>
      <c r="H17" s="913">
        <f t="shared" si="4"/>
        <v>1023832323.3333334</v>
      </c>
      <c r="I17" s="913">
        <f t="shared" si="4"/>
        <v>1023832323.3333334</v>
      </c>
      <c r="J17" s="913">
        <f t="shared" si="4"/>
        <v>1023832323.3333334</v>
      </c>
      <c r="K17" s="913">
        <f t="shared" si="4"/>
        <v>1023832323.3333334</v>
      </c>
      <c r="L17" s="913">
        <f t="shared" si="4"/>
        <v>1023832323.3333334</v>
      </c>
      <c r="M17" s="913">
        <f t="shared" si="4"/>
        <v>1023832323.3333334</v>
      </c>
      <c r="N17" s="913">
        <f t="shared" si="4"/>
        <v>1023832323.3333334</v>
      </c>
      <c r="O17" s="914">
        <f t="shared" ref="O17:O27" si="5">SUM(C17:N17)</f>
        <v>12285987880.000002</v>
      </c>
      <c r="P17" s="898">
        <f>+'1. mell.ÖSSZEVONT_MÉRLEG'!E96</f>
        <v>12285987880</v>
      </c>
      <c r="Q17" s="907">
        <f t="shared" ref="Q17:Q27" si="6">+O17-P17</f>
        <v>0</v>
      </c>
    </row>
    <row r="18" spans="1:17" ht="27" customHeight="1">
      <c r="A18" s="908" t="s">
        <v>35</v>
      </c>
      <c r="B18" s="912" t="s">
        <v>8</v>
      </c>
      <c r="C18" s="910">
        <f t="shared" ref="C18:N18" si="7">+$P$18/12</f>
        <v>150915943</v>
      </c>
      <c r="D18" s="910">
        <f t="shared" si="7"/>
        <v>150915943</v>
      </c>
      <c r="E18" s="910">
        <f t="shared" si="7"/>
        <v>150915943</v>
      </c>
      <c r="F18" s="910">
        <f t="shared" si="7"/>
        <v>150915943</v>
      </c>
      <c r="G18" s="910">
        <f t="shared" si="7"/>
        <v>150915943</v>
      </c>
      <c r="H18" s="910">
        <f t="shared" si="7"/>
        <v>150915943</v>
      </c>
      <c r="I18" s="910">
        <f t="shared" si="7"/>
        <v>150915943</v>
      </c>
      <c r="J18" s="910">
        <f t="shared" si="7"/>
        <v>150915943</v>
      </c>
      <c r="K18" s="910">
        <f t="shared" si="7"/>
        <v>150915943</v>
      </c>
      <c r="L18" s="910">
        <f t="shared" si="7"/>
        <v>150915943</v>
      </c>
      <c r="M18" s="910">
        <f t="shared" si="7"/>
        <v>150915943</v>
      </c>
      <c r="N18" s="910">
        <f t="shared" si="7"/>
        <v>150915943</v>
      </c>
      <c r="O18" s="911">
        <f t="shared" si="5"/>
        <v>1810991316</v>
      </c>
      <c r="P18" s="898">
        <f>+'1. mell.ÖSSZEVONT_MÉRLEG'!E97</f>
        <v>1810991316</v>
      </c>
      <c r="Q18" s="907">
        <f t="shared" si="6"/>
        <v>0</v>
      </c>
    </row>
    <row r="19" spans="1:17" ht="14.1" customHeight="1">
      <c r="A19" s="908" t="s">
        <v>37</v>
      </c>
      <c r="B19" s="915" t="s">
        <v>317</v>
      </c>
      <c r="C19" s="910">
        <f t="shared" ref="C19:N19" si="8">+$P$19/12</f>
        <v>538934282.83333337</v>
      </c>
      <c r="D19" s="910">
        <f t="shared" si="8"/>
        <v>538934282.83333337</v>
      </c>
      <c r="E19" s="910">
        <f t="shared" si="8"/>
        <v>538934282.83333337</v>
      </c>
      <c r="F19" s="910">
        <f t="shared" si="8"/>
        <v>538934282.83333337</v>
      </c>
      <c r="G19" s="910">
        <f t="shared" si="8"/>
        <v>538934282.83333337</v>
      </c>
      <c r="H19" s="910">
        <f t="shared" si="8"/>
        <v>538934282.83333337</v>
      </c>
      <c r="I19" s="910">
        <f t="shared" si="8"/>
        <v>538934282.83333337</v>
      </c>
      <c r="J19" s="910">
        <f t="shared" si="8"/>
        <v>538934282.83333337</v>
      </c>
      <c r="K19" s="910">
        <f t="shared" si="8"/>
        <v>538934282.83333337</v>
      </c>
      <c r="L19" s="910">
        <f t="shared" si="8"/>
        <v>538934282.83333337</v>
      </c>
      <c r="M19" s="910">
        <f t="shared" si="8"/>
        <v>538934282.83333337</v>
      </c>
      <c r="N19" s="910">
        <f t="shared" si="8"/>
        <v>538934282.83333337</v>
      </c>
      <c r="O19" s="911">
        <f t="shared" si="5"/>
        <v>6467211393.999999</v>
      </c>
      <c r="P19" s="898">
        <f>+'1. mell.ÖSSZEVONT_MÉRLEG'!E98</f>
        <v>6467211394</v>
      </c>
      <c r="Q19" s="907">
        <f t="shared" si="6"/>
        <v>0</v>
      </c>
    </row>
    <row r="20" spans="1:17" ht="14.1" customHeight="1">
      <c r="A20" s="908" t="s">
        <v>39</v>
      </c>
      <c r="B20" s="915" t="s">
        <v>318</v>
      </c>
      <c r="C20" s="910">
        <f t="shared" ref="C20:N20" si="9">+$P$20/12</f>
        <v>13880833.333333334</v>
      </c>
      <c r="D20" s="910">
        <f t="shared" si="9"/>
        <v>13880833.333333334</v>
      </c>
      <c r="E20" s="910">
        <f t="shared" si="9"/>
        <v>13880833.333333334</v>
      </c>
      <c r="F20" s="910">
        <f t="shared" si="9"/>
        <v>13880833.333333334</v>
      </c>
      <c r="G20" s="910">
        <f t="shared" si="9"/>
        <v>13880833.333333334</v>
      </c>
      <c r="H20" s="910">
        <f t="shared" si="9"/>
        <v>13880833.333333334</v>
      </c>
      <c r="I20" s="910">
        <f t="shared" si="9"/>
        <v>13880833.333333334</v>
      </c>
      <c r="J20" s="910">
        <f t="shared" si="9"/>
        <v>13880833.333333334</v>
      </c>
      <c r="K20" s="910">
        <f t="shared" si="9"/>
        <v>13880833.333333334</v>
      </c>
      <c r="L20" s="910">
        <f t="shared" si="9"/>
        <v>13880833.333333334</v>
      </c>
      <c r="M20" s="910">
        <f t="shared" si="9"/>
        <v>13880833.333333334</v>
      </c>
      <c r="N20" s="910">
        <f t="shared" si="9"/>
        <v>13880833.333333334</v>
      </c>
      <c r="O20" s="911">
        <f t="shared" si="5"/>
        <v>166570000</v>
      </c>
      <c r="P20" s="898">
        <f>+'1. mell.ÖSSZEVONT_MÉRLEG'!E99</f>
        <v>166570000</v>
      </c>
      <c r="Q20" s="907">
        <f t="shared" si="6"/>
        <v>0</v>
      </c>
    </row>
    <row r="21" spans="1:17" ht="14.1" customHeight="1">
      <c r="A21" s="908" t="s">
        <v>41</v>
      </c>
      <c r="B21" s="915" t="s">
        <v>151</v>
      </c>
      <c r="C21" s="910">
        <v>0</v>
      </c>
      <c r="D21" s="910">
        <v>0</v>
      </c>
      <c r="E21" s="910">
        <f t="shared" ref="E21:N21" si="10">+$P$21/10</f>
        <v>402714616.80000001</v>
      </c>
      <c r="F21" s="910">
        <f t="shared" si="10"/>
        <v>402714616.80000001</v>
      </c>
      <c r="G21" s="910">
        <f t="shared" si="10"/>
        <v>402714616.80000001</v>
      </c>
      <c r="H21" s="910">
        <f t="shared" si="10"/>
        <v>402714616.80000001</v>
      </c>
      <c r="I21" s="910">
        <f t="shared" si="10"/>
        <v>402714616.80000001</v>
      </c>
      <c r="J21" s="910">
        <f t="shared" si="10"/>
        <v>402714616.80000001</v>
      </c>
      <c r="K21" s="910">
        <f t="shared" si="10"/>
        <v>402714616.80000001</v>
      </c>
      <c r="L21" s="910">
        <f t="shared" si="10"/>
        <v>402714616.80000001</v>
      </c>
      <c r="M21" s="910">
        <f t="shared" si="10"/>
        <v>402714616.80000001</v>
      </c>
      <c r="N21" s="910">
        <f t="shared" si="10"/>
        <v>402714616.80000001</v>
      </c>
      <c r="O21" s="911">
        <f t="shared" si="5"/>
        <v>4027146168.000001</v>
      </c>
      <c r="P21" s="898">
        <f>+'1. mell.ÖSSZEVONT_MÉRLEG'!E100</f>
        <v>4027146168</v>
      </c>
      <c r="Q21" s="907">
        <f t="shared" si="6"/>
        <v>0</v>
      </c>
    </row>
    <row r="22" spans="1:17" ht="14.1" customHeight="1">
      <c r="A22" s="908" t="s">
        <v>314</v>
      </c>
      <c r="B22" s="915" t="s">
        <v>82</v>
      </c>
      <c r="C22" s="910">
        <f>300000000*1.27</f>
        <v>381000000</v>
      </c>
      <c r="D22" s="910">
        <f>385000000*1.27</f>
        <v>488950000</v>
      </c>
      <c r="E22" s="910">
        <f>220000000*1.27</f>
        <v>279400000</v>
      </c>
      <c r="F22" s="910">
        <f>456000000*1.27</f>
        <v>579120000</v>
      </c>
      <c r="G22" s="910">
        <v>100000000</v>
      </c>
      <c r="H22" s="910">
        <v>100000000</v>
      </c>
      <c r="I22" s="910">
        <v>100000000</v>
      </c>
      <c r="J22" s="910">
        <v>100000000</v>
      </c>
      <c r="K22" s="910">
        <v>150000000</v>
      </c>
      <c r="L22" s="910">
        <v>120000000</v>
      </c>
      <c r="M22" s="910">
        <v>120000000</v>
      </c>
      <c r="N22" s="910">
        <v>120423541</v>
      </c>
      <c r="O22" s="911">
        <f t="shared" si="5"/>
        <v>2638893541</v>
      </c>
      <c r="P22" s="898">
        <f>+'1. mell.ÖSSZEVONT_MÉRLEG'!E114</f>
        <v>2638893541</v>
      </c>
      <c r="Q22" s="907">
        <f t="shared" si="6"/>
        <v>0</v>
      </c>
    </row>
    <row r="23" spans="1:17">
      <c r="A23" s="908" t="s">
        <v>402</v>
      </c>
      <c r="B23" s="909" t="s">
        <v>344</v>
      </c>
      <c r="C23" s="910">
        <f>+P23*0.05</f>
        <v>38601872.950000003</v>
      </c>
      <c r="D23" s="910">
        <f>+P23*0.08</f>
        <v>61762996.719999999</v>
      </c>
      <c r="E23" s="910">
        <f>+P23*0.03</f>
        <v>23161123.77</v>
      </c>
      <c r="F23" s="910">
        <f>+P23*0.04</f>
        <v>30881498.359999999</v>
      </c>
      <c r="G23" s="910">
        <f>+P23*0.03</f>
        <v>23161123.77</v>
      </c>
      <c r="H23" s="910">
        <f>+P23*0.07</f>
        <v>54042622.130000003</v>
      </c>
      <c r="I23" s="910">
        <f>+P23*0.09</f>
        <v>69483371.310000002</v>
      </c>
      <c r="J23" s="910">
        <f>+P23*0.08</f>
        <v>61762996.719999999</v>
      </c>
      <c r="K23" s="910">
        <f>+P23*0.08</f>
        <v>61762996.719999999</v>
      </c>
      <c r="L23" s="910">
        <f>+P23*0.25</f>
        <v>193009364.75</v>
      </c>
      <c r="M23" s="910">
        <f>+P23*0.09</f>
        <v>69483371.310000002</v>
      </c>
      <c r="N23" s="910">
        <f>+P23*0.11</f>
        <v>84924120.489999995</v>
      </c>
      <c r="O23" s="911">
        <f t="shared" si="5"/>
        <v>772037459</v>
      </c>
      <c r="P23" s="898">
        <f>+'1. mell.ÖSSZEVONT_MÉRLEG'!E116</f>
        <v>772037459</v>
      </c>
      <c r="Q23" s="907">
        <f t="shared" si="6"/>
        <v>0</v>
      </c>
    </row>
    <row r="24" spans="1:17" ht="14.1" customHeight="1">
      <c r="A24" s="908" t="s">
        <v>404</v>
      </c>
      <c r="B24" s="915" t="s">
        <v>346</v>
      </c>
      <c r="C24" s="910">
        <f>+P24*0.05</f>
        <v>12753302.300000001</v>
      </c>
      <c r="D24" s="910">
        <f>+P24*0.08</f>
        <v>20405283.68</v>
      </c>
      <c r="E24" s="910">
        <f>+P24*0.13</f>
        <v>33158585.98</v>
      </c>
      <c r="F24" s="910">
        <f>+P24*0.08</f>
        <v>20405283.68</v>
      </c>
      <c r="G24" s="910">
        <f>+P24*0.08</f>
        <v>20405283.68</v>
      </c>
      <c r="H24" s="910">
        <f>+P24*0.08</f>
        <v>20405283.68</v>
      </c>
      <c r="I24" s="910">
        <f>+P24*0.08</f>
        <v>20405283.68</v>
      </c>
      <c r="J24" s="910">
        <f>+P24*0.08</f>
        <v>20405283.68</v>
      </c>
      <c r="K24" s="910">
        <f>+P24*0.08</f>
        <v>20405283.68</v>
      </c>
      <c r="L24" s="910">
        <f>+P24*0.08</f>
        <v>20405283.68</v>
      </c>
      <c r="M24" s="910">
        <f>+P24*0.08</f>
        <v>20405283.68</v>
      </c>
      <c r="N24" s="910">
        <f>+P24*0.1</f>
        <v>25506604.600000001</v>
      </c>
      <c r="O24" s="911">
        <f t="shared" si="5"/>
        <v>255066046.00000003</v>
      </c>
      <c r="P24" s="898">
        <f>+'1. mell.ÖSSZEVONT_MÉRLEG'!E118</f>
        <v>255066046</v>
      </c>
      <c r="Q24" s="907">
        <f t="shared" si="6"/>
        <v>0</v>
      </c>
    </row>
    <row r="25" spans="1:17" ht="14.1" customHeight="1">
      <c r="A25" s="908" t="s">
        <v>407</v>
      </c>
      <c r="B25" s="915" t="s">
        <v>2851</v>
      </c>
      <c r="C25" s="910">
        <v>120000000</v>
      </c>
      <c r="D25" s="910">
        <v>120000000</v>
      </c>
      <c r="E25" s="910">
        <v>120000000</v>
      </c>
      <c r="F25" s="910">
        <v>120000000</v>
      </c>
      <c r="G25" s="910">
        <v>120000000</v>
      </c>
      <c r="H25" s="910">
        <v>120000000</v>
      </c>
      <c r="I25" s="910">
        <v>120000000</v>
      </c>
      <c r="J25" s="910">
        <v>120000000</v>
      </c>
      <c r="K25" s="910">
        <v>120000000</v>
      </c>
      <c r="L25" s="910">
        <v>120000000</v>
      </c>
      <c r="M25" s="910">
        <v>120000000</v>
      </c>
      <c r="N25" s="910">
        <v>169059013</v>
      </c>
      <c r="O25" s="911">
        <f t="shared" si="5"/>
        <v>1489059013</v>
      </c>
      <c r="P25" s="898">
        <f>+'1. mell.ÖSSZEVONT_MÉRLEG'!E127</f>
        <v>1489059013</v>
      </c>
      <c r="Q25" s="907">
        <f t="shared" si="6"/>
        <v>0</v>
      </c>
    </row>
    <row r="26" spans="1:17" ht="14.1" customHeight="1">
      <c r="A26" s="908" t="s">
        <v>409</v>
      </c>
      <c r="B26" s="915" t="s">
        <v>2697</v>
      </c>
      <c r="C26" s="910">
        <v>0</v>
      </c>
      <c r="D26" s="910">
        <v>0</v>
      </c>
      <c r="E26" s="910">
        <v>0</v>
      </c>
      <c r="F26" s="910">
        <v>2000000000</v>
      </c>
      <c r="G26" s="910">
        <v>0</v>
      </c>
      <c r="H26" s="910">
        <v>0</v>
      </c>
      <c r="I26" s="910">
        <v>0</v>
      </c>
      <c r="J26" s="910">
        <v>0</v>
      </c>
      <c r="K26" s="910">
        <v>2000000000</v>
      </c>
      <c r="L26" s="910">
        <v>0</v>
      </c>
      <c r="M26" s="910">
        <v>1000000000</v>
      </c>
      <c r="N26" s="910">
        <v>534974099</v>
      </c>
      <c r="O26" s="911">
        <f t="shared" si="5"/>
        <v>5534974099</v>
      </c>
      <c r="P26" s="898">
        <f>+'1. mell.ÖSSZEVONT_MÉRLEG'!E140+'1. mell.ÖSSZEVONT_MÉRLEG'!E136</f>
        <v>5534974099</v>
      </c>
      <c r="Q26" s="907">
        <f t="shared" si="6"/>
        <v>0</v>
      </c>
    </row>
    <row r="27" spans="1:17" s="895" customFormat="1" ht="15.95" customHeight="1">
      <c r="A27" s="921" t="s">
        <v>410</v>
      </c>
      <c r="B27" s="916" t="s">
        <v>2852</v>
      </c>
      <c r="C27" s="917">
        <f t="shared" ref="C27:N27" si="11">SUM(C17:C26)</f>
        <v>2279918557.7500005</v>
      </c>
      <c r="D27" s="917">
        <f t="shared" si="11"/>
        <v>2418681662.8999996</v>
      </c>
      <c r="E27" s="917">
        <f t="shared" si="11"/>
        <v>2585997709.0500002</v>
      </c>
      <c r="F27" s="917">
        <f t="shared" si="11"/>
        <v>4880684781.3400002</v>
      </c>
      <c r="G27" s="917">
        <f t="shared" si="11"/>
        <v>2393844406.75</v>
      </c>
      <c r="H27" s="917">
        <f t="shared" si="11"/>
        <v>2424725905.1100001</v>
      </c>
      <c r="I27" s="917">
        <f t="shared" si="11"/>
        <v>2440166654.29</v>
      </c>
      <c r="J27" s="917">
        <f t="shared" si="11"/>
        <v>2432446279.6999998</v>
      </c>
      <c r="K27" s="917">
        <f t="shared" si="11"/>
        <v>4482446279.6999998</v>
      </c>
      <c r="L27" s="917">
        <f t="shared" si="11"/>
        <v>2583692647.73</v>
      </c>
      <c r="M27" s="917">
        <f t="shared" si="11"/>
        <v>3460166654.29</v>
      </c>
      <c r="N27" s="917">
        <f t="shared" si="11"/>
        <v>3065165377.3899999</v>
      </c>
      <c r="O27" s="918">
        <f t="shared" si="5"/>
        <v>35447936916.000008</v>
      </c>
      <c r="P27" s="907">
        <f>SUM(P17:P26)</f>
        <v>35447936916</v>
      </c>
      <c r="Q27" s="907">
        <f t="shared" si="6"/>
        <v>0</v>
      </c>
    </row>
    <row r="28" spans="1:17">
      <c r="A28" s="921" t="s">
        <v>411</v>
      </c>
      <c r="B28" s="916" t="s">
        <v>2853</v>
      </c>
      <c r="C28" s="917">
        <f>C15-C27</f>
        <v>513327478.82913971</v>
      </c>
      <c r="D28" s="917">
        <f t="shared" ref="D28:M28" si="12">C28+D15-D27</f>
        <v>523970178.32828045</v>
      </c>
      <c r="E28" s="917">
        <f t="shared" si="12"/>
        <v>1782624554.0874205</v>
      </c>
      <c r="F28" s="917">
        <f t="shared" si="12"/>
        <v>2822640231.6565599</v>
      </c>
      <c r="G28" s="917">
        <f t="shared" si="12"/>
        <v>3650863189.4956999</v>
      </c>
      <c r="H28" s="917">
        <f t="shared" si="12"/>
        <v>2575853925.9748397</v>
      </c>
      <c r="I28" s="917">
        <f t="shared" si="12"/>
        <v>1371878822.0839796</v>
      </c>
      <c r="J28" s="917">
        <f t="shared" si="12"/>
        <v>2404756904.7831202</v>
      </c>
      <c r="K28" s="917">
        <f t="shared" si="12"/>
        <v>410165500.19225979</v>
      </c>
      <c r="L28" s="917">
        <f t="shared" si="12"/>
        <v>2547173311.3713994</v>
      </c>
      <c r="M28" s="917">
        <f t="shared" si="12"/>
        <v>436724426.67053938</v>
      </c>
      <c r="N28" s="917">
        <f>M28+N15-N27</f>
        <v>0.26967954635620117</v>
      </c>
      <c r="O28" s="918">
        <f>O15-O27</f>
        <v>0.26967620849609375</v>
      </c>
    </row>
    <row r="93" ht="36.75" customHeight="1"/>
  </sheetData>
  <sheetProtection selectLockedCells="1" selectUnlockedCells="1"/>
  <mergeCells count="3">
    <mergeCell ref="A2:O2"/>
    <mergeCell ref="B5:O5"/>
    <mergeCell ref="B16:O16"/>
  </mergeCells>
  <printOptions horizontalCentered="1"/>
  <pageMargins left="0.78740157480314965" right="0.78740157480314965" top="1.0629921259842521" bottom="0.98425196850393704" header="0.78740157480314965" footer="0.78740157480314965"/>
  <pageSetup paperSize="9" scale="70" firstPageNumber="0" orientation="landscape" r:id="rId1"/>
  <headerFooter alignWithMargins="0">
    <oddHeader xml:space="preserve">&amp;R&amp;"Times New Roman CE,Félkövér dőlt"&amp;11 </oddHeader>
    <oddFooter>&amp;C&amp;"Arial CE,Félkövér"&amp;14&amp;P/&amp;N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8C0E1-893A-493D-8BE8-E4C0924C7A87}">
  <sheetPr>
    <tabColor theme="6" tint="0.39997558519241921"/>
  </sheetPr>
  <dimension ref="A1:T510"/>
  <sheetViews>
    <sheetView view="pageBreakPreview" zoomScaleNormal="115" zoomScaleSheetLayoutView="100" workbookViewId="0">
      <pane ySplit="1" topLeftCell="A2" activePane="bottomLeft" state="frozen"/>
      <selection activeCell="A3" sqref="A3:E3"/>
      <selection pane="bottomLeft" sqref="A1:O1"/>
    </sheetView>
  </sheetViews>
  <sheetFormatPr defaultColWidth="8" defaultRowHeight="15.75"/>
  <cols>
    <col min="1" max="1" width="5.5703125" style="922" customWidth="1"/>
    <col min="2" max="2" width="32.5703125" style="923" customWidth="1"/>
    <col min="3" max="14" width="10.140625" style="923" bestFit="1" customWidth="1"/>
    <col min="15" max="15" width="15.140625" style="922" bestFit="1" customWidth="1"/>
    <col min="16" max="16" width="15.42578125" style="923" hidden="1" customWidth="1"/>
    <col min="17" max="17" width="15.85546875" style="923" hidden="1" customWidth="1"/>
    <col min="18" max="18" width="12.42578125" style="923" hidden="1" customWidth="1"/>
    <col min="19" max="19" width="8" style="923"/>
    <col min="20" max="20" width="13.42578125" style="923" bestFit="1" customWidth="1"/>
    <col min="21" max="16384" width="8" style="923"/>
  </cols>
  <sheetData>
    <row r="1" spans="1:18" ht="29.25" customHeight="1">
      <c r="A1" s="3835" t="s">
        <v>2854</v>
      </c>
      <c r="B1" s="3835"/>
      <c r="C1" s="3835"/>
      <c r="D1" s="3835"/>
      <c r="E1" s="3835"/>
      <c r="F1" s="3835"/>
      <c r="G1" s="3835"/>
      <c r="H1" s="3835"/>
      <c r="I1" s="3835"/>
      <c r="J1" s="3835"/>
      <c r="K1" s="3835"/>
      <c r="L1" s="3835"/>
      <c r="M1" s="3835"/>
      <c r="N1" s="3835"/>
      <c r="O1" s="3835"/>
    </row>
    <row r="2" spans="1:18" ht="31.5" customHeight="1">
      <c r="A2" s="3834" t="s">
        <v>3788</v>
      </c>
      <c r="B2" s="3834"/>
      <c r="C2" s="3834"/>
      <c r="D2" s="3834"/>
      <c r="E2" s="3834"/>
      <c r="F2" s="3834"/>
      <c r="G2" s="3834"/>
      <c r="H2" s="3834"/>
      <c r="I2" s="3834"/>
      <c r="J2" s="3834"/>
      <c r="K2" s="3834"/>
      <c r="L2" s="3834"/>
      <c r="M2" s="3834"/>
      <c r="N2" s="3834"/>
      <c r="O2" s="3834"/>
    </row>
    <row r="3" spans="1:18">
      <c r="O3" s="924" t="s">
        <v>3300</v>
      </c>
    </row>
    <row r="4" spans="1:18" s="922" customFormat="1" ht="26.1" customHeight="1">
      <c r="A4" s="899" t="s">
        <v>2726</v>
      </c>
      <c r="B4" s="900" t="s">
        <v>136</v>
      </c>
      <c r="C4" s="900" t="s">
        <v>2837</v>
      </c>
      <c r="D4" s="900" t="s">
        <v>2838</v>
      </c>
      <c r="E4" s="900" t="s">
        <v>2839</v>
      </c>
      <c r="F4" s="900" t="s">
        <v>2840</v>
      </c>
      <c r="G4" s="900" t="s">
        <v>2841</v>
      </c>
      <c r="H4" s="900" t="s">
        <v>2842</v>
      </c>
      <c r="I4" s="900" t="s">
        <v>2843</v>
      </c>
      <c r="J4" s="900" t="s">
        <v>2844</v>
      </c>
      <c r="K4" s="900" t="s">
        <v>2845</v>
      </c>
      <c r="L4" s="900" t="s">
        <v>2846</v>
      </c>
      <c r="M4" s="900" t="s">
        <v>2847</v>
      </c>
      <c r="N4" s="900" t="s">
        <v>2848</v>
      </c>
      <c r="O4" s="901" t="s">
        <v>66</v>
      </c>
    </row>
    <row r="5" spans="1:18" s="895" customFormat="1" ht="15" customHeight="1">
      <c r="A5" s="925" t="s">
        <v>6</v>
      </c>
      <c r="B5" s="3833" t="s">
        <v>390</v>
      </c>
      <c r="C5" s="3833"/>
      <c r="D5" s="3833"/>
      <c r="E5" s="3833"/>
      <c r="F5" s="3833"/>
      <c r="G5" s="3833"/>
      <c r="H5" s="3833"/>
      <c r="I5" s="3833"/>
      <c r="J5" s="3833"/>
      <c r="K5" s="3833"/>
      <c r="L5" s="3833"/>
      <c r="M5" s="3833"/>
      <c r="N5" s="3833"/>
      <c r="O5" s="3833"/>
    </row>
    <row r="6" spans="1:18" s="895" customFormat="1" ht="22.5">
      <c r="A6" s="926" t="s">
        <v>12</v>
      </c>
      <c r="B6" s="927" t="s">
        <v>3385</v>
      </c>
      <c r="C6" s="928">
        <v>0</v>
      </c>
      <c r="D6" s="928">
        <v>0</v>
      </c>
      <c r="E6" s="928">
        <v>0</v>
      </c>
      <c r="F6" s="928">
        <v>0</v>
      </c>
      <c r="G6" s="928">
        <v>0</v>
      </c>
      <c r="H6" s="928">
        <v>0</v>
      </c>
      <c r="I6" s="928">
        <v>0</v>
      </c>
      <c r="J6" s="928">
        <v>0</v>
      </c>
      <c r="K6" s="928">
        <v>0</v>
      </c>
      <c r="L6" s="928">
        <v>0</v>
      </c>
      <c r="M6" s="928">
        <v>0</v>
      </c>
      <c r="N6" s="928">
        <v>0</v>
      </c>
      <c r="O6" s="929">
        <f t="shared" ref="O6:O15" si="0">SUM(C6:N6)</f>
        <v>0</v>
      </c>
      <c r="P6" s="907"/>
      <c r="Q6" s="907">
        <f t="shared" ref="Q6:Q28" si="1">O6-P6</f>
        <v>0</v>
      </c>
      <c r="R6" s="895">
        <v>0</v>
      </c>
    </row>
    <row r="7" spans="1:18" s="896" customFormat="1">
      <c r="A7" s="930" t="s">
        <v>14</v>
      </c>
      <c r="B7" s="931" t="s">
        <v>3386</v>
      </c>
      <c r="C7" s="910">
        <f>2769-2769</f>
        <v>0</v>
      </c>
      <c r="D7" s="910">
        <v>0</v>
      </c>
      <c r="E7" s="910">
        <v>0</v>
      </c>
      <c r="F7" s="910">
        <f>+'10. PMH személyi jutt.és jár-ok'!K152</f>
        <v>0</v>
      </c>
      <c r="G7" s="910">
        <v>0</v>
      </c>
      <c r="H7" s="910">
        <v>0</v>
      </c>
      <c r="I7" s="910">
        <v>0</v>
      </c>
      <c r="J7" s="910">
        <v>0</v>
      </c>
      <c r="K7" s="910">
        <v>0</v>
      </c>
      <c r="L7" s="910">
        <v>0</v>
      </c>
      <c r="M7" s="910">
        <v>0</v>
      </c>
      <c r="N7" s="910">
        <v>0</v>
      </c>
      <c r="O7" s="911">
        <f t="shared" si="0"/>
        <v>0</v>
      </c>
      <c r="P7" s="898">
        <f>+'9. mell. PMH'!F23</f>
        <v>0</v>
      </c>
      <c r="Q7" s="907">
        <f t="shared" si="1"/>
        <v>0</v>
      </c>
      <c r="R7" s="896">
        <v>23</v>
      </c>
    </row>
    <row r="8" spans="1:18" s="896" customFormat="1">
      <c r="A8" s="930" t="s">
        <v>15</v>
      </c>
      <c r="B8" s="932" t="s">
        <v>2849</v>
      </c>
      <c r="C8" s="913">
        <v>0</v>
      </c>
      <c r="D8" s="913">
        <v>0</v>
      </c>
      <c r="E8" s="913">
        <v>0</v>
      </c>
      <c r="F8" s="913">
        <v>0</v>
      </c>
      <c r="G8" s="913">
        <v>0</v>
      </c>
      <c r="H8" s="913">
        <v>0</v>
      </c>
      <c r="I8" s="913">
        <v>0</v>
      </c>
      <c r="J8" s="913">
        <v>0</v>
      </c>
      <c r="K8" s="913">
        <v>0</v>
      </c>
      <c r="L8" s="913">
        <v>0</v>
      </c>
      <c r="M8" s="913">
        <v>0</v>
      </c>
      <c r="N8" s="913">
        <v>0</v>
      </c>
      <c r="O8" s="914">
        <f t="shared" si="0"/>
        <v>0</v>
      </c>
      <c r="P8" s="898">
        <f>+'9. mell. PMH'!F27</f>
        <v>0</v>
      </c>
      <c r="Q8" s="907">
        <f t="shared" si="1"/>
        <v>0</v>
      </c>
      <c r="R8" s="896">
        <v>27</v>
      </c>
    </row>
    <row r="9" spans="1:18" s="896" customFormat="1" ht="14.1" customHeight="1">
      <c r="A9" s="930" t="s">
        <v>17</v>
      </c>
      <c r="B9" s="933" t="s">
        <v>393</v>
      </c>
      <c r="C9" s="934">
        <f>1601500/12</f>
        <v>133458.33333333334</v>
      </c>
      <c r="D9" s="934">
        <f t="shared" ref="D9:N9" si="2">1601500/12</f>
        <v>133458.33333333334</v>
      </c>
      <c r="E9" s="934">
        <f t="shared" si="2"/>
        <v>133458.33333333334</v>
      </c>
      <c r="F9" s="934">
        <f t="shared" si="2"/>
        <v>133458.33333333334</v>
      </c>
      <c r="G9" s="934">
        <f t="shared" si="2"/>
        <v>133458.33333333334</v>
      </c>
      <c r="H9" s="934">
        <f t="shared" si="2"/>
        <v>133458.33333333334</v>
      </c>
      <c r="I9" s="934">
        <f t="shared" si="2"/>
        <v>133458.33333333334</v>
      </c>
      <c r="J9" s="934">
        <f t="shared" si="2"/>
        <v>133458.33333333334</v>
      </c>
      <c r="K9" s="934">
        <f t="shared" si="2"/>
        <v>133458.33333333334</v>
      </c>
      <c r="L9" s="934">
        <f t="shared" si="2"/>
        <v>133458.33333333334</v>
      </c>
      <c r="M9" s="934">
        <f t="shared" si="2"/>
        <v>133458.33333333334</v>
      </c>
      <c r="N9" s="934">
        <f t="shared" si="2"/>
        <v>133458.33333333334</v>
      </c>
      <c r="O9" s="935">
        <f t="shared" si="0"/>
        <v>1601499.9999999998</v>
      </c>
      <c r="P9" s="898">
        <f>+'9. mell. PMH'!F31</f>
        <v>1601500</v>
      </c>
      <c r="Q9" s="907">
        <f t="shared" si="1"/>
        <v>0</v>
      </c>
      <c r="R9" s="896">
        <v>31</v>
      </c>
    </row>
    <row r="10" spans="1:18" s="896" customFormat="1" ht="14.1" customHeight="1">
      <c r="A10" s="930" t="s">
        <v>19</v>
      </c>
      <c r="B10" s="933" t="s">
        <v>149</v>
      </c>
      <c r="C10" s="910">
        <f t="shared" ref="C10:H10" si="3">+$P$10*0.1</f>
        <v>1159889</v>
      </c>
      <c r="D10" s="910">
        <f t="shared" si="3"/>
        <v>1159889</v>
      </c>
      <c r="E10" s="910">
        <f t="shared" si="3"/>
        <v>1159889</v>
      </c>
      <c r="F10" s="910">
        <f t="shared" si="3"/>
        <v>1159889</v>
      </c>
      <c r="G10" s="910">
        <f t="shared" si="3"/>
        <v>1159889</v>
      </c>
      <c r="H10" s="910">
        <f t="shared" si="3"/>
        <v>1159889</v>
      </c>
      <c r="I10" s="910">
        <f>+$P$10*0.12</f>
        <v>1391866.8</v>
      </c>
      <c r="J10" s="910">
        <f>+$P$10*0.08</f>
        <v>927911.20000000007</v>
      </c>
      <c r="K10" s="910">
        <f>+$P$10*0.05</f>
        <v>579944.5</v>
      </c>
      <c r="L10" s="910">
        <f>+$P$10*0.05</f>
        <v>579944.5</v>
      </c>
      <c r="M10" s="910">
        <f>+$P$10*0.05</f>
        <v>579944.5</v>
      </c>
      <c r="N10" s="910">
        <f>+$P$10*0.05</f>
        <v>579944.5</v>
      </c>
      <c r="O10" s="911">
        <f t="shared" si="0"/>
        <v>11598890</v>
      </c>
      <c r="P10" s="898">
        <f>+'9. mell. PMH'!F8</f>
        <v>11598890</v>
      </c>
      <c r="Q10" s="907">
        <f t="shared" si="1"/>
        <v>0</v>
      </c>
      <c r="R10" s="896">
        <v>8</v>
      </c>
    </row>
    <row r="11" spans="1:18" s="896" customFormat="1" ht="14.1" customHeight="1">
      <c r="A11" s="930" t="s">
        <v>21</v>
      </c>
      <c r="B11" s="933" t="s">
        <v>431</v>
      </c>
      <c r="C11" s="910">
        <v>0</v>
      </c>
      <c r="D11" s="910">
        <v>0</v>
      </c>
      <c r="E11" s="910">
        <v>0</v>
      </c>
      <c r="F11" s="910">
        <v>0</v>
      </c>
      <c r="G11" s="910">
        <v>0</v>
      </c>
      <c r="H11" s="910">
        <v>0</v>
      </c>
      <c r="I11" s="910">
        <v>0</v>
      </c>
      <c r="J11" s="910">
        <v>0</v>
      </c>
      <c r="K11" s="910">
        <v>0</v>
      </c>
      <c r="L11" s="910">
        <v>0</v>
      </c>
      <c r="M11" s="910">
        <v>0</v>
      </c>
      <c r="N11" s="910">
        <v>0</v>
      </c>
      <c r="O11" s="911">
        <f t="shared" si="0"/>
        <v>0</v>
      </c>
      <c r="P11" s="898">
        <f>+'9. mell. PMH'!F20</f>
        <v>0</v>
      </c>
      <c r="Q11" s="907">
        <f t="shared" si="1"/>
        <v>0</v>
      </c>
      <c r="R11" s="896">
        <v>20</v>
      </c>
    </row>
    <row r="12" spans="1:18" s="896" customFormat="1" ht="14.1" customHeight="1">
      <c r="A12" s="930" t="s">
        <v>23</v>
      </c>
      <c r="B12" s="933" t="s">
        <v>153</v>
      </c>
      <c r="C12" s="910">
        <v>0</v>
      </c>
      <c r="D12" s="910">
        <v>0</v>
      </c>
      <c r="E12" s="910">
        <v>0</v>
      </c>
      <c r="F12" s="910">
        <v>0</v>
      </c>
      <c r="G12" s="910">
        <v>0</v>
      </c>
      <c r="H12" s="910">
        <v>0</v>
      </c>
      <c r="I12" s="910">
        <v>0</v>
      </c>
      <c r="J12" s="910">
        <v>0</v>
      </c>
      <c r="K12" s="910">
        <v>0</v>
      </c>
      <c r="L12" s="910">
        <v>0</v>
      </c>
      <c r="M12" s="910">
        <v>0</v>
      </c>
      <c r="N12" s="910">
        <v>0</v>
      </c>
      <c r="O12" s="911">
        <f t="shared" si="0"/>
        <v>0</v>
      </c>
      <c r="P12" s="898">
        <f>+'9. mell. PMH'!F29</f>
        <v>0</v>
      </c>
      <c r="Q12" s="907">
        <f t="shared" si="1"/>
        <v>0</v>
      </c>
      <c r="R12" s="896">
        <v>29</v>
      </c>
    </row>
    <row r="13" spans="1:18" s="896" customFormat="1">
      <c r="A13" s="930" t="s">
        <v>25</v>
      </c>
      <c r="B13" s="931" t="s">
        <v>1281</v>
      </c>
      <c r="C13" s="910">
        <v>0</v>
      </c>
      <c r="D13" s="910">
        <v>0</v>
      </c>
      <c r="E13" s="910">
        <v>0</v>
      </c>
      <c r="F13" s="910">
        <v>0</v>
      </c>
      <c r="G13" s="910">
        <v>0</v>
      </c>
      <c r="H13" s="910">
        <v>0</v>
      </c>
      <c r="I13" s="910">
        <v>0</v>
      </c>
      <c r="J13" s="910">
        <v>0</v>
      </c>
      <c r="K13" s="910">
        <v>0</v>
      </c>
      <c r="L13" s="910">
        <v>0</v>
      </c>
      <c r="M13" s="910">
        <v>0</v>
      </c>
      <c r="N13" s="910">
        <v>0</v>
      </c>
      <c r="O13" s="911">
        <f t="shared" si="0"/>
        <v>0</v>
      </c>
      <c r="P13" s="898">
        <f>+'9. mell. PMH'!F30</f>
        <v>0</v>
      </c>
      <c r="Q13" s="907">
        <f t="shared" si="1"/>
        <v>0</v>
      </c>
      <c r="R13" s="896">
        <v>30</v>
      </c>
    </row>
    <row r="14" spans="1:18" s="896" customFormat="1" ht="14.1" customHeight="1">
      <c r="A14" s="930" t="s">
        <v>27</v>
      </c>
      <c r="B14" s="933" t="s">
        <v>1257</v>
      </c>
      <c r="C14" s="910">
        <f>+$P$14/12+12886726</f>
        <v>193983228.5</v>
      </c>
      <c r="D14" s="910">
        <f t="shared" ref="D14:M14" si="4">+$P$14/12</f>
        <v>181096502.5</v>
      </c>
      <c r="E14" s="910">
        <f t="shared" si="4"/>
        <v>181096502.5</v>
      </c>
      <c r="F14" s="910">
        <f t="shared" si="4"/>
        <v>181096502.5</v>
      </c>
      <c r="G14" s="910">
        <f t="shared" si="4"/>
        <v>181096502.5</v>
      </c>
      <c r="H14" s="910">
        <f t="shared" si="4"/>
        <v>181096502.5</v>
      </c>
      <c r="I14" s="910">
        <f t="shared" si="4"/>
        <v>181096502.5</v>
      </c>
      <c r="J14" s="910">
        <f t="shared" si="4"/>
        <v>181096502.5</v>
      </c>
      <c r="K14" s="910">
        <f t="shared" si="4"/>
        <v>181096502.5</v>
      </c>
      <c r="L14" s="910">
        <f t="shared" si="4"/>
        <v>181096502.5</v>
      </c>
      <c r="M14" s="910">
        <f t="shared" si="4"/>
        <v>181096502.5</v>
      </c>
      <c r="N14" s="910">
        <f>+$P$14/12-12886726</f>
        <v>168209776.5</v>
      </c>
      <c r="O14" s="911">
        <f t="shared" si="0"/>
        <v>2173158030</v>
      </c>
      <c r="P14" s="898">
        <f>+'9. mell. PMH'!F36+'9. mell. PMH'!F34</f>
        <v>2173158030</v>
      </c>
      <c r="Q14" s="907">
        <f t="shared" si="1"/>
        <v>0</v>
      </c>
      <c r="R14" s="896">
        <v>36</v>
      </c>
    </row>
    <row r="15" spans="1:18" s="895" customFormat="1" ht="15.95" customHeight="1">
      <c r="A15" s="925" t="s">
        <v>29</v>
      </c>
      <c r="B15" s="936" t="s">
        <v>2850</v>
      </c>
      <c r="C15" s="917">
        <f t="shared" ref="C15:N15" si="5">SUM(C6:C14)</f>
        <v>195276575.83333334</v>
      </c>
      <c r="D15" s="917">
        <f t="shared" si="5"/>
        <v>182389849.83333334</v>
      </c>
      <c r="E15" s="917">
        <f t="shared" si="5"/>
        <v>182389849.83333334</v>
      </c>
      <c r="F15" s="917">
        <f t="shared" si="5"/>
        <v>182389849.83333334</v>
      </c>
      <c r="G15" s="917">
        <f t="shared" si="5"/>
        <v>182389849.83333334</v>
      </c>
      <c r="H15" s="917">
        <f t="shared" si="5"/>
        <v>182389849.83333334</v>
      </c>
      <c r="I15" s="917">
        <f t="shared" si="5"/>
        <v>182621827.63333333</v>
      </c>
      <c r="J15" s="917">
        <f t="shared" si="5"/>
        <v>182157872.03333333</v>
      </c>
      <c r="K15" s="917">
        <f t="shared" si="5"/>
        <v>181809905.33333334</v>
      </c>
      <c r="L15" s="917">
        <f t="shared" si="5"/>
        <v>181809905.33333334</v>
      </c>
      <c r="M15" s="917">
        <f t="shared" si="5"/>
        <v>181809905.33333334</v>
      </c>
      <c r="N15" s="917">
        <f t="shared" si="5"/>
        <v>168923179.33333334</v>
      </c>
      <c r="O15" s="918">
        <f t="shared" si="0"/>
        <v>2186358419.9999995</v>
      </c>
      <c r="P15" s="907">
        <f>+'9. mell. PMH'!F37</f>
        <v>2186358420</v>
      </c>
      <c r="Q15" s="907">
        <f t="shared" si="1"/>
        <v>0</v>
      </c>
      <c r="R15" s="895">
        <v>37</v>
      </c>
    </row>
    <row r="16" spans="1:18" s="895" customFormat="1" ht="15" customHeight="1">
      <c r="A16" s="925" t="s">
        <v>31</v>
      </c>
      <c r="B16" s="3833" t="s">
        <v>391</v>
      </c>
      <c r="C16" s="3833"/>
      <c r="D16" s="3833"/>
      <c r="E16" s="3833"/>
      <c r="F16" s="3833"/>
      <c r="G16" s="3833"/>
      <c r="H16" s="3833"/>
      <c r="I16" s="3833"/>
      <c r="J16" s="3833"/>
      <c r="K16" s="3833"/>
      <c r="L16" s="3833"/>
      <c r="M16" s="3833"/>
      <c r="N16" s="3833"/>
      <c r="O16" s="3833"/>
      <c r="Q16" s="907">
        <f t="shared" si="1"/>
        <v>0</v>
      </c>
    </row>
    <row r="17" spans="1:18" s="896" customFormat="1" ht="14.1" customHeight="1">
      <c r="A17" s="937" t="s">
        <v>33</v>
      </c>
      <c r="B17" s="938" t="s">
        <v>9</v>
      </c>
      <c r="C17" s="913">
        <f>+$P$17/12-12000000</f>
        <v>135831301.75</v>
      </c>
      <c r="D17" s="913">
        <f>+$P$17/12-12000000</f>
        <v>135831301.75</v>
      </c>
      <c r="E17" s="913">
        <f>+$P$17/12+2400000</f>
        <v>150231301.75</v>
      </c>
      <c r="F17" s="913">
        <f t="shared" ref="F17:N17" si="6">+$P$17/12+2400000</f>
        <v>150231301.75</v>
      </c>
      <c r="G17" s="913">
        <f t="shared" si="6"/>
        <v>150231301.75</v>
      </c>
      <c r="H17" s="913">
        <f t="shared" si="6"/>
        <v>150231301.75</v>
      </c>
      <c r="I17" s="913">
        <f t="shared" si="6"/>
        <v>150231301.75</v>
      </c>
      <c r="J17" s="913">
        <f t="shared" si="6"/>
        <v>150231301.75</v>
      </c>
      <c r="K17" s="913">
        <f t="shared" si="6"/>
        <v>150231301.75</v>
      </c>
      <c r="L17" s="913">
        <f t="shared" si="6"/>
        <v>150231301.75</v>
      </c>
      <c r="M17" s="913">
        <f t="shared" si="6"/>
        <v>150231301.75</v>
      </c>
      <c r="N17" s="913">
        <f t="shared" si="6"/>
        <v>150231301.75</v>
      </c>
      <c r="O17" s="914">
        <f t="shared" ref="O17:O27" si="7">SUM(C17:N17)</f>
        <v>1773975621</v>
      </c>
      <c r="P17" s="898">
        <f>+'9. mell. PMH'!F42</f>
        <v>1773975621</v>
      </c>
      <c r="Q17" s="907">
        <f t="shared" si="1"/>
        <v>0</v>
      </c>
      <c r="R17" s="896">
        <v>42</v>
      </c>
    </row>
    <row r="18" spans="1:18" s="896" customFormat="1" ht="27" customHeight="1">
      <c r="A18" s="930" t="s">
        <v>35</v>
      </c>
      <c r="B18" s="931" t="s">
        <v>8</v>
      </c>
      <c r="C18" s="910">
        <f>+$P$18/12-1200000</f>
        <v>20324978.25</v>
      </c>
      <c r="D18" s="910">
        <f>+$P$18/12-1200000</f>
        <v>20324978.25</v>
      </c>
      <c r="E18" s="910">
        <f>+$P$18/12+240000</f>
        <v>21764978.25</v>
      </c>
      <c r="F18" s="910">
        <f t="shared" ref="F18:N18" si="8">+$P$18/12+240000</f>
        <v>21764978.25</v>
      </c>
      <c r="G18" s="910">
        <f t="shared" si="8"/>
        <v>21764978.25</v>
      </c>
      <c r="H18" s="910">
        <f t="shared" si="8"/>
        <v>21764978.25</v>
      </c>
      <c r="I18" s="910">
        <f t="shared" si="8"/>
        <v>21764978.25</v>
      </c>
      <c r="J18" s="910">
        <f t="shared" si="8"/>
        <v>21764978.25</v>
      </c>
      <c r="K18" s="910">
        <f t="shared" si="8"/>
        <v>21764978.25</v>
      </c>
      <c r="L18" s="910">
        <f t="shared" si="8"/>
        <v>21764978.25</v>
      </c>
      <c r="M18" s="910">
        <f t="shared" si="8"/>
        <v>21764978.25</v>
      </c>
      <c r="N18" s="910">
        <f t="shared" si="8"/>
        <v>21764978.25</v>
      </c>
      <c r="O18" s="911">
        <f t="shared" si="7"/>
        <v>258299739</v>
      </c>
      <c r="P18" s="898">
        <f>+'9. mell. PMH'!F43</f>
        <v>258299739</v>
      </c>
      <c r="Q18" s="907">
        <f t="shared" si="1"/>
        <v>0</v>
      </c>
      <c r="R18" s="896">
        <v>43</v>
      </c>
    </row>
    <row r="19" spans="1:18" s="896" customFormat="1" ht="14.1" customHeight="1">
      <c r="A19" s="930" t="s">
        <v>37</v>
      </c>
      <c r="B19" s="933" t="s">
        <v>317</v>
      </c>
      <c r="C19" s="910">
        <v>12500000</v>
      </c>
      <c r="D19" s="910">
        <v>12500000</v>
      </c>
      <c r="E19" s="910">
        <v>12083060</v>
      </c>
      <c r="F19" s="910">
        <v>13000000</v>
      </c>
      <c r="G19" s="910">
        <v>13000000</v>
      </c>
      <c r="H19" s="910">
        <v>13000000</v>
      </c>
      <c r="I19" s="910">
        <v>13000000</v>
      </c>
      <c r="J19" s="910">
        <v>13000000</v>
      </c>
      <c r="K19" s="910">
        <v>13000000</v>
      </c>
      <c r="L19" s="910">
        <v>13000000</v>
      </c>
      <c r="M19" s="910">
        <v>13000000</v>
      </c>
      <c r="N19" s="910">
        <v>13000000</v>
      </c>
      <c r="O19" s="911">
        <f t="shared" si="7"/>
        <v>154083060</v>
      </c>
      <c r="P19" s="898">
        <f>+'9. mell. PMH'!F44</f>
        <v>154083060</v>
      </c>
      <c r="Q19" s="907">
        <f t="shared" si="1"/>
        <v>0</v>
      </c>
      <c r="R19" s="896">
        <v>44</v>
      </c>
    </row>
    <row r="20" spans="1:18" s="896" customFormat="1" ht="14.1" customHeight="1">
      <c r="A20" s="930" t="s">
        <v>39</v>
      </c>
      <c r="B20" s="933" t="s">
        <v>318</v>
      </c>
      <c r="C20" s="910">
        <v>0</v>
      </c>
      <c r="D20" s="910">
        <v>0</v>
      </c>
      <c r="E20" s="910">
        <v>0</v>
      </c>
      <c r="F20" s="910">
        <v>0</v>
      </c>
      <c r="G20" s="910">
        <v>0</v>
      </c>
      <c r="H20" s="910">
        <v>0</v>
      </c>
      <c r="I20" s="910">
        <v>0</v>
      </c>
      <c r="J20" s="910">
        <v>0</v>
      </c>
      <c r="K20" s="910">
        <v>0</v>
      </c>
      <c r="L20" s="910">
        <v>0</v>
      </c>
      <c r="M20" s="910">
        <v>0</v>
      </c>
      <c r="N20" s="910">
        <v>0</v>
      </c>
      <c r="O20" s="911">
        <f t="shared" si="7"/>
        <v>0</v>
      </c>
      <c r="P20" s="898">
        <f>+'9. mell. PMH'!F45</f>
        <v>0</v>
      </c>
      <c r="Q20" s="907">
        <f t="shared" si="1"/>
        <v>0</v>
      </c>
      <c r="R20" s="896">
        <v>45</v>
      </c>
    </row>
    <row r="21" spans="1:18" s="896" customFormat="1" ht="14.1" customHeight="1">
      <c r="A21" s="930" t="s">
        <v>41</v>
      </c>
      <c r="B21" s="933" t="s">
        <v>151</v>
      </c>
      <c r="C21" s="910">
        <v>0</v>
      </c>
      <c r="D21" s="910">
        <v>0</v>
      </c>
      <c r="E21" s="910">
        <v>0</v>
      </c>
      <c r="F21" s="910">
        <v>0</v>
      </c>
      <c r="G21" s="910">
        <v>0</v>
      </c>
      <c r="H21" s="910">
        <v>0</v>
      </c>
      <c r="I21" s="910">
        <v>0</v>
      </c>
      <c r="J21" s="910">
        <v>0</v>
      </c>
      <c r="K21" s="910">
        <v>0</v>
      </c>
      <c r="L21" s="910">
        <v>0</v>
      </c>
      <c r="M21" s="910">
        <v>0</v>
      </c>
      <c r="N21" s="910">
        <v>0</v>
      </c>
      <c r="O21" s="911">
        <f t="shared" si="7"/>
        <v>0</v>
      </c>
      <c r="P21" s="898">
        <f>+'9. mell. PMH'!F46</f>
        <v>0</v>
      </c>
      <c r="Q21" s="907">
        <f t="shared" si="1"/>
        <v>0</v>
      </c>
      <c r="R21" s="896">
        <v>46</v>
      </c>
    </row>
    <row r="22" spans="1:18" s="896" customFormat="1" ht="14.1" customHeight="1">
      <c r="A22" s="930" t="s">
        <v>314</v>
      </c>
      <c r="B22" s="933" t="s">
        <v>82</v>
      </c>
      <c r="C22" s="910">
        <v>0</v>
      </c>
      <c r="D22" s="910">
        <v>0</v>
      </c>
      <c r="E22" s="910">
        <v>0</v>
      </c>
      <c r="F22" s="910">
        <v>0</v>
      </c>
      <c r="G22" s="910">
        <v>0</v>
      </c>
      <c r="H22" s="910">
        <v>0</v>
      </c>
      <c r="I22" s="910">
        <v>0</v>
      </c>
      <c r="J22" s="910">
        <v>0</v>
      </c>
      <c r="K22" s="910">
        <v>0</v>
      </c>
      <c r="L22" s="910">
        <v>0</v>
      </c>
      <c r="M22" s="910">
        <v>0</v>
      </c>
      <c r="N22" s="910">
        <v>0</v>
      </c>
      <c r="O22" s="911">
        <f t="shared" si="7"/>
        <v>0</v>
      </c>
      <c r="P22" s="898">
        <f>+'9. mell. PMH'!F48</f>
        <v>0</v>
      </c>
      <c r="Q22" s="907">
        <f t="shared" si="1"/>
        <v>0</v>
      </c>
      <c r="R22" s="896">
        <v>48</v>
      </c>
    </row>
    <row r="23" spans="1:18" s="896" customFormat="1">
      <c r="A23" s="930" t="s">
        <v>402</v>
      </c>
      <c r="B23" s="931" t="s">
        <v>344</v>
      </c>
      <c r="C23" s="910">
        <v>0</v>
      </c>
      <c r="D23" s="910">
        <v>0</v>
      </c>
      <c r="E23" s="910">
        <v>0</v>
      </c>
      <c r="F23" s="910">
        <v>0</v>
      </c>
      <c r="G23" s="910">
        <v>0</v>
      </c>
      <c r="H23" s="910">
        <v>0</v>
      </c>
      <c r="I23" s="910">
        <v>0</v>
      </c>
      <c r="J23" s="910">
        <v>0</v>
      </c>
      <c r="K23" s="910">
        <v>0</v>
      </c>
      <c r="L23" s="910">
        <v>0</v>
      </c>
      <c r="M23" s="910">
        <v>0</v>
      </c>
      <c r="N23" s="910">
        <v>0</v>
      </c>
      <c r="O23" s="911">
        <f t="shared" si="7"/>
        <v>0</v>
      </c>
      <c r="P23" s="898">
        <f>+'9. mell. PMH'!F49</f>
        <v>0</v>
      </c>
      <c r="Q23" s="907">
        <f t="shared" si="1"/>
        <v>0</v>
      </c>
      <c r="R23" s="896">
        <v>49</v>
      </c>
    </row>
    <row r="24" spans="1:18" s="896" customFormat="1" ht="14.1" customHeight="1">
      <c r="A24" s="930" t="s">
        <v>404</v>
      </c>
      <c r="B24" s="933" t="s">
        <v>346</v>
      </c>
      <c r="C24" s="910">
        <v>0</v>
      </c>
      <c r="D24" s="910">
        <v>0</v>
      </c>
      <c r="E24" s="910">
        <v>0</v>
      </c>
      <c r="F24" s="910">
        <v>0</v>
      </c>
      <c r="G24" s="910">
        <v>0</v>
      </c>
      <c r="H24" s="910">
        <v>0</v>
      </c>
      <c r="I24" s="910">
        <v>0</v>
      </c>
      <c r="J24" s="910">
        <v>0</v>
      </c>
      <c r="K24" s="910">
        <v>0</v>
      </c>
      <c r="L24" s="910">
        <v>0</v>
      </c>
      <c r="M24" s="910">
        <v>0</v>
      </c>
      <c r="N24" s="910">
        <v>0</v>
      </c>
      <c r="O24" s="911">
        <f t="shared" si="7"/>
        <v>0</v>
      </c>
      <c r="P24" s="898">
        <f>+'9. mell. PMH'!F50</f>
        <v>0</v>
      </c>
      <c r="Q24" s="907">
        <f t="shared" si="1"/>
        <v>0</v>
      </c>
      <c r="R24" s="896">
        <v>50</v>
      </c>
    </row>
    <row r="25" spans="1:18" s="896" customFormat="1" ht="14.1" customHeight="1">
      <c r="A25" s="930" t="s">
        <v>407</v>
      </c>
      <c r="B25" s="933" t="s">
        <v>2851</v>
      </c>
      <c r="C25" s="934">
        <v>0</v>
      </c>
      <c r="D25" s="934">
        <v>0</v>
      </c>
      <c r="E25" s="934">
        <v>0</v>
      </c>
      <c r="F25" s="934">
        <v>0</v>
      </c>
      <c r="G25" s="934">
        <v>0</v>
      </c>
      <c r="H25" s="934">
        <v>0</v>
      </c>
      <c r="I25" s="934">
        <v>0</v>
      </c>
      <c r="J25" s="934">
        <v>0</v>
      </c>
      <c r="K25" s="934">
        <v>0</v>
      </c>
      <c r="L25" s="934">
        <v>0</v>
      </c>
      <c r="M25" s="934">
        <v>0</v>
      </c>
      <c r="N25" s="934">
        <v>0</v>
      </c>
      <c r="O25" s="935">
        <f t="shared" si="7"/>
        <v>0</v>
      </c>
      <c r="P25" s="898">
        <v>0</v>
      </c>
      <c r="Q25" s="907">
        <f t="shared" si="1"/>
        <v>0</v>
      </c>
      <c r="R25" s="896">
        <v>0</v>
      </c>
    </row>
    <row r="26" spans="1:18" s="896" customFormat="1" ht="14.1" customHeight="1">
      <c r="A26" s="930" t="s">
        <v>409</v>
      </c>
      <c r="B26" s="933" t="s">
        <v>2697</v>
      </c>
      <c r="C26" s="934">
        <v>0</v>
      </c>
      <c r="D26" s="934">
        <v>0</v>
      </c>
      <c r="E26" s="934">
        <v>0</v>
      </c>
      <c r="F26" s="934">
        <v>0</v>
      </c>
      <c r="G26" s="934">
        <v>0</v>
      </c>
      <c r="H26" s="934">
        <v>0</v>
      </c>
      <c r="I26" s="934">
        <v>0</v>
      </c>
      <c r="J26" s="934">
        <v>0</v>
      </c>
      <c r="K26" s="934">
        <v>0</v>
      </c>
      <c r="L26" s="934">
        <v>0</v>
      </c>
      <c r="M26" s="934">
        <v>0</v>
      </c>
      <c r="N26" s="934">
        <v>0</v>
      </c>
      <c r="O26" s="935">
        <f t="shared" si="7"/>
        <v>0</v>
      </c>
      <c r="P26" s="898">
        <v>0</v>
      </c>
      <c r="Q26" s="907">
        <f t="shared" si="1"/>
        <v>0</v>
      </c>
      <c r="R26" s="896">
        <v>0</v>
      </c>
    </row>
    <row r="27" spans="1:18" s="895" customFormat="1" ht="15.95" customHeight="1">
      <c r="A27" s="939" t="s">
        <v>410</v>
      </c>
      <c r="B27" s="936" t="s">
        <v>2852</v>
      </c>
      <c r="C27" s="917">
        <f t="shared" ref="C27:N27" si="9">SUM(C17:C26)</f>
        <v>168656280</v>
      </c>
      <c r="D27" s="917">
        <f t="shared" si="9"/>
        <v>168656280</v>
      </c>
      <c r="E27" s="917">
        <f t="shared" si="9"/>
        <v>184079340</v>
      </c>
      <c r="F27" s="917">
        <f t="shared" si="9"/>
        <v>184996280</v>
      </c>
      <c r="G27" s="917">
        <f t="shared" si="9"/>
        <v>184996280</v>
      </c>
      <c r="H27" s="917">
        <f t="shared" si="9"/>
        <v>184996280</v>
      </c>
      <c r="I27" s="917">
        <f t="shared" si="9"/>
        <v>184996280</v>
      </c>
      <c r="J27" s="917">
        <f t="shared" si="9"/>
        <v>184996280</v>
      </c>
      <c r="K27" s="917">
        <f t="shared" si="9"/>
        <v>184996280</v>
      </c>
      <c r="L27" s="917">
        <f t="shared" si="9"/>
        <v>184996280</v>
      </c>
      <c r="M27" s="917">
        <f t="shared" si="9"/>
        <v>184996280</v>
      </c>
      <c r="N27" s="917">
        <f t="shared" si="9"/>
        <v>184996280</v>
      </c>
      <c r="O27" s="918">
        <f t="shared" si="7"/>
        <v>2186358420</v>
      </c>
      <c r="P27" s="907">
        <f>+'9. mell. PMH'!F52</f>
        <v>2186358420</v>
      </c>
      <c r="Q27" s="907">
        <f t="shared" si="1"/>
        <v>0</v>
      </c>
      <c r="R27" s="895">
        <v>52</v>
      </c>
    </row>
    <row r="28" spans="1:18">
      <c r="A28" s="939" t="s">
        <v>411</v>
      </c>
      <c r="B28" s="940" t="s">
        <v>2853</v>
      </c>
      <c r="C28" s="941">
        <f>C15-C27</f>
        <v>26620295.833333343</v>
      </c>
      <c r="D28" s="941">
        <f t="shared" ref="D28:N28" si="10">C28+D15-D27</f>
        <v>40353865.666666687</v>
      </c>
      <c r="E28" s="941">
        <f t="shared" si="10"/>
        <v>38664375.50000003</v>
      </c>
      <c r="F28" s="941">
        <f t="shared" si="10"/>
        <v>36057945.333333373</v>
      </c>
      <c r="G28" s="941">
        <f t="shared" si="10"/>
        <v>33451515.166666716</v>
      </c>
      <c r="H28" s="941">
        <f t="shared" si="10"/>
        <v>30845085.00000006</v>
      </c>
      <c r="I28" s="941">
        <f t="shared" si="10"/>
        <v>28470632.633333385</v>
      </c>
      <c r="J28" s="941">
        <f t="shared" si="10"/>
        <v>25632224.666666716</v>
      </c>
      <c r="K28" s="941">
        <f t="shared" si="10"/>
        <v>22445850.00000006</v>
      </c>
      <c r="L28" s="941">
        <f t="shared" si="10"/>
        <v>19259475.333333403</v>
      </c>
      <c r="M28" s="941">
        <f t="shared" si="10"/>
        <v>16073100.666666746</v>
      </c>
      <c r="N28" s="941">
        <f t="shared" si="10"/>
        <v>0</v>
      </c>
      <c r="O28" s="942">
        <f>O15-O27</f>
        <v>0</v>
      </c>
      <c r="Q28" s="907">
        <f t="shared" si="1"/>
        <v>0</v>
      </c>
      <c r="R28" s="943">
        <f>+P15-P27</f>
        <v>0</v>
      </c>
    </row>
    <row r="29" spans="1:18">
      <c r="A29" s="944"/>
      <c r="B29" s="945"/>
      <c r="C29" s="946"/>
      <c r="D29" s="946"/>
      <c r="E29" s="946"/>
      <c r="F29" s="946"/>
      <c r="G29" s="946"/>
      <c r="H29" s="946"/>
      <c r="I29" s="946"/>
      <c r="J29" s="946"/>
      <c r="K29" s="946"/>
      <c r="L29" s="946"/>
      <c r="M29" s="946"/>
      <c r="N29" s="946"/>
      <c r="O29" s="946"/>
      <c r="Q29" s="907"/>
    </row>
    <row r="30" spans="1:18">
      <c r="A30" s="947"/>
      <c r="Q30" s="907"/>
    </row>
    <row r="31" spans="1:18" ht="31.5" customHeight="1">
      <c r="A31" s="3834" t="s">
        <v>3772</v>
      </c>
      <c r="B31" s="3834"/>
      <c r="C31" s="3834"/>
      <c r="D31" s="3834"/>
      <c r="E31" s="3834"/>
      <c r="F31" s="3834"/>
      <c r="G31" s="3834"/>
      <c r="H31" s="3834"/>
      <c r="I31" s="3834"/>
      <c r="J31" s="3834"/>
      <c r="K31" s="3834"/>
      <c r="L31" s="3834"/>
      <c r="M31" s="3834"/>
      <c r="N31" s="3834"/>
      <c r="O31" s="3834"/>
      <c r="Q31" s="907"/>
    </row>
    <row r="32" spans="1:18">
      <c r="O32" s="924" t="s">
        <v>3300</v>
      </c>
      <c r="Q32" s="907"/>
    </row>
    <row r="33" spans="1:18" ht="24">
      <c r="A33" s="899" t="s">
        <v>2726</v>
      </c>
      <c r="B33" s="900" t="s">
        <v>136</v>
      </c>
      <c r="C33" s="900" t="s">
        <v>2837</v>
      </c>
      <c r="D33" s="900" t="s">
        <v>2838</v>
      </c>
      <c r="E33" s="900" t="s">
        <v>2839</v>
      </c>
      <c r="F33" s="900" t="s">
        <v>2840</v>
      </c>
      <c r="G33" s="900" t="s">
        <v>2841</v>
      </c>
      <c r="H33" s="900" t="s">
        <v>2842</v>
      </c>
      <c r="I33" s="900" t="s">
        <v>2843</v>
      </c>
      <c r="J33" s="900" t="s">
        <v>2844</v>
      </c>
      <c r="K33" s="900" t="s">
        <v>2845</v>
      </c>
      <c r="L33" s="900" t="s">
        <v>2846</v>
      </c>
      <c r="M33" s="900" t="s">
        <v>2847</v>
      </c>
      <c r="N33" s="900" t="s">
        <v>2848</v>
      </c>
      <c r="O33" s="901" t="s">
        <v>66</v>
      </c>
      <c r="Q33" s="907"/>
    </row>
    <row r="34" spans="1:18">
      <c r="A34" s="925" t="s">
        <v>6</v>
      </c>
      <c r="B34" s="3833" t="s">
        <v>390</v>
      </c>
      <c r="C34" s="3833"/>
      <c r="D34" s="3833"/>
      <c r="E34" s="3833"/>
      <c r="F34" s="3833"/>
      <c r="G34" s="3833"/>
      <c r="H34" s="3833"/>
      <c r="I34" s="3833"/>
      <c r="J34" s="3833"/>
      <c r="K34" s="3833"/>
      <c r="L34" s="3833"/>
      <c r="M34" s="3833"/>
      <c r="N34" s="3833"/>
      <c r="O34" s="3833"/>
      <c r="Q34" s="907"/>
    </row>
    <row r="35" spans="1:18" ht="22.5">
      <c r="A35" s="926" t="s">
        <v>12</v>
      </c>
      <c r="B35" s="927" t="s">
        <v>3385</v>
      </c>
      <c r="C35" s="928">
        <v>0</v>
      </c>
      <c r="D35" s="928">
        <v>0</v>
      </c>
      <c r="E35" s="928">
        <v>0</v>
      </c>
      <c r="F35" s="928">
        <v>0</v>
      </c>
      <c r="G35" s="928">
        <v>0</v>
      </c>
      <c r="H35" s="928">
        <v>0</v>
      </c>
      <c r="I35" s="928">
        <v>0</v>
      </c>
      <c r="J35" s="928">
        <v>0</v>
      </c>
      <c r="K35" s="928">
        <v>0</v>
      </c>
      <c r="L35" s="928">
        <v>0</v>
      </c>
      <c r="M35" s="928">
        <v>0</v>
      </c>
      <c r="N35" s="928">
        <v>0</v>
      </c>
      <c r="O35" s="929">
        <f t="shared" ref="O35:O44" si="11">SUM(C35:N35)</f>
        <v>0</v>
      </c>
      <c r="P35" s="943">
        <v>0</v>
      </c>
      <c r="Q35" s="907">
        <f t="shared" ref="Q35:Q44" si="12">O35-P35</f>
        <v>0</v>
      </c>
      <c r="R35" s="895">
        <v>0</v>
      </c>
    </row>
    <row r="36" spans="1:18">
      <c r="A36" s="930" t="s">
        <v>14</v>
      </c>
      <c r="B36" s="931" t="s">
        <v>3386</v>
      </c>
      <c r="C36" s="910">
        <f>+$P$36/12</f>
        <v>233645728.5</v>
      </c>
      <c r="D36" s="910">
        <f t="shared" ref="D36:N36" si="13">+$P$36/12</f>
        <v>233645728.5</v>
      </c>
      <c r="E36" s="910">
        <f t="shared" si="13"/>
        <v>233645728.5</v>
      </c>
      <c r="F36" s="910">
        <f t="shared" si="13"/>
        <v>233645728.5</v>
      </c>
      <c r="G36" s="910">
        <f t="shared" si="13"/>
        <v>233645728.5</v>
      </c>
      <c r="H36" s="910">
        <f t="shared" si="13"/>
        <v>233645728.5</v>
      </c>
      <c r="I36" s="910">
        <f t="shared" si="13"/>
        <v>233645728.5</v>
      </c>
      <c r="J36" s="910">
        <f t="shared" si="13"/>
        <v>233645728.5</v>
      </c>
      <c r="K36" s="910">
        <f t="shared" si="13"/>
        <v>233645728.5</v>
      </c>
      <c r="L36" s="910">
        <f t="shared" si="13"/>
        <v>233645728.5</v>
      </c>
      <c r="M36" s="910">
        <f>+$P$36/12</f>
        <v>233645728.5</v>
      </c>
      <c r="N36" s="910">
        <f t="shared" si="13"/>
        <v>233645728.5</v>
      </c>
      <c r="O36" s="911">
        <f t="shared" si="11"/>
        <v>2803748742</v>
      </c>
      <c r="P36" s="943">
        <f>+'12. mell. Szakrendelő'!F23</f>
        <v>2803748742</v>
      </c>
      <c r="Q36" s="907">
        <f t="shared" si="12"/>
        <v>0</v>
      </c>
      <c r="R36" s="896">
        <v>23</v>
      </c>
    </row>
    <row r="37" spans="1:18">
      <c r="A37" s="930" t="s">
        <v>15</v>
      </c>
      <c r="B37" s="932" t="s">
        <v>2849</v>
      </c>
      <c r="C37" s="913">
        <v>0</v>
      </c>
      <c r="D37" s="913">
        <v>0</v>
      </c>
      <c r="E37" s="913">
        <v>0</v>
      </c>
      <c r="F37" s="913">
        <v>0</v>
      </c>
      <c r="G37" s="913">
        <v>0</v>
      </c>
      <c r="H37" s="913">
        <v>0</v>
      </c>
      <c r="I37" s="913">
        <v>0</v>
      </c>
      <c r="J37" s="913">
        <v>0</v>
      </c>
      <c r="K37" s="913">
        <v>0</v>
      </c>
      <c r="L37" s="913">
        <v>0</v>
      </c>
      <c r="M37" s="913">
        <v>0</v>
      </c>
      <c r="N37" s="913">
        <v>0</v>
      </c>
      <c r="O37" s="914">
        <f t="shared" si="11"/>
        <v>0</v>
      </c>
      <c r="P37" s="943">
        <f>+'12. mell. Szakrendelő'!F27</f>
        <v>0</v>
      </c>
      <c r="Q37" s="907">
        <f t="shared" si="12"/>
        <v>0</v>
      </c>
      <c r="R37" s="896">
        <v>27</v>
      </c>
    </row>
    <row r="38" spans="1:18">
      <c r="A38" s="930" t="s">
        <v>17</v>
      </c>
      <c r="B38" s="933" t="s">
        <v>393</v>
      </c>
      <c r="C38" s="934">
        <v>0</v>
      </c>
      <c r="D38" s="934">
        <v>0</v>
      </c>
      <c r="E38" s="934">
        <v>0</v>
      </c>
      <c r="F38" s="934">
        <v>0</v>
      </c>
      <c r="G38" s="934">
        <v>0</v>
      </c>
      <c r="H38" s="934">
        <v>0</v>
      </c>
      <c r="I38" s="934">
        <v>0</v>
      </c>
      <c r="J38" s="934">
        <v>0</v>
      </c>
      <c r="K38" s="934">
        <v>0</v>
      </c>
      <c r="L38" s="934">
        <v>0</v>
      </c>
      <c r="M38" s="934">
        <v>0</v>
      </c>
      <c r="N38" s="934">
        <v>0</v>
      </c>
      <c r="O38" s="935">
        <f t="shared" si="11"/>
        <v>0</v>
      </c>
      <c r="P38" s="943">
        <f>+'12. mell. Szakrendelő'!F31</f>
        <v>0</v>
      </c>
      <c r="Q38" s="907">
        <f t="shared" si="12"/>
        <v>0</v>
      </c>
      <c r="R38" s="896">
        <v>31</v>
      </c>
    </row>
    <row r="39" spans="1:18">
      <c r="A39" s="930" t="s">
        <v>19</v>
      </c>
      <c r="B39" s="933" t="s">
        <v>149</v>
      </c>
      <c r="C39" s="910">
        <f>+$P$39/12</f>
        <v>11218631</v>
      </c>
      <c r="D39" s="910">
        <f>+$P$39/12</f>
        <v>11218631</v>
      </c>
      <c r="E39" s="910">
        <f>+$P$39/12</f>
        <v>11218631</v>
      </c>
      <c r="F39" s="910">
        <f t="shared" ref="F39:N39" si="14">+$P$39/12</f>
        <v>11218631</v>
      </c>
      <c r="G39" s="910">
        <f t="shared" si="14"/>
        <v>11218631</v>
      </c>
      <c r="H39" s="910">
        <f t="shared" si="14"/>
        <v>11218631</v>
      </c>
      <c r="I39" s="910">
        <f t="shared" si="14"/>
        <v>11218631</v>
      </c>
      <c r="J39" s="910">
        <f t="shared" si="14"/>
        <v>11218631</v>
      </c>
      <c r="K39" s="910">
        <f t="shared" si="14"/>
        <v>11218631</v>
      </c>
      <c r="L39" s="910">
        <f t="shared" si="14"/>
        <v>11218631</v>
      </c>
      <c r="M39" s="910">
        <f t="shared" si="14"/>
        <v>11218631</v>
      </c>
      <c r="N39" s="910">
        <f t="shared" si="14"/>
        <v>11218631</v>
      </c>
      <c r="O39" s="911">
        <f t="shared" si="11"/>
        <v>134623572</v>
      </c>
      <c r="P39" s="943">
        <f>+'12. mell. Szakrendelő'!F8</f>
        <v>134623572</v>
      </c>
      <c r="Q39" s="907">
        <f t="shared" si="12"/>
        <v>0</v>
      </c>
      <c r="R39" s="896">
        <v>8</v>
      </c>
    </row>
    <row r="40" spans="1:18">
      <c r="A40" s="930" t="s">
        <v>21</v>
      </c>
      <c r="B40" s="933" t="s">
        <v>431</v>
      </c>
      <c r="C40" s="910">
        <v>0</v>
      </c>
      <c r="D40" s="910">
        <v>0</v>
      </c>
      <c r="E40" s="910">
        <v>0</v>
      </c>
      <c r="F40" s="910">
        <v>0</v>
      </c>
      <c r="G40" s="910">
        <v>0</v>
      </c>
      <c r="H40" s="910">
        <v>0</v>
      </c>
      <c r="I40" s="910">
        <v>0</v>
      </c>
      <c r="J40" s="910">
        <v>0</v>
      </c>
      <c r="K40" s="910">
        <v>0</v>
      </c>
      <c r="L40" s="910">
        <v>0</v>
      </c>
      <c r="M40" s="910">
        <v>0</v>
      </c>
      <c r="N40" s="910">
        <v>0</v>
      </c>
      <c r="O40" s="911">
        <f t="shared" si="11"/>
        <v>0</v>
      </c>
      <c r="P40" s="943">
        <f>+'12. mell. Szakrendelő'!F20</f>
        <v>0</v>
      </c>
      <c r="Q40" s="907">
        <f t="shared" si="12"/>
        <v>0</v>
      </c>
      <c r="R40" s="896">
        <v>20</v>
      </c>
    </row>
    <row r="41" spans="1:18">
      <c r="A41" s="930" t="s">
        <v>23</v>
      </c>
      <c r="B41" s="933" t="s">
        <v>153</v>
      </c>
      <c r="C41" s="910">
        <v>0</v>
      </c>
      <c r="D41" s="910">
        <v>0</v>
      </c>
      <c r="E41" s="910">
        <v>0</v>
      </c>
      <c r="F41" s="910">
        <v>0</v>
      </c>
      <c r="G41" s="910">
        <v>0</v>
      </c>
      <c r="H41" s="910">
        <v>0</v>
      </c>
      <c r="I41" s="910">
        <v>0</v>
      </c>
      <c r="J41" s="910">
        <v>0</v>
      </c>
      <c r="K41" s="910">
        <v>0</v>
      </c>
      <c r="L41" s="910">
        <v>0</v>
      </c>
      <c r="M41" s="910">
        <v>0</v>
      </c>
      <c r="N41" s="910">
        <v>0</v>
      </c>
      <c r="O41" s="911">
        <f t="shared" si="11"/>
        <v>0</v>
      </c>
      <c r="P41" s="943">
        <f>+'12. mell. Szakrendelő'!F29</f>
        <v>0</v>
      </c>
      <c r="Q41" s="907">
        <f t="shared" si="12"/>
        <v>0</v>
      </c>
      <c r="R41" s="896">
        <v>29</v>
      </c>
    </row>
    <row r="42" spans="1:18">
      <c r="A42" s="930" t="s">
        <v>25</v>
      </c>
      <c r="B42" s="931" t="s">
        <v>1281</v>
      </c>
      <c r="C42" s="910">
        <v>0</v>
      </c>
      <c r="D42" s="910">
        <v>0</v>
      </c>
      <c r="E42" s="910">
        <v>0</v>
      </c>
      <c r="F42" s="910">
        <v>0</v>
      </c>
      <c r="G42" s="910">
        <v>0</v>
      </c>
      <c r="H42" s="910">
        <v>0</v>
      </c>
      <c r="I42" s="910">
        <v>0</v>
      </c>
      <c r="J42" s="910">
        <v>0</v>
      </c>
      <c r="K42" s="910">
        <v>0</v>
      </c>
      <c r="L42" s="910">
        <v>0</v>
      </c>
      <c r="M42" s="910">
        <v>0</v>
      </c>
      <c r="N42" s="910">
        <v>0</v>
      </c>
      <c r="O42" s="911">
        <f t="shared" si="11"/>
        <v>0</v>
      </c>
      <c r="P42" s="943">
        <f>+'12. mell. Szakrendelő'!F30</f>
        <v>0</v>
      </c>
      <c r="Q42" s="907">
        <f t="shared" si="12"/>
        <v>0</v>
      </c>
      <c r="R42" s="896">
        <v>30</v>
      </c>
    </row>
    <row r="43" spans="1:18">
      <c r="A43" s="930" t="s">
        <v>27</v>
      </c>
      <c r="B43" s="933" t="s">
        <v>1257</v>
      </c>
      <c r="C43" s="910">
        <f>+$P$43/12</f>
        <v>70592379.833333328</v>
      </c>
      <c r="D43" s="910">
        <f t="shared" ref="D43:N43" si="15">+$P$43/12</f>
        <v>70592379.833333328</v>
      </c>
      <c r="E43" s="910">
        <f t="shared" si="15"/>
        <v>70592379.833333328</v>
      </c>
      <c r="F43" s="910">
        <f t="shared" si="15"/>
        <v>70592379.833333328</v>
      </c>
      <c r="G43" s="910">
        <f t="shared" si="15"/>
        <v>70592379.833333328</v>
      </c>
      <c r="H43" s="910">
        <f t="shared" si="15"/>
        <v>70592379.833333328</v>
      </c>
      <c r="I43" s="910">
        <f t="shared" si="15"/>
        <v>70592379.833333328</v>
      </c>
      <c r="J43" s="910">
        <f t="shared" si="15"/>
        <v>70592379.833333328</v>
      </c>
      <c r="K43" s="910">
        <f t="shared" si="15"/>
        <v>70592379.833333328</v>
      </c>
      <c r="L43" s="910">
        <f t="shared" si="15"/>
        <v>70592379.833333328</v>
      </c>
      <c r="M43" s="910">
        <f t="shared" si="15"/>
        <v>70592379.833333328</v>
      </c>
      <c r="N43" s="910">
        <f t="shared" si="15"/>
        <v>70592379.833333328</v>
      </c>
      <c r="O43" s="911">
        <f t="shared" si="11"/>
        <v>847108558.00000012</v>
      </c>
      <c r="P43" s="943">
        <f>+'12. mell. Szakrendelő'!F36+'12. mell. Szakrendelő'!F34</f>
        <v>847108558</v>
      </c>
      <c r="Q43" s="907">
        <f t="shared" si="12"/>
        <v>0</v>
      </c>
      <c r="R43" s="896">
        <v>36</v>
      </c>
    </row>
    <row r="44" spans="1:18">
      <c r="A44" s="925" t="s">
        <v>29</v>
      </c>
      <c r="B44" s="936" t="s">
        <v>2850</v>
      </c>
      <c r="C44" s="917">
        <f t="shared" ref="C44:N44" si="16">SUM(C35:C43)</f>
        <v>315456739.33333331</v>
      </c>
      <c r="D44" s="917">
        <f t="shared" si="16"/>
        <v>315456739.33333331</v>
      </c>
      <c r="E44" s="917">
        <f t="shared" si="16"/>
        <v>315456739.33333331</v>
      </c>
      <c r="F44" s="917">
        <f t="shared" si="16"/>
        <v>315456739.33333331</v>
      </c>
      <c r="G44" s="917">
        <f t="shared" si="16"/>
        <v>315456739.33333331</v>
      </c>
      <c r="H44" s="917">
        <f t="shared" si="16"/>
        <v>315456739.33333331</v>
      </c>
      <c r="I44" s="917">
        <f t="shared" si="16"/>
        <v>315456739.33333331</v>
      </c>
      <c r="J44" s="917">
        <f t="shared" si="16"/>
        <v>315456739.33333331</v>
      </c>
      <c r="K44" s="917">
        <f t="shared" si="16"/>
        <v>315456739.33333331</v>
      </c>
      <c r="L44" s="917">
        <f t="shared" si="16"/>
        <v>315456739.33333331</v>
      </c>
      <c r="M44" s="917">
        <f t="shared" si="16"/>
        <v>315456739.33333331</v>
      </c>
      <c r="N44" s="917">
        <f t="shared" si="16"/>
        <v>315456739.33333331</v>
      </c>
      <c r="O44" s="918">
        <f t="shared" si="11"/>
        <v>3785480872.0000005</v>
      </c>
      <c r="P44" s="943">
        <f>+'12. mell. Szakrendelő'!F37</f>
        <v>3785480872</v>
      </c>
      <c r="Q44" s="907">
        <f t="shared" si="12"/>
        <v>0</v>
      </c>
      <c r="R44" s="895">
        <v>37</v>
      </c>
    </row>
    <row r="45" spans="1:18">
      <c r="A45" s="925" t="s">
        <v>31</v>
      </c>
      <c r="B45" s="3833" t="s">
        <v>391</v>
      </c>
      <c r="C45" s="3833"/>
      <c r="D45" s="3833"/>
      <c r="E45" s="3833"/>
      <c r="F45" s="3833"/>
      <c r="G45" s="3833"/>
      <c r="H45" s="3833"/>
      <c r="I45" s="3833"/>
      <c r="J45" s="3833"/>
      <c r="K45" s="3833"/>
      <c r="L45" s="3833"/>
      <c r="M45" s="3833"/>
      <c r="N45" s="3833"/>
      <c r="O45" s="3833"/>
      <c r="P45" s="943"/>
      <c r="Q45" s="907"/>
      <c r="R45" s="895"/>
    </row>
    <row r="46" spans="1:18">
      <c r="A46" s="937" t="s">
        <v>33</v>
      </c>
      <c r="B46" s="938" t="s">
        <v>9</v>
      </c>
      <c r="C46" s="913">
        <f t="shared" ref="C46:N46" si="17">+$P$46/12</f>
        <v>213654525.75</v>
      </c>
      <c r="D46" s="913">
        <f t="shared" si="17"/>
        <v>213654525.75</v>
      </c>
      <c r="E46" s="913">
        <f t="shared" si="17"/>
        <v>213654525.75</v>
      </c>
      <c r="F46" s="913">
        <f t="shared" si="17"/>
        <v>213654525.75</v>
      </c>
      <c r="G46" s="913">
        <f t="shared" si="17"/>
        <v>213654525.75</v>
      </c>
      <c r="H46" s="913">
        <f t="shared" si="17"/>
        <v>213654525.75</v>
      </c>
      <c r="I46" s="913">
        <f t="shared" si="17"/>
        <v>213654525.75</v>
      </c>
      <c r="J46" s="913">
        <f t="shared" si="17"/>
        <v>213654525.75</v>
      </c>
      <c r="K46" s="913">
        <f t="shared" si="17"/>
        <v>213654525.75</v>
      </c>
      <c r="L46" s="913">
        <f t="shared" si="17"/>
        <v>213654525.75</v>
      </c>
      <c r="M46" s="913">
        <f t="shared" si="17"/>
        <v>213654525.75</v>
      </c>
      <c r="N46" s="913">
        <f t="shared" si="17"/>
        <v>213654525.75</v>
      </c>
      <c r="O46" s="914">
        <f t="shared" ref="O46:O56" si="18">SUM(C46:N46)</f>
        <v>2563854309</v>
      </c>
      <c r="P46" s="943">
        <f>+'12. mell. Szakrendelő'!F42</f>
        <v>2563854309</v>
      </c>
      <c r="Q46" s="907">
        <f t="shared" ref="Q46:Q56" si="19">O46-P46</f>
        <v>0</v>
      </c>
      <c r="R46" s="896">
        <v>42</v>
      </c>
    </row>
    <row r="47" spans="1:18" ht="22.5">
      <c r="A47" s="930" t="s">
        <v>35</v>
      </c>
      <c r="B47" s="931" t="s">
        <v>8</v>
      </c>
      <c r="C47" s="910">
        <f t="shared" ref="C47:N47" si="20">+$P$47/12</f>
        <v>27558992.833333332</v>
      </c>
      <c r="D47" s="910">
        <f t="shared" si="20"/>
        <v>27558992.833333332</v>
      </c>
      <c r="E47" s="910">
        <f t="shared" si="20"/>
        <v>27558992.833333332</v>
      </c>
      <c r="F47" s="910">
        <f t="shared" si="20"/>
        <v>27558992.833333332</v>
      </c>
      <c r="G47" s="910">
        <f t="shared" si="20"/>
        <v>27558992.833333332</v>
      </c>
      <c r="H47" s="910">
        <f t="shared" si="20"/>
        <v>27558992.833333332</v>
      </c>
      <c r="I47" s="910">
        <f t="shared" si="20"/>
        <v>27558992.833333332</v>
      </c>
      <c r="J47" s="910">
        <f t="shared" si="20"/>
        <v>27558992.833333332</v>
      </c>
      <c r="K47" s="910">
        <f t="shared" si="20"/>
        <v>27558992.833333332</v>
      </c>
      <c r="L47" s="910">
        <f t="shared" si="20"/>
        <v>27558992.833333332</v>
      </c>
      <c r="M47" s="910">
        <f t="shared" si="20"/>
        <v>27558992.833333332</v>
      </c>
      <c r="N47" s="910">
        <f t="shared" si="20"/>
        <v>27558992.833333332</v>
      </c>
      <c r="O47" s="911">
        <f t="shared" si="18"/>
        <v>330707914</v>
      </c>
      <c r="P47" s="943">
        <f>+'12. mell. Szakrendelő'!F43</f>
        <v>330707914</v>
      </c>
      <c r="Q47" s="907">
        <f t="shared" si="19"/>
        <v>0</v>
      </c>
      <c r="R47" s="896">
        <v>43</v>
      </c>
    </row>
    <row r="48" spans="1:18">
      <c r="A48" s="930" t="s">
        <v>37</v>
      </c>
      <c r="B48" s="933" t="s">
        <v>317</v>
      </c>
      <c r="C48" s="910">
        <f t="shared" ref="C48:N48" si="21">+$P$48/12</f>
        <v>73583367.25</v>
      </c>
      <c r="D48" s="910">
        <f t="shared" si="21"/>
        <v>73583367.25</v>
      </c>
      <c r="E48" s="910">
        <f t="shared" si="21"/>
        <v>73583367.25</v>
      </c>
      <c r="F48" s="910">
        <f t="shared" si="21"/>
        <v>73583367.25</v>
      </c>
      <c r="G48" s="910">
        <f t="shared" si="21"/>
        <v>73583367.25</v>
      </c>
      <c r="H48" s="910">
        <f t="shared" si="21"/>
        <v>73583367.25</v>
      </c>
      <c r="I48" s="910">
        <f t="shared" si="21"/>
        <v>73583367.25</v>
      </c>
      <c r="J48" s="910">
        <f t="shared" si="21"/>
        <v>73583367.25</v>
      </c>
      <c r="K48" s="910">
        <f t="shared" si="21"/>
        <v>73583367.25</v>
      </c>
      <c r="L48" s="910">
        <f t="shared" si="21"/>
        <v>73583367.25</v>
      </c>
      <c r="M48" s="910">
        <f t="shared" si="21"/>
        <v>73583367.25</v>
      </c>
      <c r="N48" s="910">
        <f t="shared" si="21"/>
        <v>73583367.25</v>
      </c>
      <c r="O48" s="911">
        <f t="shared" si="18"/>
        <v>883000407</v>
      </c>
      <c r="P48" s="943">
        <f>+'12. mell. Szakrendelő'!F44</f>
        <v>883000407</v>
      </c>
      <c r="Q48" s="907">
        <f t="shared" si="19"/>
        <v>0</v>
      </c>
      <c r="R48" s="896">
        <v>44</v>
      </c>
    </row>
    <row r="49" spans="1:18">
      <c r="A49" s="930" t="s">
        <v>39</v>
      </c>
      <c r="B49" s="933" t="s">
        <v>318</v>
      </c>
      <c r="C49" s="910">
        <v>0</v>
      </c>
      <c r="D49" s="910">
        <v>0</v>
      </c>
      <c r="E49" s="910">
        <v>0</v>
      </c>
      <c r="F49" s="910">
        <v>0</v>
      </c>
      <c r="G49" s="910">
        <v>0</v>
      </c>
      <c r="H49" s="910">
        <v>0</v>
      </c>
      <c r="I49" s="910">
        <v>0</v>
      </c>
      <c r="J49" s="910">
        <v>0</v>
      </c>
      <c r="K49" s="910">
        <v>0</v>
      </c>
      <c r="L49" s="910">
        <v>0</v>
      </c>
      <c r="M49" s="910">
        <v>0</v>
      </c>
      <c r="N49" s="910">
        <v>0</v>
      </c>
      <c r="O49" s="911">
        <f t="shared" si="18"/>
        <v>0</v>
      </c>
      <c r="P49" s="943">
        <f>+'12. mell. Szakrendelő'!F45</f>
        <v>0</v>
      </c>
      <c r="Q49" s="907">
        <f t="shared" si="19"/>
        <v>0</v>
      </c>
      <c r="R49" s="896">
        <v>45</v>
      </c>
    </row>
    <row r="50" spans="1:18">
      <c r="A50" s="930" t="s">
        <v>41</v>
      </c>
      <c r="B50" s="933" t="s">
        <v>2855</v>
      </c>
      <c r="C50" s="910">
        <v>0</v>
      </c>
      <c r="D50" s="910">
        <v>0</v>
      </c>
      <c r="E50" s="910">
        <v>0</v>
      </c>
      <c r="F50" s="910">
        <v>0</v>
      </c>
      <c r="G50" s="910">
        <v>0</v>
      </c>
      <c r="H50" s="910">
        <v>0</v>
      </c>
      <c r="I50" s="910">
        <v>0</v>
      </c>
      <c r="J50" s="910">
        <v>0</v>
      </c>
      <c r="K50" s="910">
        <v>0</v>
      </c>
      <c r="L50" s="910">
        <v>0</v>
      </c>
      <c r="M50" s="910">
        <v>0</v>
      </c>
      <c r="N50" s="910">
        <v>0</v>
      </c>
      <c r="O50" s="911">
        <f t="shared" si="18"/>
        <v>0</v>
      </c>
      <c r="P50" s="943">
        <f>+'12. mell. Szakrendelő'!F46</f>
        <v>0</v>
      </c>
      <c r="Q50" s="907">
        <f t="shared" si="19"/>
        <v>0</v>
      </c>
      <c r="R50" s="896">
        <v>46</v>
      </c>
    </row>
    <row r="51" spans="1:18">
      <c r="A51" s="930" t="s">
        <v>314</v>
      </c>
      <c r="B51" s="933" t="s">
        <v>82</v>
      </c>
      <c r="C51" s="910">
        <f>+$P$51/12</f>
        <v>659853.5</v>
      </c>
      <c r="D51" s="910">
        <f t="shared" ref="D51:N51" si="22">+$P$51/12</f>
        <v>659853.5</v>
      </c>
      <c r="E51" s="910">
        <f t="shared" si="22"/>
        <v>659853.5</v>
      </c>
      <c r="F51" s="910">
        <f t="shared" si="22"/>
        <v>659853.5</v>
      </c>
      <c r="G51" s="910">
        <f t="shared" si="22"/>
        <v>659853.5</v>
      </c>
      <c r="H51" s="910">
        <f t="shared" si="22"/>
        <v>659853.5</v>
      </c>
      <c r="I51" s="910">
        <f t="shared" si="22"/>
        <v>659853.5</v>
      </c>
      <c r="J51" s="910">
        <f t="shared" si="22"/>
        <v>659853.5</v>
      </c>
      <c r="K51" s="910">
        <f t="shared" si="22"/>
        <v>659853.5</v>
      </c>
      <c r="L51" s="910">
        <f t="shared" si="22"/>
        <v>659853.5</v>
      </c>
      <c r="M51" s="910">
        <f t="shared" si="22"/>
        <v>659853.5</v>
      </c>
      <c r="N51" s="910">
        <f t="shared" si="22"/>
        <v>659853.5</v>
      </c>
      <c r="O51" s="911">
        <f t="shared" si="18"/>
        <v>7918242</v>
      </c>
      <c r="P51" s="943">
        <f>+'12. mell. Szakrendelő'!F48</f>
        <v>7918242</v>
      </c>
      <c r="Q51" s="907">
        <f t="shared" si="19"/>
        <v>0</v>
      </c>
      <c r="R51" s="896">
        <v>48</v>
      </c>
    </row>
    <row r="52" spans="1:18">
      <c r="A52" s="930" t="s">
        <v>402</v>
      </c>
      <c r="B52" s="931" t="s">
        <v>344</v>
      </c>
      <c r="C52" s="910">
        <f>+$P$52/12</f>
        <v>0</v>
      </c>
      <c r="D52" s="910">
        <f t="shared" ref="D52:N52" si="23">+$P$52/12</f>
        <v>0</v>
      </c>
      <c r="E52" s="910">
        <f t="shared" si="23"/>
        <v>0</v>
      </c>
      <c r="F52" s="910">
        <f t="shared" si="23"/>
        <v>0</v>
      </c>
      <c r="G52" s="910">
        <f t="shared" si="23"/>
        <v>0</v>
      </c>
      <c r="H52" s="910">
        <f t="shared" si="23"/>
        <v>0</v>
      </c>
      <c r="I52" s="910">
        <f t="shared" si="23"/>
        <v>0</v>
      </c>
      <c r="J52" s="910">
        <f t="shared" si="23"/>
        <v>0</v>
      </c>
      <c r="K52" s="910">
        <f t="shared" si="23"/>
        <v>0</v>
      </c>
      <c r="L52" s="910">
        <f t="shared" si="23"/>
        <v>0</v>
      </c>
      <c r="M52" s="910">
        <f t="shared" si="23"/>
        <v>0</v>
      </c>
      <c r="N52" s="910">
        <f t="shared" si="23"/>
        <v>0</v>
      </c>
      <c r="O52" s="911">
        <f t="shared" si="18"/>
        <v>0</v>
      </c>
      <c r="P52" s="943">
        <f>+'12. mell. Szakrendelő'!F49</f>
        <v>0</v>
      </c>
      <c r="Q52" s="907">
        <f t="shared" si="19"/>
        <v>0</v>
      </c>
      <c r="R52" s="896">
        <v>49</v>
      </c>
    </row>
    <row r="53" spans="1:18">
      <c r="A53" s="930" t="s">
        <v>404</v>
      </c>
      <c r="B53" s="933" t="s">
        <v>346</v>
      </c>
      <c r="C53" s="910">
        <v>0</v>
      </c>
      <c r="D53" s="910">
        <v>0</v>
      </c>
      <c r="E53" s="910">
        <v>0</v>
      </c>
      <c r="F53" s="910">
        <v>0</v>
      </c>
      <c r="G53" s="910">
        <v>0</v>
      </c>
      <c r="H53" s="910">
        <v>0</v>
      </c>
      <c r="I53" s="910">
        <v>0</v>
      </c>
      <c r="J53" s="910">
        <v>0</v>
      </c>
      <c r="K53" s="910">
        <v>0</v>
      </c>
      <c r="L53" s="910">
        <v>0</v>
      </c>
      <c r="M53" s="910">
        <v>0</v>
      </c>
      <c r="N53" s="910">
        <v>0</v>
      </c>
      <c r="O53" s="911">
        <f t="shared" si="18"/>
        <v>0</v>
      </c>
      <c r="P53" s="943">
        <f>+'12. mell. Szakrendelő'!F50</f>
        <v>0</v>
      </c>
      <c r="Q53" s="907">
        <f t="shared" si="19"/>
        <v>0</v>
      </c>
      <c r="R53" s="896">
        <v>50</v>
      </c>
    </row>
    <row r="54" spans="1:18">
      <c r="A54" s="930" t="s">
        <v>407</v>
      </c>
      <c r="B54" s="933" t="s">
        <v>2851</v>
      </c>
      <c r="C54" s="934">
        <v>0</v>
      </c>
      <c r="D54" s="934">
        <v>0</v>
      </c>
      <c r="E54" s="934">
        <v>0</v>
      </c>
      <c r="F54" s="934">
        <v>0</v>
      </c>
      <c r="G54" s="934">
        <v>0</v>
      </c>
      <c r="H54" s="934">
        <v>0</v>
      </c>
      <c r="I54" s="934">
        <v>0</v>
      </c>
      <c r="J54" s="934">
        <v>0</v>
      </c>
      <c r="K54" s="934">
        <v>0</v>
      </c>
      <c r="L54" s="934">
        <v>0</v>
      </c>
      <c r="M54" s="934">
        <v>0</v>
      </c>
      <c r="N54" s="934">
        <v>0</v>
      </c>
      <c r="O54" s="935">
        <f t="shared" si="18"/>
        <v>0</v>
      </c>
      <c r="P54" s="943">
        <v>0</v>
      </c>
      <c r="Q54" s="907">
        <f t="shared" si="19"/>
        <v>0</v>
      </c>
      <c r="R54" s="896">
        <v>0</v>
      </c>
    </row>
    <row r="55" spans="1:18">
      <c r="A55" s="930" t="s">
        <v>409</v>
      </c>
      <c r="B55" s="933" t="s">
        <v>2697</v>
      </c>
      <c r="C55" s="934">
        <v>0</v>
      </c>
      <c r="D55" s="934">
        <v>0</v>
      </c>
      <c r="E55" s="934">
        <v>0</v>
      </c>
      <c r="F55" s="934">
        <v>0</v>
      </c>
      <c r="G55" s="934">
        <v>0</v>
      </c>
      <c r="H55" s="934">
        <v>0</v>
      </c>
      <c r="I55" s="934">
        <v>0</v>
      </c>
      <c r="J55" s="934">
        <v>0</v>
      </c>
      <c r="K55" s="934">
        <v>0</v>
      </c>
      <c r="L55" s="934">
        <v>0</v>
      </c>
      <c r="M55" s="934">
        <v>0</v>
      </c>
      <c r="N55" s="934">
        <v>0</v>
      </c>
      <c r="O55" s="935">
        <f t="shared" si="18"/>
        <v>0</v>
      </c>
      <c r="P55" s="943">
        <v>0</v>
      </c>
      <c r="Q55" s="907">
        <f t="shared" si="19"/>
        <v>0</v>
      </c>
      <c r="R55" s="896">
        <v>0</v>
      </c>
    </row>
    <row r="56" spans="1:18">
      <c r="A56" s="939" t="s">
        <v>410</v>
      </c>
      <c r="B56" s="936" t="s">
        <v>2852</v>
      </c>
      <c r="C56" s="917">
        <f t="shared" ref="C56:N56" si="24">SUM(C46:C55)</f>
        <v>315456739.33333337</v>
      </c>
      <c r="D56" s="917">
        <f t="shared" si="24"/>
        <v>315456739.33333337</v>
      </c>
      <c r="E56" s="917">
        <f t="shared" si="24"/>
        <v>315456739.33333337</v>
      </c>
      <c r="F56" s="917">
        <f t="shared" si="24"/>
        <v>315456739.33333337</v>
      </c>
      <c r="G56" s="917">
        <f t="shared" si="24"/>
        <v>315456739.33333337</v>
      </c>
      <c r="H56" s="917">
        <f t="shared" si="24"/>
        <v>315456739.33333337</v>
      </c>
      <c r="I56" s="917">
        <f t="shared" si="24"/>
        <v>315456739.33333337</v>
      </c>
      <c r="J56" s="917">
        <f t="shared" si="24"/>
        <v>315456739.33333337</v>
      </c>
      <c r="K56" s="917">
        <f t="shared" si="24"/>
        <v>315456739.33333337</v>
      </c>
      <c r="L56" s="917">
        <f t="shared" si="24"/>
        <v>315456739.33333337</v>
      </c>
      <c r="M56" s="917">
        <f t="shared" si="24"/>
        <v>315456739.33333337</v>
      </c>
      <c r="N56" s="917">
        <f t="shared" si="24"/>
        <v>315456739.33333337</v>
      </c>
      <c r="O56" s="918">
        <f t="shared" si="18"/>
        <v>3785480872.0000014</v>
      </c>
      <c r="P56" s="943">
        <f>+'12. mell. Szakrendelő'!F52</f>
        <v>3785480872</v>
      </c>
      <c r="Q56" s="907">
        <f t="shared" si="19"/>
        <v>0</v>
      </c>
      <c r="R56" s="895">
        <v>52</v>
      </c>
    </row>
    <row r="57" spans="1:18">
      <c r="A57" s="939" t="s">
        <v>411</v>
      </c>
      <c r="B57" s="940" t="s">
        <v>2853</v>
      </c>
      <c r="C57" s="941">
        <f>C44-C56</f>
        <v>0</v>
      </c>
      <c r="D57" s="941">
        <f t="shared" ref="D57:N57" si="25">C57+D44-D56</f>
        <v>0</v>
      </c>
      <c r="E57" s="941">
        <f t="shared" si="25"/>
        <v>0</v>
      </c>
      <c r="F57" s="941">
        <f t="shared" si="25"/>
        <v>0</v>
      </c>
      <c r="G57" s="941">
        <f t="shared" si="25"/>
        <v>0</v>
      </c>
      <c r="H57" s="941">
        <f t="shared" si="25"/>
        <v>0</v>
      </c>
      <c r="I57" s="941">
        <f t="shared" si="25"/>
        <v>0</v>
      </c>
      <c r="J57" s="941">
        <f t="shared" si="25"/>
        <v>0</v>
      </c>
      <c r="K57" s="941">
        <f t="shared" si="25"/>
        <v>0</v>
      </c>
      <c r="L57" s="941">
        <f t="shared" si="25"/>
        <v>0</v>
      </c>
      <c r="M57" s="941">
        <f t="shared" si="25"/>
        <v>0</v>
      </c>
      <c r="N57" s="941">
        <f t="shared" si="25"/>
        <v>0</v>
      </c>
      <c r="O57" s="942">
        <f>O44-O56</f>
        <v>0</v>
      </c>
      <c r="Q57" s="907"/>
      <c r="R57" s="943">
        <f>+P44-P56</f>
        <v>0</v>
      </c>
    </row>
    <row r="58" spans="1:18">
      <c r="O58" s="923"/>
      <c r="Q58" s="907"/>
    </row>
    <row r="59" spans="1:18">
      <c r="O59" s="923"/>
      <c r="Q59" s="907"/>
    </row>
    <row r="60" spans="1:18" ht="47.25" customHeight="1">
      <c r="A60" s="3834" t="s">
        <v>3773</v>
      </c>
      <c r="B60" s="3834"/>
      <c r="C60" s="3834"/>
      <c r="D60" s="3834"/>
      <c r="E60" s="3834"/>
      <c r="F60" s="3834"/>
      <c r="G60" s="3834"/>
      <c r="H60" s="3834"/>
      <c r="I60" s="3834"/>
      <c r="J60" s="3834"/>
      <c r="K60" s="3834"/>
      <c r="L60" s="3834"/>
      <c r="M60" s="3834"/>
      <c r="N60" s="3834"/>
      <c r="O60" s="3834"/>
      <c r="Q60" s="907"/>
    </row>
    <row r="61" spans="1:18">
      <c r="O61" s="924" t="s">
        <v>3300</v>
      </c>
      <c r="Q61" s="907"/>
    </row>
    <row r="62" spans="1:18" ht="24">
      <c r="A62" s="899" t="s">
        <v>2726</v>
      </c>
      <c r="B62" s="900" t="s">
        <v>136</v>
      </c>
      <c r="C62" s="900" t="s">
        <v>2837</v>
      </c>
      <c r="D62" s="900" t="s">
        <v>2838</v>
      </c>
      <c r="E62" s="900" t="s">
        <v>2839</v>
      </c>
      <c r="F62" s="900" t="s">
        <v>2840</v>
      </c>
      <c r="G62" s="900" t="s">
        <v>2841</v>
      </c>
      <c r="H62" s="900" t="s">
        <v>2842</v>
      </c>
      <c r="I62" s="900" t="s">
        <v>2843</v>
      </c>
      <c r="J62" s="900" t="s">
        <v>2844</v>
      </c>
      <c r="K62" s="900" t="s">
        <v>2845</v>
      </c>
      <c r="L62" s="900" t="s">
        <v>2846</v>
      </c>
      <c r="M62" s="900" t="s">
        <v>2847</v>
      </c>
      <c r="N62" s="900" t="s">
        <v>2848</v>
      </c>
      <c r="O62" s="901" t="s">
        <v>66</v>
      </c>
      <c r="Q62" s="907"/>
    </row>
    <row r="63" spans="1:18">
      <c r="A63" s="925" t="s">
        <v>6</v>
      </c>
      <c r="B63" s="3833" t="s">
        <v>390</v>
      </c>
      <c r="C63" s="3833"/>
      <c r="D63" s="3833"/>
      <c r="E63" s="3833"/>
      <c r="F63" s="3833"/>
      <c r="G63" s="3833"/>
      <c r="H63" s="3833"/>
      <c r="I63" s="3833"/>
      <c r="J63" s="3833"/>
      <c r="K63" s="3833"/>
      <c r="L63" s="3833"/>
      <c r="M63" s="3833"/>
      <c r="N63" s="3833"/>
      <c r="O63" s="3833"/>
      <c r="Q63" s="907">
        <f t="shared" ref="Q63:Q72" si="26">O63-P63</f>
        <v>0</v>
      </c>
    </row>
    <row r="64" spans="1:18" ht="22.5">
      <c r="A64" s="926" t="s">
        <v>12</v>
      </c>
      <c r="B64" s="927" t="s">
        <v>3385</v>
      </c>
      <c r="C64" s="928">
        <v>0</v>
      </c>
      <c r="D64" s="928">
        <v>0</v>
      </c>
      <c r="E64" s="928">
        <v>0</v>
      </c>
      <c r="F64" s="928">
        <v>0</v>
      </c>
      <c r="G64" s="928">
        <v>0</v>
      </c>
      <c r="H64" s="928">
        <v>0</v>
      </c>
      <c r="I64" s="928">
        <v>0</v>
      </c>
      <c r="J64" s="928">
        <v>0</v>
      </c>
      <c r="K64" s="928">
        <v>0</v>
      </c>
      <c r="L64" s="928">
        <v>0</v>
      </c>
      <c r="M64" s="928">
        <v>0</v>
      </c>
      <c r="N64" s="928">
        <v>0</v>
      </c>
      <c r="O64" s="929">
        <f t="shared" ref="O64:O73" si="27">SUM(C64:N64)</f>
        <v>0</v>
      </c>
      <c r="P64" s="923">
        <v>0</v>
      </c>
      <c r="Q64" s="907">
        <f t="shared" si="26"/>
        <v>0</v>
      </c>
      <c r="R64" s="895">
        <v>0</v>
      </c>
    </row>
    <row r="65" spans="1:18">
      <c r="A65" s="930" t="s">
        <v>14</v>
      </c>
      <c r="B65" s="931" t="s">
        <v>3386</v>
      </c>
      <c r="C65" s="910">
        <v>0</v>
      </c>
      <c r="D65" s="910">
        <v>0</v>
      </c>
      <c r="E65" s="910">
        <v>0</v>
      </c>
      <c r="F65" s="910">
        <v>0</v>
      </c>
      <c r="G65" s="910">
        <v>0</v>
      </c>
      <c r="H65" s="910">
        <v>0</v>
      </c>
      <c r="I65" s="910">
        <v>0</v>
      </c>
      <c r="J65" s="910">
        <v>0</v>
      </c>
      <c r="K65" s="910">
        <v>0</v>
      </c>
      <c r="L65" s="910">
        <v>0</v>
      </c>
      <c r="M65" s="910">
        <v>0</v>
      </c>
      <c r="N65" s="910">
        <v>0</v>
      </c>
      <c r="O65" s="911">
        <f t="shared" si="27"/>
        <v>0</v>
      </c>
      <c r="P65" s="943">
        <f>+'13. mell. GAMESZ'!F23</f>
        <v>0</v>
      </c>
      <c r="Q65" s="907">
        <f t="shared" si="26"/>
        <v>0</v>
      </c>
      <c r="R65" s="896">
        <v>23</v>
      </c>
    </row>
    <row r="66" spans="1:18">
      <c r="A66" s="930" t="s">
        <v>15</v>
      </c>
      <c r="B66" s="932" t="s">
        <v>2849</v>
      </c>
      <c r="C66" s="913">
        <v>0</v>
      </c>
      <c r="D66" s="913">
        <v>0</v>
      </c>
      <c r="E66" s="913">
        <v>0</v>
      </c>
      <c r="F66" s="913">
        <v>0</v>
      </c>
      <c r="G66" s="913">
        <v>0</v>
      </c>
      <c r="H66" s="913">
        <v>0</v>
      </c>
      <c r="I66" s="913">
        <v>0</v>
      </c>
      <c r="J66" s="913">
        <v>0</v>
      </c>
      <c r="K66" s="913">
        <v>0</v>
      </c>
      <c r="L66" s="913">
        <v>0</v>
      </c>
      <c r="M66" s="913">
        <v>0</v>
      </c>
      <c r="N66" s="913">
        <v>0</v>
      </c>
      <c r="O66" s="914">
        <f t="shared" si="27"/>
        <v>0</v>
      </c>
      <c r="P66" s="943">
        <f>+'13. mell. GAMESZ'!F27</f>
        <v>0</v>
      </c>
      <c r="Q66" s="907">
        <f t="shared" si="26"/>
        <v>0</v>
      </c>
      <c r="R66" s="896">
        <v>27</v>
      </c>
    </row>
    <row r="67" spans="1:18">
      <c r="A67" s="930" t="s">
        <v>17</v>
      </c>
      <c r="B67" s="933" t="s">
        <v>393</v>
      </c>
      <c r="C67" s="934">
        <v>0</v>
      </c>
      <c r="D67" s="934">
        <v>0</v>
      </c>
      <c r="E67" s="934">
        <v>0</v>
      </c>
      <c r="F67" s="934">
        <v>0</v>
      </c>
      <c r="G67" s="934">
        <v>0</v>
      </c>
      <c r="H67" s="934">
        <v>0</v>
      </c>
      <c r="I67" s="934">
        <v>0</v>
      </c>
      <c r="J67" s="934">
        <v>0</v>
      </c>
      <c r="K67" s="934">
        <v>0</v>
      </c>
      <c r="L67" s="934">
        <v>0</v>
      </c>
      <c r="M67" s="934">
        <v>0</v>
      </c>
      <c r="N67" s="934">
        <v>0</v>
      </c>
      <c r="O67" s="935">
        <f t="shared" si="27"/>
        <v>0</v>
      </c>
      <c r="P67" s="943">
        <f>+'13. mell. GAMESZ'!F31</f>
        <v>0</v>
      </c>
      <c r="Q67" s="907">
        <f t="shared" si="26"/>
        <v>0</v>
      </c>
      <c r="R67" s="896">
        <v>31</v>
      </c>
    </row>
    <row r="68" spans="1:18">
      <c r="A68" s="930" t="s">
        <v>19</v>
      </c>
      <c r="B68" s="933" t="s">
        <v>149</v>
      </c>
      <c r="C68" s="910">
        <v>0</v>
      </c>
      <c r="D68" s="910">
        <v>0</v>
      </c>
      <c r="E68" s="910">
        <f>+$P$68/4</f>
        <v>12635.75</v>
      </c>
      <c r="F68" s="910">
        <v>0</v>
      </c>
      <c r="G68" s="910">
        <v>0</v>
      </c>
      <c r="H68" s="910">
        <f>+$P$68/4</f>
        <v>12635.75</v>
      </c>
      <c r="I68" s="910">
        <v>0</v>
      </c>
      <c r="J68" s="910">
        <v>0</v>
      </c>
      <c r="K68" s="910">
        <f>+$P$68/4</f>
        <v>12635.75</v>
      </c>
      <c r="L68" s="910">
        <v>0</v>
      </c>
      <c r="M68" s="910">
        <v>0</v>
      </c>
      <c r="N68" s="910">
        <f>+$P$68/4</f>
        <v>12635.75</v>
      </c>
      <c r="O68" s="911">
        <f t="shared" si="27"/>
        <v>50543</v>
      </c>
      <c r="P68" s="943">
        <f>+'13. mell. GAMESZ'!F8</f>
        <v>50543</v>
      </c>
      <c r="Q68" s="907">
        <f t="shared" si="26"/>
        <v>0</v>
      </c>
      <c r="R68" s="896">
        <v>8</v>
      </c>
    </row>
    <row r="69" spans="1:18">
      <c r="A69" s="930" t="s">
        <v>21</v>
      </c>
      <c r="B69" s="933" t="s">
        <v>431</v>
      </c>
      <c r="C69" s="910">
        <v>0</v>
      </c>
      <c r="D69" s="910">
        <v>0</v>
      </c>
      <c r="E69" s="910">
        <v>0</v>
      </c>
      <c r="F69" s="910">
        <v>0</v>
      </c>
      <c r="G69" s="910">
        <v>0</v>
      </c>
      <c r="H69" s="910">
        <v>0</v>
      </c>
      <c r="I69" s="910">
        <v>0</v>
      </c>
      <c r="J69" s="910">
        <v>0</v>
      </c>
      <c r="K69" s="910">
        <v>0</v>
      </c>
      <c r="L69" s="910">
        <v>0</v>
      </c>
      <c r="M69" s="910">
        <v>0</v>
      </c>
      <c r="N69" s="910">
        <v>0</v>
      </c>
      <c r="O69" s="911">
        <f t="shared" si="27"/>
        <v>0</v>
      </c>
      <c r="P69" s="943">
        <f>+'13. mell. GAMESZ'!F20</f>
        <v>0</v>
      </c>
      <c r="Q69" s="907">
        <f t="shared" si="26"/>
        <v>0</v>
      </c>
      <c r="R69" s="896">
        <v>20</v>
      </c>
    </row>
    <row r="70" spans="1:18">
      <c r="A70" s="930" t="s">
        <v>23</v>
      </c>
      <c r="B70" s="933" t="s">
        <v>153</v>
      </c>
      <c r="C70" s="910">
        <v>0</v>
      </c>
      <c r="D70" s="910">
        <v>0</v>
      </c>
      <c r="E70" s="910">
        <v>0</v>
      </c>
      <c r="F70" s="910">
        <v>0</v>
      </c>
      <c r="G70" s="910">
        <v>0</v>
      </c>
      <c r="H70" s="910">
        <v>0</v>
      </c>
      <c r="I70" s="910">
        <v>0</v>
      </c>
      <c r="J70" s="910">
        <v>0</v>
      </c>
      <c r="K70" s="910">
        <v>0</v>
      </c>
      <c r="L70" s="910">
        <v>0</v>
      </c>
      <c r="M70" s="910">
        <v>0</v>
      </c>
      <c r="N70" s="910">
        <v>0</v>
      </c>
      <c r="O70" s="911">
        <f t="shared" si="27"/>
        <v>0</v>
      </c>
      <c r="P70" s="943">
        <f>+'13. mell. GAMESZ'!F29</f>
        <v>0</v>
      </c>
      <c r="Q70" s="907">
        <f t="shared" si="26"/>
        <v>0</v>
      </c>
      <c r="R70" s="896">
        <v>29</v>
      </c>
    </row>
    <row r="71" spans="1:18">
      <c r="A71" s="930" t="s">
        <v>25</v>
      </c>
      <c r="B71" s="931" t="s">
        <v>1281</v>
      </c>
      <c r="C71" s="910">
        <v>0</v>
      </c>
      <c r="D71" s="910">
        <v>0</v>
      </c>
      <c r="E71" s="910">
        <v>0</v>
      </c>
      <c r="F71" s="910">
        <v>0</v>
      </c>
      <c r="G71" s="910">
        <v>0</v>
      </c>
      <c r="H71" s="910">
        <v>0</v>
      </c>
      <c r="I71" s="910">
        <v>0</v>
      </c>
      <c r="J71" s="910">
        <v>0</v>
      </c>
      <c r="K71" s="910">
        <v>0</v>
      </c>
      <c r="L71" s="910">
        <v>0</v>
      </c>
      <c r="M71" s="910">
        <v>0</v>
      </c>
      <c r="N71" s="910">
        <v>0</v>
      </c>
      <c r="O71" s="911">
        <f t="shared" si="27"/>
        <v>0</v>
      </c>
      <c r="P71" s="943">
        <f>+'13. mell. GAMESZ'!F30</f>
        <v>0</v>
      </c>
      <c r="Q71" s="907">
        <f t="shared" si="26"/>
        <v>0</v>
      </c>
      <c r="R71" s="896">
        <v>30</v>
      </c>
    </row>
    <row r="72" spans="1:18">
      <c r="A72" s="930" t="s">
        <v>27</v>
      </c>
      <c r="B72" s="933" t="s">
        <v>1257</v>
      </c>
      <c r="C72" s="910">
        <f t="shared" ref="C72:N72" si="28">+$P$72/12</f>
        <v>16405243.666666666</v>
      </c>
      <c r="D72" s="910">
        <f t="shared" si="28"/>
        <v>16405243.666666666</v>
      </c>
      <c r="E72" s="910">
        <f t="shared" si="28"/>
        <v>16405243.666666666</v>
      </c>
      <c r="F72" s="910">
        <f t="shared" si="28"/>
        <v>16405243.666666666</v>
      </c>
      <c r="G72" s="910">
        <f t="shared" si="28"/>
        <v>16405243.666666666</v>
      </c>
      <c r="H72" s="910">
        <f t="shared" si="28"/>
        <v>16405243.666666666</v>
      </c>
      <c r="I72" s="910">
        <f t="shared" si="28"/>
        <v>16405243.666666666</v>
      </c>
      <c r="J72" s="910">
        <f t="shared" si="28"/>
        <v>16405243.666666666</v>
      </c>
      <c r="K72" s="910">
        <f t="shared" si="28"/>
        <v>16405243.666666666</v>
      </c>
      <c r="L72" s="910">
        <f t="shared" si="28"/>
        <v>16405243.666666666</v>
      </c>
      <c r="M72" s="910">
        <f t="shared" si="28"/>
        <v>16405243.666666666</v>
      </c>
      <c r="N72" s="910">
        <f t="shared" si="28"/>
        <v>16405243.666666666</v>
      </c>
      <c r="O72" s="911">
        <f t="shared" si="27"/>
        <v>196862923.99999997</v>
      </c>
      <c r="P72" s="943">
        <f>+'13. mell. GAMESZ'!F36+'13. mell. GAMESZ'!F34</f>
        <v>196862924</v>
      </c>
      <c r="Q72" s="907">
        <f t="shared" si="26"/>
        <v>0</v>
      </c>
      <c r="R72" s="896">
        <v>36</v>
      </c>
    </row>
    <row r="73" spans="1:18">
      <c r="A73" s="925" t="s">
        <v>29</v>
      </c>
      <c r="B73" s="936" t="s">
        <v>2850</v>
      </c>
      <c r="C73" s="917">
        <f t="shared" ref="C73:N73" si="29">SUM(C64:C72)</f>
        <v>16405243.666666666</v>
      </c>
      <c r="D73" s="917">
        <f t="shared" si="29"/>
        <v>16405243.666666666</v>
      </c>
      <c r="E73" s="917">
        <f t="shared" si="29"/>
        <v>16417879.416666666</v>
      </c>
      <c r="F73" s="917">
        <f t="shared" si="29"/>
        <v>16405243.666666666</v>
      </c>
      <c r="G73" s="917">
        <f t="shared" si="29"/>
        <v>16405243.666666666</v>
      </c>
      <c r="H73" s="917">
        <f t="shared" si="29"/>
        <v>16417879.416666666</v>
      </c>
      <c r="I73" s="917">
        <f t="shared" si="29"/>
        <v>16405243.666666666</v>
      </c>
      <c r="J73" s="917">
        <f t="shared" si="29"/>
        <v>16405243.666666666</v>
      </c>
      <c r="K73" s="917">
        <f t="shared" si="29"/>
        <v>16417879.416666666</v>
      </c>
      <c r="L73" s="917">
        <f t="shared" si="29"/>
        <v>16405243.666666666</v>
      </c>
      <c r="M73" s="917">
        <f t="shared" si="29"/>
        <v>16405243.666666666</v>
      </c>
      <c r="N73" s="917">
        <f t="shared" si="29"/>
        <v>16417879.416666666</v>
      </c>
      <c r="O73" s="918">
        <f t="shared" si="27"/>
        <v>196913466.99999997</v>
      </c>
      <c r="P73" s="943">
        <f>+'13. mell. GAMESZ'!F37</f>
        <v>196913467</v>
      </c>
      <c r="Q73" s="907"/>
      <c r="R73" s="895">
        <v>37</v>
      </c>
    </row>
    <row r="74" spans="1:18">
      <c r="A74" s="925" t="s">
        <v>31</v>
      </c>
      <c r="B74" s="3833" t="s">
        <v>391</v>
      </c>
      <c r="C74" s="3833"/>
      <c r="D74" s="3833"/>
      <c r="E74" s="3833"/>
      <c r="F74" s="3833"/>
      <c r="G74" s="3833"/>
      <c r="H74" s="3833"/>
      <c r="I74" s="3833"/>
      <c r="J74" s="3833"/>
      <c r="K74" s="3833"/>
      <c r="L74" s="3833"/>
      <c r="M74" s="3833"/>
      <c r="N74" s="3833"/>
      <c r="O74" s="3833"/>
      <c r="Q74" s="907">
        <f t="shared" ref="Q74:Q85" si="30">O74-P74</f>
        <v>0</v>
      </c>
      <c r="R74" s="895"/>
    </row>
    <row r="75" spans="1:18">
      <c r="A75" s="937" t="s">
        <v>33</v>
      </c>
      <c r="B75" s="938" t="s">
        <v>9</v>
      </c>
      <c r="C75" s="910">
        <f>+$P$75/12-300</f>
        <v>13629453.5</v>
      </c>
      <c r="D75" s="910">
        <f>+$P$75/12-300</f>
        <v>13629453.5</v>
      </c>
      <c r="E75" s="910">
        <f>+$P$75/12-300</f>
        <v>13629453.5</v>
      </c>
      <c r="F75" s="910">
        <f>+$P$75/12-300</f>
        <v>13629453.5</v>
      </c>
      <c r="G75" s="910">
        <f>+$P$75/12-300</f>
        <v>13629453.5</v>
      </c>
      <c r="H75" s="910">
        <f>+$P$75/12-300+1500</f>
        <v>13630953.5</v>
      </c>
      <c r="I75" s="910">
        <f>+$P$75/12-300</f>
        <v>13629453.5</v>
      </c>
      <c r="J75" s="910">
        <f>+$P$75/12-300</f>
        <v>13629453.5</v>
      </c>
      <c r="K75" s="910">
        <f>+$P$75/12-300</f>
        <v>13629453.5</v>
      </c>
      <c r="L75" s="910">
        <f>+$P$75/12-300</f>
        <v>13629453.5</v>
      </c>
      <c r="M75" s="910">
        <f>+$P$75/12-300</f>
        <v>13629453.5</v>
      </c>
      <c r="N75" s="910">
        <f>+$P$75/12-300+2100</f>
        <v>13631553.5</v>
      </c>
      <c r="O75" s="914">
        <f t="shared" ref="O75:O85" si="31">SUM(C75:N75)</f>
        <v>163557042</v>
      </c>
      <c r="P75" s="943">
        <f>+'13. mell. GAMESZ'!F42</f>
        <v>163557042</v>
      </c>
      <c r="Q75" s="907">
        <f t="shared" si="30"/>
        <v>0</v>
      </c>
      <c r="R75" s="896">
        <v>42</v>
      </c>
    </row>
    <row r="76" spans="1:18" ht="22.5">
      <c r="A76" s="930" t="s">
        <v>35</v>
      </c>
      <c r="B76" s="931" t="s">
        <v>8</v>
      </c>
      <c r="C76" s="910">
        <f>+$P$76/12-100</f>
        <v>1879015.8333333333</v>
      </c>
      <c r="D76" s="910">
        <f>+$P$76/12-100</f>
        <v>1879015.8333333333</v>
      </c>
      <c r="E76" s="910">
        <f>+$P$76/12-100</f>
        <v>1879015.8333333333</v>
      </c>
      <c r="F76" s="910">
        <f>+$P$76/12-100</f>
        <v>1879015.8333333333</v>
      </c>
      <c r="G76" s="910">
        <f>+$P$76/12-100</f>
        <v>1879015.8333333333</v>
      </c>
      <c r="H76" s="910">
        <f>+$P$76/12-100+500</f>
        <v>1879515.8333333333</v>
      </c>
      <c r="I76" s="910">
        <f>+$P$76/12-100</f>
        <v>1879015.8333333333</v>
      </c>
      <c r="J76" s="910">
        <f>+$P$76/12-100</f>
        <v>1879015.8333333333</v>
      </c>
      <c r="K76" s="910">
        <f>+$P$76/12-100</f>
        <v>1879015.8333333333</v>
      </c>
      <c r="L76" s="910">
        <f>+$P$76/12-100</f>
        <v>1879015.8333333333</v>
      </c>
      <c r="M76" s="910">
        <f>+$P$76/12-100</f>
        <v>1879015.8333333333</v>
      </c>
      <c r="N76" s="910">
        <f>+$P$76/12-100+700</f>
        <v>1879715.8333333333</v>
      </c>
      <c r="O76" s="911">
        <f t="shared" si="31"/>
        <v>22549389.999999996</v>
      </c>
      <c r="P76" s="943">
        <f>+'13. mell. GAMESZ'!F43</f>
        <v>22549390</v>
      </c>
      <c r="Q76" s="907">
        <f t="shared" si="30"/>
        <v>0</v>
      </c>
      <c r="R76" s="896">
        <v>43</v>
      </c>
    </row>
    <row r="77" spans="1:18">
      <c r="A77" s="930" t="s">
        <v>37</v>
      </c>
      <c r="B77" s="933" t="s">
        <v>317</v>
      </c>
      <c r="C77" s="910">
        <f>+$P$77/12-81280</f>
        <v>819306.25</v>
      </c>
      <c r="D77" s="910">
        <f t="shared" ref="D77:M77" si="32">+$P$77/12</f>
        <v>900586.25</v>
      </c>
      <c r="E77" s="910">
        <f t="shared" si="32"/>
        <v>900586.25</v>
      </c>
      <c r="F77" s="910">
        <f t="shared" si="32"/>
        <v>900586.25</v>
      </c>
      <c r="G77" s="910">
        <f t="shared" si="32"/>
        <v>900586.25</v>
      </c>
      <c r="H77" s="910">
        <f t="shared" si="32"/>
        <v>900586.25</v>
      </c>
      <c r="I77" s="910">
        <f t="shared" si="32"/>
        <v>900586.25</v>
      </c>
      <c r="J77" s="910">
        <f t="shared" si="32"/>
        <v>900586.25</v>
      </c>
      <c r="K77" s="910">
        <f t="shared" si="32"/>
        <v>900586.25</v>
      </c>
      <c r="L77" s="910">
        <f t="shared" si="32"/>
        <v>900586.25</v>
      </c>
      <c r="M77" s="910">
        <f t="shared" si="32"/>
        <v>900586.25</v>
      </c>
      <c r="N77" s="910">
        <f>+$P$77/12+81280</f>
        <v>981866.25</v>
      </c>
      <c r="O77" s="911">
        <f t="shared" si="31"/>
        <v>10807035</v>
      </c>
      <c r="P77" s="943">
        <f>+'13. mell. GAMESZ'!F44</f>
        <v>10807035</v>
      </c>
      <c r="Q77" s="907">
        <f t="shared" si="30"/>
        <v>0</v>
      </c>
      <c r="R77" s="896">
        <v>44</v>
      </c>
    </row>
    <row r="78" spans="1:18">
      <c r="A78" s="930" t="s">
        <v>39</v>
      </c>
      <c r="B78" s="933" t="s">
        <v>318</v>
      </c>
      <c r="C78" s="910">
        <v>0</v>
      </c>
      <c r="D78" s="910">
        <v>0</v>
      </c>
      <c r="E78" s="910">
        <v>0</v>
      </c>
      <c r="F78" s="910">
        <v>0</v>
      </c>
      <c r="G78" s="910">
        <v>0</v>
      </c>
      <c r="H78" s="910">
        <v>0</v>
      </c>
      <c r="I78" s="910">
        <v>0</v>
      </c>
      <c r="J78" s="910">
        <v>0</v>
      </c>
      <c r="K78" s="910">
        <v>0</v>
      </c>
      <c r="L78" s="910">
        <v>0</v>
      </c>
      <c r="M78" s="910">
        <v>0</v>
      </c>
      <c r="N78" s="910">
        <v>0</v>
      </c>
      <c r="O78" s="911">
        <f t="shared" si="31"/>
        <v>0</v>
      </c>
      <c r="P78" s="943">
        <f>+'13. mell. GAMESZ'!F45</f>
        <v>0</v>
      </c>
      <c r="Q78" s="907">
        <f t="shared" si="30"/>
        <v>0</v>
      </c>
      <c r="R78" s="896">
        <v>45</v>
      </c>
    </row>
    <row r="79" spans="1:18">
      <c r="A79" s="930" t="s">
        <v>41</v>
      </c>
      <c r="B79" s="933" t="s">
        <v>2855</v>
      </c>
      <c r="C79" s="910">
        <v>0</v>
      </c>
      <c r="D79" s="910">
        <v>0</v>
      </c>
      <c r="E79" s="910">
        <v>0</v>
      </c>
      <c r="F79" s="910">
        <v>0</v>
      </c>
      <c r="G79" s="910">
        <v>0</v>
      </c>
      <c r="H79" s="910">
        <v>0</v>
      </c>
      <c r="I79" s="910">
        <v>0</v>
      </c>
      <c r="J79" s="910">
        <v>0</v>
      </c>
      <c r="K79" s="910">
        <v>0</v>
      </c>
      <c r="L79" s="910">
        <v>0</v>
      </c>
      <c r="M79" s="910">
        <v>0</v>
      </c>
      <c r="N79" s="910">
        <v>0</v>
      </c>
      <c r="O79" s="911">
        <f t="shared" si="31"/>
        <v>0</v>
      </c>
      <c r="P79" s="943">
        <f>+'13. mell. GAMESZ'!F46</f>
        <v>0</v>
      </c>
      <c r="Q79" s="907">
        <f t="shared" si="30"/>
        <v>0</v>
      </c>
      <c r="R79" s="896">
        <v>46</v>
      </c>
    </row>
    <row r="80" spans="1:18">
      <c r="A80" s="930" t="s">
        <v>314</v>
      </c>
      <c r="B80" s="933" t="s">
        <v>82</v>
      </c>
      <c r="C80" s="910">
        <v>0</v>
      </c>
      <c r="D80" s="910">
        <v>0</v>
      </c>
      <c r="E80" s="910">
        <v>0</v>
      </c>
      <c r="F80" s="910">
        <v>0</v>
      </c>
      <c r="G80" s="910">
        <v>0</v>
      </c>
      <c r="H80" s="910">
        <v>0</v>
      </c>
      <c r="I80" s="910">
        <v>0</v>
      </c>
      <c r="J80" s="910">
        <v>0</v>
      </c>
      <c r="K80" s="910">
        <v>0</v>
      </c>
      <c r="L80" s="910">
        <v>0</v>
      </c>
      <c r="M80" s="910">
        <v>0</v>
      </c>
      <c r="N80" s="910">
        <v>0</v>
      </c>
      <c r="O80" s="911">
        <f t="shared" si="31"/>
        <v>0</v>
      </c>
      <c r="P80" s="943">
        <f>+'13. mell. GAMESZ'!F48</f>
        <v>0</v>
      </c>
      <c r="Q80" s="907">
        <f t="shared" si="30"/>
        <v>0</v>
      </c>
      <c r="R80" s="896">
        <v>48</v>
      </c>
    </row>
    <row r="81" spans="1:18">
      <c r="A81" s="930" t="s">
        <v>402</v>
      </c>
      <c r="B81" s="931" t="s">
        <v>344</v>
      </c>
      <c r="C81" s="910">
        <v>0</v>
      </c>
      <c r="D81" s="910">
        <v>0</v>
      </c>
      <c r="E81" s="910">
        <v>0</v>
      </c>
      <c r="F81" s="910">
        <v>0</v>
      </c>
      <c r="G81" s="910">
        <v>0</v>
      </c>
      <c r="H81" s="910">
        <v>0</v>
      </c>
      <c r="I81" s="910">
        <v>0</v>
      </c>
      <c r="J81" s="910">
        <v>0</v>
      </c>
      <c r="K81" s="910">
        <v>0</v>
      </c>
      <c r="L81" s="910">
        <v>0</v>
      </c>
      <c r="M81" s="910">
        <v>0</v>
      </c>
      <c r="N81" s="910">
        <v>0</v>
      </c>
      <c r="O81" s="911">
        <f t="shared" si="31"/>
        <v>0</v>
      </c>
      <c r="P81" s="943">
        <f>+'13. mell. GAMESZ'!F49</f>
        <v>0</v>
      </c>
      <c r="Q81" s="907">
        <f t="shared" si="30"/>
        <v>0</v>
      </c>
      <c r="R81" s="896">
        <v>49</v>
      </c>
    </row>
    <row r="82" spans="1:18">
      <c r="A82" s="930" t="s">
        <v>404</v>
      </c>
      <c r="B82" s="933" t="s">
        <v>346</v>
      </c>
      <c r="C82" s="910">
        <v>0</v>
      </c>
      <c r="D82" s="910">
        <v>0</v>
      </c>
      <c r="E82" s="910">
        <v>0</v>
      </c>
      <c r="F82" s="910">
        <v>0</v>
      </c>
      <c r="G82" s="910">
        <v>0</v>
      </c>
      <c r="H82" s="910">
        <v>0</v>
      </c>
      <c r="I82" s="910">
        <v>0</v>
      </c>
      <c r="J82" s="910">
        <v>0</v>
      </c>
      <c r="K82" s="910">
        <v>0</v>
      </c>
      <c r="L82" s="910">
        <v>0</v>
      </c>
      <c r="M82" s="910">
        <v>0</v>
      </c>
      <c r="N82" s="910">
        <v>0</v>
      </c>
      <c r="O82" s="911">
        <f t="shared" si="31"/>
        <v>0</v>
      </c>
      <c r="P82" s="943">
        <f>+'13. mell. GAMESZ'!F50</f>
        <v>0</v>
      </c>
      <c r="Q82" s="907">
        <f t="shared" si="30"/>
        <v>0</v>
      </c>
      <c r="R82" s="896">
        <v>50</v>
      </c>
    </row>
    <row r="83" spans="1:18">
      <c r="A83" s="930" t="s">
        <v>407</v>
      </c>
      <c r="B83" s="933" t="s">
        <v>2851</v>
      </c>
      <c r="C83" s="934">
        <v>0</v>
      </c>
      <c r="D83" s="934">
        <v>0</v>
      </c>
      <c r="E83" s="934">
        <v>0</v>
      </c>
      <c r="F83" s="934">
        <v>0</v>
      </c>
      <c r="G83" s="934">
        <v>0</v>
      </c>
      <c r="H83" s="934">
        <v>0</v>
      </c>
      <c r="I83" s="934">
        <v>0</v>
      </c>
      <c r="J83" s="934">
        <v>0</v>
      </c>
      <c r="K83" s="934">
        <v>0</v>
      </c>
      <c r="L83" s="934">
        <v>0</v>
      </c>
      <c r="M83" s="934">
        <v>0</v>
      </c>
      <c r="N83" s="934">
        <v>0</v>
      </c>
      <c r="O83" s="935">
        <f t="shared" si="31"/>
        <v>0</v>
      </c>
      <c r="P83" s="923">
        <v>0</v>
      </c>
      <c r="Q83" s="907">
        <f t="shared" si="30"/>
        <v>0</v>
      </c>
      <c r="R83" s="896">
        <v>0</v>
      </c>
    </row>
    <row r="84" spans="1:18">
      <c r="A84" s="930" t="s">
        <v>409</v>
      </c>
      <c r="B84" s="933" t="s">
        <v>2697</v>
      </c>
      <c r="C84" s="934">
        <v>0</v>
      </c>
      <c r="D84" s="934">
        <v>0</v>
      </c>
      <c r="E84" s="934">
        <v>0</v>
      </c>
      <c r="F84" s="934">
        <v>0</v>
      </c>
      <c r="G84" s="934">
        <v>0</v>
      </c>
      <c r="H84" s="934">
        <v>0</v>
      </c>
      <c r="I84" s="934">
        <v>0</v>
      </c>
      <c r="J84" s="934">
        <v>0</v>
      </c>
      <c r="K84" s="934">
        <v>0</v>
      </c>
      <c r="L84" s="934">
        <v>0</v>
      </c>
      <c r="M84" s="934">
        <v>0</v>
      </c>
      <c r="N84" s="934">
        <v>0</v>
      </c>
      <c r="O84" s="935">
        <f t="shared" si="31"/>
        <v>0</v>
      </c>
      <c r="P84" s="923">
        <v>0</v>
      </c>
      <c r="Q84" s="907">
        <f t="shared" si="30"/>
        <v>0</v>
      </c>
      <c r="R84" s="896">
        <v>0</v>
      </c>
    </row>
    <row r="85" spans="1:18">
      <c r="A85" s="939" t="s">
        <v>410</v>
      </c>
      <c r="B85" s="936" t="s">
        <v>2852</v>
      </c>
      <c r="C85" s="917">
        <f t="shared" ref="C85:N85" si="33">SUM(C75:C84)</f>
        <v>16327775.583333334</v>
      </c>
      <c r="D85" s="917">
        <f t="shared" si="33"/>
        <v>16409055.583333334</v>
      </c>
      <c r="E85" s="917">
        <f t="shared" si="33"/>
        <v>16409055.583333334</v>
      </c>
      <c r="F85" s="917">
        <f t="shared" si="33"/>
        <v>16409055.583333334</v>
      </c>
      <c r="G85" s="917">
        <f t="shared" si="33"/>
        <v>16409055.583333334</v>
      </c>
      <c r="H85" s="917">
        <f t="shared" si="33"/>
        <v>16411055.583333334</v>
      </c>
      <c r="I85" s="917">
        <f t="shared" si="33"/>
        <v>16409055.583333334</v>
      </c>
      <c r="J85" s="917">
        <f t="shared" si="33"/>
        <v>16409055.583333334</v>
      </c>
      <c r="K85" s="917">
        <f t="shared" si="33"/>
        <v>16409055.583333334</v>
      </c>
      <c r="L85" s="917">
        <f t="shared" si="33"/>
        <v>16409055.583333334</v>
      </c>
      <c r="M85" s="917">
        <f t="shared" si="33"/>
        <v>16409055.583333334</v>
      </c>
      <c r="N85" s="917">
        <f t="shared" si="33"/>
        <v>16493135.583333334</v>
      </c>
      <c r="O85" s="918">
        <f t="shared" si="31"/>
        <v>196913467.00000003</v>
      </c>
      <c r="P85" s="943">
        <f>+'13. mell. GAMESZ'!F52</f>
        <v>196913467</v>
      </c>
      <c r="Q85" s="907">
        <f t="shared" si="30"/>
        <v>0</v>
      </c>
      <c r="R85" s="895">
        <v>52</v>
      </c>
    </row>
    <row r="86" spans="1:18">
      <c r="A86" s="939" t="s">
        <v>411</v>
      </c>
      <c r="B86" s="940" t="s">
        <v>2853</v>
      </c>
      <c r="C86" s="941">
        <f>C73-C85</f>
        <v>77468.083333332092</v>
      </c>
      <c r="D86" s="941">
        <f t="shared" ref="D86:N86" si="34">C86+D73-D85</f>
        <v>73656.166666664183</v>
      </c>
      <c r="E86" s="941">
        <f t="shared" si="34"/>
        <v>82479.999999996275</v>
      </c>
      <c r="F86" s="941">
        <f t="shared" si="34"/>
        <v>78668.083333328366</v>
      </c>
      <c r="G86" s="941">
        <f t="shared" si="34"/>
        <v>74856.166666660458</v>
      </c>
      <c r="H86" s="941">
        <f t="shared" si="34"/>
        <v>81679.999999992549</v>
      </c>
      <c r="I86" s="941">
        <f t="shared" si="34"/>
        <v>77868.083333324641</v>
      </c>
      <c r="J86" s="941">
        <f t="shared" si="34"/>
        <v>74056.166666656733</v>
      </c>
      <c r="K86" s="941">
        <f t="shared" si="34"/>
        <v>82879.999999988824</v>
      </c>
      <c r="L86" s="941">
        <f t="shared" si="34"/>
        <v>79068.083333320916</v>
      </c>
      <c r="M86" s="941">
        <f t="shared" si="34"/>
        <v>75256.166666653007</v>
      </c>
      <c r="N86" s="941">
        <f t="shared" si="34"/>
        <v>-1.4901161193847656E-8</v>
      </c>
      <c r="O86" s="942">
        <f>O73-O85</f>
        <v>0</v>
      </c>
      <c r="Q86" s="907"/>
      <c r="R86" s="943">
        <f>+P73-P85</f>
        <v>0</v>
      </c>
    </row>
    <row r="87" spans="1:18">
      <c r="Q87" s="907"/>
    </row>
    <row r="88" spans="1:18" ht="29.25" customHeight="1">
      <c r="A88" s="3834" t="s">
        <v>3774</v>
      </c>
      <c r="B88" s="3834"/>
      <c r="C88" s="3834"/>
      <c r="D88" s="3834"/>
      <c r="E88" s="3834"/>
      <c r="F88" s="3834"/>
      <c r="G88" s="3834"/>
      <c r="H88" s="3834"/>
      <c r="I88" s="3834"/>
      <c r="J88" s="3834"/>
      <c r="K88" s="3834"/>
      <c r="L88" s="3834"/>
      <c r="M88" s="3834"/>
      <c r="N88" s="3834"/>
      <c r="O88" s="3834"/>
      <c r="Q88" s="907"/>
    </row>
    <row r="89" spans="1:18">
      <c r="O89" s="924" t="s">
        <v>3300</v>
      </c>
      <c r="Q89" s="907"/>
    </row>
    <row r="90" spans="1:18" ht="24">
      <c r="A90" s="899" t="s">
        <v>2726</v>
      </c>
      <c r="B90" s="900" t="s">
        <v>136</v>
      </c>
      <c r="C90" s="900" t="s">
        <v>2837</v>
      </c>
      <c r="D90" s="900" t="s">
        <v>2838</v>
      </c>
      <c r="E90" s="900" t="s">
        <v>2839</v>
      </c>
      <c r="F90" s="900" t="s">
        <v>2840</v>
      </c>
      <c r="G90" s="900" t="s">
        <v>2841</v>
      </c>
      <c r="H90" s="900" t="s">
        <v>2842</v>
      </c>
      <c r="I90" s="900" t="s">
        <v>2843</v>
      </c>
      <c r="J90" s="900" t="s">
        <v>2844</v>
      </c>
      <c r="K90" s="900" t="s">
        <v>2845</v>
      </c>
      <c r="L90" s="900" t="s">
        <v>2846</v>
      </c>
      <c r="M90" s="900" t="s">
        <v>2847</v>
      </c>
      <c r="N90" s="900" t="s">
        <v>2848</v>
      </c>
      <c r="O90" s="901" t="s">
        <v>66</v>
      </c>
      <c r="Q90" s="907"/>
    </row>
    <row r="91" spans="1:18">
      <c r="A91" s="925" t="s">
        <v>6</v>
      </c>
      <c r="B91" s="3833" t="s">
        <v>390</v>
      </c>
      <c r="C91" s="3833"/>
      <c r="D91" s="3833"/>
      <c r="E91" s="3833"/>
      <c r="F91" s="3833"/>
      <c r="G91" s="3833"/>
      <c r="H91" s="3833"/>
      <c r="I91" s="3833"/>
      <c r="J91" s="3833"/>
      <c r="K91" s="3833"/>
      <c r="L91" s="3833"/>
      <c r="M91" s="3833"/>
      <c r="N91" s="3833"/>
      <c r="O91" s="3833"/>
      <c r="Q91" s="907"/>
    </row>
    <row r="92" spans="1:18" ht="22.5">
      <c r="A92" s="926" t="s">
        <v>12</v>
      </c>
      <c r="B92" s="927" t="s">
        <v>3385</v>
      </c>
      <c r="C92" s="928">
        <v>0</v>
      </c>
      <c r="D92" s="928">
        <v>0</v>
      </c>
      <c r="E92" s="928">
        <v>0</v>
      </c>
      <c r="F92" s="928">
        <v>0</v>
      </c>
      <c r="G92" s="928">
        <v>0</v>
      </c>
      <c r="H92" s="928">
        <v>0</v>
      </c>
      <c r="I92" s="928">
        <v>0</v>
      </c>
      <c r="J92" s="928">
        <v>0</v>
      </c>
      <c r="K92" s="928">
        <v>0</v>
      </c>
      <c r="L92" s="928">
        <v>0</v>
      </c>
      <c r="M92" s="928">
        <v>0</v>
      </c>
      <c r="N92" s="928">
        <v>0</v>
      </c>
      <c r="O92" s="929">
        <f t="shared" ref="O92:O101" si="35">SUM(C92:N92)</f>
        <v>0</v>
      </c>
      <c r="P92" s="923">
        <v>0</v>
      </c>
      <c r="Q92" s="907">
        <f t="shared" ref="Q92:Q114" si="36">O92-P92</f>
        <v>0</v>
      </c>
      <c r="R92" s="895">
        <v>0</v>
      </c>
    </row>
    <row r="93" spans="1:18">
      <c r="A93" s="930" t="s">
        <v>14</v>
      </c>
      <c r="B93" s="931" t="s">
        <v>3386</v>
      </c>
      <c r="C93" s="910">
        <v>0</v>
      </c>
      <c r="D93" s="910">
        <v>0</v>
      </c>
      <c r="E93" s="910">
        <v>0</v>
      </c>
      <c r="F93" s="910">
        <v>0</v>
      </c>
      <c r="G93" s="910">
        <v>0</v>
      </c>
      <c r="H93" s="910">
        <v>0</v>
      </c>
      <c r="I93" s="910">
        <v>0</v>
      </c>
      <c r="J93" s="910">
        <v>0</v>
      </c>
      <c r="K93" s="910">
        <v>0</v>
      </c>
      <c r="L93" s="910">
        <v>0</v>
      </c>
      <c r="M93" s="910">
        <v>0</v>
      </c>
      <c r="N93" s="910">
        <v>0</v>
      </c>
      <c r="O93" s="911">
        <f t="shared" si="35"/>
        <v>0</v>
      </c>
      <c r="P93" s="943">
        <f>+'14. mell. Gyerekkuckó'!F23</f>
        <v>0</v>
      </c>
      <c r="Q93" s="907">
        <f t="shared" si="36"/>
        <v>0</v>
      </c>
      <c r="R93" s="896">
        <v>23</v>
      </c>
    </row>
    <row r="94" spans="1:18">
      <c r="A94" s="930" t="s">
        <v>15</v>
      </c>
      <c r="B94" s="932" t="s">
        <v>2849</v>
      </c>
      <c r="C94" s="913">
        <v>0</v>
      </c>
      <c r="D94" s="913">
        <v>0</v>
      </c>
      <c r="E94" s="913">
        <v>0</v>
      </c>
      <c r="F94" s="913">
        <v>0</v>
      </c>
      <c r="G94" s="913">
        <v>0</v>
      </c>
      <c r="H94" s="913">
        <v>0</v>
      </c>
      <c r="I94" s="913">
        <v>0</v>
      </c>
      <c r="J94" s="913">
        <v>0</v>
      </c>
      <c r="K94" s="913">
        <v>0</v>
      </c>
      <c r="L94" s="913">
        <v>0</v>
      </c>
      <c r="M94" s="913">
        <v>0</v>
      </c>
      <c r="N94" s="913">
        <v>0</v>
      </c>
      <c r="O94" s="914">
        <f t="shared" si="35"/>
        <v>0</v>
      </c>
      <c r="P94" s="943">
        <f>+'14. mell. Gyerekkuckó'!F27</f>
        <v>0</v>
      </c>
      <c r="Q94" s="907">
        <f t="shared" si="36"/>
        <v>0</v>
      </c>
      <c r="R94" s="896">
        <v>27</v>
      </c>
    </row>
    <row r="95" spans="1:18">
      <c r="A95" s="930" t="s">
        <v>17</v>
      </c>
      <c r="B95" s="933" t="s">
        <v>393</v>
      </c>
      <c r="C95" s="934">
        <v>0</v>
      </c>
      <c r="D95" s="934">
        <v>0</v>
      </c>
      <c r="E95" s="934">
        <v>0</v>
      </c>
      <c r="F95" s="934">
        <v>0</v>
      </c>
      <c r="G95" s="934">
        <v>0</v>
      </c>
      <c r="H95" s="934">
        <v>0</v>
      </c>
      <c r="I95" s="934">
        <v>0</v>
      </c>
      <c r="J95" s="934">
        <v>0</v>
      </c>
      <c r="K95" s="934">
        <v>0</v>
      </c>
      <c r="L95" s="934">
        <v>0</v>
      </c>
      <c r="M95" s="934">
        <v>0</v>
      </c>
      <c r="N95" s="934">
        <v>0</v>
      </c>
      <c r="O95" s="935">
        <f t="shared" si="35"/>
        <v>0</v>
      </c>
      <c r="P95" s="943">
        <f>+'14. mell. Gyerekkuckó'!F31</f>
        <v>0</v>
      </c>
      <c r="Q95" s="907">
        <f t="shared" si="36"/>
        <v>0</v>
      </c>
      <c r="R95" s="896">
        <v>31</v>
      </c>
    </row>
    <row r="96" spans="1:18">
      <c r="A96" s="930" t="s">
        <v>19</v>
      </c>
      <c r="B96" s="933" t="s">
        <v>149</v>
      </c>
      <c r="C96" s="910">
        <f t="shared" ref="C96:N96" si="37">+$P$96/12</f>
        <v>1439439.6666666667</v>
      </c>
      <c r="D96" s="910">
        <f t="shared" si="37"/>
        <v>1439439.6666666667</v>
      </c>
      <c r="E96" s="910">
        <f t="shared" si="37"/>
        <v>1439439.6666666667</v>
      </c>
      <c r="F96" s="910">
        <f t="shared" si="37"/>
        <v>1439439.6666666667</v>
      </c>
      <c r="G96" s="910">
        <f t="shared" si="37"/>
        <v>1439439.6666666667</v>
      </c>
      <c r="H96" s="910">
        <f t="shared" si="37"/>
        <v>1439439.6666666667</v>
      </c>
      <c r="I96" s="910">
        <f t="shared" si="37"/>
        <v>1439439.6666666667</v>
      </c>
      <c r="J96" s="910">
        <f t="shared" si="37"/>
        <v>1439439.6666666667</v>
      </c>
      <c r="K96" s="910">
        <f t="shared" si="37"/>
        <v>1439439.6666666667</v>
      </c>
      <c r="L96" s="910">
        <f t="shared" si="37"/>
        <v>1439439.6666666667</v>
      </c>
      <c r="M96" s="910">
        <f t="shared" si="37"/>
        <v>1439439.6666666667</v>
      </c>
      <c r="N96" s="910">
        <f t="shared" si="37"/>
        <v>1439439.6666666667</v>
      </c>
      <c r="O96" s="911">
        <f t="shared" si="35"/>
        <v>17273275.999999996</v>
      </c>
      <c r="P96" s="943">
        <f>+'14. mell. Gyerekkuckó'!F8</f>
        <v>17273276</v>
      </c>
      <c r="Q96" s="907">
        <f t="shared" si="36"/>
        <v>0</v>
      </c>
      <c r="R96" s="896">
        <v>8</v>
      </c>
    </row>
    <row r="97" spans="1:18">
      <c r="A97" s="930" t="s">
        <v>21</v>
      </c>
      <c r="B97" s="933" t="s">
        <v>431</v>
      </c>
      <c r="C97" s="910">
        <v>0</v>
      </c>
      <c r="D97" s="910">
        <v>0</v>
      </c>
      <c r="E97" s="910">
        <v>0</v>
      </c>
      <c r="F97" s="910">
        <v>0</v>
      </c>
      <c r="G97" s="910">
        <v>0</v>
      </c>
      <c r="H97" s="910">
        <v>0</v>
      </c>
      <c r="I97" s="910">
        <v>0</v>
      </c>
      <c r="J97" s="910">
        <v>0</v>
      </c>
      <c r="K97" s="910">
        <v>0</v>
      </c>
      <c r="L97" s="910">
        <v>0</v>
      </c>
      <c r="M97" s="910">
        <v>0</v>
      </c>
      <c r="N97" s="910">
        <v>0</v>
      </c>
      <c r="O97" s="911">
        <f t="shared" si="35"/>
        <v>0</v>
      </c>
      <c r="P97" s="943">
        <f>+'14. mell. Gyerekkuckó'!F20</f>
        <v>0</v>
      </c>
      <c r="Q97" s="907">
        <f t="shared" si="36"/>
        <v>0</v>
      </c>
      <c r="R97" s="896">
        <v>20</v>
      </c>
    </row>
    <row r="98" spans="1:18">
      <c r="A98" s="930" t="s">
        <v>23</v>
      </c>
      <c r="B98" s="933" t="s">
        <v>153</v>
      </c>
      <c r="C98" s="910">
        <v>0</v>
      </c>
      <c r="D98" s="910">
        <v>0</v>
      </c>
      <c r="E98" s="910">
        <v>0</v>
      </c>
      <c r="F98" s="910">
        <v>0</v>
      </c>
      <c r="G98" s="910">
        <v>0</v>
      </c>
      <c r="H98" s="910">
        <v>0</v>
      </c>
      <c r="I98" s="910">
        <v>0</v>
      </c>
      <c r="J98" s="910">
        <v>0</v>
      </c>
      <c r="K98" s="910">
        <v>0</v>
      </c>
      <c r="L98" s="910">
        <v>0</v>
      </c>
      <c r="M98" s="910">
        <v>0</v>
      </c>
      <c r="N98" s="910">
        <v>0</v>
      </c>
      <c r="O98" s="911">
        <f t="shared" si="35"/>
        <v>0</v>
      </c>
      <c r="P98" s="943">
        <f>+'14. mell. Gyerekkuckó'!F29</f>
        <v>0</v>
      </c>
      <c r="Q98" s="907">
        <f t="shared" si="36"/>
        <v>0</v>
      </c>
      <c r="R98" s="896">
        <v>29</v>
      </c>
    </row>
    <row r="99" spans="1:18">
      <c r="A99" s="930" t="s">
        <v>25</v>
      </c>
      <c r="B99" s="931" t="s">
        <v>1281</v>
      </c>
      <c r="C99" s="910">
        <v>0</v>
      </c>
      <c r="D99" s="910">
        <v>0</v>
      </c>
      <c r="E99" s="910">
        <v>0</v>
      </c>
      <c r="F99" s="910">
        <v>0</v>
      </c>
      <c r="G99" s="910">
        <v>0</v>
      </c>
      <c r="H99" s="910">
        <v>0</v>
      </c>
      <c r="I99" s="910">
        <v>0</v>
      </c>
      <c r="J99" s="910">
        <v>0</v>
      </c>
      <c r="K99" s="910">
        <v>0</v>
      </c>
      <c r="L99" s="910">
        <v>0</v>
      </c>
      <c r="M99" s="910">
        <v>0</v>
      </c>
      <c r="N99" s="910">
        <v>0</v>
      </c>
      <c r="O99" s="911">
        <f t="shared" si="35"/>
        <v>0</v>
      </c>
      <c r="P99" s="943">
        <f>+'14. mell. Gyerekkuckó'!F30</f>
        <v>0</v>
      </c>
      <c r="Q99" s="907">
        <f t="shared" si="36"/>
        <v>0</v>
      </c>
      <c r="R99" s="896">
        <v>30</v>
      </c>
    </row>
    <row r="100" spans="1:18">
      <c r="A100" s="930" t="s">
        <v>27</v>
      </c>
      <c r="B100" s="933" t="s">
        <v>1257</v>
      </c>
      <c r="C100" s="910">
        <f>+P100/12+536</f>
        <v>51435611.25</v>
      </c>
      <c r="D100" s="910">
        <f>+P100/12-536</f>
        <v>51434539.25</v>
      </c>
      <c r="E100" s="910">
        <f>+P100/12</f>
        <v>51435075.25</v>
      </c>
      <c r="F100" s="910">
        <f t="shared" ref="F100:N100" si="38">+E100</f>
        <v>51435075.25</v>
      </c>
      <c r="G100" s="910">
        <f t="shared" si="38"/>
        <v>51435075.25</v>
      </c>
      <c r="H100" s="910">
        <f t="shared" si="38"/>
        <v>51435075.25</v>
      </c>
      <c r="I100" s="910">
        <f t="shared" si="38"/>
        <v>51435075.25</v>
      </c>
      <c r="J100" s="910">
        <f t="shared" si="38"/>
        <v>51435075.25</v>
      </c>
      <c r="K100" s="910">
        <f t="shared" si="38"/>
        <v>51435075.25</v>
      </c>
      <c r="L100" s="910">
        <f t="shared" si="38"/>
        <v>51435075.25</v>
      </c>
      <c r="M100" s="910">
        <f t="shared" si="38"/>
        <v>51435075.25</v>
      </c>
      <c r="N100" s="910">
        <f t="shared" si="38"/>
        <v>51435075.25</v>
      </c>
      <c r="O100" s="911">
        <f t="shared" si="35"/>
        <v>617220903</v>
      </c>
      <c r="P100" s="943">
        <f>+'14. mell. Gyerekkuckó'!F36++'14. mell. Gyerekkuckó'!F34</f>
        <v>617220903</v>
      </c>
      <c r="Q100" s="907">
        <f t="shared" si="36"/>
        <v>0</v>
      </c>
      <c r="R100" s="896">
        <v>36</v>
      </c>
    </row>
    <row r="101" spans="1:18">
      <c r="A101" s="925" t="s">
        <v>29</v>
      </c>
      <c r="B101" s="936" t="s">
        <v>2850</v>
      </c>
      <c r="C101" s="917">
        <f t="shared" ref="C101:N101" si="39">SUM(C92:C100)</f>
        <v>52875050.916666664</v>
      </c>
      <c r="D101" s="917">
        <f t="shared" si="39"/>
        <v>52873978.916666664</v>
      </c>
      <c r="E101" s="917">
        <f t="shared" si="39"/>
        <v>52874514.916666664</v>
      </c>
      <c r="F101" s="917">
        <f t="shared" si="39"/>
        <v>52874514.916666664</v>
      </c>
      <c r="G101" s="917">
        <f t="shared" si="39"/>
        <v>52874514.916666664</v>
      </c>
      <c r="H101" s="917">
        <f t="shared" si="39"/>
        <v>52874514.916666664</v>
      </c>
      <c r="I101" s="917">
        <f t="shared" si="39"/>
        <v>52874514.916666664</v>
      </c>
      <c r="J101" s="917">
        <f t="shared" si="39"/>
        <v>52874514.916666664</v>
      </c>
      <c r="K101" s="917">
        <f t="shared" si="39"/>
        <v>52874514.916666664</v>
      </c>
      <c r="L101" s="917">
        <f t="shared" si="39"/>
        <v>52874514.916666664</v>
      </c>
      <c r="M101" s="917">
        <f t="shared" si="39"/>
        <v>52874514.916666664</v>
      </c>
      <c r="N101" s="917">
        <f t="shared" si="39"/>
        <v>52874514.916666664</v>
      </c>
      <c r="O101" s="918">
        <f t="shared" si="35"/>
        <v>634494179</v>
      </c>
      <c r="P101" s="943">
        <f>+'14. mell. Gyerekkuckó'!F37</f>
        <v>634494179</v>
      </c>
      <c r="Q101" s="907">
        <f t="shared" si="36"/>
        <v>0</v>
      </c>
      <c r="R101" s="895">
        <v>37</v>
      </c>
    </row>
    <row r="102" spans="1:18">
      <c r="A102" s="925" t="s">
        <v>31</v>
      </c>
      <c r="B102" s="3833" t="s">
        <v>391</v>
      </c>
      <c r="C102" s="3833"/>
      <c r="D102" s="3833"/>
      <c r="E102" s="3833"/>
      <c r="F102" s="3833"/>
      <c r="G102" s="3833"/>
      <c r="H102" s="3833"/>
      <c r="I102" s="3833"/>
      <c r="J102" s="3833"/>
      <c r="K102" s="3833"/>
      <c r="L102" s="3833"/>
      <c r="M102" s="3833"/>
      <c r="N102" s="3833"/>
      <c r="O102" s="3833"/>
      <c r="Q102" s="907">
        <f t="shared" si="36"/>
        <v>0</v>
      </c>
      <c r="R102" s="895"/>
    </row>
    <row r="103" spans="1:18">
      <c r="A103" s="937" t="s">
        <v>33</v>
      </c>
      <c r="B103" s="938" t="s">
        <v>9</v>
      </c>
      <c r="C103" s="910">
        <f t="shared" ref="C103:N103" si="40">+$P$103/12</f>
        <v>38647325.75</v>
      </c>
      <c r="D103" s="910">
        <f t="shared" si="40"/>
        <v>38647325.75</v>
      </c>
      <c r="E103" s="910">
        <f t="shared" si="40"/>
        <v>38647325.75</v>
      </c>
      <c r="F103" s="910">
        <f t="shared" si="40"/>
        <v>38647325.75</v>
      </c>
      <c r="G103" s="910">
        <f t="shared" si="40"/>
        <v>38647325.75</v>
      </c>
      <c r="H103" s="910">
        <f t="shared" si="40"/>
        <v>38647325.75</v>
      </c>
      <c r="I103" s="910">
        <f t="shared" si="40"/>
        <v>38647325.75</v>
      </c>
      <c r="J103" s="910">
        <f t="shared" si="40"/>
        <v>38647325.75</v>
      </c>
      <c r="K103" s="910">
        <f t="shared" si="40"/>
        <v>38647325.75</v>
      </c>
      <c r="L103" s="910">
        <f t="shared" si="40"/>
        <v>38647325.75</v>
      </c>
      <c r="M103" s="910">
        <f t="shared" si="40"/>
        <v>38647325.75</v>
      </c>
      <c r="N103" s="910">
        <f t="shared" si="40"/>
        <v>38647325.75</v>
      </c>
      <c r="O103" s="914">
        <f t="shared" ref="O103:O113" si="41">SUM(C103:N103)</f>
        <v>463767909</v>
      </c>
      <c r="P103" s="943">
        <f>+'14. mell. Gyerekkuckó'!F42</f>
        <v>463767909</v>
      </c>
      <c r="Q103" s="907">
        <f t="shared" si="36"/>
        <v>0</v>
      </c>
      <c r="R103" s="896">
        <v>42</v>
      </c>
    </row>
    <row r="104" spans="1:18" ht="22.5">
      <c r="A104" s="930" t="s">
        <v>35</v>
      </c>
      <c r="B104" s="931" t="s">
        <v>8</v>
      </c>
      <c r="C104" s="910">
        <f t="shared" ref="C104:N104" si="42">+$P$104/12</f>
        <v>5917997.583333333</v>
      </c>
      <c r="D104" s="910">
        <f t="shared" si="42"/>
        <v>5917997.583333333</v>
      </c>
      <c r="E104" s="910">
        <f t="shared" si="42"/>
        <v>5917997.583333333</v>
      </c>
      <c r="F104" s="910">
        <f t="shared" si="42"/>
        <v>5917997.583333333</v>
      </c>
      <c r="G104" s="910">
        <f t="shared" si="42"/>
        <v>5917997.583333333</v>
      </c>
      <c r="H104" s="910">
        <f t="shared" si="42"/>
        <v>5917997.583333333</v>
      </c>
      <c r="I104" s="910">
        <f t="shared" si="42"/>
        <v>5917997.583333333</v>
      </c>
      <c r="J104" s="910">
        <f t="shared" si="42"/>
        <v>5917997.583333333</v>
      </c>
      <c r="K104" s="910">
        <f t="shared" si="42"/>
        <v>5917997.583333333</v>
      </c>
      <c r="L104" s="910">
        <f t="shared" si="42"/>
        <v>5917997.583333333</v>
      </c>
      <c r="M104" s="910">
        <f t="shared" si="42"/>
        <v>5917997.583333333</v>
      </c>
      <c r="N104" s="910">
        <f t="shared" si="42"/>
        <v>5917997.583333333</v>
      </c>
      <c r="O104" s="911">
        <f t="shared" si="41"/>
        <v>71015971.000000015</v>
      </c>
      <c r="P104" s="943">
        <f>+'14. mell. Gyerekkuckó'!F43</f>
        <v>71015971</v>
      </c>
      <c r="Q104" s="907">
        <f t="shared" si="36"/>
        <v>0</v>
      </c>
      <c r="R104" s="896">
        <v>43</v>
      </c>
    </row>
    <row r="105" spans="1:18">
      <c r="A105" s="930" t="s">
        <v>37</v>
      </c>
      <c r="B105" s="933" t="s">
        <v>317</v>
      </c>
      <c r="C105" s="910">
        <f>+$P$105/12-536</f>
        <v>8251928.916666667</v>
      </c>
      <c r="D105" s="910">
        <f>+$P$105/12-536</f>
        <v>8251928.916666667</v>
      </c>
      <c r="E105" s="910">
        <f t="shared" ref="E105:L105" si="43">+$P$105/12</f>
        <v>8252464.916666667</v>
      </c>
      <c r="F105" s="910">
        <f t="shared" si="43"/>
        <v>8252464.916666667</v>
      </c>
      <c r="G105" s="910">
        <f t="shared" si="43"/>
        <v>8252464.916666667</v>
      </c>
      <c r="H105" s="910">
        <f t="shared" si="43"/>
        <v>8252464.916666667</v>
      </c>
      <c r="I105" s="910">
        <f t="shared" si="43"/>
        <v>8252464.916666667</v>
      </c>
      <c r="J105" s="910">
        <f t="shared" si="43"/>
        <v>8252464.916666667</v>
      </c>
      <c r="K105" s="910">
        <f t="shared" si="43"/>
        <v>8252464.916666667</v>
      </c>
      <c r="L105" s="910">
        <f t="shared" si="43"/>
        <v>8252464.916666667</v>
      </c>
      <c r="M105" s="910">
        <f>+$P$105/12+536</f>
        <v>8253000.916666667</v>
      </c>
      <c r="N105" s="910">
        <f>+$P$105/12+536</f>
        <v>8253000.916666667</v>
      </c>
      <c r="O105" s="911">
        <f t="shared" si="41"/>
        <v>99029579.000000015</v>
      </c>
      <c r="P105" s="943">
        <f>+'14. mell. Gyerekkuckó'!F44</f>
        <v>99029579</v>
      </c>
      <c r="Q105" s="907">
        <f t="shared" si="36"/>
        <v>0</v>
      </c>
      <c r="R105" s="896">
        <v>44</v>
      </c>
    </row>
    <row r="106" spans="1:18">
      <c r="A106" s="930" t="s">
        <v>39</v>
      </c>
      <c r="B106" s="933" t="s">
        <v>318</v>
      </c>
      <c r="C106" s="910">
        <v>0</v>
      </c>
      <c r="D106" s="910">
        <v>0</v>
      </c>
      <c r="E106" s="910">
        <v>0</v>
      </c>
      <c r="F106" s="910">
        <v>0</v>
      </c>
      <c r="G106" s="910">
        <v>0</v>
      </c>
      <c r="H106" s="910">
        <v>0</v>
      </c>
      <c r="I106" s="910">
        <v>0</v>
      </c>
      <c r="J106" s="910">
        <v>0</v>
      </c>
      <c r="K106" s="910">
        <v>0</v>
      </c>
      <c r="L106" s="910">
        <v>0</v>
      </c>
      <c r="M106" s="910">
        <v>0</v>
      </c>
      <c r="N106" s="910">
        <v>0</v>
      </c>
      <c r="O106" s="911">
        <f t="shared" si="41"/>
        <v>0</v>
      </c>
      <c r="P106" s="943">
        <f>+'14. mell. Gyerekkuckó'!F45</f>
        <v>0</v>
      </c>
      <c r="Q106" s="907">
        <f t="shared" si="36"/>
        <v>0</v>
      </c>
      <c r="R106" s="896">
        <v>45</v>
      </c>
    </row>
    <row r="107" spans="1:18">
      <c r="A107" s="930" t="s">
        <v>41</v>
      </c>
      <c r="B107" s="933" t="s">
        <v>2855</v>
      </c>
      <c r="C107" s="910">
        <v>0</v>
      </c>
      <c r="D107" s="910">
        <v>0</v>
      </c>
      <c r="E107" s="910">
        <v>0</v>
      </c>
      <c r="F107" s="910">
        <v>0</v>
      </c>
      <c r="G107" s="910">
        <v>0</v>
      </c>
      <c r="H107" s="910">
        <v>0</v>
      </c>
      <c r="I107" s="910">
        <v>0</v>
      </c>
      <c r="J107" s="910">
        <v>0</v>
      </c>
      <c r="K107" s="910">
        <v>0</v>
      </c>
      <c r="L107" s="910">
        <v>0</v>
      </c>
      <c r="M107" s="910">
        <v>0</v>
      </c>
      <c r="N107" s="910">
        <v>0</v>
      </c>
      <c r="O107" s="911">
        <f t="shared" si="41"/>
        <v>0</v>
      </c>
      <c r="P107" s="943">
        <f>+'14. mell. Gyerekkuckó'!F46</f>
        <v>0</v>
      </c>
      <c r="Q107" s="907">
        <f t="shared" si="36"/>
        <v>0</v>
      </c>
      <c r="R107" s="896">
        <v>46</v>
      </c>
    </row>
    <row r="108" spans="1:18">
      <c r="A108" s="930" t="s">
        <v>314</v>
      </c>
      <c r="B108" s="933" t="s">
        <v>82</v>
      </c>
      <c r="C108" s="910">
        <v>0</v>
      </c>
      <c r="D108" s="910">
        <v>0</v>
      </c>
      <c r="E108" s="910">
        <v>0</v>
      </c>
      <c r="F108" s="910">
        <v>0</v>
      </c>
      <c r="G108" s="910">
        <v>0</v>
      </c>
      <c r="H108" s="910">
        <v>0</v>
      </c>
      <c r="I108" s="910">
        <v>0</v>
      </c>
      <c r="J108" s="910">
        <v>0</v>
      </c>
      <c r="K108" s="910">
        <v>0</v>
      </c>
      <c r="L108" s="910">
        <v>0</v>
      </c>
      <c r="M108" s="910">
        <v>530720</v>
      </c>
      <c r="N108" s="910">
        <v>150000</v>
      </c>
      <c r="O108" s="911">
        <f t="shared" si="41"/>
        <v>680720</v>
      </c>
      <c r="P108" s="943">
        <f>+'14. mell. Gyerekkuckó'!F48</f>
        <v>680720</v>
      </c>
      <c r="Q108" s="907">
        <f t="shared" si="36"/>
        <v>0</v>
      </c>
      <c r="R108" s="896">
        <v>48</v>
      </c>
    </row>
    <row r="109" spans="1:18">
      <c r="A109" s="930" t="s">
        <v>402</v>
      </c>
      <c r="B109" s="931" t="s">
        <v>344</v>
      </c>
      <c r="C109" s="910">
        <v>0</v>
      </c>
      <c r="D109" s="910">
        <v>0</v>
      </c>
      <c r="E109" s="910">
        <v>0</v>
      </c>
      <c r="F109" s="910">
        <v>0</v>
      </c>
      <c r="G109" s="910">
        <v>0</v>
      </c>
      <c r="H109" s="910">
        <v>0</v>
      </c>
      <c r="I109" s="910">
        <v>0</v>
      </c>
      <c r="J109" s="910">
        <v>0</v>
      </c>
      <c r="K109" s="910">
        <v>0</v>
      </c>
      <c r="L109" s="910">
        <v>0</v>
      </c>
      <c r="M109" s="910">
        <v>0</v>
      </c>
      <c r="N109" s="910">
        <v>0</v>
      </c>
      <c r="O109" s="911">
        <f t="shared" si="41"/>
        <v>0</v>
      </c>
      <c r="P109" s="943">
        <f>+'14. mell. Gyerekkuckó'!F49</f>
        <v>0</v>
      </c>
      <c r="Q109" s="907">
        <f t="shared" si="36"/>
        <v>0</v>
      </c>
      <c r="R109" s="896">
        <v>49</v>
      </c>
    </row>
    <row r="110" spans="1:18">
      <c r="A110" s="930" t="s">
        <v>404</v>
      </c>
      <c r="B110" s="933" t="s">
        <v>346</v>
      </c>
      <c r="C110" s="910">
        <v>0</v>
      </c>
      <c r="D110" s="910">
        <v>0</v>
      </c>
      <c r="E110" s="910">
        <v>0</v>
      </c>
      <c r="F110" s="910">
        <v>0</v>
      </c>
      <c r="G110" s="910">
        <v>0</v>
      </c>
      <c r="H110" s="910">
        <v>0</v>
      </c>
      <c r="I110" s="910">
        <v>0</v>
      </c>
      <c r="J110" s="910">
        <v>0</v>
      </c>
      <c r="K110" s="910">
        <v>0</v>
      </c>
      <c r="L110" s="910">
        <v>0</v>
      </c>
      <c r="M110" s="910">
        <v>0</v>
      </c>
      <c r="N110" s="910">
        <v>0</v>
      </c>
      <c r="O110" s="911">
        <f t="shared" si="41"/>
        <v>0</v>
      </c>
      <c r="P110" s="943">
        <f>+'14. mell. Gyerekkuckó'!F50</f>
        <v>0</v>
      </c>
      <c r="Q110" s="907">
        <f t="shared" si="36"/>
        <v>0</v>
      </c>
      <c r="R110" s="896">
        <v>50</v>
      </c>
    </row>
    <row r="111" spans="1:18">
      <c r="A111" s="930" t="s">
        <v>407</v>
      </c>
      <c r="B111" s="933" t="s">
        <v>2851</v>
      </c>
      <c r="C111" s="934">
        <v>0</v>
      </c>
      <c r="D111" s="934">
        <v>0</v>
      </c>
      <c r="E111" s="934">
        <v>0</v>
      </c>
      <c r="F111" s="934">
        <v>0</v>
      </c>
      <c r="G111" s="934">
        <v>0</v>
      </c>
      <c r="H111" s="934">
        <v>0</v>
      </c>
      <c r="I111" s="934">
        <v>0</v>
      </c>
      <c r="J111" s="934">
        <v>0</v>
      </c>
      <c r="K111" s="934">
        <v>0</v>
      </c>
      <c r="L111" s="934">
        <v>0</v>
      </c>
      <c r="M111" s="934">
        <v>0</v>
      </c>
      <c r="N111" s="934">
        <v>0</v>
      </c>
      <c r="O111" s="935">
        <f t="shared" si="41"/>
        <v>0</v>
      </c>
      <c r="P111" s="923">
        <v>0</v>
      </c>
      <c r="Q111" s="907">
        <f t="shared" si="36"/>
        <v>0</v>
      </c>
      <c r="R111" s="896">
        <v>0</v>
      </c>
    </row>
    <row r="112" spans="1:18">
      <c r="A112" s="930" t="s">
        <v>409</v>
      </c>
      <c r="B112" s="933" t="s">
        <v>2697</v>
      </c>
      <c r="C112" s="934">
        <v>0</v>
      </c>
      <c r="D112" s="934">
        <v>0</v>
      </c>
      <c r="E112" s="934">
        <v>0</v>
      </c>
      <c r="F112" s="934">
        <v>0</v>
      </c>
      <c r="G112" s="934">
        <v>0</v>
      </c>
      <c r="H112" s="934">
        <v>0</v>
      </c>
      <c r="I112" s="934">
        <v>0</v>
      </c>
      <c r="J112" s="934">
        <v>0</v>
      </c>
      <c r="K112" s="934">
        <v>0</v>
      </c>
      <c r="L112" s="934">
        <v>0</v>
      </c>
      <c r="M112" s="934">
        <v>0</v>
      </c>
      <c r="N112" s="934">
        <v>0</v>
      </c>
      <c r="O112" s="935">
        <f t="shared" si="41"/>
        <v>0</v>
      </c>
      <c r="P112" s="923">
        <v>0</v>
      </c>
      <c r="Q112" s="907">
        <f t="shared" si="36"/>
        <v>0</v>
      </c>
      <c r="R112" s="896">
        <v>0</v>
      </c>
    </row>
    <row r="113" spans="1:18">
      <c r="A113" s="939" t="s">
        <v>410</v>
      </c>
      <c r="B113" s="936" t="s">
        <v>2852</v>
      </c>
      <c r="C113" s="917">
        <f t="shared" ref="C113:N113" si="44">SUM(C103:C112)</f>
        <v>52817252.25</v>
      </c>
      <c r="D113" s="917">
        <f t="shared" si="44"/>
        <v>52817252.25</v>
      </c>
      <c r="E113" s="917">
        <f t="shared" si="44"/>
        <v>52817788.25</v>
      </c>
      <c r="F113" s="917">
        <f t="shared" si="44"/>
        <v>52817788.25</v>
      </c>
      <c r="G113" s="917">
        <f t="shared" si="44"/>
        <v>52817788.25</v>
      </c>
      <c r="H113" s="917">
        <f t="shared" si="44"/>
        <v>52817788.25</v>
      </c>
      <c r="I113" s="917">
        <f t="shared" si="44"/>
        <v>52817788.25</v>
      </c>
      <c r="J113" s="917">
        <f t="shared" si="44"/>
        <v>52817788.25</v>
      </c>
      <c r="K113" s="917">
        <f t="shared" si="44"/>
        <v>52817788.25</v>
      </c>
      <c r="L113" s="917">
        <f t="shared" si="44"/>
        <v>52817788.25</v>
      </c>
      <c r="M113" s="917">
        <f t="shared" si="44"/>
        <v>53349044.25</v>
      </c>
      <c r="N113" s="917">
        <f t="shared" si="44"/>
        <v>52968324.25</v>
      </c>
      <c r="O113" s="918">
        <f t="shared" si="41"/>
        <v>634494179</v>
      </c>
      <c r="P113" s="943">
        <f>+'14. mell. Gyerekkuckó'!F52</f>
        <v>634494179</v>
      </c>
      <c r="Q113" s="907">
        <f t="shared" si="36"/>
        <v>0</v>
      </c>
      <c r="R113" s="895">
        <v>52</v>
      </c>
    </row>
    <row r="114" spans="1:18">
      <c r="A114" s="939" t="s">
        <v>411</v>
      </c>
      <c r="B114" s="940" t="s">
        <v>2853</v>
      </c>
      <c r="C114" s="941">
        <f>C101-C113</f>
        <v>57798.666666664183</v>
      </c>
      <c r="D114" s="941">
        <f t="shared" ref="D114:N114" si="45">C114+D101-D113</f>
        <v>114525.33333332837</v>
      </c>
      <c r="E114" s="941">
        <f t="shared" si="45"/>
        <v>171251.99999999255</v>
      </c>
      <c r="F114" s="941">
        <f t="shared" si="45"/>
        <v>227978.66666665673</v>
      </c>
      <c r="G114" s="941">
        <f t="shared" si="45"/>
        <v>284705.33333332092</v>
      </c>
      <c r="H114" s="941">
        <f t="shared" si="45"/>
        <v>341431.9999999851</v>
      </c>
      <c r="I114" s="941">
        <f t="shared" si="45"/>
        <v>398158.66666664928</v>
      </c>
      <c r="J114" s="941">
        <f t="shared" si="45"/>
        <v>454885.33333331347</v>
      </c>
      <c r="K114" s="941">
        <f t="shared" si="45"/>
        <v>511611.99999997765</v>
      </c>
      <c r="L114" s="941">
        <f t="shared" si="45"/>
        <v>568338.66666664183</v>
      </c>
      <c r="M114" s="941">
        <f t="shared" si="45"/>
        <v>93809.333333306015</v>
      </c>
      <c r="N114" s="941">
        <f t="shared" si="45"/>
        <v>0</v>
      </c>
      <c r="O114" s="942">
        <f>O101-O113</f>
        <v>0</v>
      </c>
      <c r="Q114" s="907">
        <f t="shared" si="36"/>
        <v>0</v>
      </c>
      <c r="R114" s="943">
        <f>+P101-P113</f>
        <v>0</v>
      </c>
    </row>
    <row r="115" spans="1:18">
      <c r="Q115" s="907"/>
    </row>
    <row r="116" spans="1:18">
      <c r="Q116" s="907"/>
    </row>
    <row r="117" spans="1:18" ht="30" customHeight="1">
      <c r="A117" s="3834" t="s">
        <v>3775</v>
      </c>
      <c r="B117" s="3834"/>
      <c r="C117" s="3834"/>
      <c r="D117" s="3834"/>
      <c r="E117" s="3834"/>
      <c r="F117" s="3834"/>
      <c r="G117" s="3834"/>
      <c r="H117" s="3834"/>
      <c r="I117" s="3834"/>
      <c r="J117" s="3834"/>
      <c r="K117" s="3834"/>
      <c r="L117" s="3834"/>
      <c r="M117" s="3834"/>
      <c r="N117" s="3834"/>
      <c r="O117" s="3834"/>
      <c r="Q117" s="907"/>
    </row>
    <row r="118" spans="1:18">
      <c r="O118" s="924" t="s">
        <v>3300</v>
      </c>
      <c r="Q118" s="907"/>
    </row>
    <row r="119" spans="1:18" ht="24">
      <c r="A119" s="899" t="s">
        <v>2726</v>
      </c>
      <c r="B119" s="900" t="s">
        <v>136</v>
      </c>
      <c r="C119" s="900" t="s">
        <v>2837</v>
      </c>
      <c r="D119" s="900" t="s">
        <v>2838</v>
      </c>
      <c r="E119" s="900" t="s">
        <v>2839</v>
      </c>
      <c r="F119" s="900" t="s">
        <v>2840</v>
      </c>
      <c r="G119" s="900" t="s">
        <v>2841</v>
      </c>
      <c r="H119" s="900" t="s">
        <v>2842</v>
      </c>
      <c r="I119" s="900" t="s">
        <v>2843</v>
      </c>
      <c r="J119" s="900" t="s">
        <v>2844</v>
      </c>
      <c r="K119" s="900" t="s">
        <v>2845</v>
      </c>
      <c r="L119" s="900" t="s">
        <v>2846</v>
      </c>
      <c r="M119" s="900" t="s">
        <v>2847</v>
      </c>
      <c r="N119" s="900" t="s">
        <v>2848</v>
      </c>
      <c r="O119" s="901" t="s">
        <v>66</v>
      </c>
      <c r="Q119" s="907"/>
    </row>
    <row r="120" spans="1:18">
      <c r="A120" s="925" t="s">
        <v>6</v>
      </c>
      <c r="B120" s="3833" t="s">
        <v>390</v>
      </c>
      <c r="C120" s="3833"/>
      <c r="D120" s="3833"/>
      <c r="E120" s="3833"/>
      <c r="F120" s="3833"/>
      <c r="G120" s="3833"/>
      <c r="H120" s="3833"/>
      <c r="I120" s="3833"/>
      <c r="J120" s="3833"/>
      <c r="K120" s="3833"/>
      <c r="L120" s="3833"/>
      <c r="M120" s="3833"/>
      <c r="N120" s="3833"/>
      <c r="O120" s="3833"/>
      <c r="Q120" s="907"/>
    </row>
    <row r="121" spans="1:18" ht="22.5">
      <c r="A121" s="926" t="s">
        <v>12</v>
      </c>
      <c r="B121" s="927" t="s">
        <v>3385</v>
      </c>
      <c r="C121" s="928">
        <v>0</v>
      </c>
      <c r="D121" s="928">
        <v>0</v>
      </c>
      <c r="E121" s="928">
        <v>0</v>
      </c>
      <c r="F121" s="928">
        <v>0</v>
      </c>
      <c r="G121" s="928">
        <v>0</v>
      </c>
      <c r="H121" s="928">
        <v>0</v>
      </c>
      <c r="I121" s="928">
        <v>0</v>
      </c>
      <c r="J121" s="928">
        <v>0</v>
      </c>
      <c r="K121" s="928">
        <v>0</v>
      </c>
      <c r="L121" s="928">
        <v>0</v>
      </c>
      <c r="M121" s="928">
        <v>0</v>
      </c>
      <c r="N121" s="928">
        <v>0</v>
      </c>
      <c r="O121" s="929">
        <f t="shared" ref="O121:O130" si="46">SUM(C121:N121)</f>
        <v>0</v>
      </c>
      <c r="P121" s="923">
        <v>0</v>
      </c>
      <c r="Q121" s="907">
        <f t="shared" ref="Q121:Q142" si="47">O121-P121</f>
        <v>0</v>
      </c>
      <c r="R121" s="895">
        <v>0</v>
      </c>
    </row>
    <row r="122" spans="1:18">
      <c r="A122" s="930" t="s">
        <v>14</v>
      </c>
      <c r="B122" s="931" t="s">
        <v>3386</v>
      </c>
      <c r="C122" s="910">
        <v>0</v>
      </c>
      <c r="D122" s="910">
        <v>0</v>
      </c>
      <c r="E122" s="910">
        <v>0</v>
      </c>
      <c r="F122" s="910">
        <v>0</v>
      </c>
      <c r="G122" s="910">
        <v>0</v>
      </c>
      <c r="H122" s="910">
        <v>0</v>
      </c>
      <c r="I122" s="910">
        <v>0</v>
      </c>
      <c r="J122" s="910">
        <v>0</v>
      </c>
      <c r="K122" s="910">
        <v>0</v>
      </c>
      <c r="L122" s="910">
        <v>0</v>
      </c>
      <c r="M122" s="910">
        <v>0</v>
      </c>
      <c r="N122" s="910">
        <v>0</v>
      </c>
      <c r="O122" s="911">
        <f t="shared" si="46"/>
        <v>0</v>
      </c>
      <c r="P122" s="943">
        <f>+'15. mell. Cinkotai H.'!F23</f>
        <v>0</v>
      </c>
      <c r="Q122" s="907">
        <f t="shared" si="47"/>
        <v>0</v>
      </c>
      <c r="R122" s="896">
        <v>23</v>
      </c>
    </row>
    <row r="123" spans="1:18">
      <c r="A123" s="930" t="s">
        <v>15</v>
      </c>
      <c r="B123" s="932" t="s">
        <v>2849</v>
      </c>
      <c r="C123" s="913">
        <v>0</v>
      </c>
      <c r="D123" s="913">
        <v>0</v>
      </c>
      <c r="E123" s="913">
        <v>0</v>
      </c>
      <c r="F123" s="913">
        <v>0</v>
      </c>
      <c r="G123" s="913">
        <v>0</v>
      </c>
      <c r="H123" s="913">
        <v>0</v>
      </c>
      <c r="I123" s="913">
        <v>0</v>
      </c>
      <c r="J123" s="913">
        <v>0</v>
      </c>
      <c r="K123" s="913">
        <v>0</v>
      </c>
      <c r="L123" s="913">
        <v>0</v>
      </c>
      <c r="M123" s="913">
        <v>0</v>
      </c>
      <c r="N123" s="913">
        <v>0</v>
      </c>
      <c r="O123" s="914">
        <f t="shared" si="46"/>
        <v>0</v>
      </c>
      <c r="P123" s="943">
        <f>+'15. mell. Cinkotai H.'!F27</f>
        <v>0</v>
      </c>
      <c r="Q123" s="907">
        <f t="shared" si="47"/>
        <v>0</v>
      </c>
      <c r="R123" s="896">
        <v>27</v>
      </c>
    </row>
    <row r="124" spans="1:18">
      <c r="A124" s="930" t="s">
        <v>17</v>
      </c>
      <c r="B124" s="933" t="s">
        <v>393</v>
      </c>
      <c r="C124" s="934">
        <v>0</v>
      </c>
      <c r="D124" s="934">
        <v>0</v>
      </c>
      <c r="E124" s="934">
        <v>0</v>
      </c>
      <c r="F124" s="934">
        <v>0</v>
      </c>
      <c r="G124" s="934">
        <v>0</v>
      </c>
      <c r="H124" s="934">
        <v>0</v>
      </c>
      <c r="I124" s="934">
        <v>0</v>
      </c>
      <c r="J124" s="934">
        <v>0</v>
      </c>
      <c r="K124" s="934">
        <v>0</v>
      </c>
      <c r="L124" s="934">
        <v>0</v>
      </c>
      <c r="M124" s="934">
        <v>0</v>
      </c>
      <c r="N124" s="934">
        <v>0</v>
      </c>
      <c r="O124" s="935">
        <f t="shared" si="46"/>
        <v>0</v>
      </c>
      <c r="P124" s="943">
        <f>+'15. mell. Cinkotai H.'!F31</f>
        <v>0</v>
      </c>
      <c r="Q124" s="907">
        <f t="shared" si="47"/>
        <v>0</v>
      </c>
      <c r="R124" s="896">
        <v>31</v>
      </c>
    </row>
    <row r="125" spans="1:18">
      <c r="A125" s="930" t="s">
        <v>19</v>
      </c>
      <c r="B125" s="933" t="s">
        <v>149</v>
      </c>
      <c r="C125" s="910">
        <f t="shared" ref="C125:N125" si="48">+$P$125/12</f>
        <v>1864923.3558066667</v>
      </c>
      <c r="D125" s="910">
        <f t="shared" si="48"/>
        <v>1864923.3558066667</v>
      </c>
      <c r="E125" s="910">
        <f t="shared" si="48"/>
        <v>1864923.3558066667</v>
      </c>
      <c r="F125" s="910">
        <f t="shared" si="48"/>
        <v>1864923.3558066667</v>
      </c>
      <c r="G125" s="910">
        <f t="shared" si="48"/>
        <v>1864923.3558066667</v>
      </c>
      <c r="H125" s="910">
        <f t="shared" si="48"/>
        <v>1864923.3558066667</v>
      </c>
      <c r="I125" s="910">
        <f t="shared" si="48"/>
        <v>1864923.3558066667</v>
      </c>
      <c r="J125" s="910">
        <f t="shared" si="48"/>
        <v>1864923.3558066667</v>
      </c>
      <c r="K125" s="910">
        <f t="shared" si="48"/>
        <v>1864923.3558066667</v>
      </c>
      <c r="L125" s="910">
        <f t="shared" si="48"/>
        <v>1864923.3558066667</v>
      </c>
      <c r="M125" s="910">
        <f t="shared" si="48"/>
        <v>1864923.3558066667</v>
      </c>
      <c r="N125" s="910">
        <f t="shared" si="48"/>
        <v>1864923.3558066667</v>
      </c>
      <c r="O125" s="911">
        <f t="shared" si="46"/>
        <v>22379080.269680005</v>
      </c>
      <c r="P125" s="943">
        <f>+'15. mell. Cinkotai H.'!F8</f>
        <v>22379080.269680001</v>
      </c>
      <c r="Q125" s="907">
        <f t="shared" si="47"/>
        <v>0</v>
      </c>
      <c r="R125" s="896">
        <v>8</v>
      </c>
    </row>
    <row r="126" spans="1:18">
      <c r="A126" s="930" t="s">
        <v>21</v>
      </c>
      <c r="B126" s="933" t="s">
        <v>431</v>
      </c>
      <c r="C126" s="910">
        <v>0</v>
      </c>
      <c r="D126" s="910">
        <v>0</v>
      </c>
      <c r="E126" s="910">
        <v>0</v>
      </c>
      <c r="F126" s="910">
        <v>0</v>
      </c>
      <c r="G126" s="910">
        <v>0</v>
      </c>
      <c r="H126" s="910">
        <v>0</v>
      </c>
      <c r="I126" s="910">
        <v>0</v>
      </c>
      <c r="J126" s="910">
        <v>0</v>
      </c>
      <c r="K126" s="910">
        <v>0</v>
      </c>
      <c r="L126" s="910">
        <v>0</v>
      </c>
      <c r="M126" s="910">
        <v>0</v>
      </c>
      <c r="N126" s="910">
        <v>0</v>
      </c>
      <c r="O126" s="911">
        <f t="shared" si="46"/>
        <v>0</v>
      </c>
      <c r="P126" s="943">
        <f>+'15. mell. Cinkotai H.'!F20</f>
        <v>0</v>
      </c>
      <c r="Q126" s="907">
        <f t="shared" si="47"/>
        <v>0</v>
      </c>
      <c r="R126" s="896">
        <v>20</v>
      </c>
    </row>
    <row r="127" spans="1:18">
      <c r="A127" s="930" t="s">
        <v>23</v>
      </c>
      <c r="B127" s="933" t="s">
        <v>153</v>
      </c>
      <c r="C127" s="910">
        <v>0</v>
      </c>
      <c r="D127" s="910">
        <v>0</v>
      </c>
      <c r="E127" s="910">
        <v>0</v>
      </c>
      <c r="F127" s="910">
        <v>0</v>
      </c>
      <c r="G127" s="910">
        <v>0</v>
      </c>
      <c r="H127" s="910">
        <v>0</v>
      </c>
      <c r="I127" s="910">
        <v>0</v>
      </c>
      <c r="J127" s="910">
        <v>0</v>
      </c>
      <c r="K127" s="910">
        <v>0</v>
      </c>
      <c r="L127" s="910">
        <v>0</v>
      </c>
      <c r="M127" s="910">
        <v>0</v>
      </c>
      <c r="N127" s="910">
        <v>0</v>
      </c>
      <c r="O127" s="911">
        <f t="shared" si="46"/>
        <v>0</v>
      </c>
      <c r="P127" s="943">
        <f>+'15. mell. Cinkotai H.'!F29</f>
        <v>0</v>
      </c>
      <c r="Q127" s="907">
        <f t="shared" si="47"/>
        <v>0</v>
      </c>
      <c r="R127" s="896">
        <v>29</v>
      </c>
    </row>
    <row r="128" spans="1:18">
      <c r="A128" s="930" t="s">
        <v>25</v>
      </c>
      <c r="B128" s="931" t="s">
        <v>1281</v>
      </c>
      <c r="C128" s="910">
        <v>0</v>
      </c>
      <c r="D128" s="910">
        <v>0</v>
      </c>
      <c r="E128" s="910">
        <v>0</v>
      </c>
      <c r="F128" s="910">
        <v>0</v>
      </c>
      <c r="G128" s="910">
        <v>0</v>
      </c>
      <c r="H128" s="910">
        <v>0</v>
      </c>
      <c r="I128" s="910">
        <v>0</v>
      </c>
      <c r="J128" s="910">
        <v>0</v>
      </c>
      <c r="K128" s="910">
        <v>0</v>
      </c>
      <c r="L128" s="910">
        <v>0</v>
      </c>
      <c r="M128" s="910">
        <v>0</v>
      </c>
      <c r="N128" s="910">
        <v>0</v>
      </c>
      <c r="O128" s="911">
        <f t="shared" si="46"/>
        <v>0</v>
      </c>
      <c r="P128" s="943">
        <f>+'15. mell. Cinkotai H.'!F30</f>
        <v>0</v>
      </c>
      <c r="Q128" s="907">
        <f t="shared" si="47"/>
        <v>0</v>
      </c>
      <c r="R128" s="896">
        <v>30</v>
      </c>
    </row>
    <row r="129" spans="1:18">
      <c r="A129" s="930" t="s">
        <v>27</v>
      </c>
      <c r="B129" s="933" t="s">
        <v>1257</v>
      </c>
      <c r="C129" s="910">
        <f>+$P$129/12+1040</f>
        <v>47447296.666666664</v>
      </c>
      <c r="D129" s="910">
        <f t="shared" ref="D129:M129" si="49">+$P$129/12</f>
        <v>47446256.666666664</v>
      </c>
      <c r="E129" s="910">
        <f t="shared" si="49"/>
        <v>47446256.666666664</v>
      </c>
      <c r="F129" s="910">
        <f t="shared" si="49"/>
        <v>47446256.666666664</v>
      </c>
      <c r="G129" s="910">
        <f t="shared" si="49"/>
        <v>47446256.666666664</v>
      </c>
      <c r="H129" s="910">
        <f t="shared" si="49"/>
        <v>47446256.666666664</v>
      </c>
      <c r="I129" s="910">
        <f t="shared" si="49"/>
        <v>47446256.666666664</v>
      </c>
      <c r="J129" s="910">
        <f t="shared" si="49"/>
        <v>47446256.666666664</v>
      </c>
      <c r="K129" s="910">
        <f t="shared" si="49"/>
        <v>47446256.666666664</v>
      </c>
      <c r="L129" s="910">
        <f t="shared" si="49"/>
        <v>47446256.666666664</v>
      </c>
      <c r="M129" s="910">
        <f t="shared" si="49"/>
        <v>47446256.666666664</v>
      </c>
      <c r="N129" s="910">
        <f>+$P$129/12-1040</f>
        <v>47445216.666666664</v>
      </c>
      <c r="O129" s="948">
        <f t="shared" si="46"/>
        <v>569355080.00000012</v>
      </c>
      <c r="P129" s="943">
        <f>+'15. mell. Cinkotai H.'!F36</f>
        <v>569355080</v>
      </c>
      <c r="Q129" s="907">
        <f t="shared" si="47"/>
        <v>0</v>
      </c>
      <c r="R129" s="896">
        <v>36</v>
      </c>
    </row>
    <row r="130" spans="1:18">
      <c r="A130" s="925" t="s">
        <v>29</v>
      </c>
      <c r="B130" s="936" t="s">
        <v>2850</v>
      </c>
      <c r="C130" s="917">
        <f t="shared" ref="C130:N130" si="50">SUM(C121:C129)</f>
        <v>49312220.022473328</v>
      </c>
      <c r="D130" s="917">
        <f t="shared" si="50"/>
        <v>49311180.022473328</v>
      </c>
      <c r="E130" s="917">
        <f t="shared" si="50"/>
        <v>49311180.022473328</v>
      </c>
      <c r="F130" s="917">
        <f t="shared" si="50"/>
        <v>49311180.022473328</v>
      </c>
      <c r="G130" s="917">
        <f t="shared" si="50"/>
        <v>49311180.022473328</v>
      </c>
      <c r="H130" s="917">
        <f t="shared" si="50"/>
        <v>49311180.022473328</v>
      </c>
      <c r="I130" s="917">
        <f t="shared" si="50"/>
        <v>49311180.022473328</v>
      </c>
      <c r="J130" s="917">
        <f t="shared" si="50"/>
        <v>49311180.022473328</v>
      </c>
      <c r="K130" s="917">
        <f t="shared" si="50"/>
        <v>49311180.022473328</v>
      </c>
      <c r="L130" s="917">
        <f t="shared" si="50"/>
        <v>49311180.022473328</v>
      </c>
      <c r="M130" s="917">
        <f t="shared" si="50"/>
        <v>49311180.022473328</v>
      </c>
      <c r="N130" s="949">
        <f t="shared" si="50"/>
        <v>49310140.022473328</v>
      </c>
      <c r="O130" s="950">
        <f t="shared" si="46"/>
        <v>591734160.2696799</v>
      </c>
      <c r="P130" s="943">
        <f>+'15. mell. Cinkotai H.'!F37</f>
        <v>591734160.26968002</v>
      </c>
      <c r="Q130" s="907">
        <f t="shared" si="47"/>
        <v>0</v>
      </c>
      <c r="R130" s="895">
        <v>37</v>
      </c>
    </row>
    <row r="131" spans="1:18">
      <c r="A131" s="925" t="s">
        <v>31</v>
      </c>
      <c r="B131" s="3833" t="s">
        <v>391</v>
      </c>
      <c r="C131" s="3833"/>
      <c r="D131" s="3833"/>
      <c r="E131" s="3833"/>
      <c r="F131" s="3833"/>
      <c r="G131" s="3833"/>
      <c r="H131" s="3833"/>
      <c r="I131" s="3833"/>
      <c r="J131" s="3833"/>
      <c r="K131" s="3833"/>
      <c r="L131" s="3833"/>
      <c r="M131" s="3833"/>
      <c r="N131" s="3833"/>
      <c r="O131" s="3833"/>
      <c r="Q131" s="907">
        <f t="shared" si="47"/>
        <v>0</v>
      </c>
      <c r="R131" s="895"/>
    </row>
    <row r="132" spans="1:18">
      <c r="A132" s="937" t="s">
        <v>33</v>
      </c>
      <c r="B132" s="938" t="s">
        <v>9</v>
      </c>
      <c r="C132" s="910">
        <f t="shared" ref="C132:N132" si="51">+$P$132/12</f>
        <v>35778612.666666664</v>
      </c>
      <c r="D132" s="910">
        <f t="shared" si="51"/>
        <v>35778612.666666664</v>
      </c>
      <c r="E132" s="910">
        <f t="shared" si="51"/>
        <v>35778612.666666664</v>
      </c>
      <c r="F132" s="910">
        <f t="shared" si="51"/>
        <v>35778612.666666664</v>
      </c>
      <c r="G132" s="910">
        <f t="shared" si="51"/>
        <v>35778612.666666664</v>
      </c>
      <c r="H132" s="910">
        <f t="shared" si="51"/>
        <v>35778612.666666664</v>
      </c>
      <c r="I132" s="910">
        <f t="shared" si="51"/>
        <v>35778612.666666664</v>
      </c>
      <c r="J132" s="910">
        <f t="shared" si="51"/>
        <v>35778612.666666664</v>
      </c>
      <c r="K132" s="910">
        <f t="shared" si="51"/>
        <v>35778612.666666664</v>
      </c>
      <c r="L132" s="910">
        <f t="shared" si="51"/>
        <v>35778612.666666664</v>
      </c>
      <c r="M132" s="910">
        <f t="shared" si="51"/>
        <v>35778612.666666664</v>
      </c>
      <c r="N132" s="910">
        <f t="shared" si="51"/>
        <v>35778612.666666664</v>
      </c>
      <c r="O132" s="914">
        <f t="shared" ref="O132:O142" si="52">SUM(C132:N132)</f>
        <v>429343352.00000006</v>
      </c>
      <c r="P132" s="943">
        <f>+'15. mell. Cinkotai H.'!F42</f>
        <v>429343352</v>
      </c>
      <c r="Q132" s="907">
        <f t="shared" si="47"/>
        <v>0</v>
      </c>
      <c r="R132" s="896">
        <v>42</v>
      </c>
    </row>
    <row r="133" spans="1:18" ht="22.5">
      <c r="A133" s="930" t="s">
        <v>35</v>
      </c>
      <c r="B133" s="931" t="s">
        <v>8</v>
      </c>
      <c r="C133" s="910">
        <f t="shared" ref="C133:N133" si="53">+$P$133/12</f>
        <v>5298169.25</v>
      </c>
      <c r="D133" s="910">
        <f t="shared" si="53"/>
        <v>5298169.25</v>
      </c>
      <c r="E133" s="910">
        <f t="shared" si="53"/>
        <v>5298169.25</v>
      </c>
      <c r="F133" s="910">
        <f t="shared" si="53"/>
        <v>5298169.25</v>
      </c>
      <c r="G133" s="910">
        <f t="shared" si="53"/>
        <v>5298169.25</v>
      </c>
      <c r="H133" s="910">
        <f t="shared" si="53"/>
        <v>5298169.25</v>
      </c>
      <c r="I133" s="910">
        <f t="shared" si="53"/>
        <v>5298169.25</v>
      </c>
      <c r="J133" s="910">
        <f t="shared" si="53"/>
        <v>5298169.25</v>
      </c>
      <c r="K133" s="910">
        <f t="shared" si="53"/>
        <v>5298169.25</v>
      </c>
      <c r="L133" s="910">
        <f t="shared" si="53"/>
        <v>5298169.25</v>
      </c>
      <c r="M133" s="910">
        <f t="shared" si="53"/>
        <v>5298169.25</v>
      </c>
      <c r="N133" s="910">
        <f t="shared" si="53"/>
        <v>5298169.25</v>
      </c>
      <c r="O133" s="911">
        <f t="shared" si="52"/>
        <v>63578031</v>
      </c>
      <c r="P133" s="943">
        <f>+'15. mell. Cinkotai H.'!F43</f>
        <v>63578031</v>
      </c>
      <c r="Q133" s="907">
        <f t="shared" si="47"/>
        <v>0</v>
      </c>
      <c r="R133" s="896">
        <v>43</v>
      </c>
    </row>
    <row r="134" spans="1:18">
      <c r="A134" s="930" t="s">
        <v>37</v>
      </c>
      <c r="B134" s="933" t="s">
        <v>317</v>
      </c>
      <c r="C134" s="910">
        <f t="shared" ref="C134:N134" si="54">+$P$134/12</f>
        <v>8193123.083333333</v>
      </c>
      <c r="D134" s="910">
        <f t="shared" si="54"/>
        <v>8193123.083333333</v>
      </c>
      <c r="E134" s="910">
        <f t="shared" si="54"/>
        <v>8193123.083333333</v>
      </c>
      <c r="F134" s="910">
        <f t="shared" si="54"/>
        <v>8193123.083333333</v>
      </c>
      <c r="G134" s="910">
        <f t="shared" si="54"/>
        <v>8193123.083333333</v>
      </c>
      <c r="H134" s="910">
        <f t="shared" si="54"/>
        <v>8193123.083333333</v>
      </c>
      <c r="I134" s="910">
        <f t="shared" si="54"/>
        <v>8193123.083333333</v>
      </c>
      <c r="J134" s="910">
        <f t="shared" si="54"/>
        <v>8193123.083333333</v>
      </c>
      <c r="K134" s="910">
        <f t="shared" si="54"/>
        <v>8193123.083333333</v>
      </c>
      <c r="L134" s="910">
        <f t="shared" si="54"/>
        <v>8193123.083333333</v>
      </c>
      <c r="M134" s="910">
        <f t="shared" si="54"/>
        <v>8193123.083333333</v>
      </c>
      <c r="N134" s="910">
        <f t="shared" si="54"/>
        <v>8193123.083333333</v>
      </c>
      <c r="O134" s="911">
        <f t="shared" si="52"/>
        <v>98317476.999999985</v>
      </c>
      <c r="P134" s="943">
        <f>+'15. mell. Cinkotai H.'!F44</f>
        <v>98317477</v>
      </c>
      <c r="Q134" s="907">
        <f t="shared" si="47"/>
        <v>0</v>
      </c>
      <c r="R134" s="896">
        <v>44</v>
      </c>
    </row>
    <row r="135" spans="1:18">
      <c r="A135" s="930" t="s">
        <v>39</v>
      </c>
      <c r="B135" s="933" t="s">
        <v>318</v>
      </c>
      <c r="C135" s="910">
        <v>0</v>
      </c>
      <c r="D135" s="910">
        <v>0</v>
      </c>
      <c r="E135" s="910">
        <v>0</v>
      </c>
      <c r="F135" s="910">
        <v>0</v>
      </c>
      <c r="G135" s="910">
        <v>0</v>
      </c>
      <c r="H135" s="910">
        <v>0</v>
      </c>
      <c r="I135" s="910">
        <v>0</v>
      </c>
      <c r="J135" s="910">
        <v>0</v>
      </c>
      <c r="K135" s="910">
        <v>0</v>
      </c>
      <c r="L135" s="910">
        <v>0</v>
      </c>
      <c r="M135" s="910">
        <v>0</v>
      </c>
      <c r="N135" s="910">
        <v>0</v>
      </c>
      <c r="O135" s="911">
        <f t="shared" si="52"/>
        <v>0</v>
      </c>
      <c r="P135" s="943">
        <f>+'15. mell. Cinkotai H.'!F45</f>
        <v>0</v>
      </c>
      <c r="Q135" s="907">
        <f t="shared" si="47"/>
        <v>0</v>
      </c>
      <c r="R135" s="896">
        <v>45</v>
      </c>
    </row>
    <row r="136" spans="1:18">
      <c r="A136" s="930" t="s">
        <v>41</v>
      </c>
      <c r="B136" s="933" t="s">
        <v>2855</v>
      </c>
      <c r="C136" s="910">
        <v>0</v>
      </c>
      <c r="D136" s="910">
        <v>0</v>
      </c>
      <c r="E136" s="910">
        <v>0</v>
      </c>
      <c r="F136" s="910">
        <v>0</v>
      </c>
      <c r="G136" s="910">
        <v>0</v>
      </c>
      <c r="H136" s="910">
        <v>0</v>
      </c>
      <c r="I136" s="910">
        <v>0</v>
      </c>
      <c r="J136" s="910">
        <v>0</v>
      </c>
      <c r="K136" s="910">
        <v>0</v>
      </c>
      <c r="L136" s="910">
        <v>0</v>
      </c>
      <c r="M136" s="910">
        <v>0</v>
      </c>
      <c r="N136" s="910">
        <v>0</v>
      </c>
      <c r="O136" s="911">
        <f t="shared" si="52"/>
        <v>0</v>
      </c>
      <c r="P136" s="943">
        <f>+'15. mell. Cinkotai H.'!F46</f>
        <v>0</v>
      </c>
      <c r="Q136" s="907">
        <f t="shared" si="47"/>
        <v>0</v>
      </c>
      <c r="R136" s="896">
        <v>46</v>
      </c>
    </row>
    <row r="137" spans="1:18">
      <c r="A137" s="930" t="s">
        <v>314</v>
      </c>
      <c r="B137" s="933" t="s">
        <v>82</v>
      </c>
      <c r="C137" s="910">
        <v>0</v>
      </c>
      <c r="D137" s="910">
        <v>0</v>
      </c>
      <c r="E137" s="910">
        <v>0</v>
      </c>
      <c r="F137" s="910">
        <v>0</v>
      </c>
      <c r="G137" s="910">
        <v>0</v>
      </c>
      <c r="H137" s="910">
        <v>0</v>
      </c>
      <c r="I137" s="910">
        <v>0</v>
      </c>
      <c r="J137" s="910">
        <v>0</v>
      </c>
      <c r="K137" s="910">
        <v>0</v>
      </c>
      <c r="L137" s="910">
        <v>0</v>
      </c>
      <c r="M137" s="910">
        <v>233300</v>
      </c>
      <c r="N137" s="910">
        <v>262000</v>
      </c>
      <c r="O137" s="911">
        <f t="shared" si="52"/>
        <v>495300</v>
      </c>
      <c r="P137" s="943">
        <f>+'15. mell. Cinkotai H.'!F48</f>
        <v>495300</v>
      </c>
      <c r="Q137" s="907">
        <f t="shared" si="47"/>
        <v>0</v>
      </c>
      <c r="R137" s="896">
        <v>48</v>
      </c>
    </row>
    <row r="138" spans="1:18">
      <c r="A138" s="930" t="s">
        <v>402</v>
      </c>
      <c r="B138" s="931" t="s">
        <v>344</v>
      </c>
      <c r="C138" s="910">
        <v>0</v>
      </c>
      <c r="D138" s="910">
        <v>0</v>
      </c>
      <c r="E138" s="910">
        <v>0</v>
      </c>
      <c r="F138" s="910">
        <v>0</v>
      </c>
      <c r="G138" s="910">
        <v>0</v>
      </c>
      <c r="H138" s="910">
        <v>0</v>
      </c>
      <c r="I138" s="910">
        <v>0</v>
      </c>
      <c r="J138" s="910">
        <v>0</v>
      </c>
      <c r="K138" s="910">
        <v>0</v>
      </c>
      <c r="L138" s="910">
        <v>0</v>
      </c>
      <c r="M138" s="910">
        <v>0</v>
      </c>
      <c r="N138" s="910">
        <v>0</v>
      </c>
      <c r="O138" s="911">
        <f t="shared" si="52"/>
        <v>0</v>
      </c>
      <c r="P138" s="943">
        <f>+'15. mell. Cinkotai H.'!F49</f>
        <v>0</v>
      </c>
      <c r="Q138" s="907">
        <f t="shared" si="47"/>
        <v>0</v>
      </c>
      <c r="R138" s="896">
        <v>49</v>
      </c>
    </row>
    <row r="139" spans="1:18">
      <c r="A139" s="930" t="s">
        <v>404</v>
      </c>
      <c r="B139" s="933" t="s">
        <v>346</v>
      </c>
      <c r="C139" s="910">
        <v>0</v>
      </c>
      <c r="D139" s="910">
        <v>0</v>
      </c>
      <c r="E139" s="910">
        <v>0</v>
      </c>
      <c r="F139" s="910">
        <v>0</v>
      </c>
      <c r="G139" s="910">
        <v>0</v>
      </c>
      <c r="H139" s="910">
        <v>0</v>
      </c>
      <c r="I139" s="910">
        <v>0</v>
      </c>
      <c r="J139" s="910">
        <v>0</v>
      </c>
      <c r="K139" s="910">
        <v>0</v>
      </c>
      <c r="L139" s="910">
        <v>0</v>
      </c>
      <c r="M139" s="910">
        <v>0</v>
      </c>
      <c r="N139" s="910">
        <v>0</v>
      </c>
      <c r="O139" s="911">
        <f t="shared" si="52"/>
        <v>0</v>
      </c>
      <c r="P139" s="943">
        <f>+'15. mell. Cinkotai H.'!F50</f>
        <v>0</v>
      </c>
      <c r="Q139" s="907">
        <f t="shared" si="47"/>
        <v>0</v>
      </c>
      <c r="R139" s="896">
        <v>50</v>
      </c>
    </row>
    <row r="140" spans="1:18">
      <c r="A140" s="930" t="s">
        <v>407</v>
      </c>
      <c r="B140" s="933" t="s">
        <v>2851</v>
      </c>
      <c r="C140" s="934">
        <v>0</v>
      </c>
      <c r="D140" s="934">
        <v>0</v>
      </c>
      <c r="E140" s="934">
        <v>0</v>
      </c>
      <c r="F140" s="934">
        <v>0</v>
      </c>
      <c r="G140" s="934">
        <v>0</v>
      </c>
      <c r="H140" s="934">
        <v>0</v>
      </c>
      <c r="I140" s="934">
        <v>0</v>
      </c>
      <c r="J140" s="934">
        <v>0</v>
      </c>
      <c r="K140" s="934">
        <v>0</v>
      </c>
      <c r="L140" s="934">
        <v>0</v>
      </c>
      <c r="M140" s="934">
        <v>0</v>
      </c>
      <c r="N140" s="934">
        <v>0</v>
      </c>
      <c r="O140" s="935">
        <f t="shared" si="52"/>
        <v>0</v>
      </c>
      <c r="P140" s="923">
        <v>0</v>
      </c>
      <c r="Q140" s="907">
        <f t="shared" si="47"/>
        <v>0</v>
      </c>
      <c r="R140" s="896">
        <v>0</v>
      </c>
    </row>
    <row r="141" spans="1:18">
      <c r="A141" s="930" t="s">
        <v>409</v>
      </c>
      <c r="B141" s="933" t="s">
        <v>2697</v>
      </c>
      <c r="C141" s="934">
        <v>0</v>
      </c>
      <c r="D141" s="934">
        <v>0</v>
      </c>
      <c r="E141" s="934">
        <v>0</v>
      </c>
      <c r="F141" s="934">
        <v>0</v>
      </c>
      <c r="G141" s="934">
        <v>0</v>
      </c>
      <c r="H141" s="934">
        <v>0</v>
      </c>
      <c r="I141" s="934">
        <v>0</v>
      </c>
      <c r="J141" s="934">
        <v>0</v>
      </c>
      <c r="K141" s="934">
        <v>0</v>
      </c>
      <c r="L141" s="934">
        <v>0</v>
      </c>
      <c r="M141" s="934">
        <v>0</v>
      </c>
      <c r="N141" s="934">
        <v>0</v>
      </c>
      <c r="O141" s="935">
        <f t="shared" si="52"/>
        <v>0</v>
      </c>
      <c r="P141" s="923">
        <v>0</v>
      </c>
      <c r="Q141" s="907">
        <f t="shared" si="47"/>
        <v>0</v>
      </c>
      <c r="R141" s="896">
        <v>0</v>
      </c>
    </row>
    <row r="142" spans="1:18">
      <c r="A142" s="939" t="s">
        <v>410</v>
      </c>
      <c r="B142" s="936" t="s">
        <v>2852</v>
      </c>
      <c r="C142" s="917">
        <f t="shared" ref="C142:N142" si="55">SUM(C132:C141)</f>
        <v>49269905</v>
      </c>
      <c r="D142" s="917">
        <f t="shared" si="55"/>
        <v>49269905</v>
      </c>
      <c r="E142" s="917">
        <f t="shared" si="55"/>
        <v>49269905</v>
      </c>
      <c r="F142" s="917">
        <f t="shared" si="55"/>
        <v>49269905</v>
      </c>
      <c r="G142" s="917">
        <f t="shared" si="55"/>
        <v>49269905</v>
      </c>
      <c r="H142" s="917">
        <f t="shared" si="55"/>
        <v>49269905</v>
      </c>
      <c r="I142" s="917">
        <f t="shared" si="55"/>
        <v>49269905</v>
      </c>
      <c r="J142" s="917">
        <f t="shared" si="55"/>
        <v>49269905</v>
      </c>
      <c r="K142" s="917">
        <f t="shared" si="55"/>
        <v>49269905</v>
      </c>
      <c r="L142" s="917">
        <f t="shared" si="55"/>
        <v>49269905</v>
      </c>
      <c r="M142" s="917">
        <f t="shared" si="55"/>
        <v>49503205</v>
      </c>
      <c r="N142" s="917">
        <f t="shared" si="55"/>
        <v>49531905</v>
      </c>
      <c r="O142" s="918">
        <f t="shared" si="52"/>
        <v>591734160</v>
      </c>
      <c r="P142" s="943">
        <f>+'15. mell. Cinkotai H.'!F52</f>
        <v>591734160</v>
      </c>
      <c r="Q142" s="907">
        <f t="shared" si="47"/>
        <v>0</v>
      </c>
      <c r="R142" s="895">
        <v>52</v>
      </c>
    </row>
    <row r="143" spans="1:18">
      <c r="A143" s="939" t="s">
        <v>411</v>
      </c>
      <c r="B143" s="940" t="s">
        <v>2853</v>
      </c>
      <c r="C143" s="941">
        <f>C130-C142</f>
        <v>42315.022473327816</v>
      </c>
      <c r="D143" s="941">
        <f t="shared" ref="D143:N143" si="56">C143+D130-D142</f>
        <v>83590.044946655631</v>
      </c>
      <c r="E143" s="941">
        <f t="shared" si="56"/>
        <v>124865.06741998345</v>
      </c>
      <c r="F143" s="941">
        <f t="shared" si="56"/>
        <v>166140.08989331126</v>
      </c>
      <c r="G143" s="941">
        <f t="shared" si="56"/>
        <v>207415.11236663908</v>
      </c>
      <c r="H143" s="941">
        <f t="shared" si="56"/>
        <v>248690.13483996689</v>
      </c>
      <c r="I143" s="941">
        <f t="shared" si="56"/>
        <v>289965.15731329471</v>
      </c>
      <c r="J143" s="941">
        <f t="shared" si="56"/>
        <v>331240.17978662252</v>
      </c>
      <c r="K143" s="941">
        <f t="shared" si="56"/>
        <v>372515.20225995034</v>
      </c>
      <c r="L143" s="941">
        <f t="shared" si="56"/>
        <v>413790.22473327816</v>
      </c>
      <c r="M143" s="941">
        <f t="shared" si="56"/>
        <v>221765.24720660597</v>
      </c>
      <c r="N143" s="941">
        <f t="shared" si="56"/>
        <v>0.26967993378639221</v>
      </c>
      <c r="O143" s="942">
        <f>O130-O142</f>
        <v>0.26967990398406982</v>
      </c>
      <c r="Q143" s="907"/>
      <c r="R143" s="943">
        <f>+P130-P142</f>
        <v>0.26968002319335938</v>
      </c>
    </row>
    <row r="144" spans="1:18">
      <c r="Q144" s="907"/>
    </row>
    <row r="145" spans="1:18" ht="31.5" customHeight="1">
      <c r="A145" s="3834" t="s">
        <v>3776</v>
      </c>
      <c r="B145" s="3834"/>
      <c r="C145" s="3834"/>
      <c r="D145" s="3834"/>
      <c r="E145" s="3834"/>
      <c r="F145" s="3834"/>
      <c r="G145" s="3834"/>
      <c r="H145" s="3834"/>
      <c r="I145" s="3834"/>
      <c r="J145" s="3834"/>
      <c r="K145" s="3834"/>
      <c r="L145" s="3834"/>
      <c r="M145" s="3834"/>
      <c r="N145" s="3834"/>
      <c r="O145" s="3834"/>
      <c r="Q145" s="907"/>
    </row>
    <row r="146" spans="1:18">
      <c r="O146" s="924" t="s">
        <v>3300</v>
      </c>
      <c r="Q146" s="907"/>
    </row>
    <row r="147" spans="1:18" ht="24">
      <c r="A147" s="899" t="s">
        <v>2726</v>
      </c>
      <c r="B147" s="900" t="s">
        <v>136</v>
      </c>
      <c r="C147" s="900" t="s">
        <v>2837</v>
      </c>
      <c r="D147" s="900" t="s">
        <v>2838</v>
      </c>
      <c r="E147" s="900" t="s">
        <v>2839</v>
      </c>
      <c r="F147" s="900" t="s">
        <v>2840</v>
      </c>
      <c r="G147" s="900" t="s">
        <v>2841</v>
      </c>
      <c r="H147" s="900" t="s">
        <v>2842</v>
      </c>
      <c r="I147" s="900" t="s">
        <v>2843</v>
      </c>
      <c r="J147" s="900" t="s">
        <v>2844</v>
      </c>
      <c r="K147" s="900" t="s">
        <v>2845</v>
      </c>
      <c r="L147" s="900" t="s">
        <v>2846</v>
      </c>
      <c r="M147" s="900" t="s">
        <v>2847</v>
      </c>
      <c r="N147" s="900" t="s">
        <v>2848</v>
      </c>
      <c r="O147" s="901" t="s">
        <v>66</v>
      </c>
      <c r="Q147" s="907"/>
    </row>
    <row r="148" spans="1:18">
      <c r="A148" s="925" t="s">
        <v>6</v>
      </c>
      <c r="B148" s="3833" t="s">
        <v>390</v>
      </c>
      <c r="C148" s="3833"/>
      <c r="D148" s="3833"/>
      <c r="E148" s="3833"/>
      <c r="F148" s="3833"/>
      <c r="G148" s="3833"/>
      <c r="H148" s="3833"/>
      <c r="I148" s="3833"/>
      <c r="J148" s="3833"/>
      <c r="K148" s="3833"/>
      <c r="L148" s="3833"/>
      <c r="M148" s="3833"/>
      <c r="N148" s="3833"/>
      <c r="O148" s="3833"/>
      <c r="Q148" s="907"/>
    </row>
    <row r="149" spans="1:18" ht="22.5">
      <c r="A149" s="926" t="s">
        <v>12</v>
      </c>
      <c r="B149" s="927" t="s">
        <v>3385</v>
      </c>
      <c r="C149" s="928">
        <v>0</v>
      </c>
      <c r="D149" s="928">
        <v>0</v>
      </c>
      <c r="E149" s="928">
        <v>0</v>
      </c>
      <c r="F149" s="928">
        <v>0</v>
      </c>
      <c r="G149" s="928">
        <v>0</v>
      </c>
      <c r="H149" s="928">
        <v>0</v>
      </c>
      <c r="I149" s="928">
        <v>0</v>
      </c>
      <c r="J149" s="928">
        <v>0</v>
      </c>
      <c r="K149" s="928">
        <v>0</v>
      </c>
      <c r="L149" s="928">
        <v>0</v>
      </c>
      <c r="M149" s="928">
        <v>0</v>
      </c>
      <c r="N149" s="928">
        <v>0</v>
      </c>
      <c r="O149" s="929">
        <f t="shared" ref="O149:O158" si="57">SUM(C149:N149)</f>
        <v>0</v>
      </c>
      <c r="P149" s="923">
        <v>0</v>
      </c>
      <c r="Q149" s="907">
        <f t="shared" ref="Q149:Q170" si="58">O149-P149</f>
        <v>0</v>
      </c>
      <c r="R149" s="895">
        <v>0</v>
      </c>
    </row>
    <row r="150" spans="1:18">
      <c r="A150" s="930" t="s">
        <v>14</v>
      </c>
      <c r="B150" s="931" t="s">
        <v>3386</v>
      </c>
      <c r="C150" s="910">
        <v>0</v>
      </c>
      <c r="D150" s="910">
        <v>0</v>
      </c>
      <c r="E150" s="910">
        <v>0</v>
      </c>
      <c r="F150" s="910">
        <v>0</v>
      </c>
      <c r="G150" s="910">
        <v>0</v>
      </c>
      <c r="H150" s="910">
        <v>0</v>
      </c>
      <c r="I150" s="910">
        <v>0</v>
      </c>
      <c r="J150" s="910">
        <v>0</v>
      </c>
      <c r="K150" s="910">
        <v>0</v>
      </c>
      <c r="L150" s="910">
        <v>0</v>
      </c>
      <c r="M150" s="910">
        <v>0</v>
      </c>
      <c r="N150" s="910">
        <v>0</v>
      </c>
      <c r="O150" s="911">
        <f t="shared" si="57"/>
        <v>0</v>
      </c>
      <c r="P150" s="943">
        <f>+'16. mell. Napsugár'!F23</f>
        <v>0</v>
      </c>
      <c r="Q150" s="907">
        <f t="shared" si="58"/>
        <v>0</v>
      </c>
      <c r="R150" s="896">
        <v>23</v>
      </c>
    </row>
    <row r="151" spans="1:18">
      <c r="A151" s="930" t="s">
        <v>15</v>
      </c>
      <c r="B151" s="932" t="s">
        <v>2849</v>
      </c>
      <c r="C151" s="913">
        <v>0</v>
      </c>
      <c r="D151" s="913">
        <v>0</v>
      </c>
      <c r="E151" s="913">
        <v>0</v>
      </c>
      <c r="F151" s="913">
        <v>0</v>
      </c>
      <c r="G151" s="913">
        <v>0</v>
      </c>
      <c r="H151" s="913">
        <v>0</v>
      </c>
      <c r="I151" s="913">
        <v>0</v>
      </c>
      <c r="J151" s="913">
        <v>0</v>
      </c>
      <c r="K151" s="913">
        <v>0</v>
      </c>
      <c r="L151" s="913">
        <v>0</v>
      </c>
      <c r="M151" s="913">
        <v>0</v>
      </c>
      <c r="N151" s="913">
        <v>0</v>
      </c>
      <c r="O151" s="914">
        <f t="shared" si="57"/>
        <v>0</v>
      </c>
      <c r="P151" s="943">
        <f>+'16. mell. Napsugár'!F27</f>
        <v>0</v>
      </c>
      <c r="Q151" s="907">
        <f t="shared" si="58"/>
        <v>0</v>
      </c>
      <c r="R151" s="896">
        <v>27</v>
      </c>
    </row>
    <row r="152" spans="1:18">
      <c r="A152" s="930" t="s">
        <v>17</v>
      </c>
      <c r="B152" s="933" t="s">
        <v>393</v>
      </c>
      <c r="C152" s="934">
        <v>0</v>
      </c>
      <c r="D152" s="934">
        <v>0</v>
      </c>
      <c r="E152" s="934">
        <v>0</v>
      </c>
      <c r="F152" s="934">
        <v>0</v>
      </c>
      <c r="G152" s="934">
        <v>0</v>
      </c>
      <c r="H152" s="934">
        <v>0</v>
      </c>
      <c r="I152" s="934">
        <v>0</v>
      </c>
      <c r="J152" s="934">
        <v>0</v>
      </c>
      <c r="K152" s="934">
        <v>0</v>
      </c>
      <c r="L152" s="934">
        <v>0</v>
      </c>
      <c r="M152" s="934">
        <v>0</v>
      </c>
      <c r="N152" s="934">
        <v>0</v>
      </c>
      <c r="O152" s="935">
        <f t="shared" si="57"/>
        <v>0</v>
      </c>
      <c r="P152" s="943">
        <f>+'16. mell. Napsugár'!F31</f>
        <v>0</v>
      </c>
      <c r="Q152" s="907">
        <f t="shared" si="58"/>
        <v>0</v>
      </c>
      <c r="R152" s="896">
        <v>31</v>
      </c>
    </row>
    <row r="153" spans="1:18">
      <c r="A153" s="930" t="s">
        <v>19</v>
      </c>
      <c r="B153" s="933" t="s">
        <v>149</v>
      </c>
      <c r="C153" s="910">
        <f t="shared" ref="C153:N153" si="59">+$P$153/12</f>
        <v>3175145</v>
      </c>
      <c r="D153" s="910">
        <f t="shared" si="59"/>
        <v>3175145</v>
      </c>
      <c r="E153" s="910">
        <f t="shared" si="59"/>
        <v>3175145</v>
      </c>
      <c r="F153" s="910">
        <f t="shared" si="59"/>
        <v>3175145</v>
      </c>
      <c r="G153" s="910">
        <f t="shared" si="59"/>
        <v>3175145</v>
      </c>
      <c r="H153" s="910">
        <f t="shared" si="59"/>
        <v>3175145</v>
      </c>
      <c r="I153" s="910">
        <f t="shared" si="59"/>
        <v>3175145</v>
      </c>
      <c r="J153" s="910">
        <f t="shared" si="59"/>
        <v>3175145</v>
      </c>
      <c r="K153" s="910">
        <f t="shared" si="59"/>
        <v>3175145</v>
      </c>
      <c r="L153" s="910">
        <f t="shared" si="59"/>
        <v>3175145</v>
      </c>
      <c r="M153" s="910">
        <f t="shared" si="59"/>
        <v>3175145</v>
      </c>
      <c r="N153" s="910">
        <f t="shared" si="59"/>
        <v>3175145</v>
      </c>
      <c r="O153" s="911">
        <f t="shared" si="57"/>
        <v>38101740</v>
      </c>
      <c r="P153" s="943">
        <f>+'16. mell. Napsugár'!F8</f>
        <v>38101740</v>
      </c>
      <c r="Q153" s="907">
        <f t="shared" si="58"/>
        <v>0</v>
      </c>
      <c r="R153" s="896">
        <v>8</v>
      </c>
    </row>
    <row r="154" spans="1:18">
      <c r="A154" s="930" t="s">
        <v>21</v>
      </c>
      <c r="B154" s="933" t="s">
        <v>431</v>
      </c>
      <c r="C154" s="910">
        <v>0</v>
      </c>
      <c r="D154" s="910">
        <v>0</v>
      </c>
      <c r="E154" s="910">
        <v>0</v>
      </c>
      <c r="F154" s="910">
        <v>0</v>
      </c>
      <c r="G154" s="910">
        <v>0</v>
      </c>
      <c r="H154" s="910">
        <v>0</v>
      </c>
      <c r="I154" s="910">
        <v>0</v>
      </c>
      <c r="J154" s="910">
        <v>0</v>
      </c>
      <c r="K154" s="910">
        <v>0</v>
      </c>
      <c r="L154" s="910">
        <v>0</v>
      </c>
      <c r="M154" s="910">
        <v>0</v>
      </c>
      <c r="N154" s="910">
        <v>0</v>
      </c>
      <c r="O154" s="911">
        <f t="shared" si="57"/>
        <v>0</v>
      </c>
      <c r="P154" s="943">
        <f>+'16. mell. Napsugár'!F20</f>
        <v>0</v>
      </c>
      <c r="Q154" s="907">
        <f t="shared" si="58"/>
        <v>0</v>
      </c>
      <c r="R154" s="896">
        <v>20</v>
      </c>
    </row>
    <row r="155" spans="1:18">
      <c r="A155" s="930" t="s">
        <v>23</v>
      </c>
      <c r="B155" s="933" t="s">
        <v>153</v>
      </c>
      <c r="C155" s="910">
        <v>0</v>
      </c>
      <c r="D155" s="910">
        <v>0</v>
      </c>
      <c r="E155" s="910">
        <v>0</v>
      </c>
      <c r="F155" s="910">
        <v>0</v>
      </c>
      <c r="G155" s="910">
        <v>0</v>
      </c>
      <c r="H155" s="910">
        <v>0</v>
      </c>
      <c r="I155" s="910">
        <v>0</v>
      </c>
      <c r="J155" s="910">
        <v>0</v>
      </c>
      <c r="K155" s="910">
        <v>0</v>
      </c>
      <c r="L155" s="910">
        <v>0</v>
      </c>
      <c r="M155" s="910">
        <v>0</v>
      </c>
      <c r="N155" s="910">
        <v>0</v>
      </c>
      <c r="O155" s="911">
        <f t="shared" si="57"/>
        <v>0</v>
      </c>
      <c r="P155" s="943">
        <f>+'16. mell. Napsugár'!F29</f>
        <v>0</v>
      </c>
      <c r="Q155" s="907">
        <f t="shared" si="58"/>
        <v>0</v>
      </c>
      <c r="R155" s="896">
        <v>29</v>
      </c>
    </row>
    <row r="156" spans="1:18">
      <c r="A156" s="930" t="s">
        <v>25</v>
      </c>
      <c r="B156" s="931" t="s">
        <v>1281</v>
      </c>
      <c r="C156" s="910">
        <v>0</v>
      </c>
      <c r="D156" s="910">
        <v>0</v>
      </c>
      <c r="E156" s="910">
        <v>0</v>
      </c>
      <c r="F156" s="910">
        <v>0</v>
      </c>
      <c r="G156" s="910">
        <v>0</v>
      </c>
      <c r="H156" s="910">
        <v>0</v>
      </c>
      <c r="I156" s="910">
        <v>0</v>
      </c>
      <c r="J156" s="910">
        <v>0</v>
      </c>
      <c r="K156" s="910">
        <v>0</v>
      </c>
      <c r="L156" s="910">
        <v>0</v>
      </c>
      <c r="M156" s="910">
        <v>0</v>
      </c>
      <c r="N156" s="910">
        <v>0</v>
      </c>
      <c r="O156" s="911">
        <f t="shared" si="57"/>
        <v>0</v>
      </c>
      <c r="P156" s="943">
        <f>+'16. mell. Napsugár'!F30</f>
        <v>0</v>
      </c>
      <c r="Q156" s="907">
        <f t="shared" si="58"/>
        <v>0</v>
      </c>
      <c r="R156" s="896">
        <v>30</v>
      </c>
    </row>
    <row r="157" spans="1:18">
      <c r="A157" s="930" t="s">
        <v>27</v>
      </c>
      <c r="B157" s="933" t="s">
        <v>1257</v>
      </c>
      <c r="C157" s="910">
        <f>+$P$157/12+800</f>
        <v>59927989.916666664</v>
      </c>
      <c r="D157" s="910">
        <f>+$P$157/12+800</f>
        <v>59927989.916666664</v>
      </c>
      <c r="E157" s="910">
        <f t="shared" ref="E157:M157" si="60">+$P$157/12</f>
        <v>59927189.916666664</v>
      </c>
      <c r="F157" s="910">
        <f t="shared" si="60"/>
        <v>59927189.916666664</v>
      </c>
      <c r="G157" s="910">
        <f t="shared" si="60"/>
        <v>59927189.916666664</v>
      </c>
      <c r="H157" s="910">
        <f t="shared" si="60"/>
        <v>59927189.916666664</v>
      </c>
      <c r="I157" s="910">
        <f t="shared" si="60"/>
        <v>59927189.916666664</v>
      </c>
      <c r="J157" s="910">
        <f t="shared" si="60"/>
        <v>59927189.916666664</v>
      </c>
      <c r="K157" s="910">
        <f t="shared" si="60"/>
        <v>59927189.916666664</v>
      </c>
      <c r="L157" s="910">
        <f t="shared" si="60"/>
        <v>59927189.916666664</v>
      </c>
      <c r="M157" s="910">
        <f t="shared" si="60"/>
        <v>59927189.916666664</v>
      </c>
      <c r="N157" s="910">
        <f>+$P$157/12-1600</f>
        <v>59925589.916666664</v>
      </c>
      <c r="O157" s="948">
        <f t="shared" si="57"/>
        <v>719126278.99999988</v>
      </c>
      <c r="P157" s="943">
        <f>+'16. mell. Napsugár'!F36</f>
        <v>719126279</v>
      </c>
      <c r="Q157" s="907">
        <f t="shared" si="58"/>
        <v>0</v>
      </c>
      <c r="R157" s="896">
        <v>36</v>
      </c>
    </row>
    <row r="158" spans="1:18">
      <c r="A158" s="925" t="s">
        <v>29</v>
      </c>
      <c r="B158" s="936" t="s">
        <v>2850</v>
      </c>
      <c r="C158" s="917">
        <f t="shared" ref="C158:N158" si="61">SUM(C149:C157)</f>
        <v>63103134.916666664</v>
      </c>
      <c r="D158" s="917">
        <f t="shared" si="61"/>
        <v>63103134.916666664</v>
      </c>
      <c r="E158" s="917">
        <f t="shared" si="61"/>
        <v>63102334.916666664</v>
      </c>
      <c r="F158" s="917">
        <f t="shared" si="61"/>
        <v>63102334.916666664</v>
      </c>
      <c r="G158" s="917">
        <f t="shared" si="61"/>
        <v>63102334.916666664</v>
      </c>
      <c r="H158" s="917">
        <f t="shared" si="61"/>
        <v>63102334.916666664</v>
      </c>
      <c r="I158" s="917">
        <f t="shared" si="61"/>
        <v>63102334.916666664</v>
      </c>
      <c r="J158" s="917">
        <f t="shared" si="61"/>
        <v>63102334.916666664</v>
      </c>
      <c r="K158" s="917">
        <f t="shared" si="61"/>
        <v>63102334.916666664</v>
      </c>
      <c r="L158" s="917">
        <f t="shared" si="61"/>
        <v>63102334.916666664</v>
      </c>
      <c r="M158" s="917">
        <f t="shared" si="61"/>
        <v>63102334.916666664</v>
      </c>
      <c r="N158" s="949">
        <f t="shared" si="61"/>
        <v>63100734.916666664</v>
      </c>
      <c r="O158" s="950">
        <f t="shared" si="57"/>
        <v>757228018.99999988</v>
      </c>
      <c r="P158" s="943">
        <f>+'16. mell. Napsugár'!F37</f>
        <v>757228019</v>
      </c>
      <c r="Q158" s="907">
        <f t="shared" si="58"/>
        <v>0</v>
      </c>
      <c r="R158" s="895">
        <v>37</v>
      </c>
    </row>
    <row r="159" spans="1:18">
      <c r="A159" s="925" t="s">
        <v>31</v>
      </c>
      <c r="B159" s="3833" t="s">
        <v>391</v>
      </c>
      <c r="C159" s="3833"/>
      <c r="D159" s="3833"/>
      <c r="E159" s="3833"/>
      <c r="F159" s="3833"/>
      <c r="G159" s="3833"/>
      <c r="H159" s="3833"/>
      <c r="I159" s="3833"/>
      <c r="J159" s="3833"/>
      <c r="K159" s="3833"/>
      <c r="L159" s="3833"/>
      <c r="M159" s="3833"/>
      <c r="N159" s="3833"/>
      <c r="O159" s="3833"/>
      <c r="Q159" s="907">
        <f t="shared" si="58"/>
        <v>0</v>
      </c>
      <c r="R159" s="895"/>
    </row>
    <row r="160" spans="1:18">
      <c r="A160" s="937" t="s">
        <v>33</v>
      </c>
      <c r="B160" s="938" t="s">
        <v>9</v>
      </c>
      <c r="C160" s="910">
        <f t="shared" ref="C160:N160" si="62">+$P$160/12</f>
        <v>42673491.083333336</v>
      </c>
      <c r="D160" s="910">
        <f t="shared" si="62"/>
        <v>42673491.083333336</v>
      </c>
      <c r="E160" s="910">
        <f t="shared" si="62"/>
        <v>42673491.083333336</v>
      </c>
      <c r="F160" s="910">
        <f t="shared" si="62"/>
        <v>42673491.083333336</v>
      </c>
      <c r="G160" s="910">
        <f t="shared" si="62"/>
        <v>42673491.083333336</v>
      </c>
      <c r="H160" s="910">
        <f t="shared" si="62"/>
        <v>42673491.083333336</v>
      </c>
      <c r="I160" s="910">
        <f t="shared" si="62"/>
        <v>42673491.083333336</v>
      </c>
      <c r="J160" s="910">
        <f t="shared" si="62"/>
        <v>42673491.083333336</v>
      </c>
      <c r="K160" s="910">
        <f t="shared" si="62"/>
        <v>42673491.083333336</v>
      </c>
      <c r="L160" s="910">
        <f t="shared" si="62"/>
        <v>42673491.083333336</v>
      </c>
      <c r="M160" s="910">
        <f t="shared" si="62"/>
        <v>42673491.083333336</v>
      </c>
      <c r="N160" s="910">
        <f t="shared" si="62"/>
        <v>42673491.083333336</v>
      </c>
      <c r="O160" s="914">
        <f t="shared" ref="O160:O170" si="63">SUM(C160:N160)</f>
        <v>512081892.99999994</v>
      </c>
      <c r="P160" s="943">
        <f>+'16. mell. Napsugár'!F42</f>
        <v>512081893</v>
      </c>
      <c r="Q160" s="907">
        <f t="shared" si="58"/>
        <v>0</v>
      </c>
      <c r="R160" s="896">
        <v>42</v>
      </c>
    </row>
    <row r="161" spans="1:18" ht="22.5">
      <c r="A161" s="930" t="s">
        <v>35</v>
      </c>
      <c r="B161" s="931" t="s">
        <v>8</v>
      </c>
      <c r="C161" s="910">
        <f t="shared" ref="C161:N161" si="64">+$P$161/12</f>
        <v>6491880.166666667</v>
      </c>
      <c r="D161" s="910">
        <f t="shared" si="64"/>
        <v>6491880.166666667</v>
      </c>
      <c r="E161" s="910">
        <f t="shared" si="64"/>
        <v>6491880.166666667</v>
      </c>
      <c r="F161" s="910">
        <f t="shared" si="64"/>
        <v>6491880.166666667</v>
      </c>
      <c r="G161" s="910">
        <f t="shared" si="64"/>
        <v>6491880.166666667</v>
      </c>
      <c r="H161" s="910">
        <f t="shared" si="64"/>
        <v>6491880.166666667</v>
      </c>
      <c r="I161" s="910">
        <f t="shared" si="64"/>
        <v>6491880.166666667</v>
      </c>
      <c r="J161" s="910">
        <f t="shared" si="64"/>
        <v>6491880.166666667</v>
      </c>
      <c r="K161" s="910">
        <f t="shared" si="64"/>
        <v>6491880.166666667</v>
      </c>
      <c r="L161" s="910">
        <f t="shared" si="64"/>
        <v>6491880.166666667</v>
      </c>
      <c r="M161" s="910">
        <f t="shared" si="64"/>
        <v>6491880.166666667</v>
      </c>
      <c r="N161" s="910">
        <f t="shared" si="64"/>
        <v>6491880.166666667</v>
      </c>
      <c r="O161" s="911">
        <f t="shared" si="63"/>
        <v>77902562</v>
      </c>
      <c r="P161" s="943">
        <f>+'16. mell. Napsugár'!F43</f>
        <v>77902562</v>
      </c>
      <c r="Q161" s="907">
        <f t="shared" si="58"/>
        <v>0</v>
      </c>
      <c r="R161" s="896">
        <v>43</v>
      </c>
    </row>
    <row r="162" spans="1:18">
      <c r="A162" s="930" t="s">
        <v>37</v>
      </c>
      <c r="B162" s="933" t="s">
        <v>317</v>
      </c>
      <c r="C162" s="910">
        <f t="shared" ref="C162:N162" si="65">+$P$162/12</f>
        <v>13871241.166666666</v>
      </c>
      <c r="D162" s="910">
        <f t="shared" si="65"/>
        <v>13871241.166666666</v>
      </c>
      <c r="E162" s="910">
        <f t="shared" si="65"/>
        <v>13871241.166666666</v>
      </c>
      <c r="F162" s="910">
        <f t="shared" si="65"/>
        <v>13871241.166666666</v>
      </c>
      <c r="G162" s="910">
        <f t="shared" si="65"/>
        <v>13871241.166666666</v>
      </c>
      <c r="H162" s="910">
        <f t="shared" si="65"/>
        <v>13871241.166666666</v>
      </c>
      <c r="I162" s="910">
        <f t="shared" si="65"/>
        <v>13871241.166666666</v>
      </c>
      <c r="J162" s="910">
        <f t="shared" si="65"/>
        <v>13871241.166666666</v>
      </c>
      <c r="K162" s="910">
        <f t="shared" si="65"/>
        <v>13871241.166666666</v>
      </c>
      <c r="L162" s="910">
        <f t="shared" si="65"/>
        <v>13871241.166666666</v>
      </c>
      <c r="M162" s="910">
        <f t="shared" si="65"/>
        <v>13871241.166666666</v>
      </c>
      <c r="N162" s="910">
        <f t="shared" si="65"/>
        <v>13871241.166666666</v>
      </c>
      <c r="O162" s="911">
        <f t="shared" si="63"/>
        <v>166454894</v>
      </c>
      <c r="P162" s="943">
        <f>+'16. mell. Napsugár'!F44</f>
        <v>166454894</v>
      </c>
      <c r="Q162" s="907">
        <f t="shared" si="58"/>
        <v>0</v>
      </c>
      <c r="R162" s="896">
        <v>44</v>
      </c>
    </row>
    <row r="163" spans="1:18">
      <c r="A163" s="930" t="s">
        <v>39</v>
      </c>
      <c r="B163" s="933" t="s">
        <v>318</v>
      </c>
      <c r="C163" s="910">
        <v>0</v>
      </c>
      <c r="D163" s="910">
        <v>0</v>
      </c>
      <c r="E163" s="910">
        <v>0</v>
      </c>
      <c r="F163" s="910">
        <v>0</v>
      </c>
      <c r="G163" s="910">
        <v>0</v>
      </c>
      <c r="H163" s="910">
        <v>0</v>
      </c>
      <c r="I163" s="910">
        <v>0</v>
      </c>
      <c r="J163" s="910">
        <v>0</v>
      </c>
      <c r="K163" s="910">
        <v>0</v>
      </c>
      <c r="L163" s="910">
        <v>0</v>
      </c>
      <c r="M163" s="910">
        <v>0</v>
      </c>
      <c r="N163" s="910">
        <v>0</v>
      </c>
      <c r="O163" s="911">
        <f t="shared" si="63"/>
        <v>0</v>
      </c>
      <c r="P163" s="943">
        <f>+'16. mell. Napsugár'!F45</f>
        <v>0</v>
      </c>
      <c r="Q163" s="907">
        <f t="shared" si="58"/>
        <v>0</v>
      </c>
      <c r="R163" s="896">
        <v>45</v>
      </c>
    </row>
    <row r="164" spans="1:18">
      <c r="A164" s="930" t="s">
        <v>41</v>
      </c>
      <c r="B164" s="933" t="s">
        <v>2855</v>
      </c>
      <c r="C164" s="910">
        <v>0</v>
      </c>
      <c r="D164" s="910">
        <v>0</v>
      </c>
      <c r="E164" s="910">
        <v>0</v>
      </c>
      <c r="F164" s="910">
        <v>0</v>
      </c>
      <c r="G164" s="910">
        <v>0</v>
      </c>
      <c r="H164" s="910">
        <v>0</v>
      </c>
      <c r="I164" s="910">
        <v>0</v>
      </c>
      <c r="J164" s="910">
        <v>0</v>
      </c>
      <c r="K164" s="910">
        <v>0</v>
      </c>
      <c r="L164" s="910">
        <v>0</v>
      </c>
      <c r="M164" s="910">
        <v>0</v>
      </c>
      <c r="N164" s="910">
        <v>0</v>
      </c>
      <c r="O164" s="911">
        <f t="shared" si="63"/>
        <v>0</v>
      </c>
      <c r="P164" s="943">
        <f>+'16. mell. Napsugár'!F46</f>
        <v>0</v>
      </c>
      <c r="Q164" s="907">
        <f t="shared" si="58"/>
        <v>0</v>
      </c>
      <c r="R164" s="896">
        <v>46</v>
      </c>
    </row>
    <row r="165" spans="1:18">
      <c r="A165" s="930" t="s">
        <v>314</v>
      </c>
      <c r="B165" s="933" t="s">
        <v>82</v>
      </c>
      <c r="C165" s="910">
        <v>0</v>
      </c>
      <c r="D165" s="910">
        <v>0</v>
      </c>
      <c r="E165" s="910">
        <v>0</v>
      </c>
      <c r="F165" s="910">
        <v>0</v>
      </c>
      <c r="G165" s="910">
        <v>0</v>
      </c>
      <c r="H165" s="910">
        <v>0</v>
      </c>
      <c r="I165" s="910">
        <v>0</v>
      </c>
      <c r="J165" s="910">
        <v>300000</v>
      </c>
      <c r="K165" s="910">
        <v>200000</v>
      </c>
      <c r="L165" s="910">
        <v>50000</v>
      </c>
      <c r="M165" s="910">
        <v>152500</v>
      </c>
      <c r="N165" s="910">
        <v>86170</v>
      </c>
      <c r="O165" s="911">
        <f t="shared" si="63"/>
        <v>788670</v>
      </c>
      <c r="P165" s="943">
        <f>+'16. mell. Napsugár'!F48</f>
        <v>788670</v>
      </c>
      <c r="Q165" s="907">
        <f t="shared" si="58"/>
        <v>0</v>
      </c>
      <c r="R165" s="896">
        <v>48</v>
      </c>
    </row>
    <row r="166" spans="1:18">
      <c r="A166" s="930" t="s">
        <v>402</v>
      </c>
      <c r="B166" s="931" t="s">
        <v>344</v>
      </c>
      <c r="C166" s="910">
        <v>0</v>
      </c>
      <c r="D166" s="910">
        <v>0</v>
      </c>
      <c r="E166" s="910">
        <v>0</v>
      </c>
      <c r="F166" s="910">
        <v>0</v>
      </c>
      <c r="G166" s="910">
        <v>0</v>
      </c>
      <c r="H166" s="910">
        <v>0</v>
      </c>
      <c r="I166" s="910">
        <v>0</v>
      </c>
      <c r="J166" s="910">
        <v>0</v>
      </c>
      <c r="K166" s="910">
        <v>0</v>
      </c>
      <c r="L166" s="910">
        <v>0</v>
      </c>
      <c r="M166" s="910">
        <v>0</v>
      </c>
      <c r="N166" s="910">
        <v>0</v>
      </c>
      <c r="O166" s="911">
        <f t="shared" si="63"/>
        <v>0</v>
      </c>
      <c r="P166" s="943">
        <f>+'16. mell. Napsugár'!F49</f>
        <v>0</v>
      </c>
      <c r="Q166" s="907">
        <f t="shared" si="58"/>
        <v>0</v>
      </c>
      <c r="R166" s="896">
        <v>49</v>
      </c>
    </row>
    <row r="167" spans="1:18">
      <c r="A167" s="930" t="s">
        <v>404</v>
      </c>
      <c r="B167" s="933" t="s">
        <v>346</v>
      </c>
      <c r="C167" s="910">
        <v>0</v>
      </c>
      <c r="D167" s="910">
        <v>0</v>
      </c>
      <c r="E167" s="910">
        <v>0</v>
      </c>
      <c r="F167" s="910">
        <v>0</v>
      </c>
      <c r="G167" s="910">
        <v>0</v>
      </c>
      <c r="H167" s="910">
        <v>0</v>
      </c>
      <c r="I167" s="910">
        <v>0</v>
      </c>
      <c r="J167" s="910">
        <v>0</v>
      </c>
      <c r="K167" s="910">
        <v>0</v>
      </c>
      <c r="L167" s="910">
        <v>0</v>
      </c>
      <c r="M167" s="910">
        <v>0</v>
      </c>
      <c r="N167" s="910">
        <v>0</v>
      </c>
      <c r="O167" s="911">
        <f t="shared" si="63"/>
        <v>0</v>
      </c>
      <c r="P167" s="943">
        <f>+'16. mell. Napsugár'!F50</f>
        <v>0</v>
      </c>
      <c r="Q167" s="907">
        <f t="shared" si="58"/>
        <v>0</v>
      </c>
      <c r="R167" s="896">
        <v>50</v>
      </c>
    </row>
    <row r="168" spans="1:18">
      <c r="A168" s="930" t="s">
        <v>407</v>
      </c>
      <c r="B168" s="933" t="s">
        <v>2851</v>
      </c>
      <c r="C168" s="934">
        <v>0</v>
      </c>
      <c r="D168" s="934">
        <v>0</v>
      </c>
      <c r="E168" s="934">
        <v>0</v>
      </c>
      <c r="F168" s="934">
        <v>0</v>
      </c>
      <c r="G168" s="934">
        <v>0</v>
      </c>
      <c r="H168" s="934">
        <v>0</v>
      </c>
      <c r="I168" s="934">
        <v>0</v>
      </c>
      <c r="J168" s="934">
        <v>0</v>
      </c>
      <c r="K168" s="934">
        <v>0</v>
      </c>
      <c r="L168" s="934">
        <v>0</v>
      </c>
      <c r="M168" s="934">
        <v>0</v>
      </c>
      <c r="N168" s="934">
        <v>0</v>
      </c>
      <c r="O168" s="935">
        <f t="shared" si="63"/>
        <v>0</v>
      </c>
      <c r="P168" s="923">
        <v>0</v>
      </c>
      <c r="Q168" s="907">
        <f t="shared" si="58"/>
        <v>0</v>
      </c>
      <c r="R168" s="896">
        <v>0</v>
      </c>
    </row>
    <row r="169" spans="1:18">
      <c r="A169" s="930" t="s">
        <v>409</v>
      </c>
      <c r="B169" s="933" t="s">
        <v>2697</v>
      </c>
      <c r="C169" s="934">
        <v>0</v>
      </c>
      <c r="D169" s="934">
        <v>0</v>
      </c>
      <c r="E169" s="934">
        <v>0</v>
      </c>
      <c r="F169" s="934">
        <v>0</v>
      </c>
      <c r="G169" s="934">
        <v>0</v>
      </c>
      <c r="H169" s="934">
        <v>0</v>
      </c>
      <c r="I169" s="934">
        <v>0</v>
      </c>
      <c r="J169" s="934">
        <v>0</v>
      </c>
      <c r="K169" s="934">
        <v>0</v>
      </c>
      <c r="L169" s="934">
        <v>0</v>
      </c>
      <c r="M169" s="934">
        <v>0</v>
      </c>
      <c r="N169" s="934">
        <v>0</v>
      </c>
      <c r="O169" s="935">
        <f t="shared" si="63"/>
        <v>0</v>
      </c>
      <c r="P169" s="923">
        <v>0</v>
      </c>
      <c r="Q169" s="907">
        <f t="shared" si="58"/>
        <v>0</v>
      </c>
      <c r="R169" s="896">
        <v>0</v>
      </c>
    </row>
    <row r="170" spans="1:18">
      <c r="A170" s="939" t="s">
        <v>410</v>
      </c>
      <c r="B170" s="936" t="s">
        <v>2852</v>
      </c>
      <c r="C170" s="917">
        <f t="shared" ref="C170:N170" si="66">SUM(C160:C169)</f>
        <v>63036612.416666664</v>
      </c>
      <c r="D170" s="917">
        <f t="shared" si="66"/>
        <v>63036612.416666664</v>
      </c>
      <c r="E170" s="917">
        <f t="shared" si="66"/>
        <v>63036612.416666664</v>
      </c>
      <c r="F170" s="917">
        <f t="shared" si="66"/>
        <v>63036612.416666664</v>
      </c>
      <c r="G170" s="917">
        <f t="shared" si="66"/>
        <v>63036612.416666664</v>
      </c>
      <c r="H170" s="917">
        <f t="shared" si="66"/>
        <v>63036612.416666664</v>
      </c>
      <c r="I170" s="917">
        <f t="shared" si="66"/>
        <v>63036612.416666664</v>
      </c>
      <c r="J170" s="917">
        <f t="shared" si="66"/>
        <v>63336612.416666664</v>
      </c>
      <c r="K170" s="917">
        <f t="shared" si="66"/>
        <v>63236612.416666664</v>
      </c>
      <c r="L170" s="917">
        <f t="shared" si="66"/>
        <v>63086612.416666664</v>
      </c>
      <c r="M170" s="917">
        <f t="shared" si="66"/>
        <v>63189112.416666664</v>
      </c>
      <c r="N170" s="917">
        <f t="shared" si="66"/>
        <v>63122782.416666664</v>
      </c>
      <c r="O170" s="918">
        <f t="shared" si="63"/>
        <v>757228018.99999988</v>
      </c>
      <c r="P170" s="943">
        <f>+'16. mell. Napsugár'!F52</f>
        <v>757228019</v>
      </c>
      <c r="Q170" s="907">
        <f t="shared" si="58"/>
        <v>0</v>
      </c>
      <c r="R170" s="895">
        <v>52</v>
      </c>
    </row>
    <row r="171" spans="1:18">
      <c r="A171" s="939" t="s">
        <v>411</v>
      </c>
      <c r="B171" s="940" t="s">
        <v>2853</v>
      </c>
      <c r="C171" s="941">
        <f>C158-C170</f>
        <v>66522.5</v>
      </c>
      <c r="D171" s="941">
        <f t="shared" ref="D171:N171" si="67">C171+D158-D170</f>
        <v>133045</v>
      </c>
      <c r="E171" s="941">
        <f t="shared" si="67"/>
        <v>198767.5</v>
      </c>
      <c r="F171" s="941">
        <f t="shared" si="67"/>
        <v>264490</v>
      </c>
      <c r="G171" s="941">
        <f t="shared" si="67"/>
        <v>330212.5</v>
      </c>
      <c r="H171" s="941">
        <f t="shared" si="67"/>
        <v>395935</v>
      </c>
      <c r="I171" s="941">
        <f t="shared" si="67"/>
        <v>461657.5</v>
      </c>
      <c r="J171" s="941">
        <f t="shared" si="67"/>
        <v>227380</v>
      </c>
      <c r="K171" s="941">
        <f t="shared" si="67"/>
        <v>93102.5</v>
      </c>
      <c r="L171" s="941">
        <f t="shared" si="67"/>
        <v>108825</v>
      </c>
      <c r="M171" s="941">
        <f t="shared" si="67"/>
        <v>22047.5</v>
      </c>
      <c r="N171" s="941">
        <f t="shared" si="67"/>
        <v>0</v>
      </c>
      <c r="O171" s="942">
        <f>O158-O170</f>
        <v>0</v>
      </c>
      <c r="Q171" s="907"/>
      <c r="R171" s="943">
        <f>+P158-P170</f>
        <v>0</v>
      </c>
    </row>
    <row r="172" spans="1:18">
      <c r="Q172" s="907"/>
    </row>
    <row r="173" spans="1:18">
      <c r="Q173" s="907"/>
    </row>
    <row r="174" spans="1:18" ht="30.75" customHeight="1">
      <c r="A174" s="3834" t="s">
        <v>3777</v>
      </c>
      <c r="B174" s="3834"/>
      <c r="C174" s="3834"/>
      <c r="D174" s="3834"/>
      <c r="E174" s="3834"/>
      <c r="F174" s="3834"/>
      <c r="G174" s="3834"/>
      <c r="H174" s="3834"/>
      <c r="I174" s="3834"/>
      <c r="J174" s="3834"/>
      <c r="K174" s="3834"/>
      <c r="L174" s="3834"/>
      <c r="M174" s="3834"/>
      <c r="N174" s="3834"/>
      <c r="O174" s="3834"/>
      <c r="Q174" s="907"/>
    </row>
    <row r="175" spans="1:18">
      <c r="O175" s="924" t="s">
        <v>3300</v>
      </c>
      <c r="Q175" s="907"/>
    </row>
    <row r="176" spans="1:18" ht="24">
      <c r="A176" s="899" t="s">
        <v>2726</v>
      </c>
      <c r="B176" s="900" t="s">
        <v>136</v>
      </c>
      <c r="C176" s="900" t="s">
        <v>2837</v>
      </c>
      <c r="D176" s="900" t="s">
        <v>2838</v>
      </c>
      <c r="E176" s="900" t="s">
        <v>2839</v>
      </c>
      <c r="F176" s="900" t="s">
        <v>2840</v>
      </c>
      <c r="G176" s="900" t="s">
        <v>2841</v>
      </c>
      <c r="H176" s="900" t="s">
        <v>2842</v>
      </c>
      <c r="I176" s="900" t="s">
        <v>2843</v>
      </c>
      <c r="J176" s="900" t="s">
        <v>2844</v>
      </c>
      <c r="K176" s="900" t="s">
        <v>2845</v>
      </c>
      <c r="L176" s="900" t="s">
        <v>2846</v>
      </c>
      <c r="M176" s="900" t="s">
        <v>2847</v>
      </c>
      <c r="N176" s="900" t="s">
        <v>2848</v>
      </c>
      <c r="O176" s="901" t="s">
        <v>66</v>
      </c>
      <c r="Q176" s="907"/>
    </row>
    <row r="177" spans="1:18">
      <c r="A177" s="925" t="s">
        <v>6</v>
      </c>
      <c r="B177" s="3833" t="s">
        <v>390</v>
      </c>
      <c r="C177" s="3833"/>
      <c r="D177" s="3833"/>
      <c r="E177" s="3833"/>
      <c r="F177" s="3833"/>
      <c r="G177" s="3833"/>
      <c r="H177" s="3833"/>
      <c r="I177" s="3833"/>
      <c r="J177" s="3833"/>
      <c r="K177" s="3833"/>
      <c r="L177" s="3833"/>
      <c r="M177" s="3833"/>
      <c r="N177" s="3833"/>
      <c r="O177" s="3833"/>
      <c r="Q177" s="907"/>
    </row>
    <row r="178" spans="1:18" ht="22.5">
      <c r="A178" s="926" t="s">
        <v>12</v>
      </c>
      <c r="B178" s="927" t="s">
        <v>3385</v>
      </c>
      <c r="C178" s="928">
        <v>0</v>
      </c>
      <c r="D178" s="928">
        <v>0</v>
      </c>
      <c r="E178" s="928">
        <v>0</v>
      </c>
      <c r="F178" s="928">
        <v>0</v>
      </c>
      <c r="G178" s="928">
        <v>0</v>
      </c>
      <c r="H178" s="928">
        <v>0</v>
      </c>
      <c r="I178" s="928">
        <v>0</v>
      </c>
      <c r="J178" s="928">
        <v>0</v>
      </c>
      <c r="K178" s="928">
        <v>0</v>
      </c>
      <c r="L178" s="928">
        <v>0</v>
      </c>
      <c r="M178" s="928">
        <v>0</v>
      </c>
      <c r="N178" s="928">
        <v>0</v>
      </c>
      <c r="O178" s="929">
        <f t="shared" ref="O178:O187" si="68">SUM(C178:N178)</f>
        <v>0</v>
      </c>
      <c r="P178" s="923">
        <v>0</v>
      </c>
      <c r="Q178" s="907">
        <f t="shared" ref="Q178:Q199" si="69">O178-P178</f>
        <v>0</v>
      </c>
      <c r="R178" s="895">
        <v>0</v>
      </c>
    </row>
    <row r="179" spans="1:18">
      <c r="A179" s="930" t="s">
        <v>14</v>
      </c>
      <c r="B179" s="931" t="s">
        <v>3386</v>
      </c>
      <c r="C179" s="910">
        <v>0</v>
      </c>
      <c r="D179" s="910">
        <v>0</v>
      </c>
      <c r="E179" s="910">
        <v>0</v>
      </c>
      <c r="F179" s="910">
        <v>0</v>
      </c>
      <c r="G179" s="910">
        <v>0</v>
      </c>
      <c r="H179" s="910">
        <v>0</v>
      </c>
      <c r="I179" s="910">
        <v>0</v>
      </c>
      <c r="J179" s="910">
        <v>0</v>
      </c>
      <c r="K179" s="910">
        <v>0</v>
      </c>
      <c r="L179" s="910">
        <v>0</v>
      </c>
      <c r="M179" s="910">
        <v>0</v>
      </c>
      <c r="N179" s="910">
        <v>0</v>
      </c>
      <c r="O179" s="911">
        <f t="shared" si="68"/>
        <v>0</v>
      </c>
      <c r="P179" s="943">
        <f>+'17. mell. Sashalmi M.'!F23</f>
        <v>0</v>
      </c>
      <c r="Q179" s="907">
        <f t="shared" si="69"/>
        <v>0</v>
      </c>
      <c r="R179" s="896">
        <v>23</v>
      </c>
    </row>
    <row r="180" spans="1:18">
      <c r="A180" s="930" t="s">
        <v>15</v>
      </c>
      <c r="B180" s="932" t="s">
        <v>2849</v>
      </c>
      <c r="C180" s="913">
        <v>0</v>
      </c>
      <c r="D180" s="913">
        <v>0</v>
      </c>
      <c r="E180" s="913">
        <v>0</v>
      </c>
      <c r="F180" s="913">
        <v>0</v>
      </c>
      <c r="G180" s="913">
        <v>0</v>
      </c>
      <c r="H180" s="913">
        <v>0</v>
      </c>
      <c r="I180" s="913">
        <v>0</v>
      </c>
      <c r="J180" s="913">
        <v>0</v>
      </c>
      <c r="K180" s="913">
        <v>0</v>
      </c>
      <c r="L180" s="913">
        <v>0</v>
      </c>
      <c r="M180" s="913">
        <v>0</v>
      </c>
      <c r="N180" s="913">
        <v>0</v>
      </c>
      <c r="O180" s="914">
        <f t="shared" si="68"/>
        <v>0</v>
      </c>
      <c r="P180" s="943">
        <f>+'17. mell. Sashalmi M.'!F27</f>
        <v>0</v>
      </c>
      <c r="Q180" s="907">
        <f t="shared" si="69"/>
        <v>0</v>
      </c>
      <c r="R180" s="896">
        <v>27</v>
      </c>
    </row>
    <row r="181" spans="1:18">
      <c r="A181" s="930" t="s">
        <v>17</v>
      </c>
      <c r="B181" s="933" t="s">
        <v>393</v>
      </c>
      <c r="C181" s="934">
        <v>0</v>
      </c>
      <c r="D181" s="934">
        <v>0</v>
      </c>
      <c r="E181" s="934">
        <v>0</v>
      </c>
      <c r="F181" s="934">
        <v>0</v>
      </c>
      <c r="G181" s="934">
        <v>0</v>
      </c>
      <c r="H181" s="934">
        <v>0</v>
      </c>
      <c r="I181" s="934">
        <v>0</v>
      </c>
      <c r="J181" s="934">
        <v>0</v>
      </c>
      <c r="K181" s="934">
        <v>0</v>
      </c>
      <c r="L181" s="934">
        <v>0</v>
      </c>
      <c r="M181" s="934">
        <v>0</v>
      </c>
      <c r="N181" s="934">
        <v>0</v>
      </c>
      <c r="O181" s="935">
        <f t="shared" si="68"/>
        <v>0</v>
      </c>
      <c r="P181" s="943">
        <f>+'17. mell. Sashalmi M.'!F31</f>
        <v>0</v>
      </c>
      <c r="Q181" s="907">
        <f t="shared" si="69"/>
        <v>0</v>
      </c>
      <c r="R181" s="896">
        <v>31</v>
      </c>
    </row>
    <row r="182" spans="1:18">
      <c r="A182" s="930" t="s">
        <v>19</v>
      </c>
      <c r="B182" s="933" t="s">
        <v>149</v>
      </c>
      <c r="C182" s="910">
        <f t="shared" ref="C182:N182" si="70">+$P$182/12</f>
        <v>1463346.4166666667</v>
      </c>
      <c r="D182" s="910">
        <f t="shared" si="70"/>
        <v>1463346.4166666667</v>
      </c>
      <c r="E182" s="910">
        <f t="shared" si="70"/>
        <v>1463346.4166666667</v>
      </c>
      <c r="F182" s="910">
        <f t="shared" si="70"/>
        <v>1463346.4166666667</v>
      </c>
      <c r="G182" s="910">
        <f t="shared" si="70"/>
        <v>1463346.4166666667</v>
      </c>
      <c r="H182" s="910">
        <f t="shared" si="70"/>
        <v>1463346.4166666667</v>
      </c>
      <c r="I182" s="910">
        <f t="shared" si="70"/>
        <v>1463346.4166666667</v>
      </c>
      <c r="J182" s="910">
        <f t="shared" si="70"/>
        <v>1463346.4166666667</v>
      </c>
      <c r="K182" s="910">
        <f t="shared" si="70"/>
        <v>1463346.4166666667</v>
      </c>
      <c r="L182" s="910">
        <f t="shared" si="70"/>
        <v>1463346.4166666667</v>
      </c>
      <c r="M182" s="910">
        <f t="shared" si="70"/>
        <v>1463346.4166666667</v>
      </c>
      <c r="N182" s="910">
        <f t="shared" si="70"/>
        <v>1463346.4166666667</v>
      </c>
      <c r="O182" s="911">
        <f t="shared" si="68"/>
        <v>17560156.999999996</v>
      </c>
      <c r="P182" s="943">
        <f>+'17. mell. Sashalmi M.'!F8</f>
        <v>17560157</v>
      </c>
      <c r="Q182" s="907">
        <f t="shared" si="69"/>
        <v>0</v>
      </c>
      <c r="R182" s="896">
        <v>8</v>
      </c>
    </row>
    <row r="183" spans="1:18">
      <c r="A183" s="930" t="s">
        <v>21</v>
      </c>
      <c r="B183" s="933" t="s">
        <v>431</v>
      </c>
      <c r="C183" s="910">
        <v>0</v>
      </c>
      <c r="D183" s="910">
        <v>0</v>
      </c>
      <c r="E183" s="910">
        <v>0</v>
      </c>
      <c r="F183" s="910">
        <v>0</v>
      </c>
      <c r="G183" s="910">
        <v>0</v>
      </c>
      <c r="H183" s="910">
        <v>0</v>
      </c>
      <c r="I183" s="910">
        <v>0</v>
      </c>
      <c r="J183" s="910">
        <v>0</v>
      </c>
      <c r="K183" s="910">
        <v>0</v>
      </c>
      <c r="L183" s="910">
        <v>0</v>
      </c>
      <c r="M183" s="910">
        <v>0</v>
      </c>
      <c r="N183" s="910">
        <v>0</v>
      </c>
      <c r="O183" s="911">
        <f t="shared" si="68"/>
        <v>0</v>
      </c>
      <c r="P183" s="943">
        <f>+'17. mell. Sashalmi M.'!F20</f>
        <v>0</v>
      </c>
      <c r="Q183" s="907">
        <f t="shared" si="69"/>
        <v>0</v>
      </c>
      <c r="R183" s="896">
        <v>20</v>
      </c>
    </row>
    <row r="184" spans="1:18">
      <c r="A184" s="930" t="s">
        <v>23</v>
      </c>
      <c r="B184" s="933" t="s">
        <v>153</v>
      </c>
      <c r="C184" s="910">
        <v>0</v>
      </c>
      <c r="D184" s="910">
        <v>0</v>
      </c>
      <c r="E184" s="910">
        <v>0</v>
      </c>
      <c r="F184" s="910">
        <v>0</v>
      </c>
      <c r="G184" s="910">
        <v>0</v>
      </c>
      <c r="H184" s="910">
        <v>0</v>
      </c>
      <c r="I184" s="910">
        <v>0</v>
      </c>
      <c r="J184" s="910">
        <v>0</v>
      </c>
      <c r="K184" s="910">
        <v>0</v>
      </c>
      <c r="L184" s="910">
        <v>0</v>
      </c>
      <c r="M184" s="910">
        <v>0</v>
      </c>
      <c r="N184" s="910">
        <v>0</v>
      </c>
      <c r="O184" s="911">
        <f t="shared" si="68"/>
        <v>0</v>
      </c>
      <c r="P184" s="943">
        <f>+'17. mell. Sashalmi M.'!F29</f>
        <v>0</v>
      </c>
      <c r="Q184" s="907">
        <f t="shared" si="69"/>
        <v>0</v>
      </c>
      <c r="R184" s="896">
        <v>29</v>
      </c>
    </row>
    <row r="185" spans="1:18">
      <c r="A185" s="930" t="s">
        <v>25</v>
      </c>
      <c r="B185" s="931" t="s">
        <v>1281</v>
      </c>
      <c r="C185" s="910">
        <v>0</v>
      </c>
      <c r="D185" s="910">
        <v>0</v>
      </c>
      <c r="E185" s="910">
        <v>0</v>
      </c>
      <c r="F185" s="910">
        <v>0</v>
      </c>
      <c r="G185" s="910">
        <v>0</v>
      </c>
      <c r="H185" s="910">
        <v>0</v>
      </c>
      <c r="I185" s="910">
        <v>0</v>
      </c>
      <c r="J185" s="910">
        <v>0</v>
      </c>
      <c r="K185" s="910">
        <v>0</v>
      </c>
      <c r="L185" s="910">
        <v>0</v>
      </c>
      <c r="M185" s="910">
        <v>0</v>
      </c>
      <c r="N185" s="910">
        <v>0</v>
      </c>
      <c r="O185" s="911">
        <f t="shared" si="68"/>
        <v>0</v>
      </c>
      <c r="P185" s="943">
        <f>+'17. mell. Sashalmi M.'!F30</f>
        <v>0</v>
      </c>
      <c r="Q185" s="907">
        <f t="shared" si="69"/>
        <v>0</v>
      </c>
      <c r="R185" s="896">
        <v>30</v>
      </c>
    </row>
    <row r="186" spans="1:18">
      <c r="A186" s="930" t="s">
        <v>27</v>
      </c>
      <c r="B186" s="933" t="s">
        <v>1257</v>
      </c>
      <c r="C186" s="910">
        <f>+$P$186/12+959</f>
        <v>33013890.166666668</v>
      </c>
      <c r="D186" s="910">
        <f t="shared" ref="D186:M186" si="71">+$P$186/12</f>
        <v>33012931.166666668</v>
      </c>
      <c r="E186" s="910">
        <f t="shared" si="71"/>
        <v>33012931.166666668</v>
      </c>
      <c r="F186" s="910">
        <f t="shared" si="71"/>
        <v>33012931.166666668</v>
      </c>
      <c r="G186" s="910">
        <f t="shared" si="71"/>
        <v>33012931.166666668</v>
      </c>
      <c r="H186" s="910">
        <f t="shared" si="71"/>
        <v>33012931.166666668</v>
      </c>
      <c r="I186" s="910">
        <f t="shared" si="71"/>
        <v>33012931.166666668</v>
      </c>
      <c r="J186" s="910">
        <f t="shared" si="71"/>
        <v>33012931.166666668</v>
      </c>
      <c r="K186" s="910">
        <f t="shared" si="71"/>
        <v>33012931.166666668</v>
      </c>
      <c r="L186" s="910">
        <f t="shared" si="71"/>
        <v>33012931.166666668</v>
      </c>
      <c r="M186" s="910">
        <f t="shared" si="71"/>
        <v>33012931.166666668</v>
      </c>
      <c r="N186" s="910">
        <f>+$P$186/12-959</f>
        <v>33011972.166666668</v>
      </c>
      <c r="O186" s="948">
        <f t="shared" si="68"/>
        <v>396155174.00000006</v>
      </c>
      <c r="P186" s="943">
        <f>+'17. mell. Sashalmi M.'!F36++'17. mell. Sashalmi M.'!F34</f>
        <v>396155174</v>
      </c>
      <c r="Q186" s="907">
        <f t="shared" si="69"/>
        <v>0</v>
      </c>
      <c r="R186" s="896">
        <v>36</v>
      </c>
    </row>
    <row r="187" spans="1:18">
      <c r="A187" s="925" t="s">
        <v>29</v>
      </c>
      <c r="B187" s="936" t="s">
        <v>2850</v>
      </c>
      <c r="C187" s="917">
        <f t="shared" ref="C187:N187" si="72">SUM(C178:C186)</f>
        <v>34477236.583333336</v>
      </c>
      <c r="D187" s="917">
        <f t="shared" si="72"/>
        <v>34476277.583333336</v>
      </c>
      <c r="E187" s="917">
        <f t="shared" si="72"/>
        <v>34476277.583333336</v>
      </c>
      <c r="F187" s="917">
        <f t="shared" si="72"/>
        <v>34476277.583333336</v>
      </c>
      <c r="G187" s="917">
        <f t="shared" si="72"/>
        <v>34476277.583333336</v>
      </c>
      <c r="H187" s="917">
        <f t="shared" si="72"/>
        <v>34476277.583333336</v>
      </c>
      <c r="I187" s="917">
        <f t="shared" si="72"/>
        <v>34476277.583333336</v>
      </c>
      <c r="J187" s="917">
        <f t="shared" si="72"/>
        <v>34476277.583333336</v>
      </c>
      <c r="K187" s="917">
        <f t="shared" si="72"/>
        <v>34476277.583333336</v>
      </c>
      <c r="L187" s="917">
        <f t="shared" si="72"/>
        <v>34476277.583333336</v>
      </c>
      <c r="M187" s="917">
        <f t="shared" si="72"/>
        <v>34476277.583333336</v>
      </c>
      <c r="N187" s="949">
        <f t="shared" si="72"/>
        <v>34475318.583333336</v>
      </c>
      <c r="O187" s="950">
        <f t="shared" si="68"/>
        <v>413715330.99999994</v>
      </c>
      <c r="P187" s="943">
        <f>+'17. mell. Sashalmi M.'!F37</f>
        <v>413715331</v>
      </c>
      <c r="Q187" s="907">
        <f t="shared" si="69"/>
        <v>0</v>
      </c>
      <c r="R187" s="895">
        <v>37</v>
      </c>
    </row>
    <row r="188" spans="1:18">
      <c r="A188" s="925" t="s">
        <v>31</v>
      </c>
      <c r="B188" s="3833" t="s">
        <v>391</v>
      </c>
      <c r="C188" s="3833"/>
      <c r="D188" s="3833"/>
      <c r="E188" s="3833"/>
      <c r="F188" s="3833"/>
      <c r="G188" s="3833"/>
      <c r="H188" s="3833"/>
      <c r="I188" s="3833"/>
      <c r="J188" s="3833"/>
      <c r="K188" s="3833"/>
      <c r="L188" s="3833"/>
      <c r="M188" s="3833"/>
      <c r="N188" s="3833"/>
      <c r="O188" s="3833"/>
      <c r="Q188" s="907">
        <f t="shared" si="69"/>
        <v>0</v>
      </c>
      <c r="R188" s="895"/>
    </row>
    <row r="189" spans="1:18">
      <c r="A189" s="937" t="s">
        <v>33</v>
      </c>
      <c r="B189" s="938" t="s">
        <v>9</v>
      </c>
      <c r="C189" s="910">
        <f t="shared" ref="C189:N189" si="73">+$P$189/12</f>
        <v>24800092.5</v>
      </c>
      <c r="D189" s="910">
        <f t="shared" si="73"/>
        <v>24800092.5</v>
      </c>
      <c r="E189" s="910">
        <f t="shared" si="73"/>
        <v>24800092.5</v>
      </c>
      <c r="F189" s="910">
        <f t="shared" si="73"/>
        <v>24800092.5</v>
      </c>
      <c r="G189" s="910">
        <f t="shared" si="73"/>
        <v>24800092.5</v>
      </c>
      <c r="H189" s="910">
        <f t="shared" si="73"/>
        <v>24800092.5</v>
      </c>
      <c r="I189" s="910">
        <f t="shared" si="73"/>
        <v>24800092.5</v>
      </c>
      <c r="J189" s="910">
        <f t="shared" si="73"/>
        <v>24800092.5</v>
      </c>
      <c r="K189" s="910">
        <f t="shared" si="73"/>
        <v>24800092.5</v>
      </c>
      <c r="L189" s="910">
        <f t="shared" si="73"/>
        <v>24800092.5</v>
      </c>
      <c r="M189" s="910">
        <f t="shared" si="73"/>
        <v>24800092.5</v>
      </c>
      <c r="N189" s="910">
        <f t="shared" si="73"/>
        <v>24800092.5</v>
      </c>
      <c r="O189" s="914">
        <f t="shared" ref="O189:O199" si="74">SUM(C189:N189)</f>
        <v>297601110</v>
      </c>
      <c r="P189" s="943">
        <f>+'17. mell. Sashalmi M.'!F42</f>
        <v>297601110</v>
      </c>
      <c r="Q189" s="907">
        <f t="shared" si="69"/>
        <v>0</v>
      </c>
      <c r="R189" s="896">
        <v>42</v>
      </c>
    </row>
    <row r="190" spans="1:18" ht="22.5">
      <c r="A190" s="930" t="s">
        <v>35</v>
      </c>
      <c r="B190" s="931" t="s">
        <v>8</v>
      </c>
      <c r="C190" s="910">
        <f t="shared" ref="C190:N190" si="75">+$P$190/12</f>
        <v>3614331</v>
      </c>
      <c r="D190" s="910">
        <f t="shared" si="75"/>
        <v>3614331</v>
      </c>
      <c r="E190" s="910">
        <f t="shared" si="75"/>
        <v>3614331</v>
      </c>
      <c r="F190" s="910">
        <f t="shared" si="75"/>
        <v>3614331</v>
      </c>
      <c r="G190" s="910">
        <f t="shared" si="75"/>
        <v>3614331</v>
      </c>
      <c r="H190" s="910">
        <f t="shared" si="75"/>
        <v>3614331</v>
      </c>
      <c r="I190" s="910">
        <f t="shared" si="75"/>
        <v>3614331</v>
      </c>
      <c r="J190" s="910">
        <f t="shared" si="75"/>
        <v>3614331</v>
      </c>
      <c r="K190" s="910">
        <f t="shared" si="75"/>
        <v>3614331</v>
      </c>
      <c r="L190" s="910">
        <f t="shared" si="75"/>
        <v>3614331</v>
      </c>
      <c r="M190" s="910">
        <f t="shared" si="75"/>
        <v>3614331</v>
      </c>
      <c r="N190" s="910">
        <f t="shared" si="75"/>
        <v>3614331</v>
      </c>
      <c r="O190" s="911">
        <f t="shared" si="74"/>
        <v>43371972</v>
      </c>
      <c r="P190" s="943">
        <f>+'17. mell. Sashalmi M.'!F43</f>
        <v>43371972</v>
      </c>
      <c r="Q190" s="907">
        <f t="shared" si="69"/>
        <v>0</v>
      </c>
      <c r="R190" s="896">
        <v>43</v>
      </c>
    </row>
    <row r="191" spans="1:18">
      <c r="A191" s="930" t="s">
        <v>37</v>
      </c>
      <c r="B191" s="933" t="s">
        <v>317</v>
      </c>
      <c r="C191" s="910">
        <f t="shared" ref="C191:N191" si="76">+$P$191/12</f>
        <v>5984701.583333333</v>
      </c>
      <c r="D191" s="910">
        <f t="shared" si="76"/>
        <v>5984701.583333333</v>
      </c>
      <c r="E191" s="910">
        <f t="shared" si="76"/>
        <v>5984701.583333333</v>
      </c>
      <c r="F191" s="910">
        <f t="shared" si="76"/>
        <v>5984701.583333333</v>
      </c>
      <c r="G191" s="910">
        <f t="shared" si="76"/>
        <v>5984701.583333333</v>
      </c>
      <c r="H191" s="910">
        <f t="shared" si="76"/>
        <v>5984701.583333333</v>
      </c>
      <c r="I191" s="910">
        <f t="shared" si="76"/>
        <v>5984701.583333333</v>
      </c>
      <c r="J191" s="910">
        <f t="shared" si="76"/>
        <v>5984701.583333333</v>
      </c>
      <c r="K191" s="910">
        <f t="shared" si="76"/>
        <v>5984701.583333333</v>
      </c>
      <c r="L191" s="910">
        <f t="shared" si="76"/>
        <v>5984701.583333333</v>
      </c>
      <c r="M191" s="910">
        <f t="shared" si="76"/>
        <v>5984701.583333333</v>
      </c>
      <c r="N191" s="910">
        <f t="shared" si="76"/>
        <v>5984701.583333333</v>
      </c>
      <c r="O191" s="911">
        <f t="shared" si="74"/>
        <v>71816419.000000015</v>
      </c>
      <c r="P191" s="943">
        <f>+'17. mell. Sashalmi M.'!F44</f>
        <v>71816419</v>
      </c>
      <c r="Q191" s="907">
        <f t="shared" si="69"/>
        <v>0</v>
      </c>
      <c r="R191" s="896">
        <v>44</v>
      </c>
    </row>
    <row r="192" spans="1:18">
      <c r="A192" s="930" t="s">
        <v>39</v>
      </c>
      <c r="B192" s="933" t="s">
        <v>318</v>
      </c>
      <c r="C192" s="910">
        <v>0</v>
      </c>
      <c r="D192" s="910">
        <v>0</v>
      </c>
      <c r="E192" s="910">
        <v>0</v>
      </c>
      <c r="F192" s="910">
        <v>0</v>
      </c>
      <c r="G192" s="910">
        <v>0</v>
      </c>
      <c r="H192" s="910">
        <v>0</v>
      </c>
      <c r="I192" s="910">
        <v>0</v>
      </c>
      <c r="J192" s="910">
        <v>0</v>
      </c>
      <c r="K192" s="910">
        <v>0</v>
      </c>
      <c r="L192" s="910">
        <v>0</v>
      </c>
      <c r="M192" s="910">
        <v>0</v>
      </c>
      <c r="N192" s="910">
        <v>0</v>
      </c>
      <c r="O192" s="911">
        <f t="shared" si="74"/>
        <v>0</v>
      </c>
      <c r="P192" s="943">
        <f>+'17. mell. Sashalmi M.'!F45</f>
        <v>0</v>
      </c>
      <c r="Q192" s="907">
        <f t="shared" si="69"/>
        <v>0</v>
      </c>
      <c r="R192" s="896">
        <v>45</v>
      </c>
    </row>
    <row r="193" spans="1:18">
      <c r="A193" s="930" t="s">
        <v>41</v>
      </c>
      <c r="B193" s="933" t="s">
        <v>2855</v>
      </c>
      <c r="C193" s="910">
        <v>0</v>
      </c>
      <c r="D193" s="910">
        <v>0</v>
      </c>
      <c r="E193" s="910">
        <v>0</v>
      </c>
      <c r="F193" s="910">
        <v>0</v>
      </c>
      <c r="G193" s="910">
        <v>0</v>
      </c>
      <c r="H193" s="910">
        <v>0</v>
      </c>
      <c r="I193" s="910">
        <v>0</v>
      </c>
      <c r="J193" s="910">
        <v>0</v>
      </c>
      <c r="K193" s="910">
        <v>0</v>
      </c>
      <c r="L193" s="910">
        <v>0</v>
      </c>
      <c r="M193" s="910">
        <v>0</v>
      </c>
      <c r="N193" s="910">
        <v>0</v>
      </c>
      <c r="O193" s="911">
        <f t="shared" si="74"/>
        <v>0</v>
      </c>
      <c r="P193" s="943">
        <f>+'17. mell. Sashalmi M.'!F46</f>
        <v>0</v>
      </c>
      <c r="Q193" s="907">
        <f t="shared" si="69"/>
        <v>0</v>
      </c>
      <c r="R193" s="896">
        <v>46</v>
      </c>
    </row>
    <row r="194" spans="1:18">
      <c r="A194" s="930" t="s">
        <v>314</v>
      </c>
      <c r="B194" s="933" t="s">
        <v>82</v>
      </c>
      <c r="C194" s="910">
        <v>0</v>
      </c>
      <c r="D194" s="910">
        <v>0</v>
      </c>
      <c r="E194" s="910">
        <v>0</v>
      </c>
      <c r="F194" s="910">
        <v>0</v>
      </c>
      <c r="G194" s="910">
        <v>0</v>
      </c>
      <c r="H194" s="910">
        <v>200000</v>
      </c>
      <c r="I194" s="910">
        <v>0</v>
      </c>
      <c r="J194" s="910">
        <v>0</v>
      </c>
      <c r="K194" s="910">
        <v>400000</v>
      </c>
      <c r="L194" s="910">
        <v>0</v>
      </c>
      <c r="M194" s="910">
        <v>200000</v>
      </c>
      <c r="N194" s="910">
        <v>125830</v>
      </c>
      <c r="O194" s="911">
        <f t="shared" si="74"/>
        <v>925830</v>
      </c>
      <c r="P194" s="943">
        <f>+'17. mell. Sashalmi M.'!F48</f>
        <v>925830</v>
      </c>
      <c r="Q194" s="907">
        <f t="shared" si="69"/>
        <v>0</v>
      </c>
      <c r="R194" s="896">
        <v>48</v>
      </c>
    </row>
    <row r="195" spans="1:18">
      <c r="A195" s="930" t="s">
        <v>402</v>
      </c>
      <c r="B195" s="931" t="s">
        <v>344</v>
      </c>
      <c r="C195" s="910">
        <v>0</v>
      </c>
      <c r="D195" s="910">
        <v>0</v>
      </c>
      <c r="E195" s="910">
        <v>0</v>
      </c>
      <c r="F195" s="910">
        <v>0</v>
      </c>
      <c r="G195" s="910">
        <v>0</v>
      </c>
      <c r="H195" s="910">
        <v>0</v>
      </c>
      <c r="I195" s="910">
        <v>0</v>
      </c>
      <c r="J195" s="910">
        <v>0</v>
      </c>
      <c r="K195" s="910">
        <v>0</v>
      </c>
      <c r="L195" s="910">
        <v>0</v>
      </c>
      <c r="M195" s="910">
        <v>0</v>
      </c>
      <c r="N195" s="910">
        <v>0</v>
      </c>
      <c r="O195" s="911">
        <f t="shared" si="74"/>
        <v>0</v>
      </c>
      <c r="P195" s="943">
        <f>+'17. mell. Sashalmi M.'!F49</f>
        <v>0</v>
      </c>
      <c r="Q195" s="907">
        <f t="shared" si="69"/>
        <v>0</v>
      </c>
      <c r="R195" s="896">
        <v>49</v>
      </c>
    </row>
    <row r="196" spans="1:18">
      <c r="A196" s="930" t="s">
        <v>404</v>
      </c>
      <c r="B196" s="933" t="s">
        <v>346</v>
      </c>
      <c r="C196" s="910">
        <v>0</v>
      </c>
      <c r="D196" s="910">
        <v>0</v>
      </c>
      <c r="E196" s="910">
        <v>0</v>
      </c>
      <c r="F196" s="910">
        <v>0</v>
      </c>
      <c r="G196" s="910">
        <v>0</v>
      </c>
      <c r="H196" s="910">
        <v>0</v>
      </c>
      <c r="I196" s="910">
        <v>0</v>
      </c>
      <c r="J196" s="910">
        <v>0</v>
      </c>
      <c r="K196" s="910">
        <v>0</v>
      </c>
      <c r="L196" s="910">
        <v>0</v>
      </c>
      <c r="M196" s="910">
        <v>0</v>
      </c>
      <c r="N196" s="910">
        <v>0</v>
      </c>
      <c r="O196" s="911">
        <f t="shared" si="74"/>
        <v>0</v>
      </c>
      <c r="P196" s="943">
        <f>+'17. mell. Sashalmi M.'!F50</f>
        <v>0</v>
      </c>
      <c r="Q196" s="907">
        <f t="shared" si="69"/>
        <v>0</v>
      </c>
      <c r="R196" s="896">
        <v>50</v>
      </c>
    </row>
    <row r="197" spans="1:18">
      <c r="A197" s="930" t="s">
        <v>407</v>
      </c>
      <c r="B197" s="933" t="s">
        <v>2851</v>
      </c>
      <c r="C197" s="934">
        <v>0</v>
      </c>
      <c r="D197" s="934">
        <v>0</v>
      </c>
      <c r="E197" s="934">
        <v>0</v>
      </c>
      <c r="F197" s="934">
        <v>0</v>
      </c>
      <c r="G197" s="934">
        <v>0</v>
      </c>
      <c r="H197" s="934">
        <v>0</v>
      </c>
      <c r="I197" s="934">
        <v>0</v>
      </c>
      <c r="J197" s="934">
        <v>0</v>
      </c>
      <c r="K197" s="934">
        <v>0</v>
      </c>
      <c r="L197" s="934">
        <v>0</v>
      </c>
      <c r="M197" s="934">
        <v>0</v>
      </c>
      <c r="N197" s="934">
        <v>0</v>
      </c>
      <c r="O197" s="935">
        <f t="shared" si="74"/>
        <v>0</v>
      </c>
      <c r="P197" s="923">
        <v>0</v>
      </c>
      <c r="Q197" s="907">
        <f t="shared" si="69"/>
        <v>0</v>
      </c>
      <c r="R197" s="896">
        <v>0</v>
      </c>
    </row>
    <row r="198" spans="1:18">
      <c r="A198" s="930" t="s">
        <v>409</v>
      </c>
      <c r="B198" s="933" t="s">
        <v>2697</v>
      </c>
      <c r="C198" s="934">
        <v>0</v>
      </c>
      <c r="D198" s="934">
        <v>0</v>
      </c>
      <c r="E198" s="934">
        <v>0</v>
      </c>
      <c r="F198" s="934">
        <v>0</v>
      </c>
      <c r="G198" s="934">
        <v>0</v>
      </c>
      <c r="H198" s="934">
        <v>0</v>
      </c>
      <c r="I198" s="934">
        <v>0</v>
      </c>
      <c r="J198" s="934">
        <v>0</v>
      </c>
      <c r="K198" s="934">
        <v>0</v>
      </c>
      <c r="L198" s="934">
        <v>0</v>
      </c>
      <c r="M198" s="934">
        <v>0</v>
      </c>
      <c r="N198" s="934">
        <v>0</v>
      </c>
      <c r="O198" s="935">
        <f t="shared" si="74"/>
        <v>0</v>
      </c>
      <c r="P198" s="923">
        <v>0</v>
      </c>
      <c r="Q198" s="907">
        <f t="shared" si="69"/>
        <v>0</v>
      </c>
      <c r="R198" s="896">
        <v>0</v>
      </c>
    </row>
    <row r="199" spans="1:18">
      <c r="A199" s="939" t="s">
        <v>410</v>
      </c>
      <c r="B199" s="936" t="s">
        <v>2852</v>
      </c>
      <c r="C199" s="917">
        <f t="shared" ref="C199:N199" si="77">SUM(C189:C198)</f>
        <v>34399125.083333336</v>
      </c>
      <c r="D199" s="917">
        <f t="shared" si="77"/>
        <v>34399125.083333336</v>
      </c>
      <c r="E199" s="917">
        <f t="shared" si="77"/>
        <v>34399125.083333336</v>
      </c>
      <c r="F199" s="917">
        <f t="shared" si="77"/>
        <v>34399125.083333336</v>
      </c>
      <c r="G199" s="917">
        <f t="shared" si="77"/>
        <v>34399125.083333336</v>
      </c>
      <c r="H199" s="917">
        <f t="shared" si="77"/>
        <v>34599125.083333336</v>
      </c>
      <c r="I199" s="917">
        <f t="shared" si="77"/>
        <v>34399125.083333336</v>
      </c>
      <c r="J199" s="917">
        <f t="shared" si="77"/>
        <v>34399125.083333336</v>
      </c>
      <c r="K199" s="917">
        <f t="shared" si="77"/>
        <v>34799125.083333336</v>
      </c>
      <c r="L199" s="917">
        <f t="shared" si="77"/>
        <v>34399125.083333336</v>
      </c>
      <c r="M199" s="917">
        <f t="shared" si="77"/>
        <v>34599125.083333336</v>
      </c>
      <c r="N199" s="917">
        <f t="shared" si="77"/>
        <v>34524955.083333336</v>
      </c>
      <c r="O199" s="918">
        <f t="shared" si="74"/>
        <v>413715330.99999994</v>
      </c>
      <c r="P199" s="943">
        <f>+'17. mell. Sashalmi M.'!F52</f>
        <v>413715331</v>
      </c>
      <c r="Q199" s="907">
        <f t="shared" si="69"/>
        <v>0</v>
      </c>
      <c r="R199" s="895">
        <v>52</v>
      </c>
    </row>
    <row r="200" spans="1:18">
      <c r="A200" s="939" t="s">
        <v>411</v>
      </c>
      <c r="B200" s="940" t="s">
        <v>2853</v>
      </c>
      <c r="C200" s="941">
        <f>C187-C199</f>
        <v>78111.5</v>
      </c>
      <c r="D200" s="941">
        <f t="shared" ref="D200:N200" si="78">C200+D187-D199</f>
        <v>155264</v>
      </c>
      <c r="E200" s="941">
        <f t="shared" si="78"/>
        <v>232416.5</v>
      </c>
      <c r="F200" s="941">
        <f t="shared" si="78"/>
        <v>309569</v>
      </c>
      <c r="G200" s="941">
        <f t="shared" si="78"/>
        <v>386721.5</v>
      </c>
      <c r="H200" s="941">
        <f t="shared" si="78"/>
        <v>263874</v>
      </c>
      <c r="I200" s="941">
        <f t="shared" si="78"/>
        <v>341026.5</v>
      </c>
      <c r="J200" s="941">
        <f t="shared" si="78"/>
        <v>418179</v>
      </c>
      <c r="K200" s="941">
        <f t="shared" si="78"/>
        <v>95331.5</v>
      </c>
      <c r="L200" s="941">
        <f t="shared" si="78"/>
        <v>172484</v>
      </c>
      <c r="M200" s="941">
        <f t="shared" si="78"/>
        <v>49636.5</v>
      </c>
      <c r="N200" s="941">
        <f t="shared" si="78"/>
        <v>0</v>
      </c>
      <c r="O200" s="942">
        <f>O187-O199</f>
        <v>0</v>
      </c>
      <c r="Q200" s="907"/>
      <c r="R200" s="943">
        <f>+P187-P199</f>
        <v>0</v>
      </c>
    </row>
    <row r="201" spans="1:18">
      <c r="Q201" s="907"/>
    </row>
    <row r="202" spans="1:18" ht="30.75" customHeight="1">
      <c r="A202" s="3834" t="s">
        <v>3778</v>
      </c>
      <c r="B202" s="3834"/>
      <c r="C202" s="3834"/>
      <c r="D202" s="3834"/>
      <c r="E202" s="3834"/>
      <c r="F202" s="3834"/>
      <c r="G202" s="3834"/>
      <c r="H202" s="3834"/>
      <c r="I202" s="3834"/>
      <c r="J202" s="3834"/>
      <c r="K202" s="3834"/>
      <c r="L202" s="3834"/>
      <c r="M202" s="3834"/>
      <c r="N202" s="3834"/>
      <c r="O202" s="3834"/>
      <c r="Q202" s="907"/>
    </row>
    <row r="203" spans="1:18">
      <c r="O203" s="924" t="s">
        <v>3300</v>
      </c>
      <c r="Q203" s="907"/>
    </row>
    <row r="204" spans="1:18" ht="24">
      <c r="A204" s="899" t="s">
        <v>2726</v>
      </c>
      <c r="B204" s="900" t="s">
        <v>136</v>
      </c>
      <c r="C204" s="900" t="s">
        <v>2837</v>
      </c>
      <c r="D204" s="900" t="s">
        <v>2838</v>
      </c>
      <c r="E204" s="900" t="s">
        <v>2839</v>
      </c>
      <c r="F204" s="900" t="s">
        <v>2840</v>
      </c>
      <c r="G204" s="900" t="s">
        <v>2841</v>
      </c>
      <c r="H204" s="900" t="s">
        <v>2842</v>
      </c>
      <c r="I204" s="900" t="s">
        <v>2843</v>
      </c>
      <c r="J204" s="900" t="s">
        <v>2844</v>
      </c>
      <c r="K204" s="900" t="s">
        <v>2845</v>
      </c>
      <c r="L204" s="900" t="s">
        <v>2846</v>
      </c>
      <c r="M204" s="900" t="s">
        <v>2847</v>
      </c>
      <c r="N204" s="900" t="s">
        <v>2848</v>
      </c>
      <c r="O204" s="901" t="s">
        <v>66</v>
      </c>
      <c r="Q204" s="907"/>
    </row>
    <row r="205" spans="1:18">
      <c r="A205" s="925" t="s">
        <v>6</v>
      </c>
      <c r="B205" s="3833" t="s">
        <v>390</v>
      </c>
      <c r="C205" s="3833"/>
      <c r="D205" s="3833"/>
      <c r="E205" s="3833"/>
      <c r="F205" s="3833"/>
      <c r="G205" s="3833"/>
      <c r="H205" s="3833"/>
      <c r="I205" s="3833"/>
      <c r="J205" s="3833"/>
      <c r="K205" s="3833"/>
      <c r="L205" s="3833"/>
      <c r="M205" s="3833"/>
      <c r="N205" s="3833"/>
      <c r="O205" s="3833"/>
      <c r="Q205" s="907"/>
    </row>
    <row r="206" spans="1:18" ht="22.5">
      <c r="A206" s="926" t="s">
        <v>12</v>
      </c>
      <c r="B206" s="927" t="s">
        <v>3385</v>
      </c>
      <c r="C206" s="928">
        <v>0</v>
      </c>
      <c r="D206" s="928">
        <v>0</v>
      </c>
      <c r="E206" s="928">
        <v>0</v>
      </c>
      <c r="F206" s="928">
        <v>0</v>
      </c>
      <c r="G206" s="928">
        <v>0</v>
      </c>
      <c r="H206" s="928">
        <v>0</v>
      </c>
      <c r="I206" s="928">
        <v>0</v>
      </c>
      <c r="J206" s="928">
        <v>0</v>
      </c>
      <c r="K206" s="928">
        <v>0</v>
      </c>
      <c r="L206" s="928">
        <v>0</v>
      </c>
      <c r="M206" s="928">
        <v>0</v>
      </c>
      <c r="N206" s="928">
        <v>0</v>
      </c>
      <c r="O206" s="929">
        <f t="shared" ref="O206:O215" si="79">SUM(C206:N206)</f>
        <v>0</v>
      </c>
      <c r="P206" s="923">
        <v>0</v>
      </c>
      <c r="Q206" s="907">
        <f t="shared" ref="Q206:Q228" si="80">O206-P206</f>
        <v>0</v>
      </c>
      <c r="R206" s="895">
        <v>0</v>
      </c>
    </row>
    <row r="207" spans="1:18">
      <c r="A207" s="930" t="s">
        <v>14</v>
      </c>
      <c r="B207" s="931" t="s">
        <v>3386</v>
      </c>
      <c r="C207" s="910">
        <v>0</v>
      </c>
      <c r="D207" s="910">
        <v>0</v>
      </c>
      <c r="E207" s="910">
        <v>0</v>
      </c>
      <c r="F207" s="910">
        <v>0</v>
      </c>
      <c r="G207" s="910">
        <v>0</v>
      </c>
      <c r="H207" s="910">
        <v>0</v>
      </c>
      <c r="I207" s="910">
        <v>0</v>
      </c>
      <c r="J207" s="910">
        <v>0</v>
      </c>
      <c r="K207" s="910">
        <v>0</v>
      </c>
      <c r="L207" s="910">
        <v>0</v>
      </c>
      <c r="M207" s="910">
        <v>0</v>
      </c>
      <c r="N207" s="910">
        <v>0</v>
      </c>
      <c r="O207" s="911">
        <f t="shared" si="79"/>
        <v>0</v>
      </c>
      <c r="P207" s="943">
        <f>+'18. mell. Margaréta'!F23</f>
        <v>0</v>
      </c>
      <c r="Q207" s="907">
        <f t="shared" si="80"/>
        <v>0</v>
      </c>
      <c r="R207" s="896">
        <v>23</v>
      </c>
    </row>
    <row r="208" spans="1:18">
      <c r="A208" s="930" t="s">
        <v>15</v>
      </c>
      <c r="B208" s="932" t="s">
        <v>2849</v>
      </c>
      <c r="C208" s="913">
        <v>0</v>
      </c>
      <c r="D208" s="913">
        <v>0</v>
      </c>
      <c r="E208" s="913">
        <v>0</v>
      </c>
      <c r="F208" s="913">
        <v>0</v>
      </c>
      <c r="G208" s="913">
        <v>0</v>
      </c>
      <c r="H208" s="913">
        <v>0</v>
      </c>
      <c r="I208" s="913">
        <v>0</v>
      </c>
      <c r="J208" s="913">
        <v>0</v>
      </c>
      <c r="K208" s="913">
        <v>0</v>
      </c>
      <c r="L208" s="913">
        <v>0</v>
      </c>
      <c r="M208" s="913">
        <v>0</v>
      </c>
      <c r="N208" s="913">
        <v>0</v>
      </c>
      <c r="O208" s="914">
        <f t="shared" si="79"/>
        <v>0</v>
      </c>
      <c r="P208" s="943">
        <f>+'18. mell. Margaréta'!F27</f>
        <v>0</v>
      </c>
      <c r="Q208" s="907">
        <f t="shared" si="80"/>
        <v>0</v>
      </c>
      <c r="R208" s="896">
        <v>27</v>
      </c>
    </row>
    <row r="209" spans="1:18">
      <c r="A209" s="930" t="s">
        <v>17</v>
      </c>
      <c r="B209" s="933" t="s">
        <v>393</v>
      </c>
      <c r="C209" s="934">
        <v>0</v>
      </c>
      <c r="D209" s="934">
        <v>0</v>
      </c>
      <c r="E209" s="934">
        <v>0</v>
      </c>
      <c r="F209" s="934">
        <v>0</v>
      </c>
      <c r="G209" s="934">
        <v>0</v>
      </c>
      <c r="H209" s="934">
        <v>0</v>
      </c>
      <c r="I209" s="934">
        <v>0</v>
      </c>
      <c r="J209" s="934">
        <v>0</v>
      </c>
      <c r="K209" s="934">
        <v>0</v>
      </c>
      <c r="L209" s="934">
        <v>0</v>
      </c>
      <c r="M209" s="934">
        <v>0</v>
      </c>
      <c r="N209" s="934">
        <v>0</v>
      </c>
      <c r="O209" s="935">
        <f t="shared" si="79"/>
        <v>0</v>
      </c>
      <c r="P209" s="943">
        <f>+'18. mell. Margaréta'!F31</f>
        <v>0</v>
      </c>
      <c r="Q209" s="907">
        <f t="shared" si="80"/>
        <v>0</v>
      </c>
      <c r="R209" s="896">
        <v>31</v>
      </c>
    </row>
    <row r="210" spans="1:18">
      <c r="A210" s="930" t="s">
        <v>19</v>
      </c>
      <c r="B210" s="933" t="s">
        <v>149</v>
      </c>
      <c r="C210" s="910">
        <f t="shared" ref="C210:N210" si="81">+$P$210/12</f>
        <v>1656412.6666666667</v>
      </c>
      <c r="D210" s="910">
        <f t="shared" si="81"/>
        <v>1656412.6666666667</v>
      </c>
      <c r="E210" s="910">
        <f t="shared" si="81"/>
        <v>1656412.6666666667</v>
      </c>
      <c r="F210" s="910">
        <f t="shared" si="81"/>
        <v>1656412.6666666667</v>
      </c>
      <c r="G210" s="910">
        <f t="shared" si="81"/>
        <v>1656412.6666666667</v>
      </c>
      <c r="H210" s="910">
        <f t="shared" si="81"/>
        <v>1656412.6666666667</v>
      </c>
      <c r="I210" s="910">
        <f t="shared" si="81"/>
        <v>1656412.6666666667</v>
      </c>
      <c r="J210" s="910">
        <f t="shared" si="81"/>
        <v>1656412.6666666667</v>
      </c>
      <c r="K210" s="910">
        <f t="shared" si="81"/>
        <v>1656412.6666666667</v>
      </c>
      <c r="L210" s="910">
        <f t="shared" si="81"/>
        <v>1656412.6666666667</v>
      </c>
      <c r="M210" s="910">
        <f t="shared" si="81"/>
        <v>1656412.6666666667</v>
      </c>
      <c r="N210" s="910">
        <f t="shared" si="81"/>
        <v>1656412.6666666667</v>
      </c>
      <c r="O210" s="911">
        <f t="shared" si="79"/>
        <v>19876952</v>
      </c>
      <c r="P210" s="943">
        <f>+'18. mell. Margaréta'!F8</f>
        <v>19876952</v>
      </c>
      <c r="Q210" s="907">
        <f t="shared" si="80"/>
        <v>0</v>
      </c>
      <c r="R210" s="896">
        <v>8</v>
      </c>
    </row>
    <row r="211" spans="1:18">
      <c r="A211" s="930" t="s">
        <v>21</v>
      </c>
      <c r="B211" s="933" t="s">
        <v>431</v>
      </c>
      <c r="C211" s="910">
        <v>0</v>
      </c>
      <c r="D211" s="910">
        <v>0</v>
      </c>
      <c r="E211" s="910">
        <v>0</v>
      </c>
      <c r="F211" s="910">
        <v>0</v>
      </c>
      <c r="G211" s="910">
        <v>0</v>
      </c>
      <c r="H211" s="910">
        <v>0</v>
      </c>
      <c r="I211" s="910">
        <v>0</v>
      </c>
      <c r="J211" s="910">
        <v>0</v>
      </c>
      <c r="K211" s="910">
        <v>0</v>
      </c>
      <c r="L211" s="910">
        <v>0</v>
      </c>
      <c r="M211" s="910">
        <v>0</v>
      </c>
      <c r="N211" s="910">
        <v>0</v>
      </c>
      <c r="O211" s="911">
        <f t="shared" si="79"/>
        <v>0</v>
      </c>
      <c r="P211" s="943">
        <f>+'18. mell. Margaréta'!F20</f>
        <v>0</v>
      </c>
      <c r="Q211" s="907">
        <f t="shared" si="80"/>
        <v>0</v>
      </c>
      <c r="R211" s="896">
        <v>20</v>
      </c>
    </row>
    <row r="212" spans="1:18">
      <c r="A212" s="930" t="s">
        <v>23</v>
      </c>
      <c r="B212" s="933" t="s">
        <v>153</v>
      </c>
      <c r="C212" s="910">
        <v>0</v>
      </c>
      <c r="D212" s="910">
        <v>0</v>
      </c>
      <c r="E212" s="910">
        <v>0</v>
      </c>
      <c r="F212" s="910">
        <v>0</v>
      </c>
      <c r="G212" s="910">
        <v>0</v>
      </c>
      <c r="H212" s="910">
        <v>0</v>
      </c>
      <c r="I212" s="910">
        <v>0</v>
      </c>
      <c r="J212" s="910">
        <v>0</v>
      </c>
      <c r="K212" s="910">
        <v>0</v>
      </c>
      <c r="L212" s="910">
        <v>0</v>
      </c>
      <c r="M212" s="910">
        <v>0</v>
      </c>
      <c r="N212" s="910">
        <v>0</v>
      </c>
      <c r="O212" s="911">
        <f t="shared" si="79"/>
        <v>0</v>
      </c>
      <c r="P212" s="943">
        <f>+'18. mell. Margaréta'!F29</f>
        <v>0</v>
      </c>
      <c r="Q212" s="907">
        <f t="shared" si="80"/>
        <v>0</v>
      </c>
      <c r="R212" s="896">
        <v>29</v>
      </c>
    </row>
    <row r="213" spans="1:18">
      <c r="A213" s="930" t="s">
        <v>25</v>
      </c>
      <c r="B213" s="931" t="s">
        <v>1281</v>
      </c>
      <c r="C213" s="910">
        <v>0</v>
      </c>
      <c r="D213" s="910">
        <v>0</v>
      </c>
      <c r="E213" s="910">
        <v>0</v>
      </c>
      <c r="F213" s="910">
        <v>0</v>
      </c>
      <c r="G213" s="910">
        <v>0</v>
      </c>
      <c r="H213" s="910">
        <v>0</v>
      </c>
      <c r="I213" s="910">
        <v>0</v>
      </c>
      <c r="J213" s="910">
        <v>0</v>
      </c>
      <c r="K213" s="910">
        <v>0</v>
      </c>
      <c r="L213" s="910">
        <v>0</v>
      </c>
      <c r="M213" s="910">
        <v>0</v>
      </c>
      <c r="N213" s="910">
        <v>0</v>
      </c>
      <c r="O213" s="911">
        <f t="shared" si="79"/>
        <v>0</v>
      </c>
      <c r="P213" s="943">
        <f>+'18. mell. Margaréta'!F30</f>
        <v>0</v>
      </c>
      <c r="Q213" s="907">
        <f t="shared" si="80"/>
        <v>0</v>
      </c>
      <c r="R213" s="896">
        <v>30</v>
      </c>
    </row>
    <row r="214" spans="1:18">
      <c r="A214" s="930" t="s">
        <v>27</v>
      </c>
      <c r="B214" s="933" t="s">
        <v>1257</v>
      </c>
      <c r="C214" s="910">
        <f>+$P$214/12</f>
        <v>50753700.583333336</v>
      </c>
      <c r="D214" s="910">
        <f>+$P$214/12+1200</f>
        <v>50754900.583333336</v>
      </c>
      <c r="E214" s="910">
        <f t="shared" ref="E214:M214" si="82">+$P$214/12</f>
        <v>50753700.583333336</v>
      </c>
      <c r="F214" s="910">
        <f t="shared" si="82"/>
        <v>50753700.583333336</v>
      </c>
      <c r="G214" s="910">
        <f t="shared" si="82"/>
        <v>50753700.583333336</v>
      </c>
      <c r="H214" s="910">
        <f t="shared" si="82"/>
        <v>50753700.583333336</v>
      </c>
      <c r="I214" s="910">
        <f t="shared" si="82"/>
        <v>50753700.583333336</v>
      </c>
      <c r="J214" s="910">
        <f t="shared" si="82"/>
        <v>50753700.583333336</v>
      </c>
      <c r="K214" s="910">
        <f t="shared" si="82"/>
        <v>50753700.583333336</v>
      </c>
      <c r="L214" s="910">
        <f t="shared" si="82"/>
        <v>50753700.583333336</v>
      </c>
      <c r="M214" s="910">
        <f t="shared" si="82"/>
        <v>50753700.583333336</v>
      </c>
      <c r="N214" s="910">
        <f>+$P$214/12-1200</f>
        <v>50752500.583333336</v>
      </c>
      <c r="O214" s="948">
        <f t="shared" si="79"/>
        <v>609044407</v>
      </c>
      <c r="P214" s="943">
        <f>+'18. mell. Margaréta'!F36</f>
        <v>609044407</v>
      </c>
      <c r="Q214" s="907">
        <f t="shared" si="80"/>
        <v>0</v>
      </c>
      <c r="R214" s="896">
        <v>36</v>
      </c>
    </row>
    <row r="215" spans="1:18">
      <c r="A215" s="925" t="s">
        <v>29</v>
      </c>
      <c r="B215" s="936" t="s">
        <v>2850</v>
      </c>
      <c r="C215" s="917">
        <f t="shared" ref="C215:N215" si="83">SUM(C206:C214)</f>
        <v>52410113.25</v>
      </c>
      <c r="D215" s="917">
        <f t="shared" si="83"/>
        <v>52411313.25</v>
      </c>
      <c r="E215" s="917">
        <f t="shared" si="83"/>
        <v>52410113.25</v>
      </c>
      <c r="F215" s="917">
        <f t="shared" si="83"/>
        <v>52410113.25</v>
      </c>
      <c r="G215" s="917">
        <f t="shared" si="83"/>
        <v>52410113.25</v>
      </c>
      <c r="H215" s="917">
        <f t="shared" si="83"/>
        <v>52410113.25</v>
      </c>
      <c r="I215" s="917">
        <f t="shared" si="83"/>
        <v>52410113.25</v>
      </c>
      <c r="J215" s="917">
        <f t="shared" si="83"/>
        <v>52410113.25</v>
      </c>
      <c r="K215" s="917">
        <f t="shared" si="83"/>
        <v>52410113.25</v>
      </c>
      <c r="L215" s="917">
        <f t="shared" si="83"/>
        <v>52410113.25</v>
      </c>
      <c r="M215" s="917">
        <f t="shared" si="83"/>
        <v>52410113.25</v>
      </c>
      <c r="N215" s="949">
        <f t="shared" si="83"/>
        <v>52408913.25</v>
      </c>
      <c r="O215" s="950">
        <f t="shared" si="79"/>
        <v>628921359</v>
      </c>
      <c r="P215" s="943">
        <f>+'18. mell. Margaréta'!F37</f>
        <v>628921359</v>
      </c>
      <c r="Q215" s="907">
        <f t="shared" si="80"/>
        <v>0</v>
      </c>
      <c r="R215" s="895">
        <v>37</v>
      </c>
    </row>
    <row r="216" spans="1:18">
      <c r="A216" s="925" t="s">
        <v>31</v>
      </c>
      <c r="B216" s="3833" t="s">
        <v>391</v>
      </c>
      <c r="C216" s="3833"/>
      <c r="D216" s="3833"/>
      <c r="E216" s="3833"/>
      <c r="F216" s="3833"/>
      <c r="G216" s="3833"/>
      <c r="H216" s="3833"/>
      <c r="I216" s="3833"/>
      <c r="J216" s="3833"/>
      <c r="K216" s="3833"/>
      <c r="L216" s="3833"/>
      <c r="M216" s="3833"/>
      <c r="N216" s="3833"/>
      <c r="O216" s="3833"/>
      <c r="Q216" s="907">
        <f t="shared" si="80"/>
        <v>0</v>
      </c>
      <c r="R216" s="895"/>
    </row>
    <row r="217" spans="1:18">
      <c r="A217" s="937" t="s">
        <v>33</v>
      </c>
      <c r="B217" s="938" t="s">
        <v>9</v>
      </c>
      <c r="C217" s="910">
        <f t="shared" ref="C217:N217" si="84">+$P$217/12</f>
        <v>39408726.416666664</v>
      </c>
      <c r="D217" s="910">
        <f t="shared" si="84"/>
        <v>39408726.416666664</v>
      </c>
      <c r="E217" s="910">
        <f t="shared" si="84"/>
        <v>39408726.416666664</v>
      </c>
      <c r="F217" s="910">
        <f t="shared" si="84"/>
        <v>39408726.416666664</v>
      </c>
      <c r="G217" s="910">
        <f t="shared" si="84"/>
        <v>39408726.416666664</v>
      </c>
      <c r="H217" s="910">
        <f t="shared" si="84"/>
        <v>39408726.416666664</v>
      </c>
      <c r="I217" s="910">
        <f t="shared" si="84"/>
        <v>39408726.416666664</v>
      </c>
      <c r="J217" s="910">
        <f t="shared" si="84"/>
        <v>39408726.416666664</v>
      </c>
      <c r="K217" s="910">
        <f t="shared" si="84"/>
        <v>39408726.416666664</v>
      </c>
      <c r="L217" s="910">
        <f t="shared" si="84"/>
        <v>39408726.416666664</v>
      </c>
      <c r="M217" s="910">
        <f t="shared" si="84"/>
        <v>39408726.416666664</v>
      </c>
      <c r="N217" s="910">
        <f t="shared" si="84"/>
        <v>39408726.416666664</v>
      </c>
      <c r="O217" s="914">
        <f t="shared" ref="O217:O227" si="85">SUM(C217:N217)</f>
        <v>472904717.00000006</v>
      </c>
      <c r="P217" s="943">
        <f>+'18. mell. Margaréta'!F42</f>
        <v>472904717</v>
      </c>
      <c r="Q217" s="907">
        <f t="shared" si="80"/>
        <v>0</v>
      </c>
      <c r="R217" s="896">
        <v>42</v>
      </c>
    </row>
    <row r="218" spans="1:18" ht="22.5">
      <c r="A218" s="930" t="s">
        <v>35</v>
      </c>
      <c r="B218" s="931" t="s">
        <v>8</v>
      </c>
      <c r="C218" s="910">
        <f t="shared" ref="C218:N218" si="86">+$P$218/12</f>
        <v>5994270.25</v>
      </c>
      <c r="D218" s="910">
        <f t="shared" si="86"/>
        <v>5994270.25</v>
      </c>
      <c r="E218" s="910">
        <f t="shared" si="86"/>
        <v>5994270.25</v>
      </c>
      <c r="F218" s="910">
        <f t="shared" si="86"/>
        <v>5994270.25</v>
      </c>
      <c r="G218" s="910">
        <f t="shared" si="86"/>
        <v>5994270.25</v>
      </c>
      <c r="H218" s="910">
        <f t="shared" si="86"/>
        <v>5994270.25</v>
      </c>
      <c r="I218" s="910">
        <f t="shared" si="86"/>
        <v>5994270.25</v>
      </c>
      <c r="J218" s="910">
        <f t="shared" si="86"/>
        <v>5994270.25</v>
      </c>
      <c r="K218" s="910">
        <f t="shared" si="86"/>
        <v>5994270.25</v>
      </c>
      <c r="L218" s="910">
        <f t="shared" si="86"/>
        <v>5994270.25</v>
      </c>
      <c r="M218" s="910">
        <f t="shared" si="86"/>
        <v>5994270.25</v>
      </c>
      <c r="N218" s="910">
        <f t="shared" si="86"/>
        <v>5994270.25</v>
      </c>
      <c r="O218" s="911">
        <f t="shared" si="85"/>
        <v>71931243</v>
      </c>
      <c r="P218" s="943">
        <f>+'18. mell. Margaréta'!F43</f>
        <v>71931243</v>
      </c>
      <c r="Q218" s="907">
        <f t="shared" si="80"/>
        <v>0</v>
      </c>
      <c r="R218" s="896">
        <v>43</v>
      </c>
    </row>
    <row r="219" spans="1:18">
      <c r="A219" s="930" t="s">
        <v>37</v>
      </c>
      <c r="B219" s="933" t="s">
        <v>317</v>
      </c>
      <c r="C219" s="910">
        <f t="shared" ref="C219:N219" si="87">+$P$219/12</f>
        <v>6958720.083333333</v>
      </c>
      <c r="D219" s="910">
        <f t="shared" si="87"/>
        <v>6958720.083333333</v>
      </c>
      <c r="E219" s="910">
        <f t="shared" si="87"/>
        <v>6958720.083333333</v>
      </c>
      <c r="F219" s="910">
        <f t="shared" si="87"/>
        <v>6958720.083333333</v>
      </c>
      <c r="G219" s="910">
        <f t="shared" si="87"/>
        <v>6958720.083333333</v>
      </c>
      <c r="H219" s="910">
        <f t="shared" si="87"/>
        <v>6958720.083333333</v>
      </c>
      <c r="I219" s="910">
        <f t="shared" si="87"/>
        <v>6958720.083333333</v>
      </c>
      <c r="J219" s="910">
        <f t="shared" si="87"/>
        <v>6958720.083333333</v>
      </c>
      <c r="K219" s="910">
        <f t="shared" si="87"/>
        <v>6958720.083333333</v>
      </c>
      <c r="L219" s="910">
        <f t="shared" si="87"/>
        <v>6958720.083333333</v>
      </c>
      <c r="M219" s="910">
        <f t="shared" si="87"/>
        <v>6958720.083333333</v>
      </c>
      <c r="N219" s="910">
        <f t="shared" si="87"/>
        <v>6958720.083333333</v>
      </c>
      <c r="O219" s="911">
        <f t="shared" si="85"/>
        <v>83504641</v>
      </c>
      <c r="P219" s="943">
        <f>+'18. mell. Margaréta'!F44</f>
        <v>83504641</v>
      </c>
      <c r="Q219" s="907">
        <f t="shared" si="80"/>
        <v>0</v>
      </c>
      <c r="R219" s="896">
        <v>44</v>
      </c>
    </row>
    <row r="220" spans="1:18">
      <c r="A220" s="930" t="s">
        <v>39</v>
      </c>
      <c r="B220" s="933" t="s">
        <v>318</v>
      </c>
      <c r="C220" s="910">
        <v>0</v>
      </c>
      <c r="D220" s="910">
        <v>0</v>
      </c>
      <c r="E220" s="910">
        <v>0</v>
      </c>
      <c r="F220" s="910">
        <v>0</v>
      </c>
      <c r="G220" s="910">
        <v>0</v>
      </c>
      <c r="H220" s="910">
        <v>0</v>
      </c>
      <c r="I220" s="910">
        <v>0</v>
      </c>
      <c r="J220" s="910">
        <v>0</v>
      </c>
      <c r="K220" s="910">
        <v>0</v>
      </c>
      <c r="L220" s="910">
        <v>0</v>
      </c>
      <c r="M220" s="910">
        <v>0</v>
      </c>
      <c r="N220" s="910">
        <v>0</v>
      </c>
      <c r="O220" s="911">
        <f t="shared" si="85"/>
        <v>0</v>
      </c>
      <c r="P220" s="943">
        <f>+'18. mell. Margaréta'!F45</f>
        <v>0</v>
      </c>
      <c r="Q220" s="907">
        <f t="shared" si="80"/>
        <v>0</v>
      </c>
      <c r="R220" s="896">
        <v>45</v>
      </c>
    </row>
    <row r="221" spans="1:18">
      <c r="A221" s="930" t="s">
        <v>41</v>
      </c>
      <c r="B221" s="933" t="s">
        <v>2855</v>
      </c>
      <c r="C221" s="910">
        <v>0</v>
      </c>
      <c r="D221" s="910">
        <v>0</v>
      </c>
      <c r="E221" s="910">
        <v>0</v>
      </c>
      <c r="F221" s="910">
        <v>0</v>
      </c>
      <c r="G221" s="910">
        <v>0</v>
      </c>
      <c r="H221" s="910">
        <v>0</v>
      </c>
      <c r="I221" s="910">
        <v>0</v>
      </c>
      <c r="J221" s="910">
        <v>0</v>
      </c>
      <c r="K221" s="910">
        <v>0</v>
      </c>
      <c r="L221" s="910">
        <v>0</v>
      </c>
      <c r="M221" s="910">
        <v>0</v>
      </c>
      <c r="N221" s="910">
        <v>0</v>
      </c>
      <c r="O221" s="911">
        <f t="shared" si="85"/>
        <v>0</v>
      </c>
      <c r="P221" s="943">
        <f>+'18. mell. Margaréta'!F46</f>
        <v>0</v>
      </c>
      <c r="Q221" s="907">
        <f t="shared" si="80"/>
        <v>0</v>
      </c>
      <c r="R221" s="896">
        <v>46</v>
      </c>
    </row>
    <row r="222" spans="1:18">
      <c r="A222" s="930" t="s">
        <v>314</v>
      </c>
      <c r="B222" s="933" t="s">
        <v>82</v>
      </c>
      <c r="C222" s="910">
        <v>0</v>
      </c>
      <c r="D222" s="910">
        <v>0</v>
      </c>
      <c r="E222" s="910">
        <v>0</v>
      </c>
      <c r="F222" s="910">
        <v>0</v>
      </c>
      <c r="G222" s="910">
        <v>0</v>
      </c>
      <c r="H222" s="910">
        <v>0</v>
      </c>
      <c r="I222" s="910">
        <v>210000</v>
      </c>
      <c r="J222" s="910">
        <v>0</v>
      </c>
      <c r="K222" s="910">
        <v>0</v>
      </c>
      <c r="L222" s="910">
        <v>0</v>
      </c>
      <c r="M222" s="910">
        <v>0</v>
      </c>
      <c r="N222" s="910">
        <v>370758</v>
      </c>
      <c r="O222" s="911">
        <f t="shared" si="85"/>
        <v>580758</v>
      </c>
      <c r="P222" s="943">
        <f>+'18. mell. Margaréta'!F48</f>
        <v>580758</v>
      </c>
      <c r="Q222" s="907">
        <f t="shared" si="80"/>
        <v>0</v>
      </c>
      <c r="R222" s="896">
        <v>48</v>
      </c>
    </row>
    <row r="223" spans="1:18">
      <c r="A223" s="930" t="s">
        <v>402</v>
      </c>
      <c r="B223" s="931" t="s">
        <v>344</v>
      </c>
      <c r="C223" s="910">
        <v>0</v>
      </c>
      <c r="D223" s="910">
        <v>0</v>
      </c>
      <c r="E223" s="910">
        <v>0</v>
      </c>
      <c r="F223" s="910">
        <v>0</v>
      </c>
      <c r="G223" s="910">
        <v>0</v>
      </c>
      <c r="H223" s="910">
        <v>0</v>
      </c>
      <c r="I223" s="910">
        <v>0</v>
      </c>
      <c r="J223" s="910">
        <v>0</v>
      </c>
      <c r="K223" s="910">
        <v>0</v>
      </c>
      <c r="L223" s="910">
        <v>0</v>
      </c>
      <c r="M223" s="910">
        <v>0</v>
      </c>
      <c r="N223" s="910">
        <v>0</v>
      </c>
      <c r="O223" s="911">
        <f t="shared" si="85"/>
        <v>0</v>
      </c>
      <c r="P223" s="943">
        <f>+'18. mell. Margaréta'!F49</f>
        <v>0</v>
      </c>
      <c r="Q223" s="907">
        <f t="shared" si="80"/>
        <v>0</v>
      </c>
      <c r="R223" s="896">
        <v>49</v>
      </c>
    </row>
    <row r="224" spans="1:18">
      <c r="A224" s="930" t="s">
        <v>404</v>
      </c>
      <c r="B224" s="933" t="s">
        <v>346</v>
      </c>
      <c r="C224" s="910">
        <v>0</v>
      </c>
      <c r="D224" s="910">
        <v>0</v>
      </c>
      <c r="E224" s="910">
        <v>0</v>
      </c>
      <c r="F224" s="910">
        <v>0</v>
      </c>
      <c r="G224" s="910">
        <v>0</v>
      </c>
      <c r="H224" s="910">
        <v>0</v>
      </c>
      <c r="I224" s="910">
        <v>0</v>
      </c>
      <c r="J224" s="910">
        <v>0</v>
      </c>
      <c r="K224" s="910">
        <v>0</v>
      </c>
      <c r="L224" s="910">
        <v>0</v>
      </c>
      <c r="M224" s="910">
        <v>0</v>
      </c>
      <c r="N224" s="910">
        <v>0</v>
      </c>
      <c r="O224" s="911">
        <f t="shared" si="85"/>
        <v>0</v>
      </c>
      <c r="P224" s="943">
        <f>+'18. mell. Margaréta'!F50</f>
        <v>0</v>
      </c>
      <c r="Q224" s="907">
        <f t="shared" si="80"/>
        <v>0</v>
      </c>
      <c r="R224" s="896">
        <v>50</v>
      </c>
    </row>
    <row r="225" spans="1:18">
      <c r="A225" s="930" t="s">
        <v>407</v>
      </c>
      <c r="B225" s="933" t="s">
        <v>2851</v>
      </c>
      <c r="C225" s="934">
        <v>0</v>
      </c>
      <c r="D225" s="934">
        <v>0</v>
      </c>
      <c r="E225" s="934">
        <v>0</v>
      </c>
      <c r="F225" s="934">
        <v>0</v>
      </c>
      <c r="G225" s="934">
        <v>0</v>
      </c>
      <c r="H225" s="934">
        <v>0</v>
      </c>
      <c r="I225" s="934">
        <v>0</v>
      </c>
      <c r="J225" s="934">
        <v>0</v>
      </c>
      <c r="K225" s="934">
        <v>0</v>
      </c>
      <c r="L225" s="934">
        <v>0</v>
      </c>
      <c r="M225" s="934">
        <v>0</v>
      </c>
      <c r="N225" s="934">
        <v>0</v>
      </c>
      <c r="O225" s="935">
        <f t="shared" si="85"/>
        <v>0</v>
      </c>
      <c r="P225" s="923">
        <v>0</v>
      </c>
      <c r="Q225" s="907">
        <f t="shared" si="80"/>
        <v>0</v>
      </c>
      <c r="R225" s="896">
        <v>0</v>
      </c>
    </row>
    <row r="226" spans="1:18">
      <c r="A226" s="930" t="s">
        <v>409</v>
      </c>
      <c r="B226" s="933" t="s">
        <v>2697</v>
      </c>
      <c r="C226" s="934">
        <v>0</v>
      </c>
      <c r="D226" s="934">
        <v>0</v>
      </c>
      <c r="E226" s="934">
        <v>0</v>
      </c>
      <c r="F226" s="934">
        <v>0</v>
      </c>
      <c r="G226" s="934">
        <v>0</v>
      </c>
      <c r="H226" s="934">
        <v>0</v>
      </c>
      <c r="I226" s="934">
        <v>0</v>
      </c>
      <c r="J226" s="934">
        <v>0</v>
      </c>
      <c r="K226" s="934">
        <v>0</v>
      </c>
      <c r="L226" s="934">
        <v>0</v>
      </c>
      <c r="M226" s="934">
        <v>0</v>
      </c>
      <c r="N226" s="934">
        <v>0</v>
      </c>
      <c r="O226" s="935">
        <f t="shared" si="85"/>
        <v>0</v>
      </c>
      <c r="P226" s="923">
        <v>0</v>
      </c>
      <c r="Q226" s="907">
        <f t="shared" si="80"/>
        <v>0</v>
      </c>
      <c r="R226" s="896">
        <v>0</v>
      </c>
    </row>
    <row r="227" spans="1:18">
      <c r="A227" s="939" t="s">
        <v>410</v>
      </c>
      <c r="B227" s="936" t="s">
        <v>2852</v>
      </c>
      <c r="C227" s="917">
        <f t="shared" ref="C227:N227" si="88">SUM(C217:C226)</f>
        <v>52361716.75</v>
      </c>
      <c r="D227" s="917">
        <f t="shared" si="88"/>
        <v>52361716.75</v>
      </c>
      <c r="E227" s="917">
        <f t="shared" si="88"/>
        <v>52361716.75</v>
      </c>
      <c r="F227" s="917">
        <f t="shared" si="88"/>
        <v>52361716.75</v>
      </c>
      <c r="G227" s="917">
        <f t="shared" si="88"/>
        <v>52361716.75</v>
      </c>
      <c r="H227" s="917">
        <f t="shared" si="88"/>
        <v>52361716.75</v>
      </c>
      <c r="I227" s="917">
        <f t="shared" si="88"/>
        <v>52571716.75</v>
      </c>
      <c r="J227" s="917">
        <f t="shared" si="88"/>
        <v>52361716.75</v>
      </c>
      <c r="K227" s="917">
        <f t="shared" si="88"/>
        <v>52361716.75</v>
      </c>
      <c r="L227" s="917">
        <f t="shared" si="88"/>
        <v>52361716.75</v>
      </c>
      <c r="M227" s="917">
        <f t="shared" si="88"/>
        <v>52361716.75</v>
      </c>
      <c r="N227" s="917">
        <f t="shared" si="88"/>
        <v>52732474.75</v>
      </c>
      <c r="O227" s="918">
        <f t="shared" si="85"/>
        <v>628921359</v>
      </c>
      <c r="P227" s="943">
        <f>+'18. mell. Margaréta'!F52</f>
        <v>628921359</v>
      </c>
      <c r="Q227" s="907">
        <f t="shared" si="80"/>
        <v>0</v>
      </c>
      <c r="R227" s="895">
        <v>52</v>
      </c>
    </row>
    <row r="228" spans="1:18">
      <c r="A228" s="939" t="s">
        <v>411</v>
      </c>
      <c r="B228" s="940" t="s">
        <v>2853</v>
      </c>
      <c r="C228" s="941">
        <f>C215-C227</f>
        <v>48396.5</v>
      </c>
      <c r="D228" s="941">
        <f t="shared" ref="D228:N228" si="89">C228+D215-D227</f>
        <v>97993</v>
      </c>
      <c r="E228" s="941">
        <f t="shared" si="89"/>
        <v>146389.5</v>
      </c>
      <c r="F228" s="941">
        <f t="shared" si="89"/>
        <v>194786</v>
      </c>
      <c r="G228" s="941">
        <f t="shared" si="89"/>
        <v>243182.5</v>
      </c>
      <c r="H228" s="941">
        <f t="shared" si="89"/>
        <v>291579</v>
      </c>
      <c r="I228" s="941">
        <f t="shared" si="89"/>
        <v>129975.5</v>
      </c>
      <c r="J228" s="941">
        <f t="shared" si="89"/>
        <v>178372</v>
      </c>
      <c r="K228" s="941">
        <f t="shared" si="89"/>
        <v>226768.5</v>
      </c>
      <c r="L228" s="941">
        <f t="shared" si="89"/>
        <v>275165</v>
      </c>
      <c r="M228" s="941">
        <f t="shared" si="89"/>
        <v>323561.5</v>
      </c>
      <c r="N228" s="941">
        <f t="shared" si="89"/>
        <v>0</v>
      </c>
      <c r="O228" s="942">
        <f>O215-O227</f>
        <v>0</v>
      </c>
      <c r="Q228" s="907">
        <f t="shared" si="80"/>
        <v>0</v>
      </c>
      <c r="R228" s="943">
        <f>+P215-P227</f>
        <v>0</v>
      </c>
    </row>
    <row r="229" spans="1:18">
      <c r="Q229" s="907"/>
    </row>
    <row r="230" spans="1:18">
      <c r="Q230" s="907"/>
    </row>
    <row r="231" spans="1:18" ht="32.25" customHeight="1">
      <c r="A231" s="3834" t="s">
        <v>3779</v>
      </c>
      <c r="B231" s="3834"/>
      <c r="C231" s="3834"/>
      <c r="D231" s="3834"/>
      <c r="E231" s="3834"/>
      <c r="F231" s="3834"/>
      <c r="G231" s="3834"/>
      <c r="H231" s="3834"/>
      <c r="I231" s="3834"/>
      <c r="J231" s="3834"/>
      <c r="K231" s="3834"/>
      <c r="L231" s="3834"/>
      <c r="M231" s="3834"/>
      <c r="N231" s="3834"/>
      <c r="O231" s="3834"/>
      <c r="Q231" s="907"/>
    </row>
    <row r="232" spans="1:18">
      <c r="O232" s="924" t="s">
        <v>3300</v>
      </c>
      <c r="Q232" s="907"/>
    </row>
    <row r="233" spans="1:18" ht="24">
      <c r="A233" s="899" t="s">
        <v>2726</v>
      </c>
      <c r="B233" s="900" t="s">
        <v>136</v>
      </c>
      <c r="C233" s="900" t="s">
        <v>2837</v>
      </c>
      <c r="D233" s="900" t="s">
        <v>2838</v>
      </c>
      <c r="E233" s="900" t="s">
        <v>2839</v>
      </c>
      <c r="F233" s="900" t="s">
        <v>2840</v>
      </c>
      <c r="G233" s="900" t="s">
        <v>2841</v>
      </c>
      <c r="H233" s="900" t="s">
        <v>2842</v>
      </c>
      <c r="I233" s="900" t="s">
        <v>2843</v>
      </c>
      <c r="J233" s="900" t="s">
        <v>2844</v>
      </c>
      <c r="K233" s="900" t="s">
        <v>2845</v>
      </c>
      <c r="L233" s="900" t="s">
        <v>2846</v>
      </c>
      <c r="M233" s="900" t="s">
        <v>2847</v>
      </c>
      <c r="N233" s="900" t="s">
        <v>2848</v>
      </c>
      <c r="O233" s="901" t="s">
        <v>66</v>
      </c>
      <c r="Q233" s="907"/>
    </row>
    <row r="234" spans="1:18">
      <c r="A234" s="925" t="s">
        <v>6</v>
      </c>
      <c r="B234" s="3833" t="s">
        <v>390</v>
      </c>
      <c r="C234" s="3833"/>
      <c r="D234" s="3833"/>
      <c r="E234" s="3833"/>
      <c r="F234" s="3833"/>
      <c r="G234" s="3833"/>
      <c r="H234" s="3833"/>
      <c r="I234" s="3833"/>
      <c r="J234" s="3833"/>
      <c r="K234" s="3833"/>
      <c r="L234" s="3833"/>
      <c r="M234" s="3833"/>
      <c r="N234" s="3833"/>
      <c r="O234" s="3833"/>
      <c r="Q234" s="907"/>
    </row>
    <row r="235" spans="1:18" ht="22.5">
      <c r="A235" s="926" t="s">
        <v>12</v>
      </c>
      <c r="B235" s="927" t="s">
        <v>3385</v>
      </c>
      <c r="C235" s="928">
        <v>0</v>
      </c>
      <c r="D235" s="928">
        <v>0</v>
      </c>
      <c r="E235" s="928">
        <v>0</v>
      </c>
      <c r="F235" s="928">
        <v>0</v>
      </c>
      <c r="G235" s="928">
        <v>0</v>
      </c>
      <c r="H235" s="928">
        <v>0</v>
      </c>
      <c r="I235" s="928">
        <v>0</v>
      </c>
      <c r="J235" s="928">
        <v>0</v>
      </c>
      <c r="K235" s="928">
        <v>0</v>
      </c>
      <c r="L235" s="928">
        <v>0</v>
      </c>
      <c r="M235" s="928">
        <v>0</v>
      </c>
      <c r="N235" s="928">
        <v>0</v>
      </c>
      <c r="O235" s="929">
        <f t="shared" ref="O235:O244" si="90">SUM(C235:N235)</f>
        <v>0</v>
      </c>
      <c r="P235" s="923">
        <v>0</v>
      </c>
      <c r="Q235" s="907">
        <f t="shared" ref="Q235:Q256" si="91">O235-P235</f>
        <v>0</v>
      </c>
      <c r="R235" s="895">
        <v>0</v>
      </c>
    </row>
    <row r="236" spans="1:18">
      <c r="A236" s="930" t="s">
        <v>14</v>
      </c>
      <c r="B236" s="931" t="s">
        <v>3386</v>
      </c>
      <c r="C236" s="910">
        <v>0</v>
      </c>
      <c r="D236" s="910">
        <v>0</v>
      </c>
      <c r="E236" s="910">
        <v>0</v>
      </c>
      <c r="F236" s="910">
        <v>0</v>
      </c>
      <c r="G236" s="910">
        <v>0</v>
      </c>
      <c r="H236" s="910">
        <v>0</v>
      </c>
      <c r="I236" s="910">
        <v>0</v>
      </c>
      <c r="J236" s="910">
        <v>0</v>
      </c>
      <c r="K236" s="910">
        <v>0</v>
      </c>
      <c r="L236" s="910">
        <v>0</v>
      </c>
      <c r="M236" s="910">
        <v>0</v>
      </c>
      <c r="N236" s="910">
        <v>0</v>
      </c>
      <c r="O236" s="911">
        <f t="shared" si="90"/>
        <v>0</v>
      </c>
      <c r="P236" s="943">
        <f>+'19.mell.Szentmihályi Játszókert'!F23</f>
        <v>0</v>
      </c>
      <c r="Q236" s="907">
        <f t="shared" si="91"/>
        <v>0</v>
      </c>
      <c r="R236" s="896">
        <v>23</v>
      </c>
    </row>
    <row r="237" spans="1:18">
      <c r="A237" s="930" t="s">
        <v>15</v>
      </c>
      <c r="B237" s="932" t="s">
        <v>2849</v>
      </c>
      <c r="C237" s="913">
        <v>0</v>
      </c>
      <c r="D237" s="913">
        <v>0</v>
      </c>
      <c r="E237" s="913">
        <v>0</v>
      </c>
      <c r="F237" s="913">
        <v>0</v>
      </c>
      <c r="G237" s="913">
        <v>0</v>
      </c>
      <c r="H237" s="913">
        <v>0</v>
      </c>
      <c r="I237" s="913">
        <v>0</v>
      </c>
      <c r="J237" s="913">
        <v>0</v>
      </c>
      <c r="K237" s="913">
        <v>0</v>
      </c>
      <c r="L237" s="913">
        <v>0</v>
      </c>
      <c r="M237" s="913">
        <v>0</v>
      </c>
      <c r="N237" s="913">
        <v>0</v>
      </c>
      <c r="O237" s="914">
        <f t="shared" si="90"/>
        <v>0</v>
      </c>
      <c r="P237" s="943">
        <f>+'19.mell.Szentmihályi Játszókert'!F27</f>
        <v>0</v>
      </c>
      <c r="Q237" s="907">
        <f t="shared" si="91"/>
        <v>0</v>
      </c>
      <c r="R237" s="896">
        <v>27</v>
      </c>
    </row>
    <row r="238" spans="1:18">
      <c r="A238" s="930" t="s">
        <v>17</v>
      </c>
      <c r="B238" s="933" t="s">
        <v>393</v>
      </c>
      <c r="C238" s="934">
        <v>0</v>
      </c>
      <c r="D238" s="934">
        <v>0</v>
      </c>
      <c r="E238" s="934">
        <v>0</v>
      </c>
      <c r="F238" s="934">
        <v>0</v>
      </c>
      <c r="G238" s="934">
        <v>0</v>
      </c>
      <c r="H238" s="934">
        <v>0</v>
      </c>
      <c r="I238" s="934">
        <v>0</v>
      </c>
      <c r="J238" s="934">
        <v>0</v>
      </c>
      <c r="K238" s="934">
        <v>0</v>
      </c>
      <c r="L238" s="934">
        <v>0</v>
      </c>
      <c r="M238" s="934">
        <v>0</v>
      </c>
      <c r="N238" s="934">
        <v>0</v>
      </c>
      <c r="O238" s="935">
        <f t="shared" si="90"/>
        <v>0</v>
      </c>
      <c r="P238" s="943">
        <f>+'19.mell.Szentmihályi Játszókert'!F31</f>
        <v>0</v>
      </c>
      <c r="Q238" s="907">
        <f t="shared" si="91"/>
        <v>0</v>
      </c>
      <c r="R238" s="896">
        <v>31</v>
      </c>
    </row>
    <row r="239" spans="1:18">
      <c r="A239" s="930" t="s">
        <v>19</v>
      </c>
      <c r="B239" s="933" t="s">
        <v>149</v>
      </c>
      <c r="C239" s="910">
        <f t="shared" ref="C239:N239" si="92">+$P$239/12</f>
        <v>2925900.75</v>
      </c>
      <c r="D239" s="910">
        <f t="shared" si="92"/>
        <v>2925900.75</v>
      </c>
      <c r="E239" s="910">
        <f t="shared" si="92"/>
        <v>2925900.75</v>
      </c>
      <c r="F239" s="910">
        <f t="shared" si="92"/>
        <v>2925900.75</v>
      </c>
      <c r="G239" s="910">
        <f t="shared" si="92"/>
        <v>2925900.75</v>
      </c>
      <c r="H239" s="910">
        <f t="shared" si="92"/>
        <v>2925900.75</v>
      </c>
      <c r="I239" s="910">
        <f t="shared" si="92"/>
        <v>2925900.75</v>
      </c>
      <c r="J239" s="910">
        <f t="shared" si="92"/>
        <v>2925900.75</v>
      </c>
      <c r="K239" s="910">
        <f t="shared" si="92"/>
        <v>2925900.75</v>
      </c>
      <c r="L239" s="910">
        <f t="shared" si="92"/>
        <v>2925900.75</v>
      </c>
      <c r="M239" s="910">
        <f t="shared" si="92"/>
        <v>2925900.75</v>
      </c>
      <c r="N239" s="910">
        <f t="shared" si="92"/>
        <v>2925900.75</v>
      </c>
      <c r="O239" s="911">
        <f t="shared" si="90"/>
        <v>35110809</v>
      </c>
      <c r="P239" s="943">
        <f>+'19.mell.Szentmihályi Játszókert'!F8</f>
        <v>35110809</v>
      </c>
      <c r="Q239" s="907">
        <f t="shared" si="91"/>
        <v>0</v>
      </c>
      <c r="R239" s="896">
        <v>8</v>
      </c>
    </row>
    <row r="240" spans="1:18">
      <c r="A240" s="930" t="s">
        <v>21</v>
      </c>
      <c r="B240" s="933" t="s">
        <v>431</v>
      </c>
      <c r="C240" s="910">
        <v>0</v>
      </c>
      <c r="D240" s="910">
        <v>0</v>
      </c>
      <c r="E240" s="910">
        <v>0</v>
      </c>
      <c r="F240" s="910">
        <v>0</v>
      </c>
      <c r="G240" s="910">
        <v>0</v>
      </c>
      <c r="H240" s="910">
        <v>0</v>
      </c>
      <c r="I240" s="910">
        <v>0</v>
      </c>
      <c r="J240" s="910">
        <v>0</v>
      </c>
      <c r="K240" s="910">
        <v>0</v>
      </c>
      <c r="L240" s="910">
        <v>0</v>
      </c>
      <c r="M240" s="910">
        <v>0</v>
      </c>
      <c r="N240" s="910">
        <v>0</v>
      </c>
      <c r="O240" s="911">
        <f t="shared" si="90"/>
        <v>0</v>
      </c>
      <c r="P240" s="943">
        <f>+'19.mell.Szentmihályi Játszókert'!F20</f>
        <v>0</v>
      </c>
      <c r="Q240" s="907">
        <f t="shared" si="91"/>
        <v>0</v>
      </c>
      <c r="R240" s="896">
        <v>20</v>
      </c>
    </row>
    <row r="241" spans="1:18">
      <c r="A241" s="930" t="s">
        <v>23</v>
      </c>
      <c r="B241" s="933" t="s">
        <v>153</v>
      </c>
      <c r="C241" s="910">
        <v>0</v>
      </c>
      <c r="D241" s="910">
        <v>0</v>
      </c>
      <c r="E241" s="910">
        <v>0</v>
      </c>
      <c r="F241" s="910">
        <v>0</v>
      </c>
      <c r="G241" s="910">
        <v>0</v>
      </c>
      <c r="H241" s="910">
        <v>0</v>
      </c>
      <c r="I241" s="910">
        <v>0</v>
      </c>
      <c r="J241" s="910">
        <v>0</v>
      </c>
      <c r="K241" s="910">
        <v>0</v>
      </c>
      <c r="L241" s="910">
        <v>0</v>
      </c>
      <c r="M241" s="910">
        <v>0</v>
      </c>
      <c r="N241" s="910">
        <v>0</v>
      </c>
      <c r="O241" s="911">
        <f t="shared" si="90"/>
        <v>0</v>
      </c>
      <c r="P241" s="943">
        <f>+'19.mell.Szentmihályi Játszókert'!F29</f>
        <v>0</v>
      </c>
      <c r="Q241" s="907">
        <f t="shared" si="91"/>
        <v>0</v>
      </c>
      <c r="R241" s="896">
        <v>29</v>
      </c>
    </row>
    <row r="242" spans="1:18">
      <c r="A242" s="930" t="s">
        <v>25</v>
      </c>
      <c r="B242" s="931" t="s">
        <v>1281</v>
      </c>
      <c r="C242" s="913">
        <v>0</v>
      </c>
      <c r="D242" s="913">
        <v>0</v>
      </c>
      <c r="E242" s="913">
        <v>0</v>
      </c>
      <c r="F242" s="913">
        <v>0</v>
      </c>
      <c r="G242" s="913">
        <v>0</v>
      </c>
      <c r="H242" s="913">
        <v>0</v>
      </c>
      <c r="I242" s="913">
        <v>0</v>
      </c>
      <c r="J242" s="913">
        <v>0</v>
      </c>
      <c r="K242" s="913">
        <v>0</v>
      </c>
      <c r="L242" s="913">
        <v>0</v>
      </c>
      <c r="M242" s="913">
        <v>0</v>
      </c>
      <c r="N242" s="913">
        <v>0</v>
      </c>
      <c r="O242" s="911">
        <f t="shared" si="90"/>
        <v>0</v>
      </c>
      <c r="P242" s="943">
        <f>+'19.mell.Szentmihályi Játszókert'!F30</f>
        <v>0</v>
      </c>
      <c r="Q242" s="907">
        <f t="shared" si="91"/>
        <v>0</v>
      </c>
      <c r="R242" s="896">
        <v>30</v>
      </c>
    </row>
    <row r="243" spans="1:18">
      <c r="A243" s="930" t="s">
        <v>27</v>
      </c>
      <c r="B243" s="933" t="s">
        <v>1257</v>
      </c>
      <c r="C243" s="910">
        <f>+$P$243/12</f>
        <v>81514801.333333328</v>
      </c>
      <c r="D243" s="910">
        <f>+$P$243/12+2000</f>
        <v>81516801.333333328</v>
      </c>
      <c r="E243" s="910">
        <f t="shared" ref="E243:M243" si="93">+$P$243/12</f>
        <v>81514801.333333328</v>
      </c>
      <c r="F243" s="910">
        <f t="shared" si="93"/>
        <v>81514801.333333328</v>
      </c>
      <c r="G243" s="910">
        <f t="shared" si="93"/>
        <v>81514801.333333328</v>
      </c>
      <c r="H243" s="910">
        <f t="shared" si="93"/>
        <v>81514801.333333328</v>
      </c>
      <c r="I243" s="910">
        <f t="shared" si="93"/>
        <v>81514801.333333328</v>
      </c>
      <c r="J243" s="910">
        <f t="shared" si="93"/>
        <v>81514801.333333328</v>
      </c>
      <c r="K243" s="910">
        <f t="shared" si="93"/>
        <v>81514801.333333328</v>
      </c>
      <c r="L243" s="910">
        <f t="shared" si="93"/>
        <v>81514801.333333328</v>
      </c>
      <c r="M243" s="910">
        <f t="shared" si="93"/>
        <v>81514801.333333328</v>
      </c>
      <c r="N243" s="910">
        <f>+$P$243/12-2000</f>
        <v>81512801.333333328</v>
      </c>
      <c r="O243" s="951">
        <f t="shared" si="90"/>
        <v>978177616.00000012</v>
      </c>
      <c r="P243" s="943">
        <f>+'19.mell.Szentmihályi Játszókert'!F36</f>
        <v>978177616</v>
      </c>
      <c r="Q243" s="907">
        <f t="shared" si="91"/>
        <v>0</v>
      </c>
      <c r="R243" s="896">
        <v>36</v>
      </c>
    </row>
    <row r="244" spans="1:18">
      <c r="A244" s="925" t="s">
        <v>29</v>
      </c>
      <c r="B244" s="936" t="s">
        <v>2850</v>
      </c>
      <c r="C244" s="917">
        <f t="shared" ref="C244:N244" si="94">SUM(C235:C243)</f>
        <v>84440702.083333328</v>
      </c>
      <c r="D244" s="917">
        <f t="shared" si="94"/>
        <v>84442702.083333328</v>
      </c>
      <c r="E244" s="917">
        <f t="shared" si="94"/>
        <v>84440702.083333328</v>
      </c>
      <c r="F244" s="917">
        <f t="shared" si="94"/>
        <v>84440702.083333328</v>
      </c>
      <c r="G244" s="917">
        <f t="shared" si="94"/>
        <v>84440702.083333328</v>
      </c>
      <c r="H244" s="917">
        <f t="shared" si="94"/>
        <v>84440702.083333328</v>
      </c>
      <c r="I244" s="917">
        <f t="shared" si="94"/>
        <v>84440702.083333328</v>
      </c>
      <c r="J244" s="917">
        <f t="shared" si="94"/>
        <v>84440702.083333328</v>
      </c>
      <c r="K244" s="917">
        <f t="shared" si="94"/>
        <v>84440702.083333328</v>
      </c>
      <c r="L244" s="917">
        <f t="shared" si="94"/>
        <v>84440702.083333328</v>
      </c>
      <c r="M244" s="917">
        <f t="shared" si="94"/>
        <v>84440702.083333328</v>
      </c>
      <c r="N244" s="917">
        <f t="shared" si="94"/>
        <v>84438702.083333328</v>
      </c>
      <c r="O244" s="952">
        <f t="shared" si="90"/>
        <v>1013288425.0000001</v>
      </c>
      <c r="P244" s="943">
        <f>+'19.mell.Szentmihályi Játszókert'!F37</f>
        <v>1013288425</v>
      </c>
      <c r="Q244" s="907">
        <f t="shared" si="91"/>
        <v>0</v>
      </c>
      <c r="R244" s="895">
        <v>37</v>
      </c>
    </row>
    <row r="245" spans="1:18">
      <c r="A245" s="925" t="s">
        <v>31</v>
      </c>
      <c r="B245" s="3833" t="s">
        <v>391</v>
      </c>
      <c r="C245" s="3833"/>
      <c r="D245" s="3833"/>
      <c r="E245" s="3833"/>
      <c r="F245" s="3833"/>
      <c r="G245" s="3833"/>
      <c r="H245" s="3833"/>
      <c r="I245" s="3833"/>
      <c r="J245" s="3833"/>
      <c r="K245" s="3833"/>
      <c r="L245" s="3833"/>
      <c r="M245" s="3833"/>
      <c r="N245" s="3833"/>
      <c r="O245" s="3833"/>
      <c r="Q245" s="907">
        <f t="shared" si="91"/>
        <v>0</v>
      </c>
      <c r="R245" s="895"/>
    </row>
    <row r="246" spans="1:18">
      <c r="A246" s="937" t="s">
        <v>33</v>
      </c>
      <c r="B246" s="938" t="s">
        <v>9</v>
      </c>
      <c r="C246" s="910">
        <f t="shared" ref="C246:N246" si="95">+$P$246/12</f>
        <v>59897406.583333336</v>
      </c>
      <c r="D246" s="910">
        <f t="shared" si="95"/>
        <v>59897406.583333336</v>
      </c>
      <c r="E246" s="910">
        <f t="shared" si="95"/>
        <v>59897406.583333336</v>
      </c>
      <c r="F246" s="910">
        <f t="shared" si="95"/>
        <v>59897406.583333336</v>
      </c>
      <c r="G246" s="910">
        <f t="shared" si="95"/>
        <v>59897406.583333336</v>
      </c>
      <c r="H246" s="910">
        <f t="shared" si="95"/>
        <v>59897406.583333336</v>
      </c>
      <c r="I246" s="910">
        <f t="shared" si="95"/>
        <v>59897406.583333336</v>
      </c>
      <c r="J246" s="910">
        <f t="shared" si="95"/>
        <v>59897406.583333336</v>
      </c>
      <c r="K246" s="910">
        <f t="shared" si="95"/>
        <v>59897406.583333336</v>
      </c>
      <c r="L246" s="910">
        <f t="shared" si="95"/>
        <v>59897406.583333336</v>
      </c>
      <c r="M246" s="910">
        <f t="shared" si="95"/>
        <v>59897406.583333336</v>
      </c>
      <c r="N246" s="910">
        <f t="shared" si="95"/>
        <v>59897406.583333336</v>
      </c>
      <c r="O246" s="914">
        <f t="shared" ref="O246:O256" si="96">SUM(C246:N246)</f>
        <v>718768879.00000012</v>
      </c>
      <c r="P246" s="943">
        <f>+'19.mell.Szentmihályi Játszókert'!F42</f>
        <v>718768879</v>
      </c>
      <c r="Q246" s="907">
        <f t="shared" si="91"/>
        <v>0</v>
      </c>
      <c r="R246" s="896">
        <v>42</v>
      </c>
    </row>
    <row r="247" spans="1:18" ht="22.5">
      <c r="A247" s="930" t="s">
        <v>35</v>
      </c>
      <c r="B247" s="931" t="s">
        <v>8</v>
      </c>
      <c r="C247" s="910">
        <f t="shared" ref="C247:N247" si="97">+$P$247/12</f>
        <v>9276563.333333334</v>
      </c>
      <c r="D247" s="910">
        <f t="shared" si="97"/>
        <v>9276563.333333334</v>
      </c>
      <c r="E247" s="910">
        <f t="shared" si="97"/>
        <v>9276563.333333334</v>
      </c>
      <c r="F247" s="910">
        <f t="shared" si="97"/>
        <v>9276563.333333334</v>
      </c>
      <c r="G247" s="910">
        <f t="shared" si="97"/>
        <v>9276563.333333334</v>
      </c>
      <c r="H247" s="910">
        <f t="shared" si="97"/>
        <v>9276563.333333334</v>
      </c>
      <c r="I247" s="910">
        <f t="shared" si="97"/>
        <v>9276563.333333334</v>
      </c>
      <c r="J247" s="910">
        <f t="shared" si="97"/>
        <v>9276563.333333334</v>
      </c>
      <c r="K247" s="910">
        <f t="shared" si="97"/>
        <v>9276563.333333334</v>
      </c>
      <c r="L247" s="910">
        <f t="shared" si="97"/>
        <v>9276563.333333334</v>
      </c>
      <c r="M247" s="910">
        <f t="shared" si="97"/>
        <v>9276563.333333334</v>
      </c>
      <c r="N247" s="910">
        <f t="shared" si="97"/>
        <v>9276563.333333334</v>
      </c>
      <c r="O247" s="911">
        <f t="shared" si="96"/>
        <v>111318759.99999999</v>
      </c>
      <c r="P247" s="943">
        <f>+'19.mell.Szentmihályi Játszókert'!F43</f>
        <v>111318760</v>
      </c>
      <c r="Q247" s="907">
        <f t="shared" si="91"/>
        <v>0</v>
      </c>
      <c r="R247" s="896">
        <v>43</v>
      </c>
    </row>
    <row r="248" spans="1:18">
      <c r="A248" s="930" t="s">
        <v>37</v>
      </c>
      <c r="B248" s="933" t="s">
        <v>317</v>
      </c>
      <c r="C248" s="910">
        <f t="shared" ref="C248:N248" si="98">+$P$248/12</f>
        <v>15173948.083333334</v>
      </c>
      <c r="D248" s="910">
        <f t="shared" si="98"/>
        <v>15173948.083333334</v>
      </c>
      <c r="E248" s="910">
        <f t="shared" si="98"/>
        <v>15173948.083333334</v>
      </c>
      <c r="F248" s="910">
        <f t="shared" si="98"/>
        <v>15173948.083333334</v>
      </c>
      <c r="G248" s="910">
        <f t="shared" si="98"/>
        <v>15173948.083333334</v>
      </c>
      <c r="H248" s="910">
        <f t="shared" si="98"/>
        <v>15173948.083333334</v>
      </c>
      <c r="I248" s="910">
        <f t="shared" si="98"/>
        <v>15173948.083333334</v>
      </c>
      <c r="J248" s="910">
        <f t="shared" si="98"/>
        <v>15173948.083333334</v>
      </c>
      <c r="K248" s="910">
        <f t="shared" si="98"/>
        <v>15173948.083333334</v>
      </c>
      <c r="L248" s="910">
        <f t="shared" si="98"/>
        <v>15173948.083333334</v>
      </c>
      <c r="M248" s="910">
        <f t="shared" si="98"/>
        <v>15173948.083333334</v>
      </c>
      <c r="N248" s="910">
        <f t="shared" si="98"/>
        <v>15173948.083333334</v>
      </c>
      <c r="O248" s="911">
        <f t="shared" si="96"/>
        <v>182087377.00000003</v>
      </c>
      <c r="P248" s="943">
        <f>+'19.mell.Szentmihályi Játszókert'!F44</f>
        <v>182087377</v>
      </c>
      <c r="Q248" s="907">
        <f t="shared" si="91"/>
        <v>0</v>
      </c>
      <c r="R248" s="896">
        <v>44</v>
      </c>
    </row>
    <row r="249" spans="1:18">
      <c r="A249" s="930" t="s">
        <v>39</v>
      </c>
      <c r="B249" s="933" t="s">
        <v>318</v>
      </c>
      <c r="C249" s="910">
        <v>0</v>
      </c>
      <c r="D249" s="910">
        <v>0</v>
      </c>
      <c r="E249" s="910">
        <v>0</v>
      </c>
      <c r="F249" s="910">
        <v>0</v>
      </c>
      <c r="G249" s="910">
        <v>0</v>
      </c>
      <c r="H249" s="910">
        <v>0</v>
      </c>
      <c r="I249" s="910">
        <v>0</v>
      </c>
      <c r="J249" s="910">
        <v>0</v>
      </c>
      <c r="K249" s="910">
        <v>0</v>
      </c>
      <c r="L249" s="910">
        <v>0</v>
      </c>
      <c r="M249" s="910">
        <v>0</v>
      </c>
      <c r="N249" s="910">
        <v>0</v>
      </c>
      <c r="O249" s="911">
        <f t="shared" si="96"/>
        <v>0</v>
      </c>
      <c r="P249" s="943">
        <f>+'19.mell.Szentmihályi Játszókert'!F45</f>
        <v>0</v>
      </c>
      <c r="Q249" s="907">
        <f t="shared" si="91"/>
        <v>0</v>
      </c>
      <c r="R249" s="896">
        <v>45</v>
      </c>
    </row>
    <row r="250" spans="1:18">
      <c r="A250" s="930" t="s">
        <v>41</v>
      </c>
      <c r="B250" s="933" t="s">
        <v>2855</v>
      </c>
      <c r="C250" s="910">
        <v>0</v>
      </c>
      <c r="D250" s="910">
        <v>0</v>
      </c>
      <c r="E250" s="910">
        <v>0</v>
      </c>
      <c r="F250" s="910">
        <v>0</v>
      </c>
      <c r="G250" s="910">
        <v>0</v>
      </c>
      <c r="H250" s="910">
        <v>0</v>
      </c>
      <c r="I250" s="910">
        <v>0</v>
      </c>
      <c r="J250" s="910">
        <v>0</v>
      </c>
      <c r="K250" s="910">
        <v>0</v>
      </c>
      <c r="L250" s="910">
        <v>0</v>
      </c>
      <c r="M250" s="910">
        <v>0</v>
      </c>
      <c r="N250" s="910">
        <v>0</v>
      </c>
      <c r="O250" s="911">
        <f t="shared" si="96"/>
        <v>0</v>
      </c>
      <c r="P250" s="943">
        <f>+'19.mell.Szentmihályi Játszókert'!F46</f>
        <v>0</v>
      </c>
      <c r="Q250" s="907">
        <f t="shared" si="91"/>
        <v>0</v>
      </c>
      <c r="R250" s="896">
        <v>46</v>
      </c>
    </row>
    <row r="251" spans="1:18">
      <c r="A251" s="930" t="s">
        <v>314</v>
      </c>
      <c r="B251" s="933" t="s">
        <v>82</v>
      </c>
      <c r="C251" s="913">
        <v>0</v>
      </c>
      <c r="D251" s="913">
        <v>0</v>
      </c>
      <c r="E251" s="913">
        <v>0</v>
      </c>
      <c r="F251" s="913">
        <v>0</v>
      </c>
      <c r="G251" s="913">
        <v>0</v>
      </c>
      <c r="H251" s="913">
        <v>0</v>
      </c>
      <c r="I251" s="913">
        <v>0</v>
      </c>
      <c r="J251" s="913">
        <v>0</v>
      </c>
      <c r="K251" s="913">
        <v>400000</v>
      </c>
      <c r="L251" s="913">
        <v>300000</v>
      </c>
      <c r="M251" s="913">
        <v>313409</v>
      </c>
      <c r="N251" s="913">
        <v>100000</v>
      </c>
      <c r="O251" s="911">
        <f t="shared" si="96"/>
        <v>1113409</v>
      </c>
      <c r="P251" s="943">
        <f>+'19.mell.Szentmihályi Játszókert'!F48</f>
        <v>1113409</v>
      </c>
      <c r="Q251" s="907">
        <f t="shared" si="91"/>
        <v>0</v>
      </c>
      <c r="R251" s="896">
        <v>48</v>
      </c>
    </row>
    <row r="252" spans="1:18">
      <c r="A252" s="930" t="s">
        <v>402</v>
      </c>
      <c r="B252" s="931" t="s">
        <v>344</v>
      </c>
      <c r="C252" s="910">
        <v>0</v>
      </c>
      <c r="D252" s="910">
        <v>0</v>
      </c>
      <c r="E252" s="910">
        <v>0</v>
      </c>
      <c r="F252" s="910">
        <v>0</v>
      </c>
      <c r="G252" s="910">
        <v>0</v>
      </c>
      <c r="H252" s="910">
        <v>0</v>
      </c>
      <c r="I252" s="910">
        <v>0</v>
      </c>
      <c r="J252" s="910">
        <v>0</v>
      </c>
      <c r="K252" s="910">
        <v>0</v>
      </c>
      <c r="L252" s="910">
        <v>0</v>
      </c>
      <c r="M252" s="910">
        <v>0</v>
      </c>
      <c r="N252" s="910">
        <v>0</v>
      </c>
      <c r="O252" s="911">
        <f t="shared" si="96"/>
        <v>0</v>
      </c>
      <c r="P252" s="943">
        <f>+'19.mell.Szentmihályi Játszókert'!F49</f>
        <v>0</v>
      </c>
      <c r="Q252" s="907">
        <f t="shared" si="91"/>
        <v>0</v>
      </c>
      <c r="R252" s="896">
        <v>49</v>
      </c>
    </row>
    <row r="253" spans="1:18">
      <c r="A253" s="930" t="s">
        <v>404</v>
      </c>
      <c r="B253" s="933" t="s">
        <v>346</v>
      </c>
      <c r="C253" s="913">
        <v>0</v>
      </c>
      <c r="D253" s="913">
        <v>0</v>
      </c>
      <c r="E253" s="913">
        <v>0</v>
      </c>
      <c r="F253" s="913">
        <v>0</v>
      </c>
      <c r="G253" s="913">
        <v>0</v>
      </c>
      <c r="H253" s="913">
        <v>0</v>
      </c>
      <c r="I253" s="913">
        <v>0</v>
      </c>
      <c r="J253" s="913">
        <v>0</v>
      </c>
      <c r="K253" s="913">
        <v>0</v>
      </c>
      <c r="L253" s="913">
        <v>0</v>
      </c>
      <c r="M253" s="913">
        <v>0</v>
      </c>
      <c r="N253" s="913">
        <v>0</v>
      </c>
      <c r="O253" s="911">
        <f t="shared" si="96"/>
        <v>0</v>
      </c>
      <c r="P253" s="943">
        <f>+'19.mell.Szentmihályi Játszókert'!F50</f>
        <v>0</v>
      </c>
      <c r="Q253" s="907">
        <f t="shared" si="91"/>
        <v>0</v>
      </c>
      <c r="R253" s="896">
        <v>50</v>
      </c>
    </row>
    <row r="254" spans="1:18">
      <c r="A254" s="930" t="s">
        <v>407</v>
      </c>
      <c r="B254" s="933" t="s">
        <v>2851</v>
      </c>
      <c r="C254" s="934">
        <v>0</v>
      </c>
      <c r="D254" s="934">
        <v>0</v>
      </c>
      <c r="E254" s="934">
        <v>0</v>
      </c>
      <c r="F254" s="934">
        <v>0</v>
      </c>
      <c r="G254" s="934">
        <v>0</v>
      </c>
      <c r="H254" s="934">
        <v>0</v>
      </c>
      <c r="I254" s="934">
        <v>0</v>
      </c>
      <c r="J254" s="934">
        <v>0</v>
      </c>
      <c r="K254" s="934">
        <v>0</v>
      </c>
      <c r="L254" s="934">
        <v>0</v>
      </c>
      <c r="M254" s="934">
        <v>0</v>
      </c>
      <c r="N254" s="934">
        <v>0</v>
      </c>
      <c r="O254" s="935">
        <f t="shared" si="96"/>
        <v>0</v>
      </c>
      <c r="P254" s="923">
        <v>0</v>
      </c>
      <c r="Q254" s="907">
        <f t="shared" si="91"/>
        <v>0</v>
      </c>
      <c r="R254" s="896">
        <v>0</v>
      </c>
    </row>
    <row r="255" spans="1:18">
      <c r="A255" s="930" t="s">
        <v>409</v>
      </c>
      <c r="B255" s="933" t="s">
        <v>2697</v>
      </c>
      <c r="C255" s="934">
        <v>0</v>
      </c>
      <c r="D255" s="934">
        <v>0</v>
      </c>
      <c r="E255" s="934">
        <v>0</v>
      </c>
      <c r="F255" s="934">
        <v>0</v>
      </c>
      <c r="G255" s="934">
        <v>0</v>
      </c>
      <c r="H255" s="934">
        <v>0</v>
      </c>
      <c r="I255" s="934">
        <v>0</v>
      </c>
      <c r="J255" s="934">
        <v>0</v>
      </c>
      <c r="K255" s="934">
        <v>0</v>
      </c>
      <c r="L255" s="934">
        <v>0</v>
      </c>
      <c r="M255" s="934">
        <v>0</v>
      </c>
      <c r="N255" s="934">
        <v>0</v>
      </c>
      <c r="O255" s="935">
        <f t="shared" si="96"/>
        <v>0</v>
      </c>
      <c r="P255" s="923">
        <v>0</v>
      </c>
      <c r="Q255" s="907">
        <f t="shared" si="91"/>
        <v>0</v>
      </c>
      <c r="R255" s="896">
        <v>0</v>
      </c>
    </row>
    <row r="256" spans="1:18">
      <c r="A256" s="939" t="s">
        <v>410</v>
      </c>
      <c r="B256" s="936" t="s">
        <v>2852</v>
      </c>
      <c r="C256" s="917">
        <f t="shared" ref="C256:N256" si="99">SUM(C246:C255)</f>
        <v>84347918</v>
      </c>
      <c r="D256" s="917">
        <f t="shared" si="99"/>
        <v>84347918</v>
      </c>
      <c r="E256" s="917">
        <f t="shared" si="99"/>
        <v>84347918</v>
      </c>
      <c r="F256" s="917">
        <f t="shared" si="99"/>
        <v>84347918</v>
      </c>
      <c r="G256" s="917">
        <f t="shared" si="99"/>
        <v>84347918</v>
      </c>
      <c r="H256" s="917">
        <f t="shared" si="99"/>
        <v>84347918</v>
      </c>
      <c r="I256" s="917">
        <f t="shared" si="99"/>
        <v>84347918</v>
      </c>
      <c r="J256" s="917">
        <f t="shared" si="99"/>
        <v>84347918</v>
      </c>
      <c r="K256" s="917">
        <f t="shared" si="99"/>
        <v>84747918</v>
      </c>
      <c r="L256" s="917">
        <f t="shared" si="99"/>
        <v>84647918</v>
      </c>
      <c r="M256" s="917">
        <f t="shared" si="99"/>
        <v>84661327</v>
      </c>
      <c r="N256" s="917">
        <f t="shared" si="99"/>
        <v>84447918</v>
      </c>
      <c r="O256" s="918">
        <f t="shared" si="96"/>
        <v>1013288425</v>
      </c>
      <c r="P256" s="943">
        <f>+'19.mell.Szentmihályi Játszókert'!F52</f>
        <v>1013288425</v>
      </c>
      <c r="Q256" s="907">
        <f t="shared" si="91"/>
        <v>0</v>
      </c>
      <c r="R256" s="895">
        <v>52</v>
      </c>
    </row>
    <row r="257" spans="1:18">
      <c r="A257" s="939" t="s">
        <v>411</v>
      </c>
      <c r="B257" s="940" t="s">
        <v>2853</v>
      </c>
      <c r="C257" s="941">
        <f>C244-C256</f>
        <v>92784.083333328366</v>
      </c>
      <c r="D257" s="941">
        <f t="shared" ref="D257:N257" si="100">C257+D244-D256</f>
        <v>187568.16666665673</v>
      </c>
      <c r="E257" s="941">
        <f t="shared" si="100"/>
        <v>280352.2499999851</v>
      </c>
      <c r="F257" s="941">
        <f t="shared" si="100"/>
        <v>373136.33333331347</v>
      </c>
      <c r="G257" s="941">
        <f t="shared" si="100"/>
        <v>465920.41666664183</v>
      </c>
      <c r="H257" s="941">
        <f t="shared" si="100"/>
        <v>558704.4999999702</v>
      </c>
      <c r="I257" s="941">
        <f t="shared" si="100"/>
        <v>651488.58333329856</v>
      </c>
      <c r="J257" s="941">
        <f t="shared" si="100"/>
        <v>744272.66666662693</v>
      </c>
      <c r="K257" s="941">
        <f t="shared" si="100"/>
        <v>437056.7499999553</v>
      </c>
      <c r="L257" s="941">
        <f t="shared" si="100"/>
        <v>229840.83333328366</v>
      </c>
      <c r="M257" s="941">
        <f t="shared" si="100"/>
        <v>9215.9166666120291</v>
      </c>
      <c r="N257" s="941">
        <f t="shared" si="100"/>
        <v>0</v>
      </c>
      <c r="O257" s="942">
        <f>O244-O256</f>
        <v>0</v>
      </c>
      <c r="Q257" s="907"/>
      <c r="R257" s="943">
        <f>+P244-P256</f>
        <v>0</v>
      </c>
    </row>
    <row r="258" spans="1:18">
      <c r="Q258" s="907"/>
    </row>
    <row r="259" spans="1:18" ht="33" customHeight="1">
      <c r="A259" s="3834" t="s">
        <v>3780</v>
      </c>
      <c r="B259" s="3834"/>
      <c r="C259" s="3834"/>
      <c r="D259" s="3834"/>
      <c r="E259" s="3834"/>
      <c r="F259" s="3834"/>
      <c r="G259" s="3834"/>
      <c r="H259" s="3834"/>
      <c r="I259" s="3834"/>
      <c r="J259" s="3834"/>
      <c r="K259" s="3834"/>
      <c r="L259" s="3834"/>
      <c r="M259" s="3834"/>
      <c r="N259" s="3834"/>
      <c r="O259" s="3834"/>
      <c r="Q259" s="907"/>
    </row>
    <row r="260" spans="1:18">
      <c r="O260" s="924" t="s">
        <v>3300</v>
      </c>
      <c r="Q260" s="907"/>
    </row>
    <row r="261" spans="1:18" ht="24">
      <c r="A261" s="899" t="s">
        <v>2726</v>
      </c>
      <c r="B261" s="900" t="s">
        <v>136</v>
      </c>
      <c r="C261" s="900" t="s">
        <v>2837</v>
      </c>
      <c r="D261" s="900" t="s">
        <v>2838</v>
      </c>
      <c r="E261" s="900" t="s">
        <v>2839</v>
      </c>
      <c r="F261" s="900" t="s">
        <v>2840</v>
      </c>
      <c r="G261" s="900" t="s">
        <v>2841</v>
      </c>
      <c r="H261" s="900" t="s">
        <v>2842</v>
      </c>
      <c r="I261" s="900" t="s">
        <v>2843</v>
      </c>
      <c r="J261" s="900" t="s">
        <v>2844</v>
      </c>
      <c r="K261" s="900" t="s">
        <v>2845</v>
      </c>
      <c r="L261" s="900" t="s">
        <v>2846</v>
      </c>
      <c r="M261" s="900" t="s">
        <v>2847</v>
      </c>
      <c r="N261" s="900" t="s">
        <v>2848</v>
      </c>
      <c r="O261" s="901" t="s">
        <v>66</v>
      </c>
      <c r="Q261" s="907"/>
    </row>
    <row r="262" spans="1:18">
      <c r="A262" s="925" t="s">
        <v>6</v>
      </c>
      <c r="B262" s="3833" t="s">
        <v>390</v>
      </c>
      <c r="C262" s="3833"/>
      <c r="D262" s="3833"/>
      <c r="E262" s="3833"/>
      <c r="F262" s="3833"/>
      <c r="G262" s="3833"/>
      <c r="H262" s="3833"/>
      <c r="I262" s="3833"/>
      <c r="J262" s="3833"/>
      <c r="K262" s="3833"/>
      <c r="L262" s="3833"/>
      <c r="M262" s="3833"/>
      <c r="N262" s="3833"/>
      <c r="O262" s="3833"/>
      <c r="Q262" s="907"/>
    </row>
    <row r="263" spans="1:18" ht="22.5">
      <c r="A263" s="926" t="s">
        <v>12</v>
      </c>
      <c r="B263" s="927" t="s">
        <v>3385</v>
      </c>
      <c r="C263" s="928">
        <v>0</v>
      </c>
      <c r="D263" s="928">
        <v>0</v>
      </c>
      <c r="E263" s="928">
        <v>0</v>
      </c>
      <c r="F263" s="928">
        <v>0</v>
      </c>
      <c r="G263" s="928">
        <v>0</v>
      </c>
      <c r="H263" s="928">
        <v>0</v>
      </c>
      <c r="I263" s="928">
        <v>0</v>
      </c>
      <c r="J263" s="928">
        <v>0</v>
      </c>
      <c r="K263" s="928">
        <v>0</v>
      </c>
      <c r="L263" s="928">
        <v>0</v>
      </c>
      <c r="M263" s="928">
        <v>0</v>
      </c>
      <c r="N263" s="928">
        <v>0</v>
      </c>
      <c r="O263" s="929">
        <f t="shared" ref="O263:O272" si="101">SUM(C263:N263)</f>
        <v>0</v>
      </c>
      <c r="P263" s="923">
        <v>0</v>
      </c>
      <c r="Q263" s="907">
        <f t="shared" ref="Q263:Q284" si="102">O263-P263</f>
        <v>0</v>
      </c>
      <c r="R263" s="895">
        <v>0</v>
      </c>
    </row>
    <row r="264" spans="1:18">
      <c r="A264" s="930" t="s">
        <v>14</v>
      </c>
      <c r="B264" s="931" t="s">
        <v>3386</v>
      </c>
      <c r="C264" s="910">
        <v>0</v>
      </c>
      <c r="D264" s="910">
        <v>0</v>
      </c>
      <c r="E264" s="910">
        <v>0</v>
      </c>
      <c r="F264" s="910">
        <v>0</v>
      </c>
      <c r="G264" s="910">
        <v>0</v>
      </c>
      <c r="H264" s="910">
        <v>0</v>
      </c>
      <c r="I264" s="910">
        <v>0</v>
      </c>
      <c r="J264" s="910">
        <v>0</v>
      </c>
      <c r="K264" s="910">
        <v>0</v>
      </c>
      <c r="L264" s="910">
        <v>0</v>
      </c>
      <c r="M264" s="910">
        <v>0</v>
      </c>
      <c r="N264" s="910">
        <v>0</v>
      </c>
      <c r="O264" s="911">
        <f t="shared" si="101"/>
        <v>0</v>
      </c>
      <c r="P264" s="943">
        <f>+'20. mell. M. Fecskefészek'!F23</f>
        <v>0</v>
      </c>
      <c r="Q264" s="907">
        <f t="shared" si="102"/>
        <v>0</v>
      </c>
      <c r="R264" s="896">
        <v>23</v>
      </c>
    </row>
    <row r="265" spans="1:18">
      <c r="A265" s="930" t="s">
        <v>15</v>
      </c>
      <c r="B265" s="932" t="s">
        <v>2849</v>
      </c>
      <c r="C265" s="913">
        <v>0</v>
      </c>
      <c r="D265" s="913">
        <v>0</v>
      </c>
      <c r="E265" s="913">
        <v>0</v>
      </c>
      <c r="F265" s="913">
        <v>0</v>
      </c>
      <c r="G265" s="913">
        <v>0</v>
      </c>
      <c r="H265" s="913">
        <v>0</v>
      </c>
      <c r="I265" s="913">
        <v>0</v>
      </c>
      <c r="J265" s="913">
        <v>0</v>
      </c>
      <c r="K265" s="913">
        <v>0</v>
      </c>
      <c r="L265" s="913">
        <v>0</v>
      </c>
      <c r="M265" s="913">
        <v>0</v>
      </c>
      <c r="N265" s="913">
        <v>0</v>
      </c>
      <c r="O265" s="914">
        <f t="shared" si="101"/>
        <v>0</v>
      </c>
      <c r="P265" s="943">
        <f>+'20. mell. M. Fecskefészek'!F27</f>
        <v>0</v>
      </c>
      <c r="Q265" s="907">
        <f t="shared" si="102"/>
        <v>0</v>
      </c>
      <c r="R265" s="896">
        <v>27</v>
      </c>
    </row>
    <row r="266" spans="1:18">
      <c r="A266" s="930" t="s">
        <v>17</v>
      </c>
      <c r="B266" s="933" t="s">
        <v>393</v>
      </c>
      <c r="C266" s="934">
        <v>0</v>
      </c>
      <c r="D266" s="934">
        <v>0</v>
      </c>
      <c r="E266" s="934">
        <v>0</v>
      </c>
      <c r="F266" s="934">
        <v>0</v>
      </c>
      <c r="G266" s="934">
        <v>0</v>
      </c>
      <c r="H266" s="934">
        <v>0</v>
      </c>
      <c r="I266" s="934">
        <v>0</v>
      </c>
      <c r="J266" s="934">
        <v>0</v>
      </c>
      <c r="K266" s="934">
        <v>0</v>
      </c>
      <c r="L266" s="934">
        <v>0</v>
      </c>
      <c r="M266" s="934">
        <v>0</v>
      </c>
      <c r="N266" s="934">
        <v>0</v>
      </c>
      <c r="O266" s="935">
        <f t="shared" si="101"/>
        <v>0</v>
      </c>
      <c r="P266" s="943">
        <f>+'20. mell. M. Fecskefészek'!F31</f>
        <v>0</v>
      </c>
      <c r="Q266" s="907">
        <f t="shared" si="102"/>
        <v>0</v>
      </c>
      <c r="R266" s="896">
        <v>31</v>
      </c>
    </row>
    <row r="267" spans="1:18">
      <c r="A267" s="930" t="s">
        <v>19</v>
      </c>
      <c r="B267" s="933" t="s">
        <v>149</v>
      </c>
      <c r="C267" s="910">
        <f t="shared" ref="C267:N267" si="103">+$P$267/12</f>
        <v>3536439</v>
      </c>
      <c r="D267" s="910">
        <f t="shared" si="103"/>
        <v>3536439</v>
      </c>
      <c r="E267" s="910">
        <f t="shared" si="103"/>
        <v>3536439</v>
      </c>
      <c r="F267" s="910">
        <f t="shared" si="103"/>
        <v>3536439</v>
      </c>
      <c r="G267" s="910">
        <f t="shared" si="103"/>
        <v>3536439</v>
      </c>
      <c r="H267" s="910">
        <f t="shared" si="103"/>
        <v>3536439</v>
      </c>
      <c r="I267" s="910">
        <f t="shared" si="103"/>
        <v>3536439</v>
      </c>
      <c r="J267" s="910">
        <f t="shared" si="103"/>
        <v>3536439</v>
      </c>
      <c r="K267" s="910">
        <f t="shared" si="103"/>
        <v>3536439</v>
      </c>
      <c r="L267" s="910">
        <f t="shared" si="103"/>
        <v>3536439</v>
      </c>
      <c r="M267" s="910">
        <f t="shared" si="103"/>
        <v>3536439</v>
      </c>
      <c r="N267" s="910">
        <f t="shared" si="103"/>
        <v>3536439</v>
      </c>
      <c r="O267" s="911">
        <f t="shared" si="101"/>
        <v>42437268</v>
      </c>
      <c r="P267" s="943">
        <f>+'20. mell. M. Fecskefészek'!F8</f>
        <v>42437268</v>
      </c>
      <c r="Q267" s="907">
        <f t="shared" si="102"/>
        <v>0</v>
      </c>
      <c r="R267" s="896">
        <v>8</v>
      </c>
    </row>
    <row r="268" spans="1:18">
      <c r="A268" s="930" t="s">
        <v>21</v>
      </c>
      <c r="B268" s="933" t="s">
        <v>431</v>
      </c>
      <c r="C268" s="910">
        <v>0</v>
      </c>
      <c r="D268" s="910">
        <v>0</v>
      </c>
      <c r="E268" s="910">
        <v>0</v>
      </c>
      <c r="F268" s="910">
        <v>0</v>
      </c>
      <c r="G268" s="910">
        <v>0</v>
      </c>
      <c r="H268" s="910">
        <v>0</v>
      </c>
      <c r="I268" s="910">
        <v>0</v>
      </c>
      <c r="J268" s="910">
        <v>0</v>
      </c>
      <c r="K268" s="910">
        <v>0</v>
      </c>
      <c r="L268" s="910">
        <v>0</v>
      </c>
      <c r="M268" s="910">
        <v>0</v>
      </c>
      <c r="N268" s="910">
        <v>0</v>
      </c>
      <c r="O268" s="911">
        <f t="shared" si="101"/>
        <v>0</v>
      </c>
      <c r="P268" s="943">
        <f>+'20. mell. M. Fecskefészek'!F20</f>
        <v>0</v>
      </c>
      <c r="Q268" s="907">
        <f t="shared" si="102"/>
        <v>0</v>
      </c>
      <c r="R268" s="896">
        <v>20</v>
      </c>
    </row>
    <row r="269" spans="1:18">
      <c r="A269" s="930" t="s">
        <v>23</v>
      </c>
      <c r="B269" s="933" t="s">
        <v>153</v>
      </c>
      <c r="C269" s="910">
        <v>0</v>
      </c>
      <c r="D269" s="910">
        <v>0</v>
      </c>
      <c r="E269" s="910">
        <v>0</v>
      </c>
      <c r="F269" s="910">
        <v>0</v>
      </c>
      <c r="G269" s="910">
        <v>0</v>
      </c>
      <c r="H269" s="910">
        <v>0</v>
      </c>
      <c r="I269" s="910">
        <v>0</v>
      </c>
      <c r="J269" s="910">
        <v>0</v>
      </c>
      <c r="K269" s="910">
        <v>0</v>
      </c>
      <c r="L269" s="910">
        <v>0</v>
      </c>
      <c r="M269" s="910">
        <v>0</v>
      </c>
      <c r="N269" s="910">
        <v>0</v>
      </c>
      <c r="O269" s="911">
        <f t="shared" si="101"/>
        <v>0</v>
      </c>
      <c r="P269" s="943">
        <f>+'20. mell. M. Fecskefészek'!F29</f>
        <v>0</v>
      </c>
      <c r="Q269" s="907">
        <f t="shared" si="102"/>
        <v>0</v>
      </c>
      <c r="R269" s="896">
        <v>29</v>
      </c>
    </row>
    <row r="270" spans="1:18">
      <c r="A270" s="930" t="s">
        <v>25</v>
      </c>
      <c r="B270" s="931" t="s">
        <v>1281</v>
      </c>
      <c r="C270" s="913">
        <v>0</v>
      </c>
      <c r="D270" s="913">
        <v>0</v>
      </c>
      <c r="E270" s="913">
        <v>0</v>
      </c>
      <c r="F270" s="913">
        <v>0</v>
      </c>
      <c r="G270" s="913">
        <v>0</v>
      </c>
      <c r="H270" s="913">
        <v>0</v>
      </c>
      <c r="I270" s="913">
        <v>0</v>
      </c>
      <c r="J270" s="913">
        <v>0</v>
      </c>
      <c r="K270" s="913">
        <v>0</v>
      </c>
      <c r="L270" s="913">
        <v>0</v>
      </c>
      <c r="M270" s="913">
        <v>0</v>
      </c>
      <c r="N270" s="913">
        <v>0</v>
      </c>
      <c r="O270" s="911">
        <f t="shared" si="101"/>
        <v>0</v>
      </c>
      <c r="P270" s="943">
        <f>+'20. mell. M. Fecskefészek'!F30</f>
        <v>0</v>
      </c>
      <c r="Q270" s="907">
        <f t="shared" si="102"/>
        <v>0</v>
      </c>
      <c r="R270" s="896">
        <v>30</v>
      </c>
    </row>
    <row r="271" spans="1:18">
      <c r="A271" s="930" t="s">
        <v>27</v>
      </c>
      <c r="B271" s="933" t="s">
        <v>1257</v>
      </c>
      <c r="C271" s="910">
        <f>+$P$271/12</f>
        <v>96557384.666666672</v>
      </c>
      <c r="D271" s="910">
        <f>+$P$271/12+3000</f>
        <v>96560384.666666672</v>
      </c>
      <c r="E271" s="910">
        <f t="shared" ref="E271:M271" si="104">+$P$271/12</f>
        <v>96557384.666666672</v>
      </c>
      <c r="F271" s="910">
        <f t="shared" si="104"/>
        <v>96557384.666666672</v>
      </c>
      <c r="G271" s="910">
        <f t="shared" si="104"/>
        <v>96557384.666666672</v>
      </c>
      <c r="H271" s="910">
        <f t="shared" si="104"/>
        <v>96557384.666666672</v>
      </c>
      <c r="I271" s="910">
        <f t="shared" si="104"/>
        <v>96557384.666666672</v>
      </c>
      <c r="J271" s="910">
        <f t="shared" si="104"/>
        <v>96557384.666666672</v>
      </c>
      <c r="K271" s="910">
        <f t="shared" si="104"/>
        <v>96557384.666666672</v>
      </c>
      <c r="L271" s="910">
        <f t="shared" si="104"/>
        <v>96557384.666666672</v>
      </c>
      <c r="M271" s="910">
        <f t="shared" si="104"/>
        <v>96557384.666666672</v>
      </c>
      <c r="N271" s="910">
        <f>+$P$271/12-3000</f>
        <v>96554384.666666672</v>
      </c>
      <c r="O271" s="911">
        <f t="shared" si="101"/>
        <v>1158688615.9999998</v>
      </c>
      <c r="P271" s="943">
        <f>+'20. mell. M. Fecskefészek'!F36</f>
        <v>1158688616</v>
      </c>
      <c r="Q271" s="907">
        <f t="shared" si="102"/>
        <v>0</v>
      </c>
      <c r="R271" s="896">
        <v>36</v>
      </c>
    </row>
    <row r="272" spans="1:18">
      <c r="A272" s="925" t="s">
        <v>29</v>
      </c>
      <c r="B272" s="936" t="s">
        <v>2850</v>
      </c>
      <c r="C272" s="917">
        <f t="shared" ref="C272:N272" si="105">SUM(C263:C271)</f>
        <v>100093823.66666667</v>
      </c>
      <c r="D272" s="917">
        <f t="shared" si="105"/>
        <v>100096823.66666667</v>
      </c>
      <c r="E272" s="917">
        <f t="shared" si="105"/>
        <v>100093823.66666667</v>
      </c>
      <c r="F272" s="917">
        <f t="shared" si="105"/>
        <v>100093823.66666667</v>
      </c>
      <c r="G272" s="917">
        <f t="shared" si="105"/>
        <v>100093823.66666667</v>
      </c>
      <c r="H272" s="917">
        <f t="shared" si="105"/>
        <v>100093823.66666667</v>
      </c>
      <c r="I272" s="917">
        <f t="shared" si="105"/>
        <v>100093823.66666667</v>
      </c>
      <c r="J272" s="917">
        <f t="shared" si="105"/>
        <v>100093823.66666667</v>
      </c>
      <c r="K272" s="917">
        <f t="shared" si="105"/>
        <v>100093823.66666667</v>
      </c>
      <c r="L272" s="917">
        <f t="shared" si="105"/>
        <v>100093823.66666667</v>
      </c>
      <c r="M272" s="917">
        <f t="shared" si="105"/>
        <v>100093823.66666667</v>
      </c>
      <c r="N272" s="917">
        <f t="shared" si="105"/>
        <v>100090823.66666667</v>
      </c>
      <c r="O272" s="953">
        <f t="shared" si="101"/>
        <v>1201125884</v>
      </c>
      <c r="P272" s="943">
        <f>+'20. mell. M. Fecskefészek'!F37</f>
        <v>1201125884</v>
      </c>
      <c r="Q272" s="907">
        <f t="shared" si="102"/>
        <v>0</v>
      </c>
      <c r="R272" s="895">
        <v>37</v>
      </c>
    </row>
    <row r="273" spans="1:18">
      <c r="A273" s="925" t="s">
        <v>31</v>
      </c>
      <c r="B273" s="3833" t="s">
        <v>391</v>
      </c>
      <c r="C273" s="3833"/>
      <c r="D273" s="3833"/>
      <c r="E273" s="3833"/>
      <c r="F273" s="3833"/>
      <c r="G273" s="3833"/>
      <c r="H273" s="3833"/>
      <c r="I273" s="3833"/>
      <c r="J273" s="3833"/>
      <c r="K273" s="3833"/>
      <c r="L273" s="3833"/>
      <c r="M273" s="3833"/>
      <c r="N273" s="3833"/>
      <c r="O273" s="3833"/>
      <c r="Q273" s="907">
        <f t="shared" si="102"/>
        <v>0</v>
      </c>
      <c r="R273" s="895"/>
    </row>
    <row r="274" spans="1:18">
      <c r="A274" s="937" t="s">
        <v>33</v>
      </c>
      <c r="B274" s="938" t="s">
        <v>9</v>
      </c>
      <c r="C274" s="910">
        <f t="shared" ref="C274:N274" si="106">+$P$274/12</f>
        <v>71263981.416666672</v>
      </c>
      <c r="D274" s="910">
        <f t="shared" si="106"/>
        <v>71263981.416666672</v>
      </c>
      <c r="E274" s="910">
        <f t="shared" si="106"/>
        <v>71263981.416666672</v>
      </c>
      <c r="F274" s="910">
        <f t="shared" si="106"/>
        <v>71263981.416666672</v>
      </c>
      <c r="G274" s="910">
        <f t="shared" si="106"/>
        <v>71263981.416666672</v>
      </c>
      <c r="H274" s="910">
        <f t="shared" si="106"/>
        <v>71263981.416666672</v>
      </c>
      <c r="I274" s="910">
        <f t="shared" si="106"/>
        <v>71263981.416666672</v>
      </c>
      <c r="J274" s="910">
        <f t="shared" si="106"/>
        <v>71263981.416666672</v>
      </c>
      <c r="K274" s="910">
        <f t="shared" si="106"/>
        <v>71263981.416666672</v>
      </c>
      <c r="L274" s="910">
        <f t="shared" si="106"/>
        <v>71263981.416666672</v>
      </c>
      <c r="M274" s="910">
        <f t="shared" si="106"/>
        <v>71263981.416666672</v>
      </c>
      <c r="N274" s="910">
        <f t="shared" si="106"/>
        <v>71263981.416666672</v>
      </c>
      <c r="O274" s="914">
        <f t="shared" ref="O274:O284" si="107">SUM(C274:N274)</f>
        <v>855167776.99999988</v>
      </c>
      <c r="P274" s="943">
        <f>+'20. mell. M. Fecskefészek'!F42</f>
        <v>855167777</v>
      </c>
      <c r="Q274" s="907">
        <f t="shared" si="102"/>
        <v>0</v>
      </c>
      <c r="R274" s="896">
        <v>42</v>
      </c>
    </row>
    <row r="275" spans="1:18" ht="22.5">
      <c r="A275" s="930" t="s">
        <v>35</v>
      </c>
      <c r="B275" s="931" t="s">
        <v>8</v>
      </c>
      <c r="C275" s="910">
        <f t="shared" ref="C275:N275" si="108">+$P$275/12</f>
        <v>11005902.083333334</v>
      </c>
      <c r="D275" s="910">
        <f t="shared" si="108"/>
        <v>11005902.083333334</v>
      </c>
      <c r="E275" s="910">
        <f t="shared" si="108"/>
        <v>11005902.083333334</v>
      </c>
      <c r="F275" s="910">
        <f t="shared" si="108"/>
        <v>11005902.083333334</v>
      </c>
      <c r="G275" s="910">
        <f t="shared" si="108"/>
        <v>11005902.083333334</v>
      </c>
      <c r="H275" s="910">
        <f t="shared" si="108"/>
        <v>11005902.083333334</v>
      </c>
      <c r="I275" s="910">
        <f t="shared" si="108"/>
        <v>11005902.083333334</v>
      </c>
      <c r="J275" s="910">
        <f t="shared" si="108"/>
        <v>11005902.083333334</v>
      </c>
      <c r="K275" s="910">
        <f t="shared" si="108"/>
        <v>11005902.083333334</v>
      </c>
      <c r="L275" s="910">
        <f t="shared" si="108"/>
        <v>11005902.083333334</v>
      </c>
      <c r="M275" s="910">
        <f t="shared" si="108"/>
        <v>11005902.083333334</v>
      </c>
      <c r="N275" s="910">
        <f t="shared" si="108"/>
        <v>11005902.083333334</v>
      </c>
      <c r="O275" s="914">
        <f t="shared" si="107"/>
        <v>132070824.99999999</v>
      </c>
      <c r="P275" s="943">
        <f>+'20. mell. M. Fecskefészek'!F43</f>
        <v>132070825</v>
      </c>
      <c r="Q275" s="907">
        <f t="shared" si="102"/>
        <v>0</v>
      </c>
      <c r="R275" s="896">
        <v>43</v>
      </c>
    </row>
    <row r="276" spans="1:18">
      <c r="A276" s="930" t="s">
        <v>37</v>
      </c>
      <c r="B276" s="933" t="s">
        <v>317</v>
      </c>
      <c r="C276" s="910">
        <f t="shared" ref="C276:N276" si="109">+$P$276/12</f>
        <v>17715990.166666668</v>
      </c>
      <c r="D276" s="910">
        <f t="shared" si="109"/>
        <v>17715990.166666668</v>
      </c>
      <c r="E276" s="910">
        <f t="shared" si="109"/>
        <v>17715990.166666668</v>
      </c>
      <c r="F276" s="910">
        <f t="shared" si="109"/>
        <v>17715990.166666668</v>
      </c>
      <c r="G276" s="910">
        <f t="shared" si="109"/>
        <v>17715990.166666668</v>
      </c>
      <c r="H276" s="910">
        <f t="shared" si="109"/>
        <v>17715990.166666668</v>
      </c>
      <c r="I276" s="910">
        <f t="shared" si="109"/>
        <v>17715990.166666668</v>
      </c>
      <c r="J276" s="910">
        <f t="shared" si="109"/>
        <v>17715990.166666668</v>
      </c>
      <c r="K276" s="910">
        <f t="shared" si="109"/>
        <v>17715990.166666668</v>
      </c>
      <c r="L276" s="910">
        <f t="shared" si="109"/>
        <v>17715990.166666668</v>
      </c>
      <c r="M276" s="910">
        <f t="shared" si="109"/>
        <v>17715990.166666668</v>
      </c>
      <c r="N276" s="910">
        <f t="shared" si="109"/>
        <v>17715990.166666668</v>
      </c>
      <c r="O276" s="911">
        <f t="shared" si="107"/>
        <v>212591881.99999997</v>
      </c>
      <c r="P276" s="943">
        <f>+'20. mell. M. Fecskefészek'!F44</f>
        <v>212591882</v>
      </c>
      <c r="Q276" s="907">
        <f t="shared" si="102"/>
        <v>0</v>
      </c>
      <c r="R276" s="896">
        <v>44</v>
      </c>
    </row>
    <row r="277" spans="1:18">
      <c r="A277" s="930" t="s">
        <v>39</v>
      </c>
      <c r="B277" s="933" t="s">
        <v>318</v>
      </c>
      <c r="C277" s="910">
        <v>0</v>
      </c>
      <c r="D277" s="910">
        <v>0</v>
      </c>
      <c r="E277" s="910">
        <v>0</v>
      </c>
      <c r="F277" s="910">
        <v>0</v>
      </c>
      <c r="G277" s="910">
        <v>0</v>
      </c>
      <c r="H277" s="910">
        <v>0</v>
      </c>
      <c r="I277" s="910">
        <v>0</v>
      </c>
      <c r="J277" s="910">
        <v>0</v>
      </c>
      <c r="K277" s="910">
        <v>0</v>
      </c>
      <c r="L277" s="910">
        <v>0</v>
      </c>
      <c r="M277" s="910">
        <v>0</v>
      </c>
      <c r="N277" s="910">
        <v>0</v>
      </c>
      <c r="O277" s="911">
        <f t="shared" si="107"/>
        <v>0</v>
      </c>
      <c r="P277" s="943">
        <f>+'20. mell. M. Fecskefészek'!F45</f>
        <v>0</v>
      </c>
      <c r="Q277" s="907">
        <f t="shared" si="102"/>
        <v>0</v>
      </c>
      <c r="R277" s="896">
        <v>45</v>
      </c>
    </row>
    <row r="278" spans="1:18">
      <c r="A278" s="930" t="s">
        <v>41</v>
      </c>
      <c r="B278" s="933" t="s">
        <v>2855</v>
      </c>
      <c r="C278" s="913">
        <v>0</v>
      </c>
      <c r="D278" s="913">
        <v>0</v>
      </c>
      <c r="E278" s="913">
        <v>0</v>
      </c>
      <c r="F278" s="913">
        <v>0</v>
      </c>
      <c r="G278" s="913">
        <v>0</v>
      </c>
      <c r="H278" s="913">
        <v>0</v>
      </c>
      <c r="I278" s="913">
        <v>0</v>
      </c>
      <c r="J278" s="913">
        <v>0</v>
      </c>
      <c r="K278" s="913">
        <v>0</v>
      </c>
      <c r="L278" s="913">
        <v>0</v>
      </c>
      <c r="M278" s="913">
        <v>0</v>
      </c>
      <c r="N278" s="913">
        <v>0</v>
      </c>
      <c r="O278" s="911">
        <f t="shared" si="107"/>
        <v>0</v>
      </c>
      <c r="P278" s="943">
        <f>+'20. mell. M. Fecskefészek'!F46</f>
        <v>0</v>
      </c>
      <c r="Q278" s="907">
        <f t="shared" si="102"/>
        <v>0</v>
      </c>
      <c r="R278" s="896">
        <v>46</v>
      </c>
    </row>
    <row r="279" spans="1:18">
      <c r="A279" s="930" t="s">
        <v>314</v>
      </c>
      <c r="B279" s="933" t="s">
        <v>82</v>
      </c>
      <c r="C279" s="910">
        <v>0</v>
      </c>
      <c r="D279" s="910">
        <v>0</v>
      </c>
      <c r="E279" s="910">
        <v>0</v>
      </c>
      <c r="F279" s="910">
        <v>0</v>
      </c>
      <c r="G279" s="910">
        <v>150000</v>
      </c>
      <c r="H279" s="910">
        <v>0</v>
      </c>
      <c r="I279" s="910">
        <v>0</v>
      </c>
      <c r="J279" s="910">
        <v>0</v>
      </c>
      <c r="K279" s="910">
        <v>445400</v>
      </c>
      <c r="L279" s="910">
        <v>350000</v>
      </c>
      <c r="M279" s="910">
        <v>200000</v>
      </c>
      <c r="N279" s="910">
        <v>150000</v>
      </c>
      <c r="O279" s="911">
        <f t="shared" si="107"/>
        <v>1295400</v>
      </c>
      <c r="P279" s="943">
        <f>+'20. mell. M. Fecskefészek'!F48</f>
        <v>1295400</v>
      </c>
      <c r="Q279" s="907">
        <f t="shared" si="102"/>
        <v>0</v>
      </c>
      <c r="R279" s="896">
        <v>48</v>
      </c>
    </row>
    <row r="280" spans="1:18">
      <c r="A280" s="930" t="s">
        <v>402</v>
      </c>
      <c r="B280" s="931" t="s">
        <v>344</v>
      </c>
      <c r="C280" s="910">
        <v>0</v>
      </c>
      <c r="D280" s="910">
        <v>0</v>
      </c>
      <c r="E280" s="910">
        <v>0</v>
      </c>
      <c r="F280" s="910">
        <v>0</v>
      </c>
      <c r="G280" s="910">
        <v>0</v>
      </c>
      <c r="H280" s="910">
        <v>0</v>
      </c>
      <c r="I280" s="910">
        <v>0</v>
      </c>
      <c r="J280" s="910">
        <v>0</v>
      </c>
      <c r="K280" s="910">
        <v>0</v>
      </c>
      <c r="L280" s="910">
        <v>0</v>
      </c>
      <c r="M280" s="910">
        <v>0</v>
      </c>
      <c r="N280" s="910">
        <v>0</v>
      </c>
      <c r="O280" s="911">
        <f t="shared" si="107"/>
        <v>0</v>
      </c>
      <c r="P280" s="943">
        <f>+'20. mell. M. Fecskefészek'!F49</f>
        <v>0</v>
      </c>
      <c r="Q280" s="907">
        <f t="shared" si="102"/>
        <v>0</v>
      </c>
      <c r="R280" s="896">
        <v>49</v>
      </c>
    </row>
    <row r="281" spans="1:18">
      <c r="A281" s="930" t="s">
        <v>404</v>
      </c>
      <c r="B281" s="933" t="s">
        <v>346</v>
      </c>
      <c r="C281" s="913">
        <v>0</v>
      </c>
      <c r="D281" s="913">
        <v>0</v>
      </c>
      <c r="E281" s="913">
        <v>0</v>
      </c>
      <c r="F281" s="913">
        <v>0</v>
      </c>
      <c r="G281" s="913">
        <v>0</v>
      </c>
      <c r="H281" s="913">
        <v>0</v>
      </c>
      <c r="I281" s="913">
        <v>0</v>
      </c>
      <c r="J281" s="913">
        <v>0</v>
      </c>
      <c r="K281" s="913">
        <v>0</v>
      </c>
      <c r="L281" s="913">
        <v>0</v>
      </c>
      <c r="M281" s="913">
        <v>0</v>
      </c>
      <c r="N281" s="913">
        <v>0</v>
      </c>
      <c r="O281" s="911">
        <f t="shared" si="107"/>
        <v>0</v>
      </c>
      <c r="P281" s="943">
        <f>+'20. mell. M. Fecskefészek'!F50</f>
        <v>0</v>
      </c>
      <c r="Q281" s="907">
        <f t="shared" si="102"/>
        <v>0</v>
      </c>
      <c r="R281" s="896">
        <v>50</v>
      </c>
    </row>
    <row r="282" spans="1:18">
      <c r="A282" s="930" t="s">
        <v>407</v>
      </c>
      <c r="B282" s="933" t="s">
        <v>2851</v>
      </c>
      <c r="C282" s="934">
        <v>0</v>
      </c>
      <c r="D282" s="934">
        <v>0</v>
      </c>
      <c r="E282" s="934">
        <v>0</v>
      </c>
      <c r="F282" s="934">
        <v>0</v>
      </c>
      <c r="G282" s="934">
        <v>0</v>
      </c>
      <c r="H282" s="934">
        <v>0</v>
      </c>
      <c r="I282" s="934">
        <v>0</v>
      </c>
      <c r="J282" s="934">
        <v>0</v>
      </c>
      <c r="K282" s="934">
        <v>0</v>
      </c>
      <c r="L282" s="934">
        <v>0</v>
      </c>
      <c r="M282" s="934">
        <v>0</v>
      </c>
      <c r="N282" s="934">
        <v>0</v>
      </c>
      <c r="O282" s="935">
        <f t="shared" si="107"/>
        <v>0</v>
      </c>
      <c r="P282" s="923">
        <v>0</v>
      </c>
      <c r="Q282" s="907">
        <f t="shared" si="102"/>
        <v>0</v>
      </c>
      <c r="R282" s="896">
        <v>0</v>
      </c>
    </row>
    <row r="283" spans="1:18">
      <c r="A283" s="930" t="s">
        <v>409</v>
      </c>
      <c r="B283" s="933" t="s">
        <v>2697</v>
      </c>
      <c r="C283" s="934">
        <v>0</v>
      </c>
      <c r="D283" s="934">
        <v>0</v>
      </c>
      <c r="E283" s="934">
        <v>0</v>
      </c>
      <c r="F283" s="934">
        <v>0</v>
      </c>
      <c r="G283" s="934">
        <v>0</v>
      </c>
      <c r="H283" s="934">
        <v>0</v>
      </c>
      <c r="I283" s="934">
        <v>0</v>
      </c>
      <c r="J283" s="934">
        <v>0</v>
      </c>
      <c r="K283" s="934">
        <v>0</v>
      </c>
      <c r="L283" s="934">
        <v>0</v>
      </c>
      <c r="M283" s="934">
        <v>0</v>
      </c>
      <c r="N283" s="934">
        <v>0</v>
      </c>
      <c r="O283" s="935">
        <f t="shared" si="107"/>
        <v>0</v>
      </c>
      <c r="P283" s="923">
        <v>0</v>
      </c>
      <c r="Q283" s="907">
        <f t="shared" si="102"/>
        <v>0</v>
      </c>
      <c r="R283" s="896">
        <v>0</v>
      </c>
    </row>
    <row r="284" spans="1:18">
      <c r="A284" s="939" t="s">
        <v>410</v>
      </c>
      <c r="B284" s="936" t="s">
        <v>2852</v>
      </c>
      <c r="C284" s="917">
        <f t="shared" ref="C284:N284" si="110">SUM(C274:C283)</f>
        <v>99985873.666666672</v>
      </c>
      <c r="D284" s="917">
        <f t="shared" si="110"/>
        <v>99985873.666666672</v>
      </c>
      <c r="E284" s="917">
        <f t="shared" si="110"/>
        <v>99985873.666666672</v>
      </c>
      <c r="F284" s="917">
        <f t="shared" si="110"/>
        <v>99985873.666666672</v>
      </c>
      <c r="G284" s="917">
        <f t="shared" si="110"/>
        <v>100135873.66666667</v>
      </c>
      <c r="H284" s="917">
        <f t="shared" si="110"/>
        <v>99985873.666666672</v>
      </c>
      <c r="I284" s="917">
        <f t="shared" si="110"/>
        <v>99985873.666666672</v>
      </c>
      <c r="J284" s="917">
        <f t="shared" si="110"/>
        <v>99985873.666666672</v>
      </c>
      <c r="K284" s="917">
        <f t="shared" si="110"/>
        <v>100431273.66666667</v>
      </c>
      <c r="L284" s="917">
        <f t="shared" si="110"/>
        <v>100335873.66666667</v>
      </c>
      <c r="M284" s="917">
        <f t="shared" si="110"/>
        <v>100185873.66666667</v>
      </c>
      <c r="N284" s="917">
        <f t="shared" si="110"/>
        <v>100135873.66666667</v>
      </c>
      <c r="O284" s="918">
        <f t="shared" si="107"/>
        <v>1201125884</v>
      </c>
      <c r="P284" s="943">
        <f>+'20. mell. M. Fecskefészek'!F52</f>
        <v>1201125884</v>
      </c>
      <c r="Q284" s="907">
        <f t="shared" si="102"/>
        <v>0</v>
      </c>
      <c r="R284" s="895">
        <v>52</v>
      </c>
    </row>
    <row r="285" spans="1:18">
      <c r="A285" s="939" t="s">
        <v>411</v>
      </c>
      <c r="B285" s="940" t="s">
        <v>2853</v>
      </c>
      <c r="C285" s="941">
        <f>C272-C284</f>
        <v>107950</v>
      </c>
      <c r="D285" s="941">
        <f t="shared" ref="D285:N285" si="111">C285+D272-D284</f>
        <v>218900</v>
      </c>
      <c r="E285" s="941">
        <f t="shared" si="111"/>
        <v>326850</v>
      </c>
      <c r="F285" s="941">
        <f t="shared" si="111"/>
        <v>434800</v>
      </c>
      <c r="G285" s="941">
        <f t="shared" si="111"/>
        <v>392750</v>
      </c>
      <c r="H285" s="941">
        <f t="shared" si="111"/>
        <v>500700</v>
      </c>
      <c r="I285" s="941">
        <f t="shared" si="111"/>
        <v>608650</v>
      </c>
      <c r="J285" s="941">
        <f t="shared" si="111"/>
        <v>716600</v>
      </c>
      <c r="K285" s="941">
        <f t="shared" si="111"/>
        <v>379150</v>
      </c>
      <c r="L285" s="941">
        <f t="shared" si="111"/>
        <v>137100</v>
      </c>
      <c r="M285" s="941">
        <f t="shared" si="111"/>
        <v>45050</v>
      </c>
      <c r="N285" s="941">
        <f t="shared" si="111"/>
        <v>0</v>
      </c>
      <c r="O285" s="942">
        <f>O272-O284</f>
        <v>0</v>
      </c>
      <c r="Q285" s="907"/>
      <c r="R285" s="943">
        <f>+P272-P284</f>
        <v>0</v>
      </c>
    </row>
    <row r="286" spans="1:18">
      <c r="Q286" s="907"/>
    </row>
    <row r="287" spans="1:18" ht="33.75" customHeight="1">
      <c r="A287" s="3834" t="s">
        <v>3781</v>
      </c>
      <c r="B287" s="3834"/>
      <c r="C287" s="3834"/>
      <c r="D287" s="3834"/>
      <c r="E287" s="3834"/>
      <c r="F287" s="3834"/>
      <c r="G287" s="3834"/>
      <c r="H287" s="3834"/>
      <c r="I287" s="3834"/>
      <c r="J287" s="3834"/>
      <c r="K287" s="3834"/>
      <c r="L287" s="3834"/>
      <c r="M287" s="3834"/>
      <c r="N287" s="3834"/>
      <c r="O287" s="3834"/>
      <c r="Q287" s="907"/>
    </row>
    <row r="288" spans="1:18">
      <c r="O288" s="924" t="s">
        <v>3300</v>
      </c>
      <c r="Q288" s="907"/>
    </row>
    <row r="289" spans="1:18" ht="24">
      <c r="A289" s="899" t="s">
        <v>2726</v>
      </c>
      <c r="B289" s="900" t="s">
        <v>136</v>
      </c>
      <c r="C289" s="900" t="s">
        <v>2837</v>
      </c>
      <c r="D289" s="900" t="s">
        <v>2838</v>
      </c>
      <c r="E289" s="900" t="s">
        <v>2839</v>
      </c>
      <c r="F289" s="900" t="s">
        <v>2840</v>
      </c>
      <c r="G289" s="900" t="s">
        <v>2841</v>
      </c>
      <c r="H289" s="900" t="s">
        <v>2842</v>
      </c>
      <c r="I289" s="900" t="s">
        <v>2843</v>
      </c>
      <c r="J289" s="900" t="s">
        <v>2844</v>
      </c>
      <c r="K289" s="900" t="s">
        <v>2845</v>
      </c>
      <c r="L289" s="900" t="s">
        <v>2846</v>
      </c>
      <c r="M289" s="900" t="s">
        <v>2847</v>
      </c>
      <c r="N289" s="900" t="s">
        <v>2848</v>
      </c>
      <c r="O289" s="901" t="s">
        <v>66</v>
      </c>
      <c r="Q289" s="907"/>
    </row>
    <row r="290" spans="1:18">
      <c r="A290" s="925" t="s">
        <v>6</v>
      </c>
      <c r="B290" s="3833" t="s">
        <v>390</v>
      </c>
      <c r="C290" s="3833"/>
      <c r="D290" s="3833"/>
      <c r="E290" s="3833"/>
      <c r="F290" s="3833"/>
      <c r="G290" s="3833"/>
      <c r="H290" s="3833"/>
      <c r="I290" s="3833"/>
      <c r="J290" s="3833"/>
      <c r="K290" s="3833"/>
      <c r="L290" s="3833"/>
      <c r="M290" s="3833"/>
      <c r="N290" s="3833"/>
      <c r="O290" s="3833"/>
      <c r="Q290" s="907"/>
    </row>
    <row r="291" spans="1:18" ht="22.5">
      <c r="A291" s="926" t="s">
        <v>12</v>
      </c>
      <c r="B291" s="927" t="s">
        <v>3385</v>
      </c>
      <c r="C291" s="928">
        <v>0</v>
      </c>
      <c r="D291" s="928">
        <v>0</v>
      </c>
      <c r="E291" s="928">
        <v>0</v>
      </c>
      <c r="F291" s="928">
        <v>0</v>
      </c>
      <c r="G291" s="928">
        <v>0</v>
      </c>
      <c r="H291" s="928">
        <v>0</v>
      </c>
      <c r="I291" s="928">
        <v>0</v>
      </c>
      <c r="J291" s="928">
        <v>0</v>
      </c>
      <c r="K291" s="928">
        <v>0</v>
      </c>
      <c r="L291" s="928">
        <v>0</v>
      </c>
      <c r="M291" s="928">
        <v>0</v>
      </c>
      <c r="N291" s="928">
        <v>0</v>
      </c>
      <c r="O291" s="929">
        <f t="shared" ref="O291:O300" si="112">SUM(C291:N291)</f>
        <v>0</v>
      </c>
      <c r="P291" s="923">
        <v>0</v>
      </c>
      <c r="Q291" s="907">
        <f t="shared" ref="Q291:Q313" si="113">O291-P291</f>
        <v>0</v>
      </c>
      <c r="R291" s="895">
        <v>0</v>
      </c>
    </row>
    <row r="292" spans="1:18">
      <c r="A292" s="930" t="s">
        <v>14</v>
      </c>
      <c r="B292" s="931" t="s">
        <v>3386</v>
      </c>
      <c r="C292" s="910">
        <v>0</v>
      </c>
      <c r="D292" s="910">
        <v>0</v>
      </c>
      <c r="E292" s="910">
        <v>0</v>
      </c>
      <c r="F292" s="910">
        <v>0</v>
      </c>
      <c r="G292" s="910">
        <v>0</v>
      </c>
      <c r="H292" s="910">
        <v>0</v>
      </c>
      <c r="I292" s="910">
        <v>0</v>
      </c>
      <c r="J292" s="910">
        <v>0</v>
      </c>
      <c r="K292" s="910">
        <v>0</v>
      </c>
      <c r="L292" s="910">
        <v>0</v>
      </c>
      <c r="M292" s="910">
        <v>0</v>
      </c>
      <c r="N292" s="910">
        <v>0</v>
      </c>
      <c r="O292" s="911">
        <f t="shared" si="112"/>
        <v>0</v>
      </c>
      <c r="P292" s="943">
        <f>+'21. mell. CMH'!F23</f>
        <v>0</v>
      </c>
      <c r="Q292" s="907">
        <f t="shared" si="113"/>
        <v>0</v>
      </c>
      <c r="R292" s="896">
        <v>23</v>
      </c>
    </row>
    <row r="293" spans="1:18">
      <c r="A293" s="930" t="s">
        <v>15</v>
      </c>
      <c r="B293" s="932" t="s">
        <v>2849</v>
      </c>
      <c r="C293" s="913">
        <v>0</v>
      </c>
      <c r="D293" s="913">
        <v>0</v>
      </c>
      <c r="E293" s="913">
        <v>0</v>
      </c>
      <c r="F293" s="913">
        <v>0</v>
      </c>
      <c r="G293" s="913">
        <v>0</v>
      </c>
      <c r="H293" s="913">
        <v>0</v>
      </c>
      <c r="I293" s="913">
        <v>0</v>
      </c>
      <c r="J293" s="913">
        <v>0</v>
      </c>
      <c r="K293" s="913">
        <v>0</v>
      </c>
      <c r="L293" s="913">
        <v>0</v>
      </c>
      <c r="M293" s="913">
        <v>0</v>
      </c>
      <c r="N293" s="913">
        <v>0</v>
      </c>
      <c r="O293" s="914">
        <f t="shared" si="112"/>
        <v>0</v>
      </c>
      <c r="P293" s="943">
        <f>+'21. mell. CMH'!F27</f>
        <v>0</v>
      </c>
      <c r="Q293" s="907">
        <f t="shared" si="113"/>
        <v>0</v>
      </c>
      <c r="R293" s="896">
        <v>27</v>
      </c>
    </row>
    <row r="294" spans="1:18">
      <c r="A294" s="930" t="s">
        <v>17</v>
      </c>
      <c r="B294" s="933" t="s">
        <v>393</v>
      </c>
      <c r="C294" s="934">
        <v>0</v>
      </c>
      <c r="D294" s="934">
        <v>0</v>
      </c>
      <c r="E294" s="934">
        <v>0</v>
      </c>
      <c r="F294" s="934">
        <v>0</v>
      </c>
      <c r="G294" s="934">
        <v>0</v>
      </c>
      <c r="H294" s="934">
        <v>0</v>
      </c>
      <c r="I294" s="934">
        <v>0</v>
      </c>
      <c r="J294" s="934">
        <v>0</v>
      </c>
      <c r="K294" s="934">
        <v>0</v>
      </c>
      <c r="L294" s="934">
        <v>0</v>
      </c>
      <c r="M294" s="934">
        <v>0</v>
      </c>
      <c r="N294" s="934">
        <v>0</v>
      </c>
      <c r="O294" s="935">
        <f t="shared" si="112"/>
        <v>0</v>
      </c>
      <c r="P294" s="943">
        <f>+'21. mell. CMH'!F31</f>
        <v>0</v>
      </c>
      <c r="Q294" s="907">
        <f t="shared" si="113"/>
        <v>0</v>
      </c>
      <c r="R294" s="896">
        <v>31</v>
      </c>
    </row>
    <row r="295" spans="1:18">
      <c r="A295" s="930" t="s">
        <v>19</v>
      </c>
      <c r="B295" s="933" t="s">
        <v>149</v>
      </c>
      <c r="C295" s="910">
        <f t="shared" ref="C295:N295" si="114">+$P$295/12</f>
        <v>10526666.25</v>
      </c>
      <c r="D295" s="910">
        <f t="shared" si="114"/>
        <v>10526666.25</v>
      </c>
      <c r="E295" s="910">
        <f t="shared" si="114"/>
        <v>10526666.25</v>
      </c>
      <c r="F295" s="910">
        <f t="shared" si="114"/>
        <v>10526666.25</v>
      </c>
      <c r="G295" s="910">
        <f t="shared" si="114"/>
        <v>10526666.25</v>
      </c>
      <c r="H295" s="910">
        <f t="shared" si="114"/>
        <v>10526666.25</v>
      </c>
      <c r="I295" s="910">
        <f t="shared" si="114"/>
        <v>10526666.25</v>
      </c>
      <c r="J295" s="910">
        <f t="shared" si="114"/>
        <v>10526666.25</v>
      </c>
      <c r="K295" s="910">
        <f t="shared" si="114"/>
        <v>10526666.25</v>
      </c>
      <c r="L295" s="910">
        <f t="shared" si="114"/>
        <v>10526666.25</v>
      </c>
      <c r="M295" s="910">
        <f t="shared" si="114"/>
        <v>10526666.25</v>
      </c>
      <c r="N295" s="910">
        <f t="shared" si="114"/>
        <v>10526666.25</v>
      </c>
      <c r="O295" s="911">
        <f t="shared" si="112"/>
        <v>126319995</v>
      </c>
      <c r="P295" s="943">
        <f>+'21. mell. CMH'!F8</f>
        <v>126319995</v>
      </c>
      <c r="Q295" s="907">
        <f t="shared" si="113"/>
        <v>0</v>
      </c>
      <c r="R295" s="896">
        <v>8</v>
      </c>
    </row>
    <row r="296" spans="1:18">
      <c r="A296" s="930" t="s">
        <v>21</v>
      </c>
      <c r="B296" s="933" t="s">
        <v>431</v>
      </c>
      <c r="C296" s="910">
        <v>0</v>
      </c>
      <c r="D296" s="910">
        <v>0</v>
      </c>
      <c r="E296" s="910">
        <v>0</v>
      </c>
      <c r="F296" s="910">
        <v>0</v>
      </c>
      <c r="G296" s="910">
        <v>0</v>
      </c>
      <c r="H296" s="910">
        <v>0</v>
      </c>
      <c r="I296" s="910">
        <v>0</v>
      </c>
      <c r="J296" s="910">
        <v>0</v>
      </c>
      <c r="K296" s="910">
        <v>0</v>
      </c>
      <c r="L296" s="910">
        <v>0</v>
      </c>
      <c r="M296" s="910">
        <v>0</v>
      </c>
      <c r="N296" s="910">
        <v>0</v>
      </c>
      <c r="O296" s="911">
        <f t="shared" si="112"/>
        <v>0</v>
      </c>
      <c r="P296" s="943">
        <f>+'21. mell. CMH'!F20</f>
        <v>0</v>
      </c>
      <c r="Q296" s="907">
        <f t="shared" si="113"/>
        <v>0</v>
      </c>
      <c r="R296" s="896">
        <v>20</v>
      </c>
    </row>
    <row r="297" spans="1:18">
      <c r="A297" s="930" t="s">
        <v>23</v>
      </c>
      <c r="B297" s="933" t="s">
        <v>153</v>
      </c>
      <c r="C297" s="910">
        <v>0</v>
      </c>
      <c r="D297" s="910">
        <v>0</v>
      </c>
      <c r="E297" s="910">
        <v>0</v>
      </c>
      <c r="F297" s="910">
        <v>0</v>
      </c>
      <c r="G297" s="910">
        <v>0</v>
      </c>
      <c r="H297" s="910">
        <v>0</v>
      </c>
      <c r="I297" s="910">
        <v>0</v>
      </c>
      <c r="J297" s="910">
        <v>0</v>
      </c>
      <c r="K297" s="910">
        <v>0</v>
      </c>
      <c r="L297" s="910">
        <v>0</v>
      </c>
      <c r="M297" s="910">
        <v>0</v>
      </c>
      <c r="N297" s="910">
        <v>0</v>
      </c>
      <c r="O297" s="911">
        <f t="shared" si="112"/>
        <v>0</v>
      </c>
      <c r="P297" s="943">
        <f>+'21. mell. CMH'!F29</f>
        <v>0</v>
      </c>
      <c r="Q297" s="907">
        <f t="shared" si="113"/>
        <v>0</v>
      </c>
      <c r="R297" s="896">
        <v>29</v>
      </c>
    </row>
    <row r="298" spans="1:18">
      <c r="A298" s="930" t="s">
        <v>25</v>
      </c>
      <c r="B298" s="931" t="s">
        <v>1281</v>
      </c>
      <c r="C298" s="913">
        <v>0</v>
      </c>
      <c r="D298" s="913">
        <v>0</v>
      </c>
      <c r="E298" s="913">
        <v>0</v>
      </c>
      <c r="F298" s="913">
        <v>0</v>
      </c>
      <c r="G298" s="913">
        <v>0</v>
      </c>
      <c r="H298" s="913">
        <v>0</v>
      </c>
      <c r="I298" s="913">
        <v>0</v>
      </c>
      <c r="J298" s="913">
        <v>0</v>
      </c>
      <c r="K298" s="913">
        <v>0</v>
      </c>
      <c r="L298" s="913">
        <v>0</v>
      </c>
      <c r="M298" s="913">
        <v>0</v>
      </c>
      <c r="N298" s="913">
        <v>0</v>
      </c>
      <c r="O298" s="911">
        <f t="shared" si="112"/>
        <v>0</v>
      </c>
      <c r="P298" s="943">
        <f>+'21. mell. CMH'!F30</f>
        <v>0</v>
      </c>
      <c r="Q298" s="907">
        <f t="shared" si="113"/>
        <v>0</v>
      </c>
      <c r="R298" s="896">
        <v>30</v>
      </c>
    </row>
    <row r="299" spans="1:18">
      <c r="A299" s="930" t="s">
        <v>27</v>
      </c>
      <c r="B299" s="933" t="s">
        <v>1257</v>
      </c>
      <c r="C299" s="910">
        <f>+$P$299/12</f>
        <v>38836869.75</v>
      </c>
      <c r="D299" s="910">
        <f>+$P$299/12</f>
        <v>38836869.75</v>
      </c>
      <c r="E299" s="910">
        <f>+$P$299/12</f>
        <v>38836869.75</v>
      </c>
      <c r="F299" s="910">
        <f>+$P$299/12</f>
        <v>38836869.75</v>
      </c>
      <c r="G299" s="910">
        <f>+$P$299/12+10000</f>
        <v>38846869.75</v>
      </c>
      <c r="H299" s="910">
        <f>+$P$299/12+2000</f>
        <v>38838869.75</v>
      </c>
      <c r="I299" s="910">
        <f>+$P$299/12</f>
        <v>38836869.75</v>
      </c>
      <c r="J299" s="910">
        <f>+$P$299/12</f>
        <v>38836869.75</v>
      </c>
      <c r="K299" s="910">
        <f>+$P$299/12</f>
        <v>38836869.75</v>
      </c>
      <c r="L299" s="910">
        <f>+$P$299/12</f>
        <v>38836869.75</v>
      </c>
      <c r="M299" s="910">
        <f>+$P$299/12</f>
        <v>38836869.75</v>
      </c>
      <c r="N299" s="910">
        <f>+$P$299/12-12000</f>
        <v>38824869.75</v>
      </c>
      <c r="O299" s="951">
        <f t="shared" si="112"/>
        <v>466042437</v>
      </c>
      <c r="P299" s="943">
        <f>+'21. mell. CMH'!F36+'21. mell. CMH'!F34</f>
        <v>466042437</v>
      </c>
      <c r="Q299" s="907">
        <f t="shared" si="113"/>
        <v>0</v>
      </c>
      <c r="R299" s="896">
        <v>36</v>
      </c>
    </row>
    <row r="300" spans="1:18">
      <c r="A300" s="925" t="s">
        <v>29</v>
      </c>
      <c r="B300" s="936" t="s">
        <v>2850</v>
      </c>
      <c r="C300" s="917">
        <f t="shared" ref="C300:N300" si="115">SUM(C291:C299)</f>
        <v>49363536</v>
      </c>
      <c r="D300" s="917">
        <f t="shared" si="115"/>
        <v>49363536</v>
      </c>
      <c r="E300" s="917">
        <f t="shared" si="115"/>
        <v>49363536</v>
      </c>
      <c r="F300" s="917">
        <f t="shared" si="115"/>
        <v>49363536</v>
      </c>
      <c r="G300" s="917">
        <f t="shared" si="115"/>
        <v>49373536</v>
      </c>
      <c r="H300" s="917">
        <f t="shared" si="115"/>
        <v>49365536</v>
      </c>
      <c r="I300" s="917">
        <f t="shared" si="115"/>
        <v>49363536</v>
      </c>
      <c r="J300" s="917">
        <f t="shared" si="115"/>
        <v>49363536</v>
      </c>
      <c r="K300" s="917">
        <f t="shared" si="115"/>
        <v>49363536</v>
      </c>
      <c r="L300" s="917">
        <f t="shared" si="115"/>
        <v>49363536</v>
      </c>
      <c r="M300" s="917">
        <f t="shared" si="115"/>
        <v>49363536</v>
      </c>
      <c r="N300" s="917">
        <f t="shared" si="115"/>
        <v>49351536</v>
      </c>
      <c r="O300" s="952">
        <f t="shared" si="112"/>
        <v>592362432</v>
      </c>
      <c r="P300" s="943">
        <f>+'21. mell. CMH'!F37</f>
        <v>592362432</v>
      </c>
      <c r="Q300" s="907">
        <f t="shared" si="113"/>
        <v>0</v>
      </c>
      <c r="R300" s="895">
        <v>37</v>
      </c>
    </row>
    <row r="301" spans="1:18">
      <c r="A301" s="925" t="s">
        <v>31</v>
      </c>
      <c r="B301" s="3833" t="s">
        <v>391</v>
      </c>
      <c r="C301" s="3833"/>
      <c r="D301" s="3833"/>
      <c r="E301" s="3833"/>
      <c r="F301" s="3833"/>
      <c r="G301" s="3833"/>
      <c r="H301" s="3833"/>
      <c r="I301" s="3833"/>
      <c r="J301" s="3833"/>
      <c r="K301" s="3833"/>
      <c r="L301" s="3833"/>
      <c r="M301" s="3833"/>
      <c r="N301" s="3833"/>
      <c r="O301" s="3833"/>
      <c r="P301" s="943"/>
      <c r="Q301" s="907">
        <f t="shared" si="113"/>
        <v>0</v>
      </c>
      <c r="R301" s="895"/>
    </row>
    <row r="302" spans="1:18">
      <c r="A302" s="937" t="s">
        <v>33</v>
      </c>
      <c r="B302" s="938" t="s">
        <v>9</v>
      </c>
      <c r="C302" s="910">
        <f t="shared" ref="C302:N302" si="116">+$P$302/12</f>
        <v>24969053.666666668</v>
      </c>
      <c r="D302" s="910">
        <f t="shared" si="116"/>
        <v>24969053.666666668</v>
      </c>
      <c r="E302" s="910">
        <f t="shared" si="116"/>
        <v>24969053.666666668</v>
      </c>
      <c r="F302" s="910">
        <f t="shared" si="116"/>
        <v>24969053.666666668</v>
      </c>
      <c r="G302" s="910">
        <f t="shared" si="116"/>
        <v>24969053.666666668</v>
      </c>
      <c r="H302" s="910">
        <f t="shared" si="116"/>
        <v>24969053.666666668</v>
      </c>
      <c r="I302" s="910">
        <f t="shared" si="116"/>
        <v>24969053.666666668</v>
      </c>
      <c r="J302" s="910">
        <f t="shared" si="116"/>
        <v>24969053.666666668</v>
      </c>
      <c r="K302" s="910">
        <f t="shared" si="116"/>
        <v>24969053.666666668</v>
      </c>
      <c r="L302" s="910">
        <f t="shared" si="116"/>
        <v>24969053.666666668</v>
      </c>
      <c r="M302" s="910">
        <f t="shared" si="116"/>
        <v>24969053.666666668</v>
      </c>
      <c r="N302" s="910">
        <f t="shared" si="116"/>
        <v>24969053.666666668</v>
      </c>
      <c r="O302" s="914">
        <f t="shared" ref="O302:O312" si="117">SUM(C302:N302)</f>
        <v>299628644</v>
      </c>
      <c r="P302" s="943">
        <f>+'21. mell. CMH'!F42</f>
        <v>299628644</v>
      </c>
      <c r="Q302" s="907">
        <f t="shared" si="113"/>
        <v>0</v>
      </c>
      <c r="R302" s="896">
        <v>42</v>
      </c>
    </row>
    <row r="303" spans="1:18" ht="22.5">
      <c r="A303" s="930" t="s">
        <v>35</v>
      </c>
      <c r="B303" s="931" t="s">
        <v>8</v>
      </c>
      <c r="C303" s="910">
        <f t="shared" ref="C303:N303" si="118">+$P$303/12</f>
        <v>3913274.1666666665</v>
      </c>
      <c r="D303" s="910">
        <f t="shared" si="118"/>
        <v>3913274.1666666665</v>
      </c>
      <c r="E303" s="910">
        <f t="shared" si="118"/>
        <v>3913274.1666666665</v>
      </c>
      <c r="F303" s="910">
        <f t="shared" si="118"/>
        <v>3913274.1666666665</v>
      </c>
      <c r="G303" s="910">
        <f t="shared" si="118"/>
        <v>3913274.1666666665</v>
      </c>
      <c r="H303" s="910">
        <f t="shared" si="118"/>
        <v>3913274.1666666665</v>
      </c>
      <c r="I303" s="910">
        <f t="shared" si="118"/>
        <v>3913274.1666666665</v>
      </c>
      <c r="J303" s="910">
        <f t="shared" si="118"/>
        <v>3913274.1666666665</v>
      </c>
      <c r="K303" s="910">
        <f t="shared" si="118"/>
        <v>3913274.1666666665</v>
      </c>
      <c r="L303" s="910">
        <f t="shared" si="118"/>
        <v>3913274.1666666665</v>
      </c>
      <c r="M303" s="910">
        <f t="shared" si="118"/>
        <v>3913274.1666666665</v>
      </c>
      <c r="N303" s="910">
        <f t="shared" si="118"/>
        <v>3913274.1666666665</v>
      </c>
      <c r="O303" s="914">
        <f t="shared" si="117"/>
        <v>46959289.999999993</v>
      </c>
      <c r="P303" s="943">
        <f>+'21. mell. CMH'!F43</f>
        <v>46959290</v>
      </c>
      <c r="Q303" s="907">
        <f t="shared" si="113"/>
        <v>0</v>
      </c>
      <c r="R303" s="896">
        <v>43</v>
      </c>
    </row>
    <row r="304" spans="1:18">
      <c r="A304" s="930" t="s">
        <v>37</v>
      </c>
      <c r="B304" s="933" t="s">
        <v>317</v>
      </c>
      <c r="C304" s="910">
        <f t="shared" ref="C304:N304" si="119">+$P$304/12</f>
        <v>20141621.416666668</v>
      </c>
      <c r="D304" s="910">
        <f t="shared" si="119"/>
        <v>20141621.416666668</v>
      </c>
      <c r="E304" s="910">
        <f t="shared" si="119"/>
        <v>20141621.416666668</v>
      </c>
      <c r="F304" s="910">
        <f t="shared" si="119"/>
        <v>20141621.416666668</v>
      </c>
      <c r="G304" s="910">
        <f t="shared" si="119"/>
        <v>20141621.416666668</v>
      </c>
      <c r="H304" s="910">
        <f t="shared" si="119"/>
        <v>20141621.416666668</v>
      </c>
      <c r="I304" s="910">
        <f t="shared" si="119"/>
        <v>20141621.416666668</v>
      </c>
      <c r="J304" s="910">
        <f t="shared" si="119"/>
        <v>20141621.416666668</v>
      </c>
      <c r="K304" s="910">
        <f t="shared" si="119"/>
        <v>20141621.416666668</v>
      </c>
      <c r="L304" s="910">
        <f t="shared" si="119"/>
        <v>20141621.416666668</v>
      </c>
      <c r="M304" s="910">
        <f t="shared" si="119"/>
        <v>20141621.416666668</v>
      </c>
      <c r="N304" s="910">
        <f t="shared" si="119"/>
        <v>20141621.416666668</v>
      </c>
      <c r="O304" s="911">
        <f t="shared" si="117"/>
        <v>241699456.99999997</v>
      </c>
      <c r="P304" s="943">
        <f>+'21. mell. CMH'!F44</f>
        <v>241699457</v>
      </c>
      <c r="Q304" s="907">
        <f t="shared" si="113"/>
        <v>0</v>
      </c>
      <c r="R304" s="896">
        <v>44</v>
      </c>
    </row>
    <row r="305" spans="1:18">
      <c r="A305" s="930" t="s">
        <v>39</v>
      </c>
      <c r="B305" s="933" t="s">
        <v>318</v>
      </c>
      <c r="C305" s="910">
        <v>0</v>
      </c>
      <c r="D305" s="910">
        <v>0</v>
      </c>
      <c r="E305" s="910">
        <v>0</v>
      </c>
      <c r="F305" s="910">
        <v>0</v>
      </c>
      <c r="G305" s="910">
        <v>0</v>
      </c>
      <c r="H305" s="910">
        <v>0</v>
      </c>
      <c r="I305" s="910">
        <v>0</v>
      </c>
      <c r="J305" s="910">
        <v>0</v>
      </c>
      <c r="K305" s="910">
        <v>0</v>
      </c>
      <c r="L305" s="910">
        <v>0</v>
      </c>
      <c r="M305" s="910">
        <v>0</v>
      </c>
      <c r="N305" s="910">
        <v>0</v>
      </c>
      <c r="O305" s="911">
        <f t="shared" si="117"/>
        <v>0</v>
      </c>
      <c r="P305" s="943">
        <f>+'21. mell. CMH'!F45</f>
        <v>0</v>
      </c>
      <c r="Q305" s="907">
        <f t="shared" si="113"/>
        <v>0</v>
      </c>
      <c r="R305" s="896">
        <v>45</v>
      </c>
    </row>
    <row r="306" spans="1:18">
      <c r="A306" s="930" t="s">
        <v>41</v>
      </c>
      <c r="B306" s="933" t="s">
        <v>2855</v>
      </c>
      <c r="C306" s="913">
        <v>0</v>
      </c>
      <c r="D306" s="913">
        <v>0</v>
      </c>
      <c r="E306" s="913">
        <v>0</v>
      </c>
      <c r="F306" s="913">
        <v>0</v>
      </c>
      <c r="G306" s="913">
        <v>0</v>
      </c>
      <c r="H306" s="913">
        <v>0</v>
      </c>
      <c r="I306" s="913">
        <v>0</v>
      </c>
      <c r="J306" s="913">
        <v>0</v>
      </c>
      <c r="K306" s="913">
        <v>0</v>
      </c>
      <c r="L306" s="913">
        <v>0</v>
      </c>
      <c r="M306" s="913">
        <v>0</v>
      </c>
      <c r="N306" s="913">
        <v>0</v>
      </c>
      <c r="O306" s="911">
        <f t="shared" si="117"/>
        <v>0</v>
      </c>
      <c r="P306" s="943">
        <f>+'21. mell. CMH'!F46</f>
        <v>0</v>
      </c>
      <c r="Q306" s="907">
        <f t="shared" si="113"/>
        <v>0</v>
      </c>
      <c r="R306" s="896">
        <v>46</v>
      </c>
    </row>
    <row r="307" spans="1:18">
      <c r="A307" s="930" t="s">
        <v>314</v>
      </c>
      <c r="B307" s="933" t="s">
        <v>82</v>
      </c>
      <c r="C307" s="910">
        <v>0</v>
      </c>
      <c r="D307" s="910">
        <v>0</v>
      </c>
      <c r="E307" s="910">
        <v>0</v>
      </c>
      <c r="F307" s="910">
        <v>1000000</v>
      </c>
      <c r="G307" s="910">
        <v>536000</v>
      </c>
      <c r="H307" s="910">
        <v>0</v>
      </c>
      <c r="I307" s="910">
        <v>0</v>
      </c>
      <c r="J307" s="910">
        <v>0</v>
      </c>
      <c r="K307" s="910">
        <v>300000</v>
      </c>
      <c r="L307" s="910">
        <v>285000</v>
      </c>
      <c r="M307" s="910">
        <v>1285000</v>
      </c>
      <c r="N307" s="910">
        <v>669041</v>
      </c>
      <c r="O307" s="911">
        <f t="shared" si="117"/>
        <v>4075041</v>
      </c>
      <c r="P307" s="943">
        <f>+'21. mell. CMH'!F48</f>
        <v>4075041</v>
      </c>
      <c r="Q307" s="907">
        <f t="shared" si="113"/>
        <v>0</v>
      </c>
      <c r="R307" s="896">
        <v>48</v>
      </c>
    </row>
    <row r="308" spans="1:18">
      <c r="A308" s="930" t="s">
        <v>402</v>
      </c>
      <c r="B308" s="931" t="s">
        <v>344</v>
      </c>
      <c r="C308" s="910">
        <v>0</v>
      </c>
      <c r="D308" s="910">
        <v>0</v>
      </c>
      <c r="E308" s="910">
        <v>0</v>
      </c>
      <c r="F308" s="910">
        <v>0</v>
      </c>
      <c r="G308" s="910">
        <v>0</v>
      </c>
      <c r="H308" s="910">
        <v>0</v>
      </c>
      <c r="I308" s="910">
        <v>0</v>
      </c>
      <c r="J308" s="910">
        <v>0</v>
      </c>
      <c r="K308" s="910">
        <v>0</v>
      </c>
      <c r="L308" s="910">
        <v>0</v>
      </c>
      <c r="M308" s="910">
        <v>0</v>
      </c>
      <c r="N308" s="910">
        <v>0</v>
      </c>
      <c r="O308" s="911">
        <f t="shared" si="117"/>
        <v>0</v>
      </c>
      <c r="P308" s="943">
        <f>+'21. mell. CMH'!F49</f>
        <v>0</v>
      </c>
      <c r="Q308" s="907">
        <f t="shared" si="113"/>
        <v>0</v>
      </c>
      <c r="R308" s="896">
        <v>49</v>
      </c>
    </row>
    <row r="309" spans="1:18">
      <c r="A309" s="930" t="s">
        <v>404</v>
      </c>
      <c r="B309" s="933" t="s">
        <v>346</v>
      </c>
      <c r="C309" s="913">
        <v>0</v>
      </c>
      <c r="D309" s="913">
        <v>0</v>
      </c>
      <c r="E309" s="913">
        <v>0</v>
      </c>
      <c r="F309" s="913">
        <v>0</v>
      </c>
      <c r="G309" s="913">
        <v>0</v>
      </c>
      <c r="H309" s="913">
        <v>0</v>
      </c>
      <c r="I309" s="913">
        <v>0</v>
      </c>
      <c r="J309" s="913">
        <v>0</v>
      </c>
      <c r="K309" s="913">
        <v>0</v>
      </c>
      <c r="L309" s="913">
        <v>0</v>
      </c>
      <c r="M309" s="913">
        <v>0</v>
      </c>
      <c r="N309" s="913">
        <v>0</v>
      </c>
      <c r="O309" s="911">
        <f t="shared" si="117"/>
        <v>0</v>
      </c>
      <c r="P309" s="943">
        <f>+'21. mell. CMH'!F50</f>
        <v>0</v>
      </c>
      <c r="Q309" s="907">
        <f t="shared" si="113"/>
        <v>0</v>
      </c>
      <c r="R309" s="896">
        <v>50</v>
      </c>
    </row>
    <row r="310" spans="1:18">
      <c r="A310" s="930" t="s">
        <v>407</v>
      </c>
      <c r="B310" s="933" t="s">
        <v>2851</v>
      </c>
      <c r="C310" s="934">
        <v>0</v>
      </c>
      <c r="D310" s="934">
        <v>0</v>
      </c>
      <c r="E310" s="934">
        <v>0</v>
      </c>
      <c r="F310" s="934">
        <v>0</v>
      </c>
      <c r="G310" s="934">
        <v>0</v>
      </c>
      <c r="H310" s="934">
        <v>0</v>
      </c>
      <c r="I310" s="934">
        <v>0</v>
      </c>
      <c r="J310" s="934">
        <v>0</v>
      </c>
      <c r="K310" s="934">
        <v>0</v>
      </c>
      <c r="L310" s="934">
        <v>0</v>
      </c>
      <c r="M310" s="934">
        <v>0</v>
      </c>
      <c r="N310" s="934">
        <v>0</v>
      </c>
      <c r="O310" s="935">
        <f t="shared" si="117"/>
        <v>0</v>
      </c>
      <c r="P310" s="943">
        <v>0</v>
      </c>
      <c r="Q310" s="907">
        <f t="shared" si="113"/>
        <v>0</v>
      </c>
      <c r="R310" s="896">
        <v>0</v>
      </c>
    </row>
    <row r="311" spans="1:18">
      <c r="A311" s="930" t="s">
        <v>409</v>
      </c>
      <c r="B311" s="933" t="s">
        <v>2697</v>
      </c>
      <c r="C311" s="934">
        <v>0</v>
      </c>
      <c r="D311" s="934">
        <v>0</v>
      </c>
      <c r="E311" s="934">
        <v>0</v>
      </c>
      <c r="F311" s="934">
        <v>0</v>
      </c>
      <c r="G311" s="934">
        <v>0</v>
      </c>
      <c r="H311" s="934">
        <v>0</v>
      </c>
      <c r="I311" s="934">
        <v>0</v>
      </c>
      <c r="J311" s="934">
        <v>0</v>
      </c>
      <c r="K311" s="934">
        <v>0</v>
      </c>
      <c r="L311" s="934">
        <v>0</v>
      </c>
      <c r="M311" s="934">
        <v>0</v>
      </c>
      <c r="N311" s="934">
        <v>0</v>
      </c>
      <c r="O311" s="935">
        <f t="shared" si="117"/>
        <v>0</v>
      </c>
      <c r="P311" s="943">
        <v>0</v>
      </c>
      <c r="Q311" s="907">
        <f t="shared" si="113"/>
        <v>0</v>
      </c>
      <c r="R311" s="896">
        <v>0</v>
      </c>
    </row>
    <row r="312" spans="1:18">
      <c r="A312" s="939" t="s">
        <v>410</v>
      </c>
      <c r="B312" s="936" t="s">
        <v>2852</v>
      </c>
      <c r="C312" s="917">
        <f t="shared" ref="C312:N312" si="120">SUM(C302:C311)</f>
        <v>49023949.25</v>
      </c>
      <c r="D312" s="917">
        <f t="shared" si="120"/>
        <v>49023949.25</v>
      </c>
      <c r="E312" s="917">
        <f t="shared" si="120"/>
        <v>49023949.25</v>
      </c>
      <c r="F312" s="917">
        <f t="shared" si="120"/>
        <v>50023949.25</v>
      </c>
      <c r="G312" s="917">
        <f t="shared" si="120"/>
        <v>49559949.25</v>
      </c>
      <c r="H312" s="917">
        <f t="shared" si="120"/>
        <v>49023949.25</v>
      </c>
      <c r="I312" s="917">
        <f t="shared" si="120"/>
        <v>49023949.25</v>
      </c>
      <c r="J312" s="917">
        <f t="shared" si="120"/>
        <v>49023949.25</v>
      </c>
      <c r="K312" s="917">
        <f t="shared" si="120"/>
        <v>49323949.25</v>
      </c>
      <c r="L312" s="917">
        <f t="shared" si="120"/>
        <v>49308949.25</v>
      </c>
      <c r="M312" s="917">
        <f t="shared" si="120"/>
        <v>50308949.25</v>
      </c>
      <c r="N312" s="917">
        <f t="shared" si="120"/>
        <v>49692990.25</v>
      </c>
      <c r="O312" s="918">
        <f t="shared" si="117"/>
        <v>592362432</v>
      </c>
      <c r="P312" s="943">
        <f>+'21. mell. CMH'!F52</f>
        <v>592362432</v>
      </c>
      <c r="Q312" s="907">
        <f t="shared" si="113"/>
        <v>0</v>
      </c>
      <c r="R312" s="895">
        <v>52</v>
      </c>
    </row>
    <row r="313" spans="1:18">
      <c r="A313" s="939" t="s">
        <v>411</v>
      </c>
      <c r="B313" s="940" t="s">
        <v>2853</v>
      </c>
      <c r="C313" s="941">
        <f>C300-C312</f>
        <v>339586.75</v>
      </c>
      <c r="D313" s="941">
        <f t="shared" ref="D313:N313" si="121">C313+D300-D312</f>
        <v>679173.5</v>
      </c>
      <c r="E313" s="941">
        <f t="shared" si="121"/>
        <v>1018760.25</v>
      </c>
      <c r="F313" s="941">
        <f t="shared" si="121"/>
        <v>358347</v>
      </c>
      <c r="G313" s="941">
        <f t="shared" si="121"/>
        <v>171933.75</v>
      </c>
      <c r="H313" s="941">
        <f t="shared" si="121"/>
        <v>513520.5</v>
      </c>
      <c r="I313" s="941">
        <f t="shared" si="121"/>
        <v>853107.25</v>
      </c>
      <c r="J313" s="941">
        <f t="shared" si="121"/>
        <v>1192694</v>
      </c>
      <c r="K313" s="941">
        <f t="shared" si="121"/>
        <v>1232280.75</v>
      </c>
      <c r="L313" s="941">
        <f t="shared" si="121"/>
        <v>1286867.5</v>
      </c>
      <c r="M313" s="941">
        <f t="shared" si="121"/>
        <v>341454.25</v>
      </c>
      <c r="N313" s="941">
        <f t="shared" si="121"/>
        <v>0</v>
      </c>
      <c r="O313" s="942">
        <f>O300-O312</f>
        <v>0</v>
      </c>
      <c r="Q313" s="907">
        <f t="shared" si="113"/>
        <v>0</v>
      </c>
      <c r="R313" s="943">
        <f>+P300-P312</f>
        <v>0</v>
      </c>
    </row>
    <row r="314" spans="1:18">
      <c r="Q314" s="907"/>
    </row>
    <row r="315" spans="1:18" ht="33.75" customHeight="1">
      <c r="A315" s="3834" t="s">
        <v>3782</v>
      </c>
      <c r="B315" s="3834"/>
      <c r="C315" s="3834"/>
      <c r="D315" s="3834"/>
      <c r="E315" s="3834"/>
      <c r="F315" s="3834"/>
      <c r="G315" s="3834"/>
      <c r="H315" s="3834"/>
      <c r="I315" s="3834"/>
      <c r="J315" s="3834"/>
      <c r="K315" s="3834"/>
      <c r="L315" s="3834"/>
      <c r="M315" s="3834"/>
      <c r="N315" s="3834"/>
      <c r="O315" s="3834"/>
      <c r="Q315" s="907"/>
    </row>
    <row r="316" spans="1:18">
      <c r="O316" s="924" t="s">
        <v>3300</v>
      </c>
      <c r="Q316" s="907"/>
    </row>
    <row r="317" spans="1:18" ht="24">
      <c r="A317" s="899" t="s">
        <v>2726</v>
      </c>
      <c r="B317" s="900" t="s">
        <v>136</v>
      </c>
      <c r="C317" s="900" t="s">
        <v>2837</v>
      </c>
      <c r="D317" s="900" t="s">
        <v>2838</v>
      </c>
      <c r="E317" s="900" t="s">
        <v>2839</v>
      </c>
      <c r="F317" s="900" t="s">
        <v>2840</v>
      </c>
      <c r="G317" s="900" t="s">
        <v>2841</v>
      </c>
      <c r="H317" s="900" t="s">
        <v>2842</v>
      </c>
      <c r="I317" s="900" t="s">
        <v>2843</v>
      </c>
      <c r="J317" s="900" t="s">
        <v>2844</v>
      </c>
      <c r="K317" s="900" t="s">
        <v>2845</v>
      </c>
      <c r="L317" s="900" t="s">
        <v>2846</v>
      </c>
      <c r="M317" s="900" t="s">
        <v>2847</v>
      </c>
      <c r="N317" s="900" t="s">
        <v>2848</v>
      </c>
      <c r="O317" s="901" t="s">
        <v>66</v>
      </c>
      <c r="Q317" s="907"/>
    </row>
    <row r="318" spans="1:18">
      <c r="A318" s="925" t="s">
        <v>6</v>
      </c>
      <c r="B318" s="3833" t="s">
        <v>390</v>
      </c>
      <c r="C318" s="3833"/>
      <c r="D318" s="3833"/>
      <c r="E318" s="3833"/>
      <c r="F318" s="3833"/>
      <c r="G318" s="3833"/>
      <c r="H318" s="3833"/>
      <c r="I318" s="3833"/>
      <c r="J318" s="3833"/>
      <c r="K318" s="3833"/>
      <c r="L318" s="3833"/>
      <c r="M318" s="3833"/>
      <c r="N318" s="3833"/>
      <c r="O318" s="3833"/>
      <c r="Q318" s="907"/>
    </row>
    <row r="319" spans="1:18" ht="22.5">
      <c r="A319" s="926" t="s">
        <v>12</v>
      </c>
      <c r="B319" s="927" t="s">
        <v>3385</v>
      </c>
      <c r="C319" s="928">
        <v>0</v>
      </c>
      <c r="D319" s="928">
        <v>0</v>
      </c>
      <c r="E319" s="928">
        <v>0</v>
      </c>
      <c r="F319" s="928">
        <v>0</v>
      </c>
      <c r="G319" s="928">
        <v>0</v>
      </c>
      <c r="H319" s="928">
        <v>0</v>
      </c>
      <c r="I319" s="928">
        <v>0</v>
      </c>
      <c r="J319" s="928">
        <v>0</v>
      </c>
      <c r="K319" s="928">
        <v>0</v>
      </c>
      <c r="L319" s="928">
        <v>0</v>
      </c>
      <c r="M319" s="928">
        <v>0</v>
      </c>
      <c r="N319" s="928">
        <v>0</v>
      </c>
      <c r="O319" s="929">
        <f>SUM(C319:N319)</f>
        <v>0</v>
      </c>
      <c r="P319" s="923">
        <v>0</v>
      </c>
      <c r="Q319" s="907">
        <f t="shared" ref="Q319:Q340" si="122">O319-P319</f>
        <v>0</v>
      </c>
      <c r="R319" s="895">
        <v>0</v>
      </c>
    </row>
    <row r="320" spans="1:18">
      <c r="A320" s="930" t="s">
        <v>14</v>
      </c>
      <c r="B320" s="931" t="s">
        <v>3386</v>
      </c>
      <c r="C320" s="910">
        <v>0</v>
      </c>
      <c r="D320" s="910">
        <v>0</v>
      </c>
      <c r="E320" s="910">
        <v>0</v>
      </c>
      <c r="F320" s="910">
        <v>0</v>
      </c>
      <c r="G320" s="910">
        <v>0</v>
      </c>
      <c r="H320" s="910">
        <v>0</v>
      </c>
      <c r="I320" s="910">
        <v>0</v>
      </c>
      <c r="J320" s="910">
        <v>0</v>
      </c>
      <c r="K320" s="910">
        <v>0</v>
      </c>
      <c r="L320" s="910">
        <v>0</v>
      </c>
      <c r="M320" s="910">
        <v>0</v>
      </c>
      <c r="N320" s="910">
        <v>0</v>
      </c>
      <c r="O320" s="911">
        <f>SUM(D320:N320)</f>
        <v>0</v>
      </c>
      <c r="P320" s="943">
        <f>+'23. mell. Terszoc.'!F23</f>
        <v>0</v>
      </c>
      <c r="Q320" s="907">
        <f t="shared" si="122"/>
        <v>0</v>
      </c>
      <c r="R320" s="896">
        <v>23</v>
      </c>
    </row>
    <row r="321" spans="1:18">
      <c r="A321" s="930" t="s">
        <v>15</v>
      </c>
      <c r="B321" s="932" t="s">
        <v>2849</v>
      </c>
      <c r="C321" s="913">
        <v>0</v>
      </c>
      <c r="D321" s="913">
        <v>0</v>
      </c>
      <c r="E321" s="913">
        <v>0</v>
      </c>
      <c r="F321" s="913">
        <v>0</v>
      </c>
      <c r="G321" s="913">
        <v>0</v>
      </c>
      <c r="H321" s="913">
        <v>0</v>
      </c>
      <c r="I321" s="913">
        <v>0</v>
      </c>
      <c r="J321" s="913">
        <v>0</v>
      </c>
      <c r="K321" s="913">
        <v>0</v>
      </c>
      <c r="L321" s="913">
        <v>0</v>
      </c>
      <c r="M321" s="913">
        <v>0</v>
      </c>
      <c r="N321" s="913">
        <v>0</v>
      </c>
      <c r="O321" s="914">
        <f t="shared" ref="O321:O328" si="123">SUM(C321:N321)</f>
        <v>0</v>
      </c>
      <c r="P321" s="943">
        <f>+'23. mell. Terszoc.'!F27</f>
        <v>0</v>
      </c>
      <c r="Q321" s="907">
        <f t="shared" si="122"/>
        <v>0</v>
      </c>
      <c r="R321" s="896">
        <v>27</v>
      </c>
    </row>
    <row r="322" spans="1:18">
      <c r="A322" s="930" t="s">
        <v>17</v>
      </c>
      <c r="B322" s="933" t="s">
        <v>393</v>
      </c>
      <c r="C322" s="934">
        <v>0</v>
      </c>
      <c r="D322" s="934">
        <v>0</v>
      </c>
      <c r="E322" s="934">
        <v>0</v>
      </c>
      <c r="F322" s="934">
        <v>0</v>
      </c>
      <c r="G322" s="934">
        <v>0</v>
      </c>
      <c r="H322" s="934">
        <v>0</v>
      </c>
      <c r="I322" s="934">
        <v>0</v>
      </c>
      <c r="J322" s="934">
        <v>0</v>
      </c>
      <c r="K322" s="934">
        <v>0</v>
      </c>
      <c r="L322" s="934">
        <v>0</v>
      </c>
      <c r="M322" s="934">
        <v>0</v>
      </c>
      <c r="N322" s="934">
        <v>0</v>
      </c>
      <c r="O322" s="935">
        <f t="shared" si="123"/>
        <v>0</v>
      </c>
      <c r="P322" s="943">
        <f>+'23. mell. Terszoc.'!F31</f>
        <v>0</v>
      </c>
      <c r="Q322" s="907">
        <f t="shared" si="122"/>
        <v>0</v>
      </c>
      <c r="R322" s="896">
        <v>31</v>
      </c>
    </row>
    <row r="323" spans="1:18">
      <c r="A323" s="930" t="s">
        <v>19</v>
      </c>
      <c r="B323" s="933" t="s">
        <v>149</v>
      </c>
      <c r="C323" s="910">
        <f t="shared" ref="C323:N323" si="124">+$P$323/12</f>
        <v>14654396.166666666</v>
      </c>
      <c r="D323" s="910">
        <f t="shared" si="124"/>
        <v>14654396.166666666</v>
      </c>
      <c r="E323" s="910">
        <f t="shared" si="124"/>
        <v>14654396.166666666</v>
      </c>
      <c r="F323" s="910">
        <f t="shared" si="124"/>
        <v>14654396.166666666</v>
      </c>
      <c r="G323" s="910">
        <f t="shared" si="124"/>
        <v>14654396.166666666</v>
      </c>
      <c r="H323" s="910">
        <f t="shared" si="124"/>
        <v>14654396.166666666</v>
      </c>
      <c r="I323" s="910">
        <f t="shared" si="124"/>
        <v>14654396.166666666</v>
      </c>
      <c r="J323" s="910">
        <f t="shared" si="124"/>
        <v>14654396.166666666</v>
      </c>
      <c r="K323" s="910">
        <f t="shared" si="124"/>
        <v>14654396.166666666</v>
      </c>
      <c r="L323" s="910">
        <f t="shared" si="124"/>
        <v>14654396.166666666</v>
      </c>
      <c r="M323" s="910">
        <f t="shared" si="124"/>
        <v>14654396.166666666</v>
      </c>
      <c r="N323" s="910">
        <f t="shared" si="124"/>
        <v>14654396.166666666</v>
      </c>
      <c r="O323" s="911">
        <f t="shared" si="123"/>
        <v>175852754</v>
      </c>
      <c r="P323" s="943">
        <f>+'23. mell. Terszoc.'!F8</f>
        <v>175852754</v>
      </c>
      <c r="Q323" s="907">
        <f t="shared" si="122"/>
        <v>0</v>
      </c>
      <c r="R323" s="896">
        <v>8</v>
      </c>
    </row>
    <row r="324" spans="1:18">
      <c r="A324" s="930" t="s">
        <v>21</v>
      </c>
      <c r="B324" s="933" t="s">
        <v>431</v>
      </c>
      <c r="C324" s="910">
        <v>0</v>
      </c>
      <c r="D324" s="910">
        <v>0</v>
      </c>
      <c r="E324" s="910">
        <v>0</v>
      </c>
      <c r="F324" s="910">
        <v>0</v>
      </c>
      <c r="G324" s="910">
        <v>0</v>
      </c>
      <c r="H324" s="910">
        <v>0</v>
      </c>
      <c r="I324" s="910">
        <v>0</v>
      </c>
      <c r="J324" s="910">
        <v>0</v>
      </c>
      <c r="K324" s="910">
        <v>0</v>
      </c>
      <c r="L324" s="910">
        <v>0</v>
      </c>
      <c r="M324" s="910">
        <v>0</v>
      </c>
      <c r="N324" s="910">
        <v>0</v>
      </c>
      <c r="O324" s="911">
        <f t="shared" si="123"/>
        <v>0</v>
      </c>
      <c r="P324" s="943">
        <f>+'23. mell. Terszoc.'!F20</f>
        <v>0</v>
      </c>
      <c r="Q324" s="907">
        <f t="shared" si="122"/>
        <v>0</v>
      </c>
      <c r="R324" s="896">
        <v>20</v>
      </c>
    </row>
    <row r="325" spans="1:18">
      <c r="A325" s="930" t="s">
        <v>23</v>
      </c>
      <c r="B325" s="933" t="s">
        <v>153</v>
      </c>
      <c r="C325" s="910">
        <v>0</v>
      </c>
      <c r="D325" s="910">
        <v>0</v>
      </c>
      <c r="E325" s="910">
        <v>0</v>
      </c>
      <c r="F325" s="910">
        <v>0</v>
      </c>
      <c r="G325" s="910">
        <v>0</v>
      </c>
      <c r="H325" s="910">
        <v>0</v>
      </c>
      <c r="I325" s="910">
        <v>0</v>
      </c>
      <c r="J325" s="910">
        <v>0</v>
      </c>
      <c r="K325" s="910">
        <v>0</v>
      </c>
      <c r="L325" s="910">
        <v>0</v>
      </c>
      <c r="M325" s="910">
        <v>0</v>
      </c>
      <c r="N325" s="910">
        <v>0</v>
      </c>
      <c r="O325" s="911">
        <f t="shared" si="123"/>
        <v>0</v>
      </c>
      <c r="P325" s="943">
        <f>+'23. mell. Terszoc.'!F29</f>
        <v>0</v>
      </c>
      <c r="Q325" s="907">
        <f t="shared" si="122"/>
        <v>0</v>
      </c>
      <c r="R325" s="896">
        <v>29</v>
      </c>
    </row>
    <row r="326" spans="1:18">
      <c r="A326" s="930" t="s">
        <v>25</v>
      </c>
      <c r="B326" s="931" t="s">
        <v>1281</v>
      </c>
      <c r="C326" s="913">
        <v>0</v>
      </c>
      <c r="D326" s="913">
        <v>0</v>
      </c>
      <c r="E326" s="913">
        <v>0</v>
      </c>
      <c r="F326" s="913">
        <v>0</v>
      </c>
      <c r="G326" s="913">
        <v>0</v>
      </c>
      <c r="H326" s="913">
        <v>0</v>
      </c>
      <c r="I326" s="913">
        <v>0</v>
      </c>
      <c r="J326" s="913">
        <v>0</v>
      </c>
      <c r="K326" s="913">
        <v>0</v>
      </c>
      <c r="L326" s="913">
        <v>0</v>
      </c>
      <c r="M326" s="913">
        <v>0</v>
      </c>
      <c r="N326" s="913">
        <v>0</v>
      </c>
      <c r="O326" s="911">
        <f t="shared" si="123"/>
        <v>0</v>
      </c>
      <c r="P326" s="943">
        <f>+'23. mell. Terszoc.'!F30</f>
        <v>0</v>
      </c>
      <c r="Q326" s="907">
        <f t="shared" si="122"/>
        <v>0</v>
      </c>
      <c r="R326" s="896">
        <v>30</v>
      </c>
    </row>
    <row r="327" spans="1:18">
      <c r="A327" s="930" t="s">
        <v>27</v>
      </c>
      <c r="B327" s="933" t="s">
        <v>1257</v>
      </c>
      <c r="C327" s="910">
        <f>(+$P$327-3203)/12+3203</f>
        <v>86326621.916666672</v>
      </c>
      <c r="D327" s="910">
        <f t="shared" ref="D327:N327" si="125">(+$P$327-3203)/12</f>
        <v>86323418.916666672</v>
      </c>
      <c r="E327" s="910">
        <f t="shared" si="125"/>
        <v>86323418.916666672</v>
      </c>
      <c r="F327" s="910">
        <f t="shared" si="125"/>
        <v>86323418.916666672</v>
      </c>
      <c r="G327" s="910">
        <f t="shared" si="125"/>
        <v>86323418.916666672</v>
      </c>
      <c r="H327" s="910">
        <f t="shared" si="125"/>
        <v>86323418.916666672</v>
      </c>
      <c r="I327" s="910">
        <f t="shared" si="125"/>
        <v>86323418.916666672</v>
      </c>
      <c r="J327" s="910">
        <f t="shared" si="125"/>
        <v>86323418.916666672</v>
      </c>
      <c r="K327" s="910">
        <f t="shared" si="125"/>
        <v>86323418.916666672</v>
      </c>
      <c r="L327" s="910">
        <f t="shared" si="125"/>
        <v>86323418.916666672</v>
      </c>
      <c r="M327" s="910">
        <f t="shared" si="125"/>
        <v>86323418.916666672</v>
      </c>
      <c r="N327" s="910">
        <f t="shared" si="125"/>
        <v>86323418.916666672</v>
      </c>
      <c r="O327" s="948">
        <f t="shared" si="123"/>
        <v>1035884229.9999999</v>
      </c>
      <c r="P327" s="943">
        <f>+'23. mell. Terszoc.'!F36+'23. mell. Terszoc.'!F34</f>
        <v>1035884230</v>
      </c>
      <c r="Q327" s="907">
        <f t="shared" si="122"/>
        <v>0</v>
      </c>
      <c r="R327" s="896">
        <v>36</v>
      </c>
    </row>
    <row r="328" spans="1:18">
      <c r="A328" s="925" t="s">
        <v>29</v>
      </c>
      <c r="B328" s="936" t="s">
        <v>2850</v>
      </c>
      <c r="C328" s="917">
        <f t="shared" ref="C328:N328" si="126">SUM(C319:C327)</f>
        <v>100981018.08333334</v>
      </c>
      <c r="D328" s="917">
        <f t="shared" si="126"/>
        <v>100977815.08333334</v>
      </c>
      <c r="E328" s="917">
        <f t="shared" si="126"/>
        <v>100977815.08333334</v>
      </c>
      <c r="F328" s="917">
        <f t="shared" si="126"/>
        <v>100977815.08333334</v>
      </c>
      <c r="G328" s="917">
        <f t="shared" si="126"/>
        <v>100977815.08333334</v>
      </c>
      <c r="H328" s="917">
        <f t="shared" si="126"/>
        <v>100977815.08333334</v>
      </c>
      <c r="I328" s="917">
        <f t="shared" si="126"/>
        <v>100977815.08333334</v>
      </c>
      <c r="J328" s="917">
        <f t="shared" si="126"/>
        <v>100977815.08333334</v>
      </c>
      <c r="K328" s="917">
        <f t="shared" si="126"/>
        <v>100977815.08333334</v>
      </c>
      <c r="L328" s="917">
        <f t="shared" si="126"/>
        <v>100977815.08333334</v>
      </c>
      <c r="M328" s="917">
        <f t="shared" si="126"/>
        <v>100977815.08333334</v>
      </c>
      <c r="N328" s="949">
        <f t="shared" si="126"/>
        <v>100977815.08333334</v>
      </c>
      <c r="O328" s="950">
        <f t="shared" si="123"/>
        <v>1211736984.0000002</v>
      </c>
      <c r="P328" s="943">
        <f>+'23. mell. Terszoc.'!F37</f>
        <v>1211736984</v>
      </c>
      <c r="Q328" s="907">
        <f t="shared" si="122"/>
        <v>0</v>
      </c>
      <c r="R328" s="895">
        <v>37</v>
      </c>
    </row>
    <row r="329" spans="1:18">
      <c r="A329" s="925" t="s">
        <v>31</v>
      </c>
      <c r="B329" s="3833" t="s">
        <v>391</v>
      </c>
      <c r="C329" s="3833"/>
      <c r="D329" s="3833"/>
      <c r="E329" s="3833"/>
      <c r="F329" s="3833"/>
      <c r="G329" s="3833"/>
      <c r="H329" s="3833"/>
      <c r="I329" s="3833"/>
      <c r="J329" s="3833"/>
      <c r="K329" s="3833"/>
      <c r="L329" s="3833"/>
      <c r="M329" s="3833"/>
      <c r="N329" s="3833"/>
      <c r="O329" s="3833"/>
      <c r="P329" s="943"/>
      <c r="Q329" s="907">
        <f t="shared" si="122"/>
        <v>0</v>
      </c>
      <c r="R329" s="895"/>
    </row>
    <row r="330" spans="1:18">
      <c r="A330" s="937" t="s">
        <v>33</v>
      </c>
      <c r="B330" s="938" t="s">
        <v>9</v>
      </c>
      <c r="C330" s="910">
        <f t="shared" ref="C330:N330" si="127">+$P$330/12</f>
        <v>40667705.25</v>
      </c>
      <c r="D330" s="910">
        <f t="shared" si="127"/>
        <v>40667705.25</v>
      </c>
      <c r="E330" s="910">
        <f t="shared" si="127"/>
        <v>40667705.25</v>
      </c>
      <c r="F330" s="910">
        <f t="shared" si="127"/>
        <v>40667705.25</v>
      </c>
      <c r="G330" s="910">
        <f t="shared" si="127"/>
        <v>40667705.25</v>
      </c>
      <c r="H330" s="910">
        <f t="shared" si="127"/>
        <v>40667705.25</v>
      </c>
      <c r="I330" s="910">
        <f t="shared" si="127"/>
        <v>40667705.25</v>
      </c>
      <c r="J330" s="910">
        <f t="shared" si="127"/>
        <v>40667705.25</v>
      </c>
      <c r="K330" s="910">
        <f t="shared" si="127"/>
        <v>40667705.25</v>
      </c>
      <c r="L330" s="910">
        <f t="shared" si="127"/>
        <v>40667705.25</v>
      </c>
      <c r="M330" s="910">
        <f t="shared" si="127"/>
        <v>40667705.25</v>
      </c>
      <c r="N330" s="910">
        <f t="shared" si="127"/>
        <v>40667705.25</v>
      </c>
      <c r="O330" s="914">
        <f t="shared" ref="O330:O340" si="128">SUM(C330:N330)</f>
        <v>488012463</v>
      </c>
      <c r="P330" s="943">
        <f>+'23. mell. Terszoc.'!F42</f>
        <v>488012463</v>
      </c>
      <c r="Q330" s="907">
        <f t="shared" si="122"/>
        <v>0</v>
      </c>
      <c r="R330" s="896">
        <v>42</v>
      </c>
    </row>
    <row r="331" spans="1:18" ht="22.5">
      <c r="A331" s="930" t="s">
        <v>35</v>
      </c>
      <c r="B331" s="931" t="s">
        <v>8</v>
      </c>
      <c r="C331" s="910">
        <f t="shared" ref="C331:N331" si="129">+$P$331/12</f>
        <v>5961589.25</v>
      </c>
      <c r="D331" s="910">
        <f t="shared" si="129"/>
        <v>5961589.25</v>
      </c>
      <c r="E331" s="910">
        <f t="shared" si="129"/>
        <v>5961589.25</v>
      </c>
      <c r="F331" s="910">
        <f t="shared" si="129"/>
        <v>5961589.25</v>
      </c>
      <c r="G331" s="910">
        <f t="shared" si="129"/>
        <v>5961589.25</v>
      </c>
      <c r="H331" s="910">
        <f t="shared" si="129"/>
        <v>5961589.25</v>
      </c>
      <c r="I331" s="910">
        <f t="shared" si="129"/>
        <v>5961589.25</v>
      </c>
      <c r="J331" s="910">
        <f t="shared" si="129"/>
        <v>5961589.25</v>
      </c>
      <c r="K331" s="910">
        <f t="shared" si="129"/>
        <v>5961589.25</v>
      </c>
      <c r="L331" s="910">
        <f t="shared" si="129"/>
        <v>5961589.25</v>
      </c>
      <c r="M331" s="910">
        <f t="shared" si="129"/>
        <v>5961589.25</v>
      </c>
      <c r="N331" s="910">
        <f t="shared" si="129"/>
        <v>5961589.25</v>
      </c>
      <c r="O331" s="914">
        <f t="shared" si="128"/>
        <v>71539071</v>
      </c>
      <c r="P331" s="943">
        <f>+'23. mell. Terszoc.'!F43</f>
        <v>71539071</v>
      </c>
      <c r="Q331" s="907">
        <f t="shared" si="122"/>
        <v>0</v>
      </c>
      <c r="R331" s="896">
        <v>43</v>
      </c>
    </row>
    <row r="332" spans="1:18">
      <c r="A332" s="930" t="s">
        <v>37</v>
      </c>
      <c r="B332" s="933" t="s">
        <v>317</v>
      </c>
      <c r="C332" s="910">
        <f>+$P$332/12-10000000</f>
        <v>44234487.5</v>
      </c>
      <c r="D332" s="910">
        <f>+$P$332/12-10000000</f>
        <v>44234487.5</v>
      </c>
      <c r="E332" s="910">
        <f>+$P$332/12</f>
        <v>54234487.5</v>
      </c>
      <c r="F332" s="910">
        <f>+$P$332/12+5000000</f>
        <v>59234487.5</v>
      </c>
      <c r="G332" s="910">
        <f>+$P$332/12+5000000</f>
        <v>59234487.5</v>
      </c>
      <c r="H332" s="910">
        <f>+$P$332/12</f>
        <v>54234487.5</v>
      </c>
      <c r="I332" s="910">
        <f>+$P$332/12+3000000</f>
        <v>57234487.5</v>
      </c>
      <c r="J332" s="910">
        <f>+$P$332/12+1000000</f>
        <v>55234487.5</v>
      </c>
      <c r="K332" s="910">
        <f>+$P$332/12</f>
        <v>54234487.5</v>
      </c>
      <c r="L332" s="910">
        <f>+$P$332/12+1000000</f>
        <v>55234487.5</v>
      </c>
      <c r="M332" s="910">
        <f>+$P$332/12</f>
        <v>54234487.5</v>
      </c>
      <c r="N332" s="910">
        <f>+$P$332/12+5000000</f>
        <v>59234487.5</v>
      </c>
      <c r="O332" s="911">
        <f t="shared" si="128"/>
        <v>650813850</v>
      </c>
      <c r="P332" s="943">
        <f>+'23. mell. Terszoc.'!F44</f>
        <v>650813850</v>
      </c>
      <c r="Q332" s="907">
        <f t="shared" si="122"/>
        <v>0</v>
      </c>
      <c r="R332" s="896">
        <v>44</v>
      </c>
    </row>
    <row r="333" spans="1:18">
      <c r="A333" s="930" t="s">
        <v>39</v>
      </c>
      <c r="B333" s="933" t="s">
        <v>318</v>
      </c>
      <c r="C333" s="910">
        <v>0</v>
      </c>
      <c r="D333" s="910">
        <v>0</v>
      </c>
      <c r="E333" s="910">
        <v>0</v>
      </c>
      <c r="F333" s="910">
        <v>0</v>
      </c>
      <c r="G333" s="910">
        <v>0</v>
      </c>
      <c r="H333" s="910">
        <v>0</v>
      </c>
      <c r="I333" s="910">
        <v>0</v>
      </c>
      <c r="J333" s="910">
        <v>0</v>
      </c>
      <c r="K333" s="910">
        <v>0</v>
      </c>
      <c r="L333" s="910">
        <v>0</v>
      </c>
      <c r="M333" s="910">
        <v>0</v>
      </c>
      <c r="N333" s="910">
        <v>0</v>
      </c>
      <c r="O333" s="911">
        <f t="shared" si="128"/>
        <v>0</v>
      </c>
      <c r="P333" s="943">
        <f>+'23. mell. Terszoc.'!F45</f>
        <v>0</v>
      </c>
      <c r="Q333" s="907">
        <f t="shared" si="122"/>
        <v>0</v>
      </c>
      <c r="R333" s="896">
        <v>45</v>
      </c>
    </row>
    <row r="334" spans="1:18">
      <c r="A334" s="930" t="s">
        <v>41</v>
      </c>
      <c r="B334" s="933" t="s">
        <v>2855</v>
      </c>
      <c r="C334" s="913">
        <v>0</v>
      </c>
      <c r="D334" s="913">
        <v>0</v>
      </c>
      <c r="E334" s="913">
        <v>0</v>
      </c>
      <c r="F334" s="913">
        <v>0</v>
      </c>
      <c r="G334" s="913">
        <v>0</v>
      </c>
      <c r="H334" s="913">
        <v>0</v>
      </c>
      <c r="I334" s="913">
        <v>0</v>
      </c>
      <c r="J334" s="913">
        <v>0</v>
      </c>
      <c r="K334" s="913">
        <v>0</v>
      </c>
      <c r="L334" s="913">
        <v>0</v>
      </c>
      <c r="M334" s="913">
        <v>0</v>
      </c>
      <c r="N334" s="913">
        <v>0</v>
      </c>
      <c r="O334" s="911">
        <f t="shared" si="128"/>
        <v>0</v>
      </c>
      <c r="P334" s="943">
        <f>+'23. mell. Terszoc.'!F46</f>
        <v>0</v>
      </c>
      <c r="Q334" s="907">
        <f t="shared" si="122"/>
        <v>0</v>
      </c>
      <c r="R334" s="896">
        <v>46</v>
      </c>
    </row>
    <row r="335" spans="1:18">
      <c r="A335" s="930" t="s">
        <v>314</v>
      </c>
      <c r="B335" s="933" t="s">
        <v>82</v>
      </c>
      <c r="C335" s="910">
        <v>0</v>
      </c>
      <c r="D335" s="910">
        <v>0</v>
      </c>
      <c r="E335" s="910">
        <v>1371600</v>
      </c>
      <c r="F335" s="910">
        <v>0</v>
      </c>
      <c r="G335" s="910">
        <v>0</v>
      </c>
      <c r="H335" s="910">
        <v>0</v>
      </c>
      <c r="I335" s="910">
        <v>0</v>
      </c>
      <c r="J335" s="910">
        <v>0</v>
      </c>
      <c r="K335" s="910">
        <v>0</v>
      </c>
      <c r="L335" s="910">
        <v>0</v>
      </c>
      <c r="M335" s="910">
        <v>0</v>
      </c>
      <c r="N335" s="910">
        <v>0</v>
      </c>
      <c r="O335" s="911">
        <f t="shared" si="128"/>
        <v>1371600</v>
      </c>
      <c r="P335" s="943">
        <f>+'23. mell. Terszoc.'!F48</f>
        <v>1371600</v>
      </c>
      <c r="Q335" s="907">
        <f t="shared" si="122"/>
        <v>0</v>
      </c>
      <c r="R335" s="896">
        <v>48</v>
      </c>
    </row>
    <row r="336" spans="1:18">
      <c r="A336" s="930" t="s">
        <v>402</v>
      </c>
      <c r="B336" s="931" t="s">
        <v>344</v>
      </c>
      <c r="C336" s="910">
        <v>0</v>
      </c>
      <c r="D336" s="910">
        <v>0</v>
      </c>
      <c r="E336" s="910">
        <v>0</v>
      </c>
      <c r="F336" s="910">
        <v>0</v>
      </c>
      <c r="G336" s="910">
        <v>0</v>
      </c>
      <c r="H336" s="910">
        <v>0</v>
      </c>
      <c r="I336" s="910">
        <v>0</v>
      </c>
      <c r="J336" s="910">
        <v>0</v>
      </c>
      <c r="K336" s="910">
        <v>0</v>
      </c>
      <c r="L336" s="910">
        <v>0</v>
      </c>
      <c r="M336" s="910">
        <v>0</v>
      </c>
      <c r="N336" s="910">
        <v>0</v>
      </c>
      <c r="O336" s="911">
        <f t="shared" si="128"/>
        <v>0</v>
      </c>
      <c r="P336" s="943">
        <f>+'23. mell. Terszoc.'!F49</f>
        <v>0</v>
      </c>
      <c r="Q336" s="907">
        <f t="shared" si="122"/>
        <v>0</v>
      </c>
      <c r="R336" s="896">
        <v>49</v>
      </c>
    </row>
    <row r="337" spans="1:18">
      <c r="A337" s="930" t="s">
        <v>404</v>
      </c>
      <c r="B337" s="933" t="s">
        <v>346</v>
      </c>
      <c r="C337" s="913">
        <v>0</v>
      </c>
      <c r="D337" s="913">
        <v>0</v>
      </c>
      <c r="E337" s="913">
        <v>0</v>
      </c>
      <c r="F337" s="913">
        <v>0</v>
      </c>
      <c r="G337" s="913">
        <v>0</v>
      </c>
      <c r="H337" s="913">
        <v>0</v>
      </c>
      <c r="I337" s="913">
        <v>0</v>
      </c>
      <c r="J337" s="913">
        <v>0</v>
      </c>
      <c r="K337" s="913">
        <v>0</v>
      </c>
      <c r="L337" s="913">
        <v>0</v>
      </c>
      <c r="M337" s="913">
        <v>0</v>
      </c>
      <c r="N337" s="913">
        <v>0</v>
      </c>
      <c r="O337" s="911">
        <f t="shared" si="128"/>
        <v>0</v>
      </c>
      <c r="P337" s="943">
        <f>+'23. mell. Terszoc.'!F50</f>
        <v>0</v>
      </c>
      <c r="Q337" s="907">
        <f t="shared" si="122"/>
        <v>0</v>
      </c>
      <c r="R337" s="896">
        <v>50</v>
      </c>
    </row>
    <row r="338" spans="1:18">
      <c r="A338" s="930" t="s">
        <v>407</v>
      </c>
      <c r="B338" s="933" t="s">
        <v>2851</v>
      </c>
      <c r="C338" s="934">
        <v>0</v>
      </c>
      <c r="D338" s="934">
        <v>0</v>
      </c>
      <c r="E338" s="934">
        <v>0</v>
      </c>
      <c r="F338" s="934">
        <v>0</v>
      </c>
      <c r="G338" s="934">
        <v>0</v>
      </c>
      <c r="H338" s="934">
        <v>0</v>
      </c>
      <c r="I338" s="934">
        <v>0</v>
      </c>
      <c r="J338" s="934">
        <v>0</v>
      </c>
      <c r="K338" s="934">
        <v>0</v>
      </c>
      <c r="L338" s="934">
        <v>0</v>
      </c>
      <c r="M338" s="934">
        <v>0</v>
      </c>
      <c r="N338" s="934">
        <v>0</v>
      </c>
      <c r="O338" s="935">
        <f t="shared" si="128"/>
        <v>0</v>
      </c>
      <c r="P338" s="943">
        <v>0</v>
      </c>
      <c r="Q338" s="907">
        <f t="shared" si="122"/>
        <v>0</v>
      </c>
      <c r="R338" s="896">
        <v>0</v>
      </c>
    </row>
    <row r="339" spans="1:18">
      <c r="A339" s="930" t="s">
        <v>409</v>
      </c>
      <c r="B339" s="933" t="s">
        <v>2697</v>
      </c>
      <c r="C339" s="934">
        <v>0</v>
      </c>
      <c r="D339" s="934">
        <v>0</v>
      </c>
      <c r="E339" s="934">
        <v>0</v>
      </c>
      <c r="F339" s="934">
        <v>0</v>
      </c>
      <c r="G339" s="934">
        <v>0</v>
      </c>
      <c r="H339" s="934">
        <v>0</v>
      </c>
      <c r="I339" s="934">
        <v>0</v>
      </c>
      <c r="J339" s="934">
        <v>0</v>
      </c>
      <c r="K339" s="934">
        <v>0</v>
      </c>
      <c r="L339" s="934">
        <v>0</v>
      </c>
      <c r="M339" s="934">
        <v>0</v>
      </c>
      <c r="N339" s="934">
        <v>0</v>
      </c>
      <c r="O339" s="935">
        <f t="shared" si="128"/>
        <v>0</v>
      </c>
      <c r="P339" s="943">
        <v>0</v>
      </c>
      <c r="Q339" s="907">
        <f t="shared" si="122"/>
        <v>0</v>
      </c>
      <c r="R339" s="896">
        <v>0</v>
      </c>
    </row>
    <row r="340" spans="1:18">
      <c r="A340" s="939" t="s">
        <v>410</v>
      </c>
      <c r="B340" s="936" t="s">
        <v>2852</v>
      </c>
      <c r="C340" s="917">
        <f t="shared" ref="C340:N340" si="130">SUM(C330:C339)</f>
        <v>90863782</v>
      </c>
      <c r="D340" s="917">
        <f t="shared" si="130"/>
        <v>90863782</v>
      </c>
      <c r="E340" s="917">
        <f t="shared" si="130"/>
        <v>102235382</v>
      </c>
      <c r="F340" s="917">
        <f t="shared" si="130"/>
        <v>105863782</v>
      </c>
      <c r="G340" s="917">
        <f t="shared" si="130"/>
        <v>105863782</v>
      </c>
      <c r="H340" s="917">
        <f t="shared" si="130"/>
        <v>100863782</v>
      </c>
      <c r="I340" s="917">
        <f t="shared" si="130"/>
        <v>103863782</v>
      </c>
      <c r="J340" s="917">
        <f t="shared" si="130"/>
        <v>101863782</v>
      </c>
      <c r="K340" s="917">
        <f t="shared" si="130"/>
        <v>100863782</v>
      </c>
      <c r="L340" s="917">
        <f t="shared" si="130"/>
        <v>101863782</v>
      </c>
      <c r="M340" s="917">
        <f t="shared" si="130"/>
        <v>100863782</v>
      </c>
      <c r="N340" s="917">
        <f t="shared" si="130"/>
        <v>105863782</v>
      </c>
      <c r="O340" s="918">
        <f t="shared" si="128"/>
        <v>1211736984</v>
      </c>
      <c r="P340" s="943">
        <f>+'23. mell. Terszoc.'!F52</f>
        <v>1211736984</v>
      </c>
      <c r="Q340" s="907">
        <f t="shared" si="122"/>
        <v>0</v>
      </c>
      <c r="R340" s="895">
        <v>52</v>
      </c>
    </row>
    <row r="341" spans="1:18">
      <c r="A341" s="939" t="s">
        <v>411</v>
      </c>
      <c r="B341" s="940" t="s">
        <v>2853</v>
      </c>
      <c r="C341" s="941">
        <f>C328-C340</f>
        <v>10117236.083333343</v>
      </c>
      <c r="D341" s="941">
        <f t="shared" ref="D341:N341" si="131">C341+D328-D340</f>
        <v>20231269.166666687</v>
      </c>
      <c r="E341" s="941">
        <f t="shared" si="131"/>
        <v>18973702.25000003</v>
      </c>
      <c r="F341" s="941">
        <f t="shared" si="131"/>
        <v>14087735.333333373</v>
      </c>
      <c r="G341" s="941">
        <f t="shared" si="131"/>
        <v>9201768.4166667163</v>
      </c>
      <c r="H341" s="941">
        <f t="shared" si="131"/>
        <v>9315801.5000000596</v>
      </c>
      <c r="I341" s="941">
        <f t="shared" si="131"/>
        <v>6429834.5833334029</v>
      </c>
      <c r="J341" s="941">
        <f t="shared" si="131"/>
        <v>5543867.6666667461</v>
      </c>
      <c r="K341" s="941">
        <f t="shared" si="131"/>
        <v>5657900.7500000894</v>
      </c>
      <c r="L341" s="941">
        <f t="shared" si="131"/>
        <v>4771933.8333334327</v>
      </c>
      <c r="M341" s="941">
        <f t="shared" si="131"/>
        <v>4885966.9166667759</v>
      </c>
      <c r="N341" s="941">
        <f t="shared" si="131"/>
        <v>1.1920928955078125E-7</v>
      </c>
      <c r="O341" s="942">
        <f>O328-O340</f>
        <v>0</v>
      </c>
      <c r="Q341" s="907"/>
      <c r="R341" s="943">
        <f>+P328-P340</f>
        <v>0</v>
      </c>
    </row>
    <row r="342" spans="1:18">
      <c r="Q342" s="907"/>
    </row>
    <row r="343" spans="1:18" ht="31.5" customHeight="1">
      <c r="A343" s="3834" t="s">
        <v>3783</v>
      </c>
      <c r="B343" s="3834"/>
      <c r="C343" s="3834"/>
      <c r="D343" s="3834"/>
      <c r="E343" s="3834"/>
      <c r="F343" s="3834"/>
      <c r="G343" s="3834"/>
      <c r="H343" s="3834"/>
      <c r="I343" s="3834"/>
      <c r="J343" s="3834"/>
      <c r="K343" s="3834"/>
      <c r="L343" s="3834"/>
      <c r="M343" s="3834"/>
      <c r="N343" s="3834"/>
      <c r="O343" s="3834"/>
      <c r="Q343" s="907"/>
    </row>
    <row r="344" spans="1:18">
      <c r="O344" s="924" t="s">
        <v>3300</v>
      </c>
      <c r="Q344" s="907"/>
    </row>
    <row r="345" spans="1:18" ht="24">
      <c r="A345" s="899" t="s">
        <v>2726</v>
      </c>
      <c r="B345" s="900" t="s">
        <v>136</v>
      </c>
      <c r="C345" s="900" t="s">
        <v>2837</v>
      </c>
      <c r="D345" s="900" t="s">
        <v>2838</v>
      </c>
      <c r="E345" s="900" t="s">
        <v>2839</v>
      </c>
      <c r="F345" s="900" t="s">
        <v>2840</v>
      </c>
      <c r="G345" s="900" t="s">
        <v>2841</v>
      </c>
      <c r="H345" s="900" t="s">
        <v>2842</v>
      </c>
      <c r="I345" s="900" t="s">
        <v>2843</v>
      </c>
      <c r="J345" s="900" t="s">
        <v>2844</v>
      </c>
      <c r="K345" s="900" t="s">
        <v>2845</v>
      </c>
      <c r="L345" s="900" t="s">
        <v>2846</v>
      </c>
      <c r="M345" s="900" t="s">
        <v>2847</v>
      </c>
      <c r="N345" s="900" t="s">
        <v>2848</v>
      </c>
      <c r="O345" s="901" t="s">
        <v>66</v>
      </c>
      <c r="Q345" s="907"/>
    </row>
    <row r="346" spans="1:18">
      <c r="A346" s="925" t="s">
        <v>6</v>
      </c>
      <c r="B346" s="3833" t="s">
        <v>390</v>
      </c>
      <c r="C346" s="3833"/>
      <c r="D346" s="3833"/>
      <c r="E346" s="3833"/>
      <c r="F346" s="3833"/>
      <c r="G346" s="3833"/>
      <c r="H346" s="3833"/>
      <c r="I346" s="3833"/>
      <c r="J346" s="3833"/>
      <c r="K346" s="3833"/>
      <c r="L346" s="3833"/>
      <c r="M346" s="3833"/>
      <c r="N346" s="3833"/>
      <c r="O346" s="3833"/>
      <c r="Q346" s="907"/>
    </row>
    <row r="347" spans="1:18" ht="22.5">
      <c r="A347" s="926" t="s">
        <v>12</v>
      </c>
      <c r="B347" s="927" t="s">
        <v>3385</v>
      </c>
      <c r="C347" s="928">
        <v>0</v>
      </c>
      <c r="D347" s="928">
        <v>0</v>
      </c>
      <c r="E347" s="928">
        <v>0</v>
      </c>
      <c r="F347" s="928">
        <v>0</v>
      </c>
      <c r="G347" s="928">
        <v>0</v>
      </c>
      <c r="H347" s="928">
        <v>0</v>
      </c>
      <c r="I347" s="928">
        <v>0</v>
      </c>
      <c r="J347" s="928">
        <v>0</v>
      </c>
      <c r="K347" s="928">
        <v>0</v>
      </c>
      <c r="L347" s="928">
        <v>0</v>
      </c>
      <c r="M347" s="928">
        <v>0</v>
      </c>
      <c r="N347" s="928">
        <v>0</v>
      </c>
      <c r="O347" s="929">
        <f>SUM(C347:N347)</f>
        <v>0</v>
      </c>
      <c r="P347" s="923">
        <v>0</v>
      </c>
      <c r="Q347" s="907">
        <f t="shared" ref="Q347:Q368" si="132">O347-P347</f>
        <v>0</v>
      </c>
      <c r="R347" s="895">
        <v>0</v>
      </c>
    </row>
    <row r="348" spans="1:18">
      <c r="A348" s="930" t="s">
        <v>14</v>
      </c>
      <c r="B348" s="931" t="s">
        <v>3386</v>
      </c>
      <c r="C348" s="910">
        <v>0</v>
      </c>
      <c r="D348" s="910">
        <v>0</v>
      </c>
      <c r="E348" s="910">
        <v>0</v>
      </c>
      <c r="F348" s="910">
        <v>0</v>
      </c>
      <c r="G348" s="910">
        <v>0</v>
      </c>
      <c r="H348" s="910">
        <v>0</v>
      </c>
      <c r="I348" s="910">
        <v>0</v>
      </c>
      <c r="J348" s="910">
        <v>0</v>
      </c>
      <c r="K348" s="910">
        <v>0</v>
      </c>
      <c r="L348" s="910">
        <v>0</v>
      </c>
      <c r="M348" s="910">
        <v>0</v>
      </c>
      <c r="N348" s="910">
        <v>0</v>
      </c>
      <c r="O348" s="911">
        <f>SUM(D348:N348)</f>
        <v>0</v>
      </c>
      <c r="P348" s="943">
        <f>+'24. mell. Napraforgó'!F23</f>
        <v>0</v>
      </c>
      <c r="Q348" s="907">
        <f t="shared" si="132"/>
        <v>0</v>
      </c>
      <c r="R348" s="896">
        <v>23</v>
      </c>
    </row>
    <row r="349" spans="1:18">
      <c r="A349" s="930" t="s">
        <v>15</v>
      </c>
      <c r="B349" s="932" t="s">
        <v>2849</v>
      </c>
      <c r="C349" s="913">
        <v>0</v>
      </c>
      <c r="D349" s="913">
        <v>0</v>
      </c>
      <c r="E349" s="913">
        <v>0</v>
      </c>
      <c r="F349" s="913">
        <v>0</v>
      </c>
      <c r="G349" s="913">
        <v>0</v>
      </c>
      <c r="H349" s="913">
        <v>0</v>
      </c>
      <c r="I349" s="913">
        <v>0</v>
      </c>
      <c r="J349" s="913">
        <v>0</v>
      </c>
      <c r="K349" s="913">
        <v>0</v>
      </c>
      <c r="L349" s="913">
        <v>0</v>
      </c>
      <c r="M349" s="913">
        <v>0</v>
      </c>
      <c r="N349" s="913">
        <v>0</v>
      </c>
      <c r="O349" s="914">
        <f t="shared" ref="O349:O356" si="133">SUM(C349:N349)</f>
        <v>0</v>
      </c>
      <c r="P349" s="943">
        <f>+'24. mell. Napraforgó'!F27</f>
        <v>0</v>
      </c>
      <c r="Q349" s="907">
        <f t="shared" si="132"/>
        <v>0</v>
      </c>
      <c r="R349" s="896">
        <v>27</v>
      </c>
    </row>
    <row r="350" spans="1:18">
      <c r="A350" s="930" t="s">
        <v>17</v>
      </c>
      <c r="B350" s="933" t="s">
        <v>393</v>
      </c>
      <c r="C350" s="934">
        <v>0</v>
      </c>
      <c r="D350" s="934">
        <v>0</v>
      </c>
      <c r="E350" s="934">
        <v>0</v>
      </c>
      <c r="F350" s="934">
        <v>0</v>
      </c>
      <c r="G350" s="934">
        <v>0</v>
      </c>
      <c r="H350" s="934">
        <v>0</v>
      </c>
      <c r="I350" s="934">
        <v>0</v>
      </c>
      <c r="J350" s="934">
        <v>0</v>
      </c>
      <c r="K350" s="934">
        <v>0</v>
      </c>
      <c r="L350" s="934">
        <v>0</v>
      </c>
      <c r="M350" s="934">
        <v>0</v>
      </c>
      <c r="N350" s="934">
        <v>0</v>
      </c>
      <c r="O350" s="935">
        <f t="shared" si="133"/>
        <v>0</v>
      </c>
      <c r="P350" s="943">
        <f>+'24. mell. Napraforgó'!F31</f>
        <v>0</v>
      </c>
      <c r="Q350" s="907">
        <f t="shared" si="132"/>
        <v>0</v>
      </c>
      <c r="R350" s="896">
        <v>31</v>
      </c>
    </row>
    <row r="351" spans="1:18">
      <c r="A351" s="930" t="s">
        <v>19</v>
      </c>
      <c r="B351" s="933" t="s">
        <v>149</v>
      </c>
      <c r="C351" s="910">
        <f t="shared" ref="C351:N351" si="134">+$P$351/12</f>
        <v>195746.58333333334</v>
      </c>
      <c r="D351" s="910">
        <f t="shared" si="134"/>
        <v>195746.58333333334</v>
      </c>
      <c r="E351" s="910">
        <f t="shared" si="134"/>
        <v>195746.58333333334</v>
      </c>
      <c r="F351" s="910">
        <f t="shared" si="134"/>
        <v>195746.58333333334</v>
      </c>
      <c r="G351" s="910">
        <f t="shared" si="134"/>
        <v>195746.58333333334</v>
      </c>
      <c r="H351" s="910">
        <f t="shared" si="134"/>
        <v>195746.58333333334</v>
      </c>
      <c r="I351" s="910">
        <f t="shared" si="134"/>
        <v>195746.58333333334</v>
      </c>
      <c r="J351" s="910">
        <f t="shared" si="134"/>
        <v>195746.58333333334</v>
      </c>
      <c r="K351" s="910">
        <f t="shared" si="134"/>
        <v>195746.58333333334</v>
      </c>
      <c r="L351" s="910">
        <f t="shared" si="134"/>
        <v>195746.58333333334</v>
      </c>
      <c r="M351" s="910">
        <f t="shared" si="134"/>
        <v>195746.58333333334</v>
      </c>
      <c r="N351" s="910">
        <f t="shared" si="134"/>
        <v>195746.58333333334</v>
      </c>
      <c r="O351" s="911">
        <f t="shared" si="133"/>
        <v>2348959</v>
      </c>
      <c r="P351" s="943">
        <f>+'24. mell. Napraforgó'!F8</f>
        <v>2348959</v>
      </c>
      <c r="Q351" s="907">
        <f t="shared" si="132"/>
        <v>0</v>
      </c>
      <c r="R351" s="896">
        <v>8</v>
      </c>
    </row>
    <row r="352" spans="1:18">
      <c r="A352" s="930" t="s">
        <v>21</v>
      </c>
      <c r="B352" s="933" t="s">
        <v>431</v>
      </c>
      <c r="C352" s="910">
        <v>0</v>
      </c>
      <c r="D352" s="910">
        <v>0</v>
      </c>
      <c r="E352" s="910">
        <v>0</v>
      </c>
      <c r="F352" s="910">
        <v>0</v>
      </c>
      <c r="G352" s="910">
        <v>0</v>
      </c>
      <c r="H352" s="910">
        <v>0</v>
      </c>
      <c r="I352" s="910">
        <v>0</v>
      </c>
      <c r="J352" s="910">
        <v>0</v>
      </c>
      <c r="K352" s="910">
        <v>0</v>
      </c>
      <c r="L352" s="910">
        <v>0</v>
      </c>
      <c r="M352" s="910">
        <v>0</v>
      </c>
      <c r="N352" s="910">
        <v>0</v>
      </c>
      <c r="O352" s="911">
        <f t="shared" si="133"/>
        <v>0</v>
      </c>
      <c r="P352" s="943">
        <f>+'24. mell. Napraforgó'!F20</f>
        <v>0</v>
      </c>
      <c r="Q352" s="907">
        <f t="shared" si="132"/>
        <v>0</v>
      </c>
      <c r="R352" s="896">
        <v>20</v>
      </c>
    </row>
    <row r="353" spans="1:18">
      <c r="A353" s="930" t="s">
        <v>23</v>
      </c>
      <c r="B353" s="933" t="s">
        <v>153</v>
      </c>
      <c r="C353" s="910">
        <v>0</v>
      </c>
      <c r="D353" s="910">
        <v>0</v>
      </c>
      <c r="E353" s="910">
        <v>0</v>
      </c>
      <c r="F353" s="910">
        <v>0</v>
      </c>
      <c r="G353" s="910">
        <v>0</v>
      </c>
      <c r="H353" s="910">
        <v>0</v>
      </c>
      <c r="I353" s="910">
        <v>0</v>
      </c>
      <c r="J353" s="910">
        <v>0</v>
      </c>
      <c r="K353" s="910">
        <v>0</v>
      </c>
      <c r="L353" s="910">
        <v>0</v>
      </c>
      <c r="M353" s="910">
        <v>0</v>
      </c>
      <c r="N353" s="910">
        <v>0</v>
      </c>
      <c r="O353" s="911">
        <f t="shared" si="133"/>
        <v>0</v>
      </c>
      <c r="P353" s="943">
        <f>+'24. mell. Napraforgó'!F29</f>
        <v>0</v>
      </c>
      <c r="Q353" s="907">
        <f t="shared" si="132"/>
        <v>0</v>
      </c>
      <c r="R353" s="896">
        <v>29</v>
      </c>
    </row>
    <row r="354" spans="1:18">
      <c r="A354" s="930" t="s">
        <v>25</v>
      </c>
      <c r="B354" s="931" t="s">
        <v>1281</v>
      </c>
      <c r="C354" s="910">
        <v>0</v>
      </c>
      <c r="D354" s="910">
        <v>0</v>
      </c>
      <c r="E354" s="910">
        <v>0</v>
      </c>
      <c r="F354" s="910">
        <v>0</v>
      </c>
      <c r="G354" s="910">
        <v>0</v>
      </c>
      <c r="H354" s="910">
        <v>0</v>
      </c>
      <c r="I354" s="910">
        <v>0</v>
      </c>
      <c r="J354" s="910">
        <v>0</v>
      </c>
      <c r="K354" s="910">
        <v>0</v>
      </c>
      <c r="L354" s="910">
        <v>0</v>
      </c>
      <c r="M354" s="910">
        <v>0</v>
      </c>
      <c r="N354" s="910">
        <v>0</v>
      </c>
      <c r="O354" s="911">
        <f t="shared" si="133"/>
        <v>0</v>
      </c>
      <c r="P354" s="943">
        <f>+'24. mell. Napraforgó'!F30</f>
        <v>0</v>
      </c>
      <c r="Q354" s="907">
        <f t="shared" si="132"/>
        <v>0</v>
      </c>
      <c r="R354" s="896">
        <v>30</v>
      </c>
    </row>
    <row r="355" spans="1:18">
      <c r="A355" s="930" t="s">
        <v>27</v>
      </c>
      <c r="B355" s="933" t="s">
        <v>1257</v>
      </c>
      <c r="C355" s="910">
        <f>+$P$355/12</f>
        <v>32451260.166666668</v>
      </c>
      <c r="D355" s="910">
        <f>+$P$355/12+1103</f>
        <v>32452363.166666668</v>
      </c>
      <c r="E355" s="910">
        <f t="shared" ref="E355:M355" si="135">+$P$355/12</f>
        <v>32451260.166666668</v>
      </c>
      <c r="F355" s="910">
        <f t="shared" si="135"/>
        <v>32451260.166666668</v>
      </c>
      <c r="G355" s="910">
        <f t="shared" si="135"/>
        <v>32451260.166666668</v>
      </c>
      <c r="H355" s="910">
        <f t="shared" si="135"/>
        <v>32451260.166666668</v>
      </c>
      <c r="I355" s="910">
        <f t="shared" si="135"/>
        <v>32451260.166666668</v>
      </c>
      <c r="J355" s="910">
        <f t="shared" si="135"/>
        <v>32451260.166666668</v>
      </c>
      <c r="K355" s="910">
        <f t="shared" si="135"/>
        <v>32451260.166666668</v>
      </c>
      <c r="L355" s="910">
        <f t="shared" si="135"/>
        <v>32451260.166666668</v>
      </c>
      <c r="M355" s="910">
        <f t="shared" si="135"/>
        <v>32451260.166666668</v>
      </c>
      <c r="N355" s="910">
        <f>+$P$355/12-1103</f>
        <v>32450157.166666668</v>
      </c>
      <c r="O355" s="948">
        <f t="shared" si="133"/>
        <v>389415122.00000006</v>
      </c>
      <c r="P355" s="943">
        <f>+'24. mell. Napraforgó'!F36</f>
        <v>389415122</v>
      </c>
      <c r="Q355" s="907">
        <f t="shared" si="132"/>
        <v>0</v>
      </c>
      <c r="R355" s="896">
        <v>36</v>
      </c>
    </row>
    <row r="356" spans="1:18">
      <c r="A356" s="925" t="s">
        <v>29</v>
      </c>
      <c r="B356" s="936" t="s">
        <v>2850</v>
      </c>
      <c r="C356" s="917">
        <f t="shared" ref="C356:N356" si="136">SUM(C347:C355)</f>
        <v>32647006.75</v>
      </c>
      <c r="D356" s="917">
        <f t="shared" si="136"/>
        <v>32648109.75</v>
      </c>
      <c r="E356" s="917">
        <f t="shared" si="136"/>
        <v>32647006.75</v>
      </c>
      <c r="F356" s="917">
        <f t="shared" si="136"/>
        <v>32647006.75</v>
      </c>
      <c r="G356" s="917">
        <f t="shared" si="136"/>
        <v>32647006.75</v>
      </c>
      <c r="H356" s="917">
        <f t="shared" si="136"/>
        <v>32647006.75</v>
      </c>
      <c r="I356" s="917">
        <f t="shared" si="136"/>
        <v>32647006.75</v>
      </c>
      <c r="J356" s="917">
        <f t="shared" si="136"/>
        <v>32647006.75</v>
      </c>
      <c r="K356" s="917">
        <f t="shared" si="136"/>
        <v>32647006.75</v>
      </c>
      <c r="L356" s="917">
        <f t="shared" si="136"/>
        <v>32647006.75</v>
      </c>
      <c r="M356" s="917">
        <f t="shared" si="136"/>
        <v>32647006.75</v>
      </c>
      <c r="N356" s="949">
        <f t="shared" si="136"/>
        <v>32645903.75</v>
      </c>
      <c r="O356" s="950">
        <f t="shared" si="133"/>
        <v>391764081</v>
      </c>
      <c r="P356" s="943">
        <f>+'24. mell. Napraforgó'!F37</f>
        <v>391764081</v>
      </c>
      <c r="Q356" s="907">
        <f t="shared" si="132"/>
        <v>0</v>
      </c>
      <c r="R356" s="895">
        <v>37</v>
      </c>
    </row>
    <row r="357" spans="1:18">
      <c r="A357" s="925" t="s">
        <v>31</v>
      </c>
      <c r="B357" s="3833" t="s">
        <v>391</v>
      </c>
      <c r="C357" s="3833"/>
      <c r="D357" s="3833"/>
      <c r="E357" s="3833"/>
      <c r="F357" s="3833"/>
      <c r="G357" s="3833"/>
      <c r="H357" s="3833"/>
      <c r="I357" s="3833"/>
      <c r="J357" s="3833"/>
      <c r="K357" s="3833"/>
      <c r="L357" s="3833"/>
      <c r="M357" s="3833"/>
      <c r="N357" s="3833"/>
      <c r="O357" s="3833"/>
      <c r="P357" s="943"/>
      <c r="Q357" s="907">
        <f t="shared" si="132"/>
        <v>0</v>
      </c>
      <c r="R357" s="895"/>
    </row>
    <row r="358" spans="1:18">
      <c r="A358" s="937" t="s">
        <v>33</v>
      </c>
      <c r="B358" s="938" t="s">
        <v>9</v>
      </c>
      <c r="C358" s="910">
        <f t="shared" ref="C358:N358" si="137">+$P$358/12</f>
        <v>25678787.083333332</v>
      </c>
      <c r="D358" s="910">
        <f t="shared" si="137"/>
        <v>25678787.083333332</v>
      </c>
      <c r="E358" s="910">
        <f t="shared" si="137"/>
        <v>25678787.083333332</v>
      </c>
      <c r="F358" s="910">
        <f t="shared" si="137"/>
        <v>25678787.083333332</v>
      </c>
      <c r="G358" s="910">
        <f t="shared" si="137"/>
        <v>25678787.083333332</v>
      </c>
      <c r="H358" s="910">
        <f t="shared" si="137"/>
        <v>25678787.083333332</v>
      </c>
      <c r="I358" s="910">
        <f t="shared" si="137"/>
        <v>25678787.083333332</v>
      </c>
      <c r="J358" s="910">
        <f t="shared" si="137"/>
        <v>25678787.083333332</v>
      </c>
      <c r="K358" s="910">
        <f t="shared" si="137"/>
        <v>25678787.083333332</v>
      </c>
      <c r="L358" s="910">
        <f t="shared" si="137"/>
        <v>25678787.083333332</v>
      </c>
      <c r="M358" s="910">
        <f t="shared" si="137"/>
        <v>25678787.083333332</v>
      </c>
      <c r="N358" s="910">
        <f t="shared" si="137"/>
        <v>25678787.083333332</v>
      </c>
      <c r="O358" s="914">
        <f t="shared" ref="O358:O368" si="138">SUM(C358:N358)</f>
        <v>308145445</v>
      </c>
      <c r="P358" s="943">
        <f>+'24. mell. Napraforgó'!F42</f>
        <v>308145445</v>
      </c>
      <c r="Q358" s="907">
        <f t="shared" si="132"/>
        <v>0</v>
      </c>
      <c r="R358" s="896">
        <v>42</v>
      </c>
    </row>
    <row r="359" spans="1:18" ht="22.5">
      <c r="A359" s="930" t="s">
        <v>35</v>
      </c>
      <c r="B359" s="931" t="s">
        <v>8</v>
      </c>
      <c r="C359" s="910">
        <f t="shared" ref="C359:N359" si="139">+$P$359/12</f>
        <v>3743398.75</v>
      </c>
      <c r="D359" s="910">
        <f t="shared" si="139"/>
        <v>3743398.75</v>
      </c>
      <c r="E359" s="910">
        <f t="shared" si="139"/>
        <v>3743398.75</v>
      </c>
      <c r="F359" s="910">
        <f t="shared" si="139"/>
        <v>3743398.75</v>
      </c>
      <c r="G359" s="910">
        <f t="shared" si="139"/>
        <v>3743398.75</v>
      </c>
      <c r="H359" s="910">
        <f t="shared" si="139"/>
        <v>3743398.75</v>
      </c>
      <c r="I359" s="910">
        <f t="shared" si="139"/>
        <v>3743398.75</v>
      </c>
      <c r="J359" s="910">
        <f t="shared" si="139"/>
        <v>3743398.75</v>
      </c>
      <c r="K359" s="910">
        <f t="shared" si="139"/>
        <v>3743398.75</v>
      </c>
      <c r="L359" s="910">
        <f t="shared" si="139"/>
        <v>3743398.75</v>
      </c>
      <c r="M359" s="910">
        <f t="shared" si="139"/>
        <v>3743398.75</v>
      </c>
      <c r="N359" s="910">
        <f t="shared" si="139"/>
        <v>3743398.75</v>
      </c>
      <c r="O359" s="914">
        <f t="shared" si="138"/>
        <v>44920785</v>
      </c>
      <c r="P359" s="943">
        <f>+'24. mell. Napraforgó'!F43</f>
        <v>44920785</v>
      </c>
      <c r="Q359" s="907">
        <f t="shared" si="132"/>
        <v>0</v>
      </c>
      <c r="R359" s="896">
        <v>43</v>
      </c>
    </row>
    <row r="360" spans="1:18">
      <c r="A360" s="930" t="s">
        <v>37</v>
      </c>
      <c r="B360" s="933" t="s">
        <v>317</v>
      </c>
      <c r="C360" s="910">
        <f t="shared" ref="C360:N360" si="140">+$P$360/12</f>
        <v>3003122.25</v>
      </c>
      <c r="D360" s="910">
        <f t="shared" si="140"/>
        <v>3003122.25</v>
      </c>
      <c r="E360" s="910">
        <f t="shared" si="140"/>
        <v>3003122.25</v>
      </c>
      <c r="F360" s="910">
        <f t="shared" si="140"/>
        <v>3003122.25</v>
      </c>
      <c r="G360" s="910">
        <f t="shared" si="140"/>
        <v>3003122.25</v>
      </c>
      <c r="H360" s="910">
        <f t="shared" si="140"/>
        <v>3003122.25</v>
      </c>
      <c r="I360" s="910">
        <f t="shared" si="140"/>
        <v>3003122.25</v>
      </c>
      <c r="J360" s="910">
        <f t="shared" si="140"/>
        <v>3003122.25</v>
      </c>
      <c r="K360" s="910">
        <f t="shared" si="140"/>
        <v>3003122.25</v>
      </c>
      <c r="L360" s="910">
        <f t="shared" si="140"/>
        <v>3003122.25</v>
      </c>
      <c r="M360" s="910">
        <f t="shared" si="140"/>
        <v>3003122.25</v>
      </c>
      <c r="N360" s="910">
        <f t="shared" si="140"/>
        <v>3003122.25</v>
      </c>
      <c r="O360" s="911">
        <f t="shared" si="138"/>
        <v>36037467</v>
      </c>
      <c r="P360" s="943">
        <f>+'24. mell. Napraforgó'!F44</f>
        <v>36037467</v>
      </c>
      <c r="Q360" s="907">
        <f t="shared" si="132"/>
        <v>0</v>
      </c>
      <c r="R360" s="896">
        <v>44</v>
      </c>
    </row>
    <row r="361" spans="1:18">
      <c r="A361" s="930" t="s">
        <v>39</v>
      </c>
      <c r="B361" s="933" t="s">
        <v>318</v>
      </c>
      <c r="C361" s="910">
        <f t="shared" ref="C361:N361" si="141">+$P$361/12</f>
        <v>0</v>
      </c>
      <c r="D361" s="910">
        <f t="shared" si="141"/>
        <v>0</v>
      </c>
      <c r="E361" s="910">
        <f t="shared" si="141"/>
        <v>0</v>
      </c>
      <c r="F361" s="910">
        <f t="shared" si="141"/>
        <v>0</v>
      </c>
      <c r="G361" s="910">
        <f t="shared" si="141"/>
        <v>0</v>
      </c>
      <c r="H361" s="910">
        <f t="shared" si="141"/>
        <v>0</v>
      </c>
      <c r="I361" s="910">
        <f t="shared" si="141"/>
        <v>0</v>
      </c>
      <c r="J361" s="910">
        <f t="shared" si="141"/>
        <v>0</v>
      </c>
      <c r="K361" s="910">
        <f t="shared" si="141"/>
        <v>0</v>
      </c>
      <c r="L361" s="910">
        <f t="shared" si="141"/>
        <v>0</v>
      </c>
      <c r="M361" s="910">
        <f t="shared" si="141"/>
        <v>0</v>
      </c>
      <c r="N361" s="910">
        <f t="shared" si="141"/>
        <v>0</v>
      </c>
      <c r="O361" s="911">
        <f t="shared" si="138"/>
        <v>0</v>
      </c>
      <c r="P361" s="943">
        <f>+'24. mell. Napraforgó'!F45</f>
        <v>0</v>
      </c>
      <c r="Q361" s="907">
        <f t="shared" si="132"/>
        <v>0</v>
      </c>
      <c r="R361" s="896">
        <v>45</v>
      </c>
    </row>
    <row r="362" spans="1:18">
      <c r="A362" s="930" t="s">
        <v>41</v>
      </c>
      <c r="B362" s="933" t="s">
        <v>2855</v>
      </c>
      <c r="C362" s="910">
        <f t="shared" ref="C362:N362" si="142">+$P$362/12</f>
        <v>0</v>
      </c>
      <c r="D362" s="910">
        <f t="shared" si="142"/>
        <v>0</v>
      </c>
      <c r="E362" s="910">
        <f t="shared" si="142"/>
        <v>0</v>
      </c>
      <c r="F362" s="910">
        <f t="shared" si="142"/>
        <v>0</v>
      </c>
      <c r="G362" s="910">
        <f t="shared" si="142"/>
        <v>0</v>
      </c>
      <c r="H362" s="910">
        <f t="shared" si="142"/>
        <v>0</v>
      </c>
      <c r="I362" s="910">
        <f t="shared" si="142"/>
        <v>0</v>
      </c>
      <c r="J362" s="910">
        <f t="shared" si="142"/>
        <v>0</v>
      </c>
      <c r="K362" s="910">
        <f t="shared" si="142"/>
        <v>0</v>
      </c>
      <c r="L362" s="910">
        <f t="shared" si="142"/>
        <v>0</v>
      </c>
      <c r="M362" s="910">
        <f t="shared" si="142"/>
        <v>0</v>
      </c>
      <c r="N362" s="910">
        <f t="shared" si="142"/>
        <v>0</v>
      </c>
      <c r="O362" s="911">
        <f t="shared" si="138"/>
        <v>0</v>
      </c>
      <c r="P362" s="943">
        <f>+'24. mell. Napraforgó'!F46</f>
        <v>0</v>
      </c>
      <c r="Q362" s="907">
        <f t="shared" si="132"/>
        <v>0</v>
      </c>
      <c r="R362" s="896">
        <v>46</v>
      </c>
    </row>
    <row r="363" spans="1:18">
      <c r="A363" s="930" t="s">
        <v>314</v>
      </c>
      <c r="B363" s="933" t="s">
        <v>82</v>
      </c>
      <c r="C363" s="910">
        <v>0</v>
      </c>
      <c r="D363" s="910">
        <v>0</v>
      </c>
      <c r="E363" s="910">
        <v>0</v>
      </c>
      <c r="F363" s="910">
        <v>500000</v>
      </c>
      <c r="G363" s="910">
        <v>0</v>
      </c>
      <c r="H363" s="910">
        <v>500000</v>
      </c>
      <c r="I363" s="910">
        <v>0</v>
      </c>
      <c r="J363" s="910">
        <v>500000</v>
      </c>
      <c r="K363" s="910">
        <v>0</v>
      </c>
      <c r="L363" s="910">
        <v>500000</v>
      </c>
      <c r="M363" s="910">
        <v>300000</v>
      </c>
      <c r="N363" s="910">
        <v>360384</v>
      </c>
      <c r="O363" s="911">
        <f t="shared" si="138"/>
        <v>2660384</v>
      </c>
      <c r="P363" s="943">
        <f>+'24. mell. Napraforgó'!F48</f>
        <v>2660384</v>
      </c>
      <c r="Q363" s="907">
        <f t="shared" si="132"/>
        <v>0</v>
      </c>
      <c r="R363" s="896">
        <v>48</v>
      </c>
    </row>
    <row r="364" spans="1:18">
      <c r="A364" s="930" t="s">
        <v>402</v>
      </c>
      <c r="B364" s="931" t="s">
        <v>344</v>
      </c>
      <c r="C364" s="910">
        <f t="shared" ref="C364:N364" si="143">+$P$364/12</f>
        <v>0</v>
      </c>
      <c r="D364" s="910">
        <f t="shared" si="143"/>
        <v>0</v>
      </c>
      <c r="E364" s="910">
        <f t="shared" si="143"/>
        <v>0</v>
      </c>
      <c r="F364" s="910">
        <f t="shared" si="143"/>
        <v>0</v>
      </c>
      <c r="G364" s="910">
        <f t="shared" si="143"/>
        <v>0</v>
      </c>
      <c r="H364" s="910">
        <f t="shared" si="143"/>
        <v>0</v>
      </c>
      <c r="I364" s="910">
        <f t="shared" si="143"/>
        <v>0</v>
      </c>
      <c r="J364" s="910">
        <f t="shared" si="143"/>
        <v>0</v>
      </c>
      <c r="K364" s="910">
        <f t="shared" si="143"/>
        <v>0</v>
      </c>
      <c r="L364" s="910">
        <f t="shared" si="143"/>
        <v>0</v>
      </c>
      <c r="M364" s="910">
        <f t="shared" si="143"/>
        <v>0</v>
      </c>
      <c r="N364" s="910">
        <f t="shared" si="143"/>
        <v>0</v>
      </c>
      <c r="O364" s="911">
        <f t="shared" si="138"/>
        <v>0</v>
      </c>
      <c r="P364" s="943">
        <f>+'24. mell. Napraforgó'!F49</f>
        <v>0</v>
      </c>
      <c r="Q364" s="907">
        <f t="shared" si="132"/>
        <v>0</v>
      </c>
      <c r="R364" s="896">
        <v>49</v>
      </c>
    </row>
    <row r="365" spans="1:18">
      <c r="A365" s="930" t="s">
        <v>404</v>
      </c>
      <c r="B365" s="933" t="s">
        <v>346</v>
      </c>
      <c r="C365" s="910">
        <f t="shared" ref="C365:N365" si="144">+$P$365/12</f>
        <v>0</v>
      </c>
      <c r="D365" s="910">
        <f t="shared" si="144"/>
        <v>0</v>
      </c>
      <c r="E365" s="910">
        <f t="shared" si="144"/>
        <v>0</v>
      </c>
      <c r="F365" s="910">
        <f t="shared" si="144"/>
        <v>0</v>
      </c>
      <c r="G365" s="910">
        <f t="shared" si="144"/>
        <v>0</v>
      </c>
      <c r="H365" s="910">
        <f t="shared" si="144"/>
        <v>0</v>
      </c>
      <c r="I365" s="910">
        <f t="shared" si="144"/>
        <v>0</v>
      </c>
      <c r="J365" s="910">
        <f t="shared" si="144"/>
        <v>0</v>
      </c>
      <c r="K365" s="910">
        <f t="shared" si="144"/>
        <v>0</v>
      </c>
      <c r="L365" s="910">
        <f t="shared" si="144"/>
        <v>0</v>
      </c>
      <c r="M365" s="910">
        <f t="shared" si="144"/>
        <v>0</v>
      </c>
      <c r="N365" s="910">
        <f t="shared" si="144"/>
        <v>0</v>
      </c>
      <c r="O365" s="911">
        <f t="shared" si="138"/>
        <v>0</v>
      </c>
      <c r="P365" s="943">
        <f>+'24. mell. Napraforgó'!F50</f>
        <v>0</v>
      </c>
      <c r="Q365" s="907">
        <f t="shared" si="132"/>
        <v>0</v>
      </c>
      <c r="R365" s="896">
        <v>50</v>
      </c>
    </row>
    <row r="366" spans="1:18">
      <c r="A366" s="930" t="s">
        <v>407</v>
      </c>
      <c r="B366" s="933" t="s">
        <v>2851</v>
      </c>
      <c r="C366" s="934">
        <v>0</v>
      </c>
      <c r="D366" s="934">
        <v>0</v>
      </c>
      <c r="E366" s="934">
        <v>0</v>
      </c>
      <c r="F366" s="934">
        <v>0</v>
      </c>
      <c r="G366" s="934">
        <v>0</v>
      </c>
      <c r="H366" s="934">
        <v>0</v>
      </c>
      <c r="I366" s="934">
        <v>0</v>
      </c>
      <c r="J366" s="934">
        <v>0</v>
      </c>
      <c r="K366" s="934">
        <v>0</v>
      </c>
      <c r="L366" s="934">
        <v>0</v>
      </c>
      <c r="M366" s="934">
        <v>0</v>
      </c>
      <c r="N366" s="934">
        <v>0</v>
      </c>
      <c r="O366" s="935">
        <f t="shared" si="138"/>
        <v>0</v>
      </c>
      <c r="P366" s="943">
        <v>0</v>
      </c>
      <c r="Q366" s="907">
        <f t="shared" si="132"/>
        <v>0</v>
      </c>
      <c r="R366" s="896">
        <v>0</v>
      </c>
    </row>
    <row r="367" spans="1:18">
      <c r="A367" s="930" t="s">
        <v>409</v>
      </c>
      <c r="B367" s="933" t="s">
        <v>2697</v>
      </c>
      <c r="C367" s="934">
        <v>0</v>
      </c>
      <c r="D367" s="934">
        <v>0</v>
      </c>
      <c r="E367" s="934">
        <v>0</v>
      </c>
      <c r="F367" s="934">
        <v>0</v>
      </c>
      <c r="G367" s="934">
        <v>0</v>
      </c>
      <c r="H367" s="934">
        <v>0</v>
      </c>
      <c r="I367" s="934">
        <v>0</v>
      </c>
      <c r="J367" s="934">
        <v>0</v>
      </c>
      <c r="K367" s="934">
        <v>0</v>
      </c>
      <c r="L367" s="934">
        <v>0</v>
      </c>
      <c r="M367" s="934">
        <v>0</v>
      </c>
      <c r="N367" s="934">
        <v>0</v>
      </c>
      <c r="O367" s="935">
        <f t="shared" si="138"/>
        <v>0</v>
      </c>
      <c r="P367" s="943">
        <v>0</v>
      </c>
      <c r="Q367" s="907">
        <f t="shared" si="132"/>
        <v>0</v>
      </c>
      <c r="R367" s="896">
        <v>0</v>
      </c>
    </row>
    <row r="368" spans="1:18">
      <c r="A368" s="939" t="s">
        <v>410</v>
      </c>
      <c r="B368" s="936" t="s">
        <v>2852</v>
      </c>
      <c r="C368" s="917">
        <f t="shared" ref="C368:N368" si="145">SUM(C358:C367)</f>
        <v>32425308.083333332</v>
      </c>
      <c r="D368" s="917">
        <f t="shared" si="145"/>
        <v>32425308.083333332</v>
      </c>
      <c r="E368" s="917">
        <f t="shared" si="145"/>
        <v>32425308.083333332</v>
      </c>
      <c r="F368" s="917">
        <f t="shared" si="145"/>
        <v>32925308.083333332</v>
      </c>
      <c r="G368" s="917">
        <f t="shared" si="145"/>
        <v>32425308.083333332</v>
      </c>
      <c r="H368" s="917">
        <f t="shared" si="145"/>
        <v>32925308.083333332</v>
      </c>
      <c r="I368" s="917">
        <f t="shared" si="145"/>
        <v>32425308.083333332</v>
      </c>
      <c r="J368" s="917">
        <f t="shared" si="145"/>
        <v>32925308.083333332</v>
      </c>
      <c r="K368" s="917">
        <f t="shared" si="145"/>
        <v>32425308.083333332</v>
      </c>
      <c r="L368" s="917">
        <f t="shared" si="145"/>
        <v>32925308.083333332</v>
      </c>
      <c r="M368" s="917">
        <f t="shared" si="145"/>
        <v>32725308.083333332</v>
      </c>
      <c r="N368" s="917">
        <f t="shared" si="145"/>
        <v>32785692.083333332</v>
      </c>
      <c r="O368" s="918">
        <f t="shared" si="138"/>
        <v>391764080.99999994</v>
      </c>
      <c r="P368" s="943">
        <f>+'24. mell. Napraforgó'!F52</f>
        <v>391764081</v>
      </c>
      <c r="Q368" s="907">
        <f t="shared" si="132"/>
        <v>0</v>
      </c>
      <c r="R368" s="895">
        <v>52</v>
      </c>
    </row>
    <row r="369" spans="1:18">
      <c r="A369" s="939" t="s">
        <v>411</v>
      </c>
      <c r="B369" s="940" t="s">
        <v>2853</v>
      </c>
      <c r="C369" s="941">
        <f>C356-C368</f>
        <v>221698.66666666791</v>
      </c>
      <c r="D369" s="941">
        <f t="shared" ref="D369:N369" si="146">C369+D356-D368</f>
        <v>444500.33333333582</v>
      </c>
      <c r="E369" s="941">
        <f t="shared" si="146"/>
        <v>666199.00000000373</v>
      </c>
      <c r="F369" s="941">
        <f t="shared" si="146"/>
        <v>387897.66666667163</v>
      </c>
      <c r="G369" s="941">
        <f t="shared" si="146"/>
        <v>609596.33333333954</v>
      </c>
      <c r="H369" s="941">
        <f t="shared" si="146"/>
        <v>331295.00000000745</v>
      </c>
      <c r="I369" s="941">
        <f t="shared" si="146"/>
        <v>552993.66666667536</v>
      </c>
      <c r="J369" s="941">
        <f t="shared" si="146"/>
        <v>274692.33333334327</v>
      </c>
      <c r="K369" s="941">
        <f t="shared" si="146"/>
        <v>496391.00000001118</v>
      </c>
      <c r="L369" s="941">
        <f t="shared" si="146"/>
        <v>218089.66666667908</v>
      </c>
      <c r="M369" s="941">
        <f t="shared" si="146"/>
        <v>139788.33333334699</v>
      </c>
      <c r="N369" s="941">
        <f t="shared" si="146"/>
        <v>0</v>
      </c>
      <c r="O369" s="942">
        <f>O356-O368</f>
        <v>0</v>
      </c>
      <c r="Q369" s="907"/>
      <c r="R369" s="943">
        <f>+P356-P368</f>
        <v>0</v>
      </c>
    </row>
    <row r="370" spans="1:18">
      <c r="Q370" s="907"/>
    </row>
    <row r="371" spans="1:18" ht="32.25" customHeight="1">
      <c r="A371" s="3834" t="s">
        <v>3784</v>
      </c>
      <c r="B371" s="3834"/>
      <c r="C371" s="3834"/>
      <c r="D371" s="3834"/>
      <c r="E371" s="3834"/>
      <c r="F371" s="3834"/>
      <c r="G371" s="3834"/>
      <c r="H371" s="3834"/>
      <c r="I371" s="3834"/>
      <c r="J371" s="3834"/>
      <c r="K371" s="3834"/>
      <c r="L371" s="3834"/>
      <c r="M371" s="3834"/>
      <c r="N371" s="3834"/>
      <c r="O371" s="3834"/>
      <c r="Q371" s="907"/>
    </row>
    <row r="372" spans="1:18">
      <c r="O372" s="924" t="s">
        <v>3300</v>
      </c>
      <c r="Q372" s="907"/>
    </row>
    <row r="373" spans="1:18" ht="24">
      <c r="A373" s="899" t="s">
        <v>2726</v>
      </c>
      <c r="B373" s="900" t="s">
        <v>136</v>
      </c>
      <c r="C373" s="900" t="s">
        <v>2837</v>
      </c>
      <c r="D373" s="900" t="s">
        <v>2838</v>
      </c>
      <c r="E373" s="900" t="s">
        <v>2839</v>
      </c>
      <c r="F373" s="900" t="s">
        <v>2840</v>
      </c>
      <c r="G373" s="900" t="s">
        <v>2841</v>
      </c>
      <c r="H373" s="900" t="s">
        <v>2842</v>
      </c>
      <c r="I373" s="900" t="s">
        <v>2843</v>
      </c>
      <c r="J373" s="900" t="s">
        <v>2844</v>
      </c>
      <c r="K373" s="900" t="s">
        <v>2845</v>
      </c>
      <c r="L373" s="900" t="s">
        <v>2846</v>
      </c>
      <c r="M373" s="900" t="s">
        <v>2847</v>
      </c>
      <c r="N373" s="900" t="s">
        <v>2848</v>
      </c>
      <c r="O373" s="901" t="s">
        <v>66</v>
      </c>
      <c r="Q373" s="907"/>
    </row>
    <row r="374" spans="1:18">
      <c r="A374" s="925" t="s">
        <v>6</v>
      </c>
      <c r="B374" s="3833" t="s">
        <v>390</v>
      </c>
      <c r="C374" s="3833"/>
      <c r="D374" s="3833"/>
      <c r="E374" s="3833"/>
      <c r="F374" s="3833"/>
      <c r="G374" s="3833"/>
      <c r="H374" s="3833"/>
      <c r="I374" s="3833"/>
      <c r="J374" s="3833"/>
      <c r="K374" s="3833"/>
      <c r="L374" s="3833"/>
      <c r="M374" s="3833"/>
      <c r="N374" s="3833"/>
      <c r="O374" s="3833"/>
      <c r="Q374" s="907"/>
    </row>
    <row r="375" spans="1:18" ht="22.5">
      <c r="A375" s="926" t="s">
        <v>12</v>
      </c>
      <c r="B375" s="927" t="s">
        <v>3385</v>
      </c>
      <c r="C375" s="928">
        <v>0</v>
      </c>
      <c r="D375" s="928">
        <v>0</v>
      </c>
      <c r="E375" s="928">
        <v>0</v>
      </c>
      <c r="F375" s="928">
        <v>0</v>
      </c>
      <c r="G375" s="928">
        <v>0</v>
      </c>
      <c r="H375" s="928">
        <v>0</v>
      </c>
      <c r="I375" s="928">
        <v>0</v>
      </c>
      <c r="J375" s="928">
        <v>0</v>
      </c>
      <c r="K375" s="928">
        <v>0</v>
      </c>
      <c r="L375" s="928">
        <v>0</v>
      </c>
      <c r="M375" s="928">
        <v>0</v>
      </c>
      <c r="N375" s="928">
        <v>0</v>
      </c>
      <c r="O375" s="929">
        <f>SUM(C375:N375)</f>
        <v>0</v>
      </c>
      <c r="P375" s="923">
        <v>0</v>
      </c>
      <c r="Q375" s="907">
        <f t="shared" ref="Q375:Q396" si="147">O375-P375</f>
        <v>0</v>
      </c>
      <c r="R375" s="895">
        <v>0</v>
      </c>
    </row>
    <row r="376" spans="1:18">
      <c r="A376" s="930" t="s">
        <v>14</v>
      </c>
      <c r="B376" s="931" t="s">
        <v>3386</v>
      </c>
      <c r="C376" s="910">
        <v>0</v>
      </c>
      <c r="D376" s="910">
        <v>0</v>
      </c>
      <c r="E376" s="910">
        <v>0</v>
      </c>
      <c r="F376" s="910">
        <v>0</v>
      </c>
      <c r="G376" s="910">
        <v>0</v>
      </c>
      <c r="H376" s="910">
        <v>0</v>
      </c>
      <c r="I376" s="910">
        <v>0</v>
      </c>
      <c r="J376" s="910">
        <v>0</v>
      </c>
      <c r="K376" s="910">
        <v>0</v>
      </c>
      <c r="L376" s="910">
        <v>0</v>
      </c>
      <c r="M376" s="910">
        <v>0</v>
      </c>
      <c r="N376" s="910">
        <v>0</v>
      </c>
      <c r="O376" s="911">
        <f>SUM(D376:N376)</f>
        <v>0</v>
      </c>
      <c r="P376" s="943">
        <f>+'22. mell. Bölcsőde'!F23</f>
        <v>0</v>
      </c>
      <c r="Q376" s="907">
        <f t="shared" si="147"/>
        <v>0</v>
      </c>
      <c r="R376" s="896">
        <v>23</v>
      </c>
    </row>
    <row r="377" spans="1:18">
      <c r="A377" s="930" t="s">
        <v>15</v>
      </c>
      <c r="B377" s="932" t="s">
        <v>2849</v>
      </c>
      <c r="C377" s="913">
        <v>0</v>
      </c>
      <c r="D377" s="913">
        <v>0</v>
      </c>
      <c r="E377" s="913">
        <v>0</v>
      </c>
      <c r="F377" s="913">
        <v>0</v>
      </c>
      <c r="G377" s="913">
        <v>0</v>
      </c>
      <c r="H377" s="913">
        <v>0</v>
      </c>
      <c r="I377" s="913">
        <v>0</v>
      </c>
      <c r="J377" s="913">
        <v>0</v>
      </c>
      <c r="K377" s="913">
        <v>0</v>
      </c>
      <c r="L377" s="913">
        <v>0</v>
      </c>
      <c r="M377" s="913">
        <v>0</v>
      </c>
      <c r="N377" s="913">
        <v>0</v>
      </c>
      <c r="O377" s="914">
        <f t="shared" ref="O377:O384" si="148">SUM(C377:N377)</f>
        <v>0</v>
      </c>
      <c r="P377" s="943">
        <f>+'22. mell. Bölcsőde'!F27</f>
        <v>0</v>
      </c>
      <c r="Q377" s="907">
        <f t="shared" si="147"/>
        <v>0</v>
      </c>
      <c r="R377" s="896">
        <v>27</v>
      </c>
    </row>
    <row r="378" spans="1:18">
      <c r="A378" s="930" t="s">
        <v>17</v>
      </c>
      <c r="B378" s="933" t="s">
        <v>393</v>
      </c>
      <c r="C378" s="934">
        <v>0</v>
      </c>
      <c r="D378" s="934">
        <v>0</v>
      </c>
      <c r="E378" s="934">
        <v>0</v>
      </c>
      <c r="F378" s="934">
        <v>0</v>
      </c>
      <c r="G378" s="934">
        <v>0</v>
      </c>
      <c r="H378" s="934">
        <v>0</v>
      </c>
      <c r="I378" s="934">
        <v>0</v>
      </c>
      <c r="J378" s="934">
        <v>0</v>
      </c>
      <c r="K378" s="934">
        <v>0</v>
      </c>
      <c r="L378" s="934">
        <v>0</v>
      </c>
      <c r="M378" s="934">
        <v>0</v>
      </c>
      <c r="N378" s="934">
        <v>0</v>
      </c>
      <c r="O378" s="935">
        <f t="shared" si="148"/>
        <v>0</v>
      </c>
      <c r="P378" s="943">
        <f>+'22. mell. Bölcsőde'!F31</f>
        <v>0</v>
      </c>
      <c r="Q378" s="907">
        <f t="shared" si="147"/>
        <v>0</v>
      </c>
      <c r="R378" s="896">
        <v>31</v>
      </c>
    </row>
    <row r="379" spans="1:18">
      <c r="A379" s="930" t="s">
        <v>19</v>
      </c>
      <c r="B379" s="933" t="s">
        <v>149</v>
      </c>
      <c r="C379" s="910">
        <f t="shared" ref="C379:N379" si="149">+$P$379/12</f>
        <v>7358294.166666667</v>
      </c>
      <c r="D379" s="910">
        <f t="shared" si="149"/>
        <v>7358294.166666667</v>
      </c>
      <c r="E379" s="910">
        <f t="shared" si="149"/>
        <v>7358294.166666667</v>
      </c>
      <c r="F379" s="910">
        <f t="shared" si="149"/>
        <v>7358294.166666667</v>
      </c>
      <c r="G379" s="910">
        <f t="shared" si="149"/>
        <v>7358294.166666667</v>
      </c>
      <c r="H379" s="910">
        <f t="shared" si="149"/>
        <v>7358294.166666667</v>
      </c>
      <c r="I379" s="910">
        <f t="shared" si="149"/>
        <v>7358294.166666667</v>
      </c>
      <c r="J379" s="910">
        <f t="shared" si="149"/>
        <v>7358294.166666667</v>
      </c>
      <c r="K379" s="910">
        <f t="shared" si="149"/>
        <v>7358294.166666667</v>
      </c>
      <c r="L379" s="910">
        <f t="shared" si="149"/>
        <v>7358294.166666667</v>
      </c>
      <c r="M379" s="910">
        <f t="shared" si="149"/>
        <v>7358294.166666667</v>
      </c>
      <c r="N379" s="910">
        <f t="shared" si="149"/>
        <v>7358294.166666667</v>
      </c>
      <c r="O379" s="911">
        <f t="shared" si="148"/>
        <v>88299530</v>
      </c>
      <c r="P379" s="943">
        <f>+'22. mell. Bölcsőde'!F8</f>
        <v>88299530</v>
      </c>
      <c r="Q379" s="907">
        <f t="shared" si="147"/>
        <v>0</v>
      </c>
      <c r="R379" s="896">
        <v>8</v>
      </c>
    </row>
    <row r="380" spans="1:18">
      <c r="A380" s="930" t="s">
        <v>21</v>
      </c>
      <c r="B380" s="933" t="s">
        <v>431</v>
      </c>
      <c r="C380" s="910">
        <f t="shared" ref="C380:N380" si="150">+$P$380/12</f>
        <v>0</v>
      </c>
      <c r="D380" s="910">
        <f t="shared" si="150"/>
        <v>0</v>
      </c>
      <c r="E380" s="910">
        <f t="shared" si="150"/>
        <v>0</v>
      </c>
      <c r="F380" s="910">
        <f t="shared" si="150"/>
        <v>0</v>
      </c>
      <c r="G380" s="910">
        <f t="shared" si="150"/>
        <v>0</v>
      </c>
      <c r="H380" s="910">
        <f t="shared" si="150"/>
        <v>0</v>
      </c>
      <c r="I380" s="910">
        <f t="shared" si="150"/>
        <v>0</v>
      </c>
      <c r="J380" s="910">
        <f t="shared" si="150"/>
        <v>0</v>
      </c>
      <c r="K380" s="910">
        <f t="shared" si="150"/>
        <v>0</v>
      </c>
      <c r="L380" s="910">
        <f t="shared" si="150"/>
        <v>0</v>
      </c>
      <c r="M380" s="910">
        <f t="shared" si="150"/>
        <v>0</v>
      </c>
      <c r="N380" s="910">
        <f t="shared" si="150"/>
        <v>0</v>
      </c>
      <c r="O380" s="911">
        <f t="shared" si="148"/>
        <v>0</v>
      </c>
      <c r="P380" s="943">
        <f>+'22. mell. Bölcsőde'!F20</f>
        <v>0</v>
      </c>
      <c r="Q380" s="907">
        <f t="shared" si="147"/>
        <v>0</v>
      </c>
      <c r="R380" s="896">
        <v>20</v>
      </c>
    </row>
    <row r="381" spans="1:18">
      <c r="A381" s="930" t="s">
        <v>23</v>
      </c>
      <c r="B381" s="933" t="s">
        <v>153</v>
      </c>
      <c r="C381" s="910">
        <v>0</v>
      </c>
      <c r="D381" s="910">
        <v>0</v>
      </c>
      <c r="E381" s="910">
        <v>0</v>
      </c>
      <c r="F381" s="910">
        <v>0</v>
      </c>
      <c r="G381" s="910">
        <v>0</v>
      </c>
      <c r="H381" s="910">
        <v>0</v>
      </c>
      <c r="I381" s="910">
        <v>0</v>
      </c>
      <c r="J381" s="910">
        <v>0</v>
      </c>
      <c r="K381" s="910">
        <v>0</v>
      </c>
      <c r="L381" s="910">
        <v>0</v>
      </c>
      <c r="M381" s="910">
        <v>0</v>
      </c>
      <c r="N381" s="910">
        <v>0</v>
      </c>
      <c r="O381" s="911">
        <f t="shared" si="148"/>
        <v>0</v>
      </c>
      <c r="P381" s="943">
        <f>+'22. mell. Bölcsőde'!F29</f>
        <v>0</v>
      </c>
      <c r="Q381" s="907">
        <f t="shared" si="147"/>
        <v>0</v>
      </c>
      <c r="R381" s="896">
        <v>29</v>
      </c>
    </row>
    <row r="382" spans="1:18">
      <c r="A382" s="930" t="s">
        <v>25</v>
      </c>
      <c r="B382" s="931" t="s">
        <v>1281</v>
      </c>
      <c r="C382" s="913">
        <v>0</v>
      </c>
      <c r="D382" s="913">
        <v>0</v>
      </c>
      <c r="E382" s="913">
        <v>0</v>
      </c>
      <c r="F382" s="913">
        <v>0</v>
      </c>
      <c r="G382" s="913">
        <v>0</v>
      </c>
      <c r="H382" s="913">
        <v>0</v>
      </c>
      <c r="I382" s="913">
        <v>0</v>
      </c>
      <c r="J382" s="913">
        <v>0</v>
      </c>
      <c r="K382" s="913">
        <v>0</v>
      </c>
      <c r="L382" s="913">
        <v>0</v>
      </c>
      <c r="M382" s="913">
        <v>0</v>
      </c>
      <c r="N382" s="913">
        <v>0</v>
      </c>
      <c r="O382" s="911">
        <f t="shared" si="148"/>
        <v>0</v>
      </c>
      <c r="P382" s="943">
        <f>+'22. mell. Bölcsőde'!F30</f>
        <v>0</v>
      </c>
      <c r="Q382" s="907">
        <f t="shared" si="147"/>
        <v>0</v>
      </c>
      <c r="R382" s="896">
        <v>30</v>
      </c>
    </row>
    <row r="383" spans="1:18">
      <c r="A383" s="930" t="s">
        <v>27</v>
      </c>
      <c r="B383" s="933" t="s">
        <v>1257</v>
      </c>
      <c r="C383" s="910">
        <f>+$P$383/12+5000</f>
        <v>127067723.58333333</v>
      </c>
      <c r="D383" s="910">
        <f t="shared" ref="D383:M383" si="151">+$P$383/12</f>
        <v>127062723.58333333</v>
      </c>
      <c r="E383" s="910">
        <f t="shared" si="151"/>
        <v>127062723.58333333</v>
      </c>
      <c r="F383" s="910">
        <f t="shared" si="151"/>
        <v>127062723.58333333</v>
      </c>
      <c r="G383" s="910">
        <f t="shared" si="151"/>
        <v>127062723.58333333</v>
      </c>
      <c r="H383" s="910">
        <f t="shared" si="151"/>
        <v>127062723.58333333</v>
      </c>
      <c r="I383" s="910">
        <f t="shared" si="151"/>
        <v>127062723.58333333</v>
      </c>
      <c r="J383" s="910">
        <f>+$P$383/12+20000000</f>
        <v>147062723.58333331</v>
      </c>
      <c r="K383" s="910">
        <f t="shared" si="151"/>
        <v>127062723.58333333</v>
      </c>
      <c r="L383" s="910">
        <f t="shared" si="151"/>
        <v>127062723.58333333</v>
      </c>
      <c r="M383" s="910">
        <f t="shared" si="151"/>
        <v>127062723.58333333</v>
      </c>
      <c r="N383" s="910">
        <f>+$P$383/12-20005000</f>
        <v>107057723.58333333</v>
      </c>
      <c r="O383" s="948">
        <f t="shared" si="148"/>
        <v>1524752682.9999998</v>
      </c>
      <c r="P383" s="943">
        <f>+'22. mell. Bölcsőde'!F36</f>
        <v>1524752683</v>
      </c>
      <c r="Q383" s="907">
        <f t="shared" si="147"/>
        <v>0</v>
      </c>
      <c r="R383" s="896">
        <v>36</v>
      </c>
    </row>
    <row r="384" spans="1:18">
      <c r="A384" s="925" t="s">
        <v>29</v>
      </c>
      <c r="B384" s="936" t="s">
        <v>2850</v>
      </c>
      <c r="C384" s="917">
        <f t="shared" ref="C384:N384" si="152">SUM(C375:C383)</f>
        <v>134426017.75</v>
      </c>
      <c r="D384" s="917">
        <f t="shared" si="152"/>
        <v>134421017.75</v>
      </c>
      <c r="E384" s="917">
        <f t="shared" si="152"/>
        <v>134421017.75</v>
      </c>
      <c r="F384" s="917">
        <f t="shared" si="152"/>
        <v>134421017.75</v>
      </c>
      <c r="G384" s="917">
        <f t="shared" si="152"/>
        <v>134421017.75</v>
      </c>
      <c r="H384" s="917">
        <f t="shared" si="152"/>
        <v>134421017.75</v>
      </c>
      <c r="I384" s="917">
        <f t="shared" si="152"/>
        <v>134421017.75</v>
      </c>
      <c r="J384" s="917">
        <f t="shared" si="152"/>
        <v>154421017.74999997</v>
      </c>
      <c r="K384" s="917">
        <f t="shared" si="152"/>
        <v>134421017.75</v>
      </c>
      <c r="L384" s="917">
        <f t="shared" si="152"/>
        <v>134421017.75</v>
      </c>
      <c r="M384" s="917">
        <f t="shared" si="152"/>
        <v>134421017.75</v>
      </c>
      <c r="N384" s="949">
        <f t="shared" si="152"/>
        <v>114416017.75</v>
      </c>
      <c r="O384" s="950">
        <f t="shared" si="148"/>
        <v>1613052213</v>
      </c>
      <c r="P384" s="943">
        <f>+'22. mell. Bölcsőde'!F37</f>
        <v>1613052213</v>
      </c>
      <c r="Q384" s="907">
        <f t="shared" si="147"/>
        <v>0</v>
      </c>
      <c r="R384" s="895">
        <v>37</v>
      </c>
    </row>
    <row r="385" spans="1:18">
      <c r="A385" s="925" t="s">
        <v>31</v>
      </c>
      <c r="B385" s="3833" t="s">
        <v>391</v>
      </c>
      <c r="C385" s="3833"/>
      <c r="D385" s="3833"/>
      <c r="E385" s="3833"/>
      <c r="F385" s="3833"/>
      <c r="G385" s="3833"/>
      <c r="H385" s="3833"/>
      <c r="I385" s="3833"/>
      <c r="J385" s="3833"/>
      <c r="K385" s="3833"/>
      <c r="L385" s="3833"/>
      <c r="M385" s="3833"/>
      <c r="N385" s="3833"/>
      <c r="O385" s="3833"/>
      <c r="P385" s="943"/>
      <c r="Q385" s="907">
        <f t="shared" si="147"/>
        <v>0</v>
      </c>
      <c r="R385" s="895"/>
    </row>
    <row r="386" spans="1:18">
      <c r="A386" s="937" t="s">
        <v>33</v>
      </c>
      <c r="B386" s="938" t="s">
        <v>9</v>
      </c>
      <c r="C386" s="910">
        <f t="shared" ref="C386:N386" si="153">+$P$386/12</f>
        <v>96017758.75</v>
      </c>
      <c r="D386" s="910">
        <f t="shared" si="153"/>
        <v>96017758.75</v>
      </c>
      <c r="E386" s="910">
        <f t="shared" si="153"/>
        <v>96017758.75</v>
      </c>
      <c r="F386" s="910">
        <f t="shared" si="153"/>
        <v>96017758.75</v>
      </c>
      <c r="G386" s="910">
        <f t="shared" si="153"/>
        <v>96017758.75</v>
      </c>
      <c r="H386" s="910">
        <f t="shared" si="153"/>
        <v>96017758.75</v>
      </c>
      <c r="I386" s="910">
        <f t="shared" si="153"/>
        <v>96017758.75</v>
      </c>
      <c r="J386" s="910">
        <f t="shared" si="153"/>
        <v>96017758.75</v>
      </c>
      <c r="K386" s="910">
        <f t="shared" si="153"/>
        <v>96017758.75</v>
      </c>
      <c r="L386" s="910">
        <f t="shared" si="153"/>
        <v>96017758.75</v>
      </c>
      <c r="M386" s="910">
        <f t="shared" si="153"/>
        <v>96017758.75</v>
      </c>
      <c r="N386" s="910">
        <f t="shared" si="153"/>
        <v>96017758.75</v>
      </c>
      <c r="O386" s="914">
        <f t="shared" ref="O386:O396" si="154">SUM(C386:N386)</f>
        <v>1152213105</v>
      </c>
      <c r="P386" s="943">
        <f>+'22. mell. Bölcsőde'!F42</f>
        <v>1152213105</v>
      </c>
      <c r="Q386" s="907">
        <f t="shared" si="147"/>
        <v>0</v>
      </c>
      <c r="R386" s="896">
        <v>42</v>
      </c>
    </row>
    <row r="387" spans="1:18" ht="22.5">
      <c r="A387" s="930" t="s">
        <v>35</v>
      </c>
      <c r="B387" s="931" t="s">
        <v>8</v>
      </c>
      <c r="C387" s="910">
        <f t="shared" ref="C387:N387" si="155">+$P$387/12</f>
        <v>14856287</v>
      </c>
      <c r="D387" s="910">
        <f t="shared" si="155"/>
        <v>14856287</v>
      </c>
      <c r="E387" s="910">
        <f t="shared" si="155"/>
        <v>14856287</v>
      </c>
      <c r="F387" s="910">
        <f t="shared" si="155"/>
        <v>14856287</v>
      </c>
      <c r="G387" s="910">
        <f t="shared" si="155"/>
        <v>14856287</v>
      </c>
      <c r="H387" s="910">
        <f t="shared" si="155"/>
        <v>14856287</v>
      </c>
      <c r="I387" s="910">
        <f t="shared" si="155"/>
        <v>14856287</v>
      </c>
      <c r="J387" s="910">
        <f t="shared" si="155"/>
        <v>14856287</v>
      </c>
      <c r="K387" s="910">
        <f t="shared" si="155"/>
        <v>14856287</v>
      </c>
      <c r="L387" s="910">
        <f t="shared" si="155"/>
        <v>14856287</v>
      </c>
      <c r="M387" s="910">
        <f t="shared" si="155"/>
        <v>14856287</v>
      </c>
      <c r="N387" s="910">
        <f t="shared" si="155"/>
        <v>14856287</v>
      </c>
      <c r="O387" s="914">
        <f t="shared" si="154"/>
        <v>178275444</v>
      </c>
      <c r="P387" s="943">
        <f>+'22. mell. Bölcsőde'!F43</f>
        <v>178275444</v>
      </c>
      <c r="Q387" s="907">
        <f t="shared" si="147"/>
        <v>0</v>
      </c>
      <c r="R387" s="896">
        <v>43</v>
      </c>
    </row>
    <row r="388" spans="1:18">
      <c r="A388" s="930" t="s">
        <v>37</v>
      </c>
      <c r="B388" s="933" t="s">
        <v>317</v>
      </c>
      <c r="C388" s="910">
        <f t="shared" ref="C388:N388" si="156">+$P$388/12</f>
        <v>23039525</v>
      </c>
      <c r="D388" s="910">
        <f t="shared" si="156"/>
        <v>23039525</v>
      </c>
      <c r="E388" s="910">
        <f t="shared" si="156"/>
        <v>23039525</v>
      </c>
      <c r="F388" s="910">
        <f t="shared" si="156"/>
        <v>23039525</v>
      </c>
      <c r="G388" s="910">
        <f t="shared" si="156"/>
        <v>23039525</v>
      </c>
      <c r="H388" s="910">
        <f t="shared" si="156"/>
        <v>23039525</v>
      </c>
      <c r="I388" s="910">
        <f t="shared" si="156"/>
        <v>23039525</v>
      </c>
      <c r="J388" s="910">
        <f t="shared" si="156"/>
        <v>23039525</v>
      </c>
      <c r="K388" s="910">
        <f t="shared" si="156"/>
        <v>23039525</v>
      </c>
      <c r="L388" s="910">
        <f t="shared" si="156"/>
        <v>23039525</v>
      </c>
      <c r="M388" s="910">
        <f t="shared" si="156"/>
        <v>23039525</v>
      </c>
      <c r="N388" s="910">
        <f t="shared" si="156"/>
        <v>23039525</v>
      </c>
      <c r="O388" s="911">
        <f t="shared" si="154"/>
        <v>276474300</v>
      </c>
      <c r="P388" s="943">
        <f>+'22. mell. Bölcsőde'!F44</f>
        <v>276474300</v>
      </c>
      <c r="Q388" s="907">
        <f t="shared" si="147"/>
        <v>0</v>
      </c>
      <c r="R388" s="896">
        <v>44</v>
      </c>
    </row>
    <row r="389" spans="1:18">
      <c r="A389" s="930" t="s">
        <v>39</v>
      </c>
      <c r="B389" s="933" t="s">
        <v>318</v>
      </c>
      <c r="C389" s="910">
        <v>0</v>
      </c>
      <c r="D389" s="910">
        <v>0</v>
      </c>
      <c r="E389" s="910">
        <v>0</v>
      </c>
      <c r="F389" s="910">
        <v>0</v>
      </c>
      <c r="G389" s="910">
        <v>0</v>
      </c>
      <c r="H389" s="910">
        <v>0</v>
      </c>
      <c r="I389" s="910">
        <v>0</v>
      </c>
      <c r="J389" s="910">
        <v>0</v>
      </c>
      <c r="K389" s="910">
        <v>0</v>
      </c>
      <c r="L389" s="910">
        <v>0</v>
      </c>
      <c r="M389" s="910">
        <v>0</v>
      </c>
      <c r="N389" s="910">
        <v>0</v>
      </c>
      <c r="O389" s="911">
        <f t="shared" si="154"/>
        <v>0</v>
      </c>
      <c r="P389" s="943">
        <f>+'22. mell. Bölcsőde'!F45</f>
        <v>0</v>
      </c>
      <c r="Q389" s="907">
        <f t="shared" si="147"/>
        <v>0</v>
      </c>
      <c r="R389" s="896">
        <v>45</v>
      </c>
    </row>
    <row r="390" spans="1:18">
      <c r="A390" s="930" t="s">
        <v>41</v>
      </c>
      <c r="B390" s="933" t="s">
        <v>2855</v>
      </c>
      <c r="C390" s="913">
        <v>0</v>
      </c>
      <c r="D390" s="913">
        <v>0</v>
      </c>
      <c r="E390" s="913">
        <v>0</v>
      </c>
      <c r="F390" s="913">
        <v>0</v>
      </c>
      <c r="G390" s="913">
        <v>0</v>
      </c>
      <c r="H390" s="913">
        <v>0</v>
      </c>
      <c r="I390" s="913">
        <v>0</v>
      </c>
      <c r="J390" s="913">
        <v>0</v>
      </c>
      <c r="K390" s="913">
        <v>0</v>
      </c>
      <c r="L390" s="913">
        <v>0</v>
      </c>
      <c r="M390" s="913">
        <v>0</v>
      </c>
      <c r="N390" s="913">
        <v>0</v>
      </c>
      <c r="O390" s="911">
        <f t="shared" si="154"/>
        <v>0</v>
      </c>
      <c r="P390" s="943">
        <f>+'22. mell. Bölcsőde'!F46</f>
        <v>0</v>
      </c>
      <c r="Q390" s="907">
        <f t="shared" si="147"/>
        <v>0</v>
      </c>
      <c r="R390" s="896">
        <v>46</v>
      </c>
    </row>
    <row r="391" spans="1:18">
      <c r="A391" s="930" t="s">
        <v>314</v>
      </c>
      <c r="B391" s="933" t="s">
        <v>82</v>
      </c>
      <c r="C391" s="910">
        <v>0</v>
      </c>
      <c r="D391" s="910">
        <v>0</v>
      </c>
      <c r="E391" s="910">
        <v>0</v>
      </c>
      <c r="F391" s="910">
        <v>2000000</v>
      </c>
      <c r="G391" s="910">
        <v>0</v>
      </c>
      <c r="H391" s="910">
        <v>1000000</v>
      </c>
      <c r="I391" s="910">
        <v>0</v>
      </c>
      <c r="J391" s="910">
        <v>2000000</v>
      </c>
      <c r="K391" s="910">
        <v>0</v>
      </c>
      <c r="L391" s="910">
        <v>1089364</v>
      </c>
      <c r="M391" s="910">
        <v>0</v>
      </c>
      <c r="N391" s="910">
        <v>0</v>
      </c>
      <c r="O391" s="911">
        <f t="shared" si="154"/>
        <v>6089364</v>
      </c>
      <c r="P391" s="943">
        <f>+'22. mell. Bölcsőde'!F48</f>
        <v>6089364</v>
      </c>
      <c r="Q391" s="907">
        <f t="shared" si="147"/>
        <v>0</v>
      </c>
      <c r="R391" s="896">
        <v>48</v>
      </c>
    </row>
    <row r="392" spans="1:18">
      <c r="A392" s="930" t="s">
        <v>402</v>
      </c>
      <c r="B392" s="931" t="s">
        <v>344</v>
      </c>
      <c r="C392" s="913">
        <v>0</v>
      </c>
      <c r="D392" s="913">
        <v>0</v>
      </c>
      <c r="E392" s="913">
        <v>0</v>
      </c>
      <c r="F392" s="913">
        <v>0</v>
      </c>
      <c r="G392" s="913">
        <v>0</v>
      </c>
      <c r="H392" s="913">
        <v>0</v>
      </c>
      <c r="I392" s="913">
        <v>0</v>
      </c>
      <c r="J392" s="913">
        <v>0</v>
      </c>
      <c r="K392" s="913">
        <v>0</v>
      </c>
      <c r="L392" s="913">
        <v>0</v>
      </c>
      <c r="M392" s="913">
        <v>0</v>
      </c>
      <c r="N392" s="913">
        <v>0</v>
      </c>
      <c r="O392" s="911">
        <f t="shared" si="154"/>
        <v>0</v>
      </c>
      <c r="P392" s="943">
        <f>+'22. mell. Bölcsőde'!F49</f>
        <v>0</v>
      </c>
      <c r="Q392" s="907">
        <f t="shared" si="147"/>
        <v>0</v>
      </c>
      <c r="R392" s="896">
        <v>49</v>
      </c>
    </row>
    <row r="393" spans="1:18">
      <c r="A393" s="930" t="s">
        <v>404</v>
      </c>
      <c r="B393" s="933" t="s">
        <v>346</v>
      </c>
      <c r="C393" s="913">
        <v>0</v>
      </c>
      <c r="D393" s="913">
        <v>0</v>
      </c>
      <c r="E393" s="913">
        <v>0</v>
      </c>
      <c r="F393" s="913">
        <v>0</v>
      </c>
      <c r="G393" s="913">
        <v>0</v>
      </c>
      <c r="H393" s="913">
        <v>0</v>
      </c>
      <c r="I393" s="913">
        <v>0</v>
      </c>
      <c r="J393" s="913">
        <v>0</v>
      </c>
      <c r="K393" s="913">
        <v>0</v>
      </c>
      <c r="L393" s="913">
        <v>0</v>
      </c>
      <c r="M393" s="913">
        <v>0</v>
      </c>
      <c r="N393" s="913">
        <v>0</v>
      </c>
      <c r="O393" s="911">
        <f t="shared" si="154"/>
        <v>0</v>
      </c>
      <c r="P393" s="943">
        <f>+'22. mell. Bölcsőde'!F50</f>
        <v>0</v>
      </c>
      <c r="Q393" s="907">
        <f t="shared" si="147"/>
        <v>0</v>
      </c>
      <c r="R393" s="896">
        <v>50</v>
      </c>
    </row>
    <row r="394" spans="1:18">
      <c r="A394" s="930" t="s">
        <v>407</v>
      </c>
      <c r="B394" s="933" t="s">
        <v>2851</v>
      </c>
      <c r="C394" s="934">
        <v>0</v>
      </c>
      <c r="D394" s="934">
        <v>0</v>
      </c>
      <c r="E394" s="934">
        <v>0</v>
      </c>
      <c r="F394" s="934">
        <v>0</v>
      </c>
      <c r="G394" s="934">
        <v>0</v>
      </c>
      <c r="H394" s="934">
        <v>0</v>
      </c>
      <c r="I394" s="934">
        <v>0</v>
      </c>
      <c r="J394" s="934">
        <v>0</v>
      </c>
      <c r="K394" s="934">
        <v>0</v>
      </c>
      <c r="L394" s="934">
        <v>0</v>
      </c>
      <c r="M394" s="934">
        <v>0</v>
      </c>
      <c r="N394" s="934">
        <v>0</v>
      </c>
      <c r="O394" s="935">
        <f t="shared" si="154"/>
        <v>0</v>
      </c>
      <c r="P394" s="943">
        <v>0</v>
      </c>
      <c r="Q394" s="907">
        <f t="shared" si="147"/>
        <v>0</v>
      </c>
      <c r="R394" s="896">
        <v>0</v>
      </c>
    </row>
    <row r="395" spans="1:18">
      <c r="A395" s="930" t="s">
        <v>409</v>
      </c>
      <c r="B395" s="933" t="s">
        <v>2697</v>
      </c>
      <c r="C395" s="934">
        <v>0</v>
      </c>
      <c r="D395" s="934">
        <v>0</v>
      </c>
      <c r="E395" s="934">
        <v>0</v>
      </c>
      <c r="F395" s="934">
        <v>0</v>
      </c>
      <c r="G395" s="934">
        <v>0</v>
      </c>
      <c r="H395" s="934">
        <v>0</v>
      </c>
      <c r="I395" s="934">
        <v>0</v>
      </c>
      <c r="J395" s="934">
        <v>0</v>
      </c>
      <c r="K395" s="934">
        <v>0</v>
      </c>
      <c r="L395" s="934">
        <v>0</v>
      </c>
      <c r="M395" s="934">
        <v>0</v>
      </c>
      <c r="N395" s="934">
        <v>0</v>
      </c>
      <c r="O395" s="935">
        <f t="shared" si="154"/>
        <v>0</v>
      </c>
      <c r="P395" s="943">
        <v>0</v>
      </c>
      <c r="Q395" s="907">
        <f t="shared" si="147"/>
        <v>0</v>
      </c>
      <c r="R395" s="896">
        <v>0</v>
      </c>
    </row>
    <row r="396" spans="1:18">
      <c r="A396" s="939" t="s">
        <v>410</v>
      </c>
      <c r="B396" s="936" t="s">
        <v>2852</v>
      </c>
      <c r="C396" s="917">
        <f t="shared" ref="C396:N396" si="157">SUM(C386:C395)</f>
        <v>133913570.75</v>
      </c>
      <c r="D396" s="917">
        <f t="shared" si="157"/>
        <v>133913570.75</v>
      </c>
      <c r="E396" s="917">
        <f t="shared" si="157"/>
        <v>133913570.75</v>
      </c>
      <c r="F396" s="917">
        <f t="shared" si="157"/>
        <v>135913570.75</v>
      </c>
      <c r="G396" s="917">
        <f t="shared" si="157"/>
        <v>133913570.75</v>
      </c>
      <c r="H396" s="917">
        <f t="shared" si="157"/>
        <v>134913570.75</v>
      </c>
      <c r="I396" s="917">
        <f t="shared" si="157"/>
        <v>133913570.75</v>
      </c>
      <c r="J396" s="917">
        <f t="shared" si="157"/>
        <v>135913570.75</v>
      </c>
      <c r="K396" s="917">
        <f t="shared" si="157"/>
        <v>133913570.75</v>
      </c>
      <c r="L396" s="917">
        <f t="shared" si="157"/>
        <v>135002934.75</v>
      </c>
      <c r="M396" s="917">
        <f t="shared" si="157"/>
        <v>133913570.75</v>
      </c>
      <c r="N396" s="917">
        <f t="shared" si="157"/>
        <v>133913570.75</v>
      </c>
      <c r="O396" s="918">
        <f t="shared" si="154"/>
        <v>1613052213</v>
      </c>
      <c r="P396" s="943">
        <f>+'22. mell. Bölcsőde'!F52</f>
        <v>1613052213</v>
      </c>
      <c r="Q396" s="907">
        <f t="shared" si="147"/>
        <v>0</v>
      </c>
      <c r="R396" s="895">
        <v>52</v>
      </c>
    </row>
    <row r="397" spans="1:18">
      <c r="A397" s="939" t="s">
        <v>411</v>
      </c>
      <c r="B397" s="940" t="s">
        <v>2853</v>
      </c>
      <c r="C397" s="941">
        <f>C384-C396</f>
        <v>512447</v>
      </c>
      <c r="D397" s="941">
        <f t="shared" ref="D397:N397" si="158">C397+D384-D396</f>
        <v>1019894</v>
      </c>
      <c r="E397" s="941">
        <f t="shared" si="158"/>
        <v>1527341</v>
      </c>
      <c r="F397" s="941">
        <f t="shared" si="158"/>
        <v>34788</v>
      </c>
      <c r="G397" s="941">
        <f t="shared" si="158"/>
        <v>542235</v>
      </c>
      <c r="H397" s="941">
        <f t="shared" si="158"/>
        <v>49682</v>
      </c>
      <c r="I397" s="941">
        <f t="shared" si="158"/>
        <v>557129</v>
      </c>
      <c r="J397" s="941">
        <f t="shared" si="158"/>
        <v>19064575.99999997</v>
      </c>
      <c r="K397" s="941">
        <f t="shared" si="158"/>
        <v>19572022.99999997</v>
      </c>
      <c r="L397" s="941">
        <f t="shared" si="158"/>
        <v>18990105.99999997</v>
      </c>
      <c r="M397" s="941">
        <f t="shared" si="158"/>
        <v>19497552.99999997</v>
      </c>
      <c r="N397" s="941">
        <f t="shared" si="158"/>
        <v>0</v>
      </c>
      <c r="O397" s="942">
        <f>O384-O396</f>
        <v>0</v>
      </c>
      <c r="Q397" s="907"/>
      <c r="R397" s="943">
        <f>+P384-P396</f>
        <v>0</v>
      </c>
    </row>
    <row r="398" spans="1:18">
      <c r="Q398" s="907"/>
    </row>
    <row r="399" spans="1:18" ht="29.25" customHeight="1">
      <c r="A399" s="3834" t="s">
        <v>3785</v>
      </c>
      <c r="B399" s="3834"/>
      <c r="C399" s="3834"/>
      <c r="D399" s="3834"/>
      <c r="E399" s="3834"/>
      <c r="F399" s="3834"/>
      <c r="G399" s="3834"/>
      <c r="H399" s="3834"/>
      <c r="I399" s="3834"/>
      <c r="J399" s="3834"/>
      <c r="K399" s="3834"/>
      <c r="L399" s="3834"/>
      <c r="M399" s="3834"/>
      <c r="N399" s="3834"/>
      <c r="O399" s="3834"/>
      <c r="Q399" s="907"/>
    </row>
    <row r="400" spans="1:18">
      <c r="O400" s="924" t="s">
        <v>3300</v>
      </c>
      <c r="Q400" s="907"/>
    </row>
    <row r="401" spans="1:18" ht="24">
      <c r="A401" s="899" t="s">
        <v>2726</v>
      </c>
      <c r="B401" s="900" t="s">
        <v>136</v>
      </c>
      <c r="C401" s="900" t="s">
        <v>2837</v>
      </c>
      <c r="D401" s="900" t="s">
        <v>2838</v>
      </c>
      <c r="E401" s="900" t="s">
        <v>2839</v>
      </c>
      <c r="F401" s="900" t="s">
        <v>2840</v>
      </c>
      <c r="G401" s="900" t="s">
        <v>2841</v>
      </c>
      <c r="H401" s="900" t="s">
        <v>2842</v>
      </c>
      <c r="I401" s="900" t="s">
        <v>2843</v>
      </c>
      <c r="J401" s="900" t="s">
        <v>2844</v>
      </c>
      <c r="K401" s="900" t="s">
        <v>2845</v>
      </c>
      <c r="L401" s="900" t="s">
        <v>2846</v>
      </c>
      <c r="M401" s="900" t="s">
        <v>2847</v>
      </c>
      <c r="N401" s="900" t="s">
        <v>2848</v>
      </c>
      <c r="O401" s="901" t="s">
        <v>66</v>
      </c>
      <c r="Q401" s="907"/>
    </row>
    <row r="402" spans="1:18">
      <c r="A402" s="925" t="s">
        <v>6</v>
      </c>
      <c r="B402" s="3833" t="s">
        <v>390</v>
      </c>
      <c r="C402" s="3833"/>
      <c r="D402" s="3833"/>
      <c r="E402" s="3833"/>
      <c r="F402" s="3833"/>
      <c r="G402" s="3833"/>
      <c r="H402" s="3833"/>
      <c r="I402" s="3833"/>
      <c r="J402" s="3833"/>
      <c r="K402" s="3833"/>
      <c r="L402" s="3833"/>
      <c r="M402" s="3833"/>
      <c r="N402" s="3833"/>
      <c r="O402" s="3833"/>
      <c r="Q402" s="907"/>
    </row>
    <row r="403" spans="1:18" ht="22.5">
      <c r="A403" s="926" t="s">
        <v>12</v>
      </c>
      <c r="B403" s="927" t="s">
        <v>3385</v>
      </c>
      <c r="C403" s="928">
        <v>0</v>
      </c>
      <c r="D403" s="928">
        <v>0</v>
      </c>
      <c r="E403" s="928">
        <v>0</v>
      </c>
      <c r="F403" s="928">
        <v>0</v>
      </c>
      <c r="G403" s="928">
        <v>0</v>
      </c>
      <c r="H403" s="928">
        <v>0</v>
      </c>
      <c r="I403" s="928">
        <v>0</v>
      </c>
      <c r="J403" s="928">
        <v>0</v>
      </c>
      <c r="K403" s="928">
        <v>0</v>
      </c>
      <c r="L403" s="928">
        <v>0</v>
      </c>
      <c r="M403" s="928">
        <v>0</v>
      </c>
      <c r="N403" s="928">
        <v>0</v>
      </c>
      <c r="O403" s="929">
        <f t="shared" ref="O403:O412" si="159">SUM(C403:N403)</f>
        <v>0</v>
      </c>
      <c r="P403" s="923">
        <v>0</v>
      </c>
      <c r="Q403" s="907">
        <f t="shared" ref="Q403:Q425" si="160">O403-P403</f>
        <v>0</v>
      </c>
      <c r="R403" s="895">
        <v>0</v>
      </c>
    </row>
    <row r="404" spans="1:18">
      <c r="A404" s="930" t="s">
        <v>14</v>
      </c>
      <c r="B404" s="931" t="s">
        <v>3386</v>
      </c>
      <c r="C404" s="910">
        <f>+P404/2</f>
        <v>852455.5</v>
      </c>
      <c r="D404" s="910">
        <f>+P404/2</f>
        <v>852455.5</v>
      </c>
      <c r="E404" s="910">
        <v>0</v>
      </c>
      <c r="F404" s="910">
        <v>0</v>
      </c>
      <c r="G404" s="910">
        <v>0</v>
      </c>
      <c r="H404" s="910">
        <v>0</v>
      </c>
      <c r="I404" s="910">
        <v>0</v>
      </c>
      <c r="J404" s="910">
        <v>0</v>
      </c>
      <c r="K404" s="910">
        <v>0</v>
      </c>
      <c r="L404" s="910">
        <v>0</v>
      </c>
      <c r="M404" s="910">
        <v>0</v>
      </c>
      <c r="N404" s="910">
        <v>0</v>
      </c>
      <c r="O404" s="911">
        <f t="shared" si="159"/>
        <v>1704911</v>
      </c>
      <c r="P404" s="943">
        <f>+'25. mell. Kerületgazda'!F23</f>
        <v>1704911</v>
      </c>
      <c r="Q404" s="907">
        <f t="shared" si="160"/>
        <v>0</v>
      </c>
      <c r="R404" s="896">
        <v>23</v>
      </c>
    </row>
    <row r="405" spans="1:18">
      <c r="A405" s="930" t="s">
        <v>15</v>
      </c>
      <c r="B405" s="932" t="s">
        <v>2849</v>
      </c>
      <c r="C405" s="913">
        <v>0</v>
      </c>
      <c r="D405" s="913">
        <v>0</v>
      </c>
      <c r="E405" s="913">
        <v>0</v>
      </c>
      <c r="F405" s="913">
        <v>0</v>
      </c>
      <c r="G405" s="913">
        <v>0</v>
      </c>
      <c r="H405" s="913">
        <v>0</v>
      </c>
      <c r="I405" s="913">
        <v>0</v>
      </c>
      <c r="J405" s="913">
        <v>0</v>
      </c>
      <c r="K405" s="913">
        <v>0</v>
      </c>
      <c r="L405" s="913">
        <v>0</v>
      </c>
      <c r="M405" s="913">
        <v>0</v>
      </c>
      <c r="N405" s="913">
        <v>0</v>
      </c>
      <c r="O405" s="914">
        <f t="shared" si="159"/>
        <v>0</v>
      </c>
      <c r="P405" s="943">
        <f>+'25. mell. Kerületgazda'!F27</f>
        <v>0</v>
      </c>
      <c r="Q405" s="907">
        <f t="shared" si="160"/>
        <v>0</v>
      </c>
      <c r="R405" s="896">
        <v>27</v>
      </c>
    </row>
    <row r="406" spans="1:18">
      <c r="A406" s="930" t="s">
        <v>17</v>
      </c>
      <c r="B406" s="933" t="s">
        <v>393</v>
      </c>
      <c r="C406" s="934">
        <v>0</v>
      </c>
      <c r="D406" s="934">
        <v>0</v>
      </c>
      <c r="E406" s="934">
        <v>0</v>
      </c>
      <c r="F406" s="934">
        <v>0</v>
      </c>
      <c r="G406" s="934">
        <v>0</v>
      </c>
      <c r="H406" s="934">
        <v>0</v>
      </c>
      <c r="I406" s="934">
        <v>0</v>
      </c>
      <c r="J406" s="934">
        <v>0</v>
      </c>
      <c r="K406" s="934">
        <v>0</v>
      </c>
      <c r="L406" s="934">
        <v>0</v>
      </c>
      <c r="M406" s="934">
        <v>0</v>
      </c>
      <c r="N406" s="934">
        <v>0</v>
      </c>
      <c r="O406" s="935">
        <f t="shared" si="159"/>
        <v>0</v>
      </c>
      <c r="P406" s="943">
        <f>+'25. mell. Kerületgazda'!F31</f>
        <v>0</v>
      </c>
      <c r="Q406" s="907">
        <f t="shared" si="160"/>
        <v>0</v>
      </c>
      <c r="R406" s="896">
        <v>31</v>
      </c>
    </row>
    <row r="407" spans="1:18">
      <c r="A407" s="930" t="s">
        <v>19</v>
      </c>
      <c r="B407" s="933" t="s">
        <v>149</v>
      </c>
      <c r="C407" s="910">
        <f t="shared" ref="C407:N407" si="161">+$P$407/12</f>
        <v>63308764.416666664</v>
      </c>
      <c r="D407" s="910">
        <f t="shared" si="161"/>
        <v>63308764.416666664</v>
      </c>
      <c r="E407" s="910">
        <f t="shared" si="161"/>
        <v>63308764.416666664</v>
      </c>
      <c r="F407" s="910">
        <f t="shared" si="161"/>
        <v>63308764.416666664</v>
      </c>
      <c r="G407" s="910">
        <f t="shared" si="161"/>
        <v>63308764.416666664</v>
      </c>
      <c r="H407" s="910">
        <f t="shared" si="161"/>
        <v>63308764.416666664</v>
      </c>
      <c r="I407" s="910">
        <f t="shared" si="161"/>
        <v>63308764.416666664</v>
      </c>
      <c r="J407" s="910">
        <f t="shared" si="161"/>
        <v>63308764.416666664</v>
      </c>
      <c r="K407" s="910">
        <f t="shared" si="161"/>
        <v>63308764.416666664</v>
      </c>
      <c r="L407" s="910">
        <f t="shared" si="161"/>
        <v>63308764.416666664</v>
      </c>
      <c r="M407" s="910">
        <f t="shared" si="161"/>
        <v>63308764.416666664</v>
      </c>
      <c r="N407" s="910">
        <f t="shared" si="161"/>
        <v>63308764.416666664</v>
      </c>
      <c r="O407" s="911">
        <f t="shared" si="159"/>
        <v>759705172.99999988</v>
      </c>
      <c r="P407" s="943">
        <f>+'25. mell. Kerületgazda'!F8</f>
        <v>759705173</v>
      </c>
      <c r="Q407" s="907">
        <f t="shared" si="160"/>
        <v>0</v>
      </c>
      <c r="R407" s="896">
        <v>8</v>
      </c>
    </row>
    <row r="408" spans="1:18">
      <c r="A408" s="930" t="s">
        <v>21</v>
      </c>
      <c r="B408" s="933" t="s">
        <v>431</v>
      </c>
      <c r="C408" s="910">
        <v>0</v>
      </c>
      <c r="D408" s="910">
        <v>0</v>
      </c>
      <c r="E408" s="910">
        <v>0</v>
      </c>
      <c r="F408" s="910">
        <v>0</v>
      </c>
      <c r="G408" s="910">
        <v>0</v>
      </c>
      <c r="H408" s="910">
        <v>0</v>
      </c>
      <c r="I408" s="910">
        <v>0</v>
      </c>
      <c r="J408" s="910">
        <v>0</v>
      </c>
      <c r="K408" s="910">
        <v>0</v>
      </c>
      <c r="L408" s="910">
        <v>0</v>
      </c>
      <c r="M408" s="910">
        <v>0</v>
      </c>
      <c r="N408" s="910">
        <v>0</v>
      </c>
      <c r="O408" s="911">
        <f t="shared" si="159"/>
        <v>0</v>
      </c>
      <c r="P408" s="943">
        <f>+'25. mell. Kerületgazda'!F20</f>
        <v>0</v>
      </c>
      <c r="Q408" s="907">
        <f t="shared" si="160"/>
        <v>0</v>
      </c>
      <c r="R408" s="896">
        <v>20</v>
      </c>
    </row>
    <row r="409" spans="1:18">
      <c r="A409" s="930" t="s">
        <v>23</v>
      </c>
      <c r="B409" s="933" t="s">
        <v>153</v>
      </c>
      <c r="C409" s="910">
        <v>0</v>
      </c>
      <c r="D409" s="910">
        <v>0</v>
      </c>
      <c r="E409" s="910">
        <v>0</v>
      </c>
      <c r="F409" s="910">
        <v>0</v>
      </c>
      <c r="G409" s="910">
        <v>0</v>
      </c>
      <c r="H409" s="910">
        <v>0</v>
      </c>
      <c r="I409" s="910">
        <v>0</v>
      </c>
      <c r="J409" s="910">
        <v>0</v>
      </c>
      <c r="K409" s="910">
        <v>0</v>
      </c>
      <c r="L409" s="910">
        <v>0</v>
      </c>
      <c r="M409" s="910">
        <v>0</v>
      </c>
      <c r="N409" s="910">
        <v>0</v>
      </c>
      <c r="O409" s="911">
        <f t="shared" si="159"/>
        <v>0</v>
      </c>
      <c r="P409" s="943">
        <f>+'25. mell. Kerületgazda'!F29</f>
        <v>0</v>
      </c>
      <c r="Q409" s="907">
        <f t="shared" si="160"/>
        <v>0</v>
      </c>
      <c r="R409" s="896">
        <v>29</v>
      </c>
    </row>
    <row r="410" spans="1:18">
      <c r="A410" s="930" t="s">
        <v>25</v>
      </c>
      <c r="B410" s="931" t="s">
        <v>1281</v>
      </c>
      <c r="C410" s="910">
        <v>0</v>
      </c>
      <c r="D410" s="910">
        <v>0</v>
      </c>
      <c r="E410" s="910">
        <v>0</v>
      </c>
      <c r="F410" s="910">
        <v>0</v>
      </c>
      <c r="G410" s="910">
        <v>0</v>
      </c>
      <c r="H410" s="910">
        <v>0</v>
      </c>
      <c r="I410" s="910">
        <v>0</v>
      </c>
      <c r="J410" s="910">
        <v>0</v>
      </c>
      <c r="K410" s="910">
        <v>0</v>
      </c>
      <c r="L410" s="910">
        <v>0</v>
      </c>
      <c r="M410" s="910">
        <v>0</v>
      </c>
      <c r="N410" s="910">
        <v>0</v>
      </c>
      <c r="O410" s="911">
        <f t="shared" si="159"/>
        <v>0</v>
      </c>
      <c r="P410" s="943">
        <f>+'25. mell. Kerületgazda'!F30</f>
        <v>0</v>
      </c>
      <c r="Q410" s="907">
        <f t="shared" si="160"/>
        <v>0</v>
      </c>
      <c r="R410" s="896">
        <v>30</v>
      </c>
    </row>
    <row r="411" spans="1:18">
      <c r="A411" s="930" t="s">
        <v>27</v>
      </c>
      <c r="B411" s="933" t="s">
        <v>1257</v>
      </c>
      <c r="C411" s="910">
        <f t="shared" ref="C411:N411" si="162">+$P$411/12</f>
        <v>179936971.41666666</v>
      </c>
      <c r="D411" s="910">
        <f t="shared" si="162"/>
        <v>179936971.41666666</v>
      </c>
      <c r="E411" s="910">
        <f t="shared" si="162"/>
        <v>179936971.41666666</v>
      </c>
      <c r="F411" s="910">
        <f t="shared" si="162"/>
        <v>179936971.41666666</v>
      </c>
      <c r="G411" s="910">
        <f t="shared" si="162"/>
        <v>179936971.41666666</v>
      </c>
      <c r="H411" s="910">
        <f t="shared" si="162"/>
        <v>179936971.41666666</v>
      </c>
      <c r="I411" s="910">
        <f t="shared" si="162"/>
        <v>179936971.41666666</v>
      </c>
      <c r="J411" s="910">
        <f t="shared" si="162"/>
        <v>179936971.41666666</v>
      </c>
      <c r="K411" s="910">
        <f t="shared" si="162"/>
        <v>179936971.41666666</v>
      </c>
      <c r="L411" s="910">
        <f t="shared" si="162"/>
        <v>179936971.41666666</v>
      </c>
      <c r="M411" s="910">
        <f t="shared" si="162"/>
        <v>179936971.41666666</v>
      </c>
      <c r="N411" s="910">
        <f t="shared" si="162"/>
        <v>179936971.41666666</v>
      </c>
      <c r="O411" s="948">
        <f t="shared" si="159"/>
        <v>2159243657.0000005</v>
      </c>
      <c r="P411" s="943">
        <f>+'25. mell. Kerületgazda'!F36</f>
        <v>2159243657</v>
      </c>
      <c r="Q411" s="907">
        <f t="shared" si="160"/>
        <v>0</v>
      </c>
      <c r="R411" s="896">
        <v>36</v>
      </c>
    </row>
    <row r="412" spans="1:18">
      <c r="A412" s="925" t="s">
        <v>29</v>
      </c>
      <c r="B412" s="936" t="s">
        <v>2850</v>
      </c>
      <c r="C412" s="917">
        <f t="shared" ref="C412:N412" si="163">SUM(C403:C411)</f>
        <v>244098191.33333331</v>
      </c>
      <c r="D412" s="917">
        <f t="shared" si="163"/>
        <v>244098191.33333331</v>
      </c>
      <c r="E412" s="917">
        <f t="shared" si="163"/>
        <v>243245735.83333331</v>
      </c>
      <c r="F412" s="917">
        <f t="shared" si="163"/>
        <v>243245735.83333331</v>
      </c>
      <c r="G412" s="917">
        <f t="shared" si="163"/>
        <v>243245735.83333331</v>
      </c>
      <c r="H412" s="917">
        <f t="shared" si="163"/>
        <v>243245735.83333331</v>
      </c>
      <c r="I412" s="917">
        <f t="shared" si="163"/>
        <v>243245735.83333331</v>
      </c>
      <c r="J412" s="917">
        <f t="shared" si="163"/>
        <v>243245735.83333331</v>
      </c>
      <c r="K412" s="917">
        <f t="shared" si="163"/>
        <v>243245735.83333331</v>
      </c>
      <c r="L412" s="917">
        <f t="shared" si="163"/>
        <v>243245735.83333331</v>
      </c>
      <c r="M412" s="917">
        <f t="shared" si="163"/>
        <v>243245735.83333331</v>
      </c>
      <c r="N412" s="949">
        <f t="shared" si="163"/>
        <v>243245735.83333331</v>
      </c>
      <c r="O412" s="950">
        <f t="shared" si="159"/>
        <v>2920653741</v>
      </c>
      <c r="P412" s="943">
        <f>+'25. mell. Kerületgazda'!F37</f>
        <v>2920653741</v>
      </c>
      <c r="Q412" s="907">
        <f t="shared" si="160"/>
        <v>0</v>
      </c>
      <c r="R412" s="895">
        <v>37</v>
      </c>
    </row>
    <row r="413" spans="1:18">
      <c r="A413" s="925" t="s">
        <v>31</v>
      </c>
      <c r="B413" s="3833" t="s">
        <v>391</v>
      </c>
      <c r="C413" s="3833"/>
      <c r="D413" s="3833"/>
      <c r="E413" s="3833"/>
      <c r="F413" s="3833"/>
      <c r="G413" s="3833"/>
      <c r="H413" s="3833"/>
      <c r="I413" s="3833"/>
      <c r="J413" s="3833"/>
      <c r="K413" s="3833"/>
      <c r="L413" s="3833"/>
      <c r="M413" s="3833"/>
      <c r="N413" s="3833"/>
      <c r="O413" s="3833"/>
      <c r="P413" s="943"/>
      <c r="Q413" s="907">
        <f t="shared" si="160"/>
        <v>0</v>
      </c>
      <c r="R413" s="895"/>
    </row>
    <row r="414" spans="1:18">
      <c r="A414" s="937" t="s">
        <v>33</v>
      </c>
      <c r="B414" s="938" t="s">
        <v>9</v>
      </c>
      <c r="C414" s="910">
        <f t="shared" ref="C414:N414" si="164">+$P$414/12</f>
        <v>88992781.666666672</v>
      </c>
      <c r="D414" s="910">
        <f t="shared" si="164"/>
        <v>88992781.666666672</v>
      </c>
      <c r="E414" s="910">
        <f t="shared" si="164"/>
        <v>88992781.666666672</v>
      </c>
      <c r="F414" s="910">
        <f t="shared" si="164"/>
        <v>88992781.666666672</v>
      </c>
      <c r="G414" s="910">
        <f t="shared" si="164"/>
        <v>88992781.666666672</v>
      </c>
      <c r="H414" s="910">
        <f t="shared" si="164"/>
        <v>88992781.666666672</v>
      </c>
      <c r="I414" s="910">
        <f t="shared" si="164"/>
        <v>88992781.666666672</v>
      </c>
      <c r="J414" s="910">
        <f t="shared" si="164"/>
        <v>88992781.666666672</v>
      </c>
      <c r="K414" s="910">
        <f t="shared" si="164"/>
        <v>88992781.666666672</v>
      </c>
      <c r="L414" s="910">
        <f t="shared" si="164"/>
        <v>88992781.666666672</v>
      </c>
      <c r="M414" s="910">
        <f t="shared" si="164"/>
        <v>88992781.666666672</v>
      </c>
      <c r="N414" s="910">
        <f t="shared" si="164"/>
        <v>88992781.666666672</v>
      </c>
      <c r="O414" s="914">
        <f t="shared" ref="O414:O424" si="165">SUM(C414:N414)</f>
        <v>1067913379.9999999</v>
      </c>
      <c r="P414" s="943">
        <f>+'25. mell. Kerületgazda'!F42</f>
        <v>1067913380</v>
      </c>
      <c r="Q414" s="907">
        <f t="shared" si="160"/>
        <v>0</v>
      </c>
      <c r="R414" s="896">
        <v>42</v>
      </c>
    </row>
    <row r="415" spans="1:18" ht="22.5">
      <c r="A415" s="930" t="s">
        <v>35</v>
      </c>
      <c r="B415" s="931" t="s">
        <v>8</v>
      </c>
      <c r="C415" s="910">
        <f t="shared" ref="C415:N415" si="166">+$P$415/12</f>
        <v>13628112.666666666</v>
      </c>
      <c r="D415" s="910">
        <f t="shared" si="166"/>
        <v>13628112.666666666</v>
      </c>
      <c r="E415" s="910">
        <f t="shared" si="166"/>
        <v>13628112.666666666</v>
      </c>
      <c r="F415" s="910">
        <f t="shared" si="166"/>
        <v>13628112.666666666</v>
      </c>
      <c r="G415" s="910">
        <f t="shared" si="166"/>
        <v>13628112.666666666</v>
      </c>
      <c r="H415" s="910">
        <f t="shared" si="166"/>
        <v>13628112.666666666</v>
      </c>
      <c r="I415" s="910">
        <f t="shared" si="166"/>
        <v>13628112.666666666</v>
      </c>
      <c r="J415" s="910">
        <f t="shared" si="166"/>
        <v>13628112.666666666</v>
      </c>
      <c r="K415" s="910">
        <f t="shared" si="166"/>
        <v>13628112.666666666</v>
      </c>
      <c r="L415" s="910">
        <f t="shared" si="166"/>
        <v>13628112.666666666</v>
      </c>
      <c r="M415" s="910">
        <f t="shared" si="166"/>
        <v>13628112.666666666</v>
      </c>
      <c r="N415" s="910">
        <f t="shared" si="166"/>
        <v>13628112.666666666</v>
      </c>
      <c r="O415" s="914">
        <f t="shared" si="165"/>
        <v>163537352</v>
      </c>
      <c r="P415" s="943">
        <f>+'25. mell. Kerületgazda'!F43</f>
        <v>163537352</v>
      </c>
      <c r="Q415" s="907">
        <f t="shared" si="160"/>
        <v>0</v>
      </c>
      <c r="R415" s="896">
        <v>43</v>
      </c>
    </row>
    <row r="416" spans="1:18">
      <c r="A416" s="930" t="s">
        <v>37</v>
      </c>
      <c r="B416" s="933" t="s">
        <v>317</v>
      </c>
      <c r="C416" s="910">
        <f t="shared" ref="C416:N416" si="167">+$P$416/12</f>
        <v>138888863.83333334</v>
      </c>
      <c r="D416" s="910">
        <f t="shared" si="167"/>
        <v>138888863.83333334</v>
      </c>
      <c r="E416" s="910">
        <f t="shared" si="167"/>
        <v>138888863.83333334</v>
      </c>
      <c r="F416" s="910">
        <f t="shared" si="167"/>
        <v>138888863.83333334</v>
      </c>
      <c r="G416" s="910">
        <f t="shared" si="167"/>
        <v>138888863.83333334</v>
      </c>
      <c r="H416" s="910">
        <f t="shared" si="167"/>
        <v>138888863.83333334</v>
      </c>
      <c r="I416" s="910">
        <f t="shared" si="167"/>
        <v>138888863.83333334</v>
      </c>
      <c r="J416" s="910">
        <f t="shared" si="167"/>
        <v>138888863.83333334</v>
      </c>
      <c r="K416" s="910">
        <f t="shared" si="167"/>
        <v>138888863.83333334</v>
      </c>
      <c r="L416" s="910">
        <f t="shared" si="167"/>
        <v>138888863.83333334</v>
      </c>
      <c r="M416" s="910">
        <f t="shared" si="167"/>
        <v>138888863.83333334</v>
      </c>
      <c r="N416" s="910">
        <f t="shared" si="167"/>
        <v>138888863.83333334</v>
      </c>
      <c r="O416" s="911">
        <f t="shared" si="165"/>
        <v>1666666365.9999998</v>
      </c>
      <c r="P416" s="943">
        <f>+'25. mell. Kerületgazda'!F44</f>
        <v>1666666366</v>
      </c>
      <c r="Q416" s="907">
        <f t="shared" si="160"/>
        <v>0</v>
      </c>
      <c r="R416" s="896">
        <v>44</v>
      </c>
    </row>
    <row r="417" spans="1:18">
      <c r="A417" s="930" t="s">
        <v>39</v>
      </c>
      <c r="B417" s="933" t="s">
        <v>318</v>
      </c>
      <c r="C417" s="910">
        <v>0</v>
      </c>
      <c r="D417" s="910">
        <v>0</v>
      </c>
      <c r="E417" s="910">
        <v>0</v>
      </c>
      <c r="F417" s="910">
        <v>0</v>
      </c>
      <c r="G417" s="910">
        <v>0</v>
      </c>
      <c r="H417" s="910">
        <v>0</v>
      </c>
      <c r="I417" s="910">
        <v>0</v>
      </c>
      <c r="J417" s="910">
        <v>0</v>
      </c>
      <c r="K417" s="910">
        <v>0</v>
      </c>
      <c r="L417" s="910">
        <v>0</v>
      </c>
      <c r="M417" s="910">
        <v>0</v>
      </c>
      <c r="N417" s="910">
        <v>0</v>
      </c>
      <c r="O417" s="911">
        <f t="shared" si="165"/>
        <v>0</v>
      </c>
      <c r="P417" s="943">
        <f>+'25. mell. Kerületgazda'!F45</f>
        <v>0</v>
      </c>
      <c r="Q417" s="907">
        <f t="shared" si="160"/>
        <v>0</v>
      </c>
      <c r="R417" s="896">
        <v>45</v>
      </c>
    </row>
    <row r="418" spans="1:18">
      <c r="A418" s="930" t="s">
        <v>41</v>
      </c>
      <c r="B418" s="933" t="s">
        <v>2855</v>
      </c>
      <c r="C418" s="910">
        <v>0</v>
      </c>
      <c r="D418" s="910">
        <v>0</v>
      </c>
      <c r="E418" s="910">
        <v>0</v>
      </c>
      <c r="F418" s="910">
        <v>0</v>
      </c>
      <c r="G418" s="910">
        <v>0</v>
      </c>
      <c r="H418" s="910">
        <v>0</v>
      </c>
      <c r="I418" s="910">
        <v>0</v>
      </c>
      <c r="J418" s="910">
        <v>0</v>
      </c>
      <c r="K418" s="910">
        <v>0</v>
      </c>
      <c r="L418" s="910">
        <v>0</v>
      </c>
      <c r="M418" s="910">
        <v>0</v>
      </c>
      <c r="N418" s="910">
        <v>0</v>
      </c>
      <c r="O418" s="911">
        <f t="shared" si="165"/>
        <v>0</v>
      </c>
      <c r="P418" s="943">
        <f>+'25. mell. Kerületgazda'!F46</f>
        <v>0</v>
      </c>
      <c r="Q418" s="907">
        <f t="shared" si="160"/>
        <v>0</v>
      </c>
      <c r="R418" s="896">
        <v>46</v>
      </c>
    </row>
    <row r="419" spans="1:18">
      <c r="A419" s="930" t="s">
        <v>314</v>
      </c>
      <c r="B419" s="933" t="s">
        <v>82</v>
      </c>
      <c r="C419" s="910">
        <f t="shared" ref="C419:N419" si="168">+$P$419/12</f>
        <v>1878053.5833333333</v>
      </c>
      <c r="D419" s="910">
        <f t="shared" si="168"/>
        <v>1878053.5833333333</v>
      </c>
      <c r="E419" s="910">
        <f t="shared" si="168"/>
        <v>1878053.5833333333</v>
      </c>
      <c r="F419" s="910">
        <f t="shared" si="168"/>
        <v>1878053.5833333333</v>
      </c>
      <c r="G419" s="910">
        <f t="shared" si="168"/>
        <v>1878053.5833333333</v>
      </c>
      <c r="H419" s="910">
        <f t="shared" si="168"/>
        <v>1878053.5833333333</v>
      </c>
      <c r="I419" s="910">
        <f t="shared" si="168"/>
        <v>1878053.5833333333</v>
      </c>
      <c r="J419" s="910">
        <f t="shared" si="168"/>
        <v>1878053.5833333333</v>
      </c>
      <c r="K419" s="910">
        <f t="shared" si="168"/>
        <v>1878053.5833333333</v>
      </c>
      <c r="L419" s="910">
        <f t="shared" si="168"/>
        <v>1878053.5833333333</v>
      </c>
      <c r="M419" s="910">
        <f t="shared" si="168"/>
        <v>1878053.5833333333</v>
      </c>
      <c r="N419" s="910">
        <f t="shared" si="168"/>
        <v>1878053.5833333333</v>
      </c>
      <c r="O419" s="911">
        <f t="shared" si="165"/>
        <v>22536642.999999996</v>
      </c>
      <c r="P419" s="943">
        <f>+'25. mell. Kerületgazda'!F48</f>
        <v>22536643</v>
      </c>
      <c r="Q419" s="907">
        <f t="shared" si="160"/>
        <v>0</v>
      </c>
      <c r="R419" s="896">
        <v>48</v>
      </c>
    </row>
    <row r="420" spans="1:18">
      <c r="A420" s="930" t="s">
        <v>402</v>
      </c>
      <c r="B420" s="931" t="s">
        <v>344</v>
      </c>
      <c r="C420" s="910">
        <f t="shared" ref="C420:N420" si="169">+$P$420/12</f>
        <v>0</v>
      </c>
      <c r="D420" s="910">
        <f t="shared" si="169"/>
        <v>0</v>
      </c>
      <c r="E420" s="910">
        <f t="shared" si="169"/>
        <v>0</v>
      </c>
      <c r="F420" s="910">
        <f t="shared" si="169"/>
        <v>0</v>
      </c>
      <c r="G420" s="910">
        <f t="shared" si="169"/>
        <v>0</v>
      </c>
      <c r="H420" s="910">
        <f t="shared" si="169"/>
        <v>0</v>
      </c>
      <c r="I420" s="910">
        <f t="shared" si="169"/>
        <v>0</v>
      </c>
      <c r="J420" s="910">
        <f t="shared" si="169"/>
        <v>0</v>
      </c>
      <c r="K420" s="910">
        <f t="shared" si="169"/>
        <v>0</v>
      </c>
      <c r="L420" s="910">
        <f t="shared" si="169"/>
        <v>0</v>
      </c>
      <c r="M420" s="910">
        <f t="shared" si="169"/>
        <v>0</v>
      </c>
      <c r="N420" s="910">
        <f t="shared" si="169"/>
        <v>0</v>
      </c>
      <c r="O420" s="911">
        <f t="shared" si="165"/>
        <v>0</v>
      </c>
      <c r="P420" s="943">
        <f>+'25. mell. Kerületgazda'!F49</f>
        <v>0</v>
      </c>
      <c r="Q420" s="907">
        <f t="shared" si="160"/>
        <v>0</v>
      </c>
      <c r="R420" s="896">
        <v>49</v>
      </c>
    </row>
    <row r="421" spans="1:18">
      <c r="A421" s="930" t="s">
        <v>404</v>
      </c>
      <c r="B421" s="933" t="s">
        <v>346</v>
      </c>
      <c r="C421" s="910">
        <v>0</v>
      </c>
      <c r="D421" s="910">
        <v>0</v>
      </c>
      <c r="E421" s="910">
        <v>0</v>
      </c>
      <c r="F421" s="910">
        <v>0</v>
      </c>
      <c r="G421" s="910">
        <v>0</v>
      </c>
      <c r="H421" s="910">
        <v>0</v>
      </c>
      <c r="I421" s="910">
        <v>0</v>
      </c>
      <c r="J421" s="910">
        <v>0</v>
      </c>
      <c r="K421" s="910">
        <v>0</v>
      </c>
      <c r="L421" s="910">
        <v>0</v>
      </c>
      <c r="M421" s="910">
        <v>0</v>
      </c>
      <c r="N421" s="910">
        <v>0</v>
      </c>
      <c r="O421" s="911">
        <f t="shared" si="165"/>
        <v>0</v>
      </c>
      <c r="P421" s="943">
        <f>+'25. mell. Kerületgazda'!F50</f>
        <v>0</v>
      </c>
      <c r="Q421" s="907">
        <f t="shared" si="160"/>
        <v>0</v>
      </c>
      <c r="R421" s="896">
        <v>50</v>
      </c>
    </row>
    <row r="422" spans="1:18">
      <c r="A422" s="930" t="s">
        <v>407</v>
      </c>
      <c r="B422" s="933" t="s">
        <v>2851</v>
      </c>
      <c r="C422" s="934">
        <v>0</v>
      </c>
      <c r="D422" s="934">
        <v>0</v>
      </c>
      <c r="E422" s="934">
        <v>0</v>
      </c>
      <c r="F422" s="934">
        <v>0</v>
      </c>
      <c r="G422" s="934">
        <v>0</v>
      </c>
      <c r="H422" s="934">
        <v>0</v>
      </c>
      <c r="I422" s="934">
        <v>0</v>
      </c>
      <c r="J422" s="934">
        <v>0</v>
      </c>
      <c r="K422" s="934">
        <v>0</v>
      </c>
      <c r="L422" s="934">
        <v>0</v>
      </c>
      <c r="M422" s="934">
        <v>0</v>
      </c>
      <c r="N422" s="934">
        <v>0</v>
      </c>
      <c r="O422" s="935">
        <f t="shared" si="165"/>
        <v>0</v>
      </c>
      <c r="P422" s="943">
        <v>0</v>
      </c>
      <c r="Q422" s="907">
        <f t="shared" si="160"/>
        <v>0</v>
      </c>
      <c r="R422" s="896">
        <v>0</v>
      </c>
    </row>
    <row r="423" spans="1:18">
      <c r="A423" s="930" t="s">
        <v>409</v>
      </c>
      <c r="B423" s="933" t="s">
        <v>2697</v>
      </c>
      <c r="C423" s="934">
        <v>0</v>
      </c>
      <c r="D423" s="934">
        <v>0</v>
      </c>
      <c r="E423" s="934">
        <v>0</v>
      </c>
      <c r="F423" s="934">
        <v>0</v>
      </c>
      <c r="G423" s="934">
        <v>0</v>
      </c>
      <c r="H423" s="934">
        <v>0</v>
      </c>
      <c r="I423" s="934">
        <v>0</v>
      </c>
      <c r="J423" s="934">
        <v>0</v>
      </c>
      <c r="K423" s="934">
        <v>0</v>
      </c>
      <c r="L423" s="934">
        <v>0</v>
      </c>
      <c r="M423" s="934">
        <v>0</v>
      </c>
      <c r="N423" s="934">
        <v>0</v>
      </c>
      <c r="O423" s="935">
        <f t="shared" si="165"/>
        <v>0</v>
      </c>
      <c r="P423" s="943">
        <v>0</v>
      </c>
      <c r="Q423" s="907">
        <f t="shared" si="160"/>
        <v>0</v>
      </c>
      <c r="R423" s="896">
        <v>0</v>
      </c>
    </row>
    <row r="424" spans="1:18">
      <c r="A424" s="939" t="s">
        <v>410</v>
      </c>
      <c r="B424" s="936" t="s">
        <v>2852</v>
      </c>
      <c r="C424" s="917">
        <f t="shared" ref="C424:N424" si="170">SUM(C414:C423)</f>
        <v>243387811.75000003</v>
      </c>
      <c r="D424" s="917">
        <f t="shared" si="170"/>
        <v>243387811.75000003</v>
      </c>
      <c r="E424" s="917">
        <f t="shared" si="170"/>
        <v>243387811.75000003</v>
      </c>
      <c r="F424" s="917">
        <f t="shared" si="170"/>
        <v>243387811.75000003</v>
      </c>
      <c r="G424" s="917">
        <f t="shared" si="170"/>
        <v>243387811.75000003</v>
      </c>
      <c r="H424" s="917">
        <f t="shared" si="170"/>
        <v>243387811.75000003</v>
      </c>
      <c r="I424" s="917">
        <f t="shared" si="170"/>
        <v>243387811.75000003</v>
      </c>
      <c r="J424" s="917">
        <f t="shared" si="170"/>
        <v>243387811.75000003</v>
      </c>
      <c r="K424" s="917">
        <f t="shared" si="170"/>
        <v>243387811.75000003</v>
      </c>
      <c r="L424" s="917">
        <f t="shared" si="170"/>
        <v>243387811.75000003</v>
      </c>
      <c r="M424" s="917">
        <f t="shared" si="170"/>
        <v>243387811.75000003</v>
      </c>
      <c r="N424" s="917">
        <f t="shared" si="170"/>
        <v>243387811.75000003</v>
      </c>
      <c r="O424" s="918">
        <f t="shared" si="165"/>
        <v>2920653741.0000005</v>
      </c>
      <c r="P424" s="943">
        <f>+'25. mell. Kerületgazda'!F52</f>
        <v>2920653741</v>
      </c>
      <c r="Q424" s="907">
        <f t="shared" si="160"/>
        <v>0</v>
      </c>
      <c r="R424" s="895">
        <v>52</v>
      </c>
    </row>
    <row r="425" spans="1:18">
      <c r="A425" s="939" t="s">
        <v>411</v>
      </c>
      <c r="B425" s="940" t="s">
        <v>2853</v>
      </c>
      <c r="C425" s="941">
        <f>C412-C424</f>
        <v>710379.58333328366</v>
      </c>
      <c r="D425" s="941">
        <f t="shared" ref="D425:N425" si="171">C425+D412-D424</f>
        <v>1420759.1666665673</v>
      </c>
      <c r="E425" s="941">
        <f t="shared" si="171"/>
        <v>1278683.249999851</v>
      </c>
      <c r="F425" s="941">
        <f t="shared" si="171"/>
        <v>1136607.3333331347</v>
      </c>
      <c r="G425" s="941">
        <f t="shared" si="171"/>
        <v>994531.41666641831</v>
      </c>
      <c r="H425" s="941">
        <f t="shared" si="171"/>
        <v>852455.49999970198</v>
      </c>
      <c r="I425" s="941">
        <f t="shared" si="171"/>
        <v>710379.58333298564</v>
      </c>
      <c r="J425" s="941">
        <f t="shared" si="171"/>
        <v>568303.6666662693</v>
      </c>
      <c r="K425" s="941">
        <f t="shared" si="171"/>
        <v>426227.74999955297</v>
      </c>
      <c r="L425" s="941">
        <f t="shared" si="171"/>
        <v>284151.83333283663</v>
      </c>
      <c r="M425" s="941">
        <f t="shared" si="171"/>
        <v>142075.91666612029</v>
      </c>
      <c r="N425" s="941">
        <f t="shared" si="171"/>
        <v>-5.9604644775390625E-7</v>
      </c>
      <c r="O425" s="942">
        <f>O412-O424</f>
        <v>0</v>
      </c>
      <c r="Q425" s="907">
        <f t="shared" si="160"/>
        <v>0</v>
      </c>
      <c r="R425" s="943">
        <f>+P412-P424</f>
        <v>0</v>
      </c>
    </row>
    <row r="426" spans="1:18">
      <c r="Q426" s="907"/>
    </row>
    <row r="427" spans="1:18" ht="32.25" customHeight="1">
      <c r="A427" s="3834" t="s">
        <v>3786</v>
      </c>
      <c r="B427" s="3834"/>
      <c r="C427" s="3834"/>
      <c r="D427" s="3834"/>
      <c r="E427" s="3834"/>
      <c r="F427" s="3834"/>
      <c r="G427" s="3834"/>
      <c r="H427" s="3834"/>
      <c r="I427" s="3834"/>
      <c r="J427" s="3834"/>
      <c r="K427" s="3834"/>
      <c r="L427" s="3834"/>
      <c r="M427" s="3834"/>
      <c r="N427" s="3834"/>
      <c r="O427" s="3834"/>
      <c r="Q427" s="907"/>
    </row>
    <row r="428" spans="1:18">
      <c r="O428" s="924" t="s">
        <v>3300</v>
      </c>
      <c r="Q428" s="907"/>
    </row>
    <row r="429" spans="1:18" ht="24">
      <c r="A429" s="899" t="s">
        <v>2726</v>
      </c>
      <c r="B429" s="900" t="s">
        <v>136</v>
      </c>
      <c r="C429" s="900" t="s">
        <v>2837</v>
      </c>
      <c r="D429" s="900" t="s">
        <v>2838</v>
      </c>
      <c r="E429" s="900" t="s">
        <v>2839</v>
      </c>
      <c r="F429" s="900" t="s">
        <v>2840</v>
      </c>
      <c r="G429" s="900" t="s">
        <v>2841</v>
      </c>
      <c r="H429" s="900" t="s">
        <v>2842</v>
      </c>
      <c r="I429" s="900" t="s">
        <v>2843</v>
      </c>
      <c r="J429" s="900" t="s">
        <v>2844</v>
      </c>
      <c r="K429" s="900" t="s">
        <v>2845</v>
      </c>
      <c r="L429" s="900" t="s">
        <v>2846</v>
      </c>
      <c r="M429" s="900" t="s">
        <v>2847</v>
      </c>
      <c r="N429" s="900" t="s">
        <v>2848</v>
      </c>
      <c r="O429" s="901" t="s">
        <v>66</v>
      </c>
      <c r="Q429" s="907"/>
    </row>
    <row r="430" spans="1:18">
      <c r="A430" s="925" t="s">
        <v>6</v>
      </c>
      <c r="B430" s="3833" t="s">
        <v>390</v>
      </c>
      <c r="C430" s="3833"/>
      <c r="D430" s="3833"/>
      <c r="E430" s="3833"/>
      <c r="F430" s="3833"/>
      <c r="G430" s="3833"/>
      <c r="H430" s="3833"/>
      <c r="I430" s="3833"/>
      <c r="J430" s="3833"/>
      <c r="K430" s="3833"/>
      <c r="L430" s="3833"/>
      <c r="M430" s="3833"/>
      <c r="N430" s="3833"/>
      <c r="O430" s="3833"/>
      <c r="Q430" s="907"/>
    </row>
    <row r="431" spans="1:18" ht="22.5">
      <c r="A431" s="926" t="s">
        <v>12</v>
      </c>
      <c r="B431" s="927" t="s">
        <v>3385</v>
      </c>
      <c r="C431" s="928">
        <v>0</v>
      </c>
      <c r="D431" s="928">
        <v>0</v>
      </c>
      <c r="E431" s="928">
        <v>0</v>
      </c>
      <c r="F431" s="928">
        <v>0</v>
      </c>
      <c r="G431" s="928">
        <v>0</v>
      </c>
      <c r="H431" s="928">
        <v>0</v>
      </c>
      <c r="I431" s="928">
        <v>0</v>
      </c>
      <c r="J431" s="928">
        <v>0</v>
      </c>
      <c r="K431" s="928">
        <v>0</v>
      </c>
      <c r="L431" s="928">
        <v>0</v>
      </c>
      <c r="M431" s="928">
        <v>0</v>
      </c>
      <c r="N431" s="928">
        <v>0</v>
      </c>
      <c r="O431" s="929">
        <f t="shared" ref="O431:O440" si="172">SUM(C431:N431)</f>
        <v>0</v>
      </c>
      <c r="P431" s="923">
        <v>0</v>
      </c>
      <c r="Q431" s="907">
        <f t="shared" ref="Q431:Q453" si="173">O431-P431</f>
        <v>0</v>
      </c>
      <c r="R431" s="895">
        <v>0</v>
      </c>
    </row>
    <row r="432" spans="1:18">
      <c r="A432" s="930" t="s">
        <v>14</v>
      </c>
      <c r="B432" s="931" t="s">
        <v>3386</v>
      </c>
      <c r="C432" s="910">
        <f>+P432/3</f>
        <v>36755928.333333336</v>
      </c>
      <c r="D432" s="910">
        <v>0</v>
      </c>
      <c r="E432" s="910">
        <v>0</v>
      </c>
      <c r="F432" s="910">
        <f>+P432/3</f>
        <v>36755928.333333336</v>
      </c>
      <c r="G432" s="910">
        <v>0</v>
      </c>
      <c r="H432" s="910">
        <v>0</v>
      </c>
      <c r="I432" s="910">
        <v>0</v>
      </c>
      <c r="J432" s="910">
        <v>0</v>
      </c>
      <c r="K432" s="910">
        <f>+P432/3</f>
        <v>36755928.333333336</v>
      </c>
      <c r="L432" s="910">
        <v>0</v>
      </c>
      <c r="M432" s="910">
        <v>0</v>
      </c>
      <c r="N432" s="910">
        <v>0</v>
      </c>
      <c r="O432" s="911">
        <f t="shared" si="172"/>
        <v>110267785</v>
      </c>
      <c r="P432" s="943">
        <f>+'26. mell. Őrszolgálat'!F23</f>
        <v>110267785</v>
      </c>
      <c r="Q432" s="907">
        <f t="shared" si="173"/>
        <v>0</v>
      </c>
      <c r="R432" s="896">
        <v>23</v>
      </c>
    </row>
    <row r="433" spans="1:18">
      <c r="A433" s="930" t="s">
        <v>15</v>
      </c>
      <c r="B433" s="932" t="s">
        <v>2849</v>
      </c>
      <c r="C433" s="913">
        <v>0</v>
      </c>
      <c r="D433" s="913">
        <v>0</v>
      </c>
      <c r="E433" s="913">
        <v>0</v>
      </c>
      <c r="F433" s="913">
        <v>0</v>
      </c>
      <c r="G433" s="913">
        <v>0</v>
      </c>
      <c r="H433" s="913">
        <v>0</v>
      </c>
      <c r="I433" s="913">
        <v>0</v>
      </c>
      <c r="J433" s="913">
        <v>0</v>
      </c>
      <c r="K433" s="913">
        <v>0</v>
      </c>
      <c r="L433" s="913">
        <v>0</v>
      </c>
      <c r="M433" s="913">
        <v>0</v>
      </c>
      <c r="N433" s="913">
        <v>0</v>
      </c>
      <c r="O433" s="914">
        <f t="shared" si="172"/>
        <v>0</v>
      </c>
      <c r="P433" s="943">
        <f>+'26. mell. Őrszolgálat'!F27</f>
        <v>0</v>
      </c>
      <c r="Q433" s="907">
        <f t="shared" si="173"/>
        <v>0</v>
      </c>
      <c r="R433" s="896">
        <v>27</v>
      </c>
    </row>
    <row r="434" spans="1:18">
      <c r="A434" s="930" t="s">
        <v>17</v>
      </c>
      <c r="B434" s="933" t="s">
        <v>393</v>
      </c>
      <c r="C434" s="934">
        <v>0</v>
      </c>
      <c r="D434" s="934">
        <v>0</v>
      </c>
      <c r="E434" s="934">
        <v>0</v>
      </c>
      <c r="F434" s="934">
        <v>0</v>
      </c>
      <c r="G434" s="934">
        <v>0</v>
      </c>
      <c r="H434" s="934">
        <v>0</v>
      </c>
      <c r="I434" s="934">
        <v>0</v>
      </c>
      <c r="J434" s="934">
        <v>0</v>
      </c>
      <c r="K434" s="934">
        <v>0</v>
      </c>
      <c r="L434" s="934">
        <v>0</v>
      </c>
      <c r="M434" s="934">
        <v>0</v>
      </c>
      <c r="N434" s="934">
        <v>0</v>
      </c>
      <c r="O434" s="935">
        <f t="shared" si="172"/>
        <v>0</v>
      </c>
      <c r="P434" s="943">
        <f>+'26. mell. Őrszolgálat'!F31</f>
        <v>0</v>
      </c>
      <c r="Q434" s="907">
        <f t="shared" si="173"/>
        <v>0</v>
      </c>
      <c r="R434" s="896">
        <v>31</v>
      </c>
    </row>
    <row r="435" spans="1:18">
      <c r="A435" s="930" t="s">
        <v>19</v>
      </c>
      <c r="B435" s="933" t="s">
        <v>149</v>
      </c>
      <c r="C435" s="910">
        <v>0</v>
      </c>
      <c r="D435" s="910">
        <v>0</v>
      </c>
      <c r="E435" s="910">
        <v>500000</v>
      </c>
      <c r="F435" s="910">
        <v>500000</v>
      </c>
      <c r="G435" s="910">
        <v>500000</v>
      </c>
      <c r="H435" s="910">
        <v>500000</v>
      </c>
      <c r="I435" s="910">
        <v>500000</v>
      </c>
      <c r="J435" s="910">
        <v>500000</v>
      </c>
      <c r="K435" s="910">
        <v>250000</v>
      </c>
      <c r="L435" s="910">
        <v>250000</v>
      </c>
      <c r="M435" s="910">
        <v>0</v>
      </c>
      <c r="N435" s="910">
        <v>0</v>
      </c>
      <c r="O435" s="911">
        <f t="shared" si="172"/>
        <v>3500000</v>
      </c>
      <c r="P435" s="943">
        <f>+'26. mell. Őrszolgálat'!F8</f>
        <v>3500000</v>
      </c>
      <c r="Q435" s="907">
        <f t="shared" si="173"/>
        <v>0</v>
      </c>
      <c r="R435" s="896">
        <v>8</v>
      </c>
    </row>
    <row r="436" spans="1:18">
      <c r="A436" s="930" t="s">
        <v>21</v>
      </c>
      <c r="B436" s="933" t="s">
        <v>431</v>
      </c>
      <c r="C436" s="910">
        <v>0</v>
      </c>
      <c r="D436" s="910">
        <v>0</v>
      </c>
      <c r="E436" s="910">
        <v>0</v>
      </c>
      <c r="F436" s="910">
        <v>0</v>
      </c>
      <c r="G436" s="910">
        <v>0</v>
      </c>
      <c r="H436" s="910">
        <v>0</v>
      </c>
      <c r="I436" s="910">
        <v>0</v>
      </c>
      <c r="J436" s="910">
        <v>0</v>
      </c>
      <c r="K436" s="910">
        <v>0</v>
      </c>
      <c r="L436" s="910">
        <v>0</v>
      </c>
      <c r="M436" s="910">
        <v>0</v>
      </c>
      <c r="N436" s="910">
        <v>0</v>
      </c>
      <c r="O436" s="911">
        <f t="shared" si="172"/>
        <v>0</v>
      </c>
      <c r="P436" s="943">
        <f>+'26. mell. Őrszolgálat'!F20</f>
        <v>0</v>
      </c>
      <c r="Q436" s="907">
        <f t="shared" si="173"/>
        <v>0</v>
      </c>
      <c r="R436" s="896">
        <v>20</v>
      </c>
    </row>
    <row r="437" spans="1:18">
      <c r="A437" s="930" t="s">
        <v>23</v>
      </c>
      <c r="B437" s="933" t="s">
        <v>153</v>
      </c>
      <c r="C437" s="910">
        <v>0</v>
      </c>
      <c r="D437" s="910">
        <v>0</v>
      </c>
      <c r="E437" s="910">
        <v>0</v>
      </c>
      <c r="F437" s="910">
        <v>0</v>
      </c>
      <c r="G437" s="910">
        <v>0</v>
      </c>
      <c r="H437" s="910">
        <v>0</v>
      </c>
      <c r="I437" s="910">
        <v>0</v>
      </c>
      <c r="J437" s="910">
        <v>0</v>
      </c>
      <c r="K437" s="910">
        <v>0</v>
      </c>
      <c r="L437" s="910">
        <v>0</v>
      </c>
      <c r="M437" s="910">
        <v>0</v>
      </c>
      <c r="N437" s="910">
        <v>0</v>
      </c>
      <c r="O437" s="911">
        <f t="shared" si="172"/>
        <v>0</v>
      </c>
      <c r="P437" s="943">
        <f>+'26. mell. Őrszolgálat'!F29</f>
        <v>0</v>
      </c>
      <c r="Q437" s="907">
        <f t="shared" si="173"/>
        <v>0</v>
      </c>
      <c r="R437" s="896">
        <v>29</v>
      </c>
    </row>
    <row r="438" spans="1:18">
      <c r="A438" s="930" t="s">
        <v>25</v>
      </c>
      <c r="B438" s="931" t="s">
        <v>1281</v>
      </c>
      <c r="C438" s="910">
        <v>0</v>
      </c>
      <c r="D438" s="910">
        <v>0</v>
      </c>
      <c r="E438" s="910">
        <v>0</v>
      </c>
      <c r="F438" s="910">
        <v>0</v>
      </c>
      <c r="G438" s="910">
        <v>0</v>
      </c>
      <c r="H438" s="910">
        <v>0</v>
      </c>
      <c r="I438" s="910">
        <v>0</v>
      </c>
      <c r="J438" s="910">
        <v>0</v>
      </c>
      <c r="K438" s="910">
        <v>0</v>
      </c>
      <c r="L438" s="910">
        <v>0</v>
      </c>
      <c r="M438" s="910">
        <v>0</v>
      </c>
      <c r="N438" s="910">
        <v>0</v>
      </c>
      <c r="O438" s="911">
        <f t="shared" si="172"/>
        <v>0</v>
      </c>
      <c r="P438" s="943">
        <f>+'26. mell. Őrszolgálat'!F30</f>
        <v>0</v>
      </c>
      <c r="Q438" s="907">
        <f t="shared" si="173"/>
        <v>0</v>
      </c>
      <c r="R438" s="896">
        <v>30</v>
      </c>
    </row>
    <row r="439" spans="1:18">
      <c r="A439" s="930" t="s">
        <v>27</v>
      </c>
      <c r="B439" s="933" t="s">
        <v>1257</v>
      </c>
      <c r="C439" s="910">
        <f t="shared" ref="C439:N439" si="174">+$P$439/12</f>
        <v>10336340.916666666</v>
      </c>
      <c r="D439" s="910">
        <f t="shared" si="174"/>
        <v>10336340.916666666</v>
      </c>
      <c r="E439" s="910">
        <f t="shared" si="174"/>
        <v>10336340.916666666</v>
      </c>
      <c r="F439" s="910">
        <f t="shared" si="174"/>
        <v>10336340.916666666</v>
      </c>
      <c r="G439" s="910">
        <f t="shared" si="174"/>
        <v>10336340.916666666</v>
      </c>
      <c r="H439" s="910">
        <f t="shared" si="174"/>
        <v>10336340.916666666</v>
      </c>
      <c r="I439" s="910">
        <f t="shared" si="174"/>
        <v>10336340.916666666</v>
      </c>
      <c r="J439" s="910">
        <f t="shared" si="174"/>
        <v>10336340.916666666</v>
      </c>
      <c r="K439" s="910">
        <f t="shared" si="174"/>
        <v>10336340.916666666</v>
      </c>
      <c r="L439" s="910">
        <f t="shared" si="174"/>
        <v>10336340.916666666</v>
      </c>
      <c r="M439" s="910">
        <f t="shared" si="174"/>
        <v>10336340.916666666</v>
      </c>
      <c r="N439" s="910">
        <f t="shared" si="174"/>
        <v>10336340.916666666</v>
      </c>
      <c r="O439" s="948">
        <f t="shared" si="172"/>
        <v>124036091.00000001</v>
      </c>
      <c r="P439" s="943">
        <f>+'26. mell. Őrszolgálat'!F36</f>
        <v>124036091</v>
      </c>
      <c r="Q439" s="907">
        <f t="shared" si="173"/>
        <v>0</v>
      </c>
      <c r="R439" s="896">
        <v>36</v>
      </c>
    </row>
    <row r="440" spans="1:18">
      <c r="A440" s="925" t="s">
        <v>29</v>
      </c>
      <c r="B440" s="936" t="s">
        <v>2850</v>
      </c>
      <c r="C440" s="917">
        <f t="shared" ref="C440:N440" si="175">SUM(C431:C439)</f>
        <v>47092269.25</v>
      </c>
      <c r="D440" s="917">
        <f t="shared" si="175"/>
        <v>10336340.916666666</v>
      </c>
      <c r="E440" s="917">
        <f t="shared" si="175"/>
        <v>10836340.916666666</v>
      </c>
      <c r="F440" s="917">
        <f t="shared" si="175"/>
        <v>47592269.25</v>
      </c>
      <c r="G440" s="917">
        <f t="shared" si="175"/>
        <v>10836340.916666666</v>
      </c>
      <c r="H440" s="917">
        <f t="shared" si="175"/>
        <v>10836340.916666666</v>
      </c>
      <c r="I440" s="917">
        <f t="shared" si="175"/>
        <v>10836340.916666666</v>
      </c>
      <c r="J440" s="917">
        <f t="shared" si="175"/>
        <v>10836340.916666666</v>
      </c>
      <c r="K440" s="917">
        <f t="shared" si="175"/>
        <v>47342269.25</v>
      </c>
      <c r="L440" s="917">
        <f t="shared" si="175"/>
        <v>10586340.916666666</v>
      </c>
      <c r="M440" s="917">
        <f t="shared" si="175"/>
        <v>10336340.916666666</v>
      </c>
      <c r="N440" s="917">
        <f t="shared" si="175"/>
        <v>10336340.916666666</v>
      </c>
      <c r="O440" s="950">
        <f t="shared" si="172"/>
        <v>237803875.99999994</v>
      </c>
      <c r="P440" s="943">
        <f>+'26. mell. Őrszolgálat'!F37</f>
        <v>237803876</v>
      </c>
      <c r="Q440" s="907">
        <f t="shared" si="173"/>
        <v>0</v>
      </c>
      <c r="R440" s="895">
        <v>37</v>
      </c>
    </row>
    <row r="441" spans="1:18">
      <c r="A441" s="925" t="s">
        <v>31</v>
      </c>
      <c r="B441" s="3833" t="s">
        <v>391</v>
      </c>
      <c r="C441" s="3833"/>
      <c r="D441" s="3833"/>
      <c r="E441" s="3833"/>
      <c r="F441" s="3833"/>
      <c r="G441" s="3833"/>
      <c r="H441" s="3833"/>
      <c r="I441" s="3833"/>
      <c r="J441" s="3833"/>
      <c r="K441" s="3833"/>
      <c r="L441" s="3833"/>
      <c r="M441" s="3833"/>
      <c r="N441" s="3833"/>
      <c r="O441" s="3833"/>
      <c r="P441" s="943"/>
      <c r="Q441" s="907">
        <f t="shared" si="173"/>
        <v>0</v>
      </c>
      <c r="R441" s="895"/>
    </row>
    <row r="442" spans="1:18">
      <c r="A442" s="937" t="s">
        <v>33</v>
      </c>
      <c r="B442" s="938" t="s">
        <v>9</v>
      </c>
      <c r="C442" s="910">
        <f t="shared" ref="C442:N442" si="176">+$P$442/12</f>
        <v>10180668.666666666</v>
      </c>
      <c r="D442" s="910">
        <f t="shared" si="176"/>
        <v>10180668.666666666</v>
      </c>
      <c r="E442" s="910">
        <f t="shared" si="176"/>
        <v>10180668.666666666</v>
      </c>
      <c r="F442" s="910">
        <f t="shared" si="176"/>
        <v>10180668.666666666</v>
      </c>
      <c r="G442" s="910">
        <f t="shared" si="176"/>
        <v>10180668.666666666</v>
      </c>
      <c r="H442" s="910">
        <f t="shared" si="176"/>
        <v>10180668.666666666</v>
      </c>
      <c r="I442" s="910">
        <f t="shared" si="176"/>
        <v>10180668.666666666</v>
      </c>
      <c r="J442" s="910">
        <f t="shared" si="176"/>
        <v>10180668.666666666</v>
      </c>
      <c r="K442" s="910">
        <f t="shared" si="176"/>
        <v>10180668.666666666</v>
      </c>
      <c r="L442" s="910">
        <f t="shared" si="176"/>
        <v>10180668.666666666</v>
      </c>
      <c r="M442" s="910">
        <f t="shared" si="176"/>
        <v>10180668.666666666</v>
      </c>
      <c r="N442" s="910">
        <f t="shared" si="176"/>
        <v>10180668.666666666</v>
      </c>
      <c r="O442" s="914">
        <f t="shared" ref="O442:O452" si="177">SUM(C442:N442)</f>
        <v>122168024.00000001</v>
      </c>
      <c r="P442" s="943">
        <f>+'26. mell. Őrszolgálat'!F42</f>
        <v>122168024</v>
      </c>
      <c r="Q442" s="907">
        <f t="shared" si="173"/>
        <v>0</v>
      </c>
      <c r="R442" s="896">
        <v>42</v>
      </c>
    </row>
    <row r="443" spans="1:18" ht="22.5">
      <c r="A443" s="930" t="s">
        <v>35</v>
      </c>
      <c r="B443" s="931" t="s">
        <v>8</v>
      </c>
      <c r="C443" s="910">
        <f t="shared" ref="C443:N443" si="178">+$P$443/12</f>
        <v>1447743.3333333333</v>
      </c>
      <c r="D443" s="910">
        <f t="shared" si="178"/>
        <v>1447743.3333333333</v>
      </c>
      <c r="E443" s="910">
        <f t="shared" si="178"/>
        <v>1447743.3333333333</v>
      </c>
      <c r="F443" s="910">
        <f t="shared" si="178"/>
        <v>1447743.3333333333</v>
      </c>
      <c r="G443" s="910">
        <f t="shared" si="178"/>
        <v>1447743.3333333333</v>
      </c>
      <c r="H443" s="910">
        <f t="shared" si="178"/>
        <v>1447743.3333333333</v>
      </c>
      <c r="I443" s="910">
        <f t="shared" si="178"/>
        <v>1447743.3333333333</v>
      </c>
      <c r="J443" s="910">
        <f t="shared" si="178"/>
        <v>1447743.3333333333</v>
      </c>
      <c r="K443" s="910">
        <f t="shared" si="178"/>
        <v>1447743.3333333333</v>
      </c>
      <c r="L443" s="910">
        <f t="shared" si="178"/>
        <v>1447743.3333333333</v>
      </c>
      <c r="M443" s="910">
        <f t="shared" si="178"/>
        <v>1447743.3333333333</v>
      </c>
      <c r="N443" s="910">
        <f t="shared" si="178"/>
        <v>1447743.3333333333</v>
      </c>
      <c r="O443" s="914">
        <f t="shared" si="177"/>
        <v>17372920.000000004</v>
      </c>
      <c r="P443" s="943">
        <f>+'26. mell. Őrszolgálat'!F43</f>
        <v>17372920</v>
      </c>
      <c r="Q443" s="907">
        <f t="shared" si="173"/>
        <v>0</v>
      </c>
      <c r="R443" s="896">
        <v>43</v>
      </c>
    </row>
    <row r="444" spans="1:18">
      <c r="A444" s="930" t="s">
        <v>37</v>
      </c>
      <c r="B444" s="933" t="s">
        <v>317</v>
      </c>
      <c r="C444" s="910">
        <f t="shared" ref="C444:N444" si="179">+$P$444/12</f>
        <v>8028012.416666667</v>
      </c>
      <c r="D444" s="910">
        <f t="shared" si="179"/>
        <v>8028012.416666667</v>
      </c>
      <c r="E444" s="910">
        <f t="shared" si="179"/>
        <v>8028012.416666667</v>
      </c>
      <c r="F444" s="910">
        <f t="shared" si="179"/>
        <v>8028012.416666667</v>
      </c>
      <c r="G444" s="910">
        <f t="shared" si="179"/>
        <v>8028012.416666667</v>
      </c>
      <c r="H444" s="910">
        <f t="shared" si="179"/>
        <v>8028012.416666667</v>
      </c>
      <c r="I444" s="910">
        <f t="shared" si="179"/>
        <v>8028012.416666667</v>
      </c>
      <c r="J444" s="910">
        <f t="shared" si="179"/>
        <v>8028012.416666667</v>
      </c>
      <c r="K444" s="910">
        <f t="shared" si="179"/>
        <v>8028012.416666667</v>
      </c>
      <c r="L444" s="910">
        <f t="shared" si="179"/>
        <v>8028012.416666667</v>
      </c>
      <c r="M444" s="910">
        <f t="shared" si="179"/>
        <v>8028012.416666667</v>
      </c>
      <c r="N444" s="910">
        <f t="shared" si="179"/>
        <v>8028012.416666667</v>
      </c>
      <c r="O444" s="911">
        <f t="shared" si="177"/>
        <v>96336149.000000015</v>
      </c>
      <c r="P444" s="943">
        <f>+'26. mell. Őrszolgálat'!F44</f>
        <v>96336149</v>
      </c>
      <c r="Q444" s="907">
        <f t="shared" si="173"/>
        <v>0</v>
      </c>
      <c r="R444" s="896">
        <v>44</v>
      </c>
    </row>
    <row r="445" spans="1:18">
      <c r="A445" s="930" t="s">
        <v>39</v>
      </c>
      <c r="B445" s="933" t="s">
        <v>318</v>
      </c>
      <c r="C445" s="910">
        <v>0</v>
      </c>
      <c r="D445" s="910">
        <v>0</v>
      </c>
      <c r="E445" s="910">
        <v>0</v>
      </c>
      <c r="F445" s="910">
        <v>0</v>
      </c>
      <c r="G445" s="910">
        <v>0</v>
      </c>
      <c r="H445" s="910">
        <v>0</v>
      </c>
      <c r="I445" s="910">
        <v>0</v>
      </c>
      <c r="J445" s="910">
        <v>0</v>
      </c>
      <c r="K445" s="910">
        <v>0</v>
      </c>
      <c r="L445" s="910">
        <v>0</v>
      </c>
      <c r="M445" s="910">
        <v>0</v>
      </c>
      <c r="N445" s="910">
        <v>0</v>
      </c>
      <c r="O445" s="911">
        <f t="shared" si="177"/>
        <v>0</v>
      </c>
      <c r="P445" s="943">
        <f>+'26. mell. Őrszolgálat'!F45</f>
        <v>0</v>
      </c>
      <c r="Q445" s="907">
        <f t="shared" si="173"/>
        <v>0</v>
      </c>
      <c r="R445" s="896">
        <v>45</v>
      </c>
    </row>
    <row r="446" spans="1:18">
      <c r="A446" s="930" t="s">
        <v>41</v>
      </c>
      <c r="B446" s="933" t="s">
        <v>2855</v>
      </c>
      <c r="C446" s="910">
        <v>0</v>
      </c>
      <c r="D446" s="910">
        <v>0</v>
      </c>
      <c r="E446" s="910">
        <v>0</v>
      </c>
      <c r="F446" s="910">
        <v>0</v>
      </c>
      <c r="G446" s="910">
        <v>0</v>
      </c>
      <c r="H446" s="910">
        <v>0</v>
      </c>
      <c r="I446" s="910">
        <v>0</v>
      </c>
      <c r="J446" s="910">
        <v>0</v>
      </c>
      <c r="K446" s="910">
        <v>0</v>
      </c>
      <c r="L446" s="910">
        <v>0</v>
      </c>
      <c r="M446" s="910">
        <v>0</v>
      </c>
      <c r="N446" s="910">
        <v>0</v>
      </c>
      <c r="O446" s="911">
        <f t="shared" si="177"/>
        <v>0</v>
      </c>
      <c r="P446" s="943">
        <f>+'26. mell. Őrszolgálat'!F46</f>
        <v>0</v>
      </c>
      <c r="Q446" s="907">
        <f t="shared" si="173"/>
        <v>0</v>
      </c>
      <c r="R446" s="896">
        <v>46</v>
      </c>
    </row>
    <row r="447" spans="1:18">
      <c r="A447" s="930" t="s">
        <v>314</v>
      </c>
      <c r="B447" s="933" t="s">
        <v>82</v>
      </c>
      <c r="C447" s="910">
        <v>0</v>
      </c>
      <c r="D447" s="910">
        <v>0</v>
      </c>
      <c r="E447" s="910">
        <v>0</v>
      </c>
      <c r="F447" s="910">
        <v>1926783</v>
      </c>
      <c r="G447" s="910">
        <v>0</v>
      </c>
      <c r="H447" s="910">
        <v>0</v>
      </c>
      <c r="I447" s="910">
        <v>0</v>
      </c>
      <c r="J447" s="910">
        <v>0</v>
      </c>
      <c r="K447" s="910">
        <v>0</v>
      </c>
      <c r="L447" s="910">
        <v>0</v>
      </c>
      <c r="M447" s="910">
        <v>0</v>
      </c>
      <c r="N447" s="910">
        <v>0</v>
      </c>
      <c r="O447" s="911">
        <f t="shared" si="177"/>
        <v>1926783</v>
      </c>
      <c r="P447" s="943">
        <f>+'26. mell. Őrszolgálat'!F48</f>
        <v>1926783</v>
      </c>
      <c r="Q447" s="907">
        <f t="shared" si="173"/>
        <v>0</v>
      </c>
      <c r="R447" s="896">
        <v>48</v>
      </c>
    </row>
    <row r="448" spans="1:18">
      <c r="A448" s="930" t="s">
        <v>402</v>
      </c>
      <c r="B448" s="931" t="s">
        <v>344</v>
      </c>
      <c r="C448" s="910">
        <v>0</v>
      </c>
      <c r="D448" s="910">
        <v>0</v>
      </c>
      <c r="E448" s="910">
        <v>0</v>
      </c>
      <c r="F448" s="910">
        <v>0</v>
      </c>
      <c r="G448" s="910">
        <v>0</v>
      </c>
      <c r="H448" s="910">
        <v>0</v>
      </c>
      <c r="I448" s="910">
        <v>0</v>
      </c>
      <c r="J448" s="910">
        <v>0</v>
      </c>
      <c r="K448" s="910">
        <v>0</v>
      </c>
      <c r="L448" s="910">
        <v>0</v>
      </c>
      <c r="M448" s="910">
        <v>0</v>
      </c>
      <c r="N448" s="910">
        <v>0</v>
      </c>
      <c r="O448" s="911">
        <f t="shared" si="177"/>
        <v>0</v>
      </c>
      <c r="P448" s="943">
        <f>+'26. mell. Őrszolgálat'!F49</f>
        <v>0</v>
      </c>
      <c r="Q448" s="907">
        <f t="shared" si="173"/>
        <v>0</v>
      </c>
      <c r="R448" s="896">
        <v>49</v>
      </c>
    </row>
    <row r="449" spans="1:18">
      <c r="A449" s="930" t="s">
        <v>404</v>
      </c>
      <c r="B449" s="933" t="s">
        <v>346</v>
      </c>
      <c r="C449" s="910">
        <v>0</v>
      </c>
      <c r="D449" s="910">
        <v>0</v>
      </c>
      <c r="E449" s="910">
        <v>0</v>
      </c>
      <c r="F449" s="910">
        <v>0</v>
      </c>
      <c r="G449" s="910">
        <v>0</v>
      </c>
      <c r="H449" s="910">
        <v>0</v>
      </c>
      <c r="I449" s="910">
        <v>0</v>
      </c>
      <c r="J449" s="910">
        <v>0</v>
      </c>
      <c r="K449" s="910">
        <v>0</v>
      </c>
      <c r="L449" s="910">
        <v>0</v>
      </c>
      <c r="M449" s="910">
        <v>0</v>
      </c>
      <c r="N449" s="910">
        <v>0</v>
      </c>
      <c r="O449" s="911">
        <f t="shared" si="177"/>
        <v>0</v>
      </c>
      <c r="P449" s="943">
        <f>+'26. mell. Őrszolgálat'!F50</f>
        <v>0</v>
      </c>
      <c r="Q449" s="907">
        <f t="shared" si="173"/>
        <v>0</v>
      </c>
      <c r="R449" s="896">
        <v>50</v>
      </c>
    </row>
    <row r="450" spans="1:18">
      <c r="A450" s="930" t="s">
        <v>407</v>
      </c>
      <c r="B450" s="933" t="s">
        <v>2851</v>
      </c>
      <c r="C450" s="934">
        <v>0</v>
      </c>
      <c r="D450" s="934">
        <v>0</v>
      </c>
      <c r="E450" s="934">
        <v>0</v>
      </c>
      <c r="F450" s="934">
        <v>0</v>
      </c>
      <c r="G450" s="934">
        <v>0</v>
      </c>
      <c r="H450" s="934">
        <v>0</v>
      </c>
      <c r="I450" s="934">
        <v>0</v>
      </c>
      <c r="J450" s="934">
        <v>0</v>
      </c>
      <c r="K450" s="934">
        <v>0</v>
      </c>
      <c r="L450" s="934">
        <v>0</v>
      </c>
      <c r="M450" s="934">
        <v>0</v>
      </c>
      <c r="N450" s="934">
        <v>0</v>
      </c>
      <c r="O450" s="935">
        <f t="shared" si="177"/>
        <v>0</v>
      </c>
      <c r="P450" s="943">
        <v>0</v>
      </c>
      <c r="Q450" s="907">
        <f t="shared" si="173"/>
        <v>0</v>
      </c>
      <c r="R450" s="896">
        <v>0</v>
      </c>
    </row>
    <row r="451" spans="1:18">
      <c r="A451" s="930" t="s">
        <v>409</v>
      </c>
      <c r="B451" s="933" t="s">
        <v>2697</v>
      </c>
      <c r="C451" s="934">
        <v>0</v>
      </c>
      <c r="D451" s="934">
        <v>0</v>
      </c>
      <c r="E451" s="934">
        <v>0</v>
      </c>
      <c r="F451" s="934">
        <v>0</v>
      </c>
      <c r="G451" s="934">
        <v>0</v>
      </c>
      <c r="H451" s="934">
        <v>0</v>
      </c>
      <c r="I451" s="934">
        <v>0</v>
      </c>
      <c r="J451" s="934">
        <v>0</v>
      </c>
      <c r="K451" s="934">
        <v>0</v>
      </c>
      <c r="L451" s="934">
        <v>0</v>
      </c>
      <c r="M451" s="934">
        <v>0</v>
      </c>
      <c r="N451" s="934">
        <v>0</v>
      </c>
      <c r="O451" s="935">
        <f t="shared" si="177"/>
        <v>0</v>
      </c>
      <c r="P451" s="943">
        <v>0</v>
      </c>
      <c r="Q451" s="907">
        <f t="shared" si="173"/>
        <v>0</v>
      </c>
      <c r="R451" s="896">
        <v>0</v>
      </c>
    </row>
    <row r="452" spans="1:18">
      <c r="A452" s="939" t="s">
        <v>410</v>
      </c>
      <c r="B452" s="936" t="s">
        <v>2852</v>
      </c>
      <c r="C452" s="917">
        <f t="shared" ref="C452:N452" si="180">SUM(C442:C451)</f>
        <v>19656424.416666668</v>
      </c>
      <c r="D452" s="917">
        <f t="shared" si="180"/>
        <v>19656424.416666668</v>
      </c>
      <c r="E452" s="917">
        <f t="shared" si="180"/>
        <v>19656424.416666668</v>
      </c>
      <c r="F452" s="917">
        <f t="shared" si="180"/>
        <v>21583207.416666668</v>
      </c>
      <c r="G452" s="917">
        <f t="shared" si="180"/>
        <v>19656424.416666668</v>
      </c>
      <c r="H452" s="917">
        <f t="shared" si="180"/>
        <v>19656424.416666668</v>
      </c>
      <c r="I452" s="917">
        <f t="shared" si="180"/>
        <v>19656424.416666668</v>
      </c>
      <c r="J452" s="917">
        <f t="shared" si="180"/>
        <v>19656424.416666668</v>
      </c>
      <c r="K452" s="917">
        <f t="shared" si="180"/>
        <v>19656424.416666668</v>
      </c>
      <c r="L452" s="917">
        <f t="shared" si="180"/>
        <v>19656424.416666668</v>
      </c>
      <c r="M452" s="917">
        <f t="shared" si="180"/>
        <v>19656424.416666668</v>
      </c>
      <c r="N452" s="917">
        <f t="shared" si="180"/>
        <v>19656424.416666668</v>
      </c>
      <c r="O452" s="918">
        <f t="shared" si="177"/>
        <v>237803875.99999997</v>
      </c>
      <c r="P452" s="943">
        <f>+'26. mell. Őrszolgálat'!F52</f>
        <v>237803876</v>
      </c>
      <c r="Q452" s="907">
        <f t="shared" si="173"/>
        <v>0</v>
      </c>
      <c r="R452" s="895">
        <v>52</v>
      </c>
    </row>
    <row r="453" spans="1:18">
      <c r="A453" s="939" t="s">
        <v>411</v>
      </c>
      <c r="B453" s="940" t="s">
        <v>2853</v>
      </c>
      <c r="C453" s="941">
        <f>C440-C452</f>
        <v>27435844.833333332</v>
      </c>
      <c r="D453" s="941">
        <f t="shared" ref="D453:N453" si="181">C453+D440-D452</f>
        <v>18115761.333333332</v>
      </c>
      <c r="E453" s="941">
        <f t="shared" si="181"/>
        <v>9295677.8333333321</v>
      </c>
      <c r="F453" s="941">
        <f t="shared" si="181"/>
        <v>35304739.666666657</v>
      </c>
      <c r="G453" s="941">
        <f t="shared" si="181"/>
        <v>26484656.166666653</v>
      </c>
      <c r="H453" s="941">
        <f t="shared" si="181"/>
        <v>17664572.666666653</v>
      </c>
      <c r="I453" s="941">
        <f t="shared" si="181"/>
        <v>8844489.166666653</v>
      </c>
      <c r="J453" s="941">
        <f t="shared" si="181"/>
        <v>24405.666666653007</v>
      </c>
      <c r="K453" s="941">
        <f t="shared" si="181"/>
        <v>27710250.499999989</v>
      </c>
      <c r="L453" s="941">
        <f t="shared" si="181"/>
        <v>18640166.999999989</v>
      </c>
      <c r="M453" s="941">
        <f t="shared" si="181"/>
        <v>9320083.4999999888</v>
      </c>
      <c r="N453" s="941">
        <f t="shared" si="181"/>
        <v>0</v>
      </c>
      <c r="O453" s="942">
        <f>O440-O452</f>
        <v>0</v>
      </c>
      <c r="Q453" s="907">
        <f t="shared" si="173"/>
        <v>0</v>
      </c>
      <c r="R453" s="943">
        <f>+P440-P452</f>
        <v>0</v>
      </c>
    </row>
    <row r="454" spans="1:18">
      <c r="Q454" s="907"/>
    </row>
    <row r="455" spans="1:18" ht="35.25" customHeight="1">
      <c r="A455" s="3834" t="s">
        <v>3787</v>
      </c>
      <c r="B455" s="3834"/>
      <c r="C455" s="3834"/>
      <c r="D455" s="3834"/>
      <c r="E455" s="3834"/>
      <c r="F455" s="3834"/>
      <c r="G455" s="3834"/>
      <c r="H455" s="3834"/>
      <c r="I455" s="3834"/>
      <c r="J455" s="3834"/>
      <c r="K455" s="3834"/>
      <c r="L455" s="3834"/>
      <c r="M455" s="3834"/>
      <c r="N455" s="3834"/>
      <c r="O455" s="3834"/>
      <c r="Q455" s="907"/>
    </row>
    <row r="456" spans="1:18">
      <c r="O456" s="924" t="s">
        <v>3300</v>
      </c>
      <c r="Q456" s="907"/>
    </row>
    <row r="457" spans="1:18" ht="24">
      <c r="A457" s="899" t="s">
        <v>2726</v>
      </c>
      <c r="B457" s="900" t="s">
        <v>136</v>
      </c>
      <c r="C457" s="900" t="s">
        <v>2837</v>
      </c>
      <c r="D457" s="900" t="s">
        <v>2838</v>
      </c>
      <c r="E457" s="900" t="s">
        <v>2839</v>
      </c>
      <c r="F457" s="900" t="s">
        <v>2840</v>
      </c>
      <c r="G457" s="900" t="s">
        <v>2841</v>
      </c>
      <c r="H457" s="900" t="s">
        <v>2842</v>
      </c>
      <c r="I457" s="900" t="s">
        <v>2843</v>
      </c>
      <c r="J457" s="900" t="s">
        <v>2844</v>
      </c>
      <c r="K457" s="900" t="s">
        <v>2845</v>
      </c>
      <c r="L457" s="900" t="s">
        <v>2846</v>
      </c>
      <c r="M457" s="900" t="s">
        <v>2847</v>
      </c>
      <c r="N457" s="900" t="s">
        <v>2848</v>
      </c>
      <c r="O457" s="901" t="s">
        <v>66</v>
      </c>
      <c r="Q457" s="907"/>
    </row>
    <row r="458" spans="1:18">
      <c r="A458" s="925" t="s">
        <v>6</v>
      </c>
      <c r="B458" s="3833" t="s">
        <v>390</v>
      </c>
      <c r="C458" s="3833"/>
      <c r="D458" s="3833"/>
      <c r="E458" s="3833"/>
      <c r="F458" s="3833"/>
      <c r="G458" s="3833"/>
      <c r="H458" s="3833"/>
      <c r="I458" s="3833"/>
      <c r="J458" s="3833"/>
      <c r="K458" s="3833"/>
      <c r="L458" s="3833"/>
      <c r="M458" s="3833"/>
      <c r="N458" s="3833"/>
      <c r="O458" s="3833"/>
      <c r="Q458" s="907"/>
    </row>
    <row r="459" spans="1:18" ht="22.5">
      <c r="A459" s="926" t="s">
        <v>12</v>
      </c>
      <c r="B459" s="927" t="s">
        <v>3385</v>
      </c>
      <c r="C459" s="928">
        <v>0</v>
      </c>
      <c r="D459" s="928">
        <v>0</v>
      </c>
      <c r="E459" s="928">
        <v>0</v>
      </c>
      <c r="F459" s="928">
        <v>0</v>
      </c>
      <c r="G459" s="928">
        <v>0</v>
      </c>
      <c r="H459" s="928">
        <v>0</v>
      </c>
      <c r="I459" s="928">
        <v>0</v>
      </c>
      <c r="J459" s="928">
        <v>0</v>
      </c>
      <c r="K459" s="928">
        <v>0</v>
      </c>
      <c r="L459" s="928">
        <v>0</v>
      </c>
      <c r="M459" s="928">
        <v>0</v>
      </c>
      <c r="N459" s="928">
        <v>0</v>
      </c>
      <c r="O459" s="929">
        <f t="shared" ref="O459:O468" si="182">SUM(C459:N459)</f>
        <v>0</v>
      </c>
      <c r="P459" s="923">
        <v>0</v>
      </c>
      <c r="Q459" s="907">
        <f t="shared" ref="Q459:Q481" si="183">O459-P459</f>
        <v>0</v>
      </c>
      <c r="R459" s="895">
        <v>0</v>
      </c>
    </row>
    <row r="460" spans="1:18">
      <c r="A460" s="930" t="s">
        <v>14</v>
      </c>
      <c r="B460" s="931" t="s">
        <v>3386</v>
      </c>
      <c r="C460" s="910">
        <v>0</v>
      </c>
      <c r="D460" s="910">
        <v>0</v>
      </c>
      <c r="E460" s="910">
        <v>0</v>
      </c>
      <c r="F460" s="910">
        <v>0</v>
      </c>
      <c r="G460" s="910">
        <v>0</v>
      </c>
      <c r="H460" s="910">
        <v>0</v>
      </c>
      <c r="I460" s="910">
        <v>0</v>
      </c>
      <c r="J460" s="910">
        <v>0</v>
      </c>
      <c r="K460" s="910">
        <v>0</v>
      </c>
      <c r="L460" s="910">
        <v>0</v>
      </c>
      <c r="M460" s="910">
        <v>0</v>
      </c>
      <c r="N460" s="910">
        <v>0</v>
      </c>
      <c r="O460" s="911">
        <f t="shared" si="182"/>
        <v>0</v>
      </c>
      <c r="P460" s="943">
        <f>+'27. mell. KHEK'!F23</f>
        <v>0</v>
      </c>
      <c r="Q460" s="907">
        <f t="shared" si="183"/>
        <v>0</v>
      </c>
      <c r="R460" s="896">
        <v>23</v>
      </c>
    </row>
    <row r="461" spans="1:18">
      <c r="A461" s="930" t="s">
        <v>15</v>
      </c>
      <c r="B461" s="932" t="s">
        <v>2849</v>
      </c>
      <c r="C461" s="913">
        <v>0</v>
      </c>
      <c r="D461" s="913">
        <v>0</v>
      </c>
      <c r="E461" s="913">
        <v>0</v>
      </c>
      <c r="F461" s="913">
        <v>0</v>
      </c>
      <c r="G461" s="913">
        <v>0</v>
      </c>
      <c r="H461" s="913">
        <v>0</v>
      </c>
      <c r="I461" s="913">
        <v>0</v>
      </c>
      <c r="J461" s="913">
        <v>0</v>
      </c>
      <c r="K461" s="913">
        <v>0</v>
      </c>
      <c r="L461" s="913">
        <v>0</v>
      </c>
      <c r="M461" s="913">
        <v>0</v>
      </c>
      <c r="N461" s="913">
        <v>0</v>
      </c>
      <c r="O461" s="914">
        <f t="shared" si="182"/>
        <v>0</v>
      </c>
      <c r="P461" s="943">
        <f>+'27. mell. KHEK'!F27</f>
        <v>0</v>
      </c>
      <c r="Q461" s="907">
        <f t="shared" si="183"/>
        <v>0</v>
      </c>
      <c r="R461" s="896">
        <v>27</v>
      </c>
    </row>
    <row r="462" spans="1:18">
      <c r="A462" s="930" t="s">
        <v>17</v>
      </c>
      <c r="B462" s="933" t="s">
        <v>393</v>
      </c>
      <c r="C462" s="934">
        <v>0</v>
      </c>
      <c r="D462" s="934">
        <v>0</v>
      </c>
      <c r="E462" s="934">
        <v>0</v>
      </c>
      <c r="F462" s="934">
        <v>0</v>
      </c>
      <c r="G462" s="934">
        <v>0</v>
      </c>
      <c r="H462" s="934">
        <v>0</v>
      </c>
      <c r="I462" s="934">
        <v>0</v>
      </c>
      <c r="J462" s="934">
        <v>0</v>
      </c>
      <c r="K462" s="934">
        <v>0</v>
      </c>
      <c r="L462" s="934">
        <v>0</v>
      </c>
      <c r="M462" s="934">
        <v>0</v>
      </c>
      <c r="N462" s="934">
        <v>0</v>
      </c>
      <c r="O462" s="935">
        <f t="shared" si="182"/>
        <v>0</v>
      </c>
      <c r="P462" s="943">
        <f>+'27. mell. KHEK'!F31</f>
        <v>0</v>
      </c>
      <c r="Q462" s="907">
        <f t="shared" si="183"/>
        <v>0</v>
      </c>
      <c r="R462" s="896">
        <v>31</v>
      </c>
    </row>
    <row r="463" spans="1:18">
      <c r="A463" s="930" t="s">
        <v>19</v>
      </c>
      <c r="B463" s="933" t="s">
        <v>149</v>
      </c>
      <c r="C463" s="910">
        <f t="shared" ref="C463:N463" si="184">+$P$463/12</f>
        <v>918971.66666666663</v>
      </c>
      <c r="D463" s="910">
        <f t="shared" si="184"/>
        <v>918971.66666666663</v>
      </c>
      <c r="E463" s="910">
        <f t="shared" si="184"/>
        <v>918971.66666666663</v>
      </c>
      <c r="F463" s="910">
        <f t="shared" si="184"/>
        <v>918971.66666666663</v>
      </c>
      <c r="G463" s="910">
        <f t="shared" si="184"/>
        <v>918971.66666666663</v>
      </c>
      <c r="H463" s="910">
        <f t="shared" si="184"/>
        <v>918971.66666666663</v>
      </c>
      <c r="I463" s="910">
        <f t="shared" si="184"/>
        <v>918971.66666666663</v>
      </c>
      <c r="J463" s="910">
        <f t="shared" si="184"/>
        <v>918971.66666666663</v>
      </c>
      <c r="K463" s="910">
        <f t="shared" si="184"/>
        <v>918971.66666666663</v>
      </c>
      <c r="L463" s="910">
        <f t="shared" si="184"/>
        <v>918971.66666666663</v>
      </c>
      <c r="M463" s="910">
        <f t="shared" si="184"/>
        <v>918971.66666666663</v>
      </c>
      <c r="N463" s="910">
        <f t="shared" si="184"/>
        <v>918971.66666666663</v>
      </c>
      <c r="O463" s="911">
        <f t="shared" si="182"/>
        <v>11027660</v>
      </c>
      <c r="P463" s="943">
        <f>+'27. mell. KHEK'!F8</f>
        <v>11027660</v>
      </c>
      <c r="Q463" s="907">
        <f t="shared" si="183"/>
        <v>0</v>
      </c>
      <c r="R463" s="896">
        <v>8</v>
      </c>
    </row>
    <row r="464" spans="1:18">
      <c r="A464" s="930" t="s">
        <v>21</v>
      </c>
      <c r="B464" s="933" t="s">
        <v>431</v>
      </c>
      <c r="C464" s="910">
        <v>0</v>
      </c>
      <c r="D464" s="910">
        <v>0</v>
      </c>
      <c r="E464" s="910">
        <v>0</v>
      </c>
      <c r="F464" s="910">
        <v>0</v>
      </c>
      <c r="G464" s="910">
        <v>0</v>
      </c>
      <c r="H464" s="910">
        <v>0</v>
      </c>
      <c r="I464" s="910">
        <v>0</v>
      </c>
      <c r="J464" s="910">
        <v>0</v>
      </c>
      <c r="K464" s="910">
        <v>0</v>
      </c>
      <c r="L464" s="910">
        <v>0</v>
      </c>
      <c r="M464" s="910">
        <v>0</v>
      </c>
      <c r="N464" s="910">
        <v>0</v>
      </c>
      <c r="O464" s="911">
        <f t="shared" si="182"/>
        <v>0</v>
      </c>
      <c r="P464" s="943">
        <f>+'27. mell. KHEK'!F20</f>
        <v>0</v>
      </c>
      <c r="Q464" s="907">
        <f t="shared" si="183"/>
        <v>0</v>
      </c>
      <c r="R464" s="896">
        <v>20</v>
      </c>
    </row>
    <row r="465" spans="1:18">
      <c r="A465" s="930" t="s">
        <v>23</v>
      </c>
      <c r="B465" s="933" t="s">
        <v>153</v>
      </c>
      <c r="C465" s="910">
        <v>0</v>
      </c>
      <c r="D465" s="910">
        <v>0</v>
      </c>
      <c r="E465" s="910">
        <v>0</v>
      </c>
      <c r="F465" s="910">
        <v>0</v>
      </c>
      <c r="G465" s="910">
        <v>0</v>
      </c>
      <c r="H465" s="910">
        <v>0</v>
      </c>
      <c r="I465" s="910">
        <v>0</v>
      </c>
      <c r="J465" s="910">
        <v>0</v>
      </c>
      <c r="K465" s="910">
        <v>0</v>
      </c>
      <c r="L465" s="910">
        <v>0</v>
      </c>
      <c r="M465" s="910">
        <v>0</v>
      </c>
      <c r="N465" s="910">
        <v>0</v>
      </c>
      <c r="O465" s="911">
        <f t="shared" si="182"/>
        <v>0</v>
      </c>
      <c r="P465" s="943">
        <f>+'27. mell. KHEK'!F29</f>
        <v>0</v>
      </c>
      <c r="Q465" s="907">
        <f t="shared" si="183"/>
        <v>0</v>
      </c>
      <c r="R465" s="896">
        <v>29</v>
      </c>
    </row>
    <row r="466" spans="1:18">
      <c r="A466" s="930" t="s">
        <v>25</v>
      </c>
      <c r="B466" s="931" t="s">
        <v>1281</v>
      </c>
      <c r="C466" s="910">
        <v>0</v>
      </c>
      <c r="D466" s="910">
        <v>0</v>
      </c>
      <c r="E466" s="910">
        <v>0</v>
      </c>
      <c r="F466" s="910">
        <v>0</v>
      </c>
      <c r="G466" s="910">
        <v>0</v>
      </c>
      <c r="H466" s="910">
        <v>0</v>
      </c>
      <c r="I466" s="910">
        <v>0</v>
      </c>
      <c r="J466" s="910">
        <v>0</v>
      </c>
      <c r="K466" s="910">
        <v>0</v>
      </c>
      <c r="L466" s="910">
        <v>0</v>
      </c>
      <c r="M466" s="910">
        <v>0</v>
      </c>
      <c r="N466" s="910">
        <v>0</v>
      </c>
      <c r="O466" s="911">
        <f t="shared" si="182"/>
        <v>0</v>
      </c>
      <c r="P466" s="943">
        <f>+'27. mell. KHEK'!F30</f>
        <v>0</v>
      </c>
      <c r="Q466" s="907">
        <f t="shared" si="183"/>
        <v>0</v>
      </c>
      <c r="R466" s="896">
        <v>30</v>
      </c>
    </row>
    <row r="467" spans="1:18">
      <c r="A467" s="930" t="s">
        <v>27</v>
      </c>
      <c r="B467" s="933" t="s">
        <v>1257</v>
      </c>
      <c r="C467" s="910">
        <f>+$P$467/12</f>
        <v>8137785.75</v>
      </c>
      <c r="D467" s="910">
        <f>+$P$467/12+1000</f>
        <v>8138785.75</v>
      </c>
      <c r="E467" s="910">
        <f>+$P$467/12+500</f>
        <v>8138285.75</v>
      </c>
      <c r="F467" s="910">
        <f t="shared" ref="F467:M467" si="185">+$P$467/12</f>
        <v>8137785.75</v>
      </c>
      <c r="G467" s="910">
        <f t="shared" si="185"/>
        <v>8137785.75</v>
      </c>
      <c r="H467" s="910">
        <f t="shared" si="185"/>
        <v>8137785.75</v>
      </c>
      <c r="I467" s="910">
        <f t="shared" si="185"/>
        <v>8137785.75</v>
      </c>
      <c r="J467" s="910">
        <f t="shared" si="185"/>
        <v>8137785.75</v>
      </c>
      <c r="K467" s="910">
        <f t="shared" si="185"/>
        <v>8137785.75</v>
      </c>
      <c r="L467" s="910">
        <f t="shared" si="185"/>
        <v>8137785.75</v>
      </c>
      <c r="M467" s="910">
        <f t="shared" si="185"/>
        <v>8137785.75</v>
      </c>
      <c r="N467" s="910">
        <f>+$P$467/12-1500</f>
        <v>8136285.75</v>
      </c>
      <c r="O467" s="948">
        <f t="shared" si="182"/>
        <v>97653429</v>
      </c>
      <c r="P467" s="943">
        <f>+'27. mell. KHEK'!F36</f>
        <v>97653429</v>
      </c>
      <c r="Q467" s="907">
        <f t="shared" si="183"/>
        <v>0</v>
      </c>
      <c r="R467" s="896">
        <v>36</v>
      </c>
    </row>
    <row r="468" spans="1:18">
      <c r="A468" s="925" t="s">
        <v>29</v>
      </c>
      <c r="B468" s="936" t="s">
        <v>2850</v>
      </c>
      <c r="C468" s="917">
        <f t="shared" ref="C468:N468" si="186">SUM(C459:C467)</f>
        <v>9056757.416666666</v>
      </c>
      <c r="D468" s="917">
        <f t="shared" si="186"/>
        <v>9057757.416666666</v>
      </c>
      <c r="E468" s="917">
        <f t="shared" si="186"/>
        <v>9057257.416666666</v>
      </c>
      <c r="F468" s="917">
        <f t="shared" si="186"/>
        <v>9056757.416666666</v>
      </c>
      <c r="G468" s="917">
        <f t="shared" si="186"/>
        <v>9056757.416666666</v>
      </c>
      <c r="H468" s="917">
        <f t="shared" si="186"/>
        <v>9056757.416666666</v>
      </c>
      <c r="I468" s="917">
        <f t="shared" si="186"/>
        <v>9056757.416666666</v>
      </c>
      <c r="J468" s="917">
        <f t="shared" si="186"/>
        <v>9056757.416666666</v>
      </c>
      <c r="K468" s="917">
        <f t="shared" si="186"/>
        <v>9056757.416666666</v>
      </c>
      <c r="L468" s="917">
        <f t="shared" si="186"/>
        <v>9056757.416666666</v>
      </c>
      <c r="M468" s="917">
        <f t="shared" si="186"/>
        <v>9056757.416666666</v>
      </c>
      <c r="N468" s="949">
        <f t="shared" si="186"/>
        <v>9055257.416666666</v>
      </c>
      <c r="O468" s="950">
        <f t="shared" si="182"/>
        <v>108681089.00000001</v>
      </c>
      <c r="P468" s="943">
        <f>+'27. mell. KHEK'!F37</f>
        <v>108681089</v>
      </c>
      <c r="Q468" s="907">
        <f t="shared" si="183"/>
        <v>0</v>
      </c>
      <c r="R468" s="895">
        <v>37</v>
      </c>
    </row>
    <row r="469" spans="1:18">
      <c r="A469" s="925" t="s">
        <v>31</v>
      </c>
      <c r="B469" s="3833" t="s">
        <v>391</v>
      </c>
      <c r="C469" s="3833"/>
      <c r="D469" s="3833"/>
      <c r="E469" s="3833"/>
      <c r="F469" s="3833"/>
      <c r="G469" s="3833"/>
      <c r="H469" s="3833"/>
      <c r="I469" s="3833"/>
      <c r="J469" s="3833"/>
      <c r="K469" s="3833"/>
      <c r="L469" s="3833"/>
      <c r="M469" s="3833"/>
      <c r="N469" s="3833"/>
      <c r="O469" s="3833"/>
      <c r="P469" s="943"/>
      <c r="Q469" s="907">
        <f t="shared" si="183"/>
        <v>0</v>
      </c>
      <c r="R469" s="895"/>
    </row>
    <row r="470" spans="1:18">
      <c r="A470" s="937" t="s">
        <v>33</v>
      </c>
      <c r="B470" s="938" t="s">
        <v>9</v>
      </c>
      <c r="C470" s="910">
        <f t="shared" ref="C470:N470" si="187">+$P$470/12</f>
        <v>5094315.416666667</v>
      </c>
      <c r="D470" s="910">
        <f t="shared" si="187"/>
        <v>5094315.416666667</v>
      </c>
      <c r="E470" s="910">
        <f t="shared" si="187"/>
        <v>5094315.416666667</v>
      </c>
      <c r="F470" s="910">
        <f t="shared" si="187"/>
        <v>5094315.416666667</v>
      </c>
      <c r="G470" s="910">
        <f t="shared" si="187"/>
        <v>5094315.416666667</v>
      </c>
      <c r="H470" s="910">
        <f t="shared" si="187"/>
        <v>5094315.416666667</v>
      </c>
      <c r="I470" s="910">
        <f t="shared" si="187"/>
        <v>5094315.416666667</v>
      </c>
      <c r="J470" s="910">
        <f t="shared" si="187"/>
        <v>5094315.416666667</v>
      </c>
      <c r="K470" s="910">
        <f t="shared" si="187"/>
        <v>5094315.416666667</v>
      </c>
      <c r="L470" s="910">
        <f t="shared" si="187"/>
        <v>5094315.416666667</v>
      </c>
      <c r="M470" s="910">
        <f t="shared" si="187"/>
        <v>5094315.416666667</v>
      </c>
      <c r="N470" s="910">
        <f t="shared" si="187"/>
        <v>5094315.416666667</v>
      </c>
      <c r="O470" s="914">
        <f t="shared" ref="O470:O480" si="188">SUM(C470:N470)</f>
        <v>61131784.999999993</v>
      </c>
      <c r="P470" s="943">
        <f>+'27. mell. KHEK'!F42</f>
        <v>61131785</v>
      </c>
      <c r="Q470" s="907">
        <f t="shared" si="183"/>
        <v>0</v>
      </c>
      <c r="R470" s="896">
        <v>42</v>
      </c>
    </row>
    <row r="471" spans="1:18" ht="22.5">
      <c r="A471" s="930" t="s">
        <v>35</v>
      </c>
      <c r="B471" s="931" t="s">
        <v>8</v>
      </c>
      <c r="C471" s="910">
        <f t="shared" ref="C471:N471" si="189">+$P$471/12</f>
        <v>713478</v>
      </c>
      <c r="D471" s="910">
        <f t="shared" si="189"/>
        <v>713478</v>
      </c>
      <c r="E471" s="910">
        <f t="shared" si="189"/>
        <v>713478</v>
      </c>
      <c r="F471" s="910">
        <f t="shared" si="189"/>
        <v>713478</v>
      </c>
      <c r="G471" s="910">
        <f t="shared" si="189"/>
        <v>713478</v>
      </c>
      <c r="H471" s="910">
        <f t="shared" si="189"/>
        <v>713478</v>
      </c>
      <c r="I471" s="910">
        <f t="shared" si="189"/>
        <v>713478</v>
      </c>
      <c r="J471" s="910">
        <f t="shared" si="189"/>
        <v>713478</v>
      </c>
      <c r="K471" s="910">
        <f t="shared" si="189"/>
        <v>713478</v>
      </c>
      <c r="L471" s="910">
        <f t="shared" si="189"/>
        <v>713478</v>
      </c>
      <c r="M471" s="910">
        <f t="shared" si="189"/>
        <v>713478</v>
      </c>
      <c r="N471" s="910">
        <f t="shared" si="189"/>
        <v>713478</v>
      </c>
      <c r="O471" s="914">
        <f t="shared" si="188"/>
        <v>8561736</v>
      </c>
      <c r="P471" s="943">
        <f>+'27. mell. KHEK'!F43</f>
        <v>8561736</v>
      </c>
      <c r="Q471" s="907">
        <f t="shared" si="183"/>
        <v>0</v>
      </c>
      <c r="R471" s="896">
        <v>43</v>
      </c>
    </row>
    <row r="472" spans="1:18">
      <c r="A472" s="930" t="s">
        <v>37</v>
      </c>
      <c r="B472" s="933" t="s">
        <v>317</v>
      </c>
      <c r="C472" s="910">
        <v>1000000</v>
      </c>
      <c r="D472" s="910">
        <v>1000000</v>
      </c>
      <c r="E472" s="910">
        <v>2000000</v>
      </c>
      <c r="F472" s="910">
        <f>+$P$472/12</f>
        <v>3171870.5</v>
      </c>
      <c r="G472" s="910">
        <f>+$P$472/12</f>
        <v>3171870.5</v>
      </c>
      <c r="H472" s="910">
        <v>4000000</v>
      </c>
      <c r="I472" s="910">
        <v>4000000</v>
      </c>
      <c r="J472" s="910">
        <v>4318705</v>
      </c>
      <c r="K472" s="910">
        <v>4000000</v>
      </c>
      <c r="L472" s="910">
        <v>3800000</v>
      </c>
      <c r="M472" s="910">
        <v>3800000</v>
      </c>
      <c r="N472" s="910">
        <v>3800000</v>
      </c>
      <c r="O472" s="911">
        <f t="shared" si="188"/>
        <v>38062446</v>
      </c>
      <c r="P472" s="943">
        <f>+'27. mell. KHEK'!F44</f>
        <v>38062446</v>
      </c>
      <c r="Q472" s="907">
        <f t="shared" si="183"/>
        <v>0</v>
      </c>
      <c r="R472" s="896">
        <v>44</v>
      </c>
    </row>
    <row r="473" spans="1:18">
      <c r="A473" s="930" t="s">
        <v>39</v>
      </c>
      <c r="B473" s="933" t="s">
        <v>318</v>
      </c>
      <c r="C473" s="910">
        <v>0</v>
      </c>
      <c r="D473" s="910">
        <v>0</v>
      </c>
      <c r="E473" s="910">
        <v>0</v>
      </c>
      <c r="F473" s="910">
        <v>0</v>
      </c>
      <c r="G473" s="910">
        <v>0</v>
      </c>
      <c r="H473" s="910">
        <v>0</v>
      </c>
      <c r="I473" s="910">
        <v>0</v>
      </c>
      <c r="J473" s="910">
        <v>0</v>
      </c>
      <c r="K473" s="910">
        <v>0</v>
      </c>
      <c r="L473" s="910">
        <v>0</v>
      </c>
      <c r="M473" s="910">
        <v>0</v>
      </c>
      <c r="N473" s="910">
        <v>0</v>
      </c>
      <c r="O473" s="911">
        <f t="shared" si="188"/>
        <v>0</v>
      </c>
      <c r="P473" s="943">
        <f>+'27. mell. KHEK'!F45</f>
        <v>0</v>
      </c>
      <c r="Q473" s="907">
        <f t="shared" si="183"/>
        <v>0</v>
      </c>
      <c r="R473" s="896">
        <v>45</v>
      </c>
    </row>
    <row r="474" spans="1:18">
      <c r="A474" s="930" t="s">
        <v>41</v>
      </c>
      <c r="B474" s="933" t="s">
        <v>2855</v>
      </c>
      <c r="C474" s="910">
        <v>0</v>
      </c>
      <c r="D474" s="910">
        <v>0</v>
      </c>
      <c r="E474" s="910">
        <v>0</v>
      </c>
      <c r="F474" s="910">
        <v>0</v>
      </c>
      <c r="G474" s="910">
        <v>0</v>
      </c>
      <c r="H474" s="910">
        <v>0</v>
      </c>
      <c r="I474" s="910">
        <v>0</v>
      </c>
      <c r="J474" s="910">
        <v>0</v>
      </c>
      <c r="K474" s="910">
        <v>0</v>
      </c>
      <c r="L474" s="910">
        <v>0</v>
      </c>
      <c r="M474" s="910">
        <v>0</v>
      </c>
      <c r="N474" s="910">
        <v>0</v>
      </c>
      <c r="O474" s="911">
        <f t="shared" si="188"/>
        <v>0</v>
      </c>
      <c r="P474" s="943">
        <f>+'27. mell. KHEK'!F46</f>
        <v>0</v>
      </c>
      <c r="Q474" s="907">
        <f t="shared" si="183"/>
        <v>0</v>
      </c>
      <c r="R474" s="896">
        <v>46</v>
      </c>
    </row>
    <row r="475" spans="1:18">
      <c r="A475" s="930" t="s">
        <v>314</v>
      </c>
      <c r="B475" s="933" t="s">
        <v>82</v>
      </c>
      <c r="C475" s="910">
        <v>0</v>
      </c>
      <c r="D475" s="910">
        <v>0</v>
      </c>
      <c r="E475" s="910">
        <v>925122</v>
      </c>
      <c r="F475" s="910">
        <v>0</v>
      </c>
      <c r="G475" s="910">
        <v>0</v>
      </c>
      <c r="H475" s="910">
        <v>0</v>
      </c>
      <c r="I475" s="910">
        <v>0</v>
      </c>
      <c r="J475" s="910">
        <v>0</v>
      </c>
      <c r="K475" s="910">
        <v>0</v>
      </c>
      <c r="L475" s="910">
        <v>0</v>
      </c>
      <c r="M475" s="910">
        <v>0</v>
      </c>
      <c r="N475" s="910">
        <v>0</v>
      </c>
      <c r="O475" s="911">
        <f t="shared" si="188"/>
        <v>925122</v>
      </c>
      <c r="P475" s="943">
        <f>+'27. mell. KHEK'!F48</f>
        <v>925122</v>
      </c>
      <c r="Q475" s="907">
        <f t="shared" si="183"/>
        <v>0</v>
      </c>
      <c r="R475" s="896">
        <v>48</v>
      </c>
    </row>
    <row r="476" spans="1:18">
      <c r="A476" s="930" t="s">
        <v>402</v>
      </c>
      <c r="B476" s="931" t="s">
        <v>344</v>
      </c>
      <c r="C476" s="910">
        <v>0</v>
      </c>
      <c r="D476" s="910">
        <v>0</v>
      </c>
      <c r="E476" s="910">
        <v>0</v>
      </c>
      <c r="F476" s="910">
        <v>0</v>
      </c>
      <c r="G476" s="910">
        <v>0</v>
      </c>
      <c r="H476" s="910">
        <v>0</v>
      </c>
      <c r="I476" s="910">
        <v>0</v>
      </c>
      <c r="J476" s="910">
        <v>0</v>
      </c>
      <c r="K476" s="910">
        <v>0</v>
      </c>
      <c r="L476" s="910">
        <v>0</v>
      </c>
      <c r="M476" s="910">
        <v>0</v>
      </c>
      <c r="N476" s="910">
        <v>0</v>
      </c>
      <c r="O476" s="911">
        <f t="shared" si="188"/>
        <v>0</v>
      </c>
      <c r="P476" s="943">
        <f>+'27. mell. KHEK'!F49</f>
        <v>0</v>
      </c>
      <c r="Q476" s="907">
        <f t="shared" si="183"/>
        <v>0</v>
      </c>
      <c r="R476" s="896">
        <v>49</v>
      </c>
    </row>
    <row r="477" spans="1:18">
      <c r="A477" s="930" t="s">
        <v>404</v>
      </c>
      <c r="B477" s="933" t="s">
        <v>346</v>
      </c>
      <c r="C477" s="910">
        <v>0</v>
      </c>
      <c r="D477" s="910">
        <v>0</v>
      </c>
      <c r="E477" s="910">
        <v>0</v>
      </c>
      <c r="F477" s="910">
        <v>0</v>
      </c>
      <c r="G477" s="910">
        <v>0</v>
      </c>
      <c r="H477" s="910">
        <v>0</v>
      </c>
      <c r="I477" s="910">
        <v>0</v>
      </c>
      <c r="J477" s="910">
        <v>0</v>
      </c>
      <c r="K477" s="910">
        <v>0</v>
      </c>
      <c r="L477" s="910">
        <v>0</v>
      </c>
      <c r="M477" s="910">
        <v>0</v>
      </c>
      <c r="N477" s="910">
        <v>0</v>
      </c>
      <c r="O477" s="911">
        <f t="shared" si="188"/>
        <v>0</v>
      </c>
      <c r="P477" s="943">
        <f>+'27. mell. KHEK'!F50</f>
        <v>0</v>
      </c>
      <c r="Q477" s="907">
        <f t="shared" si="183"/>
        <v>0</v>
      </c>
      <c r="R477" s="896">
        <v>50</v>
      </c>
    </row>
    <row r="478" spans="1:18">
      <c r="A478" s="930" t="s">
        <v>407</v>
      </c>
      <c r="B478" s="933" t="s">
        <v>2851</v>
      </c>
      <c r="C478" s="934">
        <v>0</v>
      </c>
      <c r="D478" s="934">
        <v>0</v>
      </c>
      <c r="E478" s="934">
        <v>0</v>
      </c>
      <c r="F478" s="934">
        <v>0</v>
      </c>
      <c r="G478" s="934">
        <v>0</v>
      </c>
      <c r="H478" s="934">
        <v>0</v>
      </c>
      <c r="I478" s="934">
        <v>0</v>
      </c>
      <c r="J478" s="934">
        <v>0</v>
      </c>
      <c r="K478" s="934">
        <v>0</v>
      </c>
      <c r="L478" s="934">
        <v>0</v>
      </c>
      <c r="M478" s="934">
        <v>0</v>
      </c>
      <c r="N478" s="934">
        <v>0</v>
      </c>
      <c r="O478" s="935">
        <f t="shared" si="188"/>
        <v>0</v>
      </c>
      <c r="P478" s="943">
        <v>0</v>
      </c>
      <c r="Q478" s="907">
        <f t="shared" si="183"/>
        <v>0</v>
      </c>
      <c r="R478" s="896">
        <v>0</v>
      </c>
    </row>
    <row r="479" spans="1:18">
      <c r="A479" s="930" t="s">
        <v>409</v>
      </c>
      <c r="B479" s="933" t="s">
        <v>2697</v>
      </c>
      <c r="C479" s="934">
        <v>0</v>
      </c>
      <c r="D479" s="934">
        <v>0</v>
      </c>
      <c r="E479" s="934">
        <v>0</v>
      </c>
      <c r="F479" s="934">
        <v>0</v>
      </c>
      <c r="G479" s="934">
        <v>0</v>
      </c>
      <c r="H479" s="934">
        <v>0</v>
      </c>
      <c r="I479" s="934">
        <v>0</v>
      </c>
      <c r="J479" s="934">
        <v>0</v>
      </c>
      <c r="K479" s="934">
        <v>0</v>
      </c>
      <c r="L479" s="934">
        <v>0</v>
      </c>
      <c r="M479" s="934">
        <v>0</v>
      </c>
      <c r="N479" s="934">
        <v>0</v>
      </c>
      <c r="O479" s="935">
        <f t="shared" si="188"/>
        <v>0</v>
      </c>
      <c r="P479" s="943">
        <v>0</v>
      </c>
      <c r="Q479" s="907">
        <f t="shared" si="183"/>
        <v>0</v>
      </c>
      <c r="R479" s="896">
        <v>0</v>
      </c>
    </row>
    <row r="480" spans="1:18" ht="16.5" thickBot="1">
      <c r="A480" s="939" t="s">
        <v>410</v>
      </c>
      <c r="B480" s="936" t="s">
        <v>2852</v>
      </c>
      <c r="C480" s="917">
        <f t="shared" ref="C480:N480" si="190">SUM(C470:C479)</f>
        <v>6807793.416666667</v>
      </c>
      <c r="D480" s="917">
        <f t="shared" si="190"/>
        <v>6807793.416666667</v>
      </c>
      <c r="E480" s="917">
        <f t="shared" si="190"/>
        <v>8732915.4166666679</v>
      </c>
      <c r="F480" s="917">
        <f t="shared" si="190"/>
        <v>8979663.9166666679</v>
      </c>
      <c r="G480" s="917">
        <f t="shared" si="190"/>
        <v>8979663.9166666679</v>
      </c>
      <c r="H480" s="917">
        <f t="shared" si="190"/>
        <v>9807793.4166666679</v>
      </c>
      <c r="I480" s="917">
        <f t="shared" si="190"/>
        <v>9807793.4166666679</v>
      </c>
      <c r="J480" s="917">
        <f t="shared" si="190"/>
        <v>10126498.416666668</v>
      </c>
      <c r="K480" s="917">
        <f t="shared" si="190"/>
        <v>9807793.4166666679</v>
      </c>
      <c r="L480" s="917">
        <f t="shared" si="190"/>
        <v>9607793.4166666679</v>
      </c>
      <c r="M480" s="917">
        <f t="shared" si="190"/>
        <v>9607793.4166666679</v>
      </c>
      <c r="N480" s="917">
        <f t="shared" si="190"/>
        <v>9607793.4166666679</v>
      </c>
      <c r="O480" s="918">
        <f t="shared" si="188"/>
        <v>108681089.00000003</v>
      </c>
      <c r="P480" s="943">
        <f>+'27. mell. KHEK'!F52</f>
        <v>108681089</v>
      </c>
      <c r="Q480" s="907">
        <f t="shared" si="183"/>
        <v>0</v>
      </c>
      <c r="R480" s="895">
        <v>52</v>
      </c>
    </row>
    <row r="481" spans="1:18" ht="16.5" thickBot="1">
      <c r="A481" s="939" t="s">
        <v>411</v>
      </c>
      <c r="B481" s="940" t="s">
        <v>2853</v>
      </c>
      <c r="C481" s="941">
        <f>C468-C480</f>
        <v>2248963.9999999991</v>
      </c>
      <c r="D481" s="941">
        <f t="shared" ref="D481:N481" si="191">C481+D468-D480</f>
        <v>4498927.9999999972</v>
      </c>
      <c r="E481" s="941">
        <f t="shared" si="191"/>
        <v>4823269.9999999963</v>
      </c>
      <c r="F481" s="941">
        <f t="shared" si="191"/>
        <v>4900363.4999999944</v>
      </c>
      <c r="G481" s="941">
        <f t="shared" si="191"/>
        <v>4977456.9999999925</v>
      </c>
      <c r="H481" s="941">
        <f t="shared" si="191"/>
        <v>4226420.9999999907</v>
      </c>
      <c r="I481" s="941">
        <f t="shared" si="191"/>
        <v>3475384.9999999888</v>
      </c>
      <c r="J481" s="941">
        <f t="shared" si="191"/>
        <v>2405643.999999987</v>
      </c>
      <c r="K481" s="941">
        <f t="shared" si="191"/>
        <v>1654607.9999999851</v>
      </c>
      <c r="L481" s="941">
        <f t="shared" si="191"/>
        <v>1103571.9999999832</v>
      </c>
      <c r="M481" s="941">
        <f t="shared" si="191"/>
        <v>552535.99999998137</v>
      </c>
      <c r="N481" s="941">
        <f t="shared" si="191"/>
        <v>-2.0489096641540527E-8</v>
      </c>
      <c r="O481" s="942">
        <f>O468-O480</f>
        <v>0</v>
      </c>
      <c r="Q481" s="907">
        <f t="shared" si="183"/>
        <v>0</v>
      </c>
      <c r="R481" s="943">
        <f>+P468-P480</f>
        <v>0</v>
      </c>
    </row>
    <row r="482" spans="1:18">
      <c r="A482" s="944"/>
      <c r="B482" s="945"/>
      <c r="C482" s="946"/>
      <c r="D482" s="946"/>
      <c r="E482" s="946"/>
      <c r="F482" s="946"/>
      <c r="G482" s="946"/>
      <c r="H482" s="946"/>
      <c r="I482" s="946"/>
      <c r="J482" s="946"/>
      <c r="K482" s="946"/>
      <c r="L482" s="946"/>
      <c r="M482" s="946"/>
      <c r="N482" s="946"/>
      <c r="O482" s="946"/>
      <c r="Q482" s="907"/>
      <c r="R482" s="943"/>
    </row>
    <row r="483" spans="1:18">
      <c r="A483" s="3834" t="s">
        <v>3816</v>
      </c>
      <c r="B483" s="3834"/>
      <c r="C483" s="3834"/>
      <c r="D483" s="3834"/>
      <c r="E483" s="3834"/>
      <c r="F483" s="3834"/>
      <c r="G483" s="3834"/>
      <c r="H483" s="3834"/>
      <c r="I483" s="3834"/>
      <c r="J483" s="3834"/>
      <c r="K483" s="3834"/>
      <c r="L483" s="3834"/>
      <c r="M483" s="3834"/>
      <c r="N483" s="3834"/>
      <c r="O483" s="3834"/>
      <c r="Q483" s="907"/>
      <c r="R483" s="943"/>
    </row>
    <row r="484" spans="1:18" ht="16.5" thickBot="1">
      <c r="O484" s="924" t="s">
        <v>3300</v>
      </c>
      <c r="Q484" s="907"/>
      <c r="R484" s="943"/>
    </row>
    <row r="485" spans="1:18" ht="24.75" thickBot="1">
      <c r="A485" s="899" t="s">
        <v>2726</v>
      </c>
      <c r="B485" s="900" t="s">
        <v>136</v>
      </c>
      <c r="C485" s="900" t="s">
        <v>2837</v>
      </c>
      <c r="D485" s="900" t="s">
        <v>2838</v>
      </c>
      <c r="E485" s="900" t="s">
        <v>2839</v>
      </c>
      <c r="F485" s="900" t="s">
        <v>2840</v>
      </c>
      <c r="G485" s="900" t="s">
        <v>2841</v>
      </c>
      <c r="H485" s="900" t="s">
        <v>2842</v>
      </c>
      <c r="I485" s="900" t="s">
        <v>2843</v>
      </c>
      <c r="J485" s="900" t="s">
        <v>2844</v>
      </c>
      <c r="K485" s="900" t="s">
        <v>2845</v>
      </c>
      <c r="L485" s="900" t="s">
        <v>2846</v>
      </c>
      <c r="M485" s="900" t="s">
        <v>2847</v>
      </c>
      <c r="N485" s="900" t="s">
        <v>2848</v>
      </c>
      <c r="O485" s="901" t="s">
        <v>66</v>
      </c>
      <c r="P485" s="907"/>
      <c r="Q485" s="907"/>
      <c r="R485" s="943"/>
    </row>
    <row r="486" spans="1:18" ht="16.5" thickBot="1">
      <c r="A486" s="925" t="s">
        <v>6</v>
      </c>
      <c r="B486" s="3833" t="s">
        <v>390</v>
      </c>
      <c r="C486" s="3833"/>
      <c r="D486" s="3833"/>
      <c r="E486" s="3833"/>
      <c r="F486" s="3833"/>
      <c r="G486" s="3833"/>
      <c r="H486" s="3833"/>
      <c r="I486" s="3833"/>
      <c r="J486" s="3833"/>
      <c r="K486" s="3833"/>
      <c r="L486" s="3833"/>
      <c r="M486" s="3833"/>
      <c r="N486" s="3833"/>
      <c r="O486" s="3833"/>
      <c r="Q486" s="907"/>
      <c r="R486" s="943"/>
    </row>
    <row r="487" spans="1:18" ht="22.5">
      <c r="A487" s="926" t="s">
        <v>12</v>
      </c>
      <c r="B487" s="927" t="s">
        <v>3385</v>
      </c>
      <c r="C487" s="928">
        <v>0</v>
      </c>
      <c r="D487" s="928">
        <v>0</v>
      </c>
      <c r="E487" s="928">
        <v>0</v>
      </c>
      <c r="F487" s="928">
        <v>0</v>
      </c>
      <c r="G487" s="928">
        <v>0</v>
      </c>
      <c r="H487" s="928">
        <v>0</v>
      </c>
      <c r="I487" s="928">
        <v>0</v>
      </c>
      <c r="J487" s="928">
        <v>0</v>
      </c>
      <c r="K487" s="928">
        <v>0</v>
      </c>
      <c r="L487" s="928">
        <v>0</v>
      </c>
      <c r="M487" s="928">
        <v>0</v>
      </c>
      <c r="N487" s="928">
        <v>0</v>
      </c>
      <c r="O487" s="929">
        <f t="shared" ref="O487:O496" si="192">SUM(C487:N487)</f>
        <v>0</v>
      </c>
      <c r="P487" s="923">
        <v>0</v>
      </c>
      <c r="Q487" s="907">
        <f t="shared" ref="Q487:Q508" si="193">O487-P487</f>
        <v>0</v>
      </c>
      <c r="R487" s="895">
        <v>0</v>
      </c>
    </row>
    <row r="488" spans="1:18">
      <c r="A488" s="930" t="s">
        <v>14</v>
      </c>
      <c r="B488" s="931" t="s">
        <v>3386</v>
      </c>
      <c r="C488" s="910">
        <v>0</v>
      </c>
      <c r="D488" s="910">
        <v>0</v>
      </c>
      <c r="E488" s="910">
        <v>0</v>
      </c>
      <c r="F488" s="910">
        <v>0</v>
      </c>
      <c r="G488" s="910">
        <v>0</v>
      </c>
      <c r="H488" s="910">
        <v>0</v>
      </c>
      <c r="I488" s="910">
        <v>0</v>
      </c>
      <c r="J488" s="910">
        <v>0</v>
      </c>
      <c r="K488" s="910">
        <v>0</v>
      </c>
      <c r="L488" s="910">
        <v>0</v>
      </c>
      <c r="M488" s="910">
        <v>0</v>
      </c>
      <c r="N488" s="910">
        <v>0</v>
      </c>
      <c r="O488" s="911">
        <f t="shared" si="192"/>
        <v>0</v>
      </c>
      <c r="P488" s="943">
        <f>+'28. mell. KIO'!F23</f>
        <v>0</v>
      </c>
      <c r="Q488" s="907">
        <f t="shared" si="193"/>
        <v>0</v>
      </c>
      <c r="R488" s="896">
        <v>23</v>
      </c>
    </row>
    <row r="489" spans="1:18">
      <c r="A489" s="930" t="s">
        <v>15</v>
      </c>
      <c r="B489" s="932" t="s">
        <v>2849</v>
      </c>
      <c r="C489" s="913">
        <v>0</v>
      </c>
      <c r="D489" s="913">
        <v>0</v>
      </c>
      <c r="E489" s="913">
        <v>0</v>
      </c>
      <c r="F489" s="913">
        <v>0</v>
      </c>
      <c r="G489" s="913">
        <v>0</v>
      </c>
      <c r="H489" s="913">
        <v>0</v>
      </c>
      <c r="I489" s="913">
        <v>0</v>
      </c>
      <c r="J489" s="913">
        <v>0</v>
      </c>
      <c r="K489" s="913">
        <v>0</v>
      </c>
      <c r="L489" s="913">
        <v>0</v>
      </c>
      <c r="M489" s="913">
        <v>0</v>
      </c>
      <c r="N489" s="913">
        <v>0</v>
      </c>
      <c r="O489" s="914">
        <f t="shared" si="192"/>
        <v>0</v>
      </c>
      <c r="P489" s="943">
        <f>+'28. mell. KIO'!F27</f>
        <v>0</v>
      </c>
      <c r="Q489" s="907">
        <f t="shared" si="193"/>
        <v>0</v>
      </c>
      <c r="R489" s="896">
        <v>27</v>
      </c>
    </row>
    <row r="490" spans="1:18">
      <c r="A490" s="930" t="s">
        <v>17</v>
      </c>
      <c r="B490" s="933" t="s">
        <v>393</v>
      </c>
      <c r="C490" s="934">
        <v>0</v>
      </c>
      <c r="D490" s="934">
        <v>0</v>
      </c>
      <c r="E490" s="934">
        <v>0</v>
      </c>
      <c r="F490" s="934">
        <v>0</v>
      </c>
      <c r="G490" s="934">
        <v>0</v>
      </c>
      <c r="H490" s="934">
        <v>0</v>
      </c>
      <c r="I490" s="934">
        <v>0</v>
      </c>
      <c r="J490" s="934">
        <v>0</v>
      </c>
      <c r="K490" s="934">
        <v>0</v>
      </c>
      <c r="L490" s="934">
        <v>0</v>
      </c>
      <c r="M490" s="934">
        <v>0</v>
      </c>
      <c r="N490" s="934">
        <v>0</v>
      </c>
      <c r="O490" s="935">
        <f t="shared" si="192"/>
        <v>0</v>
      </c>
      <c r="P490" s="943">
        <f>+'28. mell. KIO'!F31</f>
        <v>0</v>
      </c>
      <c r="Q490" s="907">
        <f t="shared" si="193"/>
        <v>0</v>
      </c>
      <c r="R490" s="896">
        <v>31</v>
      </c>
    </row>
    <row r="491" spans="1:18">
      <c r="A491" s="930" t="s">
        <v>19</v>
      </c>
      <c r="B491" s="933" t="s">
        <v>149</v>
      </c>
      <c r="C491" s="910">
        <v>2421000</v>
      </c>
      <c r="D491" s="910">
        <v>2521000</v>
      </c>
      <c r="E491" s="910">
        <v>3900000</v>
      </c>
      <c r="F491" s="910">
        <v>2721000</v>
      </c>
      <c r="G491" s="910">
        <v>91821000</v>
      </c>
      <c r="H491" s="910">
        <v>5825000</v>
      </c>
      <c r="I491" s="910">
        <v>7825000</v>
      </c>
      <c r="J491" s="910">
        <f>124500000/4+299500000/3</f>
        <v>130958333.33333333</v>
      </c>
      <c r="K491" s="910">
        <v>52733790</v>
      </c>
      <c r="L491" s="910">
        <v>52733790</v>
      </c>
      <c r="M491" s="910">
        <v>35000000</v>
      </c>
      <c r="N491" s="910">
        <v>35540087</v>
      </c>
      <c r="O491" s="911">
        <f t="shared" si="192"/>
        <v>424000000.33333331</v>
      </c>
      <c r="P491" s="943">
        <f>+'28. mell. KIO'!F8</f>
        <v>424000000</v>
      </c>
      <c r="Q491" s="907">
        <f t="shared" si="193"/>
        <v>0.33333331346511841</v>
      </c>
      <c r="R491" s="896">
        <v>8</v>
      </c>
    </row>
    <row r="492" spans="1:18">
      <c r="A492" s="930" t="s">
        <v>21</v>
      </c>
      <c r="B492" s="933" t="s">
        <v>431</v>
      </c>
      <c r="C492" s="910">
        <v>0</v>
      </c>
      <c r="D492" s="910">
        <v>0</v>
      </c>
      <c r="E492" s="910">
        <v>0</v>
      </c>
      <c r="F492" s="910">
        <v>0</v>
      </c>
      <c r="G492" s="910">
        <v>0</v>
      </c>
      <c r="H492" s="910">
        <v>0</v>
      </c>
      <c r="I492" s="910">
        <v>0</v>
      </c>
      <c r="J492" s="910">
        <v>0</v>
      </c>
      <c r="K492" s="910">
        <v>0</v>
      </c>
      <c r="L492" s="910">
        <v>0</v>
      </c>
      <c r="M492" s="910">
        <v>0</v>
      </c>
      <c r="N492" s="910">
        <v>0</v>
      </c>
      <c r="O492" s="911">
        <f t="shared" si="192"/>
        <v>0</v>
      </c>
      <c r="P492" s="943">
        <f>+'28. mell. KIO'!F20</f>
        <v>0</v>
      </c>
      <c r="Q492" s="907">
        <f t="shared" si="193"/>
        <v>0</v>
      </c>
      <c r="R492" s="896">
        <v>20</v>
      </c>
    </row>
    <row r="493" spans="1:18">
      <c r="A493" s="930" t="s">
        <v>23</v>
      </c>
      <c r="B493" s="933" t="s">
        <v>153</v>
      </c>
      <c r="C493" s="910">
        <v>0</v>
      </c>
      <c r="D493" s="910">
        <v>0</v>
      </c>
      <c r="E493" s="910">
        <v>0</v>
      </c>
      <c r="F493" s="910">
        <v>0</v>
      </c>
      <c r="G493" s="910">
        <v>0</v>
      </c>
      <c r="H493" s="910">
        <v>0</v>
      </c>
      <c r="I493" s="910">
        <v>0</v>
      </c>
      <c r="J493" s="910">
        <v>0</v>
      </c>
      <c r="K493" s="910">
        <v>0</v>
      </c>
      <c r="L493" s="910">
        <v>0</v>
      </c>
      <c r="M493" s="910">
        <v>0</v>
      </c>
      <c r="N493" s="910">
        <v>0</v>
      </c>
      <c r="O493" s="911">
        <f t="shared" si="192"/>
        <v>0</v>
      </c>
      <c r="P493" s="943">
        <f>+'28. mell. KIO'!F29</f>
        <v>0</v>
      </c>
      <c r="Q493" s="907">
        <f t="shared" si="193"/>
        <v>0</v>
      </c>
      <c r="R493" s="896">
        <v>29</v>
      </c>
    </row>
    <row r="494" spans="1:18">
      <c r="A494" s="930" t="s">
        <v>25</v>
      </c>
      <c r="B494" s="931" t="s">
        <v>1281</v>
      </c>
      <c r="C494" s="910">
        <v>0</v>
      </c>
      <c r="D494" s="910">
        <v>0</v>
      </c>
      <c r="E494" s="910">
        <v>0</v>
      </c>
      <c r="F494" s="910">
        <v>0</v>
      </c>
      <c r="G494" s="910">
        <v>0</v>
      </c>
      <c r="H494" s="910">
        <v>0</v>
      </c>
      <c r="I494" s="910">
        <v>0</v>
      </c>
      <c r="J494" s="910">
        <v>0</v>
      </c>
      <c r="K494" s="910">
        <v>0</v>
      </c>
      <c r="L494" s="910">
        <v>0</v>
      </c>
      <c r="M494" s="910">
        <v>0</v>
      </c>
      <c r="N494" s="910">
        <v>0</v>
      </c>
      <c r="O494" s="911">
        <f t="shared" si="192"/>
        <v>0</v>
      </c>
      <c r="P494" s="943">
        <f>+'28. mell. KIO'!F30</f>
        <v>0</v>
      </c>
      <c r="Q494" s="907">
        <f t="shared" si="193"/>
        <v>0</v>
      </c>
      <c r="R494" s="896">
        <v>30</v>
      </c>
    </row>
    <row r="495" spans="1:18" ht="16.5" thickBot="1">
      <c r="A495" s="930" t="s">
        <v>27</v>
      </c>
      <c r="B495" s="933" t="s">
        <v>1257</v>
      </c>
      <c r="C495" s="910">
        <v>0</v>
      </c>
      <c r="D495" s="910">
        <v>0</v>
      </c>
      <c r="E495" s="910">
        <v>0</v>
      </c>
      <c r="F495" s="910">
        <v>0</v>
      </c>
      <c r="G495" s="910">
        <v>0</v>
      </c>
      <c r="H495" s="910">
        <v>0</v>
      </c>
      <c r="I495" s="910">
        <v>0</v>
      </c>
      <c r="J495" s="910">
        <v>0</v>
      </c>
      <c r="K495" s="910">
        <v>0</v>
      </c>
      <c r="L495" s="910">
        <v>0</v>
      </c>
      <c r="M495" s="910">
        <v>0</v>
      </c>
      <c r="N495" s="910">
        <v>0</v>
      </c>
      <c r="O495" s="948">
        <f t="shared" si="192"/>
        <v>0</v>
      </c>
      <c r="P495" s="943">
        <f>+'28. mell. KIO'!F36</f>
        <v>0</v>
      </c>
      <c r="Q495" s="907">
        <f t="shared" si="193"/>
        <v>0</v>
      </c>
      <c r="R495" s="896">
        <v>36</v>
      </c>
    </row>
    <row r="496" spans="1:18" ht="16.5" thickBot="1">
      <c r="A496" s="925" t="s">
        <v>29</v>
      </c>
      <c r="B496" s="936" t="s">
        <v>2850</v>
      </c>
      <c r="C496" s="917">
        <f t="shared" ref="C496:N496" si="194">SUM(C487:C495)</f>
        <v>2421000</v>
      </c>
      <c r="D496" s="917">
        <f t="shared" si="194"/>
        <v>2521000</v>
      </c>
      <c r="E496" s="917">
        <f t="shared" si="194"/>
        <v>3900000</v>
      </c>
      <c r="F496" s="917">
        <f t="shared" si="194"/>
        <v>2721000</v>
      </c>
      <c r="G496" s="917">
        <f t="shared" si="194"/>
        <v>91821000</v>
      </c>
      <c r="H496" s="917">
        <f t="shared" si="194"/>
        <v>5825000</v>
      </c>
      <c r="I496" s="917">
        <f t="shared" si="194"/>
        <v>7825000</v>
      </c>
      <c r="J496" s="917">
        <f t="shared" si="194"/>
        <v>130958333.33333333</v>
      </c>
      <c r="K496" s="917">
        <f t="shared" si="194"/>
        <v>52733790</v>
      </c>
      <c r="L496" s="917">
        <f t="shared" si="194"/>
        <v>52733790</v>
      </c>
      <c r="M496" s="917">
        <f t="shared" si="194"/>
        <v>35000000</v>
      </c>
      <c r="N496" s="949">
        <f t="shared" si="194"/>
        <v>35540087</v>
      </c>
      <c r="O496" s="950">
        <f t="shared" si="192"/>
        <v>424000000.33333331</v>
      </c>
      <c r="P496" s="943">
        <f>+'28. mell. KIO'!F37</f>
        <v>424000000</v>
      </c>
      <c r="Q496" s="907">
        <f t="shared" si="193"/>
        <v>0.33333331346511841</v>
      </c>
      <c r="R496" s="895">
        <v>37</v>
      </c>
    </row>
    <row r="497" spans="1:20" ht="16.5" thickBot="1">
      <c r="A497" s="925" t="s">
        <v>31</v>
      </c>
      <c r="B497" s="3833" t="s">
        <v>391</v>
      </c>
      <c r="C497" s="3833"/>
      <c r="D497" s="3833"/>
      <c r="E497" s="3833"/>
      <c r="F497" s="3833"/>
      <c r="G497" s="3833"/>
      <c r="H497" s="3833"/>
      <c r="I497" s="3833"/>
      <c r="J497" s="3833"/>
      <c r="K497" s="3833"/>
      <c r="L497" s="3833"/>
      <c r="M497" s="3833"/>
      <c r="N497" s="3833"/>
      <c r="O497" s="3833"/>
      <c r="Q497" s="907">
        <f t="shared" si="193"/>
        <v>0</v>
      </c>
      <c r="R497" s="895"/>
    </row>
    <row r="498" spans="1:20">
      <c r="A498" s="937" t="s">
        <v>33</v>
      </c>
      <c r="B498" s="938" t="s">
        <v>9</v>
      </c>
      <c r="C498" s="910">
        <f>1700000</f>
        <v>1700000</v>
      </c>
      <c r="D498" s="910">
        <f>1700000</f>
        <v>1700000</v>
      </c>
      <c r="E498" s="910">
        <f>1700000+800000</f>
        <v>2500000</v>
      </c>
      <c r="F498" s="910">
        <f>1700000</f>
        <v>1700000</v>
      </c>
      <c r="G498" s="910">
        <f>1700000</f>
        <v>1700000</v>
      </c>
      <c r="H498" s="910">
        <f>2500000</f>
        <v>2500000</v>
      </c>
      <c r="I498" s="910">
        <v>2500000</v>
      </c>
      <c r="J498" s="910">
        <v>22783000</v>
      </c>
      <c r="K498" s="910">
        <v>22783000</v>
      </c>
      <c r="L498" s="910">
        <v>22783000</v>
      </c>
      <c r="M498" s="910">
        <v>22783000</v>
      </c>
      <c r="N498" s="910">
        <v>21984547</v>
      </c>
      <c r="O498" s="914">
        <f t="shared" ref="O498:O508" si="195">SUM(C498:N498)</f>
        <v>127416547</v>
      </c>
      <c r="P498" s="943">
        <f>+'28. mell. KIO'!F42</f>
        <v>127416547</v>
      </c>
      <c r="Q498" s="907">
        <f t="shared" si="193"/>
        <v>0</v>
      </c>
      <c r="R498" s="896">
        <v>42</v>
      </c>
      <c r="T498" s="907"/>
    </row>
    <row r="499" spans="1:20" ht="22.5">
      <c r="A499" s="930" t="s">
        <v>35</v>
      </c>
      <c r="B499" s="931" t="s">
        <v>8</v>
      </c>
      <c r="C499" s="910">
        <f>+C498*0.13</f>
        <v>221000</v>
      </c>
      <c r="D499" s="910">
        <f t="shared" ref="D499:I499" si="196">+D498*0.13</f>
        <v>221000</v>
      </c>
      <c r="E499" s="910">
        <f>+E498*0.13+E498*0.15</f>
        <v>700000</v>
      </c>
      <c r="F499" s="910">
        <f t="shared" si="196"/>
        <v>221000</v>
      </c>
      <c r="G499" s="910">
        <f t="shared" si="196"/>
        <v>221000</v>
      </c>
      <c r="H499" s="910">
        <f t="shared" si="196"/>
        <v>325000</v>
      </c>
      <c r="I499" s="910">
        <f t="shared" si="196"/>
        <v>325000</v>
      </c>
      <c r="J499" s="910">
        <f>+J498*0.13+989000</f>
        <v>3950790</v>
      </c>
      <c r="K499" s="910">
        <f>+K498*0.13+989000</f>
        <v>3950790</v>
      </c>
      <c r="L499" s="910">
        <f>+L498*0.13+989000</f>
        <v>3950790</v>
      </c>
      <c r="M499" s="910">
        <f>+M498*0.13+989000</f>
        <v>3950790</v>
      </c>
      <c r="N499" s="910">
        <f>+N498*0.13+989000+2342</f>
        <v>3849333.11</v>
      </c>
      <c r="O499" s="914">
        <f t="shared" si="195"/>
        <v>21886493.109999999</v>
      </c>
      <c r="P499" s="943">
        <f>+'28. mell. KIO'!F43</f>
        <v>21886493</v>
      </c>
      <c r="Q499" s="907">
        <f t="shared" si="193"/>
        <v>0.10999999940395355</v>
      </c>
      <c r="R499" s="896">
        <v>43</v>
      </c>
      <c r="T499" s="907"/>
    </row>
    <row r="500" spans="1:20">
      <c r="A500" s="930" t="s">
        <v>37</v>
      </c>
      <c r="B500" s="933" t="s">
        <v>317</v>
      </c>
      <c r="C500" s="910">
        <v>500000</v>
      </c>
      <c r="D500" s="910">
        <v>600000</v>
      </c>
      <c r="E500" s="910">
        <v>700000</v>
      </c>
      <c r="F500" s="910">
        <v>800000</v>
      </c>
      <c r="G500" s="910">
        <v>900000</v>
      </c>
      <c r="H500" s="910">
        <v>3000000</v>
      </c>
      <c r="I500" s="910">
        <v>5000000</v>
      </c>
      <c r="J500" s="910">
        <v>26000000</v>
      </c>
      <c r="K500" s="910">
        <v>26000000</v>
      </c>
      <c r="L500" s="910">
        <v>26000000</v>
      </c>
      <c r="M500" s="910">
        <v>26000000</v>
      </c>
      <c r="N500" s="910">
        <v>26159020</v>
      </c>
      <c r="O500" s="911">
        <f t="shared" si="195"/>
        <v>141659020</v>
      </c>
      <c r="P500" s="943">
        <f>+'28. mell. KIO'!F44</f>
        <v>141659020</v>
      </c>
      <c r="Q500" s="907">
        <f t="shared" si="193"/>
        <v>0</v>
      </c>
      <c r="R500" s="896">
        <v>44</v>
      </c>
      <c r="T500" s="907"/>
    </row>
    <row r="501" spans="1:20">
      <c r="A501" s="930" t="s">
        <v>39</v>
      </c>
      <c r="B501" s="933" t="s">
        <v>318</v>
      </c>
      <c r="C501" s="910">
        <v>0</v>
      </c>
      <c r="D501" s="910">
        <v>0</v>
      </c>
      <c r="E501" s="910">
        <v>0</v>
      </c>
      <c r="F501" s="910">
        <v>0</v>
      </c>
      <c r="G501" s="910">
        <v>0</v>
      </c>
      <c r="H501" s="910">
        <v>0</v>
      </c>
      <c r="I501" s="910">
        <v>0</v>
      </c>
      <c r="J501" s="910">
        <v>0</v>
      </c>
      <c r="K501" s="910">
        <v>0</v>
      </c>
      <c r="L501" s="910">
        <v>0</v>
      </c>
      <c r="M501" s="910">
        <v>0</v>
      </c>
      <c r="N501" s="910">
        <v>0</v>
      </c>
      <c r="O501" s="911">
        <f t="shared" si="195"/>
        <v>0</v>
      </c>
      <c r="P501" s="943">
        <f>+'28. mell. KIO'!F45</f>
        <v>0</v>
      </c>
      <c r="Q501" s="907">
        <f t="shared" si="193"/>
        <v>0</v>
      </c>
      <c r="R501" s="896">
        <v>45</v>
      </c>
    </row>
    <row r="502" spans="1:20">
      <c r="A502" s="930" t="s">
        <v>41</v>
      </c>
      <c r="B502" s="933" t="s">
        <v>2855</v>
      </c>
      <c r="C502" s="910">
        <v>0</v>
      </c>
      <c r="D502" s="910">
        <v>0</v>
      </c>
      <c r="E502" s="910">
        <v>0</v>
      </c>
      <c r="F502" s="910">
        <v>0</v>
      </c>
      <c r="G502" s="910">
        <v>0</v>
      </c>
      <c r="H502" s="910">
        <v>0</v>
      </c>
      <c r="I502" s="910">
        <v>0</v>
      </c>
      <c r="J502" s="910">
        <v>0</v>
      </c>
      <c r="K502" s="910">
        <v>0</v>
      </c>
      <c r="L502" s="910">
        <v>0</v>
      </c>
      <c r="M502" s="910">
        <v>0</v>
      </c>
      <c r="N502" s="910">
        <v>0</v>
      </c>
      <c r="O502" s="911">
        <f t="shared" si="195"/>
        <v>0</v>
      </c>
      <c r="P502" s="943">
        <f>+'28. mell. KIO'!F46</f>
        <v>0</v>
      </c>
      <c r="Q502" s="907">
        <f t="shared" si="193"/>
        <v>0</v>
      </c>
      <c r="R502" s="896">
        <v>46</v>
      </c>
    </row>
    <row r="503" spans="1:20">
      <c r="A503" s="930" t="s">
        <v>314</v>
      </c>
      <c r="B503" s="933" t="s">
        <v>82</v>
      </c>
      <c r="C503" s="910">
        <v>0</v>
      </c>
      <c r="D503" s="910">
        <v>0</v>
      </c>
      <c r="E503" s="910">
        <v>0</v>
      </c>
      <c r="F503" s="910">
        <v>0</v>
      </c>
      <c r="G503" s="910">
        <v>89000000</v>
      </c>
      <c r="H503" s="910">
        <v>0</v>
      </c>
      <c r="I503" s="910">
        <v>0</v>
      </c>
      <c r="J503" s="910">
        <v>0</v>
      </c>
      <c r="K503" s="910">
        <v>0</v>
      </c>
      <c r="L503" s="910">
        <v>0</v>
      </c>
      <c r="M503" s="910">
        <v>0</v>
      </c>
      <c r="N503" s="910">
        <v>30760742</v>
      </c>
      <c r="O503" s="911">
        <f t="shared" si="195"/>
        <v>119760742</v>
      </c>
      <c r="P503" s="943">
        <f>+'28. mell. KIO'!F48</f>
        <v>119760742</v>
      </c>
      <c r="Q503" s="907">
        <f t="shared" si="193"/>
        <v>0</v>
      </c>
      <c r="R503" s="896">
        <v>48</v>
      </c>
    </row>
    <row r="504" spans="1:20">
      <c r="A504" s="930" t="s">
        <v>402</v>
      </c>
      <c r="B504" s="931" t="s">
        <v>344</v>
      </c>
      <c r="C504" s="910">
        <v>0</v>
      </c>
      <c r="D504" s="910">
        <v>0</v>
      </c>
      <c r="E504" s="910">
        <v>0</v>
      </c>
      <c r="F504" s="910">
        <v>0</v>
      </c>
      <c r="G504" s="910">
        <v>0</v>
      </c>
      <c r="H504" s="910">
        <v>0</v>
      </c>
      <c r="I504" s="910">
        <v>0</v>
      </c>
      <c r="J504" s="910">
        <v>0</v>
      </c>
      <c r="K504" s="910">
        <v>0</v>
      </c>
      <c r="L504" s="910">
        <v>0</v>
      </c>
      <c r="M504" s="910">
        <v>0</v>
      </c>
      <c r="N504" s="910">
        <v>0</v>
      </c>
      <c r="O504" s="911">
        <f t="shared" si="195"/>
        <v>0</v>
      </c>
      <c r="P504" s="943">
        <f>+'28. mell. KIO'!F49</f>
        <v>0</v>
      </c>
      <c r="Q504" s="907">
        <f t="shared" si="193"/>
        <v>0</v>
      </c>
      <c r="R504" s="896">
        <v>49</v>
      </c>
    </row>
    <row r="505" spans="1:20" ht="22.5">
      <c r="A505" s="930" t="s">
        <v>404</v>
      </c>
      <c r="B505" s="931" t="s">
        <v>3817</v>
      </c>
      <c r="C505" s="910">
        <v>0</v>
      </c>
      <c r="D505" s="910">
        <v>0</v>
      </c>
      <c r="E505" s="910">
        <v>0</v>
      </c>
      <c r="F505" s="910">
        <v>0</v>
      </c>
      <c r="G505" s="910">
        <v>0</v>
      </c>
      <c r="H505" s="910">
        <v>0</v>
      </c>
      <c r="I505" s="910">
        <v>0</v>
      </c>
      <c r="J505" s="910">
        <v>0</v>
      </c>
      <c r="K505" s="910">
        <v>0</v>
      </c>
      <c r="L505" s="910">
        <v>0</v>
      </c>
      <c r="M505" s="910">
        <v>0</v>
      </c>
      <c r="N505" s="910">
        <v>13277198</v>
      </c>
      <c r="O505" s="911">
        <f t="shared" si="195"/>
        <v>13277198</v>
      </c>
      <c r="P505" s="943">
        <f>+'28. mell. KIO'!F50</f>
        <v>13277198</v>
      </c>
      <c r="Q505" s="907">
        <f t="shared" si="193"/>
        <v>0</v>
      </c>
      <c r="R505" s="896">
        <v>50</v>
      </c>
    </row>
    <row r="506" spans="1:20">
      <c r="A506" s="930" t="s">
        <v>407</v>
      </c>
      <c r="B506" s="933" t="s">
        <v>2851</v>
      </c>
      <c r="C506" s="934">
        <v>0</v>
      </c>
      <c r="D506" s="934">
        <v>0</v>
      </c>
      <c r="E506" s="934">
        <v>0</v>
      </c>
      <c r="F506" s="934">
        <v>0</v>
      </c>
      <c r="G506" s="934">
        <v>0</v>
      </c>
      <c r="H506" s="934">
        <v>0</v>
      </c>
      <c r="I506" s="934">
        <v>0</v>
      </c>
      <c r="J506" s="934">
        <v>0</v>
      </c>
      <c r="K506" s="934">
        <v>0</v>
      </c>
      <c r="L506" s="934">
        <v>0</v>
      </c>
      <c r="M506" s="934">
        <v>0</v>
      </c>
      <c r="N506" s="934">
        <v>0</v>
      </c>
      <c r="O506" s="935">
        <f t="shared" si="195"/>
        <v>0</v>
      </c>
      <c r="P506" s="923">
        <v>0</v>
      </c>
      <c r="Q506" s="907">
        <f t="shared" si="193"/>
        <v>0</v>
      </c>
      <c r="R506" s="896">
        <v>0</v>
      </c>
    </row>
    <row r="507" spans="1:20" ht="16.5" thickBot="1">
      <c r="A507" s="930" t="s">
        <v>409</v>
      </c>
      <c r="B507" s="933" t="s">
        <v>2697</v>
      </c>
      <c r="C507" s="934">
        <v>0</v>
      </c>
      <c r="D507" s="934">
        <v>0</v>
      </c>
      <c r="E507" s="934">
        <v>0</v>
      </c>
      <c r="F507" s="934">
        <v>0</v>
      </c>
      <c r="G507" s="934">
        <v>0</v>
      </c>
      <c r="H507" s="934">
        <v>0</v>
      </c>
      <c r="I507" s="934">
        <v>0</v>
      </c>
      <c r="J507" s="934">
        <v>0</v>
      </c>
      <c r="K507" s="934">
        <v>0</v>
      </c>
      <c r="L507" s="934">
        <v>0</v>
      </c>
      <c r="M507" s="934">
        <v>0</v>
      </c>
      <c r="N507" s="934">
        <v>0</v>
      </c>
      <c r="O507" s="935">
        <f t="shared" si="195"/>
        <v>0</v>
      </c>
      <c r="P507" s="923">
        <v>0</v>
      </c>
      <c r="Q507" s="907">
        <f t="shared" si="193"/>
        <v>0</v>
      </c>
      <c r="R507" s="896">
        <v>0</v>
      </c>
    </row>
    <row r="508" spans="1:20" ht="16.5" thickBot="1">
      <c r="A508" s="939" t="s">
        <v>410</v>
      </c>
      <c r="B508" s="936" t="s">
        <v>2852</v>
      </c>
      <c r="C508" s="917">
        <f t="shared" ref="C508:N508" si="197">SUM(C498:C507)</f>
        <v>2421000</v>
      </c>
      <c r="D508" s="917">
        <f t="shared" si="197"/>
        <v>2521000</v>
      </c>
      <c r="E508" s="917">
        <f t="shared" si="197"/>
        <v>3900000</v>
      </c>
      <c r="F508" s="917">
        <f t="shared" si="197"/>
        <v>2721000</v>
      </c>
      <c r="G508" s="917">
        <f t="shared" si="197"/>
        <v>91821000</v>
      </c>
      <c r="H508" s="917">
        <f t="shared" si="197"/>
        <v>5825000</v>
      </c>
      <c r="I508" s="917">
        <f t="shared" si="197"/>
        <v>7825000</v>
      </c>
      <c r="J508" s="917">
        <f t="shared" si="197"/>
        <v>52733790</v>
      </c>
      <c r="K508" s="917">
        <f t="shared" si="197"/>
        <v>52733790</v>
      </c>
      <c r="L508" s="917">
        <f t="shared" si="197"/>
        <v>52733790</v>
      </c>
      <c r="M508" s="917">
        <f t="shared" si="197"/>
        <v>52733790</v>
      </c>
      <c r="N508" s="917">
        <f t="shared" si="197"/>
        <v>96030840.109999999</v>
      </c>
      <c r="O508" s="918">
        <f t="shared" si="195"/>
        <v>424000000.11000001</v>
      </c>
      <c r="P508" s="943">
        <f>+'28. mell. KIO'!F52</f>
        <v>424000000</v>
      </c>
      <c r="Q508" s="907">
        <f t="shared" si="193"/>
        <v>0.11000001430511475</v>
      </c>
      <c r="R508" s="895">
        <v>52</v>
      </c>
    </row>
    <row r="509" spans="1:20" ht="16.5" thickBot="1">
      <c r="A509" s="939" t="s">
        <v>411</v>
      </c>
      <c r="B509" s="940" t="s">
        <v>2853</v>
      </c>
      <c r="C509" s="941">
        <f>C496-C508</f>
        <v>0</v>
      </c>
      <c r="D509" s="941">
        <f t="shared" ref="D509:N509" si="198">C509+D496-D508</f>
        <v>0</v>
      </c>
      <c r="E509" s="941">
        <f t="shared" si="198"/>
        <v>0</v>
      </c>
      <c r="F509" s="941">
        <f t="shared" si="198"/>
        <v>0</v>
      </c>
      <c r="G509" s="941">
        <f t="shared" si="198"/>
        <v>0</v>
      </c>
      <c r="H509" s="941">
        <f t="shared" si="198"/>
        <v>0</v>
      </c>
      <c r="I509" s="941">
        <f t="shared" si="198"/>
        <v>0</v>
      </c>
      <c r="J509" s="941">
        <f t="shared" si="198"/>
        <v>78224543.333333328</v>
      </c>
      <c r="K509" s="941">
        <f t="shared" si="198"/>
        <v>78224543.333333328</v>
      </c>
      <c r="L509" s="941">
        <f t="shared" si="198"/>
        <v>78224543.333333328</v>
      </c>
      <c r="M509" s="941">
        <f t="shared" si="198"/>
        <v>60490753.333333328</v>
      </c>
      <c r="N509" s="941">
        <f t="shared" si="198"/>
        <v>0.22333332896232605</v>
      </c>
      <c r="O509" s="942">
        <f>O496-O508</f>
        <v>0.22333329916000366</v>
      </c>
      <c r="Q509" s="907"/>
      <c r="R509" s="943">
        <f>+P496-P508</f>
        <v>0</v>
      </c>
    </row>
    <row r="510" spans="1:20">
      <c r="O510" s="922" t="s">
        <v>1183</v>
      </c>
      <c r="P510" s="943">
        <f>+O15+O44+O73+O101+O130+O158+O187+O215+O244+O272+O300+O328+O356+O384+O412+O440+O468+O496</f>
        <v>18909314532.603012</v>
      </c>
      <c r="Q510" s="943">
        <f>+'8. mell. Intézmények összesen'!F37</f>
        <v>18909314532.26968</v>
      </c>
      <c r="R510" s="943">
        <f>+Q510-P510</f>
        <v>-0.33333206176757813</v>
      </c>
    </row>
  </sheetData>
  <sheetProtection selectLockedCells="1" selectUnlockedCells="1"/>
  <mergeCells count="55">
    <mergeCell ref="A1:O1"/>
    <mergeCell ref="A2:O2"/>
    <mergeCell ref="B5:O5"/>
    <mergeCell ref="B16:O16"/>
    <mergeCell ref="A31:O31"/>
    <mergeCell ref="B34:O34"/>
    <mergeCell ref="B45:O45"/>
    <mergeCell ref="A60:O60"/>
    <mergeCell ref="B63:O63"/>
    <mergeCell ref="B74:O74"/>
    <mergeCell ref="A88:O88"/>
    <mergeCell ref="B91:O91"/>
    <mergeCell ref="B102:O102"/>
    <mergeCell ref="A117:O117"/>
    <mergeCell ref="B120:O120"/>
    <mergeCell ref="B131:O131"/>
    <mergeCell ref="A145:O145"/>
    <mergeCell ref="B148:O148"/>
    <mergeCell ref="B159:O159"/>
    <mergeCell ref="A174:O174"/>
    <mergeCell ref="B177:O177"/>
    <mergeCell ref="B188:O188"/>
    <mergeCell ref="A202:O202"/>
    <mergeCell ref="B205:O205"/>
    <mergeCell ref="B216:O216"/>
    <mergeCell ref="A231:O231"/>
    <mergeCell ref="B234:O234"/>
    <mergeCell ref="B245:O245"/>
    <mergeCell ref="A259:O259"/>
    <mergeCell ref="B262:O262"/>
    <mergeCell ref="B273:O273"/>
    <mergeCell ref="A287:O287"/>
    <mergeCell ref="B290:O290"/>
    <mergeCell ref="B301:O301"/>
    <mergeCell ref="A315:O315"/>
    <mergeCell ref="B318:O318"/>
    <mergeCell ref="B329:O329"/>
    <mergeCell ref="A343:O343"/>
    <mergeCell ref="B346:O346"/>
    <mergeCell ref="B357:O357"/>
    <mergeCell ref="A371:O371"/>
    <mergeCell ref="B374:O374"/>
    <mergeCell ref="B385:O385"/>
    <mergeCell ref="A399:O399"/>
    <mergeCell ref="B402:O402"/>
    <mergeCell ref="B413:O413"/>
    <mergeCell ref="A427:O427"/>
    <mergeCell ref="B430:O430"/>
    <mergeCell ref="A483:O483"/>
    <mergeCell ref="B486:O486"/>
    <mergeCell ref="B497:O497"/>
    <mergeCell ref="B441:O441"/>
    <mergeCell ref="A455:O455"/>
    <mergeCell ref="B458:O458"/>
    <mergeCell ref="B469:O469"/>
  </mergeCells>
  <printOptions horizontalCentered="1"/>
  <pageMargins left="0.19685039370078741" right="0.15748031496062992" top="0.59055118110236227" bottom="0.23622047244094491" header="0.51181102362204722" footer="0.23622047244094491"/>
  <pageSetup paperSize="9" scale="58" firstPageNumber="0" orientation="portrait" r:id="rId1"/>
  <headerFooter alignWithMargins="0">
    <oddHeader>&amp;R&amp;"Times New Roman CE,Félkövér dőlt"&amp;11 4. tájékoztató tábla</oddHeader>
    <oddFooter>&amp;C&amp;"Arial CE,Félkövér"&amp;14&amp;P/&amp;N</oddFooter>
  </headerFooter>
  <rowBreaks count="8" manualBreakCount="8">
    <brk id="58" max="16383" man="1"/>
    <brk id="115" max="16383" man="1"/>
    <brk id="172" max="16383" man="1"/>
    <brk id="229" max="16383" man="1"/>
    <brk id="286" max="16383" man="1"/>
    <brk id="342" max="16383" man="1"/>
    <brk id="398" max="16383" man="1"/>
    <brk id="454"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90399-7725-49EF-B35E-F7F58FF2B4A5}">
  <sheetPr>
    <tabColor theme="6" tint="0.39997558519241921"/>
    <pageSetUpPr fitToPage="1"/>
  </sheetPr>
  <dimension ref="A1:O93"/>
  <sheetViews>
    <sheetView view="pageBreakPreview" topLeftCell="B1" zoomScaleNormal="120" zoomScaleSheetLayoutView="100" workbookViewId="0">
      <pane ySplit="2" topLeftCell="A3" activePane="bottomLeft" state="frozen"/>
      <selection activeCell="A3" sqref="A3:E3"/>
      <selection pane="bottomLeft" activeCell="H1" sqref="H1"/>
    </sheetView>
  </sheetViews>
  <sheetFormatPr defaultColWidth="8" defaultRowHeight="15.75"/>
  <cols>
    <col min="1" max="1" width="7.7109375" style="60" customWidth="1"/>
    <col min="2" max="2" width="60.140625" style="61" customWidth="1"/>
    <col min="3" max="4" width="14.28515625" style="61" hidden="1" customWidth="1"/>
    <col min="5" max="5" width="13.28515625" style="61" hidden="1" customWidth="1"/>
    <col min="6" max="6" width="13.28515625" style="62" customWidth="1"/>
    <col min="7" max="8" width="13.28515625" style="61" customWidth="1"/>
    <col min="9" max="9" width="16.28515625" style="61" hidden="1" customWidth="1"/>
    <col min="10" max="10" width="9.7109375" style="958" hidden="1" customWidth="1"/>
    <col min="11" max="12" width="8" style="958" hidden="1" customWidth="1"/>
    <col min="13" max="13" width="14.28515625" style="958" hidden="1" customWidth="1"/>
    <col min="14" max="15" width="8" style="61" customWidth="1"/>
    <col min="16" max="16384" width="8" style="61"/>
  </cols>
  <sheetData>
    <row r="1" spans="1:14">
      <c r="H1" s="954" t="s">
        <v>3629</v>
      </c>
      <c r="I1" s="954"/>
    </row>
    <row r="3" spans="1:14" ht="45.75" customHeight="1">
      <c r="A3" s="3837" t="s">
        <v>2856</v>
      </c>
      <c r="B3" s="3837"/>
      <c r="C3" s="3837"/>
      <c r="D3" s="3837"/>
      <c r="E3" s="3837"/>
      <c r="F3" s="3837"/>
      <c r="G3" s="3837"/>
      <c r="H3" s="3837"/>
      <c r="I3" s="955"/>
    </row>
    <row r="4" spans="1:14" ht="11.25" customHeight="1">
      <c r="A4" s="955"/>
      <c r="B4" s="956"/>
      <c r="C4" s="956"/>
      <c r="D4" s="956"/>
      <c r="E4" s="956"/>
      <c r="F4" s="956"/>
      <c r="G4" s="956"/>
      <c r="H4" s="956"/>
      <c r="I4" s="956"/>
    </row>
    <row r="5" spans="1:14" ht="15.95" customHeight="1">
      <c r="A5" s="3815" t="s">
        <v>168</v>
      </c>
      <c r="B5" s="3815"/>
      <c r="C5" s="3815"/>
      <c r="D5" s="3815"/>
      <c r="E5" s="3815"/>
      <c r="F5" s="3815"/>
      <c r="G5" s="3815"/>
      <c r="H5" s="3815"/>
      <c r="I5" s="1119"/>
    </row>
    <row r="6" spans="1:14" ht="15.95" customHeight="1" thickBot="1">
      <c r="A6" s="3838"/>
      <c r="B6" s="3838"/>
      <c r="C6" s="957"/>
      <c r="D6" s="957"/>
      <c r="E6" s="957"/>
      <c r="G6" s="957"/>
      <c r="H6" s="1131" t="s">
        <v>3300</v>
      </c>
      <c r="I6" s="1131"/>
    </row>
    <row r="7" spans="1:14" ht="38.1" customHeight="1" thickBot="1">
      <c r="A7" s="1161"/>
      <c r="B7" s="1162" t="s">
        <v>171</v>
      </c>
      <c r="C7" s="1163" t="str">
        <f>+'1. mell.ÖSSZEVONT_MÉRLEG'!C5</f>
        <v>2024. évi eredeti előirányzat
forintban</v>
      </c>
      <c r="D7" s="1162" t="str">
        <f>+'1. mell.ÖSSZEVONT_MÉRLEG'!D5</f>
        <v>2024. évi teljesítés forintban</v>
      </c>
      <c r="E7" s="1162" t="s">
        <v>3789</v>
      </c>
      <c r="F7" s="1162" t="s">
        <v>3308</v>
      </c>
      <c r="G7" s="1164" t="s">
        <v>3606</v>
      </c>
      <c r="H7" s="1165" t="s">
        <v>3790</v>
      </c>
      <c r="I7" s="1147" t="s">
        <v>3818</v>
      </c>
      <c r="J7" s="3839" t="s">
        <v>2857</v>
      </c>
      <c r="K7" s="3839"/>
      <c r="L7" s="3839"/>
    </row>
    <row r="8" spans="1:14" s="960" customFormat="1" ht="12" customHeight="1" thickBot="1">
      <c r="A8" s="1166" t="s">
        <v>2728</v>
      </c>
      <c r="B8" s="793" t="s">
        <v>2729</v>
      </c>
      <c r="C8" s="1121" t="s">
        <v>2730</v>
      </c>
      <c r="D8" s="793" t="s">
        <v>2730</v>
      </c>
      <c r="E8" s="793" t="s">
        <v>2730</v>
      </c>
      <c r="F8" s="793" t="s">
        <v>2731</v>
      </c>
      <c r="G8" s="793" t="s">
        <v>2732</v>
      </c>
      <c r="H8" s="1167" t="s">
        <v>2733</v>
      </c>
      <c r="I8" s="1148"/>
      <c r="J8" s="1132" t="s">
        <v>3352</v>
      </c>
      <c r="K8" s="1132" t="s">
        <v>3607</v>
      </c>
      <c r="L8" s="1132" t="s">
        <v>3819</v>
      </c>
      <c r="M8" s="959"/>
    </row>
    <row r="9" spans="1:14" s="44" customFormat="1" ht="24" customHeight="1" thickBot="1">
      <c r="A9" s="1166" t="s">
        <v>6</v>
      </c>
      <c r="B9" s="2262" t="s">
        <v>3387</v>
      </c>
      <c r="C9" s="1122">
        <f>'1. mell.ÖSSZEVONT_MÉRLEG'!C7</f>
        <v>6535171723</v>
      </c>
      <c r="D9" s="962">
        <f>'1. mell.ÖSSZEVONT_MÉRLEG'!D7</f>
        <v>6378941324</v>
      </c>
      <c r="E9" s="962">
        <f>'1. mell.ÖSSZEVONT_MÉRLEG'!E7</f>
        <v>6635944194</v>
      </c>
      <c r="F9" s="963">
        <f>+E9*1.06</f>
        <v>7034100845.6400003</v>
      </c>
      <c r="G9" s="963">
        <f>+F9*1.06</f>
        <v>7456146896.3784008</v>
      </c>
      <c r="H9" s="1168">
        <f>+G9*1.06</f>
        <v>7903515710.1611052</v>
      </c>
      <c r="I9" s="1149">
        <f t="shared" ref="I9:I14" si="0">+E9-C9</f>
        <v>100772471</v>
      </c>
      <c r="J9" s="1134">
        <f>+F9/E9</f>
        <v>1.06</v>
      </c>
      <c r="K9" s="1134">
        <f>+G9/F9</f>
        <v>1.06</v>
      </c>
      <c r="L9" s="1134">
        <f>+H9/G9</f>
        <v>1.06</v>
      </c>
      <c r="M9" s="965"/>
    </row>
    <row r="10" spans="1:14" s="44" customFormat="1" ht="12" customHeight="1" thickBot="1">
      <c r="A10" s="1166" t="s">
        <v>12</v>
      </c>
      <c r="B10" s="966" t="s">
        <v>3383</v>
      </c>
      <c r="C10" s="1123">
        <f>+'1. mell.ÖSSZEVONT_MÉRLEG'!C14</f>
        <v>3089893860</v>
      </c>
      <c r="D10" s="967">
        <f>+'1. mell.ÖSSZEVONT_MÉRLEG'!D14</f>
        <v>3154863072</v>
      </c>
      <c r="E10" s="967">
        <f>+'1. mell.ÖSSZEVONT_MÉRLEG'!E14</f>
        <v>3116514628</v>
      </c>
      <c r="F10" s="963">
        <f>+E10*1.05</f>
        <v>3272340359.4000001</v>
      </c>
      <c r="G10" s="963">
        <f>+F10*1.05</f>
        <v>3435957377.3700004</v>
      </c>
      <c r="H10" s="1168">
        <f>+G10*1.05</f>
        <v>3607755246.2385006</v>
      </c>
      <c r="I10" s="1150">
        <f t="shared" si="0"/>
        <v>26620768</v>
      </c>
      <c r="J10" s="1134">
        <f t="shared" ref="J10:J25" si="1">+F10/E10</f>
        <v>1.05</v>
      </c>
      <c r="K10" s="1134">
        <f t="shared" ref="K10:K25" si="2">+G10/F10</f>
        <v>1.05</v>
      </c>
      <c r="L10" s="1134">
        <f t="shared" ref="L10:L25" si="3">+H10/G10</f>
        <v>1.05</v>
      </c>
      <c r="M10" s="965"/>
    </row>
    <row r="11" spans="1:14" s="44" customFormat="1" ht="12" customHeight="1" thickBot="1">
      <c r="A11" s="1166" t="s">
        <v>14</v>
      </c>
      <c r="B11" s="961" t="s">
        <v>428</v>
      </c>
      <c r="C11" s="1122">
        <f>'1. mell.ÖSSZEVONT_MÉRLEG'!C21</f>
        <v>800000000</v>
      </c>
      <c r="D11" s="962">
        <f>'1. mell.ÖSSZEVONT_MÉRLEG'!D21</f>
        <v>620000</v>
      </c>
      <c r="E11" s="962">
        <f>'1. mell.ÖSSZEVONT_MÉRLEG'!E21</f>
        <v>1631350723</v>
      </c>
      <c r="F11" s="963">
        <f>+E11*0.95</f>
        <v>1549783186.8499999</v>
      </c>
      <c r="G11" s="963">
        <f>+F11*0.95</f>
        <v>1472294027.5074999</v>
      </c>
      <c r="H11" s="1169">
        <f>+G11*0.95</f>
        <v>1398679326.1321249</v>
      </c>
      <c r="I11" s="1149">
        <f t="shared" si="0"/>
        <v>831350723</v>
      </c>
      <c r="J11" s="1134">
        <f t="shared" si="1"/>
        <v>0.95</v>
      </c>
      <c r="K11" s="1134">
        <f t="shared" si="2"/>
        <v>0.95000000000000007</v>
      </c>
      <c r="L11" s="1134">
        <f t="shared" si="3"/>
        <v>0.95</v>
      </c>
      <c r="M11" s="968"/>
      <c r="N11" s="968"/>
    </row>
    <row r="12" spans="1:14" s="44" customFormat="1" ht="12" customHeight="1" thickBot="1">
      <c r="A12" s="1166" t="s">
        <v>210</v>
      </c>
      <c r="B12" s="961" t="s">
        <v>211</v>
      </c>
      <c r="C12" s="1124">
        <f t="shared" ref="C12:H12" si="4">+C13+C17+C18+C19</f>
        <v>11841918010</v>
      </c>
      <c r="D12" s="969">
        <f t="shared" si="4"/>
        <v>11553038482</v>
      </c>
      <c r="E12" s="969">
        <f t="shared" si="4"/>
        <v>12039227919</v>
      </c>
      <c r="F12" s="969">
        <f t="shared" si="4"/>
        <v>14194181521</v>
      </c>
      <c r="G12" s="969">
        <f t="shared" si="4"/>
        <v>14840667601.6</v>
      </c>
      <c r="H12" s="1170">
        <f t="shared" si="4"/>
        <v>15519477986.230001</v>
      </c>
      <c r="I12" s="1151">
        <f t="shared" si="0"/>
        <v>197309909</v>
      </c>
      <c r="J12" s="1134">
        <f t="shared" si="1"/>
        <v>1.1789943355586041</v>
      </c>
      <c r="K12" s="1134">
        <f t="shared" si="2"/>
        <v>1.0455458512802263</v>
      </c>
      <c r="L12" s="1134">
        <f t="shared" si="3"/>
        <v>1.0457398819819141</v>
      </c>
      <c r="M12" s="965"/>
    </row>
    <row r="13" spans="1:14" s="44" customFormat="1" ht="12" customHeight="1">
      <c r="A13" s="1065" t="s">
        <v>212</v>
      </c>
      <c r="B13" s="970" t="s">
        <v>2858</v>
      </c>
      <c r="C13" s="1125">
        <f t="shared" ref="C13:H13" si="5">+C14+C15+C16</f>
        <v>11774768010</v>
      </c>
      <c r="D13" s="145">
        <f t="shared" si="5"/>
        <v>11424300024</v>
      </c>
      <c r="E13" s="145">
        <f t="shared" si="5"/>
        <v>11974768010</v>
      </c>
      <c r="F13" s="145">
        <f t="shared" si="5"/>
        <v>14129721612</v>
      </c>
      <c r="G13" s="145">
        <f t="shared" si="5"/>
        <v>14776207692.6</v>
      </c>
      <c r="H13" s="1171">
        <f t="shared" si="5"/>
        <v>15455018077.230001</v>
      </c>
      <c r="I13" s="1152">
        <f t="shared" si="0"/>
        <v>200000000</v>
      </c>
      <c r="J13" s="1134">
        <f t="shared" si="1"/>
        <v>1.1799578580729431</v>
      </c>
      <c r="K13" s="1134">
        <f t="shared" si="2"/>
        <v>1.0457536318373715</v>
      </c>
      <c r="L13" s="1134">
        <f t="shared" si="3"/>
        <v>1.0459394182020028</v>
      </c>
      <c r="M13" s="971"/>
    </row>
    <row r="14" spans="1:14" s="44" customFormat="1" ht="12" customHeight="1">
      <c r="A14" s="1066" t="s">
        <v>214</v>
      </c>
      <c r="B14" s="972" t="s">
        <v>215</v>
      </c>
      <c r="C14" s="1126">
        <f>'1. mell.ÖSSZEVONT_MÉRLEG'!C30</f>
        <v>1000000000</v>
      </c>
      <c r="D14" s="973">
        <f>'1. mell.ÖSSZEVONT_MÉRLEG'!D30</f>
        <v>903916941</v>
      </c>
      <c r="E14" s="973">
        <f>'1. mell.ÖSSZEVONT_MÉRLEG'!E30</f>
        <v>1200000000</v>
      </c>
      <c r="F14" s="162">
        <f>E14</f>
        <v>1200000000</v>
      </c>
      <c r="G14" s="162">
        <f>+F14</f>
        <v>1200000000</v>
      </c>
      <c r="H14" s="1172">
        <f>+G14</f>
        <v>1200000000</v>
      </c>
      <c r="I14" s="1153">
        <f t="shared" si="0"/>
        <v>200000000</v>
      </c>
      <c r="J14" s="1134">
        <f t="shared" si="1"/>
        <v>1</v>
      </c>
      <c r="K14" s="1134">
        <f t="shared" si="2"/>
        <v>1</v>
      </c>
      <c r="L14" s="1134">
        <f t="shared" si="3"/>
        <v>1</v>
      </c>
      <c r="M14" s="965"/>
    </row>
    <row r="15" spans="1:14" s="44" customFormat="1" ht="12" hidden="1" customHeight="1">
      <c r="A15" s="1066" t="s">
        <v>216</v>
      </c>
      <c r="B15" s="972" t="s">
        <v>2859</v>
      </c>
      <c r="C15" s="1126"/>
      <c r="D15" s="973"/>
      <c r="E15" s="973"/>
      <c r="F15" s="162"/>
      <c r="G15" s="162"/>
      <c r="H15" s="1173"/>
      <c r="I15" s="1153">
        <f>+E15-C15*1000</f>
        <v>0</v>
      </c>
      <c r="J15" s="1134" t="e">
        <f t="shared" si="1"/>
        <v>#DIV/0!</v>
      </c>
      <c r="K15" s="1134" t="e">
        <f t="shared" si="2"/>
        <v>#DIV/0!</v>
      </c>
      <c r="L15" s="1134" t="e">
        <f t="shared" si="3"/>
        <v>#DIV/0!</v>
      </c>
      <c r="M15" s="965"/>
    </row>
    <row r="16" spans="1:14" s="44" customFormat="1" ht="12" customHeight="1">
      <c r="A16" s="1066" t="s">
        <v>216</v>
      </c>
      <c r="B16" s="972" t="s">
        <v>217</v>
      </c>
      <c r="C16" s="1126">
        <f>'1. mell.ÖSSZEVONT_MÉRLEG'!C31</f>
        <v>10774768010</v>
      </c>
      <c r="D16" s="973">
        <f>'1. mell.ÖSSZEVONT_MÉRLEG'!D31</f>
        <v>10520383083</v>
      </c>
      <c r="E16" s="973">
        <f>'1. mell.ÖSSZEVONT_MÉRLEG'!E31</f>
        <v>10774768010</v>
      </c>
      <c r="F16" s="162">
        <f>+E16*1.2</f>
        <v>12929721612</v>
      </c>
      <c r="G16" s="162">
        <f>F16*1.05</f>
        <v>13576207692.6</v>
      </c>
      <c r="H16" s="1172">
        <f>G16*1.05</f>
        <v>14255018077.230001</v>
      </c>
      <c r="I16" s="1153">
        <f t="shared" ref="I16:I26" si="6">+E16-C16</f>
        <v>0</v>
      </c>
      <c r="J16" s="1134">
        <f t="shared" si="1"/>
        <v>1.2</v>
      </c>
      <c r="K16" s="1134">
        <f t="shared" si="2"/>
        <v>1.05</v>
      </c>
      <c r="L16" s="1134">
        <f t="shared" si="3"/>
        <v>1.05</v>
      </c>
      <c r="M16" s="1010"/>
    </row>
    <row r="17" spans="1:15" s="44" customFormat="1" ht="12" customHeight="1">
      <c r="A17" s="1066" t="s">
        <v>218</v>
      </c>
      <c r="B17" s="972" t="s">
        <v>219</v>
      </c>
      <c r="C17" s="1126">
        <f>'1. mell.ÖSSZEVONT_MÉRLEG'!C32</f>
        <v>0</v>
      </c>
      <c r="D17" s="973">
        <f>'1. mell.ÖSSZEVONT_MÉRLEG'!D32</f>
        <v>0</v>
      </c>
      <c r="E17" s="973">
        <f>'1. mell.ÖSSZEVONT_MÉRLEG'!E32</f>
        <v>0</v>
      </c>
      <c r="F17" s="162">
        <f>E17</f>
        <v>0</v>
      </c>
      <c r="G17" s="162">
        <f>F17*1.03</f>
        <v>0</v>
      </c>
      <c r="H17" s="1172">
        <f>G17</f>
        <v>0</v>
      </c>
      <c r="I17" s="1153">
        <f t="shared" si="6"/>
        <v>0</v>
      </c>
      <c r="J17" s="1134"/>
      <c r="K17" s="1134"/>
      <c r="L17" s="1134"/>
      <c r="M17" s="965"/>
    </row>
    <row r="18" spans="1:15" s="44" customFormat="1" ht="12" customHeight="1">
      <c r="A18" s="1066" t="s">
        <v>220</v>
      </c>
      <c r="B18" s="972" t="s">
        <v>221</v>
      </c>
      <c r="C18" s="1126">
        <f>'1. mell.ÖSSZEVONT_MÉRLEG'!C33</f>
        <v>6000000</v>
      </c>
      <c r="D18" s="973">
        <f>'1. mell.ÖSSZEVONT_MÉRLEG'!D33</f>
        <v>9663830</v>
      </c>
      <c r="E18" s="973">
        <f>'1. mell.ÖSSZEVONT_MÉRLEG'!E33</f>
        <v>8100000</v>
      </c>
      <c r="F18" s="162">
        <f>E18</f>
        <v>8100000</v>
      </c>
      <c r="G18" s="162">
        <f>+F18</f>
        <v>8100000</v>
      </c>
      <c r="H18" s="1172">
        <f>+G18</f>
        <v>8100000</v>
      </c>
      <c r="I18" s="1153">
        <f t="shared" si="6"/>
        <v>2100000</v>
      </c>
      <c r="J18" s="1134">
        <f t="shared" si="1"/>
        <v>1</v>
      </c>
      <c r="K18" s="1134">
        <f t="shared" si="2"/>
        <v>1</v>
      </c>
      <c r="L18" s="1134">
        <f t="shared" si="3"/>
        <v>1</v>
      </c>
      <c r="M18" s="965"/>
    </row>
    <row r="19" spans="1:15" s="44" customFormat="1" ht="12" customHeight="1" thickBot="1">
      <c r="A19" s="1067" t="s">
        <v>222</v>
      </c>
      <c r="B19" s="974" t="s">
        <v>223</v>
      </c>
      <c r="C19" s="1126">
        <f>'1. mell.ÖSSZEVONT_MÉRLEG'!C34</f>
        <v>61150000</v>
      </c>
      <c r="D19" s="973">
        <f>'1. mell.ÖSSZEVONT_MÉRLEG'!D34</f>
        <v>119074628</v>
      </c>
      <c r="E19" s="973">
        <f>'1. mell.ÖSSZEVONT_MÉRLEG'!E34</f>
        <v>56359909</v>
      </c>
      <c r="F19" s="975">
        <f>E19</f>
        <v>56359909</v>
      </c>
      <c r="G19" s="975">
        <f>F19</f>
        <v>56359909</v>
      </c>
      <c r="H19" s="1174">
        <f>G19</f>
        <v>56359909</v>
      </c>
      <c r="I19" s="1153">
        <f t="shared" si="6"/>
        <v>-4790091</v>
      </c>
      <c r="J19" s="1134">
        <f t="shared" si="1"/>
        <v>1</v>
      </c>
      <c r="K19" s="1134">
        <f t="shared" si="2"/>
        <v>1</v>
      </c>
      <c r="L19" s="1134">
        <f t="shared" si="3"/>
        <v>1</v>
      </c>
      <c r="M19" s="965"/>
    </row>
    <row r="20" spans="1:15" s="44" customFormat="1" ht="12" customHeight="1" thickBot="1">
      <c r="A20" s="1166" t="s">
        <v>17</v>
      </c>
      <c r="B20" s="961" t="s">
        <v>1260</v>
      </c>
      <c r="C20" s="1122">
        <f>'1. mell.ÖSSZEVONT_MÉRLEG'!C35</f>
        <v>2976871201</v>
      </c>
      <c r="D20" s="962">
        <f>'1. mell.ÖSSZEVONT_MÉRLEG'!D35</f>
        <v>3110906519</v>
      </c>
      <c r="E20" s="962">
        <f>'1. mell.ÖSSZEVONT_MÉRLEG'!E35</f>
        <v>2723483039.26968</v>
      </c>
      <c r="F20" s="963">
        <f>E20*1.05</f>
        <v>2859657191.2331643</v>
      </c>
      <c r="G20" s="963">
        <f>F20*1.05</f>
        <v>3002640050.7948227</v>
      </c>
      <c r="H20" s="1168">
        <f>G20*1.05</f>
        <v>3152772053.3345637</v>
      </c>
      <c r="I20" s="1149">
        <f t="shared" si="6"/>
        <v>-253388161.73031998</v>
      </c>
      <c r="J20" s="1134">
        <f t="shared" si="1"/>
        <v>1.05</v>
      </c>
      <c r="K20" s="1134">
        <f t="shared" si="2"/>
        <v>1.05</v>
      </c>
      <c r="L20" s="1134">
        <f t="shared" si="3"/>
        <v>1.05</v>
      </c>
      <c r="M20" s="965"/>
    </row>
    <row r="21" spans="1:15" s="44" customFormat="1" ht="12" customHeight="1" thickBot="1">
      <c r="A21" s="1166" t="s">
        <v>19</v>
      </c>
      <c r="B21" s="961" t="s">
        <v>431</v>
      </c>
      <c r="C21" s="1122">
        <f>'1. mell.ÖSSZEVONT_MÉRLEG'!C47</f>
        <v>1284721430.1900001</v>
      </c>
      <c r="D21" s="962">
        <f>'1. mell.ÖSSZEVONT_MÉRLEG'!D47</f>
        <v>298625231</v>
      </c>
      <c r="E21" s="962">
        <f>'1. mell.ÖSSZEVONT_MÉRLEG'!E47</f>
        <v>1091869854</v>
      </c>
      <c r="F21" s="963">
        <f>E21*0.65</f>
        <v>709715405.10000002</v>
      </c>
      <c r="G21" s="963">
        <f>+F21*0.9</f>
        <v>638743864.59000003</v>
      </c>
      <c r="H21" s="1168">
        <f>+G21*0.9</f>
        <v>574869478.13100004</v>
      </c>
      <c r="I21" s="1149">
        <f t="shared" si="6"/>
        <v>-192851576.19000006</v>
      </c>
      <c r="J21" s="1134">
        <f t="shared" si="1"/>
        <v>0.65</v>
      </c>
      <c r="K21" s="1134">
        <f t="shared" si="2"/>
        <v>0.9</v>
      </c>
      <c r="L21" s="1134">
        <f t="shared" si="3"/>
        <v>0.9</v>
      </c>
      <c r="M21" s="968"/>
      <c r="N21" s="968"/>
      <c r="O21" s="968"/>
    </row>
    <row r="22" spans="1:15" s="44" customFormat="1" ht="12" customHeight="1" thickBot="1">
      <c r="A22" s="1166" t="s">
        <v>255</v>
      </c>
      <c r="B22" s="961" t="s">
        <v>2860</v>
      </c>
      <c r="C22" s="1122">
        <f>'1. mell.ÖSSZEVONT_MÉRLEG'!C53</f>
        <v>27253713</v>
      </c>
      <c r="D22" s="962">
        <f>'1. mell.ÖSSZEVONT_MÉRLEG'!D53</f>
        <v>37625131</v>
      </c>
      <c r="E22" s="962">
        <f>'1. mell.ÖSSZEVONT_MÉRLEG'!E53</f>
        <v>16328120</v>
      </c>
      <c r="F22" s="963">
        <f>E22</f>
        <v>16328120</v>
      </c>
      <c r="G22" s="963">
        <f>F22</f>
        <v>16328120</v>
      </c>
      <c r="H22" s="1168">
        <f>G22</f>
        <v>16328120</v>
      </c>
      <c r="I22" s="1149">
        <f t="shared" si="6"/>
        <v>-10925593</v>
      </c>
      <c r="J22" s="1134">
        <f t="shared" si="1"/>
        <v>1</v>
      </c>
      <c r="K22" s="1134">
        <f t="shared" si="2"/>
        <v>1</v>
      </c>
      <c r="L22" s="1134">
        <f t="shared" si="3"/>
        <v>1</v>
      </c>
      <c r="M22" s="968"/>
      <c r="N22" s="968"/>
    </row>
    <row r="23" spans="1:15" s="44" customFormat="1" ht="12" customHeight="1" thickBot="1">
      <c r="A23" s="1166" t="s">
        <v>23</v>
      </c>
      <c r="B23" s="966" t="s">
        <v>1262</v>
      </c>
      <c r="C23" s="1123">
        <f>'1. mell.ÖSSZEVONT_MÉRLEG'!C58</f>
        <v>104429188</v>
      </c>
      <c r="D23" s="967">
        <f>'1. mell.ÖSSZEVONT_MÉRLEG'!D58</f>
        <v>63990353</v>
      </c>
      <c r="E23" s="967">
        <f>'1. mell.ÖSSZEVONT_MÉRLEG'!E58</f>
        <v>3218439</v>
      </c>
      <c r="F23" s="963">
        <f>E23*1.01</f>
        <v>3250623.39</v>
      </c>
      <c r="G23" s="963">
        <f>+F23*1.01</f>
        <v>3283129.6239</v>
      </c>
      <c r="H23" s="1168">
        <f>G23*1.01</f>
        <v>3315960.9201389998</v>
      </c>
      <c r="I23" s="1150">
        <f t="shared" si="6"/>
        <v>-101210749</v>
      </c>
      <c r="J23" s="1134">
        <f t="shared" si="1"/>
        <v>1.01</v>
      </c>
      <c r="K23" s="1134">
        <f t="shared" si="2"/>
        <v>1.01</v>
      </c>
      <c r="L23" s="1134">
        <f t="shared" si="3"/>
        <v>1.01</v>
      </c>
      <c r="M23" s="965"/>
    </row>
    <row r="24" spans="1:15" s="44" customFormat="1" ht="12" customHeight="1" thickBot="1">
      <c r="A24" s="1166" t="s">
        <v>25</v>
      </c>
      <c r="B24" s="961" t="s">
        <v>272</v>
      </c>
      <c r="C24" s="1124">
        <f t="shared" ref="C24:H24" si="7">+C9+C10+C11+C12+C20+C21+C22+C23</f>
        <v>26660259125.189999</v>
      </c>
      <c r="D24" s="969">
        <f t="shared" si="7"/>
        <v>24598610112</v>
      </c>
      <c r="E24" s="969">
        <f t="shared" si="7"/>
        <v>27257936916.26968</v>
      </c>
      <c r="F24" s="969">
        <f t="shared" si="7"/>
        <v>29639357252.613163</v>
      </c>
      <c r="G24" s="969">
        <f t="shared" si="7"/>
        <v>30866061067.864628</v>
      </c>
      <c r="H24" s="1175">
        <f t="shared" si="7"/>
        <v>32176713881.147438</v>
      </c>
      <c r="I24" s="1151">
        <f t="shared" si="6"/>
        <v>597677791.0796814</v>
      </c>
      <c r="J24" s="1134">
        <f t="shared" si="1"/>
        <v>1.0873661254576483</v>
      </c>
      <c r="K24" s="1134">
        <f t="shared" si="2"/>
        <v>1.0413876658929002</v>
      </c>
      <c r="L24" s="1134">
        <f t="shared" si="3"/>
        <v>1.0424625873188387</v>
      </c>
      <c r="M24" s="965"/>
    </row>
    <row r="25" spans="1:15" s="44" customFormat="1" ht="12" customHeight="1" thickBot="1">
      <c r="A25" s="1166" t="s">
        <v>27</v>
      </c>
      <c r="B25" s="961" t="s">
        <v>2861</v>
      </c>
      <c r="C25" s="1122">
        <f>'1. mell.ÖSSZEVONT_MÉRLEG'!C73+'1. mell.ÖSSZEVONT_MÉRLEG'!C69+'1. mell.ÖSSZEVONT_MÉRLEG'!C79</f>
        <v>15200000000</v>
      </c>
      <c r="D25" s="962">
        <f>'1. mell.ÖSSZEVONT_MÉRLEG'!D73+'1. mell.ÖSSZEVONT_MÉRLEG'!D69+'1. mell.ÖSSZEVONT_MÉRLEG'!D79</f>
        <v>13471810877</v>
      </c>
      <c r="E25" s="962">
        <f>'1. mell.ÖSSZEVONT_MÉRLEG'!E73+'1. mell.ÖSSZEVONT_MÉRLEG'!E69+'1. mell.ÖSSZEVONT_MÉRLEG'!E79</f>
        <v>8190000000</v>
      </c>
      <c r="F25" s="976">
        <v>7540749690</v>
      </c>
      <c r="G25" s="976">
        <v>6068509081</v>
      </c>
      <c r="H25" s="1176">
        <v>5433567430</v>
      </c>
      <c r="I25" s="1149">
        <f t="shared" si="6"/>
        <v>-7010000000</v>
      </c>
      <c r="J25" s="1134">
        <f t="shared" si="1"/>
        <v>0.92072645787545793</v>
      </c>
      <c r="K25" s="1134">
        <f t="shared" si="2"/>
        <v>0.80476203699582027</v>
      </c>
      <c r="L25" s="1134">
        <f t="shared" si="3"/>
        <v>0.8953710635470663</v>
      </c>
      <c r="M25" s="965"/>
    </row>
    <row r="26" spans="1:15" s="44" customFormat="1" ht="12" customHeight="1" thickBot="1">
      <c r="A26" s="1166" t="s">
        <v>29</v>
      </c>
      <c r="B26" s="961" t="s">
        <v>2862</v>
      </c>
      <c r="C26" s="1124">
        <f t="shared" ref="C26:H26" si="8">+C24+C25</f>
        <v>41860259125.190002</v>
      </c>
      <c r="D26" s="969">
        <f t="shared" si="8"/>
        <v>38070420989</v>
      </c>
      <c r="E26" s="969">
        <f t="shared" si="8"/>
        <v>35447936916.269684</v>
      </c>
      <c r="F26" s="969">
        <f t="shared" si="8"/>
        <v>37180106942.613159</v>
      </c>
      <c r="G26" s="969">
        <f t="shared" si="8"/>
        <v>36934570148.864624</v>
      </c>
      <c r="H26" s="1170">
        <f t="shared" si="8"/>
        <v>37610281311.147438</v>
      </c>
      <c r="I26" s="1154">
        <f t="shared" si="6"/>
        <v>-6412322208.9203186</v>
      </c>
      <c r="J26" s="1134">
        <f>+F26/E26</f>
        <v>1.0488651858762605</v>
      </c>
      <c r="K26" s="1134">
        <f>+G26/F26</f>
        <v>0.99339601701179836</v>
      </c>
      <c r="L26" s="1134">
        <f>+H26/G26</f>
        <v>1.0182948159287997</v>
      </c>
      <c r="M26" s="1133">
        <f>+'1. mell.ÖSSZEVONT_MÉRLEG'!E88</f>
        <v>35447936916.269684</v>
      </c>
    </row>
    <row r="27" spans="1:15" s="44" customFormat="1" ht="12" customHeight="1">
      <c r="A27" s="1177"/>
      <c r="B27" s="796"/>
      <c r="C27" s="796"/>
      <c r="D27" s="796"/>
      <c r="E27" s="796"/>
      <c r="F27" s="977"/>
      <c r="G27" s="978"/>
      <c r="H27" s="1178"/>
      <c r="I27" s="63">
        <f>+E26-C26</f>
        <v>-6412322208.9203186</v>
      </c>
      <c r="J27" s="964"/>
      <c r="K27" s="979"/>
      <c r="L27" s="964"/>
      <c r="M27" s="965"/>
    </row>
    <row r="28" spans="1:15" s="44" customFormat="1" ht="12" customHeight="1">
      <c r="A28" s="3840" t="s">
        <v>2755</v>
      </c>
      <c r="B28" s="3815"/>
      <c r="C28" s="3815"/>
      <c r="D28" s="3815"/>
      <c r="E28" s="3815"/>
      <c r="F28" s="3815"/>
      <c r="G28" s="3815"/>
      <c r="H28" s="3841"/>
      <c r="I28" s="1119"/>
      <c r="J28" s="964"/>
      <c r="K28" s="964"/>
      <c r="L28" s="964"/>
      <c r="M28" s="965"/>
    </row>
    <row r="29" spans="1:15" s="44" customFormat="1" ht="12" customHeight="1" thickBot="1">
      <c r="A29" s="3836"/>
      <c r="B29" s="3816"/>
      <c r="C29" s="957"/>
      <c r="D29" s="957"/>
      <c r="E29" s="957"/>
      <c r="F29" s="62"/>
      <c r="G29" s="787"/>
      <c r="H29" s="1179" t="str">
        <f>+H6</f>
        <v>adatok forintban</v>
      </c>
      <c r="I29" s="1131"/>
      <c r="J29" s="964"/>
      <c r="K29" s="964"/>
      <c r="L29" s="964"/>
      <c r="M29" s="965"/>
    </row>
    <row r="30" spans="1:15" s="44" customFormat="1" ht="36" customHeight="1" thickBot="1">
      <c r="A30" s="1180"/>
      <c r="B30" s="789" t="s">
        <v>316</v>
      </c>
      <c r="C30" s="1120" t="str">
        <f>+C7</f>
        <v>2024. évi eredeti előirányzat
forintban</v>
      </c>
      <c r="D30" s="789" t="str">
        <f>+D7</f>
        <v>2024. évi teljesítés forintban</v>
      </c>
      <c r="E30" s="789" t="str">
        <f t="shared" ref="E30:H31" si="9">+E7</f>
        <v>2025. évi tervezett előirányzat</v>
      </c>
      <c r="F30" s="789" t="str">
        <f t="shared" si="9"/>
        <v>2026. évi terv</v>
      </c>
      <c r="G30" s="789" t="str">
        <f t="shared" si="9"/>
        <v>2027. évi terv</v>
      </c>
      <c r="H30" s="1181" t="str">
        <f t="shared" si="9"/>
        <v>2028. évi terv</v>
      </c>
      <c r="I30" s="1155" t="str">
        <f>+I7</f>
        <v>Változás 2024-ről 2025-re
Ft-ban</v>
      </c>
      <c r="J30" s="964"/>
      <c r="K30" s="964"/>
      <c r="L30" s="964"/>
      <c r="M30" s="965"/>
    </row>
    <row r="31" spans="1:15" s="44" customFormat="1" ht="12" customHeight="1" thickBot="1">
      <c r="A31" s="1182" t="str">
        <f>+A8</f>
        <v>A</v>
      </c>
      <c r="B31" s="980" t="str">
        <f>+B8</f>
        <v>B</v>
      </c>
      <c r="C31" s="1127" t="str">
        <f>+C8</f>
        <v>C</v>
      </c>
      <c r="D31" s="980" t="str">
        <f>+D8</f>
        <v>C</v>
      </c>
      <c r="E31" s="980" t="str">
        <f t="shared" si="9"/>
        <v>C</v>
      </c>
      <c r="F31" s="980" t="str">
        <f t="shared" si="9"/>
        <v>D</v>
      </c>
      <c r="G31" s="980" t="str">
        <f t="shared" si="9"/>
        <v>E</v>
      </c>
      <c r="H31" s="1183" t="str">
        <f t="shared" si="9"/>
        <v>F</v>
      </c>
      <c r="I31" s="1156"/>
      <c r="J31" s="1132" t="str">
        <f>+J8</f>
        <v>2026/2025</v>
      </c>
      <c r="K31" s="1132" t="str">
        <f>+K8</f>
        <v>2027/2026</v>
      </c>
      <c r="L31" s="1132" t="str">
        <f>+L8</f>
        <v>2028/2027</v>
      </c>
      <c r="M31" s="965"/>
    </row>
    <row r="32" spans="1:15" s="44" customFormat="1" ht="15" customHeight="1" thickBot="1">
      <c r="A32" s="1166" t="s">
        <v>6</v>
      </c>
      <c r="B32" s="981" t="s">
        <v>2863</v>
      </c>
      <c r="C32" s="1122">
        <f>'1. mell.ÖSSZEVONT_MÉRLEG'!C95</f>
        <v>21939838370.190002</v>
      </c>
      <c r="D32" s="962">
        <f>'1. mell.ÖSSZEVONT_MÉRLEG'!D95</f>
        <v>23350423435</v>
      </c>
      <c r="E32" s="962">
        <f>'1. mell.ÖSSZEVONT_MÉRLEG'!E95</f>
        <v>24757906758</v>
      </c>
      <c r="F32" s="963">
        <f>+E32*1.05</f>
        <v>25995802095.900002</v>
      </c>
      <c r="G32" s="963">
        <f>+F32*1.005</f>
        <v>26125781106.379498</v>
      </c>
      <c r="H32" s="1169">
        <f>+G32*1.025</f>
        <v>26778925634.038982</v>
      </c>
      <c r="I32" s="1149">
        <f t="shared" ref="I32:I40" si="10">+E32-C32</f>
        <v>2818068387.8099976</v>
      </c>
      <c r="J32" s="1134">
        <f>+F32/E32</f>
        <v>1.05</v>
      </c>
      <c r="K32" s="1134">
        <f>+G32/F32</f>
        <v>1.0049999999999999</v>
      </c>
      <c r="L32" s="1134">
        <f>+H32/G32</f>
        <v>1.0249999999999999</v>
      </c>
      <c r="M32" s="965"/>
    </row>
    <row r="33" spans="1:15" ht="12" customHeight="1" thickBot="1">
      <c r="A33" s="1430" t="s">
        <v>12</v>
      </c>
      <c r="B33" s="982" t="s">
        <v>2864</v>
      </c>
      <c r="C33" s="1128">
        <f>+C34+C35+C36</f>
        <v>10051789968.93</v>
      </c>
      <c r="D33" s="983">
        <f>+D34+D35+D36</f>
        <v>5877630158</v>
      </c>
      <c r="E33" s="983">
        <f>+E34+E35+E36</f>
        <v>3665997046</v>
      </c>
      <c r="F33" s="983">
        <f>SUM(F34:F36)</f>
        <v>4213871373.1051478</v>
      </c>
      <c r="G33" s="983">
        <f>SUM(G34:G36)</f>
        <v>4562185540.5076475</v>
      </c>
      <c r="H33" s="1184">
        <f>SUM(H34:H36)</f>
        <v>4568825558.6493473</v>
      </c>
      <c r="I33" s="1157">
        <f t="shared" si="10"/>
        <v>-6385792922.9300003</v>
      </c>
      <c r="J33" s="1134">
        <f t="shared" ref="J33:J39" si="11">+F33/E33</f>
        <v>1.1494475637133801</v>
      </c>
      <c r="K33" s="1134">
        <f t="shared" ref="K33:K39" si="12">+G33/F33</f>
        <v>1.0826589462662766</v>
      </c>
      <c r="L33" s="1134">
        <f t="shared" ref="L33:L39" si="13">+H33/G33</f>
        <v>1.0014554467552323</v>
      </c>
    </row>
    <row r="34" spans="1:15" ht="12" customHeight="1">
      <c r="A34" s="1065" t="s">
        <v>185</v>
      </c>
      <c r="B34" s="159" t="s">
        <v>82</v>
      </c>
      <c r="C34" s="1125">
        <f>'1. mell.ÖSSZEVONT_MÉRLEG'!C114</f>
        <v>9182373384.9300003</v>
      </c>
      <c r="D34" s="145">
        <f>'1. mell.ÖSSZEVONT_MÉRLEG'!D114</f>
        <v>5465388970</v>
      </c>
      <c r="E34" s="145">
        <f>'1. mell.ÖSSZEVONT_MÉRLEG'!E114</f>
        <v>2638893541</v>
      </c>
      <c r="F34" s="161">
        <f>+E34*1.14</f>
        <v>3008338636.7399998</v>
      </c>
      <c r="G34" s="161">
        <f>+F34*1.1</f>
        <v>3309172500.414</v>
      </c>
      <c r="H34" s="1185">
        <f>+G34*1.0005</f>
        <v>3310827086.664207</v>
      </c>
      <c r="I34" s="1152">
        <f t="shared" si="10"/>
        <v>-6543479843.9300003</v>
      </c>
      <c r="J34" s="1134">
        <f t="shared" si="11"/>
        <v>1.1399999999999999</v>
      </c>
      <c r="K34" s="1134">
        <f t="shared" si="12"/>
        <v>1.1000000000000001</v>
      </c>
      <c r="L34" s="1134">
        <f t="shared" si="13"/>
        <v>1.0004999999999999</v>
      </c>
      <c r="N34" s="968"/>
    </row>
    <row r="35" spans="1:15" ht="12" customHeight="1">
      <c r="A35" s="1065" t="s">
        <v>187</v>
      </c>
      <c r="B35" s="160" t="s">
        <v>344</v>
      </c>
      <c r="C35" s="1129">
        <f>'1. mell.ÖSSZEVONT_MÉRLEG'!C116</f>
        <v>744660466</v>
      </c>
      <c r="D35" s="984">
        <f>'1. mell.ÖSSZEVONT_MÉRLEG'!D116</f>
        <v>311370321</v>
      </c>
      <c r="E35" s="984">
        <f>'1. mell.ÖSSZEVONT_MÉRLEG'!E116</f>
        <v>772037459</v>
      </c>
      <c r="F35" s="162">
        <f>E35*1.23</f>
        <v>949606074.56999993</v>
      </c>
      <c r="G35" s="162">
        <f>+F35*1.05</f>
        <v>997086378.29849994</v>
      </c>
      <c r="H35" s="1172">
        <f>+G35*1.005</f>
        <v>1002071810.1899923</v>
      </c>
      <c r="I35" s="1158">
        <f t="shared" si="10"/>
        <v>27376993</v>
      </c>
      <c r="J35" s="1134">
        <f t="shared" si="11"/>
        <v>1.23</v>
      </c>
      <c r="K35" s="1134">
        <f t="shared" si="12"/>
        <v>1.05</v>
      </c>
      <c r="L35" s="1134">
        <f t="shared" si="13"/>
        <v>1.0049999999999999</v>
      </c>
    </row>
    <row r="36" spans="1:15" ht="12" customHeight="1" thickBot="1">
      <c r="A36" s="1067" t="s">
        <v>189</v>
      </c>
      <c r="B36" s="974" t="s">
        <v>346</v>
      </c>
      <c r="C36" s="1130">
        <f>'1. mell.ÖSSZEVONT_MÉRLEG'!C118</f>
        <v>124756118</v>
      </c>
      <c r="D36" s="985">
        <f>'1. mell.ÖSSZEVONT_MÉRLEG'!D118</f>
        <v>100870867</v>
      </c>
      <c r="E36" s="985">
        <f>'1. mell.ÖSSZEVONT_MÉRLEG'!E118</f>
        <v>255066046</v>
      </c>
      <c r="F36" s="975">
        <f>E36*1.00337409</f>
        <v>255926661.79514816</v>
      </c>
      <c r="G36" s="975">
        <f>+F36</f>
        <v>255926661.79514816</v>
      </c>
      <c r="H36" s="1174">
        <f>G36</f>
        <v>255926661.79514816</v>
      </c>
      <c r="I36" s="1159">
        <f t="shared" si="10"/>
        <v>130309928</v>
      </c>
      <c r="J36" s="1134">
        <f t="shared" si="11"/>
        <v>1.0033740900000001</v>
      </c>
      <c r="K36" s="1134">
        <f t="shared" si="12"/>
        <v>1</v>
      </c>
      <c r="L36" s="1134">
        <f t="shared" si="13"/>
        <v>1</v>
      </c>
      <c r="M36" s="968"/>
      <c r="N36" s="968"/>
    </row>
    <row r="37" spans="1:15" ht="12" customHeight="1" thickBot="1">
      <c r="A37" s="1166" t="s">
        <v>14</v>
      </c>
      <c r="B37" s="966" t="s">
        <v>2851</v>
      </c>
      <c r="C37" s="1123">
        <f>'1. mell.ÖSSZEVONT_MÉRLEG'!C127</f>
        <v>1644020281</v>
      </c>
      <c r="D37" s="967">
        <f>'1. mell.ÖSSZEVONT_MÉRLEG'!D127</f>
        <v>0</v>
      </c>
      <c r="E37" s="967">
        <f>'1. mell.ÖSSZEVONT_MÉRLEG'!E127</f>
        <v>1489059013</v>
      </c>
      <c r="F37" s="963">
        <v>1402249530</v>
      </c>
      <c r="G37" s="963">
        <v>645010455</v>
      </c>
      <c r="H37" s="1168">
        <v>627327513</v>
      </c>
      <c r="I37" s="1150">
        <f t="shared" si="10"/>
        <v>-154961268</v>
      </c>
      <c r="J37" s="1134">
        <f t="shared" si="11"/>
        <v>0.9417017846558644</v>
      </c>
      <c r="K37" s="1134">
        <f t="shared" si="12"/>
        <v>0.45998265016355544</v>
      </c>
      <c r="L37" s="1134">
        <f t="shared" si="13"/>
        <v>0.97258503042404176</v>
      </c>
      <c r="M37" s="968"/>
      <c r="N37" s="968"/>
      <c r="O37" s="968"/>
    </row>
    <row r="38" spans="1:15" ht="12" customHeight="1" thickBot="1">
      <c r="A38" s="1166" t="s">
        <v>15</v>
      </c>
      <c r="B38" s="986" t="s">
        <v>363</v>
      </c>
      <c r="C38" s="1122">
        <f t="shared" ref="C38:H38" si="14">+C32+C33+C37</f>
        <v>33635648620.120003</v>
      </c>
      <c r="D38" s="962">
        <f t="shared" si="14"/>
        <v>29228053593</v>
      </c>
      <c r="E38" s="962">
        <f t="shared" si="14"/>
        <v>29912962817</v>
      </c>
      <c r="F38" s="962">
        <f t="shared" si="14"/>
        <v>31611922999.00515</v>
      </c>
      <c r="G38" s="962">
        <f t="shared" si="14"/>
        <v>31332977101.887146</v>
      </c>
      <c r="H38" s="1186">
        <f t="shared" si="14"/>
        <v>31975078705.688332</v>
      </c>
      <c r="I38" s="1149">
        <f t="shared" si="10"/>
        <v>-3722685803.1200027</v>
      </c>
      <c r="J38" s="1134">
        <f t="shared" si="11"/>
        <v>1.0567967871453912</v>
      </c>
      <c r="K38" s="1134">
        <f t="shared" si="12"/>
        <v>0.99117592760406315</v>
      </c>
      <c r="L38" s="1134">
        <f t="shared" si="13"/>
        <v>1.0204928373615194</v>
      </c>
    </row>
    <row r="39" spans="1:15" ht="15" customHeight="1" thickBot="1">
      <c r="A39" s="1431" t="s">
        <v>17</v>
      </c>
      <c r="B39" s="986" t="s">
        <v>2865</v>
      </c>
      <c r="C39" s="1124">
        <f>'1. mell.ÖSSZEVONT_MÉRLEG'!C152</f>
        <v>8224610505</v>
      </c>
      <c r="D39" s="969">
        <f>'1. mell.ÖSSZEVONT_MÉRLEG'!D152</f>
        <v>6473601186</v>
      </c>
      <c r="E39" s="969">
        <f>'1. mell.ÖSSZEVONT_MÉRLEG'!E152</f>
        <v>5534974099</v>
      </c>
      <c r="F39" s="987">
        <f>+E39*1.006</f>
        <v>5568183943.5939999</v>
      </c>
      <c r="G39" s="987">
        <f>+F39*1.006</f>
        <v>5601593047.2555637</v>
      </c>
      <c r="H39" s="987">
        <f>+G39*1.006</f>
        <v>5635202605.5390968</v>
      </c>
      <c r="I39" s="1151">
        <f t="shared" si="10"/>
        <v>-2689636406</v>
      </c>
      <c r="J39" s="1134">
        <f t="shared" si="11"/>
        <v>1.006</v>
      </c>
      <c r="K39" s="1134">
        <f t="shared" si="12"/>
        <v>1.006</v>
      </c>
      <c r="L39" s="1134">
        <f t="shared" si="13"/>
        <v>1.006</v>
      </c>
      <c r="M39" s="968"/>
      <c r="N39" s="968"/>
      <c r="O39" s="968"/>
    </row>
    <row r="40" spans="1:15" s="44" customFormat="1" ht="13.5" thickBot="1">
      <c r="A40" s="1432" t="s">
        <v>19</v>
      </c>
      <c r="B40" s="1187" t="s">
        <v>2866</v>
      </c>
      <c r="C40" s="1188">
        <f t="shared" ref="C40:H40" si="15">+C38+C39</f>
        <v>41860259125.120003</v>
      </c>
      <c r="D40" s="1189">
        <f t="shared" si="15"/>
        <v>35701654779</v>
      </c>
      <c r="E40" s="1189">
        <f t="shared" si="15"/>
        <v>35447936916</v>
      </c>
      <c r="F40" s="1189">
        <f t="shared" si="15"/>
        <v>37180106942.599152</v>
      </c>
      <c r="G40" s="1189">
        <f t="shared" si="15"/>
        <v>36934570149.142708</v>
      </c>
      <c r="H40" s="1190">
        <f t="shared" si="15"/>
        <v>37610281311.227432</v>
      </c>
      <c r="I40" s="1160">
        <f t="shared" si="10"/>
        <v>-6412322209.1200027</v>
      </c>
      <c r="J40" s="1134">
        <f>+F40/E40</f>
        <v>1.0488651858838449</v>
      </c>
      <c r="K40" s="1134">
        <f>+G40/F40</f>
        <v>0.99339601701965197</v>
      </c>
      <c r="L40" s="1134">
        <f>+H40/G40</f>
        <v>1.0182948159232985</v>
      </c>
      <c r="M40" s="1133">
        <f>+'1. mell.ÖSSZEVONT_MÉRLEG'!E153</f>
        <v>35447936916</v>
      </c>
    </row>
    <row r="41" spans="1:15">
      <c r="C41" s="63">
        <f>+C26-C40</f>
        <v>6.999969482421875E-2</v>
      </c>
      <c r="D41" s="63"/>
      <c r="E41" s="41">
        <f>+E26-E40</f>
        <v>0.269683837890625</v>
      </c>
      <c r="F41" s="41">
        <f>+F26-F40</f>
        <v>1.4007568359375E-2</v>
      </c>
      <c r="G41" s="41">
        <f>+G26-G40</f>
        <v>-0.27808380126953125</v>
      </c>
      <c r="H41" s="41">
        <f>+H26-H40</f>
        <v>-7.999420166015625E-2</v>
      </c>
      <c r="I41" s="63">
        <f>+E40-C40</f>
        <v>-6412322209.1200027</v>
      </c>
      <c r="J41" s="971"/>
      <c r="K41" s="971"/>
      <c r="L41" s="971"/>
    </row>
    <row r="42" spans="1:15">
      <c r="B42" s="1135"/>
      <c r="E42" s="63"/>
      <c r="F42" s="63"/>
      <c r="G42" s="63"/>
      <c r="H42" s="63"/>
    </row>
    <row r="43" spans="1:15">
      <c r="B43" s="1135"/>
      <c r="E43" s="63"/>
      <c r="F43" s="63"/>
      <c r="G43" s="63"/>
      <c r="H43" s="63"/>
    </row>
    <row r="44" spans="1:15" ht="16.5" customHeight="1"/>
    <row r="93" ht="36.75" customHeight="1"/>
  </sheetData>
  <sheetProtection selectLockedCells="1" selectUnlockedCells="1"/>
  <mergeCells count="6">
    <mergeCell ref="A29:B29"/>
    <mergeCell ref="A3:H3"/>
    <mergeCell ref="A5:H5"/>
    <mergeCell ref="A6:B6"/>
    <mergeCell ref="J7:L7"/>
    <mergeCell ref="A28:H28"/>
  </mergeCells>
  <phoneticPr fontId="143" type="noConversion"/>
  <printOptions horizontalCentered="1"/>
  <pageMargins left="0.27559055118110237" right="0.31496062992125984" top="0.70866141732283472" bottom="0.86614173228346458" header="0.51181102362204722" footer="0.51181102362204722"/>
  <pageSetup paperSize="9" scale="84" firstPageNumber="0" orientation="landscape" r:id="rId1"/>
  <headerFooter alignWithMargins="0">
    <oddFooter>&amp;C&amp;"Arial CE,Félkövér"&amp;14&amp;P/&amp;N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20D1C-D995-481C-B670-E2EBE3C3E751}">
  <dimension ref="A1:E102"/>
  <sheetViews>
    <sheetView view="pageBreakPreview" zoomScaleNormal="85" workbookViewId="0">
      <pane ySplit="3" topLeftCell="A40" activePane="bottomLeft" state="frozen"/>
      <selection pane="bottomLeft" activeCell="E64" sqref="E64"/>
    </sheetView>
  </sheetViews>
  <sheetFormatPr defaultRowHeight="12.75"/>
  <cols>
    <col min="1" max="1" width="8.85546875" style="20" customWidth="1"/>
    <col min="2" max="2" width="8.7109375" style="20" customWidth="1"/>
    <col min="3" max="3" width="36.5703125" style="988" customWidth="1"/>
    <col min="4" max="4" width="9.140625" style="989" customWidth="1"/>
    <col min="5" max="5" width="64.28515625" style="988" customWidth="1"/>
    <col min="6" max="16384" width="9.140625" style="20"/>
  </cols>
  <sheetData>
    <row r="1" spans="1:5" ht="12.75" customHeight="1">
      <c r="A1" s="3842" t="s">
        <v>2867</v>
      </c>
      <c r="B1" s="3842"/>
      <c r="C1" s="3842"/>
      <c r="D1" s="3842"/>
      <c r="E1" s="3842"/>
    </row>
    <row r="2" spans="1:5">
      <c r="A2" s="3842"/>
      <c r="B2" s="3842"/>
      <c r="C2" s="3842"/>
      <c r="D2" s="3842"/>
      <c r="E2" s="3842"/>
    </row>
    <row r="3" spans="1:5">
      <c r="A3" s="989" t="s">
        <v>2868</v>
      </c>
      <c r="B3" s="989" t="s">
        <v>1720</v>
      </c>
      <c r="D3" s="989" t="s">
        <v>1334</v>
      </c>
      <c r="E3" s="990" t="s">
        <v>2869</v>
      </c>
    </row>
    <row r="4" spans="1:5">
      <c r="D4" s="991" t="s">
        <v>2870</v>
      </c>
    </row>
    <row r="5" spans="1:5" ht="25.5">
      <c r="A5" s="20">
        <v>841126</v>
      </c>
      <c r="B5" s="20">
        <v>999000</v>
      </c>
      <c r="C5" s="988" t="s">
        <v>2871</v>
      </c>
      <c r="D5" s="989" t="s">
        <v>534</v>
      </c>
      <c r="E5" s="988" t="s">
        <v>2872</v>
      </c>
    </row>
    <row r="6" spans="1:5" ht="25.5">
      <c r="E6" s="992" t="s">
        <v>2873</v>
      </c>
    </row>
    <row r="7" spans="1:5">
      <c r="D7" s="989" t="s">
        <v>2874</v>
      </c>
      <c r="E7" s="988" t="s">
        <v>2875</v>
      </c>
    </row>
    <row r="8" spans="1:5" ht="25.5">
      <c r="E8" s="992" t="s">
        <v>2876</v>
      </c>
    </row>
    <row r="9" spans="1:5">
      <c r="B9" s="20">
        <v>680001</v>
      </c>
      <c r="C9" s="988" t="s">
        <v>2877</v>
      </c>
      <c r="D9" s="989" t="s">
        <v>751</v>
      </c>
      <c r="E9" s="988" t="s">
        <v>2878</v>
      </c>
    </row>
    <row r="10" spans="1:5">
      <c r="D10" s="989" t="s">
        <v>787</v>
      </c>
      <c r="E10" s="988" t="s">
        <v>2879</v>
      </c>
    </row>
    <row r="11" spans="1:5" ht="51">
      <c r="B11" s="20">
        <v>680002</v>
      </c>
      <c r="C11" s="988" t="s">
        <v>2880</v>
      </c>
      <c r="D11" s="989">
        <v>13350</v>
      </c>
      <c r="E11" s="992" t="s">
        <v>2881</v>
      </c>
    </row>
    <row r="12" spans="1:5" ht="25.5">
      <c r="A12" s="20">
        <v>841154</v>
      </c>
      <c r="B12" s="20">
        <v>999000</v>
      </c>
      <c r="C12" s="988" t="s">
        <v>2882</v>
      </c>
      <c r="D12" s="989" t="s">
        <v>751</v>
      </c>
      <c r="E12" s="988" t="s">
        <v>2878</v>
      </c>
    </row>
    <row r="13" spans="1:5" ht="25.5">
      <c r="A13" s="20">
        <v>841114</v>
      </c>
      <c r="B13" s="20">
        <v>999000</v>
      </c>
      <c r="C13" s="988" t="s">
        <v>2883</v>
      </c>
      <c r="D13" s="989" t="s">
        <v>1351</v>
      </c>
      <c r="E13" s="988" t="s">
        <v>2884</v>
      </c>
    </row>
    <row r="14" spans="1:5" ht="25.5">
      <c r="A14" s="20">
        <v>841115</v>
      </c>
      <c r="B14" s="20">
        <v>999000</v>
      </c>
      <c r="C14" s="988" t="s">
        <v>2885</v>
      </c>
    </row>
    <row r="15" spans="1:5" ht="25.5">
      <c r="A15" s="20">
        <v>841117</v>
      </c>
      <c r="B15" s="20">
        <v>999000</v>
      </c>
      <c r="C15" s="988" t="s">
        <v>2886</v>
      </c>
    </row>
    <row r="16" spans="1:5">
      <c r="D16" s="989" t="s">
        <v>1396</v>
      </c>
      <c r="E16" s="993" t="s">
        <v>2887</v>
      </c>
    </row>
    <row r="17" spans="1:5">
      <c r="D17" s="989" t="s">
        <v>2888</v>
      </c>
      <c r="E17" s="988" t="s">
        <v>2889</v>
      </c>
    </row>
    <row r="18" spans="1:5">
      <c r="E18" s="992" t="s">
        <v>2890</v>
      </c>
    </row>
    <row r="19" spans="1:5" ht="25.5">
      <c r="A19" s="20">
        <v>841192</v>
      </c>
      <c r="B19" s="20">
        <v>999000</v>
      </c>
      <c r="C19" s="988" t="s">
        <v>2891</v>
      </c>
      <c r="D19" s="989" t="s">
        <v>2892</v>
      </c>
      <c r="E19" s="988" t="s">
        <v>2893</v>
      </c>
    </row>
    <row r="20" spans="1:5">
      <c r="A20" s="20">
        <v>841126</v>
      </c>
      <c r="B20" s="20">
        <v>999000</v>
      </c>
      <c r="D20" s="989" t="s">
        <v>2894</v>
      </c>
      <c r="E20" s="988" t="s">
        <v>2895</v>
      </c>
    </row>
    <row r="21" spans="1:5" ht="25.5">
      <c r="D21" s="989" t="s">
        <v>2896</v>
      </c>
      <c r="E21" s="992" t="s">
        <v>2897</v>
      </c>
    </row>
    <row r="22" spans="1:5" ht="12.75" customHeight="1">
      <c r="A22" s="20">
        <v>941901</v>
      </c>
      <c r="B22" s="20">
        <v>999000</v>
      </c>
      <c r="C22" s="3700" t="s">
        <v>2898</v>
      </c>
      <c r="D22" s="989" t="s">
        <v>514</v>
      </c>
      <c r="E22" s="988" t="s">
        <v>2899</v>
      </c>
    </row>
    <row r="23" spans="1:5" ht="25.5">
      <c r="C23" s="3700"/>
      <c r="E23" s="992" t="s">
        <v>2900</v>
      </c>
    </row>
    <row r="24" spans="1:5">
      <c r="A24" s="20">
        <v>841902</v>
      </c>
      <c r="B24" s="20">
        <v>999000</v>
      </c>
      <c r="C24" s="988" t="s">
        <v>2901</v>
      </c>
      <c r="D24" s="989" t="s">
        <v>2902</v>
      </c>
      <c r="E24" s="988" t="s">
        <v>2901</v>
      </c>
    </row>
    <row r="25" spans="1:5" ht="25.5">
      <c r="E25" s="992" t="s">
        <v>2903</v>
      </c>
    </row>
    <row r="26" spans="1:5">
      <c r="A26" s="20">
        <v>841907</v>
      </c>
      <c r="B26" s="20">
        <v>999000</v>
      </c>
      <c r="C26" s="988" t="s">
        <v>2904</v>
      </c>
      <c r="D26" s="989" t="s">
        <v>1239</v>
      </c>
      <c r="E26" s="988" t="s">
        <v>2905</v>
      </c>
    </row>
    <row r="27" spans="1:5">
      <c r="A27" s="20">
        <v>841126</v>
      </c>
      <c r="B27" s="20">
        <v>999000</v>
      </c>
      <c r="C27" s="988" t="s">
        <v>2906</v>
      </c>
    </row>
    <row r="28" spans="1:5" ht="25.5">
      <c r="E28" s="992" t="s">
        <v>2907</v>
      </c>
    </row>
    <row r="29" spans="1:5">
      <c r="D29" s="991" t="s">
        <v>2908</v>
      </c>
    </row>
    <row r="30" spans="1:5">
      <c r="A30" s="20">
        <v>842531</v>
      </c>
      <c r="B30" s="20">
        <v>999000</v>
      </c>
      <c r="C30" s="988" t="s">
        <v>2909</v>
      </c>
      <c r="D30" s="989" t="s">
        <v>2910</v>
      </c>
      <c r="E30" s="988" t="s">
        <v>2911</v>
      </c>
    </row>
    <row r="31" spans="1:5">
      <c r="D31" s="989" t="s">
        <v>2912</v>
      </c>
      <c r="E31" s="988" t="s">
        <v>2913</v>
      </c>
    </row>
    <row r="32" spans="1:5">
      <c r="D32" s="991" t="s">
        <v>2914</v>
      </c>
    </row>
    <row r="33" spans="1:5">
      <c r="A33" s="20">
        <v>842421</v>
      </c>
      <c r="B33" s="20">
        <v>999000</v>
      </c>
      <c r="C33" s="988" t="s">
        <v>2915</v>
      </c>
      <c r="D33" s="989" t="s">
        <v>565</v>
      </c>
      <c r="E33" s="988" t="s">
        <v>2915</v>
      </c>
    </row>
    <row r="34" spans="1:5" ht="25.5">
      <c r="A34" s="20">
        <v>842521</v>
      </c>
      <c r="B34" s="20">
        <v>999000</v>
      </c>
      <c r="C34" s="988" t="s">
        <v>2916</v>
      </c>
      <c r="D34" s="989" t="s">
        <v>2024</v>
      </c>
      <c r="E34" s="988" t="s">
        <v>2917</v>
      </c>
    </row>
    <row r="35" spans="1:5">
      <c r="D35" s="991" t="s">
        <v>2918</v>
      </c>
    </row>
    <row r="36" spans="1:5">
      <c r="B36" s="20">
        <v>750000</v>
      </c>
      <c r="C36" s="988" t="s">
        <v>2919</v>
      </c>
      <c r="D36" s="989" t="s">
        <v>1655</v>
      </c>
      <c r="E36" s="988" t="s">
        <v>2920</v>
      </c>
    </row>
    <row r="37" spans="1:5">
      <c r="A37" s="20">
        <v>421100</v>
      </c>
      <c r="B37" s="20">
        <v>999000</v>
      </c>
      <c r="D37" s="989" t="s">
        <v>1142</v>
      </c>
      <c r="E37" s="988" t="s">
        <v>2921</v>
      </c>
    </row>
    <row r="38" spans="1:5">
      <c r="A38" s="20">
        <v>522001</v>
      </c>
      <c r="B38" s="20">
        <v>999000</v>
      </c>
      <c r="C38" s="988" t="s">
        <v>2922</v>
      </c>
      <c r="D38" s="989" t="s">
        <v>1967</v>
      </c>
      <c r="E38" s="988" t="s">
        <v>2922</v>
      </c>
    </row>
    <row r="39" spans="1:5">
      <c r="D39" s="989" t="s">
        <v>2923</v>
      </c>
      <c r="E39" s="988" t="s">
        <v>2924</v>
      </c>
    </row>
    <row r="40" spans="1:5">
      <c r="D40" s="989" t="s">
        <v>2925</v>
      </c>
      <c r="E40" s="988" t="s">
        <v>2926</v>
      </c>
    </row>
    <row r="41" spans="1:5">
      <c r="D41" s="989" t="s">
        <v>2927</v>
      </c>
      <c r="E41" s="988" t="s">
        <v>2928</v>
      </c>
    </row>
    <row r="42" spans="1:5">
      <c r="D42" s="991" t="s">
        <v>2929</v>
      </c>
    </row>
    <row r="43" spans="1:5" ht="25.5">
      <c r="A43" s="20">
        <v>381103</v>
      </c>
      <c r="B43" s="20">
        <v>999000</v>
      </c>
      <c r="D43" s="989" t="s">
        <v>2026</v>
      </c>
      <c r="E43" s="988" t="s">
        <v>2930</v>
      </c>
    </row>
    <row r="44" spans="1:5">
      <c r="D44" s="989" t="s">
        <v>2931</v>
      </c>
      <c r="E44" s="988" t="s">
        <v>2932</v>
      </c>
    </row>
    <row r="45" spans="1:5">
      <c r="A45" s="20">
        <v>422100</v>
      </c>
      <c r="B45" s="20">
        <v>999000</v>
      </c>
      <c r="D45" s="989" t="s">
        <v>1146</v>
      </c>
      <c r="E45" s="988" t="s">
        <v>2933</v>
      </c>
    </row>
    <row r="46" spans="1:5">
      <c r="D46" s="991" t="s">
        <v>2934</v>
      </c>
    </row>
    <row r="47" spans="1:5" ht="25.5">
      <c r="A47" s="20">
        <v>889942</v>
      </c>
      <c r="B47" s="20">
        <v>999000</v>
      </c>
      <c r="C47" s="988" t="s">
        <v>2935</v>
      </c>
      <c r="D47" s="989" t="s">
        <v>1113</v>
      </c>
      <c r="E47" s="988" t="s">
        <v>2936</v>
      </c>
    </row>
    <row r="48" spans="1:5" ht="25.5">
      <c r="A48" s="20">
        <v>889943</v>
      </c>
      <c r="B48" s="20">
        <v>999000</v>
      </c>
      <c r="C48" s="988" t="s">
        <v>2937</v>
      </c>
      <c r="D48" s="989" t="s">
        <v>1113</v>
      </c>
    </row>
    <row r="49" spans="1:5">
      <c r="D49" s="994" t="s">
        <v>1036</v>
      </c>
      <c r="E49" s="988" t="s">
        <v>2938</v>
      </c>
    </row>
    <row r="50" spans="1:5">
      <c r="D50" s="989" t="s">
        <v>1153</v>
      </c>
      <c r="E50" s="988" t="s">
        <v>2939</v>
      </c>
    </row>
    <row r="51" spans="1:5">
      <c r="A51" s="20">
        <v>841402</v>
      </c>
      <c r="B51" s="20">
        <v>999000</v>
      </c>
      <c r="C51" s="988" t="s">
        <v>2940</v>
      </c>
      <c r="D51" s="989" t="s">
        <v>2375</v>
      </c>
      <c r="E51" s="990" t="s">
        <v>2940</v>
      </c>
    </row>
    <row r="52" spans="1:5">
      <c r="B52" s="20">
        <v>813000</v>
      </c>
      <c r="C52" s="988" t="s">
        <v>2941</v>
      </c>
      <c r="D52" s="989" t="s">
        <v>975</v>
      </c>
      <c r="E52" s="988" t="s">
        <v>2941</v>
      </c>
    </row>
    <row r="53" spans="1:5">
      <c r="A53" s="20">
        <v>841403</v>
      </c>
      <c r="B53" s="20">
        <v>999000</v>
      </c>
      <c r="D53" s="989" t="s">
        <v>1134</v>
      </c>
      <c r="E53" s="988" t="s">
        <v>2942</v>
      </c>
    </row>
    <row r="54" spans="1:5">
      <c r="D54" s="991" t="s">
        <v>2943</v>
      </c>
    </row>
    <row r="55" spans="1:5" ht="25.5">
      <c r="A55" s="20">
        <v>869045</v>
      </c>
      <c r="B55" s="20">
        <v>999000</v>
      </c>
      <c r="C55" s="988" t="s">
        <v>2944</v>
      </c>
      <c r="D55" s="989" t="s">
        <v>588</v>
      </c>
      <c r="E55" s="988" t="s">
        <v>2944</v>
      </c>
    </row>
    <row r="56" spans="1:5" ht="25.5">
      <c r="A56" s="20">
        <v>869047</v>
      </c>
      <c r="B56" s="20">
        <v>999000</v>
      </c>
      <c r="C56" s="988" t="s">
        <v>2945</v>
      </c>
      <c r="D56" s="989" t="s">
        <v>2256</v>
      </c>
      <c r="E56" s="988" t="s">
        <v>2945</v>
      </c>
    </row>
    <row r="57" spans="1:5">
      <c r="D57" s="989" t="s">
        <v>2946</v>
      </c>
      <c r="E57" s="988" t="s">
        <v>2947</v>
      </c>
    </row>
    <row r="58" spans="1:5" ht="51">
      <c r="B58" s="20">
        <v>869011</v>
      </c>
      <c r="C58" s="988" t="s">
        <v>2948</v>
      </c>
      <c r="D58" s="989" t="s">
        <v>2949</v>
      </c>
      <c r="E58" s="988" t="s">
        <v>2950</v>
      </c>
    </row>
    <row r="59" spans="1:5">
      <c r="D59" s="989" t="s">
        <v>2951</v>
      </c>
      <c r="E59" s="988" t="s">
        <v>2952</v>
      </c>
    </row>
    <row r="60" spans="1:5" ht="38.25">
      <c r="E60" s="992" t="s">
        <v>2953</v>
      </c>
    </row>
    <row r="61" spans="1:5">
      <c r="D61" s="991" t="s">
        <v>2954</v>
      </c>
    </row>
    <row r="62" spans="1:5">
      <c r="D62" s="989" t="s">
        <v>2955</v>
      </c>
      <c r="E62" s="988" t="s">
        <v>2956</v>
      </c>
    </row>
    <row r="63" spans="1:5">
      <c r="D63" s="989" t="s">
        <v>2957</v>
      </c>
      <c r="E63" s="988" t="s">
        <v>2958</v>
      </c>
    </row>
    <row r="64" spans="1:5" ht="25.5">
      <c r="B64" s="20">
        <v>931102</v>
      </c>
      <c r="C64" s="988" t="s">
        <v>2959</v>
      </c>
      <c r="D64" s="989" t="s">
        <v>1131</v>
      </c>
      <c r="E64" s="988" t="s">
        <v>2960</v>
      </c>
    </row>
    <row r="65" spans="1:5">
      <c r="A65" s="20">
        <v>931201</v>
      </c>
      <c r="B65" s="20">
        <v>999000</v>
      </c>
      <c r="D65" s="989" t="s">
        <v>2197</v>
      </c>
      <c r="E65" s="988" t="s">
        <v>2961</v>
      </c>
    </row>
    <row r="66" spans="1:5">
      <c r="D66" s="989" t="s">
        <v>1903</v>
      </c>
      <c r="E66" s="988" t="s">
        <v>2962</v>
      </c>
    </row>
    <row r="67" spans="1:5">
      <c r="A67" s="20">
        <v>931301</v>
      </c>
      <c r="B67" s="20">
        <v>999000</v>
      </c>
      <c r="D67" s="989" t="s">
        <v>1918</v>
      </c>
      <c r="E67" s="988" t="s">
        <v>2963</v>
      </c>
    </row>
    <row r="68" spans="1:5" ht="25.5">
      <c r="B68" s="20">
        <v>932911</v>
      </c>
      <c r="C68" s="988" t="s">
        <v>2964</v>
      </c>
      <c r="D68" s="989" t="s">
        <v>2965</v>
      </c>
      <c r="E68" s="988" t="s">
        <v>2964</v>
      </c>
    </row>
    <row r="69" spans="1:5">
      <c r="B69" s="20">
        <v>552001</v>
      </c>
      <c r="C69" s="988" t="s">
        <v>2966</v>
      </c>
      <c r="D69" s="989" t="s">
        <v>732</v>
      </c>
      <c r="E69" s="988" t="s">
        <v>2967</v>
      </c>
    </row>
    <row r="70" spans="1:5">
      <c r="B70" s="20">
        <v>900111</v>
      </c>
      <c r="C70" s="988" t="s">
        <v>2968</v>
      </c>
      <c r="D70" s="989" t="s">
        <v>2969</v>
      </c>
      <c r="E70" s="988" t="s">
        <v>2970</v>
      </c>
    </row>
    <row r="71" spans="1:5">
      <c r="D71" s="989" t="s">
        <v>2421</v>
      </c>
      <c r="E71" s="988" t="s">
        <v>2971</v>
      </c>
    </row>
    <row r="72" spans="1:5">
      <c r="B72" s="20">
        <v>910501</v>
      </c>
      <c r="C72" s="988" t="s">
        <v>2972</v>
      </c>
      <c r="D72" s="989" t="s">
        <v>986</v>
      </c>
      <c r="E72" s="988" t="s">
        <v>2973</v>
      </c>
    </row>
    <row r="73" spans="1:5">
      <c r="B73" s="20">
        <v>581400</v>
      </c>
      <c r="C73" s="988" t="s">
        <v>2974</v>
      </c>
      <c r="D73" s="989" t="s">
        <v>742</v>
      </c>
      <c r="E73" s="988" t="s">
        <v>2975</v>
      </c>
    </row>
    <row r="74" spans="1:5">
      <c r="D74" s="989" t="s">
        <v>2216</v>
      </c>
      <c r="E74" s="988" t="s">
        <v>2976</v>
      </c>
    </row>
    <row r="75" spans="1:5">
      <c r="A75" s="20">
        <v>890301</v>
      </c>
      <c r="B75" s="20">
        <v>999000</v>
      </c>
      <c r="D75" s="989" t="s">
        <v>2271</v>
      </c>
      <c r="E75" s="988" t="s">
        <v>2977</v>
      </c>
    </row>
    <row r="76" spans="1:5">
      <c r="A76" s="20">
        <v>890301</v>
      </c>
      <c r="D76" s="989" t="s">
        <v>2282</v>
      </c>
      <c r="E76" s="988" t="s">
        <v>2978</v>
      </c>
    </row>
    <row r="77" spans="1:5">
      <c r="A77" s="20">
        <v>890506</v>
      </c>
      <c r="D77" s="989" t="s">
        <v>1043</v>
      </c>
      <c r="E77" s="988" t="s">
        <v>2979</v>
      </c>
    </row>
    <row r="78" spans="1:5" ht="25.5">
      <c r="A78" s="20">
        <v>890216</v>
      </c>
      <c r="B78" s="20">
        <v>999000</v>
      </c>
      <c r="D78" s="989" t="s">
        <v>2038</v>
      </c>
      <c r="E78" s="988" t="s">
        <v>2980</v>
      </c>
    </row>
    <row r="79" spans="1:5">
      <c r="D79" s="989" t="s">
        <v>601</v>
      </c>
      <c r="E79" s="988" t="s">
        <v>2981</v>
      </c>
    </row>
    <row r="80" spans="1:5">
      <c r="D80" s="991" t="s">
        <v>2982</v>
      </c>
    </row>
    <row r="81" spans="1:5">
      <c r="D81" s="991" t="s">
        <v>2983</v>
      </c>
    </row>
    <row r="82" spans="1:5">
      <c r="B82" s="20">
        <v>872007</v>
      </c>
      <c r="C82" s="988" t="s">
        <v>2984</v>
      </c>
      <c r="D82" s="989" t="s">
        <v>2985</v>
      </c>
      <c r="E82" s="988" t="s">
        <v>2984</v>
      </c>
    </row>
    <row r="83" spans="1:5">
      <c r="B83" s="20">
        <v>999000</v>
      </c>
      <c r="D83" s="989" t="s">
        <v>2986</v>
      </c>
      <c r="E83" s="988" t="s">
        <v>2987</v>
      </c>
    </row>
    <row r="84" spans="1:5">
      <c r="B84" s="20">
        <v>999000</v>
      </c>
      <c r="C84" s="988" t="s">
        <v>2988</v>
      </c>
      <c r="D84" s="989" t="s">
        <v>2122</v>
      </c>
      <c r="E84" s="988" t="s">
        <v>2989</v>
      </c>
    </row>
    <row r="85" spans="1:5">
      <c r="B85" s="20">
        <v>873012</v>
      </c>
      <c r="C85" s="988" t="s">
        <v>2990</v>
      </c>
      <c r="D85" s="989" t="s">
        <v>2991</v>
      </c>
      <c r="E85" s="988" t="s">
        <v>2992</v>
      </c>
    </row>
    <row r="86" spans="1:5">
      <c r="A86" s="20">
        <v>882123</v>
      </c>
      <c r="B86" s="20">
        <v>999000</v>
      </c>
      <c r="C86" s="988" t="s">
        <v>125</v>
      </c>
      <c r="D86" s="989" t="s">
        <v>2993</v>
      </c>
      <c r="E86" s="988" t="s">
        <v>2994</v>
      </c>
    </row>
    <row r="87" spans="1:5">
      <c r="B87" s="20">
        <v>879018</v>
      </c>
      <c r="C87" s="988" t="s">
        <v>2995</v>
      </c>
      <c r="D87" s="989" t="s">
        <v>2996</v>
      </c>
      <c r="E87" s="988" t="s">
        <v>2995</v>
      </c>
    </row>
    <row r="88" spans="1:5">
      <c r="B88" s="20">
        <v>879019</v>
      </c>
      <c r="C88" s="988" t="s">
        <v>1892</v>
      </c>
      <c r="E88" s="988" t="s">
        <v>2995</v>
      </c>
    </row>
    <row r="89" spans="1:5">
      <c r="B89" s="20">
        <v>999000</v>
      </c>
      <c r="D89" s="989" t="s">
        <v>2997</v>
      </c>
      <c r="E89" s="988" t="s">
        <v>2998</v>
      </c>
    </row>
    <row r="90" spans="1:5">
      <c r="B90" s="20">
        <v>879019</v>
      </c>
      <c r="C90" s="988" t="s">
        <v>1892</v>
      </c>
      <c r="D90" s="989" t="s">
        <v>2999</v>
      </c>
      <c r="E90" s="988" t="s">
        <v>3000</v>
      </c>
    </row>
    <row r="91" spans="1:5">
      <c r="D91" s="989" t="s">
        <v>3001</v>
      </c>
      <c r="E91" s="988" t="s">
        <v>3002</v>
      </c>
    </row>
    <row r="92" spans="1:5">
      <c r="D92" s="989" t="s">
        <v>3003</v>
      </c>
      <c r="E92" s="988" t="s">
        <v>3004</v>
      </c>
    </row>
    <row r="93" spans="1:5">
      <c r="B93" s="20">
        <v>889913</v>
      </c>
      <c r="C93" s="988" t="s">
        <v>1895</v>
      </c>
      <c r="D93" s="989" t="s">
        <v>3005</v>
      </c>
      <c r="E93" s="988" t="s">
        <v>3006</v>
      </c>
    </row>
    <row r="94" spans="1:5">
      <c r="B94" s="20">
        <v>889929</v>
      </c>
      <c r="C94" s="988" t="s">
        <v>1898</v>
      </c>
      <c r="D94" s="989" t="s">
        <v>3007</v>
      </c>
      <c r="E94" s="988" t="s">
        <v>1898</v>
      </c>
    </row>
    <row r="95" spans="1:5">
      <c r="B95" s="20">
        <v>889923</v>
      </c>
      <c r="C95" s="988" t="s">
        <v>3008</v>
      </c>
      <c r="D95" s="989" t="s">
        <v>592</v>
      </c>
      <c r="E95" s="988" t="s">
        <v>3008</v>
      </c>
    </row>
    <row r="96" spans="1:5">
      <c r="A96" s="20">
        <v>882203</v>
      </c>
      <c r="B96" s="20">
        <v>999000</v>
      </c>
      <c r="C96" s="988" t="s">
        <v>2087</v>
      </c>
      <c r="D96" s="989" t="s">
        <v>2058</v>
      </c>
      <c r="E96" s="988" t="s">
        <v>3009</v>
      </c>
    </row>
    <row r="97" spans="1:5">
      <c r="A97" s="20">
        <v>882122</v>
      </c>
      <c r="B97" s="20">
        <v>999000</v>
      </c>
      <c r="C97" s="988" t="s">
        <v>3010</v>
      </c>
      <c r="D97" s="989" t="s">
        <v>2058</v>
      </c>
      <c r="E97" s="988" t="s">
        <v>3009</v>
      </c>
    </row>
    <row r="98" spans="1:5">
      <c r="D98" s="991" t="s">
        <v>3011</v>
      </c>
    </row>
    <row r="99" spans="1:5" ht="16.5" customHeight="1">
      <c r="B99" s="20">
        <v>999000</v>
      </c>
      <c r="D99" s="989" t="s">
        <v>595</v>
      </c>
      <c r="E99" s="988" t="s">
        <v>3012</v>
      </c>
    </row>
    <row r="100" spans="1:5">
      <c r="B100" s="20">
        <v>999000</v>
      </c>
      <c r="D100" s="989" t="s">
        <v>2627</v>
      </c>
      <c r="E100" s="988" t="s">
        <v>3013</v>
      </c>
    </row>
    <row r="101" spans="1:5">
      <c r="A101" s="20">
        <v>841908</v>
      </c>
      <c r="B101" s="20">
        <v>999000</v>
      </c>
      <c r="D101" s="989" t="s">
        <v>3014</v>
      </c>
      <c r="E101" s="988" t="s">
        <v>3015</v>
      </c>
    </row>
    <row r="102" spans="1:5" ht="25.5">
      <c r="B102" s="20">
        <v>999000</v>
      </c>
      <c r="C102" s="988" t="s">
        <v>3016</v>
      </c>
      <c r="D102" s="989" t="s">
        <v>3017</v>
      </c>
      <c r="E102" s="988" t="s">
        <v>3018</v>
      </c>
    </row>
  </sheetData>
  <sheetProtection selectLockedCells="1" selectUnlockedCells="1"/>
  <mergeCells count="2">
    <mergeCell ref="A1:E2"/>
    <mergeCell ref="C22:C23"/>
  </mergeCells>
  <pageMargins left="0.7" right="0.7" top="0.75" bottom="0.75" header="0.51180555555555551" footer="0.51180555555555551"/>
  <pageSetup paperSize="9" firstPageNumber="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50F69-8183-4C7D-83D6-8F937710034C}">
  <sheetPr>
    <tabColor indexed="50"/>
    <pageSetUpPr fitToPage="1"/>
  </sheetPr>
  <dimension ref="A1:Y46"/>
  <sheetViews>
    <sheetView view="pageBreakPreview" zoomScaleSheetLayoutView="100" workbookViewId="0">
      <pane xSplit="2" ySplit="5" topLeftCell="E6" activePane="bottomRight" state="frozen"/>
      <selection sqref="A1:AC1"/>
      <selection pane="topRight" sqref="A1:AC1"/>
      <selection pane="bottomLeft" sqref="A1:AC1"/>
      <selection pane="bottomRight" sqref="A1:AC1"/>
    </sheetView>
  </sheetViews>
  <sheetFormatPr defaultColWidth="8" defaultRowHeight="12.75"/>
  <cols>
    <col min="1" max="1" width="5.85546875" style="45" customWidth="1"/>
    <col min="2" max="2" width="44.5703125" style="45" customWidth="1"/>
    <col min="3" max="3" width="13.85546875" style="45" hidden="1" customWidth="1"/>
    <col min="4" max="4" width="13.42578125" style="46" hidden="1" customWidth="1"/>
    <col min="5" max="5" width="14" style="48" customWidth="1"/>
    <col min="6" max="7" width="14" style="48" hidden="1" customWidth="1"/>
    <col min="8" max="8" width="14" style="48" customWidth="1"/>
    <col min="9" max="9" width="14" style="48" hidden="1" customWidth="1"/>
    <col min="10" max="10" width="14" style="48" customWidth="1"/>
    <col min="11" max="11" width="12.140625" style="48" customWidth="1"/>
    <col min="12" max="12" width="13.85546875" style="48" hidden="1" customWidth="1"/>
    <col min="13" max="13" width="46.5703125" style="48" customWidth="1"/>
    <col min="14" max="14" width="13.42578125" style="48" hidden="1" customWidth="1"/>
    <col min="15" max="15" width="14.28515625" style="49" hidden="1" customWidth="1"/>
    <col min="16" max="16" width="13.5703125" style="48" customWidth="1"/>
    <col min="17" max="18" width="14" style="48" hidden="1" customWidth="1"/>
    <col min="19" max="19" width="14" style="48" customWidth="1"/>
    <col min="20" max="20" width="14" style="48" hidden="1" customWidth="1"/>
    <col min="21" max="21" width="14" style="48" customWidth="1"/>
    <col min="22" max="22" width="12.85546875" style="48" customWidth="1"/>
    <col min="23" max="23" width="4.140625" style="48" hidden="1" customWidth="1"/>
    <col min="24" max="24" width="14.5703125" style="48" hidden="1" customWidth="1"/>
    <col min="25" max="25" width="14.140625" style="48" hidden="1" customWidth="1"/>
    <col min="26" max="16384" width="8" style="48"/>
  </cols>
  <sheetData>
    <row r="1" spans="1:25" ht="30" customHeight="1">
      <c r="A1" s="3566" t="s">
        <v>4257</v>
      </c>
      <c r="B1" s="3567"/>
      <c r="C1" s="3567"/>
      <c r="D1" s="3567"/>
      <c r="E1" s="3567"/>
      <c r="F1" s="3567"/>
      <c r="G1" s="3567"/>
      <c r="H1" s="3567"/>
      <c r="I1" s="3567"/>
      <c r="J1" s="3567"/>
      <c r="K1" s="3567"/>
      <c r="L1" s="3567"/>
      <c r="M1" s="3567"/>
      <c r="N1" s="3567"/>
      <c r="O1" s="3567"/>
      <c r="P1" s="3567"/>
      <c r="Q1" s="3567"/>
      <c r="R1" s="3567"/>
      <c r="S1" s="3567"/>
      <c r="T1" s="3567"/>
      <c r="U1" s="3567"/>
      <c r="V1" s="3567"/>
      <c r="W1" s="3568"/>
      <c r="X1" s="3568"/>
      <c r="Y1" s="3568"/>
    </row>
    <row r="2" spans="1:25" ht="21" customHeight="1">
      <c r="A2" s="3574" t="s">
        <v>3368</v>
      </c>
      <c r="B2" s="3575"/>
      <c r="C2" s="3575"/>
      <c r="D2" s="3575"/>
      <c r="E2" s="3575"/>
      <c r="F2" s="3575"/>
      <c r="G2" s="3575"/>
      <c r="H2" s="3575"/>
      <c r="I2" s="3575"/>
      <c r="J2" s="3575"/>
      <c r="K2" s="3575"/>
      <c r="L2" s="3575"/>
      <c r="M2" s="3575"/>
      <c r="N2" s="3575"/>
      <c r="O2" s="3575"/>
      <c r="P2" s="3575"/>
      <c r="Q2" s="3575"/>
      <c r="R2" s="3575"/>
      <c r="S2" s="3575"/>
      <c r="T2" s="3575"/>
      <c r="U2" s="3575"/>
      <c r="V2" s="3575"/>
      <c r="W2" s="2762"/>
      <c r="X2" s="2545"/>
      <c r="Y2" s="2545"/>
    </row>
    <row r="3" spans="1:25" s="1058" customFormat="1" ht="13.5" customHeight="1">
      <c r="A3" s="1870"/>
      <c r="B3" s="1871" t="str">
        <f>+'2. mell.  '!B3</f>
        <v>A</v>
      </c>
      <c r="C3" s="1871" t="str">
        <f>+'2. mell.  '!C3</f>
        <v>B</v>
      </c>
      <c r="D3" s="1871" t="str">
        <f>+'2. mell.  '!D3</f>
        <v>B</v>
      </c>
      <c r="E3" s="1871" t="str">
        <f>+'2. mell.  '!E3</f>
        <v>B</v>
      </c>
      <c r="F3" s="1871" t="str">
        <f>+'2. mell.  '!F3</f>
        <v>D</v>
      </c>
      <c r="G3" s="1871" t="str">
        <f>+'2. mell.  '!G3</f>
        <v>E</v>
      </c>
      <c r="H3" s="1871" t="str">
        <f>+'2. mell.  '!H3</f>
        <v>C</v>
      </c>
      <c r="I3" s="1871">
        <f>+'2. mell.  '!I3</f>
        <v>0</v>
      </c>
      <c r="J3" s="1871" t="str">
        <f>+'2. mell.  '!J3</f>
        <v>D</v>
      </c>
      <c r="K3" s="1871" t="str">
        <f>+'2. mell.  '!K3</f>
        <v>E</v>
      </c>
      <c r="L3" s="1871" t="str">
        <f>+'2. mell.  '!L3</f>
        <v>G</v>
      </c>
      <c r="M3" s="1871" t="str">
        <f>+'2. mell.  '!M3</f>
        <v>F</v>
      </c>
      <c r="N3" s="1871" t="str">
        <f>+'2. mell.  '!N3</f>
        <v>H</v>
      </c>
      <c r="O3" s="1871" t="str">
        <f>+'2. mell.  '!O3</f>
        <v>H</v>
      </c>
      <c r="P3" s="1871" t="str">
        <f>+'2. mell.  '!P3</f>
        <v>G</v>
      </c>
      <c r="Q3" s="1871" t="str">
        <f>+'2. mell.  '!Q3</f>
        <v>K</v>
      </c>
      <c r="R3" s="1871" t="str">
        <f>+'2. mell.  '!R3</f>
        <v>L</v>
      </c>
      <c r="S3" s="1871" t="str">
        <f>+'2. mell.  '!S3</f>
        <v>H</v>
      </c>
      <c r="T3" s="1871">
        <f>+'2. mell.  '!T3</f>
        <v>0</v>
      </c>
      <c r="U3" s="1871" t="str">
        <f>+'2. mell.  '!U3</f>
        <v>I</v>
      </c>
      <c r="V3" s="1871" t="str">
        <f>+'2. mell.  '!V3</f>
        <v>J</v>
      </c>
      <c r="W3" s="2762"/>
      <c r="X3" s="1871" t="str">
        <f>+'2. mell.  '!X3</f>
        <v>I</v>
      </c>
      <c r="Y3" s="1871" t="str">
        <f>+'2. mell.  '!Y3</f>
        <v>N</v>
      </c>
    </row>
    <row r="4" spans="1:25" s="50" customFormat="1" ht="90" customHeight="1">
      <c r="A4" s="1870" t="s">
        <v>6</v>
      </c>
      <c r="B4" s="1875" t="s">
        <v>3355</v>
      </c>
      <c r="C4" s="1875" t="str">
        <f>+'2. mell.  '!C4</f>
        <v>2024. évi eredeti előirányzat
forintban</v>
      </c>
      <c r="D4" s="2566" t="str">
        <f>+'2. mell.  '!D4</f>
        <v>2024. évi teljesítés forintban</v>
      </c>
      <c r="E4" s="1875" t="str">
        <f>+'2. mell.  '!E4</f>
        <v>2025. évi eredeti előirányzat forintban</v>
      </c>
      <c r="F4" s="1875" t="str">
        <f>+'2. mell.  '!F4</f>
        <v>2025. évi I. számú módosított előirányzat
forintban</v>
      </c>
      <c r="G4" s="1875" t="str">
        <f>+'2. mell.  '!G4</f>
        <v>2025. évi II. számú módosított előirányzat forintban</v>
      </c>
      <c r="H4" s="1875" t="str">
        <f>+'2. mell.  '!H4</f>
        <v>2025. évi III. számú módosított előirányzat forintban</v>
      </c>
      <c r="I4" s="1875" t="str">
        <f>+'2. mell.  '!I4</f>
        <v>2025. évi IV. számú módosított előirányzat forintban</v>
      </c>
      <c r="J4" s="1876" t="str">
        <f>+'2. mell.  '!J4</f>
        <v>2025. évi
teljesítés forintban</v>
      </c>
      <c r="K4" s="1877" t="str">
        <f>+'2. mell.  '!K4</f>
        <v xml:space="preserve"> 2025. évi teljesítés / 2025. évi III. számú módosított előirányzat</v>
      </c>
      <c r="L4" s="3168" t="str">
        <f>+'2. mell.  '!L4</f>
        <v>Bevételi előirányzat-módosítások, előirányzat-átcsoportosítások összegszerű változásai a III. módosításnál</v>
      </c>
      <c r="M4" s="1875" t="s">
        <v>3356</v>
      </c>
      <c r="N4" s="1875" t="str">
        <f>+'2. mell.  '!N4</f>
        <v>2024. évi eredeti előirányzat
forintban</v>
      </c>
      <c r="O4" s="2557" t="str">
        <f>+'2. mell.  '!O4</f>
        <v>2024. évi teljesítés forintban</v>
      </c>
      <c r="P4" s="1875" t="str">
        <f>+'2. mell.  '!P4</f>
        <v>2025. évi eredeti előirányzat forintban</v>
      </c>
      <c r="Q4" s="1875" t="str">
        <f>+'2. mell.  '!Q4</f>
        <v>2025. évi I. számú módosított előirányzat
forintban</v>
      </c>
      <c r="R4" s="1875" t="str">
        <f>+'2. mell.  '!R4</f>
        <v>2025. évi II. számú módosított előirányzat forintban</v>
      </c>
      <c r="S4" s="1875" t="str">
        <f>+'2. mell.  '!S4</f>
        <v>2025. évi III. számú módosított előirányzat forintban</v>
      </c>
      <c r="T4" s="1875" t="str">
        <f>+'2. mell.  '!T4</f>
        <v>2025. évi IV. számú módosított előirányzat forintban</v>
      </c>
      <c r="U4" s="1876" t="str">
        <f>+'2. mell.  '!U4</f>
        <v>2025. évi
teljesítés forintban</v>
      </c>
      <c r="V4" s="1877" t="str">
        <f>+'2. mell.  '!V4</f>
        <v xml:space="preserve"> 2025. évi teljesítés / 2025. évi III. számú módosított előirányzat</v>
      </c>
      <c r="W4" s="2762"/>
      <c r="X4" s="1875" t="str">
        <f>+'2. mell.  '!X4</f>
        <v>Bevételi előirányzat-módosítások, előirányzat-átcsoportosítások összegszerű változásai</v>
      </c>
      <c r="Y4" s="1960" t="str">
        <f>+'2. mell.  '!Y4</f>
        <v>Bevételi előirányzat-módosítások, előirányzat-átcsoportosítások összegszerű változásai a III. módosításnál</v>
      </c>
    </row>
    <row r="5" spans="1:25" s="50" customFormat="1" hidden="1">
      <c r="A5" s="1878"/>
      <c r="B5" s="1874"/>
      <c r="C5" s="1878"/>
      <c r="D5" s="2567"/>
      <c r="E5" s="1878"/>
      <c r="F5" s="1878"/>
      <c r="G5" s="1878"/>
      <c r="H5" s="1878"/>
      <c r="I5" s="1878"/>
      <c r="J5" s="1878"/>
      <c r="K5" s="1903"/>
      <c r="L5" s="1903"/>
      <c r="M5" s="1878"/>
      <c r="N5" s="1874"/>
      <c r="O5" s="2567"/>
      <c r="P5" s="1878"/>
      <c r="Q5" s="1878"/>
      <c r="R5" s="1878"/>
      <c r="S5" s="1878"/>
      <c r="T5" s="1878"/>
      <c r="U5" s="1878"/>
      <c r="V5" s="1903"/>
      <c r="W5" s="2762"/>
      <c r="X5" s="2544"/>
      <c r="Y5" s="2544"/>
    </row>
    <row r="6" spans="1:25" ht="12.95" customHeight="1">
      <c r="A6" s="1882" t="s">
        <v>12</v>
      </c>
      <c r="B6" s="1883" t="s">
        <v>428</v>
      </c>
      <c r="C6" s="997">
        <f>+'5. mell.Önk-i mérleg'!C21+'8. mell. Intézmények összesen'!D27</f>
        <v>800000000</v>
      </c>
      <c r="D6" s="2559">
        <f>+'5. mell.Önk-i mérleg'!D21+'8. mell. Intézmények összesen'!E27</f>
        <v>620000</v>
      </c>
      <c r="E6" s="997">
        <f>+'5. mell.Önk-i mérleg'!E21+'8. mell. Intézmények összesen'!F27</f>
        <v>1631350723</v>
      </c>
      <c r="F6" s="997">
        <f>+'5. mell.Önk-i mérleg'!F21+'8. mell. Intézmények összesen'!G27</f>
        <v>1631350723</v>
      </c>
      <c r="G6" s="997">
        <f>+'5. mell.Önk-i mérleg'!G21+'8. mell. Intézmények összesen'!H27</f>
        <v>1691350723</v>
      </c>
      <c r="H6" s="997">
        <f>+'5. mell.Önk-i mérleg'!H21+'8. mell. Intézmények összesen'!I27</f>
        <v>1192760390</v>
      </c>
      <c r="I6" s="997">
        <f>+'5. mell.Önk-i mérleg'!I21+'8. mell. Intézmények összesen'!J27</f>
        <v>1192760390</v>
      </c>
      <c r="J6" s="998">
        <f>+'5. mell.Önk-i mérleg'!J21+'8. mell. Intézmények összesen'!K27</f>
        <v>1192760390</v>
      </c>
      <c r="K6" s="1884">
        <f>+J6/H6</f>
        <v>1</v>
      </c>
      <c r="L6" s="997">
        <f t="shared" ref="L6:L11" si="0">+H6-G6</f>
        <v>-498590333</v>
      </c>
      <c r="M6" s="1883" t="s">
        <v>82</v>
      </c>
      <c r="N6" s="997">
        <f>+'5. mell.Önk-i mérleg'!C112+'8. mell. Intézmények összesen'!D48</f>
        <v>9182373384.9300003</v>
      </c>
      <c r="O6" s="2559">
        <f>+'5. mell.Önk-i mérleg'!D112+'8. mell. Intézmények összesen'!E48</f>
        <v>5465388970</v>
      </c>
      <c r="P6" s="997">
        <f>+'5. mell.Önk-i mérleg'!E112+'8. mell. Intézmények összesen'!F48</f>
        <v>2638893541</v>
      </c>
      <c r="Q6" s="997">
        <f>+'5. mell.Önk-i mérleg'!F112+'8. mell. Intézmények összesen'!G48</f>
        <v>2670248569</v>
      </c>
      <c r="R6" s="997">
        <f>+'5. mell.Önk-i mérleg'!G112+'8. mell. Intézmények összesen'!H48</f>
        <v>2710087404</v>
      </c>
      <c r="S6" s="997">
        <f>+'5. mell.Önk-i mérleg'!H112+'8. mell. Intézmények összesen'!I48</f>
        <v>2351969528</v>
      </c>
      <c r="T6" s="997">
        <f>+'5. mell.Önk-i mérleg'!I112+'8. mell. Intézmények összesen'!J48</f>
        <v>2351969528</v>
      </c>
      <c r="U6" s="998">
        <f>+'5. mell.Önk-i mérleg'!J112+'8. mell. Intézmények összesen'!K48</f>
        <v>1547676817</v>
      </c>
      <c r="V6" s="1884">
        <f>+U6/S6</f>
        <v>0.65803438291824667</v>
      </c>
      <c r="W6" s="2762"/>
      <c r="X6" s="52">
        <f>+G6-F6</f>
        <v>60000000</v>
      </c>
      <c r="Y6" s="997">
        <f>+S6-R6</f>
        <v>-358117876</v>
      </c>
    </row>
    <row r="7" spans="1:25">
      <c r="A7" s="1882" t="s">
        <v>14</v>
      </c>
      <c r="B7" s="1883" t="s">
        <v>429</v>
      </c>
      <c r="C7" s="997">
        <f>+'5. mell.Önk-i mérleg'!C27+'8. mell. Intézmények összesen'!D28</f>
        <v>629921260</v>
      </c>
      <c r="D7" s="2559">
        <f>+'5. mell.Önk-i mérleg'!D27+'8. mell. Intézmények összesen'!E28</f>
        <v>0</v>
      </c>
      <c r="E7" s="997">
        <f>+'5. mell.Önk-i mérleg'!E27+'8. mell. Intézmények összesen'!F28</f>
        <v>538761279</v>
      </c>
      <c r="F7" s="997">
        <f>+'5. mell.Önk-i mérleg'!F27+'8. mell. Intézmények összesen'!G28</f>
        <v>538761279</v>
      </c>
      <c r="G7" s="997">
        <f>+'5. mell.Önk-i mérleg'!G27+'8. mell. Intézmények összesen'!H28</f>
        <v>538761279</v>
      </c>
      <c r="H7" s="997">
        <f>+'5. mell.Önk-i mérleg'!H27+'8. mell. Intézmények összesen'!I28</f>
        <v>394760390</v>
      </c>
      <c r="I7" s="997">
        <f>+'5. mell.Önk-i mérleg'!I27+'8. mell. Intézmények összesen'!J28</f>
        <v>394760390</v>
      </c>
      <c r="J7" s="998">
        <f>+'5. mell.Önk-i mérleg'!J27+'8. mell. Intézmények összesen'!K28</f>
        <v>394760390</v>
      </c>
      <c r="K7" s="1884">
        <f>+J7/H7</f>
        <v>1</v>
      </c>
      <c r="L7" s="997">
        <f t="shared" si="0"/>
        <v>-144000889</v>
      </c>
      <c r="M7" s="1883" t="s">
        <v>430</v>
      </c>
      <c r="N7" s="997">
        <f>+'5. mell.Önk-i mérleg'!C113+'8. mell. Intézmények összesen'!D51</f>
        <v>943326106</v>
      </c>
      <c r="O7" s="2559">
        <f>+'5. mell.Önk-i mérleg'!D113+'8. mell. Intézmények összesen'!E51</f>
        <v>736513003</v>
      </c>
      <c r="P7" s="997">
        <f>+'5. mell.Önk-i mérleg'!E113+'8. mell. Intézmények összesen'!F51</f>
        <v>47248350</v>
      </c>
      <c r="Q7" s="997">
        <f>+'5. mell.Önk-i mérleg'!F113+'8. mell. Intézmények összesen'!G51</f>
        <v>47248350</v>
      </c>
      <c r="R7" s="997">
        <f>+'5. mell.Önk-i mérleg'!G113+'8. mell. Intézmények összesen'!H51</f>
        <v>47248350</v>
      </c>
      <c r="S7" s="997">
        <f>+'5. mell.Önk-i mérleg'!H113+'8. mell. Intézmények összesen'!I51</f>
        <v>170660113</v>
      </c>
      <c r="T7" s="997">
        <f>+'5. mell.Önk-i mérleg'!I113+'8. mell. Intézmények összesen'!J51</f>
        <v>170660113</v>
      </c>
      <c r="U7" s="998">
        <f>+'5. mell.Önk-i mérleg'!J113+'8. mell. Intézmények összesen'!K51</f>
        <v>47187745</v>
      </c>
      <c r="V7" s="1884">
        <f>+U7/S7</f>
        <v>0.27650131111773024</v>
      </c>
      <c r="W7" s="2762"/>
      <c r="X7" s="52">
        <f t="shared" ref="X7:X33" si="1">+G7-F7</f>
        <v>0</v>
      </c>
      <c r="Y7" s="997">
        <f t="shared" ref="Y7:Y34" si="2">+S7-R7</f>
        <v>123411763</v>
      </c>
    </row>
    <row r="8" spans="1:25" ht="12.95" customHeight="1">
      <c r="A8" s="1882" t="s">
        <v>15</v>
      </c>
      <c r="B8" s="1883" t="s">
        <v>431</v>
      </c>
      <c r="C8" s="997">
        <f>+'5. mell.Önk-i mérleg'!C47+'8. mell. Intézmények összesen'!D20</f>
        <v>1284721430.1900001</v>
      </c>
      <c r="D8" s="2559">
        <f>+'5. mell.Önk-i mérleg'!D47+'8. mell. Intézmények összesen'!E20</f>
        <v>298625231</v>
      </c>
      <c r="E8" s="997">
        <f>+'5. mell.Önk-i mérleg'!E47+'8. mell. Intézmények összesen'!F20</f>
        <v>1091869854</v>
      </c>
      <c r="F8" s="997">
        <f>+'5. mell.Önk-i mérleg'!F47+'8. mell. Intézmények összesen'!G20</f>
        <v>1091869854</v>
      </c>
      <c r="G8" s="997">
        <f>+'5. mell.Önk-i mérleg'!G47+'8. mell. Intézmények összesen'!H20</f>
        <v>1091869854</v>
      </c>
      <c r="H8" s="997">
        <f>+'5. mell.Önk-i mérleg'!H47+'8. mell. Intézmények összesen'!I20</f>
        <v>175223066</v>
      </c>
      <c r="I8" s="997">
        <f>+'5. mell.Önk-i mérleg'!I47+'8. mell. Intézmények összesen'!J20</f>
        <v>175223066</v>
      </c>
      <c r="J8" s="998">
        <f>+'5. mell.Önk-i mérleg'!J47+'8. mell. Intézmények összesen'!K20</f>
        <v>175223066</v>
      </c>
      <c r="K8" s="1884">
        <f>+J8/H8</f>
        <v>1</v>
      </c>
      <c r="L8" s="997">
        <f t="shared" si="0"/>
        <v>-916646788</v>
      </c>
      <c r="M8" s="1883" t="s">
        <v>344</v>
      </c>
      <c r="N8" s="997">
        <f>+'5. mell.Önk-i mérleg'!C114+'8. mell. Intézmények összesen'!D49</f>
        <v>744660466</v>
      </c>
      <c r="O8" s="2559">
        <f>+'5. mell.Önk-i mérleg'!D114+'8. mell. Intézmények összesen'!E49</f>
        <v>311370321</v>
      </c>
      <c r="P8" s="997">
        <f>+'5. mell.Önk-i mérleg'!E114+'8. mell. Intézmények összesen'!F49</f>
        <v>772037459</v>
      </c>
      <c r="Q8" s="997">
        <f>+'5. mell.Önk-i mérleg'!F114+'8. mell. Intézmények összesen'!G49</f>
        <v>793668452</v>
      </c>
      <c r="R8" s="997">
        <f>+'5. mell.Önk-i mérleg'!G114+'8. mell. Intézmények összesen'!H49</f>
        <v>881439624</v>
      </c>
      <c r="S8" s="997">
        <f>+'5. mell.Önk-i mérleg'!H114+'8. mell. Intézmények összesen'!I49</f>
        <v>875505339</v>
      </c>
      <c r="T8" s="997">
        <f>+'5. mell.Önk-i mérleg'!I114+'8. mell. Intézmények összesen'!J49</f>
        <v>875505339</v>
      </c>
      <c r="U8" s="998">
        <f>+'5. mell.Önk-i mérleg'!J114+'8. mell. Intézmények összesen'!K49</f>
        <v>397986635</v>
      </c>
      <c r="V8" s="1884">
        <f>+U8/S8</f>
        <v>0.4545793352380687</v>
      </c>
      <c r="W8" s="2762"/>
      <c r="X8" s="52">
        <f t="shared" si="1"/>
        <v>0</v>
      </c>
      <c r="Y8" s="997">
        <f t="shared" si="2"/>
        <v>-5934285</v>
      </c>
    </row>
    <row r="9" spans="1:25" ht="12.95" customHeight="1">
      <c r="A9" s="1882" t="s">
        <v>17</v>
      </c>
      <c r="B9" s="1883" t="s">
        <v>432</v>
      </c>
      <c r="C9" s="997">
        <f>+'5. mell.Önk-i mérleg'!C58+'8. mell. Intézmények összesen'!D30</f>
        <v>104429188</v>
      </c>
      <c r="D9" s="2559">
        <f>+'5. mell.Önk-i mérleg'!D58+'8. mell. Intézmények összesen'!E30</f>
        <v>63990353</v>
      </c>
      <c r="E9" s="997">
        <f>+'5. mell.Önk-i mérleg'!E58+'8. mell. Intézmények összesen'!F30</f>
        <v>3218439</v>
      </c>
      <c r="F9" s="997">
        <f>+'5. mell.Önk-i mérleg'!F58+'8. mell. Intézmények összesen'!G30</f>
        <v>3218439</v>
      </c>
      <c r="G9" s="997">
        <f>+'5. mell.Önk-i mérleg'!G58+'8. mell. Intézmények összesen'!H30</f>
        <v>3218439</v>
      </c>
      <c r="H9" s="997">
        <f>+'5. mell.Önk-i mérleg'!H58+'8. mell. Intézmények összesen'!I30</f>
        <v>5253618</v>
      </c>
      <c r="I9" s="997">
        <f>+'5. mell.Önk-i mérleg'!I58+'8. mell. Intézmények összesen'!J30</f>
        <v>5253618</v>
      </c>
      <c r="J9" s="998">
        <f>+'5. mell.Önk-i mérleg'!J58+'8. mell. Intézmények összesen'!K30</f>
        <v>5253618</v>
      </c>
      <c r="K9" s="1884">
        <f>+J9/H9</f>
        <v>1</v>
      </c>
      <c r="L9" s="997">
        <f t="shared" si="0"/>
        <v>2035179</v>
      </c>
      <c r="M9" s="1883" t="s">
        <v>433</v>
      </c>
      <c r="N9" s="997">
        <v>0</v>
      </c>
      <c r="O9" s="2569">
        <v>0</v>
      </c>
      <c r="P9" s="997">
        <v>0</v>
      </c>
      <c r="Q9" s="997">
        <f>+P9</f>
        <v>0</v>
      </c>
      <c r="R9" s="997">
        <f>+Q9</f>
        <v>0</v>
      </c>
      <c r="S9" s="1003">
        <f>+R9</f>
        <v>0</v>
      </c>
      <c r="T9" s="1003">
        <f>+S9</f>
        <v>0</v>
      </c>
      <c r="U9" s="998">
        <f>+T9</f>
        <v>0</v>
      </c>
      <c r="V9" s="1884"/>
      <c r="W9" s="2762"/>
      <c r="X9" s="52">
        <f t="shared" si="1"/>
        <v>0</v>
      </c>
      <c r="Y9" s="997">
        <f t="shared" si="2"/>
        <v>0</v>
      </c>
    </row>
    <row r="10" spans="1:25" ht="12.75" customHeight="1">
      <c r="A10" s="1882" t="s">
        <v>19</v>
      </c>
      <c r="B10" s="1883" t="s">
        <v>434</v>
      </c>
      <c r="C10" s="997">
        <f>+'5. mell.Önk-i mérleg'!C62</f>
        <v>98690400</v>
      </c>
      <c r="D10" s="2559">
        <f>+'5. mell.Önk-i mérleg'!D62</f>
        <v>0</v>
      </c>
      <c r="E10" s="997">
        <f>+'5. mell.Önk-i mérleg'!E62</f>
        <v>0</v>
      </c>
      <c r="F10" s="997">
        <f>+'5. mell.Önk-i mérleg'!F62</f>
        <v>0</v>
      </c>
      <c r="G10" s="997">
        <f>+'5. mell.Önk-i mérleg'!G62</f>
        <v>0</v>
      </c>
      <c r="H10" s="997">
        <f>+'5. mell.Önk-i mérleg'!H62</f>
        <v>0</v>
      </c>
      <c r="I10" s="997">
        <f>+'5. mell.Önk-i mérleg'!I62</f>
        <v>0</v>
      </c>
      <c r="J10" s="998">
        <f>+'5. mell.Önk-i mérleg'!J62</f>
        <v>0</v>
      </c>
      <c r="K10" s="1884"/>
      <c r="L10" s="997">
        <f t="shared" si="0"/>
        <v>0</v>
      </c>
      <c r="M10" s="1883" t="s">
        <v>346</v>
      </c>
      <c r="N10" s="997">
        <f>+'5. mell.Önk-i mérleg'!C116+'8. mell. Intézmények összesen'!D50</f>
        <v>124756118</v>
      </c>
      <c r="O10" s="2559">
        <f>+'5. mell.Önk-i mérleg'!D116+'8. mell. Intézmények összesen'!E50</f>
        <v>100870867</v>
      </c>
      <c r="P10" s="997">
        <f>+'5. mell.Önk-i mérleg'!E116</f>
        <v>255066046</v>
      </c>
      <c r="Q10" s="997">
        <f>+'5. mell.Önk-i mérleg'!F116</f>
        <v>251526380</v>
      </c>
      <c r="R10" s="997">
        <f>+'5. mell.Önk-i mérleg'!G116</f>
        <v>257714578</v>
      </c>
      <c r="S10" s="997">
        <f>+'5. mell.Önk-i mérleg'!H116</f>
        <v>307892573</v>
      </c>
      <c r="T10" s="997">
        <f>+'5. mell.Önk-i mérleg'!I116</f>
        <v>307892573</v>
      </c>
      <c r="U10" s="998">
        <f>+'5. mell.Önk-i mérleg'!J116</f>
        <v>254380188</v>
      </c>
      <c r="V10" s="1884">
        <f>+U10/S10</f>
        <v>0.82619786999538958</v>
      </c>
      <c r="W10" s="2762"/>
      <c r="X10" s="52">
        <f t="shared" si="1"/>
        <v>0</v>
      </c>
      <c r="Y10" s="997">
        <f t="shared" si="2"/>
        <v>50177995</v>
      </c>
    </row>
    <row r="11" spans="1:25" ht="12.95" customHeight="1">
      <c r="A11" s="1882" t="s">
        <v>21</v>
      </c>
      <c r="B11" s="1883" t="s">
        <v>435</v>
      </c>
      <c r="C11" s="997">
        <f>+'5. mell.Önk-i mérleg'!C61</f>
        <v>100050400</v>
      </c>
      <c r="D11" s="2559">
        <f>+'5. mell.Önk-i mérleg'!D61</f>
        <v>57344145</v>
      </c>
      <c r="E11" s="997">
        <f>+'5. mell.Önk-i mérleg'!E61</f>
        <v>406125</v>
      </c>
      <c r="F11" s="997">
        <f>+'5. mell.Önk-i mérleg'!F61</f>
        <v>406125</v>
      </c>
      <c r="G11" s="997">
        <f>+'5. mell.Önk-i mérleg'!G61</f>
        <v>406125</v>
      </c>
      <c r="H11" s="997">
        <f>+'5. mell.Önk-i mérleg'!H61</f>
        <v>1077665</v>
      </c>
      <c r="I11" s="997">
        <f>+'5. mell.Önk-i mérleg'!I61</f>
        <v>1077665</v>
      </c>
      <c r="J11" s="998">
        <f>+'5. mell.Önk-i mérleg'!J61</f>
        <v>1077665</v>
      </c>
      <c r="K11" s="1884">
        <f>+J11/H11</f>
        <v>1</v>
      </c>
      <c r="L11" s="997">
        <f t="shared" si="0"/>
        <v>671540</v>
      </c>
      <c r="M11" s="1885"/>
      <c r="N11" s="997"/>
      <c r="O11" s="2559"/>
      <c r="P11" s="997"/>
      <c r="Q11" s="997"/>
      <c r="R11" s="997"/>
      <c r="S11" s="997"/>
      <c r="T11" s="997"/>
      <c r="U11" s="998"/>
      <c r="V11" s="1884"/>
      <c r="W11" s="2762"/>
      <c r="X11" s="52">
        <f t="shared" si="1"/>
        <v>0</v>
      </c>
      <c r="Y11" s="997">
        <f t="shared" si="2"/>
        <v>0</v>
      </c>
    </row>
    <row r="12" spans="1:25" ht="12.95" customHeight="1">
      <c r="A12" s="1882" t="s">
        <v>23</v>
      </c>
      <c r="B12" s="1886"/>
      <c r="C12" s="997"/>
      <c r="D12" s="2559"/>
      <c r="E12" s="997"/>
      <c r="F12" s="997"/>
      <c r="G12" s="997"/>
      <c r="H12" s="997"/>
      <c r="I12" s="997"/>
      <c r="J12" s="998"/>
      <c r="K12" s="1884"/>
      <c r="L12" s="997"/>
      <c r="M12" s="1885" t="s">
        <v>395</v>
      </c>
      <c r="N12" s="997"/>
      <c r="O12" s="2559"/>
      <c r="P12" s="997"/>
      <c r="Q12" s="997">
        <f>+'33. mell. E.műk.c.kiad.'!L91</f>
        <v>0</v>
      </c>
      <c r="R12" s="997">
        <f>+'33. mell. E.műk.c.kiad.'!M91</f>
        <v>0</v>
      </c>
      <c r="S12" s="997">
        <f>+'33. mell. E.műk.c.kiad.'!N91</f>
        <v>0</v>
      </c>
      <c r="T12" s="997">
        <f>+'33. mell. E.műk.c.kiad.'!O91</f>
        <v>0</v>
      </c>
      <c r="U12" s="998">
        <f>+'33. mell. E.műk.c.kiad.'!P91</f>
        <v>0</v>
      </c>
      <c r="V12" s="1884"/>
      <c r="W12" s="2762"/>
      <c r="X12" s="52">
        <f t="shared" si="1"/>
        <v>0</v>
      </c>
      <c r="Y12" s="997">
        <f t="shared" si="2"/>
        <v>0</v>
      </c>
    </row>
    <row r="13" spans="1:25" ht="12.95" customHeight="1">
      <c r="A13" s="1882" t="s">
        <v>25</v>
      </c>
      <c r="B13" s="1886"/>
      <c r="C13" s="997"/>
      <c r="D13" s="2559"/>
      <c r="E13" s="997"/>
      <c r="F13" s="997"/>
      <c r="G13" s="997"/>
      <c r="H13" s="997"/>
      <c r="I13" s="997"/>
      <c r="J13" s="998"/>
      <c r="K13" s="1884"/>
      <c r="L13" s="997"/>
      <c r="M13" s="1886" t="str">
        <f>+'33. mell. E.műk.c.kiad.'!B93</f>
        <v>Sportcsarnok Alap</v>
      </c>
      <c r="N13" s="997">
        <f>+'33. mell. E.műk.c.kiad.'!I93</f>
        <v>178671473</v>
      </c>
      <c r="O13" s="2559">
        <f>+'33. mell. E.műk.c.kiad.'!J93</f>
        <v>0</v>
      </c>
      <c r="P13" s="997">
        <f>+'33. mell. E.műk.c.kiad.'!K93</f>
        <v>178671473</v>
      </c>
      <c r="Q13" s="997">
        <f>+'33. mell. E.műk.c.kiad.'!L93</f>
        <v>178671473</v>
      </c>
      <c r="R13" s="997">
        <f>+'33. mell. E.műk.c.kiad.'!M93</f>
        <v>178671473</v>
      </c>
      <c r="S13" s="997">
        <f>+'33. mell. E.műk.c.kiad.'!N93</f>
        <v>5600239</v>
      </c>
      <c r="T13" s="997">
        <f>+'33. mell. E.műk.c.kiad.'!O93</f>
        <v>5600239</v>
      </c>
      <c r="U13" s="998">
        <v>0</v>
      </c>
      <c r="V13" s="1884">
        <f>+U13/S13</f>
        <v>0</v>
      </c>
      <c r="W13" s="2762"/>
      <c r="X13" s="52">
        <f t="shared" si="1"/>
        <v>0</v>
      </c>
      <c r="Y13" s="997">
        <f t="shared" si="2"/>
        <v>-173071234</v>
      </c>
    </row>
    <row r="14" spans="1:25" ht="12.95" customHeight="1">
      <c r="A14" s="1882" t="s">
        <v>27</v>
      </c>
      <c r="B14" s="1886"/>
      <c r="C14" s="997"/>
      <c r="D14" s="2559"/>
      <c r="E14" s="997"/>
      <c r="F14" s="997"/>
      <c r="G14" s="997"/>
      <c r="H14" s="997"/>
      <c r="I14" s="997"/>
      <c r="J14" s="998"/>
      <c r="K14" s="1884"/>
      <c r="L14" s="997"/>
      <c r="M14" s="1886" t="str">
        <f>+'33. mell. E.műk.c.kiad.'!B94</f>
        <v>Fejlesztési céltartalék</v>
      </c>
      <c r="N14" s="997">
        <f>+'33. mell. E.műk.c.kiad.'!I94</f>
        <v>500000000</v>
      </c>
      <c r="O14" s="2559">
        <f>+'33. mell. E.műk.c.kiad.'!J94</f>
        <v>0</v>
      </c>
      <c r="P14" s="997">
        <f>+'33. mell. E.műk.c.kiad.'!K94</f>
        <v>500000000</v>
      </c>
      <c r="Q14" s="997">
        <f>+'33. mell. E.műk.c.kiad.'!L94</f>
        <v>498609000</v>
      </c>
      <c r="R14" s="997">
        <f>+'33. mell. E.műk.c.kiad.'!M94</f>
        <v>424155516</v>
      </c>
      <c r="S14" s="997">
        <f>+'33. mell. E.műk.c.kiad.'!N94</f>
        <v>7781023</v>
      </c>
      <c r="T14" s="997">
        <f>+'33. mell. E.műk.c.kiad.'!O94</f>
        <v>7781023</v>
      </c>
      <c r="U14" s="998">
        <v>0</v>
      </c>
      <c r="V14" s="1884">
        <f>+U14/S14</f>
        <v>0</v>
      </c>
      <c r="W14" s="2762"/>
      <c r="X14" s="52">
        <f t="shared" si="1"/>
        <v>0</v>
      </c>
      <c r="Y14" s="997">
        <f t="shared" si="2"/>
        <v>-416374493</v>
      </c>
    </row>
    <row r="15" spans="1:25" ht="22.5">
      <c r="A15" s="1882" t="s">
        <v>29</v>
      </c>
      <c r="B15" s="1886"/>
      <c r="C15" s="997"/>
      <c r="D15" s="2559"/>
      <c r="E15" s="997"/>
      <c r="F15" s="997"/>
      <c r="G15" s="997"/>
      <c r="H15" s="997"/>
      <c r="I15" s="997"/>
      <c r="J15" s="998"/>
      <c r="K15" s="1884"/>
      <c r="L15" s="997"/>
      <c r="M15" s="1886" t="str">
        <f>+'33. mell. E.műk.c.kiad.'!B96</f>
        <v>Fejlesztési céltartalék egyéb, előre nem tervezhető kiadások fedezetéül, valamint az elmaradt bevételek pótlására</v>
      </c>
      <c r="N15" s="997">
        <f>+'33. mell. E.műk.c.kiad.'!I96</f>
        <v>552757328</v>
      </c>
      <c r="O15" s="2559">
        <f>+'33. mell. E.műk.c.kiad.'!J96</f>
        <v>0</v>
      </c>
      <c r="P15" s="997">
        <f>+'33. mell. E.műk.c.kiad.'!K96</f>
        <v>457595206</v>
      </c>
      <c r="Q15" s="997">
        <f>+'33. mell. E.műk.c.kiad.'!L96</f>
        <v>420363824</v>
      </c>
      <c r="R15" s="997">
        <f>+'33. mell. E.műk.c.kiad.'!M96</f>
        <v>350363824</v>
      </c>
      <c r="S15" s="997">
        <f>+'33. mell. E.műk.c.kiad.'!N96</f>
        <v>9675767</v>
      </c>
      <c r="T15" s="997">
        <f>+'33. mell. E.műk.c.kiad.'!O96</f>
        <v>9675767</v>
      </c>
      <c r="U15" s="998">
        <v>0</v>
      </c>
      <c r="V15" s="1884">
        <f>+U15/S15</f>
        <v>0</v>
      </c>
      <c r="W15" s="2762"/>
      <c r="X15" s="52">
        <f t="shared" si="1"/>
        <v>0</v>
      </c>
      <c r="Y15" s="997">
        <f t="shared" si="2"/>
        <v>-340688057</v>
      </c>
    </row>
    <row r="16" spans="1:25" ht="22.5">
      <c r="A16" s="3576" t="s">
        <v>31</v>
      </c>
      <c r="B16" s="3578"/>
      <c r="C16" s="3580"/>
      <c r="D16" s="3572"/>
      <c r="E16" s="3580"/>
      <c r="F16" s="3580"/>
      <c r="G16" s="3580"/>
      <c r="H16" s="3580"/>
      <c r="I16" s="3580"/>
      <c r="J16" s="3582"/>
      <c r="K16" s="3584"/>
      <c r="L16" s="3580"/>
      <c r="M16" s="1886" t="s">
        <v>3796</v>
      </c>
      <c r="N16" s="997">
        <v>0</v>
      </c>
      <c r="O16" s="2559">
        <v>0</v>
      </c>
      <c r="P16" s="997">
        <f>+'8. mell. Intézmények összesen'!F50</f>
        <v>13277198</v>
      </c>
      <c r="Q16" s="997">
        <f>+'8. mell. Intézmények összesen'!G50</f>
        <v>13277198</v>
      </c>
      <c r="R16" s="997">
        <f>+'8. mell. Intézmények összesen'!H50</f>
        <v>13277198</v>
      </c>
      <c r="S16" s="997">
        <f>+'8. mell. Intézmények összesen'!I50</f>
        <v>13277198</v>
      </c>
      <c r="T16" s="997">
        <f>+'8. mell. Intézmények összesen'!J50</f>
        <v>13277198</v>
      </c>
      <c r="U16" s="998">
        <f>+'8. mell. Intézmények összesen'!K50</f>
        <v>0</v>
      </c>
      <c r="V16" s="1884">
        <f>+U16/S16</f>
        <v>0</v>
      </c>
      <c r="W16" s="2762"/>
      <c r="X16" s="52">
        <f t="shared" si="1"/>
        <v>0</v>
      </c>
      <c r="Y16" s="997">
        <f t="shared" si="2"/>
        <v>0</v>
      </c>
    </row>
    <row r="17" spans="1:25" ht="24.75" hidden="1" customHeight="1">
      <c r="A17" s="3577"/>
      <c r="B17" s="3579"/>
      <c r="C17" s="3581"/>
      <c r="D17" s="3573"/>
      <c r="E17" s="3581"/>
      <c r="F17" s="3581"/>
      <c r="G17" s="3581"/>
      <c r="H17" s="3581"/>
      <c r="I17" s="3581"/>
      <c r="J17" s="3583"/>
      <c r="K17" s="3581"/>
      <c r="L17" s="3581"/>
      <c r="M17" s="1886">
        <f>+'33. mell. E.műk.c.kiad.'!B98</f>
        <v>0</v>
      </c>
      <c r="N17" s="1001">
        <f>+'33. mell. E.műk.c.kiad.'!I98</f>
        <v>0</v>
      </c>
      <c r="O17" s="2562">
        <v>0</v>
      </c>
      <c r="P17" s="997">
        <f>+'33. mell. E.műk.c.kiad.'!K98</f>
        <v>0</v>
      </c>
      <c r="Q17" s="997">
        <f>+'33. mell. E.műk.c.kiad.'!L98</f>
        <v>0</v>
      </c>
      <c r="R17" s="997">
        <f>+'33. mell. E.műk.c.kiad.'!M98</f>
        <v>0</v>
      </c>
      <c r="S17" s="1001">
        <f>+'33. mell. E.műk.c.kiad.'!N98</f>
        <v>0</v>
      </c>
      <c r="T17" s="1001">
        <f>+'33. mell. E.műk.c.kiad.'!O98</f>
        <v>0</v>
      </c>
      <c r="U17" s="1002"/>
      <c r="V17" s="1896" t="e">
        <f>+P17/N17</f>
        <v>#DIV/0!</v>
      </c>
      <c r="W17" s="2762"/>
      <c r="X17" s="52">
        <f t="shared" si="1"/>
        <v>0</v>
      </c>
      <c r="Y17" s="997">
        <f t="shared" si="2"/>
        <v>0</v>
      </c>
    </row>
    <row r="18" spans="1:25" ht="15.95" customHeight="1">
      <c r="A18" s="1888" t="s">
        <v>33</v>
      </c>
      <c r="B18" s="1889" t="s">
        <v>3369</v>
      </c>
      <c r="C18" s="1890">
        <f t="shared" ref="C18:J18" si="3">+C6+C8+C9+C12+C13+C14+C15+C16</f>
        <v>2189150618.1900001</v>
      </c>
      <c r="D18" s="2560">
        <f t="shared" si="3"/>
        <v>363235584</v>
      </c>
      <c r="E18" s="1890">
        <f t="shared" si="3"/>
        <v>2726439016</v>
      </c>
      <c r="F18" s="1890">
        <f t="shared" si="3"/>
        <v>2726439016</v>
      </c>
      <c r="G18" s="1890">
        <f t="shared" si="3"/>
        <v>2786439016</v>
      </c>
      <c r="H18" s="1890">
        <f t="shared" si="3"/>
        <v>1373237074</v>
      </c>
      <c r="I18" s="1890">
        <f t="shared" si="3"/>
        <v>1373237074</v>
      </c>
      <c r="J18" s="1891">
        <f t="shared" si="3"/>
        <v>1373237074</v>
      </c>
      <c r="K18" s="1892">
        <f>+J18/H18</f>
        <v>1</v>
      </c>
      <c r="L18" s="1890">
        <f t="shared" ref="L18:L33" si="4">+H18-G18</f>
        <v>-1413201942</v>
      </c>
      <c r="M18" s="1889" t="s">
        <v>3638</v>
      </c>
      <c r="N18" s="1890">
        <f>+N6+N8+N10+N11+N12+N13+N14+N15+N16+N17</f>
        <v>11283218769.93</v>
      </c>
      <c r="O18" s="2560">
        <f>+O6+O8+O10+O11+O12+O13+O14+O15+O16+O17</f>
        <v>5877630158</v>
      </c>
      <c r="P18" s="1890">
        <f t="shared" ref="P18:U18" si="5">+P6+P8+P10+P11+P12+P13+P14+P15+P16+P17</f>
        <v>4815540923</v>
      </c>
      <c r="Q18" s="1890">
        <f t="shared" si="5"/>
        <v>4826364896</v>
      </c>
      <c r="R18" s="1890">
        <f t="shared" si="5"/>
        <v>4815709617</v>
      </c>
      <c r="S18" s="1890">
        <f t="shared" si="5"/>
        <v>3571701667</v>
      </c>
      <c r="T18" s="1890">
        <f t="shared" si="5"/>
        <v>3571701667</v>
      </c>
      <c r="U18" s="1891">
        <f t="shared" si="5"/>
        <v>2200043640</v>
      </c>
      <c r="V18" s="1892">
        <f>+U18/S18</f>
        <v>0.61596511834312728</v>
      </c>
      <c r="W18" s="2762"/>
      <c r="X18" s="52">
        <f t="shared" si="1"/>
        <v>60000000</v>
      </c>
      <c r="Y18" s="1890">
        <f t="shared" si="2"/>
        <v>-1244007950</v>
      </c>
    </row>
    <row r="19" spans="1:25" ht="12.95" customHeight="1">
      <c r="A19" s="1882" t="s">
        <v>35</v>
      </c>
      <c r="B19" s="1893" t="s">
        <v>3370</v>
      </c>
      <c r="C19" s="1904">
        <f t="shared" ref="C19:J19" si="6">+C20+C21+C22+C23+C24</f>
        <v>7200000000</v>
      </c>
      <c r="D19" s="2568">
        <v>7190419418</v>
      </c>
      <c r="E19" s="1904">
        <f t="shared" si="6"/>
        <v>1940000000</v>
      </c>
      <c r="F19" s="1904">
        <f t="shared" si="6"/>
        <v>2499052849</v>
      </c>
      <c r="G19" s="1904">
        <f t="shared" si="6"/>
        <v>2499052849</v>
      </c>
      <c r="H19" s="1904">
        <f t="shared" si="6"/>
        <v>2499052849</v>
      </c>
      <c r="I19" s="1904">
        <f t="shared" si="6"/>
        <v>2499052849</v>
      </c>
      <c r="J19" s="1905">
        <f t="shared" si="6"/>
        <v>2499052849</v>
      </c>
      <c r="K19" s="1906">
        <f>+J19/H19</f>
        <v>1</v>
      </c>
      <c r="L19" s="1904">
        <f t="shared" si="4"/>
        <v>0</v>
      </c>
      <c r="M19" s="1895" t="s">
        <v>396</v>
      </c>
      <c r="N19" s="1001">
        <v>0</v>
      </c>
      <c r="O19" s="2562">
        <v>0</v>
      </c>
      <c r="P19" s="999">
        <v>0</v>
      </c>
      <c r="Q19" s="999">
        <f t="shared" ref="Q19:U20" si="7">+P19</f>
        <v>0</v>
      </c>
      <c r="R19" s="999">
        <f t="shared" si="7"/>
        <v>0</v>
      </c>
      <c r="S19" s="1001">
        <f t="shared" si="7"/>
        <v>0</v>
      </c>
      <c r="T19" s="1001">
        <f t="shared" si="7"/>
        <v>0</v>
      </c>
      <c r="U19" s="1002">
        <f t="shared" si="7"/>
        <v>0</v>
      </c>
      <c r="V19" s="1896"/>
      <c r="W19" s="2762"/>
      <c r="X19" s="52">
        <f t="shared" si="1"/>
        <v>0</v>
      </c>
      <c r="Y19" s="999">
        <f t="shared" si="2"/>
        <v>0</v>
      </c>
    </row>
    <row r="20" spans="1:25" ht="12.95" customHeight="1">
      <c r="A20" s="1882" t="s">
        <v>37</v>
      </c>
      <c r="B20" s="1895" t="s">
        <v>436</v>
      </c>
      <c r="C20" s="1785">
        <f>+'Fin.bev-nem része a rend-nek'!I37</f>
        <v>7200000000</v>
      </c>
      <c r="D20" s="2562">
        <v>7190419418</v>
      </c>
      <c r="E20" s="1001">
        <f>+'Fin.bev-nem része a rend-nek'!K35+'12. mell. Szakrendelő'!F34</f>
        <v>1940000000</v>
      </c>
      <c r="F20" s="1001">
        <f>+'Fin.bev-nem része a rend-nek'!L35+'8. mell. Intézmények összesen'!G58</f>
        <v>2499052849</v>
      </c>
      <c r="G20" s="1001">
        <f>+'Fin.bev-nem része a rend-nek'!M35+'8. mell. Intézmények összesen'!H58</f>
        <v>2499052849</v>
      </c>
      <c r="H20" s="1001">
        <f>+'Fin.bev-nem része a rend-nek'!N35+'8. mell. Intézmények összesen'!I58</f>
        <v>2499052849</v>
      </c>
      <c r="I20" s="1001">
        <f>+'Fin.bev-nem része a rend-nek'!O35+'8. mell. Intézmények összesen'!J58</f>
        <v>2499052849</v>
      </c>
      <c r="J20" s="1000">
        <f>+'Fin.bev-nem része a rend-nek'!P35+'8. mell. Intézmények összesen'!K58</f>
        <v>2499052849</v>
      </c>
      <c r="K20" s="1896">
        <f>+J20/H20</f>
        <v>1</v>
      </c>
      <c r="L20" s="1001">
        <f t="shared" si="4"/>
        <v>0</v>
      </c>
      <c r="M20" s="1895" t="s">
        <v>437</v>
      </c>
      <c r="N20" s="1001">
        <v>0</v>
      </c>
      <c r="O20" s="2562">
        <v>0</v>
      </c>
      <c r="P20" s="1001">
        <v>0</v>
      </c>
      <c r="Q20" s="1001">
        <f t="shared" si="7"/>
        <v>0</v>
      </c>
      <c r="R20" s="1001">
        <f t="shared" si="7"/>
        <v>0</v>
      </c>
      <c r="S20" s="1001">
        <f t="shared" si="7"/>
        <v>0</v>
      </c>
      <c r="T20" s="1001">
        <f t="shared" si="7"/>
        <v>0</v>
      </c>
      <c r="U20" s="1002">
        <f t="shared" si="7"/>
        <v>0</v>
      </c>
      <c r="V20" s="1896"/>
      <c r="W20" s="2762"/>
      <c r="X20" s="52">
        <f t="shared" si="1"/>
        <v>0</v>
      </c>
      <c r="Y20" s="1001">
        <f t="shared" si="2"/>
        <v>0</v>
      </c>
    </row>
    <row r="21" spans="1:25" ht="12.95" customHeight="1">
      <c r="A21" s="1882" t="s">
        <v>39</v>
      </c>
      <c r="B21" s="1895" t="s">
        <v>438</v>
      </c>
      <c r="C21" s="1001">
        <f>+'Fin.bev-nem része a rend-nek'!I36</f>
        <v>0</v>
      </c>
      <c r="D21" s="2562">
        <v>0</v>
      </c>
      <c r="E21" s="1001">
        <f>+'Fin.bev-nem része a rend-nek'!K36</f>
        <v>0</v>
      </c>
      <c r="F21" s="1001">
        <f>+'Fin.bev-nem része a rend-nek'!L36</f>
        <v>0</v>
      </c>
      <c r="G21" s="1001">
        <f>+'Fin.bev-nem része a rend-nek'!M36</f>
        <v>0</v>
      </c>
      <c r="H21" s="1001">
        <f>+'Fin.bev-nem része a rend-nek'!N36</f>
        <v>0</v>
      </c>
      <c r="I21" s="1001">
        <f>+'Fin.bev-nem része a rend-nek'!O36</f>
        <v>0</v>
      </c>
      <c r="J21" s="1002">
        <f>+'Fin.bev-nem része a rend-nek'!P36</f>
        <v>0</v>
      </c>
      <c r="K21" s="1896"/>
      <c r="L21" s="1001">
        <f t="shared" si="4"/>
        <v>0</v>
      </c>
      <c r="M21" s="1895" t="s">
        <v>398</v>
      </c>
      <c r="N21" s="1001">
        <f>+'5. mell.Önk-i mérleg'!C132</f>
        <v>0</v>
      </c>
      <c r="O21" s="2562">
        <v>0</v>
      </c>
      <c r="P21" s="1001">
        <f>+'5. mell.Önk-i mérleg'!E132</f>
        <v>0</v>
      </c>
      <c r="Q21" s="1001">
        <f>+'5. mell.Önk-i mérleg'!F132</f>
        <v>0</v>
      </c>
      <c r="R21" s="1001">
        <f>+'5. mell.Önk-i mérleg'!G132</f>
        <v>0</v>
      </c>
      <c r="S21" s="1001">
        <f>+'5. mell.Önk-i mérleg'!H132</f>
        <v>0</v>
      </c>
      <c r="T21" s="1001">
        <f>+'5. mell.Önk-i mérleg'!I132</f>
        <v>0</v>
      </c>
      <c r="U21" s="1002">
        <f>+'5. mell.Önk-i mérleg'!J132</f>
        <v>0</v>
      </c>
      <c r="V21" s="1896"/>
      <c r="W21" s="2762"/>
      <c r="X21" s="52">
        <f t="shared" si="1"/>
        <v>0</v>
      </c>
      <c r="Y21" s="1001">
        <f t="shared" si="2"/>
        <v>0</v>
      </c>
    </row>
    <row r="22" spans="1:25" ht="12.95" customHeight="1">
      <c r="A22" s="1882" t="s">
        <v>41</v>
      </c>
      <c r="B22" s="1895" t="s">
        <v>439</v>
      </c>
      <c r="C22" s="1001">
        <v>0</v>
      </c>
      <c r="D22" s="2562">
        <v>0</v>
      </c>
      <c r="E22" s="1001">
        <v>0</v>
      </c>
      <c r="F22" s="1001">
        <f t="shared" ref="F22:J24" si="8">+E22</f>
        <v>0</v>
      </c>
      <c r="G22" s="1001">
        <f t="shared" si="8"/>
        <v>0</v>
      </c>
      <c r="H22" s="1001">
        <f t="shared" si="8"/>
        <v>0</v>
      </c>
      <c r="I22" s="1001">
        <f t="shared" si="8"/>
        <v>0</v>
      </c>
      <c r="J22" s="1002">
        <f t="shared" si="8"/>
        <v>0</v>
      </c>
      <c r="K22" s="1896"/>
      <c r="L22" s="1001">
        <f t="shared" si="4"/>
        <v>0</v>
      </c>
      <c r="M22" s="1895" t="s">
        <v>400</v>
      </c>
      <c r="N22" s="1001">
        <f>+'5. mell.Önk-i mérleg'!C130</f>
        <v>0</v>
      </c>
      <c r="O22" s="2562">
        <v>0</v>
      </c>
      <c r="P22" s="1001">
        <f>+'5. mell.Önk-i mérleg'!E130</f>
        <v>0</v>
      </c>
      <c r="Q22" s="1001">
        <f>+'5. mell.Önk-i mérleg'!F130</f>
        <v>0</v>
      </c>
      <c r="R22" s="1001">
        <f>+'5. mell.Önk-i mérleg'!G130</f>
        <v>0</v>
      </c>
      <c r="S22" s="1001">
        <f>+'5. mell.Önk-i mérleg'!H130</f>
        <v>0</v>
      </c>
      <c r="T22" s="1001">
        <f>+'5. mell.Önk-i mérleg'!I130</f>
        <v>0</v>
      </c>
      <c r="U22" s="1002">
        <f>+'5. mell.Önk-i mérleg'!J130</f>
        <v>0</v>
      </c>
      <c r="V22" s="1896"/>
      <c r="W22" s="2762"/>
      <c r="X22" s="52">
        <f t="shared" si="1"/>
        <v>0</v>
      </c>
      <c r="Y22" s="1001">
        <f t="shared" si="2"/>
        <v>0</v>
      </c>
    </row>
    <row r="23" spans="1:25" ht="12.95" customHeight="1">
      <c r="A23" s="1882" t="s">
        <v>314</v>
      </c>
      <c r="B23" s="1895" t="s">
        <v>440</v>
      </c>
      <c r="C23" s="1001">
        <v>0</v>
      </c>
      <c r="D23" s="2562">
        <v>0</v>
      </c>
      <c r="E23" s="1001">
        <v>0</v>
      </c>
      <c r="F23" s="1001">
        <f t="shared" si="8"/>
        <v>0</v>
      </c>
      <c r="G23" s="1001">
        <f t="shared" si="8"/>
        <v>0</v>
      </c>
      <c r="H23" s="1001">
        <f t="shared" si="8"/>
        <v>0</v>
      </c>
      <c r="I23" s="1001">
        <f t="shared" si="8"/>
        <v>0</v>
      </c>
      <c r="J23" s="1002">
        <f t="shared" si="8"/>
        <v>0</v>
      </c>
      <c r="K23" s="1896"/>
      <c r="L23" s="1001">
        <f t="shared" si="4"/>
        <v>0</v>
      </c>
      <c r="M23" s="1895" t="s">
        <v>401</v>
      </c>
      <c r="N23" s="1001">
        <v>0</v>
      </c>
      <c r="O23" s="2562">
        <v>0</v>
      </c>
      <c r="P23" s="1001">
        <v>0</v>
      </c>
      <c r="Q23" s="1001">
        <f t="shared" ref="Q23:U25" si="9">+P23</f>
        <v>0</v>
      </c>
      <c r="R23" s="1001">
        <f t="shared" si="9"/>
        <v>0</v>
      </c>
      <c r="S23" s="1001">
        <f t="shared" si="9"/>
        <v>0</v>
      </c>
      <c r="T23" s="1001">
        <f t="shared" si="9"/>
        <v>0</v>
      </c>
      <c r="U23" s="1002">
        <f t="shared" si="9"/>
        <v>0</v>
      </c>
      <c r="V23" s="1896"/>
      <c r="W23" s="2762"/>
      <c r="X23" s="52">
        <f t="shared" si="1"/>
        <v>0</v>
      </c>
      <c r="Y23" s="1001">
        <f t="shared" si="2"/>
        <v>0</v>
      </c>
    </row>
    <row r="24" spans="1:25" ht="12.95" customHeight="1">
      <c r="A24" s="1882" t="s">
        <v>402</v>
      </c>
      <c r="B24" s="1895" t="s">
        <v>441</v>
      </c>
      <c r="C24" s="1001">
        <v>0</v>
      </c>
      <c r="D24" s="2562">
        <v>0</v>
      </c>
      <c r="E24" s="1001">
        <v>0</v>
      </c>
      <c r="F24" s="1001">
        <f t="shared" si="8"/>
        <v>0</v>
      </c>
      <c r="G24" s="1001">
        <f t="shared" si="8"/>
        <v>0</v>
      </c>
      <c r="H24" s="1001">
        <f t="shared" si="8"/>
        <v>0</v>
      </c>
      <c r="I24" s="1001">
        <f t="shared" si="8"/>
        <v>0</v>
      </c>
      <c r="J24" s="1002">
        <f t="shared" si="8"/>
        <v>0</v>
      </c>
      <c r="K24" s="1896"/>
      <c r="L24" s="1001">
        <f t="shared" si="4"/>
        <v>0</v>
      </c>
      <c r="M24" s="1895" t="s">
        <v>442</v>
      </c>
      <c r="N24" s="1001">
        <v>0</v>
      </c>
      <c r="O24" s="2562">
        <v>0</v>
      </c>
      <c r="P24" s="1001">
        <v>0</v>
      </c>
      <c r="Q24" s="1001">
        <f t="shared" si="9"/>
        <v>0</v>
      </c>
      <c r="R24" s="1001">
        <f t="shared" si="9"/>
        <v>0</v>
      </c>
      <c r="S24" s="1001">
        <f t="shared" si="9"/>
        <v>0</v>
      </c>
      <c r="T24" s="1001">
        <f t="shared" si="9"/>
        <v>0</v>
      </c>
      <c r="U24" s="1002">
        <f t="shared" si="9"/>
        <v>0</v>
      </c>
      <c r="V24" s="1896"/>
      <c r="W24" s="2762"/>
      <c r="X24" s="52">
        <f t="shared" si="1"/>
        <v>0</v>
      </c>
      <c r="Y24" s="1001">
        <f t="shared" si="2"/>
        <v>0</v>
      </c>
    </row>
    <row r="25" spans="1:25" ht="12.95" customHeight="1">
      <c r="A25" s="1882" t="s">
        <v>404</v>
      </c>
      <c r="B25" s="1893" t="s">
        <v>3371</v>
      </c>
      <c r="C25" s="1904">
        <f>+C26+C27+C28+C29+C30</f>
        <v>0</v>
      </c>
      <c r="D25" s="2568">
        <v>0</v>
      </c>
      <c r="E25" s="1904">
        <f t="shared" ref="E25:J25" si="10">+E26+E27+E28+E29+E30</f>
        <v>0</v>
      </c>
      <c r="F25" s="1904">
        <f t="shared" si="10"/>
        <v>0</v>
      </c>
      <c r="G25" s="1904">
        <f t="shared" si="10"/>
        <v>0</v>
      </c>
      <c r="H25" s="1904">
        <f t="shared" si="10"/>
        <v>0</v>
      </c>
      <c r="I25" s="1904">
        <f t="shared" si="10"/>
        <v>0</v>
      </c>
      <c r="J25" s="1905">
        <f t="shared" si="10"/>
        <v>0</v>
      </c>
      <c r="K25" s="1906"/>
      <c r="L25" s="1904">
        <f t="shared" si="4"/>
        <v>0</v>
      </c>
      <c r="M25" s="1895" t="s">
        <v>443</v>
      </c>
      <c r="N25" s="1001">
        <v>0</v>
      </c>
      <c r="O25" s="2562">
        <v>0</v>
      </c>
      <c r="P25" s="999">
        <v>0</v>
      </c>
      <c r="Q25" s="999">
        <f t="shared" si="9"/>
        <v>0</v>
      </c>
      <c r="R25" s="999">
        <f t="shared" si="9"/>
        <v>0</v>
      </c>
      <c r="S25" s="1001">
        <f t="shared" si="9"/>
        <v>0</v>
      </c>
      <c r="T25" s="1001">
        <f t="shared" si="9"/>
        <v>0</v>
      </c>
      <c r="U25" s="1002">
        <f t="shared" si="9"/>
        <v>0</v>
      </c>
      <c r="V25" s="1896"/>
      <c r="W25" s="2762"/>
      <c r="X25" s="52">
        <f t="shared" si="1"/>
        <v>0</v>
      </c>
      <c r="Y25" s="999">
        <f t="shared" si="2"/>
        <v>0</v>
      </c>
    </row>
    <row r="26" spans="1:25" ht="12.95" customHeight="1">
      <c r="A26" s="1882" t="s">
        <v>407</v>
      </c>
      <c r="B26" s="1895" t="s">
        <v>444</v>
      </c>
      <c r="C26" s="1001">
        <v>0</v>
      </c>
      <c r="D26" s="2562">
        <v>0</v>
      </c>
      <c r="E26" s="1001">
        <v>0</v>
      </c>
      <c r="F26" s="1001">
        <f t="shared" ref="F26:J28" si="11">+E26</f>
        <v>0</v>
      </c>
      <c r="G26" s="1001">
        <f t="shared" si="11"/>
        <v>0</v>
      </c>
      <c r="H26" s="1001">
        <f t="shared" si="11"/>
        <v>0</v>
      </c>
      <c r="I26" s="1001">
        <f t="shared" si="11"/>
        <v>0</v>
      </c>
      <c r="J26" s="1002">
        <f t="shared" si="11"/>
        <v>0</v>
      </c>
      <c r="K26" s="1896"/>
      <c r="L26" s="1001">
        <f t="shared" si="4"/>
        <v>0</v>
      </c>
      <c r="M26" s="1895" t="s">
        <v>445</v>
      </c>
      <c r="N26" s="1001">
        <v>0</v>
      </c>
      <c r="O26" s="2562">
        <v>0</v>
      </c>
      <c r="P26" s="1001">
        <v>0</v>
      </c>
      <c r="Q26" s="1001">
        <f>+P26</f>
        <v>0</v>
      </c>
      <c r="R26" s="1001">
        <f>+'4.mell.ÖSSZEVONT (Bontas)'!F137</f>
        <v>0</v>
      </c>
      <c r="S26" s="1001">
        <f>+'4.mell.ÖSSZEVONT (Bontas)'!G137</f>
        <v>0</v>
      </c>
      <c r="T26" s="1001">
        <f>+'4.mell.ÖSSZEVONT (Bontas)'!H137</f>
        <v>0</v>
      </c>
      <c r="U26" s="1002">
        <f>+'4.mell.ÖSSZEVONT (Bontas)'!I137</f>
        <v>0</v>
      </c>
      <c r="V26" s="1896"/>
      <c r="W26" s="2762"/>
      <c r="X26" s="52">
        <f t="shared" si="1"/>
        <v>0</v>
      </c>
      <c r="Y26" s="1001">
        <f t="shared" si="2"/>
        <v>0</v>
      </c>
    </row>
    <row r="27" spans="1:25" ht="12.95" customHeight="1">
      <c r="A27" s="1882" t="s">
        <v>409</v>
      </c>
      <c r="B27" s="1895" t="s">
        <v>446</v>
      </c>
      <c r="C27" s="1001">
        <v>0</v>
      </c>
      <c r="D27" s="2562">
        <v>0</v>
      </c>
      <c r="E27" s="1001">
        <v>0</v>
      </c>
      <c r="F27" s="1001">
        <f t="shared" si="11"/>
        <v>0</v>
      </c>
      <c r="G27" s="1001">
        <f t="shared" si="11"/>
        <v>0</v>
      </c>
      <c r="H27" s="1001">
        <f t="shared" si="11"/>
        <v>0</v>
      </c>
      <c r="I27" s="1001">
        <f t="shared" si="11"/>
        <v>0</v>
      </c>
      <c r="J27" s="1002">
        <f t="shared" si="11"/>
        <v>0</v>
      </c>
      <c r="K27" s="1896"/>
      <c r="L27" s="1001">
        <f t="shared" si="4"/>
        <v>0</v>
      </c>
      <c r="M27" s="1887"/>
      <c r="N27" s="1001"/>
      <c r="O27" s="2562"/>
      <c r="P27" s="1001"/>
      <c r="Q27" s="1001"/>
      <c r="R27" s="1001"/>
      <c r="S27" s="1001"/>
      <c r="T27" s="1001"/>
      <c r="U27" s="1002"/>
      <c r="V27" s="1896"/>
      <c r="W27" s="2762"/>
      <c r="X27" s="52">
        <f t="shared" si="1"/>
        <v>0</v>
      </c>
      <c r="Y27" s="1001">
        <f t="shared" si="2"/>
        <v>0</v>
      </c>
    </row>
    <row r="28" spans="1:25" ht="12.95" customHeight="1">
      <c r="A28" s="1882" t="s">
        <v>410</v>
      </c>
      <c r="B28" s="1895" t="s">
        <v>447</v>
      </c>
      <c r="C28" s="1001">
        <v>0</v>
      </c>
      <c r="D28" s="2562">
        <v>0</v>
      </c>
      <c r="E28" s="1001">
        <v>0</v>
      </c>
      <c r="F28" s="1001">
        <f t="shared" si="11"/>
        <v>0</v>
      </c>
      <c r="G28" s="1001">
        <f t="shared" si="11"/>
        <v>0</v>
      </c>
      <c r="H28" s="1001">
        <f t="shared" si="11"/>
        <v>0</v>
      </c>
      <c r="I28" s="1001">
        <f t="shared" si="11"/>
        <v>0</v>
      </c>
      <c r="J28" s="1002">
        <f t="shared" si="11"/>
        <v>0</v>
      </c>
      <c r="K28" s="1896"/>
      <c r="L28" s="1001">
        <f t="shared" si="4"/>
        <v>0</v>
      </c>
      <c r="M28" s="1886"/>
      <c r="N28" s="1001"/>
      <c r="O28" s="2562"/>
      <c r="P28" s="1001"/>
      <c r="Q28" s="1001"/>
      <c r="R28" s="1001"/>
      <c r="S28" s="1001"/>
      <c r="T28" s="1001"/>
      <c r="U28" s="1002"/>
      <c r="V28" s="1896"/>
      <c r="W28" s="2762"/>
      <c r="X28" s="52">
        <f t="shared" si="1"/>
        <v>0</v>
      </c>
      <c r="Y28" s="1001">
        <f t="shared" si="2"/>
        <v>0</v>
      </c>
    </row>
    <row r="29" spans="1:25" ht="12.95" customHeight="1">
      <c r="A29" s="1882" t="s">
        <v>411</v>
      </c>
      <c r="B29" s="1883" t="s">
        <v>448</v>
      </c>
      <c r="C29" s="1001">
        <f>+'4.mell.ÖSSZEVONT (Bontas)'!C72</f>
        <v>0</v>
      </c>
      <c r="D29" s="2562">
        <v>0</v>
      </c>
      <c r="E29" s="1001">
        <f>+'4.mell.ÖSSZEVONT (Bontas)'!D72</f>
        <v>0</v>
      </c>
      <c r="F29" s="1001">
        <f>+'4.mell.ÖSSZEVONT (Bontas)'!E72</f>
        <v>0</v>
      </c>
      <c r="G29" s="1001">
        <f>+'4.mell.ÖSSZEVONT (Bontas)'!F72</f>
        <v>0</v>
      </c>
      <c r="H29" s="1001">
        <f>+'4.mell.ÖSSZEVONT (Bontas)'!G72</f>
        <v>0</v>
      </c>
      <c r="I29" s="1001">
        <f>+'4.mell.ÖSSZEVONT (Bontas)'!H72</f>
        <v>0</v>
      </c>
      <c r="J29" s="1002">
        <f>+'4.mell.ÖSSZEVONT (Bontas)'!I72</f>
        <v>0</v>
      </c>
      <c r="K29" s="1896"/>
      <c r="L29" s="1001">
        <f t="shared" si="4"/>
        <v>0</v>
      </c>
      <c r="M29" s="1886"/>
      <c r="N29" s="1001"/>
      <c r="O29" s="2562"/>
      <c r="P29" s="1001"/>
      <c r="Q29" s="1001"/>
      <c r="R29" s="1001"/>
      <c r="S29" s="1001"/>
      <c r="T29" s="1001"/>
      <c r="U29" s="1002"/>
      <c r="V29" s="1896"/>
      <c r="W29" s="2762"/>
      <c r="X29" s="52">
        <f t="shared" si="1"/>
        <v>0</v>
      </c>
      <c r="Y29" s="1001">
        <f t="shared" si="2"/>
        <v>0</v>
      </c>
    </row>
    <row r="30" spans="1:25" ht="12.95" customHeight="1">
      <c r="A30" s="1882" t="s">
        <v>412</v>
      </c>
      <c r="B30" s="1883" t="s">
        <v>449</v>
      </c>
      <c r="C30" s="1001">
        <v>0</v>
      </c>
      <c r="D30" s="2562">
        <v>0</v>
      </c>
      <c r="E30" s="1001">
        <v>0</v>
      </c>
      <c r="F30" s="1001">
        <f>+E30</f>
        <v>0</v>
      </c>
      <c r="G30" s="1001">
        <f>+F30</f>
        <v>0</v>
      </c>
      <c r="H30" s="1001">
        <f>+G30</f>
        <v>0</v>
      </c>
      <c r="I30" s="1001">
        <f>+H30</f>
        <v>0</v>
      </c>
      <c r="J30" s="1002">
        <f>+I30</f>
        <v>0</v>
      </c>
      <c r="K30" s="1896"/>
      <c r="L30" s="1001">
        <f t="shared" si="4"/>
        <v>0</v>
      </c>
      <c r="M30" s="1886"/>
      <c r="N30" s="1001"/>
      <c r="O30" s="2562"/>
      <c r="P30" s="1001"/>
      <c r="Q30" s="1001"/>
      <c r="R30" s="1001"/>
      <c r="S30" s="1001"/>
      <c r="T30" s="1001"/>
      <c r="U30" s="1002"/>
      <c r="V30" s="1896"/>
      <c r="W30" s="2762"/>
      <c r="X30" s="52">
        <f t="shared" si="1"/>
        <v>0</v>
      </c>
      <c r="Y30" s="1001">
        <f t="shared" si="2"/>
        <v>0</v>
      </c>
    </row>
    <row r="31" spans="1:25" ht="21.75" customHeight="1">
      <c r="A31" s="1888" t="s">
        <v>413</v>
      </c>
      <c r="B31" s="1889" t="s">
        <v>3372</v>
      </c>
      <c r="C31" s="1890">
        <f t="shared" ref="C31:J31" si="12">+C19+C25</f>
        <v>7200000000</v>
      </c>
      <c r="D31" s="2560">
        <f t="shared" si="12"/>
        <v>7190419418</v>
      </c>
      <c r="E31" s="1890">
        <f t="shared" si="12"/>
        <v>1940000000</v>
      </c>
      <c r="F31" s="1890">
        <f t="shared" si="12"/>
        <v>2499052849</v>
      </c>
      <c r="G31" s="1890">
        <f t="shared" si="12"/>
        <v>2499052849</v>
      </c>
      <c r="H31" s="1890">
        <f t="shared" si="12"/>
        <v>2499052849</v>
      </c>
      <c r="I31" s="1890">
        <f t="shared" si="12"/>
        <v>2499052849</v>
      </c>
      <c r="J31" s="1891">
        <f t="shared" si="12"/>
        <v>2499052849</v>
      </c>
      <c r="K31" s="1892">
        <f>+J31/H31</f>
        <v>1</v>
      </c>
      <c r="L31" s="1890">
        <f t="shared" si="4"/>
        <v>0</v>
      </c>
      <c r="M31" s="1889" t="s">
        <v>3374</v>
      </c>
      <c r="N31" s="1890">
        <f t="shared" ref="N31:U31" si="13">SUM(N19:N30)</f>
        <v>0</v>
      </c>
      <c r="O31" s="2560">
        <f t="shared" si="13"/>
        <v>0</v>
      </c>
      <c r="P31" s="1890">
        <f t="shared" si="13"/>
        <v>0</v>
      </c>
      <c r="Q31" s="1890">
        <f t="shared" si="13"/>
        <v>0</v>
      </c>
      <c r="R31" s="1890">
        <f t="shared" si="13"/>
        <v>0</v>
      </c>
      <c r="S31" s="1890">
        <f t="shared" si="13"/>
        <v>0</v>
      </c>
      <c r="T31" s="1890">
        <f t="shared" si="13"/>
        <v>0</v>
      </c>
      <c r="U31" s="1891">
        <f t="shared" si="13"/>
        <v>0</v>
      </c>
      <c r="V31" s="1892"/>
      <c r="W31" s="2762"/>
      <c r="X31" s="52">
        <f t="shared" si="1"/>
        <v>0</v>
      </c>
      <c r="Y31" s="1890">
        <f t="shared" si="2"/>
        <v>0</v>
      </c>
    </row>
    <row r="32" spans="1:25">
      <c r="A32" s="1888" t="s">
        <v>417</v>
      </c>
      <c r="B32" s="1898" t="s">
        <v>3373</v>
      </c>
      <c r="C32" s="1899">
        <f t="shared" ref="C32:J32" si="14">+C18+C31</f>
        <v>9389150618.1900005</v>
      </c>
      <c r="D32" s="2563">
        <f t="shared" si="14"/>
        <v>7553655002</v>
      </c>
      <c r="E32" s="1899">
        <f t="shared" si="14"/>
        <v>4666439016</v>
      </c>
      <c r="F32" s="1899">
        <f t="shared" si="14"/>
        <v>5225491865</v>
      </c>
      <c r="G32" s="1899">
        <f t="shared" si="14"/>
        <v>5285491865</v>
      </c>
      <c r="H32" s="1899">
        <f t="shared" si="14"/>
        <v>3872289923</v>
      </c>
      <c r="I32" s="1899">
        <f t="shared" si="14"/>
        <v>3872289923</v>
      </c>
      <c r="J32" s="1900">
        <f t="shared" si="14"/>
        <v>3872289923</v>
      </c>
      <c r="K32" s="1901">
        <f>+J32/H32</f>
        <v>1</v>
      </c>
      <c r="L32" s="1899">
        <f t="shared" si="4"/>
        <v>-1413201942</v>
      </c>
      <c r="M32" s="1898" t="s">
        <v>3375</v>
      </c>
      <c r="N32" s="1899">
        <f t="shared" ref="N32:U32" si="15">+N18+N31</f>
        <v>11283218769.93</v>
      </c>
      <c r="O32" s="2563">
        <f t="shared" si="15"/>
        <v>5877630158</v>
      </c>
      <c r="P32" s="1899">
        <f t="shared" si="15"/>
        <v>4815540923</v>
      </c>
      <c r="Q32" s="1899">
        <f t="shared" si="15"/>
        <v>4826364896</v>
      </c>
      <c r="R32" s="1899">
        <f t="shared" si="15"/>
        <v>4815709617</v>
      </c>
      <c r="S32" s="1899">
        <f t="shared" si="15"/>
        <v>3571701667</v>
      </c>
      <c r="T32" s="1899">
        <f t="shared" si="15"/>
        <v>3571701667</v>
      </c>
      <c r="U32" s="1900">
        <f t="shared" si="15"/>
        <v>2200043640</v>
      </c>
      <c r="V32" s="1901">
        <f>+U32/S32</f>
        <v>0.61596511834312728</v>
      </c>
      <c r="W32" s="2762"/>
      <c r="X32" s="52">
        <f t="shared" si="1"/>
        <v>60000000</v>
      </c>
      <c r="Y32" s="1899">
        <f t="shared" si="2"/>
        <v>-1244007950</v>
      </c>
    </row>
    <row r="33" spans="1:25">
      <c r="A33" s="1888" t="s">
        <v>450</v>
      </c>
      <c r="B33" s="1898" t="s">
        <v>414</v>
      </c>
      <c r="C33" s="1899">
        <f>IF(C18-N18&lt;0,N18-C18,"-")</f>
        <v>9094068151.7399998</v>
      </c>
      <c r="D33" s="2563">
        <f>IF(D18-O18&lt;0,O18-D18,"-")</f>
        <v>5514394574</v>
      </c>
      <c r="E33" s="1899">
        <f t="shared" ref="E33:J33" si="16">IF(E18-P18&lt;0,P18-E18,"-")</f>
        <v>2089101907</v>
      </c>
      <c r="F33" s="1899">
        <f t="shared" si="16"/>
        <v>2099925880</v>
      </c>
      <c r="G33" s="1899">
        <f t="shared" si="16"/>
        <v>2029270601</v>
      </c>
      <c r="H33" s="1899">
        <f t="shared" si="16"/>
        <v>2198464593</v>
      </c>
      <c r="I33" s="1899">
        <f t="shared" si="16"/>
        <v>2198464593</v>
      </c>
      <c r="J33" s="1900">
        <f t="shared" si="16"/>
        <v>826806566</v>
      </c>
      <c r="K33" s="1901"/>
      <c r="L33" s="1899">
        <f t="shared" si="4"/>
        <v>169193992</v>
      </c>
      <c r="M33" s="1898" t="s">
        <v>416</v>
      </c>
      <c r="N33" s="1899" t="str">
        <f>IF(C18-N18&gt;0,C18-N18,"-")</f>
        <v>-</v>
      </c>
      <c r="O33" s="2563" t="s">
        <v>415</v>
      </c>
      <c r="P33" s="1899" t="str">
        <f t="shared" ref="P33:U33" si="17">IF(E18-P18&gt;0,E18-P18,"-")</f>
        <v>-</v>
      </c>
      <c r="Q33" s="1899" t="str">
        <f t="shared" si="17"/>
        <v>-</v>
      </c>
      <c r="R33" s="1899" t="str">
        <f t="shared" si="17"/>
        <v>-</v>
      </c>
      <c r="S33" s="1899" t="str">
        <f t="shared" si="17"/>
        <v>-</v>
      </c>
      <c r="T33" s="1899" t="str">
        <f t="shared" si="17"/>
        <v>-</v>
      </c>
      <c r="U33" s="1900" t="str">
        <f t="shared" si="17"/>
        <v>-</v>
      </c>
      <c r="V33" s="1901"/>
      <c r="W33" s="2762"/>
      <c r="X33" s="52">
        <f t="shared" si="1"/>
        <v>-70655279</v>
      </c>
      <c r="Y33" s="1899"/>
    </row>
    <row r="34" spans="1:25">
      <c r="A34" s="1888" t="s">
        <v>1379</v>
      </c>
      <c r="B34" s="1898" t="s">
        <v>418</v>
      </c>
      <c r="C34" s="1899">
        <f>IF(C18+C19-N32&lt;0,N32-(C18+C19),"-")</f>
        <v>1894068151.7399998</v>
      </c>
      <c r="D34" s="2563" t="str">
        <f>IF(D18+D19-O32&lt;0,O32-(D18+D19),"-")</f>
        <v>-</v>
      </c>
      <c r="E34" s="1899">
        <f>IF(E18+E19-P32&lt;0,P32-(E18+E19),"-")</f>
        <v>149101907</v>
      </c>
      <c r="F34" s="1899" t="str">
        <f>IF(F18+F19+F24-Q32&lt;0,Q32-(F18+F19+F25),"-")</f>
        <v>-</v>
      </c>
      <c r="G34" s="1899" t="str">
        <f>IF(G18+G19+G24-R32&lt;0,R32-(G18+G19+G25),"-")</f>
        <v>-</v>
      </c>
      <c r="H34" s="1899" t="str">
        <f>IF(H18+H19+H24-S32&lt;0,S32-(H18+H19+H25),"-")</f>
        <v>-</v>
      </c>
      <c r="I34" s="1899" t="str">
        <f>IF(I18+I19+I24-T32&lt;0,T32-(I18+I19+I25),"-")</f>
        <v>-</v>
      </c>
      <c r="J34" s="1900" t="str">
        <f>IF(J18+J19+J24-U32&lt;0,U32-(J18+J19+J25),"-")</f>
        <v>-</v>
      </c>
      <c r="K34" s="1901"/>
      <c r="L34" s="1899"/>
      <c r="M34" s="1898" t="s">
        <v>419</v>
      </c>
      <c r="N34" s="1899" t="str">
        <f>IF(C18+C19-N32&gt;0,C18+C19-N32,"-")</f>
        <v>-</v>
      </c>
      <c r="O34" s="2563">
        <f>IF(D18+D19-O32&gt;0,D18+D19-O32,"-")</f>
        <v>1676024844</v>
      </c>
      <c r="P34" s="1899" t="str">
        <f t="shared" ref="P34:U34" si="18">IF(E18+E19-P32&gt;0,E18+E19-P32,"-")</f>
        <v>-</v>
      </c>
      <c r="Q34" s="1899">
        <f t="shared" si="18"/>
        <v>399126969</v>
      </c>
      <c r="R34" s="1899">
        <f t="shared" si="18"/>
        <v>469782248</v>
      </c>
      <c r="S34" s="1899">
        <f t="shared" si="18"/>
        <v>300588256</v>
      </c>
      <c r="T34" s="1899">
        <f t="shared" si="18"/>
        <v>300588256</v>
      </c>
      <c r="U34" s="1900">
        <f t="shared" si="18"/>
        <v>1672246283</v>
      </c>
      <c r="V34" s="1901"/>
      <c r="W34" s="2762"/>
      <c r="X34" s="52"/>
      <c r="Y34" s="1899">
        <f t="shared" si="2"/>
        <v>-169193992</v>
      </c>
    </row>
    <row r="35" spans="1:25">
      <c r="M35" s="57" t="s">
        <v>420</v>
      </c>
      <c r="N35" s="53">
        <f>+N32/'1. mell.ÖSSZEVONT_MÉRLEG'!C153</f>
        <v>0.26954488590728842</v>
      </c>
      <c r="O35" s="53">
        <f>+O32/'1. mell.ÖSSZEVONT_MÉRLEG'!D153</f>
        <v>0.16463186914958544</v>
      </c>
      <c r="P35" s="53">
        <f>+P32/'1. mell.ÖSSZEVONT_MÉRLEG'!E153</f>
        <v>0.13584827050474771</v>
      </c>
      <c r="Q35" s="53">
        <f>+Q32/'1. mell.ÖSSZEVONT_MÉRLEG'!F153</f>
        <v>0.13197557872024876</v>
      </c>
      <c r="R35" s="53">
        <f>+R32/'1. mell.ÖSSZEVONT_MÉRLEG'!G153</f>
        <v>0.1265106754913729</v>
      </c>
      <c r="S35" s="53">
        <f>+S32/'1. mell.ÖSSZEVONT_MÉRLEG'!H153</f>
        <v>8.1112515341944691E-2</v>
      </c>
      <c r="T35" s="53">
        <f>+T32/'1. mell.ÖSSZEVONT_MÉRLEG'!I153</f>
        <v>8.1112515341944691E-2</v>
      </c>
      <c r="U35" s="53">
        <f>+U32/'1. mell.ÖSSZEVONT_MÉRLEG'!J153</f>
        <v>5.5101121781734236E-2</v>
      </c>
      <c r="V35" s="53"/>
      <c r="W35" s="48" t="s">
        <v>421</v>
      </c>
    </row>
    <row r="36" spans="1:25" hidden="1">
      <c r="C36" s="48">
        <f>+C18+C31</f>
        <v>9389150618.1900005</v>
      </c>
      <c r="D36" s="49"/>
      <c r="E36" s="48">
        <f>+E18+E31</f>
        <v>4666439016</v>
      </c>
      <c r="F36" s="48">
        <f>+F18+F31</f>
        <v>5225491865</v>
      </c>
      <c r="G36" s="48">
        <f>+G18+G31</f>
        <v>5285491865</v>
      </c>
      <c r="H36" s="48">
        <f>+H18+H31</f>
        <v>3872289923</v>
      </c>
      <c r="I36" s="48">
        <f>+I18+I31</f>
        <v>3872289923</v>
      </c>
      <c r="M36" s="58" t="e">
        <f>+'2. mell.  '!R33+'3. mell.  '!G19-R21</f>
        <v>#VALUE!</v>
      </c>
      <c r="N36" s="48">
        <f>+N18+N31</f>
        <v>11283218769.93</v>
      </c>
      <c r="P36" s="48">
        <f>+P18+P31</f>
        <v>4815540923</v>
      </c>
      <c r="Q36" s="48">
        <f>+Q18+Q31</f>
        <v>4826364896</v>
      </c>
      <c r="R36" s="48">
        <f>+R18+R31</f>
        <v>4815709617</v>
      </c>
      <c r="S36" s="48">
        <f>+S18+S31</f>
        <v>3571701667</v>
      </c>
      <c r="T36" s="48">
        <f>+T18+T31</f>
        <v>3571701667</v>
      </c>
    </row>
    <row r="37" spans="1:25" hidden="1">
      <c r="C37" s="48">
        <f>+N18-C18</f>
        <v>9094068151.7399998</v>
      </c>
      <c r="D37" s="49"/>
      <c r="E37" s="48">
        <f>+P18-E18</f>
        <v>2089101907</v>
      </c>
      <c r="F37" s="48">
        <f>+Q18-F18</f>
        <v>2099925880</v>
      </c>
      <c r="G37" s="48">
        <f>+R18-G18</f>
        <v>2029270601</v>
      </c>
      <c r="H37" s="48">
        <f>+S18-H18</f>
        <v>2198464593</v>
      </c>
      <c r="I37" s="48">
        <f>+T18-I18</f>
        <v>2198464593</v>
      </c>
      <c r="M37" s="58" t="e">
        <f>+G34+G31-R31</f>
        <v>#VALUE!</v>
      </c>
    </row>
    <row r="38" spans="1:25" hidden="1">
      <c r="C38" s="48">
        <f>+N32-C32</f>
        <v>1894068151.7399998</v>
      </c>
      <c r="D38" s="49"/>
      <c r="E38" s="48">
        <f>+P32-E32</f>
        <v>149101907</v>
      </c>
      <c r="F38" s="48">
        <f>+Q32-F32</f>
        <v>-399126969</v>
      </c>
      <c r="G38" s="48">
        <f>+R32-G32</f>
        <v>-469782248</v>
      </c>
      <c r="H38" s="48">
        <f>+S32-H32</f>
        <v>-300588256</v>
      </c>
      <c r="I38" s="48">
        <f>+T32-I32</f>
        <v>-300588256</v>
      </c>
    </row>
    <row r="39" spans="1:25" hidden="1">
      <c r="C39" s="48">
        <f>+N18-C18+N31-C31</f>
        <v>1894068151.7399998</v>
      </c>
      <c r="D39" s="49"/>
      <c r="E39" s="48">
        <f>+P18-E18+P31-E31</f>
        <v>149101907</v>
      </c>
      <c r="F39" s="48">
        <f>+Q18-F18+Q31-F31</f>
        <v>-399126969</v>
      </c>
      <c r="G39" s="48">
        <f>+R18-G18+R31-G31</f>
        <v>-469782248</v>
      </c>
      <c r="H39" s="48">
        <f>+S18-H18+S31-H31</f>
        <v>-300588256</v>
      </c>
      <c r="I39" s="48">
        <f>+T18-I18+T31-I31</f>
        <v>-300588256</v>
      </c>
    </row>
    <row r="40" spans="1:25" hidden="1"/>
    <row r="41" spans="1:25" hidden="1"/>
    <row r="42" spans="1:25" hidden="1">
      <c r="E42" s="48">
        <f t="shared" ref="E42:K42" si="19">+P32-E32</f>
        <v>149101907</v>
      </c>
      <c r="F42" s="48">
        <f t="shared" si="19"/>
        <v>-399126969</v>
      </c>
      <c r="G42" s="48">
        <f t="shared" si="19"/>
        <v>-469782248</v>
      </c>
      <c r="H42" s="48">
        <f t="shared" si="19"/>
        <v>-300588256</v>
      </c>
      <c r="I42" s="48">
        <f t="shared" si="19"/>
        <v>-300588256</v>
      </c>
      <c r="J42" s="48">
        <f t="shared" si="19"/>
        <v>-1672246283</v>
      </c>
      <c r="K42" s="48">
        <f t="shared" si="19"/>
        <v>-0.38403488165687272</v>
      </c>
    </row>
    <row r="43" spans="1:25" ht="12.75" hidden="1" customHeight="1">
      <c r="B43" s="59" t="s">
        <v>451</v>
      </c>
      <c r="F43" s="48">
        <f>+'9. mell. PMH'!AE58+'12. mell. Szakrendelő'!AE58+'12. mell. Szakrendelő'!AE59+'13. mell. GAMESZ'!AE58+'14. mell. Gyerekkuckó'!AE58+'15. mell. Cinkotai H.'!AE58+'16. mell. Napsugár'!AE58+'17. mell. Sashalmi M.'!AE58+'18. mell. Margaréta'!AE58+'19.mell.Szentmihályi Játszókert'!AE58+'20. mell. M. Fecskefészek'!AE58+'21. mell. CMH'!AE58+'22. mell. Bölcsőde'!AE58+'23. mell. Terszoc.'!AE58+'23. mell. Terszoc.'!AE59+'24. mell. Napraforgó'!AE58+'25. mell. Kerületgazda'!AE58+'26. mell. Őrszolgálat'!AE58+'26. mell. Őrszolgálat'!AE59+'27. mell. KHEK'!AE58</f>
        <v>0</v>
      </c>
    </row>
    <row r="44" spans="1:25" ht="25.5" hidden="1" customHeight="1">
      <c r="B44" s="59" t="s">
        <v>452</v>
      </c>
      <c r="F44" s="48">
        <f>+'9. mell. PMH'!AE58+'12. mell. Szakrendelő'!AE58+'13. mell. GAMESZ'!AE58+'14. mell. Gyerekkuckó'!AE58+'15. mell. Cinkotai H.'!AE58+'16. mell. Napsugár'!AE58+'17. mell. Sashalmi M.'!AE58+'18. mell. Margaréta'!AE58+'19.mell.Szentmihályi Játszókert'!AE58+'20. mell. M. Fecskefészek'!AE58+'21. mell. CMH'!AE58+'22. mell. Bölcsőde'!AE58+'23. mell. Terszoc.'!AE58+'24. mell. Napraforgó'!AE58+'25. mell. Kerületgazda'!AE58+'26. mell. Őrszolgálat'!AE58+'26. mell. Őrszolgálat'!AE59+'27. mell. KHEK'!AE58</f>
        <v>0</v>
      </c>
    </row>
    <row r="45" spans="1:25" ht="25.5" hidden="1" customHeight="1">
      <c r="B45" s="59" t="s">
        <v>453</v>
      </c>
      <c r="F45" s="48">
        <f>+'12. mell. Szakrendelő'!AE59+'23. mell. Terszoc.'!AE59</f>
        <v>0</v>
      </c>
    </row>
    <row r="46" spans="1:25">
      <c r="F46" s="48">
        <f>SUM(F44:F45)</f>
        <v>0</v>
      </c>
    </row>
  </sheetData>
  <sheetProtection algorithmName="SHA-512" hashValue="fKZLFGsQoeMG7tKGq4FMm2eYWKMM/cj5yhfONUCKFpYrO8cLqIltYtDgw0t7sjA4LcK9UkUt8h7/ZELOkUYeZg==" saltValue="1Jw1a7L2EV+4aBFABtGIYg==" spinCount="100000" sheet="1" selectLockedCells="1" selectUnlockedCells="1"/>
  <mergeCells count="14">
    <mergeCell ref="D16:D17"/>
    <mergeCell ref="A2:V2"/>
    <mergeCell ref="A1:Y1"/>
    <mergeCell ref="A16:A17"/>
    <mergeCell ref="B16:B17"/>
    <mergeCell ref="C16:C17"/>
    <mergeCell ref="G16:G17"/>
    <mergeCell ref="H16:H17"/>
    <mergeCell ref="L16:L17"/>
    <mergeCell ref="I16:I17"/>
    <mergeCell ref="J16:J17"/>
    <mergeCell ref="E16:E17"/>
    <mergeCell ref="K16:K17"/>
    <mergeCell ref="F16:F17"/>
  </mergeCells>
  <printOptions horizontalCentered="1"/>
  <pageMargins left="0" right="0" top="0.47244094488188981" bottom="0.78740157480314965" header="0.51181102362204722" footer="0.78740157480314965"/>
  <pageSetup paperSize="9" scale="50" firstPageNumber="0" orientation="portrait" r:id="rId1"/>
  <headerFooter alignWithMargins="0">
    <oddFooter>&amp;C&amp;"Arial CE,Félkövér"&amp;12&amp;P/&amp;N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5461-FD24-4E82-9D53-3B787AC102DD}">
  <sheetPr>
    <tabColor rgb="FF92D050"/>
  </sheetPr>
  <dimension ref="A1:DF158"/>
  <sheetViews>
    <sheetView view="pageBreakPreview" zoomScale="90" zoomScaleSheetLayoutView="90" workbookViewId="0">
      <pane xSplit="4" ySplit="8" topLeftCell="G9" activePane="bottomRight" state="frozen"/>
      <selection sqref="A1:N1"/>
      <selection pane="topRight" sqref="A1:N1"/>
      <selection pane="bottomLeft" sqref="A1:N1"/>
      <selection pane="bottomRight" sqref="A1:AC1"/>
    </sheetView>
  </sheetViews>
  <sheetFormatPr defaultColWidth="8" defaultRowHeight="15.75"/>
  <cols>
    <col min="1" max="1" width="8.140625" style="60" customWidth="1"/>
    <col min="2" max="2" width="88.140625" style="61" customWidth="1"/>
    <col min="3" max="3" width="16.42578125" style="61" hidden="1" customWidth="1"/>
    <col min="4" max="4" width="16.7109375" style="62" hidden="1" customWidth="1"/>
    <col min="5" max="6" width="18.5703125" style="62" hidden="1" customWidth="1"/>
    <col min="7" max="7" width="17.7109375" style="62" customWidth="1"/>
    <col min="8" max="8" width="18.5703125" style="62" hidden="1" customWidth="1"/>
    <col min="9" max="9" width="16.7109375" style="62" hidden="1" customWidth="1"/>
    <col min="10" max="10" width="18" style="61" hidden="1" customWidth="1"/>
    <col min="11" max="12" width="16.7109375" style="61" hidden="1" customWidth="1"/>
    <col min="13" max="13" width="16.7109375" style="61" customWidth="1"/>
    <col min="14" max="14" width="16.7109375" style="61" hidden="1" customWidth="1"/>
    <col min="15" max="15" width="16.7109375" style="61" customWidth="1"/>
    <col min="16" max="18" width="15.5703125" style="63" hidden="1" customWidth="1"/>
    <col min="19" max="19" width="15.5703125" style="63" customWidth="1"/>
    <col min="20" max="20" width="15.5703125" style="63" hidden="1" customWidth="1"/>
    <col min="21" max="21" width="15.5703125" style="63" customWidth="1"/>
    <col min="22" max="22" width="14.85546875" style="61" hidden="1" customWidth="1"/>
    <col min="23" max="24" width="13.28515625" style="61" hidden="1" customWidth="1"/>
    <col min="25" max="25" width="13.28515625" style="61" bestFit="1" customWidth="1"/>
    <col min="26" max="26" width="13.28515625" style="61" hidden="1" customWidth="1"/>
    <col min="27" max="27" width="13.28515625" style="61" customWidth="1"/>
    <col min="28" max="28" width="16.7109375" style="61" hidden="1" customWidth="1"/>
    <col min="29" max="29" width="18" style="61" hidden="1" customWidth="1"/>
    <col min="30" max="30" width="18.85546875" style="61" hidden="1" customWidth="1"/>
    <col min="31" max="31" width="19.5703125" style="61" hidden="1" customWidth="1"/>
    <col min="32" max="32" width="18.85546875" style="61" hidden="1" customWidth="1"/>
    <col min="33" max="33" width="16.7109375" style="61" hidden="1" customWidth="1"/>
    <col min="34" max="35" width="11.7109375" style="61" hidden="1" customWidth="1"/>
    <col min="36" max="36" width="11.28515625" style="61" hidden="1" customWidth="1"/>
    <col min="37" max="37" width="11.7109375" style="61" hidden="1" customWidth="1"/>
    <col min="38" max="38" width="11.28515625" style="61" hidden="1" customWidth="1"/>
    <col min="39" max="39" width="11.7109375" style="61" hidden="1" customWidth="1"/>
    <col min="40" max="41" width="8" style="61"/>
    <col min="42" max="42" width="18.5703125" style="61" customWidth="1"/>
    <col min="43" max="16384" width="8" style="61"/>
  </cols>
  <sheetData>
    <row r="1" spans="1:39" ht="24.75" customHeight="1">
      <c r="A1" s="3585" t="s">
        <v>4258</v>
      </c>
      <c r="B1" s="3586"/>
      <c r="C1" s="3586"/>
      <c r="D1" s="3586"/>
      <c r="E1" s="3586"/>
      <c r="F1" s="3586"/>
      <c r="G1" s="3586"/>
      <c r="H1" s="3586"/>
      <c r="I1" s="3586"/>
      <c r="J1" s="3586"/>
      <c r="K1" s="3586"/>
      <c r="L1" s="3586"/>
      <c r="M1" s="3586"/>
      <c r="N1" s="3586"/>
      <c r="O1" s="3586"/>
      <c r="P1" s="3586"/>
      <c r="Q1" s="3586"/>
      <c r="R1" s="3586"/>
      <c r="S1" s="3586"/>
      <c r="T1" s="3586"/>
      <c r="U1" s="3586"/>
      <c r="V1" s="3586"/>
      <c r="W1" s="3586"/>
      <c r="X1" s="3586"/>
      <c r="Y1" s="3586"/>
      <c r="Z1" s="3586"/>
      <c r="AA1" s="3586"/>
      <c r="AB1" s="3586"/>
      <c r="AC1" s="3586"/>
      <c r="AF1" s="64"/>
      <c r="AH1" s="1375"/>
    </row>
    <row r="2" spans="1:39" ht="22.5" customHeight="1">
      <c r="A2" s="3587" t="s">
        <v>3380</v>
      </c>
      <c r="B2" s="3587"/>
      <c r="C2" s="3587"/>
      <c r="D2" s="3587"/>
      <c r="E2" s="3587"/>
      <c r="F2" s="3587"/>
      <c r="G2" s="3587"/>
      <c r="H2" s="3587"/>
      <c r="I2" s="3587"/>
      <c r="J2" s="3587"/>
      <c r="K2" s="3587"/>
      <c r="L2" s="3587"/>
      <c r="M2" s="3587"/>
      <c r="N2" s="3587"/>
      <c r="O2" s="3587"/>
      <c r="P2" s="3587"/>
      <c r="Q2" s="3587"/>
      <c r="R2" s="3587"/>
      <c r="S2" s="3587"/>
      <c r="T2" s="3587"/>
      <c r="U2" s="3587"/>
      <c r="V2" s="3587"/>
      <c r="W2" s="3587"/>
      <c r="X2" s="3587"/>
      <c r="Y2" s="3587"/>
      <c r="Z2" s="3587"/>
      <c r="AA2" s="3587"/>
      <c r="AB2" s="3587"/>
      <c r="AC2" s="3587"/>
      <c r="AD2" s="3587"/>
      <c r="AE2" s="65"/>
      <c r="AF2" s="65"/>
      <c r="AG2" s="65"/>
      <c r="AH2" s="1375"/>
    </row>
    <row r="3" spans="1:39" ht="13.5" customHeight="1">
      <c r="A3" s="3587" t="s">
        <v>3379</v>
      </c>
      <c r="B3" s="3587"/>
      <c r="C3" s="3587"/>
      <c r="D3" s="3587"/>
      <c r="E3" s="3587"/>
      <c r="F3" s="3587"/>
      <c r="G3" s="3587"/>
      <c r="H3" s="3587"/>
      <c r="I3" s="3587"/>
      <c r="J3" s="3587"/>
      <c r="K3" s="3587"/>
      <c r="L3" s="3587"/>
      <c r="M3" s="3587"/>
      <c r="N3" s="3587"/>
      <c r="O3" s="3587"/>
      <c r="P3" s="3587"/>
      <c r="Q3" s="3587"/>
      <c r="R3" s="3587"/>
      <c r="S3" s="3587"/>
      <c r="T3" s="3587"/>
      <c r="U3" s="3587"/>
      <c r="V3" s="3587"/>
      <c r="W3" s="3587"/>
      <c r="X3" s="3587"/>
      <c r="Y3" s="3587"/>
      <c r="Z3" s="3587"/>
      <c r="AA3" s="3587"/>
      <c r="AB3" s="3587"/>
      <c r="AC3" s="3587"/>
      <c r="AD3" s="3587"/>
      <c r="AE3" s="65"/>
      <c r="AF3" s="65"/>
      <c r="AG3" s="65"/>
      <c r="AH3" s="1375"/>
    </row>
    <row r="4" spans="1:39" ht="24" customHeight="1" thickBot="1">
      <c r="A4" s="1875"/>
      <c r="B4" s="1914" t="s">
        <v>2728</v>
      </c>
      <c r="C4" s="1914"/>
      <c r="D4" s="1914" t="s">
        <v>2729</v>
      </c>
      <c r="E4" s="1914" t="s">
        <v>2729</v>
      </c>
      <c r="F4" s="1914" t="s">
        <v>2729</v>
      </c>
      <c r="G4" s="1914" t="s">
        <v>2729</v>
      </c>
      <c r="H4" s="1914" t="s">
        <v>2729</v>
      </c>
      <c r="I4" s="1914"/>
      <c r="J4" s="1914" t="s">
        <v>2730</v>
      </c>
      <c r="K4" s="1914" t="s">
        <v>2730</v>
      </c>
      <c r="L4" s="1914" t="s">
        <v>2730</v>
      </c>
      <c r="M4" s="1914" t="s">
        <v>2730</v>
      </c>
      <c r="N4" s="1914" t="s">
        <v>2730</v>
      </c>
      <c r="O4" s="1914" t="s">
        <v>2731</v>
      </c>
      <c r="P4" s="1914" t="s">
        <v>2731</v>
      </c>
      <c r="Q4" s="1914" t="s">
        <v>2731</v>
      </c>
      <c r="R4" s="1914" t="s">
        <v>2731</v>
      </c>
      <c r="S4" s="1914" t="s">
        <v>2732</v>
      </c>
      <c r="T4" s="1914" t="s">
        <v>2731</v>
      </c>
      <c r="U4" s="1914" t="s">
        <v>2733</v>
      </c>
      <c r="V4" s="1914" t="s">
        <v>2732</v>
      </c>
      <c r="W4" s="1914" t="s">
        <v>2732</v>
      </c>
      <c r="X4" s="1914" t="s">
        <v>2732</v>
      </c>
      <c r="Y4" s="1914" t="s">
        <v>3463</v>
      </c>
      <c r="Z4" s="2210" t="s">
        <v>2732</v>
      </c>
      <c r="AA4" s="1914" t="s">
        <v>3464</v>
      </c>
      <c r="AB4" s="2091"/>
      <c r="AC4" s="2092"/>
      <c r="AD4" s="2092"/>
      <c r="AE4" s="66"/>
      <c r="AF4" s="66"/>
      <c r="AG4" s="66"/>
      <c r="AH4" s="2215"/>
    </row>
    <row r="5" spans="1:39" s="1912" customFormat="1" ht="51" customHeight="1" thickBot="1">
      <c r="A5" s="1913" t="s">
        <v>6</v>
      </c>
      <c r="B5" s="1915" t="s">
        <v>2737</v>
      </c>
      <c r="C5" s="1915" t="str">
        <f>+'1. mell.ÖSSZEVONT_MÉRLEG'!C5</f>
        <v>2024. évi eredeti előirányzat
forintban</v>
      </c>
      <c r="D5" s="1915" t="str">
        <f>+'1. mell.ÖSSZEVONT_MÉRLEG'!E5</f>
        <v>2025. évi eredeti előirányzat forintban</v>
      </c>
      <c r="E5" s="1915" t="str">
        <f>+'1. mell.ÖSSZEVONT_MÉRLEG'!F5</f>
        <v>2025. évi I. számú módosított előirányzat
forintban</v>
      </c>
      <c r="F5" s="1915" t="str">
        <f>+'1. mell.ÖSSZEVONT_MÉRLEG'!G5</f>
        <v>2025. évi II. számú módosított előirányzat forintban</v>
      </c>
      <c r="G5" s="1915" t="str">
        <f>+'1. mell.ÖSSZEVONT_MÉRLEG'!H5</f>
        <v>2025. évi III. számú módosított előirányzat forintban</v>
      </c>
      <c r="H5" s="1915" t="str">
        <f>+'1. mell.ÖSSZEVONT_MÉRLEG'!I5</f>
        <v>2025. évi IV. számú módosított előirányzat forintban</v>
      </c>
      <c r="I5" s="1917" t="str">
        <f>+'1. mell.ÖSSZEVONT_MÉRLEG'!J5</f>
        <v>2025. évi
teljesítés forintban</v>
      </c>
      <c r="J5" s="1918" t="s">
        <v>3376</v>
      </c>
      <c r="K5" s="1919" t="s">
        <v>3653</v>
      </c>
      <c r="L5" s="1920" t="s">
        <v>3505</v>
      </c>
      <c r="M5" s="1921" t="s">
        <v>3518</v>
      </c>
      <c r="N5" s="1922" t="s">
        <v>3519</v>
      </c>
      <c r="O5" s="1922" t="s">
        <v>3520</v>
      </c>
      <c r="P5" s="1918" t="s">
        <v>3377</v>
      </c>
      <c r="Q5" s="1919" t="s">
        <v>3654</v>
      </c>
      <c r="R5" s="1920" t="s">
        <v>3504</v>
      </c>
      <c r="S5" s="1921" t="s">
        <v>3507</v>
      </c>
      <c r="T5" s="1922" t="s">
        <v>3521</v>
      </c>
      <c r="U5" s="1922" t="s">
        <v>3522</v>
      </c>
      <c r="V5" s="1918" t="s">
        <v>3378</v>
      </c>
      <c r="W5" s="1922" t="s">
        <v>3655</v>
      </c>
      <c r="X5" s="1922" t="s">
        <v>3523</v>
      </c>
      <c r="Y5" s="1922" t="s">
        <v>3679</v>
      </c>
      <c r="Z5" s="2042" t="s">
        <v>3524</v>
      </c>
      <c r="AA5" s="1922" t="s">
        <v>3525</v>
      </c>
      <c r="AB5" s="1922" t="s">
        <v>3703</v>
      </c>
      <c r="AC5" s="1907" t="s">
        <v>454</v>
      </c>
      <c r="AD5" s="1908" t="s">
        <v>455</v>
      </c>
      <c r="AE5" s="1909" t="s">
        <v>456</v>
      </c>
      <c r="AF5" s="1908" t="s">
        <v>457</v>
      </c>
      <c r="AG5" s="1910" t="s">
        <v>458</v>
      </c>
      <c r="AH5" s="2216" t="s">
        <v>459</v>
      </c>
      <c r="AI5" s="1911" t="s">
        <v>459</v>
      </c>
      <c r="AJ5" s="1911"/>
    </row>
    <row r="6" spans="1:39" s="75" customFormat="1" ht="16.5" hidden="1" customHeight="1">
      <c r="A6" s="1874"/>
      <c r="B6" s="1874"/>
      <c r="C6" s="1923"/>
      <c r="D6" s="1874"/>
      <c r="E6" s="1923"/>
      <c r="F6" s="1923"/>
      <c r="G6" s="1923"/>
      <c r="H6" s="1923"/>
      <c r="I6" s="1923"/>
      <c r="J6" s="1924"/>
      <c r="K6" s="1924"/>
      <c r="L6" s="1924"/>
      <c r="M6" s="1924"/>
      <c r="N6" s="1924"/>
      <c r="O6" s="1924"/>
      <c r="P6" s="1924"/>
      <c r="Q6" s="1924"/>
      <c r="R6" s="1924"/>
      <c r="S6" s="1924"/>
      <c r="T6" s="1924"/>
      <c r="U6" s="1924"/>
      <c r="V6" s="1924"/>
      <c r="W6" s="1602">
        <v>6</v>
      </c>
      <c r="X6" s="1603">
        <v>6</v>
      </c>
      <c r="Y6" s="2211">
        <v>6</v>
      </c>
      <c r="Z6" s="68"/>
      <c r="AA6" s="67"/>
      <c r="AB6" s="69"/>
      <c r="AC6" s="70"/>
      <c r="AD6" s="71"/>
      <c r="AE6" s="72"/>
      <c r="AF6" s="73"/>
      <c r="AG6" s="74"/>
      <c r="AH6" s="2217"/>
    </row>
    <row r="7" spans="1:39" s="75" customFormat="1" ht="15.75" hidden="1" customHeight="1">
      <c r="A7" s="1875"/>
      <c r="B7" s="1875"/>
      <c r="C7" s="1875"/>
      <c r="D7" s="3588"/>
      <c r="E7" s="3588"/>
      <c r="F7" s="1925"/>
      <c r="G7" s="1925"/>
      <c r="H7" s="1925"/>
      <c r="I7" s="1925"/>
      <c r="J7" s="1926"/>
      <c r="K7" s="1926"/>
      <c r="L7" s="1926"/>
      <c r="M7" s="1926"/>
      <c r="N7" s="1926"/>
      <c r="O7" s="1926"/>
      <c r="P7" s="1927"/>
      <c r="Q7" s="1927"/>
      <c r="R7" s="1927"/>
      <c r="S7" s="1927"/>
      <c r="T7" s="1927"/>
      <c r="U7" s="1927"/>
      <c r="V7" s="1927"/>
      <c r="W7" s="76"/>
      <c r="X7" s="2489"/>
      <c r="Y7" s="2212"/>
      <c r="Z7" s="76"/>
      <c r="AA7" s="76"/>
      <c r="AB7" s="76"/>
      <c r="AC7" s="2490"/>
      <c r="AD7" s="2491"/>
      <c r="AE7" s="2492"/>
      <c r="AF7" s="2493"/>
      <c r="AG7" s="77"/>
      <c r="AH7" s="2494"/>
      <c r="AI7" s="78"/>
    </row>
    <row r="8" spans="1:39" s="75" customFormat="1" ht="39.75" customHeight="1">
      <c r="A8" s="1928" t="s">
        <v>3353</v>
      </c>
      <c r="B8" s="1929" t="s">
        <v>3381</v>
      </c>
      <c r="C8" s="1930">
        <f t="shared" ref="C8:AG8" si="0">+C9+C10+C11+C12+C13+C14</f>
        <v>6535171723</v>
      </c>
      <c r="D8" s="1930">
        <f t="shared" si="0"/>
        <v>6635944194</v>
      </c>
      <c r="E8" s="1930">
        <f t="shared" si="0"/>
        <v>6691653646</v>
      </c>
      <c r="F8" s="1930">
        <f t="shared" si="0"/>
        <v>6877928836</v>
      </c>
      <c r="G8" s="1930">
        <f t="shared" si="0"/>
        <v>7130846423</v>
      </c>
      <c r="H8" s="1930">
        <f t="shared" si="0"/>
        <v>7130846423</v>
      </c>
      <c r="I8" s="1930">
        <f t="shared" si="0"/>
        <v>7130846423</v>
      </c>
      <c r="J8" s="1930">
        <f t="shared" si="0"/>
        <v>6635944194</v>
      </c>
      <c r="K8" s="1930">
        <f t="shared" si="0"/>
        <v>6691653646</v>
      </c>
      <c r="L8" s="1930">
        <f t="shared" si="0"/>
        <v>6877928836</v>
      </c>
      <c r="M8" s="1930">
        <f t="shared" si="0"/>
        <v>7130846423</v>
      </c>
      <c r="N8" s="1930">
        <f t="shared" si="0"/>
        <v>7130846423</v>
      </c>
      <c r="O8" s="1930">
        <f t="shared" si="0"/>
        <v>7130846423</v>
      </c>
      <c r="P8" s="1930">
        <f t="shared" si="0"/>
        <v>0</v>
      </c>
      <c r="Q8" s="1930">
        <f t="shared" si="0"/>
        <v>0</v>
      </c>
      <c r="R8" s="1930">
        <f t="shared" si="0"/>
        <v>0</v>
      </c>
      <c r="S8" s="1930">
        <f t="shared" si="0"/>
        <v>0</v>
      </c>
      <c r="T8" s="1930">
        <f t="shared" si="0"/>
        <v>0</v>
      </c>
      <c r="U8" s="1930">
        <f t="shared" si="0"/>
        <v>0</v>
      </c>
      <c r="V8" s="2481">
        <f t="shared" si="0"/>
        <v>0</v>
      </c>
      <c r="W8" s="1930">
        <f t="shared" si="0"/>
        <v>0</v>
      </c>
      <c r="X8" s="1930">
        <f t="shared" si="0"/>
        <v>0</v>
      </c>
      <c r="Y8" s="1930">
        <f t="shared" si="0"/>
        <v>0</v>
      </c>
      <c r="Z8" s="1930">
        <f t="shared" si="0"/>
        <v>0</v>
      </c>
      <c r="AA8" s="1930">
        <f t="shared" si="0"/>
        <v>0</v>
      </c>
      <c r="AB8" s="1930">
        <f t="shared" si="0"/>
        <v>6635944194</v>
      </c>
      <c r="AC8" s="1930">
        <f t="shared" si="0"/>
        <v>6691653646</v>
      </c>
      <c r="AD8" s="1930">
        <f t="shared" si="0"/>
        <v>6877928836</v>
      </c>
      <c r="AE8" s="1930">
        <f t="shared" si="0"/>
        <v>7130846423</v>
      </c>
      <c r="AF8" s="1930">
        <f t="shared" si="0"/>
        <v>7130846423</v>
      </c>
      <c r="AG8" s="1930">
        <f t="shared" si="0"/>
        <v>7130846423</v>
      </c>
      <c r="AH8" s="999">
        <f t="shared" ref="AH8:AH89" si="1">+D8-AB8</f>
        <v>0</v>
      </c>
      <c r="AI8" s="999">
        <f t="shared" ref="AI8:AI89" si="2">+E8-AC8</f>
        <v>0</v>
      </c>
      <c r="AJ8" s="999">
        <f t="shared" ref="AJ8:AJ89" si="3">+F8-AD8</f>
        <v>0</v>
      </c>
      <c r="AK8" s="999">
        <f t="shared" ref="AK8:AK89" si="4">+G8-AE8</f>
        <v>0</v>
      </c>
      <c r="AL8" s="999">
        <f t="shared" ref="AL8:AL89" si="5">+H8-AF8</f>
        <v>0</v>
      </c>
      <c r="AM8" s="79">
        <f t="shared" ref="AM8:AM89" si="6">+I8-AG8</f>
        <v>0</v>
      </c>
    </row>
    <row r="9" spans="1:39" s="75" customFormat="1">
      <c r="A9" s="1931" t="s">
        <v>176</v>
      </c>
      <c r="B9" s="1932" t="s">
        <v>177</v>
      </c>
      <c r="C9" s="1933">
        <f>+'5. mell.Önk-i mérleg'!C8</f>
        <v>1197603775</v>
      </c>
      <c r="D9" s="1933">
        <f>+'5. mell.Önk-i mérleg'!E8</f>
        <v>1196771675</v>
      </c>
      <c r="E9" s="1933">
        <f>+'5. mell.Önk-i mérleg'!F8</f>
        <v>1196771675</v>
      </c>
      <c r="F9" s="1933">
        <f>+'5. mell.Önk-i mérleg'!G8</f>
        <v>1196771675</v>
      </c>
      <c r="G9" s="1933">
        <f>+'5. mell.Önk-i mérleg'!H8</f>
        <v>1238973205</v>
      </c>
      <c r="H9" s="1933">
        <f>+'5. mell.Önk-i mérleg'!I8</f>
        <v>1238973205</v>
      </c>
      <c r="I9" s="1933">
        <f>+'5. mell.Önk-i mérleg'!J8</f>
        <v>1238973205</v>
      </c>
      <c r="J9" s="1934">
        <f>+'6. mell (Bontás)'!J8</f>
        <v>1196771675</v>
      </c>
      <c r="K9" s="1934">
        <f>+'6. mell (Bontás)'!K8</f>
        <v>1196771675</v>
      </c>
      <c r="L9" s="1934">
        <f>+'6. mell (Bontás)'!L8</f>
        <v>1196771675</v>
      </c>
      <c r="M9" s="1934">
        <f>+'6. mell (Bontás)'!M8</f>
        <v>1238973205</v>
      </c>
      <c r="N9" s="1934">
        <f>+'6. mell (Bontás)'!N8</f>
        <v>1238973205</v>
      </c>
      <c r="O9" s="1934">
        <f>+'6. mell (Bontás)'!O8</f>
        <v>1238973205</v>
      </c>
      <c r="P9" s="1934">
        <f>+'6. mell (Bontás)'!P8</f>
        <v>0</v>
      </c>
      <c r="Q9" s="1934">
        <f>+'6. mell (Bontás)'!Q8</f>
        <v>0</v>
      </c>
      <c r="R9" s="1934">
        <f>+'6. mell (Bontás)'!R8</f>
        <v>0</v>
      </c>
      <c r="S9" s="1934">
        <f>+'6. mell (Bontás)'!S8</f>
        <v>0</v>
      </c>
      <c r="T9" s="1934">
        <f>+'6. mell (Bontás)'!T8</f>
        <v>0</v>
      </c>
      <c r="U9" s="1934">
        <f>+'6. mell (Bontás)'!U8</f>
        <v>0</v>
      </c>
      <c r="V9" s="2482">
        <f>+'6. mell (Bontás)'!V8</f>
        <v>0</v>
      </c>
      <c r="W9" s="1934">
        <f>+'6. mell (Bontás)'!W8</f>
        <v>0</v>
      </c>
      <c r="X9" s="1934">
        <f>+'6. mell (Bontás)'!X8</f>
        <v>0</v>
      </c>
      <c r="Y9" s="1934">
        <f>+'6. mell (Bontás)'!Y8</f>
        <v>0</v>
      </c>
      <c r="Z9" s="1934">
        <f>+'6. mell (Bontás)'!Z8</f>
        <v>0</v>
      </c>
      <c r="AA9" s="1934">
        <f>+'6. mell (Bontás)'!AA8</f>
        <v>0</v>
      </c>
      <c r="AB9" s="2495">
        <f t="shared" ref="AB9:AB14" si="7">+J9+P9+V9</f>
        <v>1196771675</v>
      </c>
      <c r="AC9" s="2495">
        <f t="shared" ref="AC9:AC14" si="8">+K9+Q9+W9</f>
        <v>1196771675</v>
      </c>
      <c r="AD9" s="2495">
        <f t="shared" ref="AD9:AD14" si="9">+L9+R9+X9</f>
        <v>1196771675</v>
      </c>
      <c r="AE9" s="2495">
        <f t="shared" ref="AE9:AE14" si="10">+M9+S9+Y9</f>
        <v>1238973205</v>
      </c>
      <c r="AF9" s="2495">
        <f t="shared" ref="AF9:AF14" si="11">+N9+T9+Z9</f>
        <v>1238973205</v>
      </c>
      <c r="AG9" s="2495">
        <f t="shared" ref="AG9:AG14" si="12">+O9+U9+AA9</f>
        <v>1238973205</v>
      </c>
      <c r="AH9" s="999">
        <f t="shared" si="1"/>
        <v>0</v>
      </c>
      <c r="AI9" s="999">
        <f t="shared" si="2"/>
        <v>0</v>
      </c>
      <c r="AJ9" s="999">
        <f t="shared" si="3"/>
        <v>0</v>
      </c>
      <c r="AK9" s="999">
        <f t="shared" si="4"/>
        <v>0</v>
      </c>
      <c r="AL9" s="999">
        <f t="shared" si="5"/>
        <v>0</v>
      </c>
      <c r="AM9" s="79">
        <f t="shared" si="6"/>
        <v>0</v>
      </c>
    </row>
    <row r="10" spans="1:39" s="75" customFormat="1">
      <c r="A10" s="1931" t="s">
        <v>178</v>
      </c>
      <c r="B10" s="1932" t="s">
        <v>3535</v>
      </c>
      <c r="C10" s="1933">
        <f>+'5. mell.Önk-i mérleg'!C9</f>
        <v>2720986226</v>
      </c>
      <c r="D10" s="1933">
        <f>+'5. mell.Önk-i mérleg'!E9</f>
        <v>3022096356</v>
      </c>
      <c r="E10" s="1933">
        <f>+'5. mell.Önk-i mérleg'!F9</f>
        <v>3022096356</v>
      </c>
      <c r="F10" s="1933">
        <f>+'5. mell.Önk-i mérleg'!G9</f>
        <v>3022096356</v>
      </c>
      <c r="G10" s="1933">
        <f>+'5. mell.Önk-i mérleg'!H9</f>
        <v>3011772170</v>
      </c>
      <c r="H10" s="1933">
        <f>+'5. mell.Önk-i mérleg'!I9</f>
        <v>3011772170</v>
      </c>
      <c r="I10" s="1933">
        <f>+'5. mell.Önk-i mérleg'!J9</f>
        <v>3011772170</v>
      </c>
      <c r="J10" s="1934">
        <f>+'6. mell (Bontás)'!J9</f>
        <v>3022096356</v>
      </c>
      <c r="K10" s="1934">
        <f>+'6. mell (Bontás)'!K9</f>
        <v>3022096356</v>
      </c>
      <c r="L10" s="1934">
        <f>+'6. mell (Bontás)'!L9</f>
        <v>3022096356</v>
      </c>
      <c r="M10" s="1934">
        <f>+'6. mell (Bontás)'!M9</f>
        <v>3011772170</v>
      </c>
      <c r="N10" s="1934">
        <f>+'6. mell (Bontás)'!N9</f>
        <v>3011772170</v>
      </c>
      <c r="O10" s="1934">
        <f>+'6. mell (Bontás)'!O9</f>
        <v>3011772170</v>
      </c>
      <c r="P10" s="1934">
        <f>+'6. mell (Bontás)'!P9</f>
        <v>0</v>
      </c>
      <c r="Q10" s="1934">
        <f>+'6. mell (Bontás)'!Q9</f>
        <v>0</v>
      </c>
      <c r="R10" s="1934">
        <f>+'6. mell (Bontás)'!R9</f>
        <v>0</v>
      </c>
      <c r="S10" s="1934">
        <f>+'6. mell (Bontás)'!S9</f>
        <v>0</v>
      </c>
      <c r="T10" s="1934">
        <f>+'6. mell (Bontás)'!T9</f>
        <v>0</v>
      </c>
      <c r="U10" s="1934">
        <f>+'6. mell (Bontás)'!U9</f>
        <v>0</v>
      </c>
      <c r="V10" s="2482">
        <f>+'6. mell (Bontás)'!V9</f>
        <v>0</v>
      </c>
      <c r="W10" s="1934">
        <f>+'6. mell (Bontás)'!W9</f>
        <v>0</v>
      </c>
      <c r="X10" s="1934">
        <f>+'6. mell (Bontás)'!X9</f>
        <v>0</v>
      </c>
      <c r="Y10" s="1934">
        <f>+'6. mell (Bontás)'!Y9</f>
        <v>0</v>
      </c>
      <c r="Z10" s="1934">
        <f>+'6. mell (Bontás)'!Z9</f>
        <v>0</v>
      </c>
      <c r="AA10" s="1934">
        <f>+'6. mell (Bontás)'!AA9</f>
        <v>0</v>
      </c>
      <c r="AB10" s="2495">
        <f t="shared" si="7"/>
        <v>3022096356</v>
      </c>
      <c r="AC10" s="2495">
        <f t="shared" si="8"/>
        <v>3022096356</v>
      </c>
      <c r="AD10" s="2495">
        <f t="shared" si="9"/>
        <v>3022096356</v>
      </c>
      <c r="AE10" s="2495">
        <f t="shared" si="10"/>
        <v>3011772170</v>
      </c>
      <c r="AF10" s="2495">
        <f t="shared" si="11"/>
        <v>3011772170</v>
      </c>
      <c r="AG10" s="2495">
        <f t="shared" si="12"/>
        <v>3011772170</v>
      </c>
      <c r="AH10" s="999">
        <f t="shared" si="1"/>
        <v>0</v>
      </c>
      <c r="AI10" s="999">
        <f t="shared" si="2"/>
        <v>0</v>
      </c>
      <c r="AJ10" s="999">
        <f t="shared" si="3"/>
        <v>0</v>
      </c>
      <c r="AK10" s="999">
        <f t="shared" si="4"/>
        <v>0</v>
      </c>
      <c r="AL10" s="999">
        <f t="shared" si="5"/>
        <v>0</v>
      </c>
      <c r="AM10" s="79">
        <f t="shared" si="6"/>
        <v>0</v>
      </c>
    </row>
    <row r="11" spans="1:39" s="75" customFormat="1" ht="31.5">
      <c r="A11" s="1931" t="s">
        <v>179</v>
      </c>
      <c r="B11" s="1932" t="s">
        <v>3536</v>
      </c>
      <c r="C11" s="1933">
        <f>+'5. mell.Önk-i mérleg'!C10</f>
        <v>2575588594</v>
      </c>
      <c r="D11" s="1933">
        <f>+'5. mell.Önk-i mérleg'!E10</f>
        <v>2376252867</v>
      </c>
      <c r="E11" s="1933">
        <f>+'5. mell.Önk-i mérleg'!F10</f>
        <v>2376252867</v>
      </c>
      <c r="F11" s="1933">
        <f>+'5. mell.Önk-i mérleg'!G10</f>
        <v>2509438057</v>
      </c>
      <c r="G11" s="1933">
        <f>+'5. mell.Önk-i mérleg'!H10</f>
        <v>2731130554</v>
      </c>
      <c r="H11" s="1933">
        <f>+'5. mell.Önk-i mérleg'!I10</f>
        <v>2731130554</v>
      </c>
      <c r="I11" s="1933">
        <f>+'5. mell.Önk-i mérleg'!J10</f>
        <v>2731130554</v>
      </c>
      <c r="J11" s="1934">
        <f>+'6. mell (Bontás)'!J10</f>
        <v>2376252867</v>
      </c>
      <c r="K11" s="1934">
        <f>+'6. mell (Bontás)'!K10</f>
        <v>2376252867</v>
      </c>
      <c r="L11" s="1934">
        <f>+'6. mell (Bontás)'!L10</f>
        <v>2509438057</v>
      </c>
      <c r="M11" s="1934">
        <f>+'6. mell (Bontás)'!M10</f>
        <v>2731130554</v>
      </c>
      <c r="N11" s="1934">
        <f>+'6. mell (Bontás)'!N10</f>
        <v>2731130554</v>
      </c>
      <c r="O11" s="1934">
        <f>+'6. mell (Bontás)'!O10</f>
        <v>2731130554</v>
      </c>
      <c r="P11" s="1934">
        <f>+'6. mell (Bontás)'!P10</f>
        <v>0</v>
      </c>
      <c r="Q11" s="1934">
        <f>+'6. mell (Bontás)'!Q10</f>
        <v>0</v>
      </c>
      <c r="R11" s="1934">
        <f>+'6. mell (Bontás)'!R10</f>
        <v>0</v>
      </c>
      <c r="S11" s="1934">
        <f>+'6. mell (Bontás)'!S10</f>
        <v>0</v>
      </c>
      <c r="T11" s="1934">
        <f>+'6. mell (Bontás)'!T10</f>
        <v>0</v>
      </c>
      <c r="U11" s="1934">
        <f>+'6. mell (Bontás)'!U10</f>
        <v>0</v>
      </c>
      <c r="V11" s="2482">
        <f>+'6. mell (Bontás)'!V10</f>
        <v>0</v>
      </c>
      <c r="W11" s="1934">
        <f>+'6. mell (Bontás)'!W10</f>
        <v>0</v>
      </c>
      <c r="X11" s="1934">
        <f>+'6. mell (Bontás)'!X10</f>
        <v>0</v>
      </c>
      <c r="Y11" s="1934">
        <f>+'6. mell (Bontás)'!Y10</f>
        <v>0</v>
      </c>
      <c r="Z11" s="1934">
        <f>+'6. mell (Bontás)'!Z10</f>
        <v>0</v>
      </c>
      <c r="AA11" s="1934">
        <f>+'6. mell (Bontás)'!AA10</f>
        <v>0</v>
      </c>
      <c r="AB11" s="2495">
        <f t="shared" si="7"/>
        <v>2376252867</v>
      </c>
      <c r="AC11" s="2495">
        <f t="shared" si="8"/>
        <v>2376252867</v>
      </c>
      <c r="AD11" s="2495">
        <f t="shared" si="9"/>
        <v>2509438057</v>
      </c>
      <c r="AE11" s="2495">
        <f t="shared" si="10"/>
        <v>2731130554</v>
      </c>
      <c r="AF11" s="2495">
        <f t="shared" si="11"/>
        <v>2731130554</v>
      </c>
      <c r="AG11" s="2495">
        <f t="shared" si="12"/>
        <v>2731130554</v>
      </c>
      <c r="AH11" s="999">
        <f t="shared" si="1"/>
        <v>0</v>
      </c>
      <c r="AI11" s="999">
        <f t="shared" si="2"/>
        <v>0</v>
      </c>
      <c r="AJ11" s="999">
        <f t="shared" si="3"/>
        <v>0</v>
      </c>
      <c r="AK11" s="999">
        <f t="shared" si="4"/>
        <v>0</v>
      </c>
      <c r="AL11" s="999">
        <f t="shared" si="5"/>
        <v>0</v>
      </c>
      <c r="AM11" s="79">
        <f t="shared" si="6"/>
        <v>0</v>
      </c>
    </row>
    <row r="12" spans="1:39" s="75" customFormat="1">
      <c r="A12" s="1931" t="s">
        <v>180</v>
      </c>
      <c r="B12" s="1932" t="s">
        <v>3534</v>
      </c>
      <c r="C12" s="1933">
        <f>+'5. mell.Önk-i mérleg'!C11</f>
        <v>40993128</v>
      </c>
      <c r="D12" s="1933">
        <f>+'5. mell.Önk-i mérleg'!E11</f>
        <v>40823296</v>
      </c>
      <c r="E12" s="1933">
        <f>+'5. mell.Önk-i mérleg'!F11</f>
        <v>40823296</v>
      </c>
      <c r="F12" s="1933">
        <f>+'5. mell.Önk-i mérleg'!G11</f>
        <v>88913296</v>
      </c>
      <c r="G12" s="1933">
        <f>+'5. mell.Önk-i mérleg'!H11</f>
        <v>85961042</v>
      </c>
      <c r="H12" s="1933">
        <f>+'5. mell.Önk-i mérleg'!I11</f>
        <v>85961042</v>
      </c>
      <c r="I12" s="1933">
        <f>+'5. mell.Önk-i mérleg'!J11</f>
        <v>85961042</v>
      </c>
      <c r="J12" s="1934">
        <f>+'6. mell (Bontás)'!J11</f>
        <v>40823296</v>
      </c>
      <c r="K12" s="1934">
        <f>+'6. mell (Bontás)'!K11</f>
        <v>40823296</v>
      </c>
      <c r="L12" s="1934">
        <f>+'6. mell (Bontás)'!L11</f>
        <v>88913296</v>
      </c>
      <c r="M12" s="1934">
        <f>+'6. mell (Bontás)'!M11</f>
        <v>85961042</v>
      </c>
      <c r="N12" s="1934">
        <f>+'6. mell (Bontás)'!N11</f>
        <v>85961042</v>
      </c>
      <c r="O12" s="1934">
        <f>+'6. mell (Bontás)'!O11</f>
        <v>85961042</v>
      </c>
      <c r="P12" s="1934">
        <f>+'6. mell (Bontás)'!P11</f>
        <v>0</v>
      </c>
      <c r="Q12" s="1934">
        <f>+'6. mell (Bontás)'!Q11</f>
        <v>0</v>
      </c>
      <c r="R12" s="1934">
        <f>+'6. mell (Bontás)'!R11</f>
        <v>0</v>
      </c>
      <c r="S12" s="1934">
        <f>+'6. mell (Bontás)'!S11</f>
        <v>0</v>
      </c>
      <c r="T12" s="1934">
        <f>+'6. mell (Bontás)'!T11</f>
        <v>0</v>
      </c>
      <c r="U12" s="1934">
        <f>+'6. mell (Bontás)'!U11</f>
        <v>0</v>
      </c>
      <c r="V12" s="2482">
        <f>+'6. mell (Bontás)'!V11</f>
        <v>0</v>
      </c>
      <c r="W12" s="1934">
        <f>+'6. mell (Bontás)'!W11</f>
        <v>0</v>
      </c>
      <c r="X12" s="1934">
        <f>+'6. mell (Bontás)'!X11</f>
        <v>0</v>
      </c>
      <c r="Y12" s="1934">
        <f>+'6. mell (Bontás)'!Y11</f>
        <v>0</v>
      </c>
      <c r="Z12" s="1934">
        <f>+'6. mell (Bontás)'!Z11</f>
        <v>0</v>
      </c>
      <c r="AA12" s="1934">
        <f>+'6. mell (Bontás)'!AA11</f>
        <v>0</v>
      </c>
      <c r="AB12" s="2495">
        <f t="shared" si="7"/>
        <v>40823296</v>
      </c>
      <c r="AC12" s="2495">
        <f t="shared" si="8"/>
        <v>40823296</v>
      </c>
      <c r="AD12" s="2495">
        <f t="shared" si="9"/>
        <v>88913296</v>
      </c>
      <c r="AE12" s="2495">
        <f t="shared" si="10"/>
        <v>85961042</v>
      </c>
      <c r="AF12" s="2495">
        <f t="shared" si="11"/>
        <v>85961042</v>
      </c>
      <c r="AG12" s="2495">
        <f t="shared" si="12"/>
        <v>85961042</v>
      </c>
      <c r="AH12" s="999">
        <f t="shared" si="1"/>
        <v>0</v>
      </c>
      <c r="AI12" s="999">
        <f t="shared" si="2"/>
        <v>0</v>
      </c>
      <c r="AJ12" s="999">
        <f t="shared" si="3"/>
        <v>0</v>
      </c>
      <c r="AK12" s="999">
        <f t="shared" si="4"/>
        <v>0</v>
      </c>
      <c r="AL12" s="999">
        <f t="shared" si="5"/>
        <v>0</v>
      </c>
      <c r="AM12" s="79">
        <f t="shared" si="6"/>
        <v>0</v>
      </c>
    </row>
    <row r="13" spans="1:39" s="75" customFormat="1">
      <c r="A13" s="1931" t="s">
        <v>181</v>
      </c>
      <c r="B13" s="1932" t="s">
        <v>182</v>
      </c>
      <c r="C13" s="1933">
        <f>+'5. mell.Önk-i mérleg'!C12</f>
        <v>0</v>
      </c>
      <c r="D13" s="1933">
        <f>+'5. mell.Önk-i mérleg'!E12</f>
        <v>0</v>
      </c>
      <c r="E13" s="1933">
        <f>+'5. mell.Önk-i mérleg'!F12</f>
        <v>0</v>
      </c>
      <c r="F13" s="1933">
        <f>+'5. mell.Önk-i mérleg'!G12</f>
        <v>5000000</v>
      </c>
      <c r="G13" s="1933">
        <f>+'5. mell.Önk-i mérleg'!H12</f>
        <v>7300000</v>
      </c>
      <c r="H13" s="1933">
        <f>+'5. mell.Önk-i mérleg'!I12</f>
        <v>7300000</v>
      </c>
      <c r="I13" s="1933">
        <f>+'5. mell.Önk-i mérleg'!J12</f>
        <v>7300000</v>
      </c>
      <c r="J13" s="1934">
        <f>+'6. mell (Bontás)'!J12</f>
        <v>0</v>
      </c>
      <c r="K13" s="1934">
        <f>+'6. mell (Bontás)'!K12</f>
        <v>0</v>
      </c>
      <c r="L13" s="1934">
        <f>+'6. mell (Bontás)'!L12</f>
        <v>5000000</v>
      </c>
      <c r="M13" s="1934">
        <f>+'6. mell (Bontás)'!M12</f>
        <v>7300000</v>
      </c>
      <c r="N13" s="1934">
        <f>+'6. mell (Bontás)'!N12</f>
        <v>7300000</v>
      </c>
      <c r="O13" s="1934">
        <f>+'6. mell (Bontás)'!O12</f>
        <v>7300000</v>
      </c>
      <c r="P13" s="1934">
        <f>+'6. mell (Bontás)'!P12</f>
        <v>0</v>
      </c>
      <c r="Q13" s="1934">
        <f>+'6. mell (Bontás)'!Q12</f>
        <v>0</v>
      </c>
      <c r="R13" s="1934">
        <f>+'6. mell (Bontás)'!R12</f>
        <v>0</v>
      </c>
      <c r="S13" s="1934">
        <f>+'6. mell (Bontás)'!S12</f>
        <v>0</v>
      </c>
      <c r="T13" s="1934">
        <f>+'6. mell (Bontás)'!T12</f>
        <v>0</v>
      </c>
      <c r="U13" s="1934">
        <f>+'6. mell (Bontás)'!U12</f>
        <v>0</v>
      </c>
      <c r="V13" s="2482">
        <f>+'6. mell (Bontás)'!V12</f>
        <v>0</v>
      </c>
      <c r="W13" s="1934">
        <f>+'6. mell (Bontás)'!W12</f>
        <v>0</v>
      </c>
      <c r="X13" s="1934">
        <f>+'6. mell (Bontás)'!X12</f>
        <v>0</v>
      </c>
      <c r="Y13" s="1934">
        <f>+'6. mell (Bontás)'!Y12</f>
        <v>0</v>
      </c>
      <c r="Z13" s="1934">
        <f>+'6. mell (Bontás)'!Z12</f>
        <v>0</v>
      </c>
      <c r="AA13" s="1934">
        <f>+'6. mell (Bontás)'!AA12</f>
        <v>0</v>
      </c>
      <c r="AB13" s="2495">
        <f t="shared" si="7"/>
        <v>0</v>
      </c>
      <c r="AC13" s="2495">
        <f t="shared" si="8"/>
        <v>0</v>
      </c>
      <c r="AD13" s="2495">
        <f t="shared" si="9"/>
        <v>5000000</v>
      </c>
      <c r="AE13" s="2495">
        <f t="shared" si="10"/>
        <v>7300000</v>
      </c>
      <c r="AF13" s="2495">
        <f t="shared" si="11"/>
        <v>7300000</v>
      </c>
      <c r="AG13" s="2495">
        <f t="shared" si="12"/>
        <v>7300000</v>
      </c>
      <c r="AH13" s="999">
        <f t="shared" si="1"/>
        <v>0</v>
      </c>
      <c r="AI13" s="999">
        <f t="shared" si="2"/>
        <v>0</v>
      </c>
      <c r="AJ13" s="999">
        <f t="shared" si="3"/>
        <v>0</v>
      </c>
      <c r="AK13" s="999">
        <f t="shared" si="4"/>
        <v>0</v>
      </c>
      <c r="AL13" s="999">
        <f t="shared" si="5"/>
        <v>0</v>
      </c>
      <c r="AM13" s="79">
        <f t="shared" si="6"/>
        <v>0</v>
      </c>
    </row>
    <row r="14" spans="1:39" s="75" customFormat="1">
      <c r="A14" s="1931" t="s">
        <v>183</v>
      </c>
      <c r="B14" s="1932" t="s">
        <v>184</v>
      </c>
      <c r="C14" s="1933">
        <f>+'5. mell.Önk-i mérleg'!C13</f>
        <v>0</v>
      </c>
      <c r="D14" s="1933">
        <f>+'5. mell.Önk-i mérleg'!E13</f>
        <v>0</v>
      </c>
      <c r="E14" s="1933">
        <f>+'5. mell.Önk-i mérleg'!F13</f>
        <v>55709452</v>
      </c>
      <c r="F14" s="1933">
        <f>+'5. mell.Önk-i mérleg'!G13</f>
        <v>55709452</v>
      </c>
      <c r="G14" s="1933">
        <f>+'5. mell.Önk-i mérleg'!H13</f>
        <v>55709452</v>
      </c>
      <c r="H14" s="1933">
        <f>+'5. mell.Önk-i mérleg'!I13</f>
        <v>55709452</v>
      </c>
      <c r="I14" s="1933">
        <f>+'5. mell.Önk-i mérleg'!J13</f>
        <v>55709452</v>
      </c>
      <c r="J14" s="1934">
        <f>+'6. mell (Bontás)'!J13</f>
        <v>0</v>
      </c>
      <c r="K14" s="1934">
        <f>+'6. mell (Bontás)'!K13</f>
        <v>55709452</v>
      </c>
      <c r="L14" s="1934">
        <f>+'6. mell (Bontás)'!L13</f>
        <v>55709452</v>
      </c>
      <c r="M14" s="1934">
        <f>+'6. mell (Bontás)'!M13</f>
        <v>55709452</v>
      </c>
      <c r="N14" s="1934">
        <f>+'6. mell (Bontás)'!N13</f>
        <v>55709452</v>
      </c>
      <c r="O14" s="1934">
        <f>+'6. mell (Bontás)'!O13</f>
        <v>55709452</v>
      </c>
      <c r="P14" s="1934">
        <f>+'6. mell (Bontás)'!P13</f>
        <v>0</v>
      </c>
      <c r="Q14" s="1934">
        <f>+'6. mell (Bontás)'!Q13</f>
        <v>0</v>
      </c>
      <c r="R14" s="1934">
        <f>+'6. mell (Bontás)'!R13</f>
        <v>0</v>
      </c>
      <c r="S14" s="1934">
        <f>+'6. mell (Bontás)'!S13</f>
        <v>0</v>
      </c>
      <c r="T14" s="1934">
        <f>+'6. mell (Bontás)'!T13</f>
        <v>0</v>
      </c>
      <c r="U14" s="1934">
        <f>+'6. mell (Bontás)'!U13</f>
        <v>0</v>
      </c>
      <c r="V14" s="2482">
        <f>+'6. mell (Bontás)'!V13</f>
        <v>0</v>
      </c>
      <c r="W14" s="1934">
        <f>+'6. mell (Bontás)'!W13</f>
        <v>0</v>
      </c>
      <c r="X14" s="1934">
        <f>+'6. mell (Bontás)'!X13</f>
        <v>0</v>
      </c>
      <c r="Y14" s="1934">
        <f>+'6. mell (Bontás)'!Y13</f>
        <v>0</v>
      </c>
      <c r="Z14" s="1934">
        <f>+'6. mell (Bontás)'!Z13</f>
        <v>0</v>
      </c>
      <c r="AA14" s="1934">
        <f>+'6. mell (Bontás)'!AA13</f>
        <v>0</v>
      </c>
      <c r="AB14" s="2495">
        <f t="shared" si="7"/>
        <v>0</v>
      </c>
      <c r="AC14" s="2495">
        <f t="shared" si="8"/>
        <v>55709452</v>
      </c>
      <c r="AD14" s="2495">
        <f t="shared" si="9"/>
        <v>55709452</v>
      </c>
      <c r="AE14" s="2495">
        <f t="shared" si="10"/>
        <v>55709452</v>
      </c>
      <c r="AF14" s="2495">
        <f t="shared" si="11"/>
        <v>55709452</v>
      </c>
      <c r="AG14" s="2495">
        <f t="shared" si="12"/>
        <v>55709452</v>
      </c>
      <c r="AH14" s="999">
        <f t="shared" si="1"/>
        <v>0</v>
      </c>
      <c r="AI14" s="999">
        <f t="shared" si="2"/>
        <v>0</v>
      </c>
      <c r="AJ14" s="999">
        <f t="shared" si="3"/>
        <v>0</v>
      </c>
      <c r="AK14" s="999">
        <f t="shared" si="4"/>
        <v>0</v>
      </c>
      <c r="AL14" s="999">
        <f t="shared" si="5"/>
        <v>0</v>
      </c>
      <c r="AM14" s="79">
        <f t="shared" si="6"/>
        <v>0</v>
      </c>
    </row>
    <row r="15" spans="1:39" s="75" customFormat="1">
      <c r="A15" s="1928" t="s">
        <v>12</v>
      </c>
      <c r="B15" s="1935" t="s">
        <v>3382</v>
      </c>
      <c r="C15" s="1930">
        <f t="shared" ref="C15:AG15" si="13">+C16+C17+C18+C19+C20</f>
        <v>3089893860</v>
      </c>
      <c r="D15" s="1930">
        <f t="shared" si="13"/>
        <v>3116514628</v>
      </c>
      <c r="E15" s="1930">
        <f t="shared" si="13"/>
        <v>3475758125</v>
      </c>
      <c r="F15" s="1930">
        <f t="shared" si="13"/>
        <v>3289482935</v>
      </c>
      <c r="G15" s="1930">
        <f t="shared" si="13"/>
        <v>3378019406</v>
      </c>
      <c r="H15" s="1930">
        <f t="shared" si="13"/>
        <v>3378019406</v>
      </c>
      <c r="I15" s="1930">
        <f t="shared" si="13"/>
        <v>3378019406</v>
      </c>
      <c r="J15" s="1930">
        <f t="shared" si="13"/>
        <v>2991728843</v>
      </c>
      <c r="K15" s="1930">
        <f t="shared" si="13"/>
        <v>3350972340</v>
      </c>
      <c r="L15" s="1930">
        <f t="shared" si="13"/>
        <v>3164697150</v>
      </c>
      <c r="M15" s="1930">
        <f t="shared" si="13"/>
        <v>3252934639</v>
      </c>
      <c r="N15" s="1930">
        <f t="shared" si="13"/>
        <v>3252934639</v>
      </c>
      <c r="O15" s="1930">
        <f t="shared" si="13"/>
        <v>3252934639</v>
      </c>
      <c r="P15" s="1930">
        <f t="shared" si="13"/>
        <v>124785785</v>
      </c>
      <c r="Q15" s="1930">
        <f t="shared" si="13"/>
        <v>124785785</v>
      </c>
      <c r="R15" s="1930">
        <f t="shared" si="13"/>
        <v>124785785</v>
      </c>
      <c r="S15" s="1930">
        <f t="shared" si="13"/>
        <v>125084767</v>
      </c>
      <c r="T15" s="1930">
        <f t="shared" si="13"/>
        <v>125084767</v>
      </c>
      <c r="U15" s="1930">
        <f t="shared" si="13"/>
        <v>125084767</v>
      </c>
      <c r="V15" s="2481">
        <f t="shared" si="13"/>
        <v>0</v>
      </c>
      <c r="W15" s="1930">
        <f t="shared" si="13"/>
        <v>0</v>
      </c>
      <c r="X15" s="1930">
        <f t="shared" si="13"/>
        <v>0</v>
      </c>
      <c r="Y15" s="1930">
        <f t="shared" si="13"/>
        <v>0</v>
      </c>
      <c r="Z15" s="1930">
        <f t="shared" si="13"/>
        <v>0</v>
      </c>
      <c r="AA15" s="1930">
        <f t="shared" si="13"/>
        <v>0</v>
      </c>
      <c r="AB15" s="1930">
        <f t="shared" si="13"/>
        <v>3116514628</v>
      </c>
      <c r="AC15" s="1930">
        <f t="shared" si="13"/>
        <v>3475758125</v>
      </c>
      <c r="AD15" s="1930">
        <f t="shared" si="13"/>
        <v>3289482935</v>
      </c>
      <c r="AE15" s="1930">
        <f t="shared" si="13"/>
        <v>3378019406</v>
      </c>
      <c r="AF15" s="1930">
        <f t="shared" si="13"/>
        <v>3378019406</v>
      </c>
      <c r="AG15" s="1930">
        <f t="shared" si="13"/>
        <v>3378019406</v>
      </c>
      <c r="AH15" s="999">
        <f t="shared" si="1"/>
        <v>0</v>
      </c>
      <c r="AI15" s="999">
        <f t="shared" si="2"/>
        <v>0</v>
      </c>
      <c r="AJ15" s="999">
        <f t="shared" si="3"/>
        <v>0</v>
      </c>
      <c r="AK15" s="999">
        <f t="shared" si="4"/>
        <v>0</v>
      </c>
      <c r="AL15" s="999">
        <f t="shared" si="5"/>
        <v>0</v>
      </c>
      <c r="AM15" s="79">
        <f t="shared" si="6"/>
        <v>0</v>
      </c>
    </row>
    <row r="16" spans="1:39" s="75" customFormat="1">
      <c r="A16" s="1931" t="s">
        <v>185</v>
      </c>
      <c r="B16" s="1932" t="s">
        <v>186</v>
      </c>
      <c r="C16" s="1933">
        <f>+'5. mell.Önk-i mérleg'!C15</f>
        <v>0</v>
      </c>
      <c r="D16" s="1933">
        <f>+'5. mell.Önk-i mérleg'!E15</f>
        <v>0</v>
      </c>
      <c r="E16" s="1933">
        <f>+'5. mell.Önk-i mérleg'!F15</f>
        <v>351837913</v>
      </c>
      <c r="F16" s="1933">
        <f>+'5. mell.Önk-i mérleg'!G15</f>
        <v>351837913</v>
      </c>
      <c r="G16" s="1933">
        <f>+'5. mell.Önk-i mérleg'!H15</f>
        <v>351837913</v>
      </c>
      <c r="H16" s="1933">
        <f>+'5. mell.Önk-i mérleg'!I15</f>
        <v>351837913</v>
      </c>
      <c r="I16" s="1933">
        <f>+'5. mell.Önk-i mérleg'!J15</f>
        <v>351837913</v>
      </c>
      <c r="J16" s="1934">
        <f>+'6. mell (Bontás)'!J15</f>
        <v>0</v>
      </c>
      <c r="K16" s="1934">
        <f>+'6. mell (Bontás)'!K15</f>
        <v>351837913</v>
      </c>
      <c r="L16" s="1934">
        <f>+'6. mell (Bontás)'!L15</f>
        <v>351837913</v>
      </c>
      <c r="M16" s="1934">
        <f>+'6. mell (Bontás)'!M15</f>
        <v>351837913</v>
      </c>
      <c r="N16" s="1934">
        <f>+'6. mell (Bontás)'!N15</f>
        <v>351837913</v>
      </c>
      <c r="O16" s="1934">
        <f>+'6. mell (Bontás)'!O15</f>
        <v>351837913</v>
      </c>
      <c r="P16" s="1934">
        <f>+'6. mell (Bontás)'!P15</f>
        <v>0</v>
      </c>
      <c r="Q16" s="1934">
        <f>+'6. mell (Bontás)'!Q15</f>
        <v>0</v>
      </c>
      <c r="R16" s="1934">
        <f>+'6. mell (Bontás)'!R15</f>
        <v>0</v>
      </c>
      <c r="S16" s="1934">
        <f>+'6. mell (Bontás)'!S15</f>
        <v>0</v>
      </c>
      <c r="T16" s="1934">
        <f>+'6. mell (Bontás)'!T15</f>
        <v>0</v>
      </c>
      <c r="U16" s="1934">
        <f>+'6. mell (Bontás)'!U15</f>
        <v>0</v>
      </c>
      <c r="V16" s="2482">
        <f>+'6. mell (Bontás)'!V15</f>
        <v>0</v>
      </c>
      <c r="W16" s="1934">
        <f>+'6. mell (Bontás)'!W15</f>
        <v>0</v>
      </c>
      <c r="X16" s="1934">
        <f>+'6. mell (Bontás)'!X15</f>
        <v>0</v>
      </c>
      <c r="Y16" s="1934">
        <f>+'6. mell (Bontás)'!Y15</f>
        <v>0</v>
      </c>
      <c r="Z16" s="1934">
        <f>+'6. mell (Bontás)'!Z15</f>
        <v>0</v>
      </c>
      <c r="AA16" s="1934">
        <f>+'6. mell (Bontás)'!AA15</f>
        <v>0</v>
      </c>
      <c r="AB16" s="2495">
        <f t="shared" ref="AB16:AB21" si="14">+J16+P16+V16</f>
        <v>0</v>
      </c>
      <c r="AC16" s="2495">
        <f t="shared" ref="AC16:AC21" si="15">+K16+Q16+W16</f>
        <v>351837913</v>
      </c>
      <c r="AD16" s="2495">
        <f t="shared" ref="AD16:AD21" si="16">+L16+R16+X16</f>
        <v>351837913</v>
      </c>
      <c r="AE16" s="2495">
        <f t="shared" ref="AE16:AE21" si="17">+M16+S16+Y16</f>
        <v>351837913</v>
      </c>
      <c r="AF16" s="2495">
        <f t="shared" ref="AF16:AF21" si="18">+N16+T16+Z16</f>
        <v>351837913</v>
      </c>
      <c r="AG16" s="2495">
        <f t="shared" ref="AG16:AG21" si="19">+O16+U16+AA16</f>
        <v>351837913</v>
      </c>
      <c r="AH16" s="999">
        <f t="shared" si="1"/>
        <v>0</v>
      </c>
      <c r="AI16" s="999">
        <f t="shared" si="2"/>
        <v>0</v>
      </c>
      <c r="AJ16" s="999">
        <f t="shared" si="3"/>
        <v>0</v>
      </c>
      <c r="AK16" s="999">
        <f t="shared" si="4"/>
        <v>0</v>
      </c>
      <c r="AL16" s="999">
        <f t="shared" si="5"/>
        <v>0</v>
      </c>
      <c r="AM16" s="79">
        <f t="shared" si="6"/>
        <v>0</v>
      </c>
    </row>
    <row r="17" spans="1:39" s="75" customFormat="1">
      <c r="A17" s="1931" t="s">
        <v>187</v>
      </c>
      <c r="B17" s="1932" t="s">
        <v>188</v>
      </c>
      <c r="C17" s="1933">
        <f>+'5. mell.Önk-i mérleg'!C16</f>
        <v>0</v>
      </c>
      <c r="D17" s="1933">
        <f>+'5. mell.Önk-i mérleg'!E16</f>
        <v>0</v>
      </c>
      <c r="E17" s="1933">
        <f>+'5. mell.Önk-i mérleg'!F16</f>
        <v>0</v>
      </c>
      <c r="F17" s="1933">
        <f>+'5. mell.Önk-i mérleg'!G16</f>
        <v>0</v>
      </c>
      <c r="G17" s="1933">
        <f>+'5. mell.Önk-i mérleg'!H16</f>
        <v>0</v>
      </c>
      <c r="H17" s="1933">
        <f>+'5. mell.Önk-i mérleg'!I16</f>
        <v>0</v>
      </c>
      <c r="I17" s="1933">
        <f>+'5. mell.Önk-i mérleg'!J16</f>
        <v>0</v>
      </c>
      <c r="J17" s="1934">
        <f>+'6. mell (Bontás)'!J16</f>
        <v>0</v>
      </c>
      <c r="K17" s="1934">
        <f>+'6. mell (Bontás)'!K16</f>
        <v>0</v>
      </c>
      <c r="L17" s="1934">
        <f>+'6. mell (Bontás)'!L16</f>
        <v>0</v>
      </c>
      <c r="M17" s="1934">
        <f>+'6. mell (Bontás)'!M16</f>
        <v>0</v>
      </c>
      <c r="N17" s="1934">
        <f>+'6. mell (Bontás)'!N16</f>
        <v>0</v>
      </c>
      <c r="O17" s="1934">
        <f>+'6. mell (Bontás)'!O16</f>
        <v>0</v>
      </c>
      <c r="P17" s="1934">
        <f>+'6. mell (Bontás)'!P16</f>
        <v>0</v>
      </c>
      <c r="Q17" s="1934">
        <f>+'6. mell (Bontás)'!Q16</f>
        <v>0</v>
      </c>
      <c r="R17" s="1934">
        <f>+'6. mell (Bontás)'!R16</f>
        <v>0</v>
      </c>
      <c r="S17" s="1934">
        <f>+'6. mell (Bontás)'!S16</f>
        <v>0</v>
      </c>
      <c r="T17" s="1934">
        <f>+'6. mell (Bontás)'!T16</f>
        <v>0</v>
      </c>
      <c r="U17" s="1934">
        <f>+'6. mell (Bontás)'!U16</f>
        <v>0</v>
      </c>
      <c r="V17" s="2482">
        <f>+'6. mell (Bontás)'!V16</f>
        <v>0</v>
      </c>
      <c r="W17" s="1934">
        <f>+'6. mell (Bontás)'!W16</f>
        <v>0</v>
      </c>
      <c r="X17" s="1934">
        <f>+'6. mell (Bontás)'!X16</f>
        <v>0</v>
      </c>
      <c r="Y17" s="1934">
        <f>+'6. mell (Bontás)'!Y16</f>
        <v>0</v>
      </c>
      <c r="Z17" s="1934">
        <f>+'6. mell (Bontás)'!Z16</f>
        <v>0</v>
      </c>
      <c r="AA17" s="1934">
        <f>+'6. mell (Bontás)'!AA16</f>
        <v>0</v>
      </c>
      <c r="AB17" s="2495">
        <f t="shared" si="14"/>
        <v>0</v>
      </c>
      <c r="AC17" s="2495">
        <f t="shared" si="15"/>
        <v>0</v>
      </c>
      <c r="AD17" s="2495">
        <f t="shared" si="16"/>
        <v>0</v>
      </c>
      <c r="AE17" s="2495">
        <f t="shared" si="17"/>
        <v>0</v>
      </c>
      <c r="AF17" s="2495">
        <f t="shared" si="18"/>
        <v>0</v>
      </c>
      <c r="AG17" s="2495">
        <f t="shared" si="19"/>
        <v>0</v>
      </c>
      <c r="AH17" s="999">
        <f t="shared" si="1"/>
        <v>0</v>
      </c>
      <c r="AI17" s="999">
        <f t="shared" si="2"/>
        <v>0</v>
      </c>
      <c r="AJ17" s="999">
        <f t="shared" si="3"/>
        <v>0</v>
      </c>
      <c r="AK17" s="999">
        <f t="shared" si="4"/>
        <v>0</v>
      </c>
      <c r="AL17" s="999">
        <f t="shared" si="5"/>
        <v>0</v>
      </c>
      <c r="AM17" s="79">
        <f t="shared" si="6"/>
        <v>0</v>
      </c>
    </row>
    <row r="18" spans="1:39" s="75" customFormat="1">
      <c r="A18" s="1931" t="s">
        <v>189</v>
      </c>
      <c r="B18" s="1932" t="s">
        <v>190</v>
      </c>
      <c r="C18" s="1933">
        <f>+'5. mell.Önk-i mérleg'!C17</f>
        <v>0</v>
      </c>
      <c r="D18" s="1933">
        <f>+'5. mell.Önk-i mérleg'!E17</f>
        <v>0</v>
      </c>
      <c r="E18" s="1933">
        <f>+'5. mell.Önk-i mérleg'!F17</f>
        <v>0</v>
      </c>
      <c r="F18" s="1933">
        <f>+'5. mell.Önk-i mérleg'!G17</f>
        <v>0</v>
      </c>
      <c r="G18" s="1933">
        <f>+'5. mell.Önk-i mérleg'!H17</f>
        <v>0</v>
      </c>
      <c r="H18" s="1933">
        <f>+'5. mell.Önk-i mérleg'!I17</f>
        <v>0</v>
      </c>
      <c r="I18" s="1933">
        <f>+'5. mell.Önk-i mérleg'!J17</f>
        <v>0</v>
      </c>
      <c r="J18" s="1934">
        <f>+'6. mell (Bontás)'!J17</f>
        <v>0</v>
      </c>
      <c r="K18" s="1934">
        <f>+'6. mell (Bontás)'!K17</f>
        <v>0</v>
      </c>
      <c r="L18" s="1934">
        <f>+'6. mell (Bontás)'!L17</f>
        <v>0</v>
      </c>
      <c r="M18" s="1934">
        <f>+'6. mell (Bontás)'!M17</f>
        <v>0</v>
      </c>
      <c r="N18" s="1934">
        <f>+'6. mell (Bontás)'!N17</f>
        <v>0</v>
      </c>
      <c r="O18" s="1934">
        <f>+'6. mell (Bontás)'!O17</f>
        <v>0</v>
      </c>
      <c r="P18" s="1934">
        <f>+'6. mell (Bontás)'!P17</f>
        <v>0</v>
      </c>
      <c r="Q18" s="1934">
        <f>+'6. mell (Bontás)'!Q17</f>
        <v>0</v>
      </c>
      <c r="R18" s="1934">
        <f>+'6. mell (Bontás)'!R17</f>
        <v>0</v>
      </c>
      <c r="S18" s="1934">
        <f>+'6. mell (Bontás)'!S17</f>
        <v>0</v>
      </c>
      <c r="T18" s="1934">
        <f>+'6. mell (Bontás)'!T17</f>
        <v>0</v>
      </c>
      <c r="U18" s="1934">
        <f>+'6. mell (Bontás)'!U17</f>
        <v>0</v>
      </c>
      <c r="V18" s="2482">
        <f>+'6. mell (Bontás)'!V17</f>
        <v>0</v>
      </c>
      <c r="W18" s="1934">
        <f>+'6. mell (Bontás)'!W17</f>
        <v>0</v>
      </c>
      <c r="X18" s="1934">
        <f>+'6. mell (Bontás)'!X17</f>
        <v>0</v>
      </c>
      <c r="Y18" s="1934">
        <f>+'6. mell (Bontás)'!Y17</f>
        <v>0</v>
      </c>
      <c r="Z18" s="1934">
        <f>+'6. mell (Bontás)'!Z17</f>
        <v>0</v>
      </c>
      <c r="AA18" s="1934">
        <f>+'6. mell (Bontás)'!AA17</f>
        <v>0</v>
      </c>
      <c r="AB18" s="2495">
        <f t="shared" si="14"/>
        <v>0</v>
      </c>
      <c r="AC18" s="2495">
        <f t="shared" si="15"/>
        <v>0</v>
      </c>
      <c r="AD18" s="2495">
        <f t="shared" si="16"/>
        <v>0</v>
      </c>
      <c r="AE18" s="2495">
        <f t="shared" si="17"/>
        <v>0</v>
      </c>
      <c r="AF18" s="2495">
        <f t="shared" si="18"/>
        <v>0</v>
      </c>
      <c r="AG18" s="2495">
        <f t="shared" si="19"/>
        <v>0</v>
      </c>
      <c r="AH18" s="999">
        <f t="shared" si="1"/>
        <v>0</v>
      </c>
      <c r="AI18" s="999">
        <f t="shared" si="2"/>
        <v>0</v>
      </c>
      <c r="AJ18" s="999">
        <f t="shared" si="3"/>
        <v>0</v>
      </c>
      <c r="AK18" s="999">
        <f t="shared" si="4"/>
        <v>0</v>
      </c>
      <c r="AL18" s="999">
        <f t="shared" si="5"/>
        <v>0</v>
      </c>
      <c r="AM18" s="79">
        <f t="shared" si="6"/>
        <v>0</v>
      </c>
    </row>
    <row r="19" spans="1:39" s="75" customFormat="1">
      <c r="A19" s="1931" t="s">
        <v>191</v>
      </c>
      <c r="B19" s="1932" t="s">
        <v>192</v>
      </c>
      <c r="C19" s="1933">
        <f>+'5. mell.Önk-i mérleg'!C18</f>
        <v>0</v>
      </c>
      <c r="D19" s="1933">
        <f>+'5. mell.Önk-i mérleg'!E18</f>
        <v>0</v>
      </c>
      <c r="E19" s="1933">
        <f>+'5. mell.Önk-i mérleg'!F18</f>
        <v>0</v>
      </c>
      <c r="F19" s="1933">
        <f>+'5. mell.Önk-i mérleg'!G18</f>
        <v>0</v>
      </c>
      <c r="G19" s="1933">
        <f>+'5. mell.Önk-i mérleg'!H18</f>
        <v>0</v>
      </c>
      <c r="H19" s="1933">
        <f>+'5. mell.Önk-i mérleg'!I18</f>
        <v>0</v>
      </c>
      <c r="I19" s="1933">
        <f>+'5. mell.Önk-i mérleg'!J18</f>
        <v>0</v>
      </c>
      <c r="J19" s="1934">
        <f>+'6. mell (Bontás)'!J18</f>
        <v>0</v>
      </c>
      <c r="K19" s="1934">
        <f>+'6. mell (Bontás)'!K18</f>
        <v>0</v>
      </c>
      <c r="L19" s="1934">
        <f>+'6. mell (Bontás)'!L18</f>
        <v>0</v>
      </c>
      <c r="M19" s="1934">
        <f>+'6. mell (Bontás)'!M18</f>
        <v>0</v>
      </c>
      <c r="N19" s="1934">
        <f>+'6. mell (Bontás)'!N18</f>
        <v>0</v>
      </c>
      <c r="O19" s="1934">
        <f>+'6. mell (Bontás)'!O18</f>
        <v>0</v>
      </c>
      <c r="P19" s="1934">
        <f>+'6. mell (Bontás)'!P18</f>
        <v>0</v>
      </c>
      <c r="Q19" s="1934">
        <f>+'6. mell (Bontás)'!Q18</f>
        <v>0</v>
      </c>
      <c r="R19" s="1934">
        <f>+'6. mell (Bontás)'!R18</f>
        <v>0</v>
      </c>
      <c r="S19" s="1934">
        <f>+'6. mell (Bontás)'!S18</f>
        <v>0</v>
      </c>
      <c r="T19" s="1934">
        <f>+'6. mell (Bontás)'!T18</f>
        <v>0</v>
      </c>
      <c r="U19" s="1934">
        <f>+'6. mell (Bontás)'!U18</f>
        <v>0</v>
      </c>
      <c r="V19" s="2482">
        <f>+'6. mell (Bontás)'!V18</f>
        <v>0</v>
      </c>
      <c r="W19" s="1934">
        <f>+'6. mell (Bontás)'!W18</f>
        <v>0</v>
      </c>
      <c r="X19" s="1934">
        <f>+'6. mell (Bontás)'!X18</f>
        <v>0</v>
      </c>
      <c r="Y19" s="1934">
        <f>+'6. mell (Bontás)'!Y18</f>
        <v>0</v>
      </c>
      <c r="Z19" s="1934">
        <f>+'6. mell (Bontás)'!Z18</f>
        <v>0</v>
      </c>
      <c r="AA19" s="1934">
        <f>+'6. mell (Bontás)'!AA18</f>
        <v>0</v>
      </c>
      <c r="AB19" s="2495">
        <f t="shared" si="14"/>
        <v>0</v>
      </c>
      <c r="AC19" s="2495">
        <f t="shared" si="15"/>
        <v>0</v>
      </c>
      <c r="AD19" s="2495">
        <f t="shared" si="16"/>
        <v>0</v>
      </c>
      <c r="AE19" s="2495">
        <f t="shared" si="17"/>
        <v>0</v>
      </c>
      <c r="AF19" s="2495">
        <f t="shared" si="18"/>
        <v>0</v>
      </c>
      <c r="AG19" s="2495">
        <f t="shared" si="19"/>
        <v>0</v>
      </c>
      <c r="AH19" s="999">
        <f t="shared" si="1"/>
        <v>0</v>
      </c>
      <c r="AI19" s="999">
        <f t="shared" si="2"/>
        <v>0</v>
      </c>
      <c r="AJ19" s="999">
        <f t="shared" si="3"/>
        <v>0</v>
      </c>
      <c r="AK19" s="999">
        <f t="shared" si="4"/>
        <v>0</v>
      </c>
      <c r="AL19" s="999">
        <f t="shared" si="5"/>
        <v>0</v>
      </c>
      <c r="AM19" s="79">
        <f t="shared" si="6"/>
        <v>0</v>
      </c>
    </row>
    <row r="20" spans="1:39" s="75" customFormat="1">
      <c r="A20" s="1931" t="s">
        <v>193</v>
      </c>
      <c r="B20" s="1932" t="s">
        <v>194</v>
      </c>
      <c r="C20" s="1933">
        <f>+'5. mell.Önk-i mérleg'!C19+'8. mell. Intézmények összesen'!D23</f>
        <v>3089893860</v>
      </c>
      <c r="D20" s="1933">
        <f>+'5. mell.Önk-i mérleg'!E19+'8. mell. Intézmények összesen'!F23</f>
        <v>3116514628</v>
      </c>
      <c r="E20" s="1933">
        <f>+'5. mell.Önk-i mérleg'!F19+'8. mell. Intézmények összesen'!G23</f>
        <v>3123920212</v>
      </c>
      <c r="F20" s="1933">
        <f>+'5. mell.Önk-i mérleg'!G19+'8. mell. Intézmények összesen'!H23</f>
        <v>2937645022</v>
      </c>
      <c r="G20" s="1933">
        <f>+'5. mell.Önk-i mérleg'!H19+'8. mell. Intézmények összesen'!I23</f>
        <v>3026181493</v>
      </c>
      <c r="H20" s="1933">
        <f>+'5. mell.Önk-i mérleg'!I19+'8. mell. Intézmények összesen'!J23</f>
        <v>3026181493</v>
      </c>
      <c r="I20" s="1933">
        <f>+'5. mell.Önk-i mérleg'!J19+'8. mell. Intézmények összesen'!K23</f>
        <v>3026181493</v>
      </c>
      <c r="J20" s="1934">
        <f>+'6. mell (Bontás)'!J19+'8. mell. Intézmények összesen'!R23</f>
        <v>2991728843</v>
      </c>
      <c r="K20" s="1934">
        <f>+'6. mell (Bontás)'!K19+'8. mell. Intézmények összesen'!S23</f>
        <v>2999134427</v>
      </c>
      <c r="L20" s="1934">
        <f>+'6. mell (Bontás)'!L19+'8. mell. Intézmények összesen'!T23</f>
        <v>2812859237</v>
      </c>
      <c r="M20" s="1934">
        <f>+'6. mell (Bontás)'!M19+'8. mell. Intézmények összesen'!U23</f>
        <v>2901096726</v>
      </c>
      <c r="N20" s="1934">
        <f>+'6. mell (Bontás)'!N19+'8. mell. Intézmények összesen'!V23</f>
        <v>2901096726</v>
      </c>
      <c r="O20" s="1934">
        <f>+'6. mell (Bontás)'!O19+'8. mell. Intézmények összesen'!W23</f>
        <v>2901096726</v>
      </c>
      <c r="P20" s="1934">
        <f>+'6. mell (Bontás)'!P19+'8. mell. Intézmények összesen'!L23</f>
        <v>124785785</v>
      </c>
      <c r="Q20" s="1934">
        <f>+'6. mell (Bontás)'!Q19+'8. mell. Intézmények összesen'!M23</f>
        <v>124785785</v>
      </c>
      <c r="R20" s="1934">
        <f>+'6. mell (Bontás)'!R19+'8. mell. Intézmények összesen'!N23</f>
        <v>124785785</v>
      </c>
      <c r="S20" s="1934">
        <f>+'6. mell (Bontás)'!S19+'8. mell. Intézmények összesen'!O23</f>
        <v>125084767</v>
      </c>
      <c r="T20" s="1934">
        <f>+'6. mell (Bontás)'!T19+'8. mell. Intézmények összesen'!P23</f>
        <v>125084767</v>
      </c>
      <c r="U20" s="1934">
        <f>+'6. mell (Bontás)'!U19+'8. mell. Intézmények összesen'!Q23</f>
        <v>125084767</v>
      </c>
      <c r="V20" s="2482">
        <f>+'6. mell (Bontás)'!V19+'8. mell. Intézmények összesen'!X23</f>
        <v>0</v>
      </c>
      <c r="W20" s="1934">
        <f>+'6. mell (Bontás)'!W19+'8. mell. Intézmények összesen'!Y23</f>
        <v>0</v>
      </c>
      <c r="X20" s="1934">
        <f>+'6. mell (Bontás)'!X19+'8. mell. Intézmények összesen'!Z23</f>
        <v>0</v>
      </c>
      <c r="Y20" s="1934">
        <f>+'6. mell (Bontás)'!Y19+'8. mell. Intézmények összesen'!AA23</f>
        <v>0</v>
      </c>
      <c r="Z20" s="1934">
        <f>+'6. mell (Bontás)'!Z19+'8. mell. Intézmények összesen'!AB23</f>
        <v>0</v>
      </c>
      <c r="AA20" s="1934">
        <f>+'6. mell (Bontás)'!AA19+'8. mell. Intézmények összesen'!AC23</f>
        <v>0</v>
      </c>
      <c r="AB20" s="2495">
        <f t="shared" si="14"/>
        <v>3116514628</v>
      </c>
      <c r="AC20" s="2495">
        <f t="shared" si="15"/>
        <v>3123920212</v>
      </c>
      <c r="AD20" s="2495">
        <f t="shared" si="16"/>
        <v>2937645022</v>
      </c>
      <c r="AE20" s="2495">
        <f t="shared" si="17"/>
        <v>3026181493</v>
      </c>
      <c r="AF20" s="2495">
        <f t="shared" si="18"/>
        <v>3026181493</v>
      </c>
      <c r="AG20" s="2495">
        <f t="shared" si="19"/>
        <v>3026181493</v>
      </c>
      <c r="AH20" s="999">
        <f t="shared" si="1"/>
        <v>0</v>
      </c>
      <c r="AI20" s="999">
        <f t="shared" si="2"/>
        <v>0</v>
      </c>
      <c r="AJ20" s="999">
        <f t="shared" si="3"/>
        <v>0</v>
      </c>
      <c r="AK20" s="999">
        <f t="shared" si="4"/>
        <v>0</v>
      </c>
      <c r="AL20" s="999">
        <f t="shared" si="5"/>
        <v>0</v>
      </c>
      <c r="AM20" s="79">
        <f t="shared" si="6"/>
        <v>0</v>
      </c>
    </row>
    <row r="21" spans="1:39" s="75" customFormat="1">
      <c r="A21" s="1931" t="s">
        <v>195</v>
      </c>
      <c r="B21" s="1932" t="s">
        <v>196</v>
      </c>
      <c r="C21" s="1933">
        <f>+'2. mell.  '!C8</f>
        <v>0</v>
      </c>
      <c r="D21" s="1933">
        <f>+'2. mell.  '!E8</f>
        <v>0</v>
      </c>
      <c r="E21" s="1933">
        <f>+'2. mell.  '!F8</f>
        <v>0</v>
      </c>
      <c r="F21" s="1933">
        <f>+'2. mell.  '!G8</f>
        <v>0</v>
      </c>
      <c r="G21" s="1933">
        <f>+'2. mell.  '!H8</f>
        <v>0</v>
      </c>
      <c r="H21" s="1933">
        <f>+'2. mell.  '!I8</f>
        <v>0</v>
      </c>
      <c r="I21" s="1933">
        <f>+'2. mell.  '!J8</f>
        <v>0</v>
      </c>
      <c r="J21" s="1934">
        <v>0</v>
      </c>
      <c r="K21" s="1934">
        <v>0</v>
      </c>
      <c r="L21" s="1934">
        <f>+'8. mell. Intézmények összesen'!T26</f>
        <v>0</v>
      </c>
      <c r="M21" s="1934">
        <f>+'8. mell. Intézmények összesen'!U26</f>
        <v>0</v>
      </c>
      <c r="N21" s="1934">
        <f>+'8. mell. Intézmények összesen'!V26</f>
        <v>0</v>
      </c>
      <c r="O21" s="1934">
        <f>+'8. mell. Intézmények összesen'!W26</f>
        <v>0</v>
      </c>
      <c r="P21" s="1934">
        <f>+'6. mell (Bontás)'!P20+'8. mell. Intézmények összesen'!L26</f>
        <v>0</v>
      </c>
      <c r="Q21" s="1934">
        <f>+'6. mell (Bontás)'!Q20+'8. mell. Intézmények összesen'!M26</f>
        <v>0</v>
      </c>
      <c r="R21" s="1934">
        <f>+'6. mell (Bontás)'!R20+'8. mell. Intézmények összesen'!N26</f>
        <v>0</v>
      </c>
      <c r="S21" s="1934">
        <f>+'6. mell (Bontás)'!S20+'8. mell. Intézmények összesen'!O26</f>
        <v>0</v>
      </c>
      <c r="T21" s="1934">
        <f>+'6. mell (Bontás)'!T20+'8. mell. Intézmények összesen'!P26</f>
        <v>0</v>
      </c>
      <c r="U21" s="1934">
        <f>+'6. mell (Bontás)'!U20+'8. mell. Intézmények összesen'!Q26</f>
        <v>0</v>
      </c>
      <c r="V21" s="2482">
        <f>+'6. mell (Bontás)'!V20</f>
        <v>0</v>
      </c>
      <c r="W21" s="1934">
        <f>+'6. mell (Bontás)'!W20</f>
        <v>0</v>
      </c>
      <c r="X21" s="1934">
        <f>+'6. mell (Bontás)'!X20</f>
        <v>0</v>
      </c>
      <c r="Y21" s="1934">
        <f>+'6. mell (Bontás)'!Y20</f>
        <v>0</v>
      </c>
      <c r="Z21" s="1934">
        <f>+'6. mell (Bontás)'!Z20</f>
        <v>0</v>
      </c>
      <c r="AA21" s="1934">
        <f>+'6. mell (Bontás)'!AA20</f>
        <v>0</v>
      </c>
      <c r="AB21" s="2495">
        <f t="shared" si="14"/>
        <v>0</v>
      </c>
      <c r="AC21" s="2495">
        <f t="shared" si="15"/>
        <v>0</v>
      </c>
      <c r="AD21" s="2495">
        <f t="shared" si="16"/>
        <v>0</v>
      </c>
      <c r="AE21" s="2495">
        <f t="shared" si="17"/>
        <v>0</v>
      </c>
      <c r="AF21" s="2495">
        <f t="shared" si="18"/>
        <v>0</v>
      </c>
      <c r="AG21" s="2495">
        <f t="shared" si="19"/>
        <v>0</v>
      </c>
      <c r="AH21" s="999">
        <f t="shared" si="1"/>
        <v>0</v>
      </c>
      <c r="AI21" s="999">
        <f t="shared" si="2"/>
        <v>0</v>
      </c>
      <c r="AJ21" s="999">
        <f t="shared" si="3"/>
        <v>0</v>
      </c>
      <c r="AK21" s="999">
        <f t="shared" si="4"/>
        <v>0</v>
      </c>
      <c r="AL21" s="999">
        <f t="shared" si="5"/>
        <v>0</v>
      </c>
      <c r="AM21" s="79">
        <f t="shared" si="6"/>
        <v>0</v>
      </c>
    </row>
    <row r="22" spans="1:39" s="75" customFormat="1">
      <c r="A22" s="1928" t="s">
        <v>14</v>
      </c>
      <c r="B22" s="1935" t="s">
        <v>197</v>
      </c>
      <c r="C22" s="1930">
        <f t="shared" ref="C22:AG22" si="20">+C23+C24+C25+C26+C27</f>
        <v>800000000</v>
      </c>
      <c r="D22" s="1930">
        <f t="shared" si="20"/>
        <v>1631350723</v>
      </c>
      <c r="E22" s="1930">
        <f t="shared" si="20"/>
        <v>1631350723</v>
      </c>
      <c r="F22" s="1930">
        <f t="shared" si="20"/>
        <v>1691350723</v>
      </c>
      <c r="G22" s="1930">
        <f t="shared" si="20"/>
        <v>1192760390</v>
      </c>
      <c r="H22" s="1930">
        <f t="shared" si="20"/>
        <v>1192760390</v>
      </c>
      <c r="I22" s="1930">
        <f t="shared" si="20"/>
        <v>1192760390</v>
      </c>
      <c r="J22" s="1930">
        <f t="shared" si="20"/>
        <v>350000000</v>
      </c>
      <c r="K22" s="1930">
        <f t="shared" si="20"/>
        <v>350000000</v>
      </c>
      <c r="L22" s="1930">
        <f t="shared" si="20"/>
        <v>350000000</v>
      </c>
      <c r="M22" s="1930">
        <f t="shared" si="20"/>
        <v>175000000</v>
      </c>
      <c r="N22" s="1930">
        <f t="shared" si="20"/>
        <v>175000000</v>
      </c>
      <c r="O22" s="1930">
        <f t="shared" si="20"/>
        <v>175000000</v>
      </c>
      <c r="P22" s="1930">
        <f t="shared" si="20"/>
        <v>1281350723</v>
      </c>
      <c r="Q22" s="1930">
        <f t="shared" si="20"/>
        <v>1281350723</v>
      </c>
      <c r="R22" s="1930">
        <f t="shared" si="20"/>
        <v>1341350723</v>
      </c>
      <c r="S22" s="1930">
        <f t="shared" si="20"/>
        <v>1017760390</v>
      </c>
      <c r="T22" s="1930">
        <f t="shared" si="20"/>
        <v>1017760390</v>
      </c>
      <c r="U22" s="1930">
        <f t="shared" si="20"/>
        <v>1017760390</v>
      </c>
      <c r="V22" s="2481">
        <f t="shared" si="20"/>
        <v>0</v>
      </c>
      <c r="W22" s="1930">
        <f t="shared" si="20"/>
        <v>0</v>
      </c>
      <c r="X22" s="1930">
        <f t="shared" si="20"/>
        <v>0</v>
      </c>
      <c r="Y22" s="1930">
        <f t="shared" si="20"/>
        <v>0</v>
      </c>
      <c r="Z22" s="1930">
        <f t="shared" si="20"/>
        <v>0</v>
      </c>
      <c r="AA22" s="1930">
        <f t="shared" si="20"/>
        <v>0</v>
      </c>
      <c r="AB22" s="1930">
        <f t="shared" si="20"/>
        <v>1631350723</v>
      </c>
      <c r="AC22" s="1930">
        <f t="shared" si="20"/>
        <v>1631350723</v>
      </c>
      <c r="AD22" s="1930">
        <f t="shared" si="20"/>
        <v>1691350723</v>
      </c>
      <c r="AE22" s="1930">
        <f t="shared" si="20"/>
        <v>1192760390</v>
      </c>
      <c r="AF22" s="1930">
        <f t="shared" si="20"/>
        <v>1192760390</v>
      </c>
      <c r="AG22" s="1930">
        <f t="shared" si="20"/>
        <v>1192760390</v>
      </c>
      <c r="AH22" s="999">
        <f t="shared" si="1"/>
        <v>0</v>
      </c>
      <c r="AI22" s="999">
        <f t="shared" si="2"/>
        <v>0</v>
      </c>
      <c r="AJ22" s="999">
        <f t="shared" si="3"/>
        <v>0</v>
      </c>
      <c r="AK22" s="999">
        <f t="shared" si="4"/>
        <v>0</v>
      </c>
      <c r="AL22" s="999">
        <f t="shared" si="5"/>
        <v>0</v>
      </c>
      <c r="AM22" s="79">
        <f t="shared" si="6"/>
        <v>0</v>
      </c>
    </row>
    <row r="23" spans="1:39" s="75" customFormat="1">
      <c r="A23" s="1931" t="s">
        <v>198</v>
      </c>
      <c r="B23" s="1932" t="s">
        <v>199</v>
      </c>
      <c r="C23" s="1933">
        <f>+'5. mell.Önk-i mérleg'!C22</f>
        <v>0</v>
      </c>
      <c r="D23" s="1933">
        <f>+'5. mell.Önk-i mérleg'!E22</f>
        <v>0</v>
      </c>
      <c r="E23" s="1933">
        <f>+'5. mell.Önk-i mérleg'!F22</f>
        <v>0</v>
      </c>
      <c r="F23" s="1933">
        <f>+'5. mell.Önk-i mérleg'!G22</f>
        <v>0</v>
      </c>
      <c r="G23" s="1933">
        <f>+'5. mell.Önk-i mérleg'!H22</f>
        <v>0</v>
      </c>
      <c r="H23" s="1933">
        <f>+'5. mell.Önk-i mérleg'!I22</f>
        <v>0</v>
      </c>
      <c r="I23" s="1933">
        <f>+'5. mell.Önk-i mérleg'!J22</f>
        <v>0</v>
      </c>
      <c r="J23" s="1934">
        <f>+'6. mell (Bontás)'!J22</f>
        <v>0</v>
      </c>
      <c r="K23" s="1934">
        <f>+'6. mell (Bontás)'!K22</f>
        <v>0</v>
      </c>
      <c r="L23" s="1934">
        <f>+'6. mell (Bontás)'!L22</f>
        <v>0</v>
      </c>
      <c r="M23" s="1934">
        <f>+'6. mell (Bontás)'!M22</f>
        <v>0</v>
      </c>
      <c r="N23" s="1934">
        <f>+'6. mell (Bontás)'!N22</f>
        <v>0</v>
      </c>
      <c r="O23" s="1934">
        <f>+'6. mell (Bontás)'!O22</f>
        <v>0</v>
      </c>
      <c r="P23" s="1934">
        <f>+'6. mell (Bontás)'!P22</f>
        <v>0</v>
      </c>
      <c r="Q23" s="1934">
        <f>+'6. mell (Bontás)'!Q22</f>
        <v>0</v>
      </c>
      <c r="R23" s="1934">
        <f>+'6. mell (Bontás)'!R22</f>
        <v>0</v>
      </c>
      <c r="S23" s="1934">
        <f>+'6. mell (Bontás)'!S22</f>
        <v>0</v>
      </c>
      <c r="T23" s="1934">
        <f>+'6. mell (Bontás)'!T22</f>
        <v>0</v>
      </c>
      <c r="U23" s="1934">
        <f>+'6. mell (Bontás)'!U22</f>
        <v>0</v>
      </c>
      <c r="V23" s="2482">
        <f>+'6. mell (Bontás)'!V22</f>
        <v>0</v>
      </c>
      <c r="W23" s="1934">
        <f>+'6. mell (Bontás)'!W22</f>
        <v>0</v>
      </c>
      <c r="X23" s="1934">
        <f>+'6. mell (Bontás)'!X22</f>
        <v>0</v>
      </c>
      <c r="Y23" s="1934">
        <f>+'6. mell (Bontás)'!Y22</f>
        <v>0</v>
      </c>
      <c r="Z23" s="1934">
        <f>+'6. mell (Bontás)'!Z22</f>
        <v>0</v>
      </c>
      <c r="AA23" s="1934">
        <f>+'6. mell (Bontás)'!AA22</f>
        <v>0</v>
      </c>
      <c r="AB23" s="2495">
        <f t="shared" ref="AB23:AB28" si="21">+J23+P23+V23</f>
        <v>0</v>
      </c>
      <c r="AC23" s="2495">
        <f t="shared" ref="AC23:AC28" si="22">+K23+Q23+W23</f>
        <v>0</v>
      </c>
      <c r="AD23" s="2495">
        <f t="shared" ref="AD23:AD28" si="23">+L23+R23+X23</f>
        <v>0</v>
      </c>
      <c r="AE23" s="2495">
        <f t="shared" ref="AE23:AE28" si="24">+M23+S23+Y23</f>
        <v>0</v>
      </c>
      <c r="AF23" s="2495">
        <f t="shared" ref="AF23:AF28" si="25">+N23+T23+Z23</f>
        <v>0</v>
      </c>
      <c r="AG23" s="2495">
        <f t="shared" ref="AG23:AG28" si="26">+O23+U23+AA23</f>
        <v>0</v>
      </c>
      <c r="AH23" s="999">
        <f t="shared" si="1"/>
        <v>0</v>
      </c>
      <c r="AI23" s="999">
        <f t="shared" si="2"/>
        <v>0</v>
      </c>
      <c r="AJ23" s="999">
        <f t="shared" si="3"/>
        <v>0</v>
      </c>
      <c r="AK23" s="999">
        <f t="shared" si="4"/>
        <v>0</v>
      </c>
      <c r="AL23" s="999">
        <f t="shared" si="5"/>
        <v>0</v>
      </c>
      <c r="AM23" s="79">
        <f t="shared" si="6"/>
        <v>0</v>
      </c>
    </row>
    <row r="24" spans="1:39" s="75" customFormat="1">
      <c r="A24" s="1931" t="s">
        <v>200</v>
      </c>
      <c r="B24" s="1932" t="s">
        <v>201</v>
      </c>
      <c r="C24" s="1933">
        <f>+'5. mell.Önk-i mérleg'!C23</f>
        <v>0</v>
      </c>
      <c r="D24" s="1933">
        <f>+'5. mell.Önk-i mérleg'!E23</f>
        <v>0</v>
      </c>
      <c r="E24" s="1933">
        <f>+'5. mell.Önk-i mérleg'!F23</f>
        <v>0</v>
      </c>
      <c r="F24" s="1933">
        <f>+'5. mell.Önk-i mérleg'!G23</f>
        <v>0</v>
      </c>
      <c r="G24" s="1933">
        <f>+'5. mell.Önk-i mérleg'!H23</f>
        <v>0</v>
      </c>
      <c r="H24" s="1933">
        <f>+'5. mell.Önk-i mérleg'!I23</f>
        <v>0</v>
      </c>
      <c r="I24" s="1933">
        <f>+'5. mell.Önk-i mérleg'!J23</f>
        <v>0</v>
      </c>
      <c r="J24" s="1934">
        <f>+'6. mell (Bontás)'!J23</f>
        <v>0</v>
      </c>
      <c r="K24" s="1934">
        <f>+'6. mell (Bontás)'!K23</f>
        <v>0</v>
      </c>
      <c r="L24" s="1934">
        <f>+'6. mell (Bontás)'!L23</f>
        <v>0</v>
      </c>
      <c r="M24" s="1934">
        <f>+'6. mell (Bontás)'!M23</f>
        <v>0</v>
      </c>
      <c r="N24" s="1934">
        <f>+'6. mell (Bontás)'!N23</f>
        <v>0</v>
      </c>
      <c r="O24" s="1934">
        <f>+'6. mell (Bontás)'!O23</f>
        <v>0</v>
      </c>
      <c r="P24" s="1934">
        <f>+'6. mell (Bontás)'!P23</f>
        <v>0</v>
      </c>
      <c r="Q24" s="1934">
        <f>+'6. mell (Bontás)'!Q23</f>
        <v>0</v>
      </c>
      <c r="R24" s="1934">
        <f>+'6. mell (Bontás)'!R23</f>
        <v>0</v>
      </c>
      <c r="S24" s="1934">
        <f>+'6. mell (Bontás)'!S23</f>
        <v>0</v>
      </c>
      <c r="T24" s="1934">
        <f>+'6. mell (Bontás)'!T23</f>
        <v>0</v>
      </c>
      <c r="U24" s="1934">
        <f>+'6. mell (Bontás)'!U23</f>
        <v>0</v>
      </c>
      <c r="V24" s="2482">
        <f>+'6. mell (Bontás)'!V23</f>
        <v>0</v>
      </c>
      <c r="W24" s="1934">
        <f>+'6. mell (Bontás)'!W23</f>
        <v>0</v>
      </c>
      <c r="X24" s="1934">
        <f>+'6. mell (Bontás)'!X23</f>
        <v>0</v>
      </c>
      <c r="Y24" s="1934">
        <f>+'6. mell (Bontás)'!Y23</f>
        <v>0</v>
      </c>
      <c r="Z24" s="1934">
        <f>+'6. mell (Bontás)'!Z23</f>
        <v>0</v>
      </c>
      <c r="AA24" s="1934">
        <f>+'6. mell (Bontás)'!AA23</f>
        <v>0</v>
      </c>
      <c r="AB24" s="2495">
        <f t="shared" si="21"/>
        <v>0</v>
      </c>
      <c r="AC24" s="2495">
        <f t="shared" si="22"/>
        <v>0</v>
      </c>
      <c r="AD24" s="2495">
        <f t="shared" si="23"/>
        <v>0</v>
      </c>
      <c r="AE24" s="2495">
        <f t="shared" si="24"/>
        <v>0</v>
      </c>
      <c r="AF24" s="2495">
        <f t="shared" si="25"/>
        <v>0</v>
      </c>
      <c r="AG24" s="2495">
        <f t="shared" si="26"/>
        <v>0</v>
      </c>
      <c r="AH24" s="999">
        <f t="shared" si="1"/>
        <v>0</v>
      </c>
      <c r="AI24" s="999">
        <f t="shared" si="2"/>
        <v>0</v>
      </c>
      <c r="AJ24" s="999">
        <f t="shared" si="3"/>
        <v>0</v>
      </c>
      <c r="AK24" s="999">
        <f t="shared" si="4"/>
        <v>0</v>
      </c>
      <c r="AL24" s="999">
        <f t="shared" si="5"/>
        <v>0</v>
      </c>
      <c r="AM24" s="79">
        <f t="shared" si="6"/>
        <v>0</v>
      </c>
    </row>
    <row r="25" spans="1:39" s="75" customFormat="1">
      <c r="A25" s="1931" t="s">
        <v>202</v>
      </c>
      <c r="B25" s="1932" t="s">
        <v>203</v>
      </c>
      <c r="C25" s="1933">
        <f>+'5. mell.Önk-i mérleg'!C24</f>
        <v>0</v>
      </c>
      <c r="D25" s="1933">
        <f>+'5. mell.Önk-i mérleg'!E24</f>
        <v>0</v>
      </c>
      <c r="E25" s="1933">
        <f>+'5. mell.Önk-i mérleg'!F24</f>
        <v>0</v>
      </c>
      <c r="F25" s="1933">
        <f>+'5. mell.Önk-i mérleg'!G24</f>
        <v>0</v>
      </c>
      <c r="G25" s="1933">
        <f>+'5. mell.Önk-i mérleg'!H24</f>
        <v>0</v>
      </c>
      <c r="H25" s="1933">
        <f>+'5. mell.Önk-i mérleg'!I24</f>
        <v>0</v>
      </c>
      <c r="I25" s="1933">
        <f>+'5. mell.Önk-i mérleg'!J24</f>
        <v>0</v>
      </c>
      <c r="J25" s="1934">
        <f>+'6. mell (Bontás)'!J24</f>
        <v>0</v>
      </c>
      <c r="K25" s="1934">
        <f>+'6. mell (Bontás)'!K24</f>
        <v>0</v>
      </c>
      <c r="L25" s="1934">
        <f>+'6. mell (Bontás)'!L24</f>
        <v>0</v>
      </c>
      <c r="M25" s="1934">
        <f>+'6. mell (Bontás)'!M24</f>
        <v>0</v>
      </c>
      <c r="N25" s="1934">
        <f>+'6. mell (Bontás)'!N24</f>
        <v>0</v>
      </c>
      <c r="O25" s="1934">
        <f>+'6. mell (Bontás)'!O24</f>
        <v>0</v>
      </c>
      <c r="P25" s="1934">
        <f>+'6. mell (Bontás)'!P24</f>
        <v>0</v>
      </c>
      <c r="Q25" s="1934">
        <f>+'6. mell (Bontás)'!Q24</f>
        <v>0</v>
      </c>
      <c r="R25" s="1934">
        <f>+'6. mell (Bontás)'!R24</f>
        <v>0</v>
      </c>
      <c r="S25" s="1934">
        <f>+'6. mell (Bontás)'!S24</f>
        <v>0</v>
      </c>
      <c r="T25" s="1934">
        <f>+'6. mell (Bontás)'!T24</f>
        <v>0</v>
      </c>
      <c r="U25" s="1934">
        <f>+'6. mell (Bontás)'!U24</f>
        <v>0</v>
      </c>
      <c r="V25" s="2482">
        <f>+'6. mell (Bontás)'!V24</f>
        <v>0</v>
      </c>
      <c r="W25" s="1934">
        <f>+'6. mell (Bontás)'!W24</f>
        <v>0</v>
      </c>
      <c r="X25" s="1934">
        <f>+'6. mell (Bontás)'!X24</f>
        <v>0</v>
      </c>
      <c r="Y25" s="1934">
        <f>+'6. mell (Bontás)'!Y24</f>
        <v>0</v>
      </c>
      <c r="Z25" s="1934">
        <f>+'6. mell (Bontás)'!Z24</f>
        <v>0</v>
      </c>
      <c r="AA25" s="1934">
        <f>+'6. mell (Bontás)'!AA24</f>
        <v>0</v>
      </c>
      <c r="AB25" s="2495">
        <f t="shared" si="21"/>
        <v>0</v>
      </c>
      <c r="AC25" s="2495">
        <f t="shared" si="22"/>
        <v>0</v>
      </c>
      <c r="AD25" s="2495">
        <f t="shared" si="23"/>
        <v>0</v>
      </c>
      <c r="AE25" s="2495">
        <f t="shared" si="24"/>
        <v>0</v>
      </c>
      <c r="AF25" s="2495">
        <f t="shared" si="25"/>
        <v>0</v>
      </c>
      <c r="AG25" s="2495">
        <f t="shared" si="26"/>
        <v>0</v>
      </c>
      <c r="AH25" s="999">
        <f t="shared" si="1"/>
        <v>0</v>
      </c>
      <c r="AI25" s="999">
        <f t="shared" si="2"/>
        <v>0</v>
      </c>
      <c r="AJ25" s="999">
        <f t="shared" si="3"/>
        <v>0</v>
      </c>
      <c r="AK25" s="999">
        <f t="shared" si="4"/>
        <v>0</v>
      </c>
      <c r="AL25" s="999">
        <f t="shared" si="5"/>
        <v>0</v>
      </c>
      <c r="AM25" s="79">
        <f t="shared" si="6"/>
        <v>0</v>
      </c>
    </row>
    <row r="26" spans="1:39" s="75" customFormat="1">
      <c r="A26" s="1931" t="s">
        <v>204</v>
      </c>
      <c r="B26" s="1932" t="s">
        <v>205</v>
      </c>
      <c r="C26" s="1933">
        <f>+'5. mell.Önk-i mérleg'!C25</f>
        <v>0</v>
      </c>
      <c r="D26" s="1933">
        <f>+'5. mell.Önk-i mérleg'!E25</f>
        <v>0</v>
      </c>
      <c r="E26" s="1933">
        <f>+'5. mell.Önk-i mérleg'!F25</f>
        <v>0</v>
      </c>
      <c r="F26" s="1933">
        <f>+'5. mell.Önk-i mérleg'!G25</f>
        <v>0</v>
      </c>
      <c r="G26" s="1933">
        <f>+'5. mell.Önk-i mérleg'!H25</f>
        <v>0</v>
      </c>
      <c r="H26" s="1933">
        <f>+'5. mell.Önk-i mérleg'!I25</f>
        <v>0</v>
      </c>
      <c r="I26" s="1933">
        <f>+'5. mell.Önk-i mérleg'!J25</f>
        <v>0</v>
      </c>
      <c r="J26" s="1934">
        <f>+'6. mell (Bontás)'!J25</f>
        <v>0</v>
      </c>
      <c r="K26" s="1934">
        <f>+'6. mell (Bontás)'!K25</f>
        <v>0</v>
      </c>
      <c r="L26" s="1934">
        <f>+'6. mell (Bontás)'!L25</f>
        <v>0</v>
      </c>
      <c r="M26" s="1934">
        <f>+'6. mell (Bontás)'!M25</f>
        <v>0</v>
      </c>
      <c r="N26" s="1934">
        <f>+'6. mell (Bontás)'!N25</f>
        <v>0</v>
      </c>
      <c r="O26" s="1934">
        <f>+'6. mell (Bontás)'!O25</f>
        <v>0</v>
      </c>
      <c r="P26" s="1934">
        <f>+'6. mell (Bontás)'!P25</f>
        <v>0</v>
      </c>
      <c r="Q26" s="1934">
        <f>+'6. mell (Bontás)'!Q25</f>
        <v>0</v>
      </c>
      <c r="R26" s="1934">
        <f>+'6. mell (Bontás)'!R25</f>
        <v>0</v>
      </c>
      <c r="S26" s="1934">
        <f>+'6. mell (Bontás)'!S25</f>
        <v>0</v>
      </c>
      <c r="T26" s="1934">
        <f>+'6. mell (Bontás)'!T25</f>
        <v>0</v>
      </c>
      <c r="U26" s="1934">
        <f>+'6. mell (Bontás)'!U25</f>
        <v>0</v>
      </c>
      <c r="V26" s="2482">
        <f>+'6. mell (Bontás)'!V25</f>
        <v>0</v>
      </c>
      <c r="W26" s="1934">
        <f>+'6. mell (Bontás)'!W25</f>
        <v>0</v>
      </c>
      <c r="X26" s="1934">
        <f>+'6. mell (Bontás)'!X25</f>
        <v>0</v>
      </c>
      <c r="Y26" s="1934">
        <f>+'6. mell (Bontás)'!Y25</f>
        <v>0</v>
      </c>
      <c r="Z26" s="1934">
        <f>+'6. mell (Bontás)'!Z25</f>
        <v>0</v>
      </c>
      <c r="AA26" s="1934">
        <f>+'6. mell (Bontás)'!AA25</f>
        <v>0</v>
      </c>
      <c r="AB26" s="2495">
        <f t="shared" si="21"/>
        <v>0</v>
      </c>
      <c r="AC26" s="2495">
        <f t="shared" si="22"/>
        <v>0</v>
      </c>
      <c r="AD26" s="2495">
        <f t="shared" si="23"/>
        <v>0</v>
      </c>
      <c r="AE26" s="2495">
        <f t="shared" si="24"/>
        <v>0</v>
      </c>
      <c r="AF26" s="2495">
        <f t="shared" si="25"/>
        <v>0</v>
      </c>
      <c r="AG26" s="2495">
        <f t="shared" si="26"/>
        <v>0</v>
      </c>
      <c r="AH26" s="999">
        <f t="shared" si="1"/>
        <v>0</v>
      </c>
      <c r="AI26" s="999">
        <f t="shared" si="2"/>
        <v>0</v>
      </c>
      <c r="AJ26" s="999">
        <f t="shared" si="3"/>
        <v>0</v>
      </c>
      <c r="AK26" s="999">
        <f t="shared" si="4"/>
        <v>0</v>
      </c>
      <c r="AL26" s="999">
        <f t="shared" si="5"/>
        <v>0</v>
      </c>
      <c r="AM26" s="79">
        <f t="shared" si="6"/>
        <v>0</v>
      </c>
    </row>
    <row r="27" spans="1:39" s="75" customFormat="1">
      <c r="A27" s="1931" t="s">
        <v>206</v>
      </c>
      <c r="B27" s="1932" t="s">
        <v>207</v>
      </c>
      <c r="C27" s="1933">
        <f>+'5. mell.Önk-i mérleg'!C26+'8. mell. Intézmények összesen'!D27</f>
        <v>800000000</v>
      </c>
      <c r="D27" s="1933">
        <f>+'5. mell.Önk-i mérleg'!E26+'8. mell. Intézmények összesen'!F27</f>
        <v>1631350723</v>
      </c>
      <c r="E27" s="1933">
        <f>+'5. mell.Önk-i mérleg'!F26+'8. mell. Intézmények összesen'!G27</f>
        <v>1631350723</v>
      </c>
      <c r="F27" s="1933">
        <f>+'5. mell.Önk-i mérleg'!G26+'8. mell. Intézmények összesen'!H27</f>
        <v>1691350723</v>
      </c>
      <c r="G27" s="1933">
        <f>+'5. mell.Önk-i mérleg'!H26+'8. mell. Intézmények összesen'!I27</f>
        <v>1192760390</v>
      </c>
      <c r="H27" s="1933">
        <f>+'5. mell.Önk-i mérleg'!I26+'8. mell. Intézmények összesen'!J27</f>
        <v>1192760390</v>
      </c>
      <c r="I27" s="1933">
        <f>+'5. mell.Önk-i mérleg'!J26+'8. mell. Intézmények összesen'!K27</f>
        <v>1192760390</v>
      </c>
      <c r="J27" s="1934">
        <f>+'6. mell (Bontás)'!J26+'8. mell. Intézmények összesen'!R27</f>
        <v>350000000</v>
      </c>
      <c r="K27" s="1934">
        <f>+'6. mell (Bontás)'!K26+'8. mell. Intézmények összesen'!S27</f>
        <v>350000000</v>
      </c>
      <c r="L27" s="1934">
        <f>+'6. mell (Bontás)'!L26+'8. mell. Intézmények összesen'!T27</f>
        <v>350000000</v>
      </c>
      <c r="M27" s="1934">
        <f>+'6. mell (Bontás)'!M26+'8. mell. Intézmények összesen'!U27</f>
        <v>175000000</v>
      </c>
      <c r="N27" s="1934">
        <f>+'6. mell (Bontás)'!N26+'8. mell. Intézmények összesen'!V27</f>
        <v>175000000</v>
      </c>
      <c r="O27" s="1934">
        <f>+'6. mell (Bontás)'!O26+'8. mell. Intézmények összesen'!W27</f>
        <v>175000000</v>
      </c>
      <c r="P27" s="1934">
        <f>+'6. mell (Bontás)'!P26+'8. mell. Intézmények összesen'!L27</f>
        <v>1281350723</v>
      </c>
      <c r="Q27" s="1934">
        <f>+'6. mell (Bontás)'!Q26+'8. mell. Intézmények összesen'!M27</f>
        <v>1281350723</v>
      </c>
      <c r="R27" s="1934">
        <f>+'6. mell (Bontás)'!R26+'8. mell. Intézmények összesen'!N27</f>
        <v>1341350723</v>
      </c>
      <c r="S27" s="1934">
        <f>+'6. mell (Bontás)'!S26+'8. mell. Intézmények összesen'!O27</f>
        <v>1017760390</v>
      </c>
      <c r="T27" s="1934">
        <f>+'6. mell (Bontás)'!T26+'8. mell. Intézmények összesen'!P27</f>
        <v>1017760390</v>
      </c>
      <c r="U27" s="1934">
        <f>+'6. mell (Bontás)'!U26+'8. mell. Intézmények összesen'!Q27</f>
        <v>1017760390</v>
      </c>
      <c r="V27" s="2482">
        <f>+'6. mell (Bontás)'!V26</f>
        <v>0</v>
      </c>
      <c r="W27" s="1934">
        <f>+'6. mell (Bontás)'!W26</f>
        <v>0</v>
      </c>
      <c r="X27" s="1934">
        <f>+'6. mell (Bontás)'!X26</f>
        <v>0</v>
      </c>
      <c r="Y27" s="1934">
        <f>+'6. mell (Bontás)'!Y26</f>
        <v>0</v>
      </c>
      <c r="Z27" s="1934">
        <f>+'6. mell (Bontás)'!Z26</f>
        <v>0</v>
      </c>
      <c r="AA27" s="1934">
        <f>+'6. mell (Bontás)'!AA26</f>
        <v>0</v>
      </c>
      <c r="AB27" s="2495">
        <f t="shared" si="21"/>
        <v>1631350723</v>
      </c>
      <c r="AC27" s="2495">
        <f t="shared" si="22"/>
        <v>1631350723</v>
      </c>
      <c r="AD27" s="2495">
        <f t="shared" si="23"/>
        <v>1691350723</v>
      </c>
      <c r="AE27" s="2495">
        <f t="shared" si="24"/>
        <v>1192760390</v>
      </c>
      <c r="AF27" s="2495">
        <f t="shared" si="25"/>
        <v>1192760390</v>
      </c>
      <c r="AG27" s="2495">
        <f t="shared" si="26"/>
        <v>1192760390</v>
      </c>
      <c r="AH27" s="999">
        <f t="shared" si="1"/>
        <v>0</v>
      </c>
      <c r="AI27" s="999">
        <f t="shared" si="2"/>
        <v>0</v>
      </c>
      <c r="AJ27" s="999">
        <f t="shared" si="3"/>
        <v>0</v>
      </c>
      <c r="AK27" s="999">
        <f t="shared" si="4"/>
        <v>0</v>
      </c>
      <c r="AL27" s="999">
        <f t="shared" si="5"/>
        <v>0</v>
      </c>
      <c r="AM27" s="79">
        <f t="shared" si="6"/>
        <v>0</v>
      </c>
    </row>
    <row r="28" spans="1:39" s="75" customFormat="1">
      <c r="A28" s="1931" t="s">
        <v>208</v>
      </c>
      <c r="B28" s="1932" t="s">
        <v>209</v>
      </c>
      <c r="C28" s="1933">
        <f>+'5. mell.Önk-i mérleg'!C27+'8. mell. Intézmények összesen'!D28</f>
        <v>629921260</v>
      </c>
      <c r="D28" s="1933">
        <f>+'5. mell.Önk-i mérleg'!E27+'8. mell. Intézmények összesen'!F28</f>
        <v>538761279</v>
      </c>
      <c r="E28" s="1933">
        <f>+'5. mell.Önk-i mérleg'!F27+'8. mell. Intézmények összesen'!G28</f>
        <v>538761279</v>
      </c>
      <c r="F28" s="1933">
        <f>+'5. mell.Önk-i mérleg'!G27+'8. mell. Intézmények összesen'!H28</f>
        <v>538761279</v>
      </c>
      <c r="G28" s="1933">
        <f>+'5. mell.Önk-i mérleg'!H27+'8. mell. Intézmények összesen'!I28</f>
        <v>394760390</v>
      </c>
      <c r="H28" s="1933">
        <f>+'5. mell.Önk-i mérleg'!I27+'8. mell. Intézmények összesen'!J28</f>
        <v>394760390</v>
      </c>
      <c r="I28" s="1933">
        <f>+'5. mell.Önk-i mérleg'!J27+'8. mell. Intézmények összesen'!K28</f>
        <v>394760390</v>
      </c>
      <c r="J28" s="1934">
        <f>+'6. mell (Bontás)'!J27</f>
        <v>0</v>
      </c>
      <c r="K28" s="1934">
        <f>+'6. mell (Bontás)'!K27</f>
        <v>0</v>
      </c>
      <c r="L28" s="1934">
        <f>+'6. mell (Bontás)'!L27</f>
        <v>0</v>
      </c>
      <c r="M28" s="1934">
        <f>+'6. mell (Bontás)'!M27</f>
        <v>0</v>
      </c>
      <c r="N28" s="1934">
        <f>+'6. mell (Bontás)'!N27</f>
        <v>0</v>
      </c>
      <c r="O28" s="1934">
        <f>+'6. mell (Bontás)'!O27</f>
        <v>0</v>
      </c>
      <c r="P28" s="1934">
        <f>+'6. mell (Bontás)'!P27+'8. mell. Intézmények összesen'!L28</f>
        <v>538761279</v>
      </c>
      <c r="Q28" s="1934">
        <f>+'6. mell (Bontás)'!Q27+'8. mell. Intézmények összesen'!M28</f>
        <v>538761279</v>
      </c>
      <c r="R28" s="1934">
        <f>+'6. mell (Bontás)'!R27+'8. mell. Intézmények összesen'!N28</f>
        <v>538761279</v>
      </c>
      <c r="S28" s="1934">
        <f>+'6. mell (Bontás)'!S27+'8. mell. Intézmények összesen'!O28</f>
        <v>394760390</v>
      </c>
      <c r="T28" s="1934">
        <f>+'6. mell (Bontás)'!T27+'8. mell. Intézmények összesen'!P28</f>
        <v>394760390</v>
      </c>
      <c r="U28" s="1934">
        <f>+'6. mell (Bontás)'!U27+'8. mell. Intézmények összesen'!Q28</f>
        <v>394760390</v>
      </c>
      <c r="V28" s="2482">
        <f>+'6. mell (Bontás)'!V27</f>
        <v>0</v>
      </c>
      <c r="W28" s="1934">
        <f>+'6. mell (Bontás)'!W27</f>
        <v>0</v>
      </c>
      <c r="X28" s="1934">
        <f>+'6. mell (Bontás)'!X27</f>
        <v>0</v>
      </c>
      <c r="Y28" s="1934">
        <f>+'6. mell (Bontás)'!Y27</f>
        <v>0</v>
      </c>
      <c r="Z28" s="1934">
        <f>+'6. mell (Bontás)'!Z27</f>
        <v>0</v>
      </c>
      <c r="AA28" s="1934">
        <f>+'6. mell (Bontás)'!AA27</f>
        <v>0</v>
      </c>
      <c r="AB28" s="2495">
        <f t="shared" si="21"/>
        <v>538761279</v>
      </c>
      <c r="AC28" s="2495">
        <f t="shared" si="22"/>
        <v>538761279</v>
      </c>
      <c r="AD28" s="2495">
        <f t="shared" si="23"/>
        <v>538761279</v>
      </c>
      <c r="AE28" s="2495">
        <f t="shared" si="24"/>
        <v>394760390</v>
      </c>
      <c r="AF28" s="2495">
        <f t="shared" si="25"/>
        <v>394760390</v>
      </c>
      <c r="AG28" s="2495">
        <f t="shared" si="26"/>
        <v>394760390</v>
      </c>
      <c r="AH28" s="999">
        <f t="shared" si="1"/>
        <v>0</v>
      </c>
      <c r="AI28" s="999">
        <f t="shared" si="2"/>
        <v>0</v>
      </c>
      <c r="AJ28" s="999">
        <f t="shared" si="3"/>
        <v>0</v>
      </c>
      <c r="AK28" s="999">
        <f t="shared" si="4"/>
        <v>0</v>
      </c>
      <c r="AL28" s="999">
        <f t="shared" si="5"/>
        <v>0</v>
      </c>
      <c r="AM28" s="79">
        <f t="shared" si="6"/>
        <v>0</v>
      </c>
    </row>
    <row r="29" spans="1:39" s="75" customFormat="1">
      <c r="A29" s="1928" t="s">
        <v>210</v>
      </c>
      <c r="B29" s="1935" t="s">
        <v>211</v>
      </c>
      <c r="C29" s="1930">
        <f t="shared" ref="C29:AG29" si="27">+C30+C33+C34+C35</f>
        <v>11841918010</v>
      </c>
      <c r="D29" s="1930">
        <f t="shared" si="27"/>
        <v>12039227919</v>
      </c>
      <c r="E29" s="1930">
        <f t="shared" si="27"/>
        <v>12039227919</v>
      </c>
      <c r="F29" s="1930">
        <f t="shared" si="27"/>
        <v>12039227919</v>
      </c>
      <c r="G29" s="1930">
        <f t="shared" si="27"/>
        <v>12429256040</v>
      </c>
      <c r="H29" s="1930">
        <f t="shared" si="27"/>
        <v>12429256040</v>
      </c>
      <c r="I29" s="1930">
        <f t="shared" si="27"/>
        <v>12429256040</v>
      </c>
      <c r="J29" s="1930">
        <f t="shared" si="27"/>
        <v>10294285696</v>
      </c>
      <c r="K29" s="1930">
        <f t="shared" si="27"/>
        <v>10264494272</v>
      </c>
      <c r="L29" s="1930">
        <f t="shared" si="27"/>
        <v>10137104663</v>
      </c>
      <c r="M29" s="1930">
        <f t="shared" si="27"/>
        <v>10075076049</v>
      </c>
      <c r="N29" s="1930">
        <f t="shared" si="27"/>
        <v>10075076049</v>
      </c>
      <c r="O29" s="1930">
        <f t="shared" si="27"/>
        <v>10075076049</v>
      </c>
      <c r="P29" s="1930">
        <f t="shared" si="27"/>
        <v>1741442223</v>
      </c>
      <c r="Q29" s="1930">
        <f t="shared" si="27"/>
        <v>1771233647</v>
      </c>
      <c r="R29" s="1930">
        <f t="shared" si="27"/>
        <v>1896649792</v>
      </c>
      <c r="S29" s="1930">
        <f t="shared" si="27"/>
        <v>2351668351</v>
      </c>
      <c r="T29" s="1930">
        <f t="shared" si="27"/>
        <v>2351668351</v>
      </c>
      <c r="U29" s="1930">
        <f t="shared" si="27"/>
        <v>2351668351</v>
      </c>
      <c r="V29" s="2481">
        <f t="shared" si="27"/>
        <v>3500000</v>
      </c>
      <c r="W29" s="1930">
        <f t="shared" si="27"/>
        <v>3500000</v>
      </c>
      <c r="X29" s="1930">
        <f t="shared" si="27"/>
        <v>5473464</v>
      </c>
      <c r="Y29" s="1930">
        <f t="shared" si="27"/>
        <v>2511640</v>
      </c>
      <c r="Z29" s="1930">
        <f t="shared" si="27"/>
        <v>2511640</v>
      </c>
      <c r="AA29" s="1930">
        <f t="shared" si="27"/>
        <v>2511640</v>
      </c>
      <c r="AB29" s="1930">
        <f t="shared" si="27"/>
        <v>12039227919</v>
      </c>
      <c r="AC29" s="1930">
        <f t="shared" si="27"/>
        <v>12039227919</v>
      </c>
      <c r="AD29" s="1930">
        <f t="shared" si="27"/>
        <v>12039227919</v>
      </c>
      <c r="AE29" s="1930">
        <f t="shared" si="27"/>
        <v>12429256040</v>
      </c>
      <c r="AF29" s="1930">
        <f t="shared" si="27"/>
        <v>12429256040</v>
      </c>
      <c r="AG29" s="1930">
        <f t="shared" si="27"/>
        <v>12429256040</v>
      </c>
      <c r="AH29" s="999">
        <f t="shared" si="1"/>
        <v>0</v>
      </c>
      <c r="AI29" s="999">
        <f t="shared" si="2"/>
        <v>0</v>
      </c>
      <c r="AJ29" s="999">
        <f t="shared" si="3"/>
        <v>0</v>
      </c>
      <c r="AK29" s="999">
        <f t="shared" si="4"/>
        <v>0</v>
      </c>
      <c r="AL29" s="999">
        <f t="shared" si="5"/>
        <v>0</v>
      </c>
      <c r="AM29" s="79">
        <f t="shared" si="6"/>
        <v>0</v>
      </c>
    </row>
    <row r="30" spans="1:39" s="75" customFormat="1">
      <c r="A30" s="1931" t="s">
        <v>212</v>
      </c>
      <c r="B30" s="1932" t="s">
        <v>213</v>
      </c>
      <c r="C30" s="1936">
        <f>+'5. mell.Önk-i mérleg'!C29</f>
        <v>11774768010</v>
      </c>
      <c r="D30" s="1936">
        <f>+'5. mell.Önk-i mérleg'!E29</f>
        <v>11974768010</v>
      </c>
      <c r="E30" s="1936">
        <f>+'5. mell.Önk-i mérleg'!F29</f>
        <v>11974768010</v>
      </c>
      <c r="F30" s="1936">
        <f>+'5. mell.Önk-i mérleg'!G29</f>
        <v>11974768010</v>
      </c>
      <c r="G30" s="1936">
        <f>+'5. mell.Önk-i mérleg'!H29</f>
        <v>12291824164</v>
      </c>
      <c r="H30" s="1936">
        <f>+'5. mell.Önk-i mérleg'!I29</f>
        <v>12291824164</v>
      </c>
      <c r="I30" s="1936">
        <f>+'5. mell.Önk-i mérleg'!J29</f>
        <v>12291824164</v>
      </c>
      <c r="J30" s="1934">
        <f>+'6. mell (Bontás)'!J29</f>
        <v>10229825787</v>
      </c>
      <c r="K30" s="1934">
        <f>+'6. mell (Bontás)'!K29</f>
        <v>10200034363</v>
      </c>
      <c r="L30" s="1934">
        <f>+'6. mell (Bontás)'!L29</f>
        <v>10072644754</v>
      </c>
      <c r="M30" s="1934">
        <f>+'6. mell (Bontás)'!M29</f>
        <v>9937644173</v>
      </c>
      <c r="N30" s="1934">
        <f>+'6. mell (Bontás)'!N29</f>
        <v>9937644173</v>
      </c>
      <c r="O30" s="1934">
        <f>+'6. mell (Bontás)'!O29</f>
        <v>9937644173</v>
      </c>
      <c r="P30" s="1934">
        <f>+'6. mell (Bontás)'!P29</f>
        <v>1741442223</v>
      </c>
      <c r="Q30" s="1934">
        <f>+'6. mell (Bontás)'!Q29</f>
        <v>1771233647</v>
      </c>
      <c r="R30" s="1934">
        <f>+'6. mell (Bontás)'!R29</f>
        <v>1896649792</v>
      </c>
      <c r="S30" s="1934">
        <f>+'6. mell (Bontás)'!S29</f>
        <v>2351668351</v>
      </c>
      <c r="T30" s="1934">
        <f>+'6. mell (Bontás)'!T29</f>
        <v>2351668351</v>
      </c>
      <c r="U30" s="1934">
        <f>+'6. mell (Bontás)'!U29</f>
        <v>2351668351</v>
      </c>
      <c r="V30" s="2482">
        <f>+'6. mell (Bontás)'!V29</f>
        <v>3500000</v>
      </c>
      <c r="W30" s="1934">
        <f>+'6. mell (Bontás)'!W29</f>
        <v>3500000</v>
      </c>
      <c r="X30" s="1934">
        <f>+'6. mell (Bontás)'!X29</f>
        <v>5473464</v>
      </c>
      <c r="Y30" s="1934">
        <f>+'6. mell (Bontás)'!Y29</f>
        <v>2511640</v>
      </c>
      <c r="Z30" s="1934">
        <f>+'6. mell (Bontás)'!Z29</f>
        <v>2511640</v>
      </c>
      <c r="AA30" s="1934">
        <f>+'6. mell (Bontás)'!AA29</f>
        <v>2511640</v>
      </c>
      <c r="AB30" s="2495">
        <f t="shared" ref="AB30:AB35" si="28">+J30+P30+V30</f>
        <v>11974768010</v>
      </c>
      <c r="AC30" s="2495">
        <f t="shared" ref="AC30:AC35" si="29">+K30+Q30+W30</f>
        <v>11974768010</v>
      </c>
      <c r="AD30" s="2495">
        <f t="shared" ref="AD30:AD35" si="30">+L30+R30+X30</f>
        <v>11974768010</v>
      </c>
      <c r="AE30" s="2495">
        <f t="shared" ref="AE30:AE35" si="31">+M30+S30+Y30</f>
        <v>12291824164</v>
      </c>
      <c r="AF30" s="2495">
        <f t="shared" ref="AF30:AF35" si="32">+N30+T30+Z30</f>
        <v>12291824164</v>
      </c>
      <c r="AG30" s="2495">
        <f t="shared" ref="AG30:AG35" si="33">+O30+U30+AA30</f>
        <v>12291824164</v>
      </c>
      <c r="AH30" s="999">
        <f t="shared" si="1"/>
        <v>0</v>
      </c>
      <c r="AI30" s="999">
        <f t="shared" si="2"/>
        <v>0</v>
      </c>
      <c r="AJ30" s="999">
        <f t="shared" si="3"/>
        <v>0</v>
      </c>
      <c r="AK30" s="999">
        <f t="shared" si="4"/>
        <v>0</v>
      </c>
      <c r="AL30" s="999">
        <f t="shared" si="5"/>
        <v>0</v>
      </c>
      <c r="AM30" s="79">
        <f t="shared" si="6"/>
        <v>0</v>
      </c>
    </row>
    <row r="31" spans="1:39" s="75" customFormat="1">
      <c r="A31" s="1931" t="s">
        <v>214</v>
      </c>
      <c r="B31" s="1932" t="s">
        <v>215</v>
      </c>
      <c r="C31" s="1936">
        <f>+'5. mell.Önk-i mérleg'!C30</f>
        <v>1000000000</v>
      </c>
      <c r="D31" s="1936">
        <f>+'5. mell.Önk-i mérleg'!E30</f>
        <v>1200000000</v>
      </c>
      <c r="E31" s="1936">
        <f>+'5. mell.Önk-i mérleg'!F30</f>
        <v>1200000000</v>
      </c>
      <c r="F31" s="1936">
        <f>+'5. mell.Önk-i mérleg'!G30</f>
        <v>1200000000</v>
      </c>
      <c r="G31" s="1936">
        <f>+'5. mell.Önk-i mérleg'!H30</f>
        <v>1251294731</v>
      </c>
      <c r="H31" s="1936">
        <f>+'5. mell.Önk-i mérleg'!I30</f>
        <v>1251294731</v>
      </c>
      <c r="I31" s="1936">
        <f>+'5. mell.Önk-i mérleg'!J30</f>
        <v>1251294731</v>
      </c>
      <c r="J31" s="1934">
        <f>+'6. mell (Bontás)'!J30</f>
        <v>1200000000</v>
      </c>
      <c r="K31" s="1934">
        <f>+'6. mell (Bontás)'!K30</f>
        <v>1200000000</v>
      </c>
      <c r="L31" s="1934">
        <f>+'6. mell (Bontás)'!L30</f>
        <v>1200000000</v>
      </c>
      <c r="M31" s="1934">
        <f>+'6. mell (Bontás)'!M30</f>
        <v>1251294731</v>
      </c>
      <c r="N31" s="1934">
        <f>+'6. mell (Bontás)'!N30</f>
        <v>1251294731</v>
      </c>
      <c r="O31" s="1934">
        <f>+'6. mell (Bontás)'!O30</f>
        <v>1251294731</v>
      </c>
      <c r="P31" s="1934">
        <f>+'6. mell (Bontás)'!P30</f>
        <v>0</v>
      </c>
      <c r="Q31" s="1934">
        <f>+'6. mell (Bontás)'!Q30</f>
        <v>0</v>
      </c>
      <c r="R31" s="1934">
        <f>+'6. mell (Bontás)'!R30</f>
        <v>0</v>
      </c>
      <c r="S31" s="1934">
        <f>+'6. mell (Bontás)'!S30</f>
        <v>0</v>
      </c>
      <c r="T31" s="1934">
        <f>+'6. mell (Bontás)'!T30</f>
        <v>0</v>
      </c>
      <c r="U31" s="1934">
        <f>+'6. mell (Bontás)'!U30</f>
        <v>0</v>
      </c>
      <c r="V31" s="2482">
        <f>+'6. mell (Bontás)'!V30</f>
        <v>0</v>
      </c>
      <c r="W31" s="1934">
        <f>+'6. mell (Bontás)'!W30</f>
        <v>0</v>
      </c>
      <c r="X31" s="1934">
        <f>+'6. mell (Bontás)'!X30</f>
        <v>0</v>
      </c>
      <c r="Y31" s="1934">
        <f>+'6. mell (Bontás)'!Y30</f>
        <v>0</v>
      </c>
      <c r="Z31" s="1934">
        <f>+'6. mell (Bontás)'!Z30</f>
        <v>0</v>
      </c>
      <c r="AA31" s="1934">
        <f>+'6. mell (Bontás)'!AA30</f>
        <v>0</v>
      </c>
      <c r="AB31" s="2495">
        <f t="shared" si="28"/>
        <v>1200000000</v>
      </c>
      <c r="AC31" s="2495">
        <f t="shared" si="29"/>
        <v>1200000000</v>
      </c>
      <c r="AD31" s="2495">
        <f t="shared" si="30"/>
        <v>1200000000</v>
      </c>
      <c r="AE31" s="2495">
        <f t="shared" si="31"/>
        <v>1251294731</v>
      </c>
      <c r="AF31" s="2495">
        <f t="shared" si="32"/>
        <v>1251294731</v>
      </c>
      <c r="AG31" s="2495">
        <f t="shared" si="33"/>
        <v>1251294731</v>
      </c>
      <c r="AH31" s="999">
        <f t="shared" si="1"/>
        <v>0</v>
      </c>
      <c r="AI31" s="999">
        <f t="shared" si="2"/>
        <v>0</v>
      </c>
      <c r="AJ31" s="999">
        <f t="shared" si="3"/>
        <v>0</v>
      </c>
      <c r="AK31" s="999">
        <f t="shared" si="4"/>
        <v>0</v>
      </c>
      <c r="AL31" s="999">
        <f t="shared" si="5"/>
        <v>0</v>
      </c>
      <c r="AM31" s="79">
        <f t="shared" si="6"/>
        <v>0</v>
      </c>
    </row>
    <row r="32" spans="1:39" s="75" customFormat="1">
      <c r="A32" s="1931" t="s">
        <v>216</v>
      </c>
      <c r="B32" s="1932" t="s">
        <v>217</v>
      </c>
      <c r="C32" s="1936">
        <f>+'5. mell.Önk-i mérleg'!C31</f>
        <v>10774768010</v>
      </c>
      <c r="D32" s="1936">
        <f>+'5. mell.Önk-i mérleg'!E31</f>
        <v>10774768010</v>
      </c>
      <c r="E32" s="1936">
        <f>+'5. mell.Önk-i mérleg'!F31</f>
        <v>10774768010</v>
      </c>
      <c r="F32" s="1936">
        <f>+'5. mell.Önk-i mérleg'!G31</f>
        <v>10774768010</v>
      </c>
      <c r="G32" s="1936">
        <f>+'5. mell.Önk-i mérleg'!H31</f>
        <v>11040529433</v>
      </c>
      <c r="H32" s="1936">
        <f>+'5. mell.Önk-i mérleg'!I31</f>
        <v>11040529433</v>
      </c>
      <c r="I32" s="1936">
        <f>+'5. mell.Önk-i mérleg'!J31</f>
        <v>11040529433</v>
      </c>
      <c r="J32" s="1934">
        <f>+'6. mell (Bontás)'!J31</f>
        <v>9029825787</v>
      </c>
      <c r="K32" s="1934">
        <f>+'6. mell (Bontás)'!K31</f>
        <v>9000034363</v>
      </c>
      <c r="L32" s="1934">
        <f>+'6. mell (Bontás)'!L31</f>
        <v>8872644754</v>
      </c>
      <c r="M32" s="1934">
        <f>+'6. mell (Bontás)'!M31</f>
        <v>8686349442</v>
      </c>
      <c r="N32" s="1934">
        <f>+'6. mell (Bontás)'!N31</f>
        <v>8686349442</v>
      </c>
      <c r="O32" s="1934">
        <f>+'6. mell (Bontás)'!O31</f>
        <v>8686349442</v>
      </c>
      <c r="P32" s="1934">
        <f>+'6. mell (Bontás)'!P31</f>
        <v>1741442223</v>
      </c>
      <c r="Q32" s="1934">
        <f>+'6. mell (Bontás)'!Q31</f>
        <v>1771233647</v>
      </c>
      <c r="R32" s="1934">
        <f>+'6. mell (Bontás)'!R31</f>
        <v>1896649792</v>
      </c>
      <c r="S32" s="1934">
        <f>+'6. mell (Bontás)'!S31</f>
        <v>2351668351</v>
      </c>
      <c r="T32" s="1934">
        <f>+'6. mell (Bontás)'!T31</f>
        <v>2351668351</v>
      </c>
      <c r="U32" s="1934">
        <f>+'6. mell (Bontás)'!U31</f>
        <v>2351668351</v>
      </c>
      <c r="V32" s="2482">
        <f>+'6. mell (Bontás)'!V31</f>
        <v>3500000</v>
      </c>
      <c r="W32" s="1934">
        <f>+'6. mell (Bontás)'!W31</f>
        <v>3500000</v>
      </c>
      <c r="X32" s="1934">
        <f>+'6. mell (Bontás)'!X31</f>
        <v>5473464</v>
      </c>
      <c r="Y32" s="1934">
        <f>+'6. mell (Bontás)'!Y31</f>
        <v>2511640</v>
      </c>
      <c r="Z32" s="1934">
        <f>+'6. mell (Bontás)'!Z31</f>
        <v>2511640</v>
      </c>
      <c r="AA32" s="1934">
        <f>+'6. mell (Bontás)'!AA31</f>
        <v>2511640</v>
      </c>
      <c r="AB32" s="2495">
        <f t="shared" si="28"/>
        <v>10774768010</v>
      </c>
      <c r="AC32" s="2495">
        <f t="shared" si="29"/>
        <v>10774768010</v>
      </c>
      <c r="AD32" s="2495">
        <f t="shared" si="30"/>
        <v>10774768010</v>
      </c>
      <c r="AE32" s="2495">
        <f t="shared" si="31"/>
        <v>11040529433</v>
      </c>
      <c r="AF32" s="2495">
        <f t="shared" si="32"/>
        <v>11040529433</v>
      </c>
      <c r="AG32" s="2495">
        <f t="shared" si="33"/>
        <v>11040529433</v>
      </c>
      <c r="AH32" s="999">
        <f t="shared" si="1"/>
        <v>0</v>
      </c>
      <c r="AI32" s="999">
        <f t="shared" si="2"/>
        <v>0</v>
      </c>
      <c r="AJ32" s="999">
        <f t="shared" si="3"/>
        <v>0</v>
      </c>
      <c r="AK32" s="999">
        <f t="shared" si="4"/>
        <v>0</v>
      </c>
      <c r="AL32" s="999">
        <f t="shared" si="5"/>
        <v>0</v>
      </c>
      <c r="AM32" s="79">
        <f t="shared" si="6"/>
        <v>0</v>
      </c>
    </row>
    <row r="33" spans="1:39" s="75" customFormat="1">
      <c r="A33" s="1931" t="s">
        <v>218</v>
      </c>
      <c r="B33" s="1932" t="s">
        <v>219</v>
      </c>
      <c r="C33" s="1936">
        <f>+'5. mell.Önk-i mérleg'!C32</f>
        <v>0</v>
      </c>
      <c r="D33" s="1936">
        <f>+'5. mell.Önk-i mérleg'!E32</f>
        <v>0</v>
      </c>
      <c r="E33" s="1936">
        <f>+'5. mell.Önk-i mérleg'!F32</f>
        <v>0</v>
      </c>
      <c r="F33" s="1936">
        <f>+'5. mell.Önk-i mérleg'!G32</f>
        <v>0</v>
      </c>
      <c r="G33" s="1936">
        <f>+'5. mell.Önk-i mérleg'!H32</f>
        <v>0</v>
      </c>
      <c r="H33" s="1936">
        <f>+'5. mell.Önk-i mérleg'!I32</f>
        <v>0</v>
      </c>
      <c r="I33" s="1936">
        <f>+'5. mell.Önk-i mérleg'!J32</f>
        <v>0</v>
      </c>
      <c r="J33" s="1934">
        <f>+'6. mell (Bontás)'!J32</f>
        <v>0</v>
      </c>
      <c r="K33" s="1934">
        <f>+'6. mell (Bontás)'!K32</f>
        <v>0</v>
      </c>
      <c r="L33" s="1934">
        <f>+'6. mell (Bontás)'!L32</f>
        <v>0</v>
      </c>
      <c r="M33" s="1934">
        <f>+'6. mell (Bontás)'!M32</f>
        <v>0</v>
      </c>
      <c r="N33" s="1934">
        <f>+'6. mell (Bontás)'!N32</f>
        <v>0</v>
      </c>
      <c r="O33" s="1934">
        <f>+'6. mell (Bontás)'!O32</f>
        <v>0</v>
      </c>
      <c r="P33" s="1934">
        <f>+'6. mell (Bontás)'!P32</f>
        <v>0</v>
      </c>
      <c r="Q33" s="1934">
        <f>+'6. mell (Bontás)'!Q32</f>
        <v>0</v>
      </c>
      <c r="R33" s="1934">
        <f>+'6. mell (Bontás)'!R32</f>
        <v>0</v>
      </c>
      <c r="S33" s="1934">
        <f>+'6. mell (Bontás)'!S32</f>
        <v>0</v>
      </c>
      <c r="T33" s="1934">
        <f>+'6. mell (Bontás)'!T32</f>
        <v>0</v>
      </c>
      <c r="U33" s="1934">
        <f>+'6. mell (Bontás)'!U32</f>
        <v>0</v>
      </c>
      <c r="V33" s="2482">
        <f>+'6. mell (Bontás)'!V32</f>
        <v>0</v>
      </c>
      <c r="W33" s="1934">
        <f>+'6. mell (Bontás)'!W32</f>
        <v>0</v>
      </c>
      <c r="X33" s="1934">
        <f>+'6. mell (Bontás)'!X32</f>
        <v>0</v>
      </c>
      <c r="Y33" s="1934">
        <f>+'6. mell (Bontás)'!Y32</f>
        <v>0</v>
      </c>
      <c r="Z33" s="1934">
        <f>+'6. mell (Bontás)'!Z32</f>
        <v>0</v>
      </c>
      <c r="AA33" s="1934">
        <f>+'6. mell (Bontás)'!AA32</f>
        <v>0</v>
      </c>
      <c r="AB33" s="2495">
        <f t="shared" si="28"/>
        <v>0</v>
      </c>
      <c r="AC33" s="2495">
        <f t="shared" si="29"/>
        <v>0</v>
      </c>
      <c r="AD33" s="2495">
        <f t="shared" si="30"/>
        <v>0</v>
      </c>
      <c r="AE33" s="2495">
        <f t="shared" si="31"/>
        <v>0</v>
      </c>
      <c r="AF33" s="2495">
        <f t="shared" si="32"/>
        <v>0</v>
      </c>
      <c r="AG33" s="2495">
        <f t="shared" si="33"/>
        <v>0</v>
      </c>
      <c r="AH33" s="999">
        <f t="shared" si="1"/>
        <v>0</v>
      </c>
      <c r="AI33" s="999">
        <f t="shared" si="2"/>
        <v>0</v>
      </c>
      <c r="AJ33" s="999">
        <f t="shared" si="3"/>
        <v>0</v>
      </c>
      <c r="AK33" s="999">
        <f t="shared" si="4"/>
        <v>0</v>
      </c>
      <c r="AL33" s="999">
        <f t="shared" si="5"/>
        <v>0</v>
      </c>
      <c r="AM33" s="79">
        <f t="shared" si="6"/>
        <v>0</v>
      </c>
    </row>
    <row r="34" spans="1:39" s="75" customFormat="1">
      <c r="A34" s="1931" t="s">
        <v>220</v>
      </c>
      <c r="B34" s="1932" t="s">
        <v>221</v>
      </c>
      <c r="C34" s="1936">
        <f>+'5. mell.Önk-i mérleg'!C33</f>
        <v>6000000</v>
      </c>
      <c r="D34" s="1936">
        <f>+'5. mell.Önk-i mérleg'!E33</f>
        <v>8100000</v>
      </c>
      <c r="E34" s="1936">
        <f>+'5. mell.Önk-i mérleg'!F33</f>
        <v>8100000</v>
      </c>
      <c r="F34" s="1936">
        <f>+'5. mell.Önk-i mérleg'!G33</f>
        <v>8100000</v>
      </c>
      <c r="G34" s="1936">
        <f>+'5. mell.Önk-i mérleg'!H33</f>
        <v>10038385</v>
      </c>
      <c r="H34" s="1936">
        <f>+'5. mell.Önk-i mérleg'!I33</f>
        <v>10038385</v>
      </c>
      <c r="I34" s="1936">
        <f>+'5. mell.Önk-i mérleg'!J33</f>
        <v>10038385</v>
      </c>
      <c r="J34" s="1934">
        <f>+'6. mell (Bontás)'!J33</f>
        <v>8100000</v>
      </c>
      <c r="K34" s="1934">
        <f>+'6. mell (Bontás)'!K33</f>
        <v>8100000</v>
      </c>
      <c r="L34" s="1934">
        <f>+'6. mell (Bontás)'!L33</f>
        <v>8100000</v>
      </c>
      <c r="M34" s="1934">
        <f>+'6. mell (Bontás)'!M33</f>
        <v>10038385</v>
      </c>
      <c r="N34" s="1934">
        <f>+'6. mell (Bontás)'!N33</f>
        <v>10038385</v>
      </c>
      <c r="O34" s="1934">
        <f>+'6. mell (Bontás)'!O33</f>
        <v>10038385</v>
      </c>
      <c r="P34" s="1934">
        <f>+'6. mell (Bontás)'!P33</f>
        <v>0</v>
      </c>
      <c r="Q34" s="1934">
        <f>+'6. mell (Bontás)'!Q33</f>
        <v>0</v>
      </c>
      <c r="R34" s="1934">
        <f>+'6. mell (Bontás)'!R33</f>
        <v>0</v>
      </c>
      <c r="S34" s="1934">
        <f>+'6. mell (Bontás)'!S33</f>
        <v>0</v>
      </c>
      <c r="T34" s="1934">
        <f>+'6. mell (Bontás)'!T33</f>
        <v>0</v>
      </c>
      <c r="U34" s="1934">
        <f>+'6. mell (Bontás)'!U33</f>
        <v>0</v>
      </c>
      <c r="V34" s="2482">
        <f>+'6. mell (Bontás)'!V33</f>
        <v>0</v>
      </c>
      <c r="W34" s="1934">
        <f>+'6. mell (Bontás)'!W33</f>
        <v>0</v>
      </c>
      <c r="X34" s="1934">
        <f>+'6. mell (Bontás)'!X33</f>
        <v>0</v>
      </c>
      <c r="Y34" s="1934">
        <f>+'6. mell (Bontás)'!Y33</f>
        <v>0</v>
      </c>
      <c r="Z34" s="1934">
        <f>+'6. mell (Bontás)'!Z33</f>
        <v>0</v>
      </c>
      <c r="AA34" s="1934">
        <f>+'6. mell (Bontás)'!AA33</f>
        <v>0</v>
      </c>
      <c r="AB34" s="2495">
        <f t="shared" si="28"/>
        <v>8100000</v>
      </c>
      <c r="AC34" s="2495">
        <f t="shared" si="29"/>
        <v>8100000</v>
      </c>
      <c r="AD34" s="2495">
        <f t="shared" si="30"/>
        <v>8100000</v>
      </c>
      <c r="AE34" s="2495">
        <f t="shared" si="31"/>
        <v>10038385</v>
      </c>
      <c r="AF34" s="2495">
        <f t="shared" si="32"/>
        <v>10038385</v>
      </c>
      <c r="AG34" s="2495">
        <f t="shared" si="33"/>
        <v>10038385</v>
      </c>
      <c r="AH34" s="999">
        <f t="shared" si="1"/>
        <v>0</v>
      </c>
      <c r="AI34" s="999">
        <f t="shared" si="2"/>
        <v>0</v>
      </c>
      <c r="AJ34" s="999">
        <f t="shared" si="3"/>
        <v>0</v>
      </c>
      <c r="AK34" s="999">
        <f t="shared" si="4"/>
        <v>0</v>
      </c>
      <c r="AL34" s="999">
        <f t="shared" si="5"/>
        <v>0</v>
      </c>
      <c r="AM34" s="79">
        <f t="shared" si="6"/>
        <v>0</v>
      </c>
    </row>
    <row r="35" spans="1:39" s="75" customFormat="1">
      <c r="A35" s="1931" t="s">
        <v>222</v>
      </c>
      <c r="B35" s="1932" t="s">
        <v>223</v>
      </c>
      <c r="C35" s="1936">
        <f>+'5. mell.Önk-i mérleg'!C34+'8. mell. Intézmények összesen'!D31</f>
        <v>61150000</v>
      </c>
      <c r="D35" s="1936">
        <f>+'5. mell.Önk-i mérleg'!E34+'8. mell. Intézmények összesen'!F31</f>
        <v>56359909</v>
      </c>
      <c r="E35" s="1936">
        <f>+'5. mell.Önk-i mérleg'!F34+'8. mell. Intézmények összesen'!G31</f>
        <v>56359909</v>
      </c>
      <c r="F35" s="1936">
        <f>+'5. mell.Önk-i mérleg'!G34+'8. mell. Intézmények összesen'!H31</f>
        <v>56359909</v>
      </c>
      <c r="G35" s="1936">
        <f>+'5. mell.Önk-i mérleg'!H34+'8. mell. Intézmények összesen'!I31</f>
        <v>127393491</v>
      </c>
      <c r="H35" s="1936">
        <f>+'5. mell.Önk-i mérleg'!I34+'8. mell. Intézmények összesen'!J31</f>
        <v>127393491</v>
      </c>
      <c r="I35" s="1936">
        <f>+'5. mell.Önk-i mérleg'!J34+'8. mell. Intézmények összesen'!K31</f>
        <v>127393491</v>
      </c>
      <c r="J35" s="1934">
        <f>+'6. mell (Bontás)'!J34+'8. mell. Intézmények összesen'!R31</f>
        <v>56359909</v>
      </c>
      <c r="K35" s="1934">
        <f>+'6. mell (Bontás)'!K34+'8. mell. Intézmények összesen'!S31</f>
        <v>56359909</v>
      </c>
      <c r="L35" s="1934">
        <f>+'6. mell (Bontás)'!L34+'8. mell. Intézmények összesen'!T31</f>
        <v>56359909</v>
      </c>
      <c r="M35" s="1934">
        <f>+'6. mell (Bontás)'!M34+'8. mell. Intézmények összesen'!U31</f>
        <v>127393491</v>
      </c>
      <c r="N35" s="1934">
        <f>+'6. mell (Bontás)'!N34+'8. mell. Intézmények összesen'!V31</f>
        <v>127393491</v>
      </c>
      <c r="O35" s="1934">
        <f>+'6. mell (Bontás)'!O34+'8. mell. Intézmények összesen'!W31</f>
        <v>127393491</v>
      </c>
      <c r="P35" s="1934">
        <f>+'6. mell (Bontás)'!P34</f>
        <v>0</v>
      </c>
      <c r="Q35" s="1934">
        <f>+'6. mell (Bontás)'!Q34</f>
        <v>0</v>
      </c>
      <c r="R35" s="1934">
        <f>+'6. mell (Bontás)'!R34</f>
        <v>0</v>
      </c>
      <c r="S35" s="1934">
        <f>+'6. mell (Bontás)'!S34</f>
        <v>0</v>
      </c>
      <c r="T35" s="1934">
        <f>+'6. mell (Bontás)'!T34</f>
        <v>0</v>
      </c>
      <c r="U35" s="1934">
        <f>+'6. mell (Bontás)'!U34</f>
        <v>0</v>
      </c>
      <c r="V35" s="2482">
        <f>+'6. mell (Bontás)'!V34</f>
        <v>0</v>
      </c>
      <c r="W35" s="1934">
        <f>+'6. mell (Bontás)'!W34</f>
        <v>0</v>
      </c>
      <c r="X35" s="1934">
        <f>+'6. mell (Bontás)'!X34</f>
        <v>0</v>
      </c>
      <c r="Y35" s="1934">
        <f>+'6. mell (Bontás)'!Y34</f>
        <v>0</v>
      </c>
      <c r="Z35" s="1934">
        <f>+'6. mell (Bontás)'!Z34</f>
        <v>0</v>
      </c>
      <c r="AA35" s="1934">
        <f>+'6. mell (Bontás)'!AA34</f>
        <v>0</v>
      </c>
      <c r="AB35" s="2495">
        <f t="shared" si="28"/>
        <v>56359909</v>
      </c>
      <c r="AC35" s="2495">
        <f t="shared" si="29"/>
        <v>56359909</v>
      </c>
      <c r="AD35" s="2495">
        <f t="shared" si="30"/>
        <v>56359909</v>
      </c>
      <c r="AE35" s="2495">
        <f t="shared" si="31"/>
        <v>127393491</v>
      </c>
      <c r="AF35" s="2495">
        <f t="shared" si="32"/>
        <v>127393491</v>
      </c>
      <c r="AG35" s="2495">
        <f t="shared" si="33"/>
        <v>127393491</v>
      </c>
      <c r="AH35" s="999">
        <f t="shared" si="1"/>
        <v>0</v>
      </c>
      <c r="AI35" s="999">
        <f t="shared" si="2"/>
        <v>0</v>
      </c>
      <c r="AJ35" s="999">
        <f t="shared" si="3"/>
        <v>0</v>
      </c>
      <c r="AK35" s="999">
        <f t="shared" si="4"/>
        <v>0</v>
      </c>
      <c r="AL35" s="999">
        <f t="shared" si="5"/>
        <v>0</v>
      </c>
      <c r="AM35" s="79">
        <f t="shared" si="6"/>
        <v>0</v>
      </c>
    </row>
    <row r="36" spans="1:39" s="75" customFormat="1">
      <c r="A36" s="1928" t="s">
        <v>17</v>
      </c>
      <c r="B36" s="1935" t="s">
        <v>224</v>
      </c>
      <c r="C36" s="1930">
        <f t="shared" ref="C36:AG36" si="34">SUM(C37:C47)</f>
        <v>2976871201</v>
      </c>
      <c r="D36" s="1930">
        <f t="shared" si="34"/>
        <v>2723483039.26968</v>
      </c>
      <c r="E36" s="1930">
        <f t="shared" si="34"/>
        <v>2786097471.26968</v>
      </c>
      <c r="F36" s="1930">
        <f t="shared" si="34"/>
        <v>2847934722.26968</v>
      </c>
      <c r="G36" s="1930">
        <f t="shared" si="34"/>
        <v>2882380520.26968</v>
      </c>
      <c r="H36" s="1930">
        <f t="shared" si="34"/>
        <v>2882380520.26968</v>
      </c>
      <c r="I36" s="1930">
        <f t="shared" si="34"/>
        <v>2882380520</v>
      </c>
      <c r="J36" s="1930">
        <f t="shared" si="34"/>
        <v>2070355379.26968</v>
      </c>
      <c r="K36" s="1930">
        <f t="shared" si="34"/>
        <v>2156642203.26968</v>
      </c>
      <c r="L36" s="1930">
        <f t="shared" si="34"/>
        <v>2286970527.26968</v>
      </c>
      <c r="M36" s="1930">
        <f t="shared" si="34"/>
        <v>2508216595.26968</v>
      </c>
      <c r="N36" s="1930">
        <f t="shared" si="34"/>
        <v>2508216595.26968</v>
      </c>
      <c r="O36" s="1930">
        <f t="shared" si="34"/>
        <v>2508216595</v>
      </c>
      <c r="P36" s="1930">
        <f t="shared" si="34"/>
        <v>653127660</v>
      </c>
      <c r="Q36" s="1930">
        <f t="shared" si="34"/>
        <v>629455268</v>
      </c>
      <c r="R36" s="1930">
        <f t="shared" si="34"/>
        <v>560964195</v>
      </c>
      <c r="S36" s="1930">
        <f t="shared" si="34"/>
        <v>374163925</v>
      </c>
      <c r="T36" s="1930">
        <f t="shared" si="34"/>
        <v>374163925</v>
      </c>
      <c r="U36" s="1930">
        <f t="shared" si="34"/>
        <v>374163925</v>
      </c>
      <c r="V36" s="2481">
        <f t="shared" si="34"/>
        <v>0</v>
      </c>
      <c r="W36" s="1930">
        <f t="shared" si="34"/>
        <v>0</v>
      </c>
      <c r="X36" s="1930">
        <f t="shared" si="34"/>
        <v>0</v>
      </c>
      <c r="Y36" s="1930">
        <f t="shared" si="34"/>
        <v>0</v>
      </c>
      <c r="Z36" s="1930">
        <f t="shared" si="34"/>
        <v>0</v>
      </c>
      <c r="AA36" s="1930">
        <f t="shared" si="34"/>
        <v>0</v>
      </c>
      <c r="AB36" s="1930">
        <f t="shared" si="34"/>
        <v>2723483039.26968</v>
      </c>
      <c r="AC36" s="1930">
        <f t="shared" si="34"/>
        <v>2786097471.26968</v>
      </c>
      <c r="AD36" s="1930">
        <f t="shared" si="34"/>
        <v>2847934722.26968</v>
      </c>
      <c r="AE36" s="1930">
        <f t="shared" si="34"/>
        <v>2882380520.26968</v>
      </c>
      <c r="AF36" s="1930">
        <f t="shared" si="34"/>
        <v>2882380520.26968</v>
      </c>
      <c r="AG36" s="1930">
        <f t="shared" si="34"/>
        <v>2882380520</v>
      </c>
      <c r="AH36" s="999">
        <f t="shared" si="1"/>
        <v>0</v>
      </c>
      <c r="AI36" s="999">
        <f t="shared" si="2"/>
        <v>0</v>
      </c>
      <c r="AJ36" s="999">
        <f t="shared" si="3"/>
        <v>0</v>
      </c>
      <c r="AK36" s="999">
        <f t="shared" si="4"/>
        <v>0</v>
      </c>
      <c r="AL36" s="999">
        <f t="shared" si="5"/>
        <v>0</v>
      </c>
      <c r="AM36" s="79">
        <f t="shared" si="6"/>
        <v>0</v>
      </c>
    </row>
    <row r="37" spans="1:39" s="75" customFormat="1">
      <c r="A37" s="1931" t="s">
        <v>225</v>
      </c>
      <c r="B37" s="1932" t="s">
        <v>226</v>
      </c>
      <c r="C37" s="1933">
        <f>+'5. mell.Önk-i mérleg'!C36+'8. mell. Intézmények összesen'!D9</f>
        <v>970330</v>
      </c>
      <c r="D37" s="1933">
        <f>+'5. mell.Önk-i mérleg'!E36+'8. mell. Intézmények összesen'!F9</f>
        <v>1250000</v>
      </c>
      <c r="E37" s="1933">
        <f>+'5. mell.Önk-i mérleg'!F36+'8. mell. Intézmények összesen'!G9</f>
        <v>1250000</v>
      </c>
      <c r="F37" s="1933">
        <f>+'5. mell.Önk-i mérleg'!G36+'8. mell. Intézmények összesen'!H9</f>
        <v>2674430</v>
      </c>
      <c r="G37" s="1933">
        <f>+'5. mell.Önk-i mérleg'!H36+'8. mell. Intézmények összesen'!I9</f>
        <v>2655701</v>
      </c>
      <c r="H37" s="1933">
        <f>+'5. mell.Önk-i mérleg'!I36+'8. mell. Intézmények összesen'!J9</f>
        <v>2655701</v>
      </c>
      <c r="I37" s="1933">
        <f>+'5. mell.Önk-i mérleg'!J36+'8. mell. Intézmények összesen'!K9</f>
        <v>2655701</v>
      </c>
      <c r="J37" s="1934">
        <f>+'6. mell (Bontás)'!J36+'8. mell. Intézmények összesen'!R9</f>
        <v>0</v>
      </c>
      <c r="K37" s="1934">
        <f>+'6. mell (Bontás)'!K36+'8. mell. Intézmények összesen'!S9</f>
        <v>0</v>
      </c>
      <c r="L37" s="1934">
        <f>+'6. mell (Bontás)'!L36+'8. mell. Intézmények összesen'!T9</f>
        <v>0</v>
      </c>
      <c r="M37" s="1934">
        <f>+'6. mell (Bontás)'!M36+'8. mell. Intézmények összesen'!U9</f>
        <v>8288</v>
      </c>
      <c r="N37" s="1934">
        <f>+'6. mell (Bontás)'!N36+'8. mell. Intézmények összesen'!V9</f>
        <v>8288</v>
      </c>
      <c r="O37" s="1934">
        <f>+'6. mell (Bontás)'!O36+'8. mell. Intézmények összesen'!W9</f>
        <v>8288</v>
      </c>
      <c r="P37" s="1934">
        <f>+'6. mell (Bontás)'!P36+'8. mell. Intézmények összesen'!L9</f>
        <v>1250000</v>
      </c>
      <c r="Q37" s="1934">
        <f>+'6. mell (Bontás)'!Q36+'8. mell. Intézmények összesen'!M9</f>
        <v>1250000</v>
      </c>
      <c r="R37" s="1934">
        <f>+'6. mell (Bontás)'!R36+'8. mell. Intézmények összesen'!N9</f>
        <v>2674430</v>
      </c>
      <c r="S37" s="1934">
        <f>+'6. mell (Bontás)'!S36+'8. mell. Intézmények összesen'!O9</f>
        <v>2647413</v>
      </c>
      <c r="T37" s="1934">
        <f>+'6. mell (Bontás)'!T36+'8. mell. Intézmények összesen'!P9</f>
        <v>2647413</v>
      </c>
      <c r="U37" s="1934">
        <f>+'6. mell (Bontás)'!U36+'8. mell. Intézmények összesen'!Q9</f>
        <v>2647413</v>
      </c>
      <c r="V37" s="2482">
        <f>+'6. mell (Bontás)'!V36</f>
        <v>0</v>
      </c>
      <c r="W37" s="1934">
        <f>+'6. mell (Bontás)'!W36</f>
        <v>0</v>
      </c>
      <c r="X37" s="1934">
        <f>+'6. mell (Bontás)'!X36</f>
        <v>0</v>
      </c>
      <c r="Y37" s="1934">
        <f>+'6. mell (Bontás)'!Y36</f>
        <v>0</v>
      </c>
      <c r="Z37" s="1934">
        <f>+'6. mell (Bontás)'!Z36</f>
        <v>0</v>
      </c>
      <c r="AA37" s="1934">
        <f>+'6. mell (Bontás)'!AA36</f>
        <v>0</v>
      </c>
      <c r="AB37" s="2495">
        <f t="shared" ref="AB37:AB47" si="35">+J37+P37+V37</f>
        <v>1250000</v>
      </c>
      <c r="AC37" s="2495">
        <f t="shared" ref="AC37:AC47" si="36">+K37+Q37+W37</f>
        <v>1250000</v>
      </c>
      <c r="AD37" s="2495">
        <f t="shared" ref="AD37:AD47" si="37">+L37+R37+X37</f>
        <v>2674430</v>
      </c>
      <c r="AE37" s="2495">
        <f t="shared" ref="AE37:AE47" si="38">+M37+S37+Y37</f>
        <v>2655701</v>
      </c>
      <c r="AF37" s="2495">
        <f t="shared" ref="AF37:AF47" si="39">+N37+T37+Z37</f>
        <v>2655701</v>
      </c>
      <c r="AG37" s="2495">
        <f t="shared" ref="AG37:AG47" si="40">+O37+U37+AA37</f>
        <v>2655701</v>
      </c>
      <c r="AH37" s="999">
        <f t="shared" si="1"/>
        <v>0</v>
      </c>
      <c r="AI37" s="999">
        <f t="shared" si="2"/>
        <v>0</v>
      </c>
      <c r="AJ37" s="999">
        <f t="shared" si="3"/>
        <v>0</v>
      </c>
      <c r="AK37" s="999">
        <f t="shared" si="4"/>
        <v>0</v>
      </c>
      <c r="AL37" s="999">
        <f t="shared" si="5"/>
        <v>0</v>
      </c>
      <c r="AM37" s="79">
        <f t="shared" si="6"/>
        <v>0</v>
      </c>
    </row>
    <row r="38" spans="1:39" s="75" customFormat="1">
      <c r="A38" s="1931" t="s">
        <v>227</v>
      </c>
      <c r="B38" s="1932" t="s">
        <v>228</v>
      </c>
      <c r="C38" s="1933">
        <f>+'5. mell.Önk-i mérleg'!C37+'8. mell. Intézmények összesen'!D10</f>
        <v>389425341</v>
      </c>
      <c r="D38" s="1933">
        <f>+'5. mell.Önk-i mérleg'!E37+'8. mell. Intézmények összesen'!F10</f>
        <v>520507331</v>
      </c>
      <c r="E38" s="1933">
        <f>+'5. mell.Önk-i mérleg'!F37+'8. mell. Intézmények összesen'!G10</f>
        <v>496507331</v>
      </c>
      <c r="F38" s="1933">
        <f>+'5. mell.Önk-i mérleg'!G37+'8. mell. Intézmények összesen'!H10</f>
        <v>496507331</v>
      </c>
      <c r="G38" s="1933">
        <f>+'5. mell.Önk-i mérleg'!H37+'8. mell. Intézmények összesen'!I10</f>
        <v>461903079</v>
      </c>
      <c r="H38" s="1933">
        <f>+'5. mell.Önk-i mérleg'!I37+'8. mell. Intézmények összesen'!J10</f>
        <v>461903079</v>
      </c>
      <c r="I38" s="1933">
        <f>+'5. mell.Önk-i mérleg'!J37+'8. mell. Intézmények összesen'!K10</f>
        <v>461903079</v>
      </c>
      <c r="J38" s="1934">
        <f>+'6. mell (Bontás)'!J37+'8. mell. Intézmények összesen'!R10</f>
        <v>419778038</v>
      </c>
      <c r="K38" s="1934">
        <f>+'6. mell (Bontás)'!K37+'8. mell. Intézmények összesen'!S10</f>
        <v>419778038</v>
      </c>
      <c r="L38" s="1934">
        <f>+'6. mell (Bontás)'!L37+'8. mell. Intézmények összesen'!T10</f>
        <v>419778038</v>
      </c>
      <c r="M38" s="1934">
        <f>+'6. mell (Bontás)'!M37+'8. mell. Intézmények összesen'!U10</f>
        <v>429624075</v>
      </c>
      <c r="N38" s="1934">
        <f>+'6. mell (Bontás)'!N37+'8. mell. Intézmények összesen'!V10</f>
        <v>429624075</v>
      </c>
      <c r="O38" s="1934">
        <f>+'6. mell (Bontás)'!O37+'8. mell. Intézmények összesen'!W10</f>
        <v>429624075</v>
      </c>
      <c r="P38" s="1934">
        <f>+'6. mell (Bontás)'!P37+'8. mell. Intézmények összesen'!L10</f>
        <v>100729293</v>
      </c>
      <c r="Q38" s="1934">
        <f>+'6. mell (Bontás)'!Q37+'8. mell. Intézmények összesen'!M10</f>
        <v>76729293</v>
      </c>
      <c r="R38" s="1934">
        <f>+'6. mell (Bontás)'!R37+'8. mell. Intézmények összesen'!N10</f>
        <v>76729293</v>
      </c>
      <c r="S38" s="1934">
        <f>+'6. mell (Bontás)'!S37+'8. mell. Intézmények összesen'!O10</f>
        <v>32279004</v>
      </c>
      <c r="T38" s="1934">
        <f>+'6. mell (Bontás)'!T37+'8. mell. Intézmények összesen'!P10</f>
        <v>32279004</v>
      </c>
      <c r="U38" s="1934">
        <f>+'6. mell (Bontás)'!U37+'8. mell. Intézmények összesen'!Q10</f>
        <v>32279004</v>
      </c>
      <c r="V38" s="2482">
        <f>+'6. mell (Bontás)'!V37</f>
        <v>0</v>
      </c>
      <c r="W38" s="1934">
        <f>+'6. mell (Bontás)'!W37</f>
        <v>0</v>
      </c>
      <c r="X38" s="1934">
        <f>+'6. mell (Bontás)'!X37</f>
        <v>0</v>
      </c>
      <c r="Y38" s="1934">
        <f>+'6. mell (Bontás)'!Y37</f>
        <v>0</v>
      </c>
      <c r="Z38" s="1934">
        <f>+'6. mell (Bontás)'!Z37</f>
        <v>0</v>
      </c>
      <c r="AA38" s="1934">
        <f>+'6. mell (Bontás)'!AA37</f>
        <v>0</v>
      </c>
      <c r="AB38" s="2495">
        <f t="shared" si="35"/>
        <v>520507331</v>
      </c>
      <c r="AC38" s="2495">
        <f t="shared" si="36"/>
        <v>496507331</v>
      </c>
      <c r="AD38" s="2495">
        <f t="shared" si="37"/>
        <v>496507331</v>
      </c>
      <c r="AE38" s="2495">
        <f t="shared" si="38"/>
        <v>461903079</v>
      </c>
      <c r="AF38" s="2495">
        <f t="shared" si="39"/>
        <v>461903079</v>
      </c>
      <c r="AG38" s="2495">
        <f t="shared" si="40"/>
        <v>461903079</v>
      </c>
      <c r="AH38" s="999">
        <f t="shared" si="1"/>
        <v>0</v>
      </c>
      <c r="AI38" s="999">
        <f t="shared" si="2"/>
        <v>0</v>
      </c>
      <c r="AJ38" s="999">
        <f t="shared" si="3"/>
        <v>0</v>
      </c>
      <c r="AK38" s="999">
        <f t="shared" si="4"/>
        <v>0</v>
      </c>
      <c r="AL38" s="999">
        <f t="shared" si="5"/>
        <v>0</v>
      </c>
      <c r="AM38" s="79">
        <f t="shared" si="6"/>
        <v>0</v>
      </c>
    </row>
    <row r="39" spans="1:39" s="75" customFormat="1">
      <c r="A39" s="1931" t="s">
        <v>229</v>
      </c>
      <c r="B39" s="1932" t="s">
        <v>460</v>
      </c>
      <c r="C39" s="1933">
        <f>+'5. mell.Önk-i mérleg'!C38+'8. mell. Intézmények összesen'!D11</f>
        <v>121881385</v>
      </c>
      <c r="D39" s="1933">
        <f>+'5. mell.Önk-i mérleg'!E38+'8. mell. Intézmények összesen'!F11</f>
        <v>124619785</v>
      </c>
      <c r="E39" s="1933">
        <f>+'5. mell.Önk-i mérleg'!F38+'8. mell. Intézmények összesen'!G11</f>
        <v>144619785</v>
      </c>
      <c r="F39" s="1933">
        <f>+'5. mell.Önk-i mérleg'!G38+'8. mell. Intézmények összesen'!H11</f>
        <v>163170502</v>
      </c>
      <c r="G39" s="1933">
        <f>+'5. mell.Önk-i mérleg'!H38+'8. mell. Intézmények összesen'!I11</f>
        <v>130602799</v>
      </c>
      <c r="H39" s="1933">
        <f>+'5. mell.Önk-i mérleg'!I38+'8. mell. Intézmények összesen'!J11</f>
        <v>130602799</v>
      </c>
      <c r="I39" s="1933">
        <f>+'5. mell.Önk-i mérleg'!J38+'8. mell. Intézmények összesen'!K11</f>
        <v>130602799</v>
      </c>
      <c r="J39" s="1934">
        <f>+'6. mell (Bontás)'!J38+'8. mell. Intézmények összesen'!R11</f>
        <v>124619785</v>
      </c>
      <c r="K39" s="1934">
        <f>+'6. mell (Bontás)'!K38+'8. mell. Intézmények összesen'!S11</f>
        <v>144619785</v>
      </c>
      <c r="L39" s="1934">
        <f>+'6. mell (Bontás)'!L38+'8. mell. Intézmények összesen'!T11</f>
        <v>163170502</v>
      </c>
      <c r="M39" s="1934">
        <f>+'6. mell (Bontás)'!M38+'8. mell. Intézmények összesen'!U11</f>
        <v>129558750</v>
      </c>
      <c r="N39" s="1934">
        <f>+'6. mell (Bontás)'!N38+'8. mell. Intézmények összesen'!V11</f>
        <v>129558750</v>
      </c>
      <c r="O39" s="1934">
        <f>+'6. mell (Bontás)'!O38+'8. mell. Intézmények összesen'!W11</f>
        <v>129558750</v>
      </c>
      <c r="P39" s="1934">
        <f>+'6. mell (Bontás)'!P38</f>
        <v>0</v>
      </c>
      <c r="Q39" s="1934">
        <f>+'6. mell (Bontás)'!Q38</f>
        <v>0</v>
      </c>
      <c r="R39" s="1934">
        <f>+'6. mell (Bontás)'!R38+'8. mell. Intézmények összesen'!N11</f>
        <v>0</v>
      </c>
      <c r="S39" s="1934">
        <f>+'6. mell (Bontás)'!S38+'8. mell. Intézmények összesen'!O11</f>
        <v>1044049</v>
      </c>
      <c r="T39" s="1934">
        <f>+'6. mell (Bontás)'!T38+'8. mell. Intézmények összesen'!P11</f>
        <v>1044049</v>
      </c>
      <c r="U39" s="1934">
        <f>+'6. mell (Bontás)'!U38+'8. mell. Intézmények összesen'!Q11</f>
        <v>1044049</v>
      </c>
      <c r="V39" s="2482">
        <f>+'6. mell (Bontás)'!V38</f>
        <v>0</v>
      </c>
      <c r="W39" s="1934">
        <f>+'6. mell (Bontás)'!W38</f>
        <v>0</v>
      </c>
      <c r="X39" s="1934">
        <f>+'6. mell (Bontás)'!X38</f>
        <v>0</v>
      </c>
      <c r="Y39" s="1934">
        <f>+'6. mell (Bontás)'!Y38</f>
        <v>0</v>
      </c>
      <c r="Z39" s="1934">
        <f>+'6. mell (Bontás)'!Z38</f>
        <v>0</v>
      </c>
      <c r="AA39" s="1934">
        <f>+'6. mell (Bontás)'!AA38</f>
        <v>0</v>
      </c>
      <c r="AB39" s="2495">
        <f t="shared" si="35"/>
        <v>124619785</v>
      </c>
      <c r="AC39" s="2495">
        <f t="shared" si="36"/>
        <v>144619785</v>
      </c>
      <c r="AD39" s="2495">
        <f t="shared" si="37"/>
        <v>163170502</v>
      </c>
      <c r="AE39" s="2495">
        <f t="shared" si="38"/>
        <v>130602799</v>
      </c>
      <c r="AF39" s="2495">
        <f t="shared" si="39"/>
        <v>130602799</v>
      </c>
      <c r="AG39" s="2495">
        <f t="shared" si="40"/>
        <v>130602799</v>
      </c>
      <c r="AH39" s="999">
        <f t="shared" si="1"/>
        <v>0</v>
      </c>
      <c r="AI39" s="999">
        <f t="shared" si="2"/>
        <v>0</v>
      </c>
      <c r="AJ39" s="999">
        <f t="shared" si="3"/>
        <v>0</v>
      </c>
      <c r="AK39" s="999">
        <f t="shared" si="4"/>
        <v>0</v>
      </c>
      <c r="AL39" s="999">
        <f t="shared" si="5"/>
        <v>0</v>
      </c>
      <c r="AM39" s="79">
        <f t="shared" si="6"/>
        <v>0</v>
      </c>
    </row>
    <row r="40" spans="1:39" s="75" customFormat="1">
      <c r="A40" s="1931" t="s">
        <v>231</v>
      </c>
      <c r="B40" s="1932" t="s">
        <v>232</v>
      </c>
      <c r="C40" s="1933">
        <f>+'5. mell.Önk-i mérleg'!C39+'8. mell. Intézmények összesen'!D12</f>
        <v>434866329</v>
      </c>
      <c r="D40" s="1933">
        <f>+'5. mell.Önk-i mérleg'!E39+'8. mell. Intézmények összesen'!F12</f>
        <v>528164717</v>
      </c>
      <c r="E40" s="1933">
        <f>+'5. mell.Önk-i mérleg'!F39+'8. mell. Intézmények összesen'!G12</f>
        <v>528164717</v>
      </c>
      <c r="F40" s="1933">
        <f>+'5. mell.Önk-i mérleg'!G39+'8. mell. Intézmények összesen'!H12</f>
        <v>528164717</v>
      </c>
      <c r="G40" s="1933">
        <f>+'5. mell.Önk-i mérleg'!H39+'8. mell. Intézmények összesen'!I12</f>
        <v>373548012</v>
      </c>
      <c r="H40" s="1933">
        <f>+'5. mell.Önk-i mérleg'!I39+'8. mell. Intézmények összesen'!J12</f>
        <v>373548012</v>
      </c>
      <c r="I40" s="1933">
        <f>+'5. mell.Önk-i mérleg'!J39+'8. mell. Intézmények összesen'!K12</f>
        <v>373548012</v>
      </c>
      <c r="J40" s="1934">
        <f>+'6. mell (Bontás)'!J39+'8. mell. Intézmények összesen'!R12</f>
        <v>528164717</v>
      </c>
      <c r="K40" s="1934">
        <f>+'6. mell (Bontás)'!K39+'8. mell. Intézmények összesen'!S12</f>
        <v>528164717</v>
      </c>
      <c r="L40" s="1934">
        <f>+'6. mell (Bontás)'!L39+'8. mell. Intézmények összesen'!T12</f>
        <v>528164717</v>
      </c>
      <c r="M40" s="1934">
        <f>+'6. mell (Bontás)'!M39+'8. mell. Intézmények összesen'!U12</f>
        <v>373548012</v>
      </c>
      <c r="N40" s="1934">
        <f>+'6. mell (Bontás)'!N39+'8. mell. Intézmények összesen'!V12</f>
        <v>373548012</v>
      </c>
      <c r="O40" s="1934">
        <f>+'6. mell (Bontás)'!O39+'8. mell. Intézmények összesen'!W12</f>
        <v>373548012</v>
      </c>
      <c r="P40" s="1934">
        <f>+'6. mell (Bontás)'!P39</f>
        <v>0</v>
      </c>
      <c r="Q40" s="1934">
        <f>+'6. mell (Bontás)'!Q39</f>
        <v>0</v>
      </c>
      <c r="R40" s="1934">
        <f>+'6. mell (Bontás)'!R39</f>
        <v>0</v>
      </c>
      <c r="S40" s="1934">
        <f>+'6. mell (Bontás)'!S39</f>
        <v>0</v>
      </c>
      <c r="T40" s="1934">
        <f>+'6. mell (Bontás)'!T39</f>
        <v>0</v>
      </c>
      <c r="U40" s="1934">
        <f>+'6. mell (Bontás)'!U39</f>
        <v>0</v>
      </c>
      <c r="V40" s="2482">
        <f>+'6. mell (Bontás)'!V39</f>
        <v>0</v>
      </c>
      <c r="W40" s="1934">
        <f>+'6. mell (Bontás)'!W39</f>
        <v>0</v>
      </c>
      <c r="X40" s="1934">
        <f>+'6. mell (Bontás)'!X39</f>
        <v>0</v>
      </c>
      <c r="Y40" s="1934">
        <f>+'6. mell (Bontás)'!Y39</f>
        <v>0</v>
      </c>
      <c r="Z40" s="1934">
        <f>+'6. mell (Bontás)'!Z39</f>
        <v>0</v>
      </c>
      <c r="AA40" s="1934">
        <f>+'6. mell (Bontás)'!AA39</f>
        <v>0</v>
      </c>
      <c r="AB40" s="2495">
        <f t="shared" si="35"/>
        <v>528164717</v>
      </c>
      <c r="AC40" s="2495">
        <f t="shared" si="36"/>
        <v>528164717</v>
      </c>
      <c r="AD40" s="2495">
        <f t="shared" si="37"/>
        <v>528164717</v>
      </c>
      <c r="AE40" s="2495">
        <f t="shared" si="38"/>
        <v>373548012</v>
      </c>
      <c r="AF40" s="2495">
        <f t="shared" si="39"/>
        <v>373548012</v>
      </c>
      <c r="AG40" s="2495">
        <f t="shared" si="40"/>
        <v>373548012</v>
      </c>
      <c r="AH40" s="999">
        <f t="shared" si="1"/>
        <v>0</v>
      </c>
      <c r="AI40" s="999">
        <f t="shared" si="2"/>
        <v>0</v>
      </c>
      <c r="AJ40" s="999">
        <f t="shared" si="3"/>
        <v>0</v>
      </c>
      <c r="AK40" s="999">
        <f t="shared" si="4"/>
        <v>0</v>
      </c>
      <c r="AL40" s="999">
        <f t="shared" si="5"/>
        <v>0</v>
      </c>
      <c r="AM40" s="79">
        <f t="shared" si="6"/>
        <v>0</v>
      </c>
    </row>
    <row r="41" spans="1:39" s="75" customFormat="1">
      <c r="A41" s="1931" t="s">
        <v>233</v>
      </c>
      <c r="B41" s="1932" t="s">
        <v>234</v>
      </c>
      <c r="C41" s="1933">
        <f>+'5. mell.Önk-i mérleg'!C40+'8. mell. Intézmények összesen'!D13</f>
        <v>591995348</v>
      </c>
      <c r="D41" s="1933">
        <f>+'5. mell.Önk-i mérleg'!E40+'8. mell. Intézmények összesen'!F13</f>
        <v>1019155664</v>
      </c>
      <c r="E41" s="1933">
        <f>+'5. mell.Önk-i mérleg'!F40+'8. mell. Intézmények összesen'!G13</f>
        <v>1019155664</v>
      </c>
      <c r="F41" s="1933">
        <f>+'5. mell.Önk-i mérleg'!G40+'8. mell. Intézmények összesen'!H13</f>
        <v>949155664</v>
      </c>
      <c r="G41" s="1933">
        <f>+'5. mell.Önk-i mérleg'!H40+'8. mell. Intézmények összesen'!I13</f>
        <v>842125343</v>
      </c>
      <c r="H41" s="1933">
        <f>+'5. mell.Önk-i mérleg'!I40+'8. mell. Intézmények összesen'!J13</f>
        <v>842125343</v>
      </c>
      <c r="I41" s="1933">
        <f>+'5. mell.Önk-i mérleg'!J40+'8. mell. Intézmények összesen'!K13</f>
        <v>842125344</v>
      </c>
      <c r="J41" s="1934">
        <f>+'6. mell (Bontás)'!J40+'8. mell. Intézmények összesen'!R13</f>
        <v>674688168</v>
      </c>
      <c r="K41" s="1934">
        <f>+'6. mell (Bontás)'!K40+'8. mell. Intézmények összesen'!S13</f>
        <v>674688168</v>
      </c>
      <c r="L41" s="1934">
        <f>+'6. mell (Bontás)'!L40+'8. mell. Intézmények összesen'!T13</f>
        <v>674688168</v>
      </c>
      <c r="M41" s="1934">
        <f>+'6. mell (Bontás)'!M40+'8. mell. Intézmények összesen'!U13</f>
        <v>701204043</v>
      </c>
      <c r="N41" s="1934">
        <f>+'6. mell (Bontás)'!N40+'8. mell. Intézmények összesen'!V13</f>
        <v>701204043</v>
      </c>
      <c r="O41" s="1934">
        <f>+'6. mell (Bontás)'!O40+'8. mell. Intézmények összesen'!W13</f>
        <v>701204044</v>
      </c>
      <c r="P41" s="1934">
        <f>+'6. mell (Bontás)'!P40+'8. mell. Intézmények összesen'!L13</f>
        <v>344467496</v>
      </c>
      <c r="Q41" s="1934">
        <f>+'6. mell (Bontás)'!Q40+'8. mell. Intézmények összesen'!M13</f>
        <v>344467496</v>
      </c>
      <c r="R41" s="1934">
        <f>+'6. mell (Bontás)'!R40+'8. mell. Intézmények összesen'!N13</f>
        <v>274467496</v>
      </c>
      <c r="S41" s="1934">
        <f>+'6. mell (Bontás)'!S40+'8. mell. Intézmények összesen'!O13</f>
        <v>140921300</v>
      </c>
      <c r="T41" s="1934">
        <f>+'6. mell (Bontás)'!T40+'8. mell. Intézmények összesen'!P13</f>
        <v>140921300</v>
      </c>
      <c r="U41" s="1934">
        <f>+'6. mell (Bontás)'!U40+'8. mell. Intézmények összesen'!Q13</f>
        <v>140921300</v>
      </c>
      <c r="V41" s="2482">
        <f>+'6. mell (Bontás)'!V40</f>
        <v>0</v>
      </c>
      <c r="W41" s="1934">
        <f>+'6. mell (Bontás)'!W40</f>
        <v>0</v>
      </c>
      <c r="X41" s="1934">
        <f>+'6. mell (Bontás)'!X40</f>
        <v>0</v>
      </c>
      <c r="Y41" s="1934">
        <f>+'6. mell (Bontás)'!Y40</f>
        <v>0</v>
      </c>
      <c r="Z41" s="1934">
        <f>+'6. mell (Bontás)'!Z40</f>
        <v>0</v>
      </c>
      <c r="AA41" s="1934">
        <f>+'6. mell (Bontás)'!AA40</f>
        <v>0</v>
      </c>
      <c r="AB41" s="2495">
        <f t="shared" si="35"/>
        <v>1019155664</v>
      </c>
      <c r="AC41" s="2495">
        <f t="shared" si="36"/>
        <v>1019155664</v>
      </c>
      <c r="AD41" s="2495">
        <f t="shared" si="37"/>
        <v>949155664</v>
      </c>
      <c r="AE41" s="2495">
        <f t="shared" si="38"/>
        <v>842125343</v>
      </c>
      <c r="AF41" s="2495">
        <f t="shared" si="39"/>
        <v>842125343</v>
      </c>
      <c r="AG41" s="2495">
        <f t="shared" si="40"/>
        <v>842125344</v>
      </c>
      <c r="AH41" s="999">
        <f t="shared" si="1"/>
        <v>0</v>
      </c>
      <c r="AI41" s="999">
        <f t="shared" si="2"/>
        <v>0</v>
      </c>
      <c r="AJ41" s="999">
        <f t="shared" si="3"/>
        <v>0</v>
      </c>
      <c r="AK41" s="999">
        <f t="shared" si="4"/>
        <v>0</v>
      </c>
      <c r="AL41" s="999">
        <f t="shared" si="5"/>
        <v>0</v>
      </c>
      <c r="AM41" s="79">
        <f t="shared" si="6"/>
        <v>0</v>
      </c>
    </row>
    <row r="42" spans="1:39" s="75" customFormat="1">
      <c r="A42" s="1931" t="s">
        <v>235</v>
      </c>
      <c r="B42" s="1932" t="s">
        <v>236</v>
      </c>
      <c r="C42" s="1933">
        <f>+'5. mell.Önk-i mérleg'!C41+'8. mell. Intézmények összesen'!D14</f>
        <v>239009887</v>
      </c>
      <c r="D42" s="1933">
        <f>+'5. mell.Önk-i mérleg'!E41+'8. mell. Intézmények összesen'!F14</f>
        <v>285265556.26968002</v>
      </c>
      <c r="E42" s="1933">
        <f>+'5. mell.Önk-i mérleg'!F41+'8. mell. Intézmények összesen'!G14</f>
        <v>285265556.26968002</v>
      </c>
      <c r="F42" s="1933">
        <f>+'5. mell.Önk-i mérleg'!G41+'8. mell. Intézmények összesen'!H14</f>
        <v>285265556.26968002</v>
      </c>
      <c r="G42" s="1933">
        <f>+'5. mell.Önk-i mérleg'!H41+'8. mell. Intézmények összesen'!I14</f>
        <v>352898631.26968002</v>
      </c>
      <c r="H42" s="1933">
        <f>+'5. mell.Önk-i mérleg'!I41+'8. mell. Intézmények összesen'!J14</f>
        <v>352898631.26968002</v>
      </c>
      <c r="I42" s="1933">
        <f>+'5. mell.Önk-i mérleg'!J41+'8. mell. Intézmények összesen'!K14</f>
        <v>352898631</v>
      </c>
      <c r="J42" s="1934">
        <f>+'6. mell (Bontás)'!J41+'8. mell. Intézmények összesen'!R14</f>
        <v>270967569.26968002</v>
      </c>
      <c r="K42" s="1934">
        <f>+'6. mell (Bontás)'!K41+'8. mell. Intézmények összesen'!S14</f>
        <v>270967569.26968002</v>
      </c>
      <c r="L42" s="1934">
        <f>+'6. mell (Bontás)'!L41+'8. mell. Intézmények összesen'!T14</f>
        <v>270967569.26968002</v>
      </c>
      <c r="M42" s="1934">
        <f>+'6. mell (Bontás)'!M41+'8. mell. Intézmények összesen'!U14</f>
        <v>352405970.26968002</v>
      </c>
      <c r="N42" s="1934">
        <f>+'6. mell (Bontás)'!N41+'8. mell. Intézmények összesen'!V14</f>
        <v>352405970.26968002</v>
      </c>
      <c r="O42" s="1934">
        <f>+'6. mell (Bontás)'!O41+'8. mell. Intézmények összesen'!W14</f>
        <v>352405970</v>
      </c>
      <c r="P42" s="1934">
        <f>+'6. mell (Bontás)'!P41+'8. mell. Intézmények összesen'!L14</f>
        <v>14297987</v>
      </c>
      <c r="Q42" s="1934">
        <f>+'6. mell (Bontás)'!Q41+'8. mell. Intézmények összesen'!M14</f>
        <v>14297987</v>
      </c>
      <c r="R42" s="1934">
        <f>+'6. mell (Bontás)'!R41+'8. mell. Intézmények összesen'!N14</f>
        <v>14297987</v>
      </c>
      <c r="S42" s="1934">
        <f>+'6. mell (Bontás)'!S41+'8. mell. Intézmények összesen'!O14</f>
        <v>492661</v>
      </c>
      <c r="T42" s="1934">
        <f>+'6. mell (Bontás)'!T41+'8. mell. Intézmények összesen'!P14</f>
        <v>492661</v>
      </c>
      <c r="U42" s="1934">
        <f>+'6. mell (Bontás)'!U41+'8. mell. Intézmények összesen'!Q14</f>
        <v>492661</v>
      </c>
      <c r="V42" s="2482">
        <f>+'6. mell (Bontás)'!V41</f>
        <v>0</v>
      </c>
      <c r="W42" s="1934">
        <f>+'6. mell (Bontás)'!W41</f>
        <v>0</v>
      </c>
      <c r="X42" s="1934">
        <f>+'6. mell (Bontás)'!X41</f>
        <v>0</v>
      </c>
      <c r="Y42" s="1934">
        <f>+'6. mell (Bontás)'!Y41</f>
        <v>0</v>
      </c>
      <c r="Z42" s="1934">
        <f>+'6. mell (Bontás)'!Z41</f>
        <v>0</v>
      </c>
      <c r="AA42" s="1934">
        <f>+'6. mell (Bontás)'!AA41</f>
        <v>0</v>
      </c>
      <c r="AB42" s="2495">
        <f t="shared" si="35"/>
        <v>285265556.26968002</v>
      </c>
      <c r="AC42" s="2495">
        <f t="shared" si="36"/>
        <v>285265556.26968002</v>
      </c>
      <c r="AD42" s="2495">
        <f t="shared" si="37"/>
        <v>285265556.26968002</v>
      </c>
      <c r="AE42" s="2495">
        <f t="shared" si="38"/>
        <v>352898631.26968002</v>
      </c>
      <c r="AF42" s="2495">
        <f t="shared" si="39"/>
        <v>352898631.26968002</v>
      </c>
      <c r="AG42" s="2495">
        <f t="shared" si="40"/>
        <v>352898631</v>
      </c>
      <c r="AH42" s="999">
        <f t="shared" si="1"/>
        <v>0</v>
      </c>
      <c r="AI42" s="999">
        <f t="shared" si="2"/>
        <v>0</v>
      </c>
      <c r="AJ42" s="999">
        <f t="shared" si="3"/>
        <v>0</v>
      </c>
      <c r="AK42" s="999">
        <f t="shared" si="4"/>
        <v>0</v>
      </c>
      <c r="AL42" s="999">
        <f t="shared" si="5"/>
        <v>0</v>
      </c>
      <c r="AM42" s="79">
        <f t="shared" si="6"/>
        <v>0</v>
      </c>
    </row>
    <row r="43" spans="1:39" s="75" customFormat="1">
      <c r="A43" s="1931" t="s">
        <v>237</v>
      </c>
      <c r="B43" s="1932" t="s">
        <v>238</v>
      </c>
      <c r="C43" s="1933">
        <f>+'5. mell.Önk-i mérleg'!C42+'8. mell. Intézmények összesen'!D15</f>
        <v>7720000</v>
      </c>
      <c r="D43" s="1933">
        <f>+'5. mell.Önk-i mérleg'!E42+'8. mell. Intézmények összesen'!F15</f>
        <v>5336000</v>
      </c>
      <c r="E43" s="1933">
        <f>+'5. mell.Önk-i mérleg'!F42+'8. mell. Intézmények összesen'!G15</f>
        <v>71763102</v>
      </c>
      <c r="F43" s="1933">
        <f>+'5. mell.Önk-i mérleg'!G42+'8. mell. Intézmények összesen'!H15</f>
        <v>183625206</v>
      </c>
      <c r="G43" s="1933">
        <f>+'5. mell.Önk-i mérleg'!H42+'8. mell. Intézmények összesen'!I15</f>
        <v>457139767</v>
      </c>
      <c r="H43" s="1933">
        <f>+'5. mell.Önk-i mérleg'!I42+'8. mell. Intézmények összesen'!J15</f>
        <v>457139767</v>
      </c>
      <c r="I43" s="1933">
        <f>+'5. mell.Önk-i mérleg'!J42+'8. mell. Intézmények összesen'!K15</f>
        <v>457139767</v>
      </c>
      <c r="J43" s="1934">
        <f>+'6. mell (Bontás)'!J42+'8. mell. Intézmények összesen'!R15</f>
        <v>5336000</v>
      </c>
      <c r="K43" s="1934">
        <f>+'6. mell (Bontás)'!K42+'8. mell. Intézmények összesen'!S15</f>
        <v>71435494</v>
      </c>
      <c r="L43" s="1934">
        <f>+'6. mell (Bontás)'!L42+'8. mell. Intézmények összesen'!T15</f>
        <v>183213101</v>
      </c>
      <c r="M43" s="1934">
        <f>+'6. mell (Bontás)'!M42+'8. mell. Intézmények összesen'!U15</f>
        <v>456858773</v>
      </c>
      <c r="N43" s="1934">
        <f>+'6. mell (Bontás)'!N42+'8. mell. Intézmények összesen'!V15</f>
        <v>456858773</v>
      </c>
      <c r="O43" s="1934">
        <f>+'6. mell (Bontás)'!O42+'8. mell. Intézmények összesen'!W15</f>
        <v>456858773</v>
      </c>
      <c r="P43" s="1934">
        <f>+'6. mell (Bontás)'!P42+'8. mell. Intézmények összesen'!L15</f>
        <v>0</v>
      </c>
      <c r="Q43" s="1934">
        <f>+'6. mell (Bontás)'!Q42+'8. mell. Intézmények összesen'!M15</f>
        <v>327608</v>
      </c>
      <c r="R43" s="1934">
        <f>+'6. mell (Bontás)'!R42+'8. mell. Intézmények összesen'!N15</f>
        <v>412105</v>
      </c>
      <c r="S43" s="1934">
        <f>+'6. mell (Bontás)'!S42+'8. mell. Intézmények összesen'!O15</f>
        <v>280994</v>
      </c>
      <c r="T43" s="1934">
        <f>+'6. mell (Bontás)'!T42+'8. mell. Intézmények összesen'!P15</f>
        <v>280994</v>
      </c>
      <c r="U43" s="1934">
        <f>+'6. mell (Bontás)'!U42+'8. mell. Intézmények összesen'!Q15</f>
        <v>280994</v>
      </c>
      <c r="V43" s="2482">
        <f>+'6. mell (Bontás)'!V42</f>
        <v>0</v>
      </c>
      <c r="W43" s="1934">
        <f>+'6. mell (Bontás)'!W42</f>
        <v>0</v>
      </c>
      <c r="X43" s="1934">
        <f>+'6. mell (Bontás)'!X42</f>
        <v>0</v>
      </c>
      <c r="Y43" s="1934">
        <f>+'6. mell (Bontás)'!Y42</f>
        <v>0</v>
      </c>
      <c r="Z43" s="1934">
        <f>+'6. mell (Bontás)'!Z42</f>
        <v>0</v>
      </c>
      <c r="AA43" s="1934">
        <f>+'6. mell (Bontás)'!AA42</f>
        <v>0</v>
      </c>
      <c r="AB43" s="2495">
        <f t="shared" si="35"/>
        <v>5336000</v>
      </c>
      <c r="AC43" s="2495">
        <f t="shared" si="36"/>
        <v>71763102</v>
      </c>
      <c r="AD43" s="2495">
        <f t="shared" si="37"/>
        <v>183625206</v>
      </c>
      <c r="AE43" s="2495">
        <f t="shared" si="38"/>
        <v>457139767</v>
      </c>
      <c r="AF43" s="2495">
        <f t="shared" si="39"/>
        <v>457139767</v>
      </c>
      <c r="AG43" s="2495">
        <f t="shared" si="40"/>
        <v>457139767</v>
      </c>
      <c r="AH43" s="999">
        <f t="shared" si="1"/>
        <v>0</v>
      </c>
      <c r="AI43" s="999">
        <f t="shared" si="2"/>
        <v>0</v>
      </c>
      <c r="AJ43" s="999">
        <f t="shared" si="3"/>
        <v>0</v>
      </c>
      <c r="AK43" s="999">
        <f t="shared" si="4"/>
        <v>0</v>
      </c>
      <c r="AL43" s="999">
        <f t="shared" si="5"/>
        <v>0</v>
      </c>
      <c r="AM43" s="79">
        <f t="shared" si="6"/>
        <v>0</v>
      </c>
    </row>
    <row r="44" spans="1:39" s="75" customFormat="1">
      <c r="A44" s="1931" t="s">
        <v>239</v>
      </c>
      <c r="B44" s="1932" t="s">
        <v>240</v>
      </c>
      <c r="C44" s="1933">
        <f>+'5. mell.Önk-i mérleg'!C43+'8. mell. Intézmények összesen'!D16</f>
        <v>549502581</v>
      </c>
      <c r="D44" s="1933">
        <f>+'5. mell.Önk-i mérleg'!E43+'8. mell. Intézmények összesen'!F16</f>
        <v>226523986</v>
      </c>
      <c r="E44" s="1933">
        <f>+'5. mell.Önk-i mérleg'!F43+'8. mell. Intézmények összesen'!G16</f>
        <v>226523986</v>
      </c>
      <c r="F44" s="1933">
        <f>+'5. mell.Önk-i mérleg'!G43+'8. mell. Intézmények összesen'!H16</f>
        <v>226523986</v>
      </c>
      <c r="G44" s="1933">
        <f>+'5. mell.Önk-i mérleg'!H43+'8. mell. Intézmények összesen'!I16</f>
        <v>222346980</v>
      </c>
      <c r="H44" s="1933">
        <f>+'5. mell.Önk-i mérleg'!I43+'8. mell. Intézmények összesen'!J16</f>
        <v>222346980</v>
      </c>
      <c r="I44" s="1933">
        <f>+'5. mell.Önk-i mérleg'!J43+'8. mell. Intézmények összesen'!K16</f>
        <v>222346979</v>
      </c>
      <c r="J44" s="1934">
        <f>+'6. mell (Bontás)'!J43+'8. mell. Intézmények összesen'!R16</f>
        <v>34141102</v>
      </c>
      <c r="K44" s="1934">
        <f>+'6. mell (Bontás)'!K43+'8. mell. Intézmények összesen'!S16</f>
        <v>34141102</v>
      </c>
      <c r="L44" s="1934">
        <f>+'6. mell (Bontás)'!L43+'8. mell. Intézmények összesen'!T16</f>
        <v>34141102</v>
      </c>
      <c r="M44" s="1934">
        <f>+'6. mell (Bontás)'!M43+'8. mell. Intézmények összesen'!U16</f>
        <v>25996499</v>
      </c>
      <c r="N44" s="1934">
        <f>+'6. mell (Bontás)'!N43+'8. mell. Intézmények összesen'!V16</f>
        <v>25996499</v>
      </c>
      <c r="O44" s="1934">
        <f>+'6. mell (Bontás)'!O43+'8. mell. Intézmények összesen'!W16</f>
        <v>25996498</v>
      </c>
      <c r="P44" s="1934">
        <f>+'6. mell (Bontás)'!P43+'8. mell. Intézmények összesen'!L16</f>
        <v>192382884</v>
      </c>
      <c r="Q44" s="1934">
        <f>+'6. mell (Bontás)'!Q43+'8. mell. Intézmények összesen'!M16</f>
        <v>192382884</v>
      </c>
      <c r="R44" s="1934">
        <f>+'6. mell (Bontás)'!R43+'8. mell. Intézmények összesen'!N16</f>
        <v>192382884</v>
      </c>
      <c r="S44" s="1934">
        <f>+'6. mell (Bontás)'!S43+'8. mell. Intézmények összesen'!O16</f>
        <v>196350481</v>
      </c>
      <c r="T44" s="1934">
        <f>+'6. mell (Bontás)'!T43+'8. mell. Intézmények összesen'!P16</f>
        <v>196350481</v>
      </c>
      <c r="U44" s="1934">
        <f>+'6. mell (Bontás)'!U43+'8. mell. Intézmények összesen'!Q16</f>
        <v>196350481</v>
      </c>
      <c r="V44" s="2482">
        <f>+'6. mell (Bontás)'!V43</f>
        <v>0</v>
      </c>
      <c r="W44" s="1934">
        <f>+'6. mell (Bontás)'!W43</f>
        <v>0</v>
      </c>
      <c r="X44" s="1934">
        <f>+'6. mell (Bontás)'!X43</f>
        <v>0</v>
      </c>
      <c r="Y44" s="1934">
        <f>+'6. mell (Bontás)'!Y43</f>
        <v>0</v>
      </c>
      <c r="Z44" s="1934">
        <f>+'6. mell (Bontás)'!Z43</f>
        <v>0</v>
      </c>
      <c r="AA44" s="1934">
        <f>+'6. mell (Bontás)'!AA43</f>
        <v>0</v>
      </c>
      <c r="AB44" s="2495">
        <f t="shared" si="35"/>
        <v>226523986</v>
      </c>
      <c r="AC44" s="2495">
        <f t="shared" si="36"/>
        <v>226523986</v>
      </c>
      <c r="AD44" s="2495">
        <f t="shared" si="37"/>
        <v>226523986</v>
      </c>
      <c r="AE44" s="2495">
        <f t="shared" si="38"/>
        <v>222346980</v>
      </c>
      <c r="AF44" s="2495">
        <f t="shared" si="39"/>
        <v>222346980</v>
      </c>
      <c r="AG44" s="2495">
        <f t="shared" si="40"/>
        <v>222346979</v>
      </c>
      <c r="AH44" s="999">
        <f t="shared" si="1"/>
        <v>0</v>
      </c>
      <c r="AI44" s="999">
        <f t="shared" si="2"/>
        <v>0</v>
      </c>
      <c r="AJ44" s="999">
        <f t="shared" si="3"/>
        <v>0</v>
      </c>
      <c r="AK44" s="999">
        <f t="shared" si="4"/>
        <v>0</v>
      </c>
      <c r="AL44" s="999">
        <f t="shared" si="5"/>
        <v>0</v>
      </c>
      <c r="AM44" s="79">
        <f t="shared" si="6"/>
        <v>0</v>
      </c>
    </row>
    <row r="45" spans="1:39" s="75" customFormat="1">
      <c r="A45" s="1931" t="s">
        <v>241</v>
      </c>
      <c r="B45" s="1932" t="s">
        <v>242</v>
      </c>
      <c r="C45" s="1933">
        <f>+'5. mell.Önk-i mérleg'!C44+'8. mell. Intézmények összesen'!D17</f>
        <v>0</v>
      </c>
      <c r="D45" s="1933">
        <f>+'5. mell.Önk-i mérleg'!E44+'8. mell. Intézmények összesen'!F17</f>
        <v>0</v>
      </c>
      <c r="E45" s="1933">
        <f>+'5. mell.Önk-i mérleg'!F44+'8. mell. Intézmények összesen'!G17</f>
        <v>0</v>
      </c>
      <c r="F45" s="1933">
        <f>+'5. mell.Önk-i mérleg'!G44+'8. mell. Intézmények összesen'!H17</f>
        <v>0</v>
      </c>
      <c r="G45" s="1933">
        <f>+'5. mell.Önk-i mérleg'!H44+'8. mell. Intézmények összesen'!I17</f>
        <v>14166</v>
      </c>
      <c r="H45" s="1933">
        <f>+'5. mell.Önk-i mérleg'!I44+'8. mell. Intézmények összesen'!J17</f>
        <v>14166</v>
      </c>
      <c r="I45" s="1933">
        <f>+'5. mell.Önk-i mérleg'!J44+'8. mell. Intézmények összesen'!K17</f>
        <v>14166</v>
      </c>
      <c r="J45" s="1934">
        <f>+'6. mell (Bontás)'!J44+'8. mell. Intézmények összesen'!R17</f>
        <v>0</v>
      </c>
      <c r="K45" s="1934">
        <f>+'6. mell (Bontás)'!K44+'8. mell. Intézmények összesen'!S17</f>
        <v>0</v>
      </c>
      <c r="L45" s="1934">
        <f>+'6. mell (Bontás)'!L44+'8. mell. Intézmények összesen'!T17</f>
        <v>0</v>
      </c>
      <c r="M45" s="1934">
        <f>+'6. mell (Bontás)'!M44+'8. mell. Intézmények összesen'!U17</f>
        <v>14166</v>
      </c>
      <c r="N45" s="1934">
        <f>+'6. mell (Bontás)'!N44+'8. mell. Intézmények összesen'!V17</f>
        <v>14166</v>
      </c>
      <c r="O45" s="1934">
        <f>+'6. mell (Bontás)'!O44+'8. mell. Intézmények összesen'!W17</f>
        <v>14166</v>
      </c>
      <c r="P45" s="1934">
        <f>+'6. mell (Bontás)'!P44+'8. mell. Intézmények összesen'!L17</f>
        <v>0</v>
      </c>
      <c r="Q45" s="1934">
        <f>+'6. mell (Bontás)'!Q44+'8. mell. Intézmények összesen'!M17</f>
        <v>0</v>
      </c>
      <c r="R45" s="1934">
        <f>+'6. mell (Bontás)'!R44+'8. mell. Intézmények összesen'!N17</f>
        <v>0</v>
      </c>
      <c r="S45" s="1934">
        <f>+'6. mell (Bontás)'!S44+'8. mell. Intézmények összesen'!O17</f>
        <v>0</v>
      </c>
      <c r="T45" s="1934">
        <f>+'6. mell (Bontás)'!T44+'8. mell. Intézmények összesen'!P17</f>
        <v>0</v>
      </c>
      <c r="U45" s="1934">
        <f>+'6. mell (Bontás)'!U44+'8. mell. Intézmények összesen'!Q17</f>
        <v>0</v>
      </c>
      <c r="V45" s="2482">
        <f>+'6. mell (Bontás)'!V44</f>
        <v>0</v>
      </c>
      <c r="W45" s="1934">
        <f>+'6. mell (Bontás)'!W44</f>
        <v>0</v>
      </c>
      <c r="X45" s="1934">
        <f>+'6. mell (Bontás)'!X44</f>
        <v>0</v>
      </c>
      <c r="Y45" s="1934">
        <f>+'6. mell (Bontás)'!Y44</f>
        <v>0</v>
      </c>
      <c r="Z45" s="1934">
        <f>+'6. mell (Bontás)'!Z44</f>
        <v>0</v>
      </c>
      <c r="AA45" s="1934">
        <f>+'6. mell (Bontás)'!AA44</f>
        <v>0</v>
      </c>
      <c r="AB45" s="2495">
        <f t="shared" si="35"/>
        <v>0</v>
      </c>
      <c r="AC45" s="2495">
        <f t="shared" si="36"/>
        <v>0</v>
      </c>
      <c r="AD45" s="2495">
        <f t="shared" si="37"/>
        <v>0</v>
      </c>
      <c r="AE45" s="2495">
        <f t="shared" si="38"/>
        <v>14166</v>
      </c>
      <c r="AF45" s="2495">
        <f t="shared" si="39"/>
        <v>14166</v>
      </c>
      <c r="AG45" s="2495">
        <f t="shared" si="40"/>
        <v>14166</v>
      </c>
      <c r="AH45" s="999">
        <f t="shared" si="1"/>
        <v>0</v>
      </c>
      <c r="AI45" s="999">
        <f t="shared" si="2"/>
        <v>0</v>
      </c>
      <c r="AJ45" s="999">
        <f t="shared" si="3"/>
        <v>0</v>
      </c>
      <c r="AK45" s="999">
        <f t="shared" si="4"/>
        <v>0</v>
      </c>
      <c r="AL45" s="999">
        <f t="shared" si="5"/>
        <v>0</v>
      </c>
      <c r="AM45" s="79">
        <f t="shared" si="6"/>
        <v>0</v>
      </c>
    </row>
    <row r="46" spans="1:39" s="75" customFormat="1">
      <c r="A46" s="1931" t="s">
        <v>243</v>
      </c>
      <c r="B46" s="1932" t="s">
        <v>163</v>
      </c>
      <c r="C46" s="1933">
        <f>+'5. mell.Önk-i mérleg'!C45+'8. mell. Intézmények összesen'!D18</f>
        <v>628345000</v>
      </c>
      <c r="D46" s="1933">
        <f>+'5. mell.Önk-i mérleg'!E45+'8. mell. Intézmények összesen'!F18</f>
        <v>0</v>
      </c>
      <c r="E46" s="1933">
        <f>+'5. mell.Önk-i mérleg'!F45+'8. mell. Intézmények összesen'!G18</f>
        <v>187330</v>
      </c>
      <c r="F46" s="1933">
        <f>+'5. mell.Önk-i mérleg'!G45+'8. mell. Intézmények összesen'!H18</f>
        <v>187330</v>
      </c>
      <c r="G46" s="1933">
        <f>+'5. mell.Önk-i mérleg'!H45+'8. mell. Intézmények összesen'!I18</f>
        <v>1648936</v>
      </c>
      <c r="H46" s="1933">
        <f>+'5. mell.Önk-i mérleg'!I45+'8. mell. Intézmények összesen'!J18</f>
        <v>1648936</v>
      </c>
      <c r="I46" s="1933">
        <f>+'5. mell.Önk-i mérleg'!J45+'8. mell. Intézmények összesen'!K18</f>
        <v>1648936</v>
      </c>
      <c r="J46" s="1934">
        <f>+'6. mell (Bontás)'!J45+'8. mell. Intézmények összesen'!R18</f>
        <v>0</v>
      </c>
      <c r="K46" s="1934">
        <f>+'6. mell (Bontás)'!K45+'8. mell. Intézmények összesen'!S18</f>
        <v>187330</v>
      </c>
      <c r="L46" s="1934">
        <f>+'6. mell (Bontás)'!L45+'8. mell. Intézmények összesen'!T18</f>
        <v>187330</v>
      </c>
      <c r="M46" s="1934">
        <f>+'6. mell (Bontás)'!M45+'8. mell. Intézmények összesen'!U18</f>
        <v>1648936</v>
      </c>
      <c r="N46" s="1934">
        <f>+'6. mell (Bontás)'!N45+'8. mell. Intézmények összesen'!V18</f>
        <v>1648936</v>
      </c>
      <c r="O46" s="1934">
        <f>+'6. mell (Bontás)'!O45+'8. mell. Intézmények összesen'!W18</f>
        <v>1648936</v>
      </c>
      <c r="P46" s="1934">
        <f>+'6. mell (Bontás)'!P45+'8. mell. Intézmények összesen'!L18</f>
        <v>0</v>
      </c>
      <c r="Q46" s="1934">
        <f>+'6. mell (Bontás)'!Q45+'8. mell. Intézmények összesen'!M18</f>
        <v>0</v>
      </c>
      <c r="R46" s="1934">
        <f>+'6. mell (Bontás)'!R45+'8. mell. Intézmények összesen'!N18</f>
        <v>0</v>
      </c>
      <c r="S46" s="1934">
        <f>+'6. mell (Bontás)'!S45+'8. mell. Intézmények összesen'!O18</f>
        <v>0</v>
      </c>
      <c r="T46" s="1934">
        <f>+'6. mell (Bontás)'!T45+'8. mell. Intézmények összesen'!P18</f>
        <v>0</v>
      </c>
      <c r="U46" s="1934">
        <f>+'6. mell (Bontás)'!U45+'8. mell. Intézmények összesen'!Q18</f>
        <v>0</v>
      </c>
      <c r="V46" s="2482">
        <f>+'6. mell (Bontás)'!V45+'8. mell. Intézmények összesen'!R18</f>
        <v>0</v>
      </c>
      <c r="W46" s="1934">
        <v>0</v>
      </c>
      <c r="X46" s="1934">
        <v>0</v>
      </c>
      <c r="Y46" s="1934">
        <v>0</v>
      </c>
      <c r="Z46" s="1934"/>
      <c r="AA46" s="1934">
        <v>0</v>
      </c>
      <c r="AB46" s="2495">
        <f t="shared" si="35"/>
        <v>0</v>
      </c>
      <c r="AC46" s="2495">
        <f t="shared" si="36"/>
        <v>187330</v>
      </c>
      <c r="AD46" s="2495">
        <f t="shared" si="37"/>
        <v>187330</v>
      </c>
      <c r="AE46" s="2495">
        <f t="shared" si="38"/>
        <v>1648936</v>
      </c>
      <c r="AF46" s="2495">
        <f t="shared" si="39"/>
        <v>1648936</v>
      </c>
      <c r="AG46" s="2495">
        <f t="shared" si="40"/>
        <v>1648936</v>
      </c>
      <c r="AH46" s="999">
        <f t="shared" si="1"/>
        <v>0</v>
      </c>
      <c r="AI46" s="999">
        <f t="shared" si="2"/>
        <v>0</v>
      </c>
      <c r="AJ46" s="999">
        <f t="shared" si="3"/>
        <v>0</v>
      </c>
      <c r="AK46" s="999">
        <f t="shared" si="4"/>
        <v>0</v>
      </c>
      <c r="AL46" s="999">
        <f t="shared" si="5"/>
        <v>0</v>
      </c>
      <c r="AM46" s="79">
        <f t="shared" si="6"/>
        <v>0</v>
      </c>
    </row>
    <row r="47" spans="1:39" s="75" customFormat="1">
      <c r="A47" s="1931" t="s">
        <v>244</v>
      </c>
      <c r="B47" s="1932" t="s">
        <v>162</v>
      </c>
      <c r="C47" s="1933">
        <f>+'5. mell.Önk-i mérleg'!C46+'8. mell. Intézmények összesen'!D19</f>
        <v>13155000</v>
      </c>
      <c r="D47" s="1933">
        <f>+'5. mell.Önk-i mérleg'!E46+'8. mell. Intézmények összesen'!F19</f>
        <v>12660000</v>
      </c>
      <c r="E47" s="1933">
        <f>+'5. mell.Önk-i mérleg'!F46+'8. mell. Intézmények összesen'!G19</f>
        <v>12660000</v>
      </c>
      <c r="F47" s="1933">
        <f>+'5. mell.Önk-i mérleg'!G46+'8. mell. Intézmények összesen'!H19</f>
        <v>12660000</v>
      </c>
      <c r="G47" s="1933">
        <f>+'5. mell.Önk-i mérleg'!H46+'8. mell. Intézmények összesen'!I19</f>
        <v>37497106</v>
      </c>
      <c r="H47" s="1933">
        <f>+'5. mell.Önk-i mérleg'!I46+'8. mell. Intézmények összesen'!J19</f>
        <v>37497106</v>
      </c>
      <c r="I47" s="1933">
        <f>+'5. mell.Önk-i mérleg'!J46+'8. mell. Intézmények összesen'!K19</f>
        <v>37497106</v>
      </c>
      <c r="J47" s="1934">
        <f>+'6. mell (Bontás)'!J46+'8. mell. Intézmények összesen'!R19</f>
        <v>12660000</v>
      </c>
      <c r="K47" s="1934">
        <f>+'6. mell (Bontás)'!K46+'8. mell. Intézmények összesen'!S19</f>
        <v>12660000</v>
      </c>
      <c r="L47" s="1934">
        <f>+'6. mell (Bontás)'!L46+'8. mell. Intézmények összesen'!T19</f>
        <v>12660000</v>
      </c>
      <c r="M47" s="1934">
        <f>+'6. mell (Bontás)'!M46+'8. mell. Intézmények összesen'!U19</f>
        <v>37349083</v>
      </c>
      <c r="N47" s="1934">
        <f>+'6. mell (Bontás)'!N46+'8. mell. Intézmények összesen'!V19</f>
        <v>37349083</v>
      </c>
      <c r="O47" s="1934">
        <f>+'6. mell (Bontás)'!O46+'8. mell. Intézmények összesen'!W19</f>
        <v>37349083</v>
      </c>
      <c r="P47" s="1934">
        <f>+'6. mell (Bontás)'!P46+'8. mell. Intézmények összesen'!L19</f>
        <v>0</v>
      </c>
      <c r="Q47" s="1934">
        <f>+'6. mell (Bontás)'!Q46+'8. mell. Intézmények összesen'!M19</f>
        <v>0</v>
      </c>
      <c r="R47" s="1934">
        <f>+'6. mell (Bontás)'!R46+'8. mell. Intézmények összesen'!N19</f>
        <v>0</v>
      </c>
      <c r="S47" s="1934">
        <f>+'6. mell (Bontás)'!S46+'8. mell. Intézmények összesen'!O19</f>
        <v>148023</v>
      </c>
      <c r="T47" s="1934">
        <f>+'6. mell (Bontás)'!T46+'8. mell. Intézmények összesen'!P19</f>
        <v>148023</v>
      </c>
      <c r="U47" s="1934">
        <f>+'6. mell (Bontás)'!U46+'8. mell. Intézmények összesen'!Q19</f>
        <v>148023</v>
      </c>
      <c r="V47" s="2482">
        <f>+'6. mell (Bontás)'!V46</f>
        <v>0</v>
      </c>
      <c r="W47" s="1934">
        <f>+'6. mell (Bontás)'!W46</f>
        <v>0</v>
      </c>
      <c r="X47" s="1934">
        <f>+'6. mell (Bontás)'!X46</f>
        <v>0</v>
      </c>
      <c r="Y47" s="1934">
        <f>+'6. mell (Bontás)'!Y46</f>
        <v>0</v>
      </c>
      <c r="Z47" s="1934">
        <f>+'6. mell (Bontás)'!Z46</f>
        <v>0</v>
      </c>
      <c r="AA47" s="1934">
        <f>+'6. mell (Bontás)'!AA46</f>
        <v>0</v>
      </c>
      <c r="AB47" s="2495">
        <f t="shared" si="35"/>
        <v>12660000</v>
      </c>
      <c r="AC47" s="2495">
        <f t="shared" si="36"/>
        <v>12660000</v>
      </c>
      <c r="AD47" s="2495">
        <f t="shared" si="37"/>
        <v>12660000</v>
      </c>
      <c r="AE47" s="2495">
        <f t="shared" si="38"/>
        <v>37497106</v>
      </c>
      <c r="AF47" s="2495">
        <f t="shared" si="39"/>
        <v>37497106</v>
      </c>
      <c r="AG47" s="2495">
        <f t="shared" si="40"/>
        <v>37497106</v>
      </c>
      <c r="AH47" s="999">
        <f t="shared" si="1"/>
        <v>0</v>
      </c>
      <c r="AI47" s="999">
        <f t="shared" si="2"/>
        <v>0</v>
      </c>
      <c r="AJ47" s="999">
        <f t="shared" si="3"/>
        <v>0</v>
      </c>
      <c r="AK47" s="999">
        <f t="shared" si="4"/>
        <v>0</v>
      </c>
      <c r="AL47" s="999">
        <f t="shared" si="5"/>
        <v>0</v>
      </c>
      <c r="AM47" s="79">
        <f t="shared" si="6"/>
        <v>0</v>
      </c>
    </row>
    <row r="48" spans="1:39" s="75" customFormat="1">
      <c r="A48" s="1928" t="s">
        <v>19</v>
      </c>
      <c r="B48" s="1935" t="s">
        <v>245</v>
      </c>
      <c r="C48" s="1930">
        <f t="shared" ref="C48:AG48" si="41">SUM(C49:C53)</f>
        <v>1284721430.1900001</v>
      </c>
      <c r="D48" s="1930">
        <f t="shared" si="41"/>
        <v>1091869854</v>
      </c>
      <c r="E48" s="1930">
        <f t="shared" si="41"/>
        <v>1091869854</v>
      </c>
      <c r="F48" s="1930">
        <f t="shared" si="41"/>
        <v>1091869854</v>
      </c>
      <c r="G48" s="1930">
        <f t="shared" si="41"/>
        <v>175223066</v>
      </c>
      <c r="H48" s="1930">
        <f t="shared" si="41"/>
        <v>175223066</v>
      </c>
      <c r="I48" s="1930">
        <f t="shared" si="41"/>
        <v>175223066</v>
      </c>
      <c r="J48" s="1930">
        <f t="shared" si="41"/>
        <v>1091869854</v>
      </c>
      <c r="K48" s="1930">
        <f t="shared" si="41"/>
        <v>1091869854</v>
      </c>
      <c r="L48" s="1930">
        <f t="shared" si="41"/>
        <v>1091869854</v>
      </c>
      <c r="M48" s="1930">
        <f t="shared" si="41"/>
        <v>175223066</v>
      </c>
      <c r="N48" s="1930">
        <f t="shared" si="41"/>
        <v>175223066</v>
      </c>
      <c r="O48" s="1930">
        <f t="shared" si="41"/>
        <v>175223066</v>
      </c>
      <c r="P48" s="1930">
        <f t="shared" si="41"/>
        <v>0</v>
      </c>
      <c r="Q48" s="1930">
        <f t="shared" si="41"/>
        <v>0</v>
      </c>
      <c r="R48" s="1930">
        <f t="shared" si="41"/>
        <v>0</v>
      </c>
      <c r="S48" s="1930">
        <f t="shared" si="41"/>
        <v>0</v>
      </c>
      <c r="T48" s="1930">
        <f t="shared" si="41"/>
        <v>0</v>
      </c>
      <c r="U48" s="1930">
        <f t="shared" si="41"/>
        <v>0</v>
      </c>
      <c r="V48" s="2481">
        <f t="shared" si="41"/>
        <v>0</v>
      </c>
      <c r="W48" s="1930">
        <f t="shared" si="41"/>
        <v>0</v>
      </c>
      <c r="X48" s="1930">
        <f t="shared" si="41"/>
        <v>0</v>
      </c>
      <c r="Y48" s="1930">
        <f t="shared" si="41"/>
        <v>0</v>
      </c>
      <c r="Z48" s="1930">
        <f t="shared" si="41"/>
        <v>0</v>
      </c>
      <c r="AA48" s="1930">
        <f t="shared" si="41"/>
        <v>0</v>
      </c>
      <c r="AB48" s="1930">
        <f t="shared" si="41"/>
        <v>1091869854</v>
      </c>
      <c r="AC48" s="1930">
        <f t="shared" si="41"/>
        <v>1091869854</v>
      </c>
      <c r="AD48" s="1930">
        <f t="shared" si="41"/>
        <v>1091869854</v>
      </c>
      <c r="AE48" s="1930">
        <f t="shared" si="41"/>
        <v>175223066</v>
      </c>
      <c r="AF48" s="1930">
        <f t="shared" si="41"/>
        <v>175223066</v>
      </c>
      <c r="AG48" s="1930">
        <f t="shared" si="41"/>
        <v>175223066</v>
      </c>
      <c r="AH48" s="999">
        <f t="shared" si="1"/>
        <v>0</v>
      </c>
      <c r="AI48" s="999">
        <f t="shared" si="2"/>
        <v>0</v>
      </c>
      <c r="AJ48" s="999">
        <f t="shared" si="3"/>
        <v>0</v>
      </c>
      <c r="AK48" s="999">
        <f t="shared" si="4"/>
        <v>0</v>
      </c>
      <c r="AL48" s="999">
        <f t="shared" si="5"/>
        <v>0</v>
      </c>
      <c r="AM48" s="79">
        <f t="shared" si="6"/>
        <v>0</v>
      </c>
    </row>
    <row r="49" spans="1:39" s="75" customFormat="1">
      <c r="A49" s="1931" t="s">
        <v>246</v>
      </c>
      <c r="B49" s="1932" t="s">
        <v>247</v>
      </c>
      <c r="C49" s="1937">
        <f>+'5. mell.Önk-i mérleg'!C48+'8. mell. Intézmények összesen'!D21</f>
        <v>0</v>
      </c>
      <c r="D49" s="1937">
        <f>+'5. mell.Önk-i mérleg'!E48+'8. mell. Intézmények összesen'!F21</f>
        <v>0</v>
      </c>
      <c r="E49" s="1937">
        <f>+'5. mell.Önk-i mérleg'!F48+'8. mell. Intézmények összesen'!G21</f>
        <v>0</v>
      </c>
      <c r="F49" s="1937">
        <f>+'5. mell.Önk-i mérleg'!G48+'8. mell. Intézmények összesen'!H21</f>
        <v>0</v>
      </c>
      <c r="G49" s="1937">
        <f>+'5. mell.Önk-i mérleg'!H48+'8. mell. Intézmények összesen'!I21</f>
        <v>0</v>
      </c>
      <c r="H49" s="1937">
        <f>+'5. mell.Önk-i mérleg'!I48+'8. mell. Intézmények összesen'!J21</f>
        <v>0</v>
      </c>
      <c r="I49" s="1937">
        <f>+'5. mell.Önk-i mérleg'!J48+'8. mell. Intézmények összesen'!K21</f>
        <v>0</v>
      </c>
      <c r="J49" s="1934">
        <f>+'6. mell (Bontás)'!J48</f>
        <v>0</v>
      </c>
      <c r="K49" s="1934">
        <f>+'6. mell (Bontás)'!K48</f>
        <v>0</v>
      </c>
      <c r="L49" s="1934">
        <f>+'6. mell (Bontás)'!L48+'8. mell. Intézmények összesen'!H21</f>
        <v>0</v>
      </c>
      <c r="M49" s="1934">
        <f>+'6. mell (Bontás)'!M48+'8. mell. Intézmények összesen'!I21</f>
        <v>0</v>
      </c>
      <c r="N49" s="1934">
        <f>+'6. mell (Bontás)'!N48+'8. mell. Intézmények összesen'!J21</f>
        <v>0</v>
      </c>
      <c r="O49" s="1934">
        <f>+'6. mell (Bontás)'!O48+'8. mell. Intézmények összesen'!K21</f>
        <v>0</v>
      </c>
      <c r="P49" s="1934">
        <f>+'6. mell (Bontás)'!P48</f>
        <v>0</v>
      </c>
      <c r="Q49" s="1934">
        <f>+'6. mell (Bontás)'!Q48</f>
        <v>0</v>
      </c>
      <c r="R49" s="1934">
        <f>+'6. mell (Bontás)'!R48</f>
        <v>0</v>
      </c>
      <c r="S49" s="1934">
        <f>+'6. mell (Bontás)'!S48</f>
        <v>0</v>
      </c>
      <c r="T49" s="1934">
        <f>+'6. mell (Bontás)'!T48</f>
        <v>0</v>
      </c>
      <c r="U49" s="1934">
        <f>+'6. mell (Bontás)'!U48</f>
        <v>0</v>
      </c>
      <c r="V49" s="2482">
        <f>+'6. mell (Bontás)'!V48</f>
        <v>0</v>
      </c>
      <c r="W49" s="1934">
        <f>+'6. mell (Bontás)'!W48</f>
        <v>0</v>
      </c>
      <c r="X49" s="1934">
        <f>+'6. mell (Bontás)'!X48</f>
        <v>0</v>
      </c>
      <c r="Y49" s="1934">
        <f>+'6. mell (Bontás)'!Y48</f>
        <v>0</v>
      </c>
      <c r="Z49" s="1934">
        <f>+'6. mell (Bontás)'!Z48</f>
        <v>0</v>
      </c>
      <c r="AA49" s="1934">
        <f>+'6. mell (Bontás)'!AA48</f>
        <v>0</v>
      </c>
      <c r="AB49" s="2495">
        <f t="shared" ref="AB49:AG53" si="42">+J49+P49+V49</f>
        <v>0</v>
      </c>
      <c r="AC49" s="2495">
        <f t="shared" si="42"/>
        <v>0</v>
      </c>
      <c r="AD49" s="2495">
        <f t="shared" si="42"/>
        <v>0</v>
      </c>
      <c r="AE49" s="2495">
        <f t="shared" si="42"/>
        <v>0</v>
      </c>
      <c r="AF49" s="2495">
        <f t="shared" si="42"/>
        <v>0</v>
      </c>
      <c r="AG49" s="2495">
        <f t="shared" si="42"/>
        <v>0</v>
      </c>
      <c r="AH49" s="999">
        <f t="shared" si="1"/>
        <v>0</v>
      </c>
      <c r="AI49" s="999">
        <f t="shared" si="2"/>
        <v>0</v>
      </c>
      <c r="AJ49" s="999">
        <f t="shared" si="3"/>
        <v>0</v>
      </c>
      <c r="AK49" s="999">
        <f t="shared" si="4"/>
        <v>0</v>
      </c>
      <c r="AL49" s="999">
        <f t="shared" si="5"/>
        <v>0</v>
      </c>
      <c r="AM49" s="79">
        <f t="shared" si="6"/>
        <v>0</v>
      </c>
    </row>
    <row r="50" spans="1:39" s="75" customFormat="1">
      <c r="A50" s="1931" t="s">
        <v>248</v>
      </c>
      <c r="B50" s="1932" t="s">
        <v>249</v>
      </c>
      <c r="C50" s="1937">
        <f>+'5. mell.Önk-i mérleg'!C49</f>
        <v>1283886430.1900001</v>
      </c>
      <c r="D50" s="1937">
        <f>+'5. mell.Önk-i mérleg'!E49</f>
        <v>1091394854</v>
      </c>
      <c r="E50" s="1937">
        <f>+'5. mell.Önk-i mérleg'!F49</f>
        <v>1091394854</v>
      </c>
      <c r="F50" s="1937">
        <f>+'5. mell.Önk-i mérleg'!G49</f>
        <v>1091394854</v>
      </c>
      <c r="G50" s="1937">
        <f>+'5. mell.Önk-i mérleg'!H49</f>
        <v>175215192</v>
      </c>
      <c r="H50" s="1937">
        <f>+'5. mell.Önk-i mérleg'!I49</f>
        <v>175215192</v>
      </c>
      <c r="I50" s="1937">
        <f>+'5. mell.Önk-i mérleg'!J49</f>
        <v>175215192</v>
      </c>
      <c r="J50" s="1934">
        <f>+'6. mell (Bontás)'!J49</f>
        <v>1091394854</v>
      </c>
      <c r="K50" s="1934">
        <f>+'6. mell (Bontás)'!K49</f>
        <v>1091394854</v>
      </c>
      <c r="L50" s="1934">
        <f>+'6. mell (Bontás)'!L49</f>
        <v>1091394854</v>
      </c>
      <c r="M50" s="1934">
        <f>+'6. mell (Bontás)'!M49</f>
        <v>175215192</v>
      </c>
      <c r="N50" s="1934">
        <f>+'6. mell (Bontás)'!N49</f>
        <v>175215192</v>
      </c>
      <c r="O50" s="1934">
        <f>+'6. mell (Bontás)'!O49</f>
        <v>175215192</v>
      </c>
      <c r="P50" s="1934">
        <f>+'6. mell (Bontás)'!P49</f>
        <v>0</v>
      </c>
      <c r="Q50" s="1934">
        <f>+'6. mell (Bontás)'!Q49</f>
        <v>0</v>
      </c>
      <c r="R50" s="1934">
        <f>+'6. mell (Bontás)'!R49</f>
        <v>0</v>
      </c>
      <c r="S50" s="1934">
        <f>+'6. mell (Bontás)'!S49</f>
        <v>0</v>
      </c>
      <c r="T50" s="1934">
        <f>+'6. mell (Bontás)'!T49</f>
        <v>0</v>
      </c>
      <c r="U50" s="1934">
        <f>+'6. mell (Bontás)'!U49</f>
        <v>0</v>
      </c>
      <c r="V50" s="2482">
        <f>+'6. mell (Bontás)'!V49</f>
        <v>0</v>
      </c>
      <c r="W50" s="1934">
        <f>+'6. mell (Bontás)'!W49</f>
        <v>0</v>
      </c>
      <c r="X50" s="1934">
        <f>+'6. mell (Bontás)'!X49</f>
        <v>0</v>
      </c>
      <c r="Y50" s="1934">
        <f>+'6. mell (Bontás)'!Y49</f>
        <v>0</v>
      </c>
      <c r="Z50" s="1934">
        <f>+'6. mell (Bontás)'!Z49</f>
        <v>0</v>
      </c>
      <c r="AA50" s="1934">
        <f>+'6. mell (Bontás)'!AA49</f>
        <v>0</v>
      </c>
      <c r="AB50" s="2495">
        <f t="shared" si="42"/>
        <v>1091394854</v>
      </c>
      <c r="AC50" s="2495">
        <f t="shared" si="42"/>
        <v>1091394854</v>
      </c>
      <c r="AD50" s="2495">
        <f t="shared" si="42"/>
        <v>1091394854</v>
      </c>
      <c r="AE50" s="2495">
        <f t="shared" si="42"/>
        <v>175215192</v>
      </c>
      <c r="AF50" s="2495">
        <f t="shared" si="42"/>
        <v>175215192</v>
      </c>
      <c r="AG50" s="2495">
        <f t="shared" si="42"/>
        <v>175215192</v>
      </c>
      <c r="AH50" s="999">
        <f t="shared" si="1"/>
        <v>0</v>
      </c>
      <c r="AI50" s="999">
        <f t="shared" si="2"/>
        <v>0</v>
      </c>
      <c r="AJ50" s="999">
        <f t="shared" si="3"/>
        <v>0</v>
      </c>
      <c r="AK50" s="999">
        <f t="shared" si="4"/>
        <v>0</v>
      </c>
      <c r="AL50" s="999">
        <f t="shared" si="5"/>
        <v>0</v>
      </c>
      <c r="AM50" s="79">
        <f t="shared" si="6"/>
        <v>0</v>
      </c>
    </row>
    <row r="51" spans="1:39" s="75" customFormat="1">
      <c r="A51" s="1931" t="s">
        <v>250</v>
      </c>
      <c r="B51" s="1932" t="s">
        <v>155</v>
      </c>
      <c r="C51" s="1937">
        <f>+'5. mell.Önk-i mérleg'!C50+'8. mell. Intézmények összesen'!D22</f>
        <v>835000</v>
      </c>
      <c r="D51" s="1937">
        <f>+'5. mell.Önk-i mérleg'!E50+'8. mell. Intézmények összesen'!F22</f>
        <v>475000</v>
      </c>
      <c r="E51" s="1937">
        <f>+'5. mell.Önk-i mérleg'!F50+'8. mell. Intézmények összesen'!G22</f>
        <v>475000</v>
      </c>
      <c r="F51" s="1937">
        <f>+'5. mell.Önk-i mérleg'!G50+'8. mell. Intézmények összesen'!H22</f>
        <v>475000</v>
      </c>
      <c r="G51" s="1937">
        <f>+'5. mell.Önk-i mérleg'!H50+'8. mell. Intézmények összesen'!I22</f>
        <v>7874</v>
      </c>
      <c r="H51" s="1937">
        <f>+'5. mell.Önk-i mérleg'!I50+'8. mell. Intézmények összesen'!J22</f>
        <v>7874</v>
      </c>
      <c r="I51" s="1937">
        <f>+'5. mell.Önk-i mérleg'!J50+'8. mell. Intézmények összesen'!K22</f>
        <v>7874</v>
      </c>
      <c r="J51" s="1934">
        <f>+'6. mell (Bontás)'!J50+'8. mell. Intézmények összesen'!F22-P51</f>
        <v>475000</v>
      </c>
      <c r="K51" s="1934">
        <f>+'6. mell (Bontás)'!K50+'8. mell. Intézmények összesen'!G22-Q51</f>
        <v>475000</v>
      </c>
      <c r="L51" s="1934">
        <f>+'6. mell (Bontás)'!L50+'8. mell. Intézmények összesen'!H22-R51</f>
        <v>475000</v>
      </c>
      <c r="M51" s="1934">
        <f>+'6. mell (Bontás)'!M50+'8. mell. Intézmények összesen'!I22-S51</f>
        <v>7874</v>
      </c>
      <c r="N51" s="1934">
        <f>+'6. mell (Bontás)'!N50+'8. mell. Intézmények összesen'!J22-T51</f>
        <v>7874</v>
      </c>
      <c r="O51" s="1934">
        <f>+'6. mell (Bontás)'!O50+'8. mell. Intézmények összesen'!K22-U51</f>
        <v>7874</v>
      </c>
      <c r="P51" s="1934">
        <f>+'6. mell (Bontás)'!P50+'26. mell. Őrszolgálat'!L22</f>
        <v>0</v>
      </c>
      <c r="Q51" s="1934">
        <f>+'6. mell (Bontás)'!Q50+'26. mell. Őrszolgálat'!M22</f>
        <v>0</v>
      </c>
      <c r="R51" s="1934">
        <f>+'6. mell (Bontás)'!R50+'26. mell. Őrszolgálat'!N22</f>
        <v>0</v>
      </c>
      <c r="S51" s="1934">
        <f>+'6. mell (Bontás)'!S50+'26. mell. Őrszolgálat'!O22</f>
        <v>0</v>
      </c>
      <c r="T51" s="1934">
        <f>+'6. mell (Bontás)'!T50+'26. mell. Őrszolgálat'!P22</f>
        <v>0</v>
      </c>
      <c r="U51" s="1934">
        <f>+'6. mell (Bontás)'!U50+'26. mell. Őrszolgálat'!Q22</f>
        <v>0</v>
      </c>
      <c r="V51" s="2482">
        <f>+'6. mell (Bontás)'!V50</f>
        <v>0</v>
      </c>
      <c r="W51" s="1934">
        <f>+'6. mell (Bontás)'!W50</f>
        <v>0</v>
      </c>
      <c r="X51" s="1934">
        <f>+'6. mell (Bontás)'!X50</f>
        <v>0</v>
      </c>
      <c r="Y51" s="1934">
        <f>+'6. mell (Bontás)'!Y50</f>
        <v>0</v>
      </c>
      <c r="Z51" s="1934">
        <f>+'6. mell (Bontás)'!Z50</f>
        <v>0</v>
      </c>
      <c r="AA51" s="1934">
        <f>+'6. mell (Bontás)'!AA50</f>
        <v>0</v>
      </c>
      <c r="AB51" s="2495">
        <f t="shared" si="42"/>
        <v>475000</v>
      </c>
      <c r="AC51" s="2495">
        <f t="shared" si="42"/>
        <v>475000</v>
      </c>
      <c r="AD51" s="2495">
        <f t="shared" si="42"/>
        <v>475000</v>
      </c>
      <c r="AE51" s="2495">
        <f t="shared" si="42"/>
        <v>7874</v>
      </c>
      <c r="AF51" s="2495">
        <f t="shared" si="42"/>
        <v>7874</v>
      </c>
      <c r="AG51" s="2495">
        <f t="shared" si="42"/>
        <v>7874</v>
      </c>
      <c r="AH51" s="999">
        <f t="shared" si="1"/>
        <v>0</v>
      </c>
      <c r="AI51" s="999">
        <f t="shared" si="2"/>
        <v>0</v>
      </c>
      <c r="AJ51" s="999">
        <f t="shared" si="3"/>
        <v>0</v>
      </c>
      <c r="AK51" s="999">
        <f t="shared" si="4"/>
        <v>0</v>
      </c>
      <c r="AL51" s="999">
        <f t="shared" si="5"/>
        <v>0</v>
      </c>
      <c r="AM51" s="79">
        <f t="shared" si="6"/>
        <v>0</v>
      </c>
    </row>
    <row r="52" spans="1:39" s="75" customFormat="1">
      <c r="A52" s="1931" t="s">
        <v>251</v>
      </c>
      <c r="B52" s="1932" t="s">
        <v>252</v>
      </c>
      <c r="C52" s="1937">
        <f>+'5. mell.Önk-i mérleg'!C51</f>
        <v>0</v>
      </c>
      <c r="D52" s="1937">
        <f>+'5. mell.Önk-i mérleg'!E51</f>
        <v>0</v>
      </c>
      <c r="E52" s="1937">
        <f>+'5. mell.Önk-i mérleg'!F51</f>
        <v>0</v>
      </c>
      <c r="F52" s="1937">
        <f>+'5. mell.Önk-i mérleg'!G51</f>
        <v>0</v>
      </c>
      <c r="G52" s="1937">
        <f>+'5. mell.Önk-i mérleg'!H51</f>
        <v>0</v>
      </c>
      <c r="H52" s="1937">
        <f>+'5. mell.Önk-i mérleg'!I51</f>
        <v>0</v>
      </c>
      <c r="I52" s="1937">
        <f>+'5. mell.Önk-i mérleg'!J51</f>
        <v>0</v>
      </c>
      <c r="J52" s="1934">
        <f>+'6. mell (Bontás)'!J51</f>
        <v>0</v>
      </c>
      <c r="K52" s="1934">
        <f>+'6. mell (Bontás)'!K51</f>
        <v>0</v>
      </c>
      <c r="L52" s="1934">
        <f>+'6. mell (Bontás)'!L51</f>
        <v>0</v>
      </c>
      <c r="M52" s="1934">
        <f>+'6. mell (Bontás)'!M51</f>
        <v>0</v>
      </c>
      <c r="N52" s="1934">
        <f>+'6. mell (Bontás)'!N51</f>
        <v>0</v>
      </c>
      <c r="O52" s="1934">
        <f>+'6. mell (Bontás)'!O51</f>
        <v>0</v>
      </c>
      <c r="P52" s="1934">
        <f>+'6. mell (Bontás)'!P51</f>
        <v>0</v>
      </c>
      <c r="Q52" s="1934">
        <f>+'6. mell (Bontás)'!Q51</f>
        <v>0</v>
      </c>
      <c r="R52" s="1934">
        <f>+'6. mell (Bontás)'!R51</f>
        <v>0</v>
      </c>
      <c r="S52" s="1934">
        <f>+'6. mell (Bontás)'!S51</f>
        <v>0</v>
      </c>
      <c r="T52" s="1934">
        <f>+'6. mell (Bontás)'!T51</f>
        <v>0</v>
      </c>
      <c r="U52" s="1934">
        <f>+'6. mell (Bontás)'!U51</f>
        <v>0</v>
      </c>
      <c r="V52" s="2482">
        <f>+'6. mell (Bontás)'!V51</f>
        <v>0</v>
      </c>
      <c r="W52" s="1934">
        <f>+'6. mell (Bontás)'!W51</f>
        <v>0</v>
      </c>
      <c r="X52" s="1934">
        <f>+'6. mell (Bontás)'!X51</f>
        <v>0</v>
      </c>
      <c r="Y52" s="1934">
        <f>+'6. mell (Bontás)'!Y51</f>
        <v>0</v>
      </c>
      <c r="Z52" s="1934">
        <f>+'6. mell (Bontás)'!Z51</f>
        <v>0</v>
      </c>
      <c r="AA52" s="1934">
        <f>+'6. mell (Bontás)'!AA51</f>
        <v>0</v>
      </c>
      <c r="AB52" s="2495">
        <f t="shared" si="42"/>
        <v>0</v>
      </c>
      <c r="AC52" s="2495">
        <f t="shared" si="42"/>
        <v>0</v>
      </c>
      <c r="AD52" s="2495">
        <f t="shared" si="42"/>
        <v>0</v>
      </c>
      <c r="AE52" s="2495">
        <f t="shared" si="42"/>
        <v>0</v>
      </c>
      <c r="AF52" s="2495">
        <f t="shared" si="42"/>
        <v>0</v>
      </c>
      <c r="AG52" s="2495">
        <f t="shared" si="42"/>
        <v>0</v>
      </c>
      <c r="AH52" s="999">
        <f t="shared" si="1"/>
        <v>0</v>
      </c>
      <c r="AI52" s="999">
        <f t="shared" si="2"/>
        <v>0</v>
      </c>
      <c r="AJ52" s="999">
        <f t="shared" si="3"/>
        <v>0</v>
      </c>
      <c r="AK52" s="999">
        <f t="shared" si="4"/>
        <v>0</v>
      </c>
      <c r="AL52" s="999">
        <f t="shared" si="5"/>
        <v>0</v>
      </c>
      <c r="AM52" s="79">
        <f t="shared" si="6"/>
        <v>0</v>
      </c>
    </row>
    <row r="53" spans="1:39" s="75" customFormat="1">
      <c r="A53" s="1931" t="s">
        <v>253</v>
      </c>
      <c r="B53" s="1932" t="s">
        <v>254</v>
      </c>
      <c r="C53" s="1937">
        <f>+'5. mell.Önk-i mérleg'!C52</f>
        <v>0</v>
      </c>
      <c r="D53" s="1937">
        <f>+'5. mell.Önk-i mérleg'!E52</f>
        <v>0</v>
      </c>
      <c r="E53" s="1937">
        <f>+'5. mell.Önk-i mérleg'!F52</f>
        <v>0</v>
      </c>
      <c r="F53" s="1937">
        <f>+'5. mell.Önk-i mérleg'!G52</f>
        <v>0</v>
      </c>
      <c r="G53" s="1937">
        <f>+'5. mell.Önk-i mérleg'!H52</f>
        <v>0</v>
      </c>
      <c r="H53" s="1937">
        <f>+'5. mell.Önk-i mérleg'!I52</f>
        <v>0</v>
      </c>
      <c r="I53" s="1937">
        <f>+'5. mell.Önk-i mérleg'!J52</f>
        <v>0</v>
      </c>
      <c r="J53" s="1934">
        <f>+'6. mell (Bontás)'!J52</f>
        <v>0</v>
      </c>
      <c r="K53" s="1934">
        <f>+'6. mell (Bontás)'!K52</f>
        <v>0</v>
      </c>
      <c r="L53" s="1934">
        <f>+'6. mell (Bontás)'!L52</f>
        <v>0</v>
      </c>
      <c r="M53" s="1934">
        <f>+'6. mell (Bontás)'!M52</f>
        <v>0</v>
      </c>
      <c r="N53" s="1934">
        <f>+'6. mell (Bontás)'!N52</f>
        <v>0</v>
      </c>
      <c r="O53" s="1934">
        <f>+'6. mell (Bontás)'!O52</f>
        <v>0</v>
      </c>
      <c r="P53" s="1934">
        <f>+'6. mell (Bontás)'!P52</f>
        <v>0</v>
      </c>
      <c r="Q53" s="1934">
        <f>+'6. mell (Bontás)'!Q52</f>
        <v>0</v>
      </c>
      <c r="R53" s="1934">
        <f>+'6. mell (Bontás)'!R52</f>
        <v>0</v>
      </c>
      <c r="S53" s="1934">
        <f>+'6. mell (Bontás)'!S52</f>
        <v>0</v>
      </c>
      <c r="T53" s="1934">
        <f>+'6. mell (Bontás)'!T52</f>
        <v>0</v>
      </c>
      <c r="U53" s="1934">
        <f>+'6. mell (Bontás)'!U52</f>
        <v>0</v>
      </c>
      <c r="V53" s="2482">
        <f>+'6. mell (Bontás)'!V52</f>
        <v>0</v>
      </c>
      <c r="W53" s="1934">
        <f>+'6. mell (Bontás)'!W52</f>
        <v>0</v>
      </c>
      <c r="X53" s="1934">
        <f>+'6. mell (Bontás)'!X52</f>
        <v>0</v>
      </c>
      <c r="Y53" s="1934">
        <f>+'6. mell (Bontás)'!Y52</f>
        <v>0</v>
      </c>
      <c r="Z53" s="1934">
        <f>+'6. mell (Bontás)'!Z52</f>
        <v>0</v>
      </c>
      <c r="AA53" s="1934">
        <f>+'6. mell (Bontás)'!AA52</f>
        <v>0</v>
      </c>
      <c r="AB53" s="2495">
        <f t="shared" si="42"/>
        <v>0</v>
      </c>
      <c r="AC53" s="2495">
        <f t="shared" si="42"/>
        <v>0</v>
      </c>
      <c r="AD53" s="2495">
        <f t="shared" si="42"/>
        <v>0</v>
      </c>
      <c r="AE53" s="2495">
        <f t="shared" si="42"/>
        <v>0</v>
      </c>
      <c r="AF53" s="2495">
        <f t="shared" si="42"/>
        <v>0</v>
      </c>
      <c r="AG53" s="2495">
        <f t="shared" si="42"/>
        <v>0</v>
      </c>
      <c r="AH53" s="999">
        <f t="shared" si="1"/>
        <v>0</v>
      </c>
      <c r="AI53" s="999">
        <f t="shared" si="2"/>
        <v>0</v>
      </c>
      <c r="AJ53" s="999">
        <f t="shared" si="3"/>
        <v>0</v>
      </c>
      <c r="AK53" s="999">
        <f t="shared" si="4"/>
        <v>0</v>
      </c>
      <c r="AL53" s="999">
        <f t="shared" si="5"/>
        <v>0</v>
      </c>
      <c r="AM53" s="79">
        <f t="shared" si="6"/>
        <v>0</v>
      </c>
    </row>
    <row r="54" spans="1:39" s="75" customFormat="1">
      <c r="A54" s="1928" t="s">
        <v>255</v>
      </c>
      <c r="B54" s="1935" t="s">
        <v>256</v>
      </c>
      <c r="C54" s="1930">
        <f t="shared" ref="C54:AG54" si="43">SUM(C55:C57)</f>
        <v>27253713</v>
      </c>
      <c r="D54" s="1930">
        <f t="shared" si="43"/>
        <v>16328120</v>
      </c>
      <c r="E54" s="1930">
        <f t="shared" si="43"/>
        <v>16328120</v>
      </c>
      <c r="F54" s="1930">
        <f t="shared" si="43"/>
        <v>16328120</v>
      </c>
      <c r="G54" s="1930">
        <f t="shared" si="43"/>
        <v>15909030</v>
      </c>
      <c r="H54" s="1930">
        <f t="shared" si="43"/>
        <v>15909030</v>
      </c>
      <c r="I54" s="1930">
        <f t="shared" si="43"/>
        <v>15909030</v>
      </c>
      <c r="J54" s="1930">
        <f t="shared" si="43"/>
        <v>0</v>
      </c>
      <c r="K54" s="1930">
        <f t="shared" si="43"/>
        <v>0</v>
      </c>
      <c r="L54" s="1930">
        <f t="shared" si="43"/>
        <v>0</v>
      </c>
      <c r="M54" s="1930">
        <f t="shared" si="43"/>
        <v>0</v>
      </c>
      <c r="N54" s="1930">
        <f t="shared" si="43"/>
        <v>0</v>
      </c>
      <c r="O54" s="1930">
        <f t="shared" si="43"/>
        <v>0</v>
      </c>
      <c r="P54" s="1930">
        <f t="shared" si="43"/>
        <v>16328120</v>
      </c>
      <c r="Q54" s="1930">
        <f t="shared" si="43"/>
        <v>16328120</v>
      </c>
      <c r="R54" s="1930">
        <f t="shared" si="43"/>
        <v>16328120</v>
      </c>
      <c r="S54" s="1930">
        <f t="shared" si="43"/>
        <v>15909030</v>
      </c>
      <c r="T54" s="1930">
        <f t="shared" si="43"/>
        <v>15909030</v>
      </c>
      <c r="U54" s="1930">
        <f t="shared" si="43"/>
        <v>15909030</v>
      </c>
      <c r="V54" s="2481">
        <f t="shared" si="43"/>
        <v>0</v>
      </c>
      <c r="W54" s="1930">
        <f t="shared" si="43"/>
        <v>0</v>
      </c>
      <c r="X54" s="1930">
        <f t="shared" si="43"/>
        <v>0</v>
      </c>
      <c r="Y54" s="1930">
        <f t="shared" si="43"/>
        <v>0</v>
      </c>
      <c r="Z54" s="1930">
        <f t="shared" si="43"/>
        <v>0</v>
      </c>
      <c r="AA54" s="1930">
        <f t="shared" si="43"/>
        <v>0</v>
      </c>
      <c r="AB54" s="1930">
        <f t="shared" si="43"/>
        <v>16328120</v>
      </c>
      <c r="AC54" s="1930">
        <f t="shared" si="43"/>
        <v>16328120</v>
      </c>
      <c r="AD54" s="1930">
        <f t="shared" si="43"/>
        <v>16328120</v>
      </c>
      <c r="AE54" s="1930">
        <f t="shared" si="43"/>
        <v>15909030</v>
      </c>
      <c r="AF54" s="1930">
        <f t="shared" si="43"/>
        <v>15909030</v>
      </c>
      <c r="AG54" s="1930">
        <f t="shared" si="43"/>
        <v>15909030</v>
      </c>
      <c r="AH54" s="999">
        <f t="shared" si="1"/>
        <v>0</v>
      </c>
      <c r="AI54" s="999">
        <f t="shared" si="2"/>
        <v>0</v>
      </c>
      <c r="AJ54" s="999">
        <f t="shared" si="3"/>
        <v>0</v>
      </c>
      <c r="AK54" s="999">
        <f t="shared" si="4"/>
        <v>0</v>
      </c>
      <c r="AL54" s="999">
        <f t="shared" si="5"/>
        <v>0</v>
      </c>
      <c r="AM54" s="79">
        <f t="shared" si="6"/>
        <v>0</v>
      </c>
    </row>
    <row r="55" spans="1:39" s="75" customFormat="1">
      <c r="A55" s="1931" t="s">
        <v>257</v>
      </c>
      <c r="B55" s="1932" t="s">
        <v>258</v>
      </c>
      <c r="C55" s="1933">
        <f>+'5. mell.Önk-i mérleg'!C54</f>
        <v>0</v>
      </c>
      <c r="D55" s="1933">
        <f>+'5. mell.Önk-i mérleg'!E54</f>
        <v>0</v>
      </c>
      <c r="E55" s="1933">
        <f>+'5. mell.Önk-i mérleg'!F54</f>
        <v>0</v>
      </c>
      <c r="F55" s="1933">
        <f>+'5. mell.Önk-i mérleg'!G54</f>
        <v>0</v>
      </c>
      <c r="G55" s="1933">
        <f>+'5. mell.Önk-i mérleg'!H54</f>
        <v>0</v>
      </c>
      <c r="H55" s="1933">
        <f>+'5. mell.Önk-i mérleg'!I54</f>
        <v>0</v>
      </c>
      <c r="I55" s="1933">
        <f>+'5. mell.Önk-i mérleg'!J54</f>
        <v>0</v>
      </c>
      <c r="J55" s="1934">
        <f>+'6. mell (Bontás)'!J54</f>
        <v>0</v>
      </c>
      <c r="K55" s="1934">
        <f>+'6. mell (Bontás)'!K54</f>
        <v>0</v>
      </c>
      <c r="L55" s="1934">
        <f>+'6. mell (Bontás)'!L54</f>
        <v>0</v>
      </c>
      <c r="M55" s="1934">
        <f>+'6. mell (Bontás)'!M54</f>
        <v>0</v>
      </c>
      <c r="N55" s="1934">
        <f>+'6. mell (Bontás)'!N54</f>
        <v>0</v>
      </c>
      <c r="O55" s="1934">
        <f>+'6. mell (Bontás)'!O54</f>
        <v>0</v>
      </c>
      <c r="P55" s="1934">
        <f>+'6. mell (Bontás)'!P54</f>
        <v>0</v>
      </c>
      <c r="Q55" s="1934">
        <f>+'6. mell (Bontás)'!Q54</f>
        <v>0</v>
      </c>
      <c r="R55" s="1934">
        <f>+'6. mell (Bontás)'!R54</f>
        <v>0</v>
      </c>
      <c r="S55" s="1934">
        <f>+'6. mell (Bontás)'!S54</f>
        <v>0</v>
      </c>
      <c r="T55" s="1934">
        <f>+'6. mell (Bontás)'!T54</f>
        <v>0</v>
      </c>
      <c r="U55" s="1934">
        <f>+'6. mell (Bontás)'!U54</f>
        <v>0</v>
      </c>
      <c r="V55" s="2482">
        <f>+'6. mell (Bontás)'!V54</f>
        <v>0</v>
      </c>
      <c r="W55" s="1934">
        <f>+'6. mell (Bontás)'!W54</f>
        <v>0</v>
      </c>
      <c r="X55" s="1934">
        <f>+'6. mell (Bontás)'!X54</f>
        <v>0</v>
      </c>
      <c r="Y55" s="1934">
        <f>+'6. mell (Bontás)'!Y54</f>
        <v>0</v>
      </c>
      <c r="Z55" s="1934">
        <f>+'6. mell (Bontás)'!Z54</f>
        <v>0</v>
      </c>
      <c r="AA55" s="1934">
        <f>+'6. mell (Bontás)'!AA54</f>
        <v>0</v>
      </c>
      <c r="AB55" s="2495">
        <f t="shared" ref="AB55:AG58" si="44">+J55+P55+V55</f>
        <v>0</v>
      </c>
      <c r="AC55" s="2495">
        <f t="shared" si="44"/>
        <v>0</v>
      </c>
      <c r="AD55" s="2495">
        <f t="shared" si="44"/>
        <v>0</v>
      </c>
      <c r="AE55" s="2495">
        <f t="shared" si="44"/>
        <v>0</v>
      </c>
      <c r="AF55" s="2495">
        <f t="shared" si="44"/>
        <v>0</v>
      </c>
      <c r="AG55" s="2495">
        <f t="shared" si="44"/>
        <v>0</v>
      </c>
      <c r="AH55" s="999">
        <f t="shared" si="1"/>
        <v>0</v>
      </c>
      <c r="AI55" s="999">
        <f t="shared" si="2"/>
        <v>0</v>
      </c>
      <c r="AJ55" s="999">
        <f t="shared" si="3"/>
        <v>0</v>
      </c>
      <c r="AK55" s="999">
        <f t="shared" si="4"/>
        <v>0</v>
      </c>
      <c r="AL55" s="999">
        <f t="shared" si="5"/>
        <v>0</v>
      </c>
      <c r="AM55" s="79">
        <f t="shared" si="6"/>
        <v>0</v>
      </c>
    </row>
    <row r="56" spans="1:39" s="75" customFormat="1">
      <c r="A56" s="1931" t="s">
        <v>259</v>
      </c>
      <c r="B56" s="1932" t="s">
        <v>260</v>
      </c>
      <c r="C56" s="1933">
        <f>+'5. mell.Önk-i mérleg'!C55</f>
        <v>15853713</v>
      </c>
      <c r="D56" s="1933">
        <f>+'5. mell.Önk-i mérleg'!E55</f>
        <v>16328120</v>
      </c>
      <c r="E56" s="1933">
        <f>+'5. mell.Önk-i mérleg'!F55</f>
        <v>16328120</v>
      </c>
      <c r="F56" s="1933">
        <f>+'5. mell.Önk-i mérleg'!G55</f>
        <v>16328120</v>
      </c>
      <c r="G56" s="1933">
        <f>+'5. mell.Önk-i mérleg'!H55</f>
        <v>15909030</v>
      </c>
      <c r="H56" s="1933">
        <f>+'5. mell.Önk-i mérleg'!I55</f>
        <v>15909030</v>
      </c>
      <c r="I56" s="1933">
        <f>+'5. mell.Önk-i mérleg'!J55</f>
        <v>15909030</v>
      </c>
      <c r="J56" s="1934">
        <f>+'6. mell (Bontás)'!J55</f>
        <v>0</v>
      </c>
      <c r="K56" s="1934">
        <f>+'6. mell (Bontás)'!K55</f>
        <v>0</v>
      </c>
      <c r="L56" s="1934">
        <f>+'6. mell (Bontás)'!L55</f>
        <v>0</v>
      </c>
      <c r="M56" s="1934">
        <f>+'6. mell (Bontás)'!M55</f>
        <v>0</v>
      </c>
      <c r="N56" s="1934">
        <f>+'6. mell (Bontás)'!N55</f>
        <v>0</v>
      </c>
      <c r="O56" s="1934">
        <f>+'6. mell (Bontás)'!O55</f>
        <v>0</v>
      </c>
      <c r="P56" s="1934">
        <f>+'6. mell (Bontás)'!P55</f>
        <v>16328120</v>
      </c>
      <c r="Q56" s="1934">
        <f>+'6. mell (Bontás)'!Q55</f>
        <v>16328120</v>
      </c>
      <c r="R56" s="1934">
        <f>+'6. mell (Bontás)'!R55</f>
        <v>16328120</v>
      </c>
      <c r="S56" s="1934">
        <f>+'6. mell (Bontás)'!S55</f>
        <v>15909030</v>
      </c>
      <c r="T56" s="1934">
        <f>+'6. mell (Bontás)'!T55</f>
        <v>15909030</v>
      </c>
      <c r="U56" s="1934">
        <f>+'6. mell (Bontás)'!U55</f>
        <v>15909030</v>
      </c>
      <c r="V56" s="2482">
        <f>+'6. mell (Bontás)'!V55</f>
        <v>0</v>
      </c>
      <c r="W56" s="1934">
        <f>+'6. mell (Bontás)'!W55</f>
        <v>0</v>
      </c>
      <c r="X56" s="1934">
        <f>+'6. mell (Bontás)'!X55</f>
        <v>0</v>
      </c>
      <c r="Y56" s="1934">
        <f>+'6. mell (Bontás)'!Y55</f>
        <v>0</v>
      </c>
      <c r="Z56" s="1934">
        <f>+'6. mell (Bontás)'!Z55</f>
        <v>0</v>
      </c>
      <c r="AA56" s="1934">
        <f>+'6. mell (Bontás)'!AA55</f>
        <v>0</v>
      </c>
      <c r="AB56" s="2495">
        <f t="shared" si="44"/>
        <v>16328120</v>
      </c>
      <c r="AC56" s="2495">
        <f t="shared" si="44"/>
        <v>16328120</v>
      </c>
      <c r="AD56" s="2495">
        <f t="shared" si="44"/>
        <v>16328120</v>
      </c>
      <c r="AE56" s="2495">
        <f t="shared" si="44"/>
        <v>15909030</v>
      </c>
      <c r="AF56" s="2495">
        <f t="shared" si="44"/>
        <v>15909030</v>
      </c>
      <c r="AG56" s="2495">
        <f t="shared" si="44"/>
        <v>15909030</v>
      </c>
      <c r="AH56" s="999">
        <f t="shared" si="1"/>
        <v>0</v>
      </c>
      <c r="AI56" s="999">
        <f t="shared" si="2"/>
        <v>0</v>
      </c>
      <c r="AJ56" s="999">
        <f t="shared" si="3"/>
        <v>0</v>
      </c>
      <c r="AK56" s="999">
        <f t="shared" si="4"/>
        <v>0</v>
      </c>
      <c r="AL56" s="999">
        <f t="shared" si="5"/>
        <v>0</v>
      </c>
      <c r="AM56" s="79">
        <f t="shared" si="6"/>
        <v>0</v>
      </c>
    </row>
    <row r="57" spans="1:39" s="75" customFormat="1">
      <c r="A57" s="1931" t="s">
        <v>261</v>
      </c>
      <c r="B57" s="1932" t="s">
        <v>262</v>
      </c>
      <c r="C57" s="1933">
        <f>+'5. mell.Önk-i mérleg'!C56</f>
        <v>11400000</v>
      </c>
      <c r="D57" s="1933">
        <f>+'5. mell.Önk-i mérleg'!E56+'8. mell. Intézmények összesen'!F29</f>
        <v>0</v>
      </c>
      <c r="E57" s="1933">
        <f>+'5. mell.Önk-i mérleg'!F56+'8. mell. Intézmények összesen'!G29</f>
        <v>0</v>
      </c>
      <c r="F57" s="1933">
        <f>+'5. mell.Önk-i mérleg'!G56+'8. mell. Intézmények összesen'!H29</f>
        <v>0</v>
      </c>
      <c r="G57" s="1933">
        <f>+'5. mell.Önk-i mérleg'!H56+'8. mell. Intézmények összesen'!I29</f>
        <v>0</v>
      </c>
      <c r="H57" s="1933">
        <f>+'5. mell.Önk-i mérleg'!I56+'8. mell. Intézmények összesen'!J29</f>
        <v>0</v>
      </c>
      <c r="I57" s="1933">
        <f>+'5. mell.Önk-i mérleg'!J56+'8. mell. Intézmények összesen'!K29</f>
        <v>0</v>
      </c>
      <c r="J57" s="1934">
        <f>+'6. mell (Bontás)'!J56+'8. mell. Intézmények összesen'!R29</f>
        <v>0</v>
      </c>
      <c r="K57" s="1934">
        <f>+'6. mell (Bontás)'!K56+'8. mell. Intézmények összesen'!S29</f>
        <v>0</v>
      </c>
      <c r="L57" s="1934">
        <f>+'6. mell (Bontás)'!L56+'8. mell. Intézmények összesen'!T29</f>
        <v>0</v>
      </c>
      <c r="M57" s="1934">
        <f>+'6. mell (Bontás)'!M56+'8. mell. Intézmények összesen'!U29</f>
        <v>0</v>
      </c>
      <c r="N57" s="1934">
        <f>+'6. mell (Bontás)'!N56+'8. mell. Intézmények összesen'!V29</f>
        <v>0</v>
      </c>
      <c r="O57" s="1934">
        <f>+'6. mell (Bontás)'!O56+'8. mell. Intézmények összesen'!W29</f>
        <v>0</v>
      </c>
      <c r="P57" s="1934">
        <f>+'6. mell (Bontás)'!P56+'8. mell. Intézmények összesen'!L29</f>
        <v>0</v>
      </c>
      <c r="Q57" s="1934">
        <f>+'6. mell (Bontás)'!Q56+'8. mell. Intézmények összesen'!M29</f>
        <v>0</v>
      </c>
      <c r="R57" s="1934">
        <f>+'6. mell (Bontás)'!R56+'8. mell. Intézmények összesen'!N29</f>
        <v>0</v>
      </c>
      <c r="S57" s="1934">
        <f>+'6. mell (Bontás)'!S56+'8. mell. Intézmények összesen'!O29</f>
        <v>0</v>
      </c>
      <c r="T57" s="1934">
        <f>+'6. mell (Bontás)'!T56+'8. mell. Intézmények összesen'!P29</f>
        <v>0</v>
      </c>
      <c r="U57" s="1934">
        <f>+'6. mell (Bontás)'!U56+'8. mell. Intézmények összesen'!Q29</f>
        <v>0</v>
      </c>
      <c r="V57" s="2482">
        <f>+'6. mell (Bontás)'!V56</f>
        <v>0</v>
      </c>
      <c r="W57" s="1934">
        <f>+'6. mell (Bontás)'!W56</f>
        <v>0</v>
      </c>
      <c r="X57" s="1934">
        <f>+'6. mell (Bontás)'!X56</f>
        <v>0</v>
      </c>
      <c r="Y57" s="1934">
        <f>+'6. mell (Bontás)'!Y56</f>
        <v>0</v>
      </c>
      <c r="Z57" s="1934">
        <f>+'6. mell (Bontás)'!Z56</f>
        <v>0</v>
      </c>
      <c r="AA57" s="1934">
        <f>+'6. mell (Bontás)'!AA56</f>
        <v>0</v>
      </c>
      <c r="AB57" s="2495">
        <f t="shared" si="44"/>
        <v>0</v>
      </c>
      <c r="AC57" s="2495">
        <f t="shared" si="44"/>
        <v>0</v>
      </c>
      <c r="AD57" s="2495">
        <f t="shared" si="44"/>
        <v>0</v>
      </c>
      <c r="AE57" s="2495">
        <f t="shared" si="44"/>
        <v>0</v>
      </c>
      <c r="AF57" s="2495">
        <f t="shared" si="44"/>
        <v>0</v>
      </c>
      <c r="AG57" s="2495">
        <f t="shared" si="44"/>
        <v>0</v>
      </c>
      <c r="AH57" s="999">
        <f t="shared" si="1"/>
        <v>0</v>
      </c>
      <c r="AI57" s="999">
        <f t="shared" si="2"/>
        <v>0</v>
      </c>
      <c r="AJ57" s="999">
        <f t="shared" si="3"/>
        <v>0</v>
      </c>
      <c r="AK57" s="999">
        <f t="shared" si="4"/>
        <v>0</v>
      </c>
      <c r="AL57" s="999">
        <f t="shared" si="5"/>
        <v>0</v>
      </c>
      <c r="AM57" s="79">
        <f t="shared" si="6"/>
        <v>0</v>
      </c>
    </row>
    <row r="58" spans="1:39" s="75" customFormat="1">
      <c r="A58" s="1931" t="s">
        <v>263</v>
      </c>
      <c r="B58" s="1932" t="s">
        <v>264</v>
      </c>
      <c r="C58" s="1933">
        <f>+'5. mell.Önk-i mérleg'!C57</f>
        <v>11400000</v>
      </c>
      <c r="D58" s="1933">
        <f>+'5. mell.Önk-i mérleg'!E57</f>
        <v>0</v>
      </c>
      <c r="E58" s="1933">
        <f>+'5. mell.Önk-i mérleg'!F57</f>
        <v>0</v>
      </c>
      <c r="F58" s="1933">
        <f>+'5. mell.Önk-i mérleg'!G57</f>
        <v>0</v>
      </c>
      <c r="G58" s="1933">
        <f>+'5. mell.Önk-i mérleg'!H57</f>
        <v>0</v>
      </c>
      <c r="H58" s="1933">
        <f>+'5. mell.Önk-i mérleg'!I57</f>
        <v>0</v>
      </c>
      <c r="I58" s="1933">
        <f>+'5. mell.Önk-i mérleg'!J57</f>
        <v>0</v>
      </c>
      <c r="J58" s="1934">
        <f>+'6. mell (Bontás)'!J57</f>
        <v>0</v>
      </c>
      <c r="K58" s="1934">
        <f>+'6. mell (Bontás)'!K57</f>
        <v>0</v>
      </c>
      <c r="L58" s="1934">
        <f>+'6. mell (Bontás)'!L57</f>
        <v>0</v>
      </c>
      <c r="M58" s="1934">
        <f>+'6. mell (Bontás)'!M57</f>
        <v>0</v>
      </c>
      <c r="N58" s="1934">
        <f>+'6. mell (Bontás)'!N57</f>
        <v>0</v>
      </c>
      <c r="O58" s="1934">
        <f>+'6. mell (Bontás)'!O57</f>
        <v>0</v>
      </c>
      <c r="P58" s="1934">
        <f>+'6. mell (Bontás)'!P57</f>
        <v>0</v>
      </c>
      <c r="Q58" s="1934">
        <f>+'6. mell (Bontás)'!Q57</f>
        <v>0</v>
      </c>
      <c r="R58" s="1934">
        <f>+'6. mell (Bontás)'!R57</f>
        <v>0</v>
      </c>
      <c r="S58" s="1934">
        <f>+'6. mell (Bontás)'!S57</f>
        <v>0</v>
      </c>
      <c r="T58" s="1934">
        <f>+'6. mell (Bontás)'!T57</f>
        <v>0</v>
      </c>
      <c r="U58" s="1934">
        <f>+'6. mell (Bontás)'!U57</f>
        <v>0</v>
      </c>
      <c r="V58" s="2482">
        <f>+'6. mell (Bontás)'!V57</f>
        <v>0</v>
      </c>
      <c r="W58" s="1934">
        <f>+'6. mell (Bontás)'!W57</f>
        <v>0</v>
      </c>
      <c r="X58" s="1934">
        <f>+'6. mell (Bontás)'!X57</f>
        <v>0</v>
      </c>
      <c r="Y58" s="1934">
        <f>+'6. mell (Bontás)'!Y57</f>
        <v>0</v>
      </c>
      <c r="Z58" s="1934">
        <f>+'6. mell (Bontás)'!Z57</f>
        <v>0</v>
      </c>
      <c r="AA58" s="1934">
        <f>+'6. mell (Bontás)'!AA57</f>
        <v>0</v>
      </c>
      <c r="AB58" s="2495">
        <f t="shared" si="44"/>
        <v>0</v>
      </c>
      <c r="AC58" s="2495">
        <f t="shared" si="44"/>
        <v>0</v>
      </c>
      <c r="AD58" s="2495">
        <f t="shared" si="44"/>
        <v>0</v>
      </c>
      <c r="AE58" s="2495">
        <f t="shared" si="44"/>
        <v>0</v>
      </c>
      <c r="AF58" s="2495">
        <f t="shared" si="44"/>
        <v>0</v>
      </c>
      <c r="AG58" s="2495">
        <f t="shared" si="44"/>
        <v>0</v>
      </c>
      <c r="AH58" s="999">
        <f t="shared" si="1"/>
        <v>0</v>
      </c>
      <c r="AI58" s="999">
        <f t="shared" si="2"/>
        <v>0</v>
      </c>
      <c r="AJ58" s="999">
        <f t="shared" si="3"/>
        <v>0</v>
      </c>
      <c r="AK58" s="999">
        <f t="shared" si="4"/>
        <v>0</v>
      </c>
      <c r="AL58" s="999">
        <f t="shared" si="5"/>
        <v>0</v>
      </c>
      <c r="AM58" s="79">
        <f t="shared" si="6"/>
        <v>0</v>
      </c>
    </row>
    <row r="59" spans="1:39" s="75" customFormat="1">
      <c r="A59" s="1928" t="s">
        <v>23</v>
      </c>
      <c r="B59" s="1935" t="s">
        <v>3032</v>
      </c>
      <c r="C59" s="1930">
        <f t="shared" ref="C59:AG59" si="45">SUM(C60:C62)</f>
        <v>104429188</v>
      </c>
      <c r="D59" s="1930">
        <f t="shared" si="45"/>
        <v>3218439</v>
      </c>
      <c r="E59" s="1930">
        <f t="shared" si="45"/>
        <v>3218439</v>
      </c>
      <c r="F59" s="1930">
        <f t="shared" si="45"/>
        <v>3218439</v>
      </c>
      <c r="G59" s="1930">
        <f t="shared" si="45"/>
        <v>5253618</v>
      </c>
      <c r="H59" s="1930">
        <f t="shared" si="45"/>
        <v>5253618</v>
      </c>
      <c r="I59" s="1930">
        <f t="shared" si="45"/>
        <v>5253618</v>
      </c>
      <c r="J59" s="1930">
        <f t="shared" si="45"/>
        <v>0</v>
      </c>
      <c r="K59" s="1930">
        <f t="shared" si="45"/>
        <v>0</v>
      </c>
      <c r="L59" s="1930">
        <f t="shared" si="45"/>
        <v>0</v>
      </c>
      <c r="M59" s="1930">
        <f t="shared" si="45"/>
        <v>0</v>
      </c>
      <c r="N59" s="1930">
        <f t="shared" si="45"/>
        <v>0</v>
      </c>
      <c r="O59" s="1930">
        <f t="shared" si="45"/>
        <v>0</v>
      </c>
      <c r="P59" s="1930">
        <f t="shared" si="45"/>
        <v>3218439</v>
      </c>
      <c r="Q59" s="1930">
        <f t="shared" si="45"/>
        <v>3218439</v>
      </c>
      <c r="R59" s="1930">
        <f t="shared" si="45"/>
        <v>3218439</v>
      </c>
      <c r="S59" s="1930">
        <f t="shared" si="45"/>
        <v>5253618</v>
      </c>
      <c r="T59" s="1930">
        <f t="shared" si="45"/>
        <v>5253618</v>
      </c>
      <c r="U59" s="1930">
        <f t="shared" si="45"/>
        <v>5253618</v>
      </c>
      <c r="V59" s="2481">
        <f t="shared" si="45"/>
        <v>0</v>
      </c>
      <c r="W59" s="1930">
        <f t="shared" si="45"/>
        <v>0</v>
      </c>
      <c r="X59" s="1930">
        <f t="shared" si="45"/>
        <v>0</v>
      </c>
      <c r="Y59" s="1930">
        <f t="shared" si="45"/>
        <v>0</v>
      </c>
      <c r="Z59" s="1930">
        <f t="shared" si="45"/>
        <v>0</v>
      </c>
      <c r="AA59" s="1930">
        <f t="shared" si="45"/>
        <v>0</v>
      </c>
      <c r="AB59" s="1930">
        <f t="shared" si="45"/>
        <v>3218439</v>
      </c>
      <c r="AC59" s="1930">
        <f t="shared" si="45"/>
        <v>3218439</v>
      </c>
      <c r="AD59" s="1930">
        <f t="shared" si="45"/>
        <v>3218439</v>
      </c>
      <c r="AE59" s="1930">
        <f t="shared" si="45"/>
        <v>5253618</v>
      </c>
      <c r="AF59" s="1930">
        <f t="shared" si="45"/>
        <v>5253618</v>
      </c>
      <c r="AG59" s="1930">
        <f t="shared" si="45"/>
        <v>5253618</v>
      </c>
      <c r="AH59" s="999">
        <f t="shared" si="1"/>
        <v>0</v>
      </c>
      <c r="AI59" s="999">
        <f t="shared" si="2"/>
        <v>0</v>
      </c>
      <c r="AJ59" s="999">
        <f t="shared" si="3"/>
        <v>0</v>
      </c>
      <c r="AK59" s="999">
        <f t="shared" si="4"/>
        <v>0</v>
      </c>
      <c r="AL59" s="999">
        <f t="shared" si="5"/>
        <v>0</v>
      </c>
      <c r="AM59" s="79">
        <f t="shared" si="6"/>
        <v>0</v>
      </c>
    </row>
    <row r="60" spans="1:39" s="75" customFormat="1">
      <c r="A60" s="1931" t="s">
        <v>265</v>
      </c>
      <c r="B60" s="1932" t="s">
        <v>3165</v>
      </c>
      <c r="C60" s="1937">
        <f>+'5. mell.Önk-i mérleg'!C59</f>
        <v>0</v>
      </c>
      <c r="D60" s="1937">
        <f>+'5. mell.Önk-i mérleg'!E59</f>
        <v>0</v>
      </c>
      <c r="E60" s="1937">
        <f>+'5. mell.Önk-i mérleg'!F59</f>
        <v>0</v>
      </c>
      <c r="F60" s="1937">
        <f>+'5. mell.Önk-i mérleg'!G59</f>
        <v>0</v>
      </c>
      <c r="G60" s="1937">
        <f>+'5. mell.Önk-i mérleg'!H59</f>
        <v>0</v>
      </c>
      <c r="H60" s="1937">
        <f>+'5. mell.Önk-i mérleg'!I59</f>
        <v>0</v>
      </c>
      <c r="I60" s="1937">
        <f>+'5. mell.Önk-i mérleg'!J59</f>
        <v>0</v>
      </c>
      <c r="J60" s="1934">
        <f>+'6. mell (Bontás)'!J59</f>
        <v>0</v>
      </c>
      <c r="K60" s="1934">
        <f>+'6. mell (Bontás)'!K59</f>
        <v>0</v>
      </c>
      <c r="L60" s="1934">
        <f>+'6. mell (Bontás)'!L59</f>
        <v>0</v>
      </c>
      <c r="M60" s="1934">
        <f>+'6. mell (Bontás)'!M59</f>
        <v>0</v>
      </c>
      <c r="N60" s="1934">
        <f>+'6. mell (Bontás)'!N59</f>
        <v>0</v>
      </c>
      <c r="O60" s="1934">
        <f>+'6. mell (Bontás)'!O59</f>
        <v>0</v>
      </c>
      <c r="P60" s="1934">
        <f>+'6. mell (Bontás)'!P59</f>
        <v>0</v>
      </c>
      <c r="Q60" s="1934">
        <f>+'6. mell (Bontás)'!Q59</f>
        <v>0</v>
      </c>
      <c r="R60" s="1934">
        <f>+'6. mell (Bontás)'!R59</f>
        <v>0</v>
      </c>
      <c r="S60" s="1934">
        <f>+'6. mell (Bontás)'!S59</f>
        <v>0</v>
      </c>
      <c r="T60" s="1934">
        <f>+'6. mell (Bontás)'!T59</f>
        <v>0</v>
      </c>
      <c r="U60" s="1934">
        <f>+'6. mell (Bontás)'!U59</f>
        <v>0</v>
      </c>
      <c r="V60" s="2482">
        <f>+'6. mell (Bontás)'!V59</f>
        <v>0</v>
      </c>
      <c r="W60" s="1934">
        <f>+'6. mell (Bontás)'!W59</f>
        <v>0</v>
      </c>
      <c r="X60" s="1934">
        <f>+'6. mell (Bontás)'!X59</f>
        <v>0</v>
      </c>
      <c r="Y60" s="1934">
        <f>+'6. mell (Bontás)'!Y59</f>
        <v>0</v>
      </c>
      <c r="Z60" s="1934">
        <f>+'6. mell (Bontás)'!Z59</f>
        <v>0</v>
      </c>
      <c r="AA60" s="1934">
        <f>+'6. mell (Bontás)'!AA59</f>
        <v>0</v>
      </c>
      <c r="AB60" s="2495">
        <f t="shared" ref="AB60:AG63" si="46">+J60+P60+V60</f>
        <v>0</v>
      </c>
      <c r="AC60" s="2495">
        <f t="shared" si="46"/>
        <v>0</v>
      </c>
      <c r="AD60" s="2495">
        <f t="shared" si="46"/>
        <v>0</v>
      </c>
      <c r="AE60" s="2495">
        <f t="shared" si="46"/>
        <v>0</v>
      </c>
      <c r="AF60" s="2495">
        <f t="shared" si="46"/>
        <v>0</v>
      </c>
      <c r="AG60" s="2495">
        <f t="shared" si="46"/>
        <v>0</v>
      </c>
      <c r="AH60" s="999">
        <f t="shared" si="1"/>
        <v>0</v>
      </c>
      <c r="AI60" s="999">
        <f t="shared" si="2"/>
        <v>0</v>
      </c>
      <c r="AJ60" s="999">
        <f t="shared" si="3"/>
        <v>0</v>
      </c>
      <c r="AK60" s="999">
        <f t="shared" si="4"/>
        <v>0</v>
      </c>
      <c r="AL60" s="999">
        <f t="shared" si="5"/>
        <v>0</v>
      </c>
      <c r="AM60" s="79">
        <f t="shared" si="6"/>
        <v>0</v>
      </c>
    </row>
    <row r="61" spans="1:39" s="75" customFormat="1">
      <c r="A61" s="1931" t="s">
        <v>266</v>
      </c>
      <c r="B61" s="1932" t="s">
        <v>3166</v>
      </c>
      <c r="C61" s="1937">
        <f>+'5. mell.Önk-i mérleg'!C60</f>
        <v>4378788</v>
      </c>
      <c r="D61" s="1937">
        <f>+'5. mell.Önk-i mérleg'!E60</f>
        <v>2812314</v>
      </c>
      <c r="E61" s="1937">
        <f>+'5. mell.Önk-i mérleg'!F60</f>
        <v>2812314</v>
      </c>
      <c r="F61" s="1937">
        <f>+'5. mell.Önk-i mérleg'!G60</f>
        <v>2812314</v>
      </c>
      <c r="G61" s="1937">
        <f>+'5. mell.Önk-i mérleg'!H60</f>
        <v>4175953</v>
      </c>
      <c r="H61" s="1937">
        <f>+'5. mell.Önk-i mérleg'!I60</f>
        <v>4175953</v>
      </c>
      <c r="I61" s="1937">
        <f>+'5. mell.Önk-i mérleg'!J60</f>
        <v>4175953</v>
      </c>
      <c r="J61" s="1934">
        <f>+'6. mell (Bontás)'!J60</f>
        <v>0</v>
      </c>
      <c r="K61" s="1934">
        <f>+'6. mell (Bontás)'!K60</f>
        <v>0</v>
      </c>
      <c r="L61" s="1934">
        <f>+'6. mell (Bontás)'!L60</f>
        <v>0</v>
      </c>
      <c r="M61" s="1934">
        <f>+'6. mell (Bontás)'!M60</f>
        <v>0</v>
      </c>
      <c r="N61" s="1934">
        <f>+'6. mell (Bontás)'!N60</f>
        <v>0</v>
      </c>
      <c r="O61" s="1934">
        <f>+'6. mell (Bontás)'!O60</f>
        <v>0</v>
      </c>
      <c r="P61" s="1934">
        <f>+'6. mell (Bontás)'!P60</f>
        <v>2812314</v>
      </c>
      <c r="Q61" s="1934">
        <f>+'6. mell (Bontás)'!Q60</f>
        <v>2812314</v>
      </c>
      <c r="R61" s="1934">
        <f>+'6. mell (Bontás)'!R60</f>
        <v>2812314</v>
      </c>
      <c r="S61" s="1934">
        <f>+'6. mell (Bontás)'!S60</f>
        <v>4175953</v>
      </c>
      <c r="T61" s="1934">
        <f>+'6. mell (Bontás)'!T60</f>
        <v>4175953</v>
      </c>
      <c r="U61" s="1934">
        <f>+'6. mell (Bontás)'!U60</f>
        <v>4175953</v>
      </c>
      <c r="V61" s="2482">
        <f>+'6. mell (Bontás)'!V60</f>
        <v>0</v>
      </c>
      <c r="W61" s="1934">
        <f>+'6. mell (Bontás)'!W60</f>
        <v>0</v>
      </c>
      <c r="X61" s="1934">
        <f>+'6. mell (Bontás)'!X60</f>
        <v>0</v>
      </c>
      <c r="Y61" s="1934">
        <f>+'6. mell (Bontás)'!Y60</f>
        <v>0</v>
      </c>
      <c r="Z61" s="1934">
        <f>+'6. mell (Bontás)'!Z60</f>
        <v>0</v>
      </c>
      <c r="AA61" s="1934">
        <f>+'6. mell (Bontás)'!AA60</f>
        <v>0</v>
      </c>
      <c r="AB61" s="2495">
        <f t="shared" si="46"/>
        <v>2812314</v>
      </c>
      <c r="AC61" s="2495">
        <f t="shared" si="46"/>
        <v>2812314</v>
      </c>
      <c r="AD61" s="2495">
        <f t="shared" si="46"/>
        <v>2812314</v>
      </c>
      <c r="AE61" s="2495">
        <f t="shared" si="46"/>
        <v>4175953</v>
      </c>
      <c r="AF61" s="2495">
        <f t="shared" si="46"/>
        <v>4175953</v>
      </c>
      <c r="AG61" s="2495">
        <f t="shared" si="46"/>
        <v>4175953</v>
      </c>
      <c r="AH61" s="999">
        <f t="shared" si="1"/>
        <v>0</v>
      </c>
      <c r="AI61" s="999">
        <f t="shared" si="2"/>
        <v>0</v>
      </c>
      <c r="AJ61" s="999">
        <f t="shared" si="3"/>
        <v>0</v>
      </c>
      <c r="AK61" s="999">
        <f t="shared" si="4"/>
        <v>0</v>
      </c>
      <c r="AL61" s="999">
        <f t="shared" si="5"/>
        <v>0</v>
      </c>
      <c r="AM61" s="79">
        <f t="shared" si="6"/>
        <v>0</v>
      </c>
    </row>
    <row r="62" spans="1:39" s="75" customFormat="1">
      <c r="A62" s="1931" t="s">
        <v>267</v>
      </c>
      <c r="B62" s="1932" t="s">
        <v>268</v>
      </c>
      <c r="C62" s="1937">
        <f>+'5. mell.Önk-i mérleg'!C61+'8. mell. Intézmények összesen'!D30</f>
        <v>100050400</v>
      </c>
      <c r="D62" s="1937">
        <f>+'5. mell.Önk-i mérleg'!E61+'8. mell. Intézmények összesen'!F30</f>
        <v>406125</v>
      </c>
      <c r="E62" s="1937">
        <f>+'5. mell.Önk-i mérleg'!F61+'8. mell. Intézmények összesen'!G30</f>
        <v>406125</v>
      </c>
      <c r="F62" s="1937">
        <f>+'5. mell.Önk-i mérleg'!G61+'8. mell. Intézmények összesen'!H30</f>
        <v>406125</v>
      </c>
      <c r="G62" s="1937">
        <f>+'5. mell.Önk-i mérleg'!H61+'8. mell. Intézmények összesen'!I30</f>
        <v>1077665</v>
      </c>
      <c r="H62" s="1937">
        <f>+'5. mell.Önk-i mérleg'!I61+'8. mell. Intézmények összesen'!J30</f>
        <v>1077665</v>
      </c>
      <c r="I62" s="1937">
        <f>+'5. mell.Önk-i mérleg'!J61+'8. mell. Intézmények összesen'!K30</f>
        <v>1077665</v>
      </c>
      <c r="J62" s="1934">
        <f>+'6. mell (Bontás)'!J61+'8. mell. Intézmények összesen'!F30</f>
        <v>0</v>
      </c>
      <c r="K62" s="1934">
        <f>+'6. mell (Bontás)'!K61+'8. mell. Intézmények összesen'!G30</f>
        <v>0</v>
      </c>
      <c r="L62" s="1934">
        <f>+'6. mell (Bontás)'!L61+'8. mell. Intézmények összesen'!H30</f>
        <v>0</v>
      </c>
      <c r="M62" s="1934">
        <f>+'6. mell (Bontás)'!M61+'8. mell. Intézmények összesen'!I30</f>
        <v>0</v>
      </c>
      <c r="N62" s="1934">
        <f>+'6. mell (Bontás)'!N61+'8. mell. Intézmények összesen'!J30</f>
        <v>0</v>
      </c>
      <c r="O62" s="1934">
        <f>+'6. mell (Bontás)'!O61+'8. mell. Intézmények összesen'!K30</f>
        <v>0</v>
      </c>
      <c r="P62" s="1934">
        <f>+'6. mell (Bontás)'!P61</f>
        <v>406125</v>
      </c>
      <c r="Q62" s="1934">
        <f>+'6. mell (Bontás)'!Q61+'8. mell. Intézmények összesen'!M30</f>
        <v>406125</v>
      </c>
      <c r="R62" s="1934">
        <f>+'6. mell (Bontás)'!R61+'8. mell. Intézmények összesen'!N30</f>
        <v>406125</v>
      </c>
      <c r="S62" s="1934">
        <f>+'6. mell (Bontás)'!S61+'8. mell. Intézmények összesen'!O30</f>
        <v>1077665</v>
      </c>
      <c r="T62" s="1934">
        <f>+'6. mell (Bontás)'!T61+'8. mell. Intézmények összesen'!P30</f>
        <v>1077665</v>
      </c>
      <c r="U62" s="1934">
        <f>+'6. mell (Bontás)'!U61+'8. mell. Intézmények összesen'!Q30</f>
        <v>1077665</v>
      </c>
      <c r="V62" s="2482">
        <f>+'6. mell (Bontás)'!V61</f>
        <v>0</v>
      </c>
      <c r="W62" s="1934">
        <f>+'6. mell (Bontás)'!W61</f>
        <v>0</v>
      </c>
      <c r="X62" s="1934">
        <f>+'6. mell (Bontás)'!X61</f>
        <v>0</v>
      </c>
      <c r="Y62" s="1934">
        <f>+'6. mell (Bontás)'!Y61</f>
        <v>0</v>
      </c>
      <c r="Z62" s="1934">
        <f>+'6. mell (Bontás)'!Z61</f>
        <v>0</v>
      </c>
      <c r="AA62" s="1934">
        <f>+'6. mell (Bontás)'!AA61</f>
        <v>0</v>
      </c>
      <c r="AB62" s="2495">
        <f t="shared" si="46"/>
        <v>406125</v>
      </c>
      <c r="AC62" s="2495">
        <f t="shared" si="46"/>
        <v>406125</v>
      </c>
      <c r="AD62" s="2495">
        <f t="shared" si="46"/>
        <v>406125</v>
      </c>
      <c r="AE62" s="2495">
        <f t="shared" si="46"/>
        <v>1077665</v>
      </c>
      <c r="AF62" s="2495">
        <f t="shared" si="46"/>
        <v>1077665</v>
      </c>
      <c r="AG62" s="2495">
        <f t="shared" si="46"/>
        <v>1077665</v>
      </c>
      <c r="AH62" s="999">
        <f t="shared" si="1"/>
        <v>0</v>
      </c>
      <c r="AI62" s="999">
        <f t="shared" si="2"/>
        <v>0</v>
      </c>
      <c r="AJ62" s="999">
        <f t="shared" si="3"/>
        <v>0</v>
      </c>
      <c r="AK62" s="999">
        <f t="shared" si="4"/>
        <v>0</v>
      </c>
      <c r="AL62" s="999">
        <f t="shared" si="5"/>
        <v>0</v>
      </c>
      <c r="AM62" s="79">
        <f t="shared" si="6"/>
        <v>0</v>
      </c>
    </row>
    <row r="63" spans="1:39" s="75" customFormat="1">
      <c r="A63" s="1931" t="s">
        <v>269</v>
      </c>
      <c r="B63" s="1932" t="s">
        <v>270</v>
      </c>
      <c r="C63" s="1937">
        <f>+'5. mell.Önk-i mérleg'!C62</f>
        <v>98690400</v>
      </c>
      <c r="D63" s="1937">
        <f>+'5. mell.Önk-i mérleg'!E62</f>
        <v>0</v>
      </c>
      <c r="E63" s="1937">
        <f>+'5. mell.Önk-i mérleg'!F62</f>
        <v>0</v>
      </c>
      <c r="F63" s="1937">
        <f>+'5. mell.Önk-i mérleg'!G62</f>
        <v>0</v>
      </c>
      <c r="G63" s="1937">
        <f>+'5. mell.Önk-i mérleg'!H62</f>
        <v>0</v>
      </c>
      <c r="H63" s="1937">
        <f>+'5. mell.Önk-i mérleg'!I62</f>
        <v>0</v>
      </c>
      <c r="I63" s="1937">
        <f>+'5. mell.Önk-i mérleg'!J62</f>
        <v>0</v>
      </c>
      <c r="J63" s="1934">
        <f>+'6. mell (Bontás)'!J62</f>
        <v>0</v>
      </c>
      <c r="K63" s="1934">
        <f>+'6. mell (Bontás)'!K62</f>
        <v>0</v>
      </c>
      <c r="L63" s="1934">
        <f>+'6. mell (Bontás)'!L62</f>
        <v>0</v>
      </c>
      <c r="M63" s="1934">
        <f>+'6. mell (Bontás)'!M62</f>
        <v>0</v>
      </c>
      <c r="N63" s="1934">
        <f>+'6. mell (Bontás)'!N62</f>
        <v>0</v>
      </c>
      <c r="O63" s="1934">
        <f>+'6. mell (Bontás)'!O62</f>
        <v>0</v>
      </c>
      <c r="P63" s="1934">
        <f>+'6. mell (Bontás)'!P62</f>
        <v>0</v>
      </c>
      <c r="Q63" s="1934">
        <f>+'6. mell (Bontás)'!Q62</f>
        <v>0</v>
      </c>
      <c r="R63" s="1934">
        <f>+'6. mell (Bontás)'!R62</f>
        <v>0</v>
      </c>
      <c r="S63" s="1934">
        <f>+'6. mell (Bontás)'!S62</f>
        <v>0</v>
      </c>
      <c r="T63" s="1934">
        <f>+'6. mell (Bontás)'!T62</f>
        <v>0</v>
      </c>
      <c r="U63" s="1934">
        <f>+'6. mell (Bontás)'!U62</f>
        <v>0</v>
      </c>
      <c r="V63" s="2482">
        <f>+'6. mell (Bontás)'!V62</f>
        <v>0</v>
      </c>
      <c r="W63" s="1934">
        <f>+'6. mell (Bontás)'!W62</f>
        <v>0</v>
      </c>
      <c r="X63" s="1934">
        <f>+'6. mell (Bontás)'!X62</f>
        <v>0</v>
      </c>
      <c r="Y63" s="1934">
        <f>+'6. mell (Bontás)'!Y62</f>
        <v>0</v>
      </c>
      <c r="Z63" s="1934">
        <f>+'6. mell (Bontás)'!Z62</f>
        <v>0</v>
      </c>
      <c r="AA63" s="1934">
        <f>+'6. mell (Bontás)'!AA62</f>
        <v>0</v>
      </c>
      <c r="AB63" s="2495">
        <f t="shared" si="46"/>
        <v>0</v>
      </c>
      <c r="AC63" s="2495">
        <f t="shared" si="46"/>
        <v>0</v>
      </c>
      <c r="AD63" s="2495">
        <f t="shared" si="46"/>
        <v>0</v>
      </c>
      <c r="AE63" s="2495">
        <f t="shared" si="46"/>
        <v>0</v>
      </c>
      <c r="AF63" s="2495">
        <f t="shared" si="46"/>
        <v>0</v>
      </c>
      <c r="AG63" s="2495">
        <f t="shared" si="46"/>
        <v>0</v>
      </c>
      <c r="AH63" s="999">
        <f t="shared" si="1"/>
        <v>0</v>
      </c>
      <c r="AI63" s="999">
        <f t="shared" si="2"/>
        <v>0</v>
      </c>
      <c r="AJ63" s="999">
        <f t="shared" si="3"/>
        <v>0</v>
      </c>
      <c r="AK63" s="999">
        <f t="shared" si="4"/>
        <v>0</v>
      </c>
      <c r="AL63" s="999">
        <f t="shared" si="5"/>
        <v>0</v>
      </c>
      <c r="AM63" s="79">
        <f t="shared" si="6"/>
        <v>0</v>
      </c>
    </row>
    <row r="64" spans="1:39" s="75" customFormat="1">
      <c r="A64" s="1938" t="s">
        <v>25</v>
      </c>
      <c r="B64" s="1939" t="s">
        <v>3036</v>
      </c>
      <c r="C64" s="1940">
        <f t="shared" ref="C64:AG64" si="47">+C8+C15+C22+C29+C36+C48+C54+C59</f>
        <v>26660259125.189999</v>
      </c>
      <c r="D64" s="1940">
        <f t="shared" si="47"/>
        <v>27257936916.26968</v>
      </c>
      <c r="E64" s="1940">
        <f t="shared" si="47"/>
        <v>27735504297.26968</v>
      </c>
      <c r="F64" s="1940">
        <f t="shared" si="47"/>
        <v>27857341548.26968</v>
      </c>
      <c r="G64" s="1940">
        <f t="shared" si="47"/>
        <v>27209648493.26968</v>
      </c>
      <c r="H64" s="1940">
        <f t="shared" si="47"/>
        <v>27209648493.26968</v>
      </c>
      <c r="I64" s="1940">
        <f t="shared" si="47"/>
        <v>27209648493</v>
      </c>
      <c r="J64" s="1940">
        <f t="shared" si="47"/>
        <v>23434183966.26968</v>
      </c>
      <c r="K64" s="1940">
        <f t="shared" si="47"/>
        <v>23905632315.26968</v>
      </c>
      <c r="L64" s="1940">
        <f t="shared" si="47"/>
        <v>23908571030.26968</v>
      </c>
      <c r="M64" s="1940">
        <f t="shared" si="47"/>
        <v>23317296772.26968</v>
      </c>
      <c r="N64" s="1940">
        <f t="shared" si="47"/>
        <v>23317296772.26968</v>
      </c>
      <c r="O64" s="1940">
        <f t="shared" si="47"/>
        <v>23317296772</v>
      </c>
      <c r="P64" s="1940">
        <f t="shared" si="47"/>
        <v>3820252950</v>
      </c>
      <c r="Q64" s="1940">
        <f t="shared" si="47"/>
        <v>3826371982</v>
      </c>
      <c r="R64" s="1940">
        <f t="shared" si="47"/>
        <v>3943297054</v>
      </c>
      <c r="S64" s="1940">
        <f t="shared" si="47"/>
        <v>3889840081</v>
      </c>
      <c r="T64" s="1940">
        <f t="shared" si="47"/>
        <v>3889840081</v>
      </c>
      <c r="U64" s="1940">
        <f t="shared" si="47"/>
        <v>3889840081</v>
      </c>
      <c r="V64" s="2483">
        <f t="shared" si="47"/>
        <v>3500000</v>
      </c>
      <c r="W64" s="1940">
        <f t="shared" si="47"/>
        <v>3500000</v>
      </c>
      <c r="X64" s="1940">
        <f t="shared" si="47"/>
        <v>5473464</v>
      </c>
      <c r="Y64" s="1940">
        <f t="shared" si="47"/>
        <v>2511640</v>
      </c>
      <c r="Z64" s="1940">
        <f t="shared" si="47"/>
        <v>2511640</v>
      </c>
      <c r="AA64" s="1940">
        <f t="shared" si="47"/>
        <v>2511640</v>
      </c>
      <c r="AB64" s="1940">
        <f t="shared" si="47"/>
        <v>27257936916.26968</v>
      </c>
      <c r="AC64" s="1940">
        <f t="shared" si="47"/>
        <v>27735504297.26968</v>
      </c>
      <c r="AD64" s="1940">
        <f t="shared" si="47"/>
        <v>27857341548.26968</v>
      </c>
      <c r="AE64" s="1940">
        <f t="shared" si="47"/>
        <v>27209648493.26968</v>
      </c>
      <c r="AF64" s="1940">
        <f t="shared" si="47"/>
        <v>27209648493.26968</v>
      </c>
      <c r="AG64" s="1940">
        <f t="shared" si="47"/>
        <v>27209648493</v>
      </c>
      <c r="AH64" s="999">
        <f t="shared" si="1"/>
        <v>0</v>
      </c>
      <c r="AI64" s="999">
        <f t="shared" si="2"/>
        <v>0</v>
      </c>
      <c r="AJ64" s="999">
        <f t="shared" si="3"/>
        <v>0</v>
      </c>
      <c r="AK64" s="999">
        <f t="shared" si="4"/>
        <v>0</v>
      </c>
      <c r="AL64" s="999">
        <f t="shared" si="5"/>
        <v>0</v>
      </c>
      <c r="AM64" s="79">
        <f t="shared" si="6"/>
        <v>0</v>
      </c>
    </row>
    <row r="65" spans="1:39" s="75" customFormat="1">
      <c r="A65" s="1928" t="s">
        <v>27</v>
      </c>
      <c r="B65" s="1935" t="s">
        <v>3033</v>
      </c>
      <c r="C65" s="1930">
        <f t="shared" ref="C65:AG65" si="48">SUM(C66:C68)</f>
        <v>0</v>
      </c>
      <c r="D65" s="1930">
        <f t="shared" si="48"/>
        <v>0</v>
      </c>
      <c r="E65" s="1930">
        <f t="shared" si="48"/>
        <v>0</v>
      </c>
      <c r="F65" s="1930">
        <f t="shared" si="48"/>
        <v>0</v>
      </c>
      <c r="G65" s="1930">
        <f t="shared" si="48"/>
        <v>0</v>
      </c>
      <c r="H65" s="1930">
        <f t="shared" si="48"/>
        <v>0</v>
      </c>
      <c r="I65" s="1930">
        <f t="shared" si="48"/>
        <v>0</v>
      </c>
      <c r="J65" s="1930">
        <f t="shared" si="48"/>
        <v>0</v>
      </c>
      <c r="K65" s="1930">
        <f t="shared" si="48"/>
        <v>0</v>
      </c>
      <c r="L65" s="1930">
        <f t="shared" si="48"/>
        <v>0</v>
      </c>
      <c r="M65" s="1930">
        <f t="shared" si="48"/>
        <v>0</v>
      </c>
      <c r="N65" s="1930">
        <f t="shared" si="48"/>
        <v>0</v>
      </c>
      <c r="O65" s="1930">
        <f t="shared" si="48"/>
        <v>0</v>
      </c>
      <c r="P65" s="1930">
        <f t="shared" si="48"/>
        <v>0</v>
      </c>
      <c r="Q65" s="1930">
        <f t="shared" si="48"/>
        <v>0</v>
      </c>
      <c r="R65" s="1930">
        <f t="shared" si="48"/>
        <v>0</v>
      </c>
      <c r="S65" s="1930">
        <f t="shared" si="48"/>
        <v>0</v>
      </c>
      <c r="T65" s="1930">
        <f t="shared" si="48"/>
        <v>0</v>
      </c>
      <c r="U65" s="1930">
        <f t="shared" si="48"/>
        <v>0</v>
      </c>
      <c r="V65" s="2481">
        <f t="shared" si="48"/>
        <v>0</v>
      </c>
      <c r="W65" s="1930">
        <f t="shared" si="48"/>
        <v>0</v>
      </c>
      <c r="X65" s="1930">
        <f t="shared" si="48"/>
        <v>0</v>
      </c>
      <c r="Y65" s="1930">
        <f t="shared" si="48"/>
        <v>0</v>
      </c>
      <c r="Z65" s="1930">
        <f t="shared" si="48"/>
        <v>0</v>
      </c>
      <c r="AA65" s="1930">
        <f t="shared" si="48"/>
        <v>0</v>
      </c>
      <c r="AB65" s="1930">
        <f t="shared" si="48"/>
        <v>0</v>
      </c>
      <c r="AC65" s="1930">
        <f t="shared" si="48"/>
        <v>0</v>
      </c>
      <c r="AD65" s="1930">
        <f t="shared" si="48"/>
        <v>0</v>
      </c>
      <c r="AE65" s="1930">
        <f t="shared" si="48"/>
        <v>0</v>
      </c>
      <c r="AF65" s="1930">
        <f t="shared" si="48"/>
        <v>0</v>
      </c>
      <c r="AG65" s="1930">
        <f t="shared" si="48"/>
        <v>0</v>
      </c>
      <c r="AH65" s="999">
        <f t="shared" si="1"/>
        <v>0</v>
      </c>
      <c r="AI65" s="999">
        <f t="shared" si="2"/>
        <v>0</v>
      </c>
      <c r="AJ65" s="999">
        <f t="shared" si="3"/>
        <v>0</v>
      </c>
      <c r="AK65" s="999">
        <f t="shared" si="4"/>
        <v>0</v>
      </c>
      <c r="AL65" s="999">
        <f t="shared" si="5"/>
        <v>0</v>
      </c>
      <c r="AM65" s="79">
        <f t="shared" si="6"/>
        <v>0</v>
      </c>
    </row>
    <row r="66" spans="1:39" s="75" customFormat="1">
      <c r="A66" s="1931" t="s">
        <v>273</v>
      </c>
      <c r="B66" s="1932" t="s">
        <v>274</v>
      </c>
      <c r="C66" s="1937">
        <f>+'5. mell.Önk-i mérleg'!C65</f>
        <v>0</v>
      </c>
      <c r="D66" s="1937">
        <f>+'5. mell.Önk-i mérleg'!E65</f>
        <v>0</v>
      </c>
      <c r="E66" s="1937">
        <f>+'5. mell.Önk-i mérleg'!F65</f>
        <v>0</v>
      </c>
      <c r="F66" s="1937">
        <f>+'5. mell.Önk-i mérleg'!G65</f>
        <v>0</v>
      </c>
      <c r="G66" s="1937">
        <f>+'5. mell.Önk-i mérleg'!H65</f>
        <v>0</v>
      </c>
      <c r="H66" s="1937">
        <f>+'5. mell.Önk-i mérleg'!I65</f>
        <v>0</v>
      </c>
      <c r="I66" s="1937">
        <f>+'5. mell.Önk-i mérleg'!J65</f>
        <v>0</v>
      </c>
      <c r="J66" s="1934">
        <f>+'6. mell (Bontás)'!J65</f>
        <v>0</v>
      </c>
      <c r="K66" s="1934">
        <f>+'6. mell (Bontás)'!K65</f>
        <v>0</v>
      </c>
      <c r="L66" s="1934">
        <f>+'6. mell (Bontás)'!L65</f>
        <v>0</v>
      </c>
      <c r="M66" s="1934">
        <f>+'6. mell (Bontás)'!M65</f>
        <v>0</v>
      </c>
      <c r="N66" s="1934">
        <f>+'6. mell (Bontás)'!N65</f>
        <v>0</v>
      </c>
      <c r="O66" s="1934">
        <f>+'6. mell (Bontás)'!O65</f>
        <v>0</v>
      </c>
      <c r="P66" s="1934">
        <f>+'6. mell (Bontás)'!P65</f>
        <v>0</v>
      </c>
      <c r="Q66" s="1934">
        <f>+'6. mell (Bontás)'!Q65</f>
        <v>0</v>
      </c>
      <c r="R66" s="1934">
        <f>+'6. mell (Bontás)'!R65</f>
        <v>0</v>
      </c>
      <c r="S66" s="1934">
        <f>+'6. mell (Bontás)'!S65</f>
        <v>0</v>
      </c>
      <c r="T66" s="1934">
        <f>+'6. mell (Bontás)'!T65</f>
        <v>0</v>
      </c>
      <c r="U66" s="1934">
        <f>+'6. mell (Bontás)'!U65</f>
        <v>0</v>
      </c>
      <c r="V66" s="2482">
        <f>+'6. mell (Bontás)'!V65</f>
        <v>0</v>
      </c>
      <c r="W66" s="1934">
        <f>+'6. mell (Bontás)'!W65</f>
        <v>0</v>
      </c>
      <c r="X66" s="1934">
        <f>+'6. mell (Bontás)'!X65</f>
        <v>0</v>
      </c>
      <c r="Y66" s="1934">
        <f>+'6. mell (Bontás)'!Y65</f>
        <v>0</v>
      </c>
      <c r="Z66" s="1934">
        <f>+'6. mell (Bontás)'!Z65</f>
        <v>0</v>
      </c>
      <c r="AA66" s="1934">
        <f>+'6. mell (Bontás)'!AA65</f>
        <v>0</v>
      </c>
      <c r="AB66" s="2495">
        <f t="shared" ref="AB66:AG68" si="49">+J66+P66+V66</f>
        <v>0</v>
      </c>
      <c r="AC66" s="2495">
        <f t="shared" si="49"/>
        <v>0</v>
      </c>
      <c r="AD66" s="2495">
        <f t="shared" si="49"/>
        <v>0</v>
      </c>
      <c r="AE66" s="2495">
        <f t="shared" si="49"/>
        <v>0</v>
      </c>
      <c r="AF66" s="2495">
        <f t="shared" si="49"/>
        <v>0</v>
      </c>
      <c r="AG66" s="2495">
        <f t="shared" si="49"/>
        <v>0</v>
      </c>
      <c r="AH66" s="999">
        <f t="shared" si="1"/>
        <v>0</v>
      </c>
      <c r="AI66" s="999">
        <f t="shared" si="2"/>
        <v>0</v>
      </c>
      <c r="AJ66" s="999">
        <f t="shared" si="3"/>
        <v>0</v>
      </c>
      <c r="AK66" s="999">
        <f t="shared" si="4"/>
        <v>0</v>
      </c>
      <c r="AL66" s="999">
        <f t="shared" si="5"/>
        <v>0</v>
      </c>
      <c r="AM66" s="79">
        <f t="shared" si="6"/>
        <v>0</v>
      </c>
    </row>
    <row r="67" spans="1:39" s="75" customFormat="1">
      <c r="A67" s="1931" t="s">
        <v>275</v>
      </c>
      <c r="B67" s="1932" t="s">
        <v>276</v>
      </c>
      <c r="C67" s="1937">
        <f>+'5. mell.Önk-i mérleg'!C66</f>
        <v>0</v>
      </c>
      <c r="D67" s="1937">
        <f>+'5. mell.Önk-i mérleg'!E66</f>
        <v>0</v>
      </c>
      <c r="E67" s="1937">
        <f>+'5. mell.Önk-i mérleg'!F66</f>
        <v>0</v>
      </c>
      <c r="F67" s="1937">
        <f>+'5. mell.Önk-i mérleg'!G66</f>
        <v>0</v>
      </c>
      <c r="G67" s="1937">
        <f>+'5. mell.Önk-i mérleg'!H66</f>
        <v>0</v>
      </c>
      <c r="H67" s="1937">
        <f>+'5. mell.Önk-i mérleg'!I66</f>
        <v>0</v>
      </c>
      <c r="I67" s="1937">
        <f>+'5. mell.Önk-i mérleg'!J66</f>
        <v>0</v>
      </c>
      <c r="J67" s="1934">
        <f>+'6. mell (Bontás)'!J66</f>
        <v>0</v>
      </c>
      <c r="K67" s="1934">
        <f>+'6. mell (Bontás)'!K66</f>
        <v>0</v>
      </c>
      <c r="L67" s="1934">
        <f>+'6. mell (Bontás)'!L66</f>
        <v>0</v>
      </c>
      <c r="M67" s="1934">
        <f>+'6. mell (Bontás)'!M66</f>
        <v>0</v>
      </c>
      <c r="N67" s="1934">
        <f>+'6. mell (Bontás)'!N66</f>
        <v>0</v>
      </c>
      <c r="O67" s="1934">
        <f>+'6. mell (Bontás)'!O66</f>
        <v>0</v>
      </c>
      <c r="P67" s="1934">
        <f>+'6. mell (Bontás)'!P66</f>
        <v>0</v>
      </c>
      <c r="Q67" s="1934">
        <f>+'6. mell (Bontás)'!Q66</f>
        <v>0</v>
      </c>
      <c r="R67" s="1934">
        <f>+'6. mell (Bontás)'!R66</f>
        <v>0</v>
      </c>
      <c r="S67" s="1934">
        <f>+'6. mell (Bontás)'!S66</f>
        <v>0</v>
      </c>
      <c r="T67" s="1934">
        <f>+'6. mell (Bontás)'!T66</f>
        <v>0</v>
      </c>
      <c r="U67" s="1934">
        <f>+'6. mell (Bontás)'!U66</f>
        <v>0</v>
      </c>
      <c r="V67" s="2482">
        <f>+'6. mell (Bontás)'!V66</f>
        <v>0</v>
      </c>
      <c r="W67" s="1934">
        <f>+'6. mell (Bontás)'!W66</f>
        <v>0</v>
      </c>
      <c r="X67" s="1934">
        <f>+'6. mell (Bontás)'!X66</f>
        <v>0</v>
      </c>
      <c r="Y67" s="1934">
        <f>+'6. mell (Bontás)'!Y66</f>
        <v>0</v>
      </c>
      <c r="Z67" s="1934">
        <f>+'6. mell (Bontás)'!Z66</f>
        <v>0</v>
      </c>
      <c r="AA67" s="1934">
        <f>+'6. mell (Bontás)'!AA66</f>
        <v>0</v>
      </c>
      <c r="AB67" s="2495">
        <f t="shared" si="49"/>
        <v>0</v>
      </c>
      <c r="AC67" s="2495">
        <f t="shared" si="49"/>
        <v>0</v>
      </c>
      <c r="AD67" s="2495">
        <f t="shared" si="49"/>
        <v>0</v>
      </c>
      <c r="AE67" s="2495">
        <f t="shared" si="49"/>
        <v>0</v>
      </c>
      <c r="AF67" s="2495">
        <f t="shared" si="49"/>
        <v>0</v>
      </c>
      <c r="AG67" s="2495">
        <f t="shared" si="49"/>
        <v>0</v>
      </c>
      <c r="AH67" s="999">
        <f t="shared" si="1"/>
        <v>0</v>
      </c>
      <c r="AI67" s="999">
        <f t="shared" si="2"/>
        <v>0</v>
      </c>
      <c r="AJ67" s="999">
        <f t="shared" si="3"/>
        <v>0</v>
      </c>
      <c r="AK67" s="999">
        <f t="shared" si="4"/>
        <v>0</v>
      </c>
      <c r="AL67" s="999">
        <f t="shared" si="5"/>
        <v>0</v>
      </c>
      <c r="AM67" s="79">
        <f t="shared" si="6"/>
        <v>0</v>
      </c>
    </row>
    <row r="68" spans="1:39" s="75" customFormat="1">
      <c r="A68" s="1931" t="s">
        <v>277</v>
      </c>
      <c r="B68" s="1941" t="s">
        <v>278</v>
      </c>
      <c r="C68" s="1937">
        <f>+'5. mell.Önk-i mérleg'!C67</f>
        <v>0</v>
      </c>
      <c r="D68" s="1937">
        <f>+'5. mell.Önk-i mérleg'!E67</f>
        <v>0</v>
      </c>
      <c r="E68" s="1937">
        <f>+'5. mell.Önk-i mérleg'!F67</f>
        <v>0</v>
      </c>
      <c r="F68" s="1937">
        <f>+'5. mell.Önk-i mérleg'!G67</f>
        <v>0</v>
      </c>
      <c r="G68" s="1937">
        <f>+'5. mell.Önk-i mérleg'!H67</f>
        <v>0</v>
      </c>
      <c r="H68" s="1937">
        <f>+'5. mell.Önk-i mérleg'!I67</f>
        <v>0</v>
      </c>
      <c r="I68" s="1937">
        <f>+'5. mell.Önk-i mérleg'!J67</f>
        <v>0</v>
      </c>
      <c r="J68" s="1934">
        <f>+'6. mell (Bontás)'!J67</f>
        <v>0</v>
      </c>
      <c r="K68" s="1934">
        <f>+'6. mell (Bontás)'!K67</f>
        <v>0</v>
      </c>
      <c r="L68" s="1934">
        <f>+'6. mell (Bontás)'!L67</f>
        <v>0</v>
      </c>
      <c r="M68" s="1934">
        <f>+'6. mell (Bontás)'!M67</f>
        <v>0</v>
      </c>
      <c r="N68" s="1934">
        <f>+'6. mell (Bontás)'!N67</f>
        <v>0</v>
      </c>
      <c r="O68" s="1934">
        <f>+'6. mell (Bontás)'!O67</f>
        <v>0</v>
      </c>
      <c r="P68" s="1934">
        <f>+'6. mell (Bontás)'!P67</f>
        <v>0</v>
      </c>
      <c r="Q68" s="1934">
        <f>+'6. mell (Bontás)'!Q67</f>
        <v>0</v>
      </c>
      <c r="R68" s="1934">
        <f>+'6. mell (Bontás)'!R67</f>
        <v>0</v>
      </c>
      <c r="S68" s="1934">
        <f>+'6. mell (Bontás)'!S67</f>
        <v>0</v>
      </c>
      <c r="T68" s="1934">
        <f>+'6. mell (Bontás)'!T67</f>
        <v>0</v>
      </c>
      <c r="U68" s="1934">
        <f>+'6. mell (Bontás)'!U67</f>
        <v>0</v>
      </c>
      <c r="V68" s="2482">
        <f>+'6. mell (Bontás)'!V67</f>
        <v>0</v>
      </c>
      <c r="W68" s="1934">
        <f>+'6. mell (Bontás)'!W67</f>
        <v>0</v>
      </c>
      <c r="X68" s="1934">
        <f>+'6. mell (Bontás)'!X67</f>
        <v>0</v>
      </c>
      <c r="Y68" s="1934">
        <f>+'6. mell (Bontás)'!Y67</f>
        <v>0</v>
      </c>
      <c r="Z68" s="1934">
        <f>+'6. mell (Bontás)'!Z67</f>
        <v>0</v>
      </c>
      <c r="AA68" s="1934">
        <f>+'6. mell (Bontás)'!AA67</f>
        <v>0</v>
      </c>
      <c r="AB68" s="2495">
        <f t="shared" si="49"/>
        <v>0</v>
      </c>
      <c r="AC68" s="2495">
        <f t="shared" si="49"/>
        <v>0</v>
      </c>
      <c r="AD68" s="2495">
        <f t="shared" si="49"/>
        <v>0</v>
      </c>
      <c r="AE68" s="2495">
        <f t="shared" si="49"/>
        <v>0</v>
      </c>
      <c r="AF68" s="2495">
        <f t="shared" si="49"/>
        <v>0</v>
      </c>
      <c r="AG68" s="2495">
        <f t="shared" si="49"/>
        <v>0</v>
      </c>
      <c r="AH68" s="999">
        <f t="shared" si="1"/>
        <v>0</v>
      </c>
      <c r="AI68" s="999">
        <f t="shared" si="2"/>
        <v>0</v>
      </c>
      <c r="AJ68" s="999">
        <f t="shared" si="3"/>
        <v>0</v>
      </c>
      <c r="AK68" s="999">
        <f t="shared" si="4"/>
        <v>0</v>
      </c>
      <c r="AL68" s="999">
        <f t="shared" si="5"/>
        <v>0</v>
      </c>
      <c r="AM68" s="79">
        <f t="shared" si="6"/>
        <v>0</v>
      </c>
    </row>
    <row r="69" spans="1:39" s="75" customFormat="1">
      <c r="A69" s="1928" t="s">
        <v>29</v>
      </c>
      <c r="B69" s="1935" t="s">
        <v>279</v>
      </c>
      <c r="C69" s="1930">
        <f t="shared" ref="C69:AG69" si="50">SUM(C70:C73)</f>
        <v>0</v>
      </c>
      <c r="D69" s="1930">
        <f t="shared" si="50"/>
        <v>0</v>
      </c>
      <c r="E69" s="1930">
        <f t="shared" si="50"/>
        <v>0</v>
      </c>
      <c r="F69" s="1930">
        <f t="shared" si="50"/>
        <v>0</v>
      </c>
      <c r="G69" s="1930">
        <f t="shared" si="50"/>
        <v>4999090000</v>
      </c>
      <c r="H69" s="1930">
        <f t="shared" si="50"/>
        <v>4999090000</v>
      </c>
      <c r="I69" s="1930">
        <f t="shared" si="50"/>
        <v>2790470000</v>
      </c>
      <c r="J69" s="1930">
        <f t="shared" si="50"/>
        <v>0</v>
      </c>
      <c r="K69" s="1930">
        <f t="shared" si="50"/>
        <v>0</v>
      </c>
      <c r="L69" s="1930">
        <f t="shared" si="50"/>
        <v>0</v>
      </c>
      <c r="M69" s="1930">
        <f t="shared" si="50"/>
        <v>4999090000</v>
      </c>
      <c r="N69" s="1930">
        <f t="shared" si="50"/>
        <v>4999090000</v>
      </c>
      <c r="O69" s="1930">
        <f t="shared" si="50"/>
        <v>2790470000</v>
      </c>
      <c r="P69" s="1930">
        <f t="shared" si="50"/>
        <v>0</v>
      </c>
      <c r="Q69" s="1930">
        <f t="shared" si="50"/>
        <v>0</v>
      </c>
      <c r="R69" s="1930">
        <f t="shared" si="50"/>
        <v>0</v>
      </c>
      <c r="S69" s="1930">
        <f t="shared" si="50"/>
        <v>0</v>
      </c>
      <c r="T69" s="1930">
        <f t="shared" si="50"/>
        <v>0</v>
      </c>
      <c r="U69" s="1930">
        <f t="shared" si="50"/>
        <v>0</v>
      </c>
      <c r="V69" s="2481">
        <f t="shared" si="50"/>
        <v>0</v>
      </c>
      <c r="W69" s="1930">
        <f t="shared" si="50"/>
        <v>0</v>
      </c>
      <c r="X69" s="1930">
        <f t="shared" si="50"/>
        <v>0</v>
      </c>
      <c r="Y69" s="1930">
        <f t="shared" si="50"/>
        <v>0</v>
      </c>
      <c r="Z69" s="1930">
        <f t="shared" si="50"/>
        <v>0</v>
      </c>
      <c r="AA69" s="1930">
        <f t="shared" si="50"/>
        <v>0</v>
      </c>
      <c r="AB69" s="1930">
        <f t="shared" si="50"/>
        <v>0</v>
      </c>
      <c r="AC69" s="1930">
        <f t="shared" si="50"/>
        <v>0</v>
      </c>
      <c r="AD69" s="1930">
        <f t="shared" si="50"/>
        <v>0</v>
      </c>
      <c r="AE69" s="1930">
        <f t="shared" si="50"/>
        <v>4999090000</v>
      </c>
      <c r="AF69" s="1930">
        <f t="shared" si="50"/>
        <v>4999090000</v>
      </c>
      <c r="AG69" s="1930">
        <f t="shared" si="50"/>
        <v>2790470000</v>
      </c>
      <c r="AH69" s="999">
        <f t="shared" si="1"/>
        <v>0</v>
      </c>
      <c r="AI69" s="999">
        <f t="shared" si="2"/>
        <v>0</v>
      </c>
      <c r="AJ69" s="999">
        <f t="shared" si="3"/>
        <v>0</v>
      </c>
      <c r="AK69" s="999">
        <f t="shared" si="4"/>
        <v>0</v>
      </c>
      <c r="AL69" s="999">
        <f t="shared" si="5"/>
        <v>0</v>
      </c>
      <c r="AM69" s="79">
        <f t="shared" si="6"/>
        <v>0</v>
      </c>
    </row>
    <row r="70" spans="1:39" s="75" customFormat="1">
      <c r="A70" s="1931" t="s">
        <v>280</v>
      </c>
      <c r="B70" s="1932" t="s">
        <v>281</v>
      </c>
      <c r="C70" s="1937">
        <f>+'5. mell.Önk-i mérleg'!C69</f>
        <v>0</v>
      </c>
      <c r="D70" s="1937">
        <f>+'5. mell.Önk-i mérleg'!E69</f>
        <v>0</v>
      </c>
      <c r="E70" s="1937">
        <f>+'5. mell.Önk-i mérleg'!F69</f>
        <v>0</v>
      </c>
      <c r="F70" s="1937">
        <f>+'5. mell.Önk-i mérleg'!G69</f>
        <v>0</v>
      </c>
      <c r="G70" s="1937">
        <f>+'5. mell.Önk-i mérleg'!H69</f>
        <v>4999090000</v>
      </c>
      <c r="H70" s="1937">
        <f>+'5. mell.Önk-i mérleg'!I69</f>
        <v>4999090000</v>
      </c>
      <c r="I70" s="1937">
        <f>+'5. mell.Önk-i mérleg'!J69</f>
        <v>2790470000</v>
      </c>
      <c r="J70" s="1934">
        <f>+'6. mell (Bontás)'!J69</f>
        <v>0</v>
      </c>
      <c r="K70" s="1934">
        <f>+'6. mell (Bontás)'!K69</f>
        <v>0</v>
      </c>
      <c r="L70" s="1934">
        <f>+'6. mell (Bontás)'!L69</f>
        <v>0</v>
      </c>
      <c r="M70" s="1934">
        <f>+'6. mell (Bontás)'!M69</f>
        <v>4999090000</v>
      </c>
      <c r="N70" s="1942">
        <f>+'6. mell (Bontás)'!N69</f>
        <v>4999090000</v>
      </c>
      <c r="O70" s="1934">
        <f>+'6. mell (Bontás)'!O69</f>
        <v>2790470000</v>
      </c>
      <c r="P70" s="1934">
        <f>+'6. mell (Bontás)'!P69</f>
        <v>0</v>
      </c>
      <c r="Q70" s="1943">
        <f>+'6. mell (Bontás)'!Q69</f>
        <v>0</v>
      </c>
      <c r="R70" s="1934">
        <f>+'6. mell (Bontás)'!R69</f>
        <v>0</v>
      </c>
      <c r="S70" s="1934">
        <f>+'6. mell (Bontás)'!S69</f>
        <v>0</v>
      </c>
      <c r="T70" s="1934">
        <f>+'6. mell (Bontás)'!T69</f>
        <v>0</v>
      </c>
      <c r="U70" s="1934">
        <f>+'6. mell (Bontás)'!U69</f>
        <v>0</v>
      </c>
      <c r="V70" s="2482">
        <f>+'6. mell (Bontás)'!V69</f>
        <v>0</v>
      </c>
      <c r="W70" s="1934">
        <f>+'6. mell (Bontás)'!W69</f>
        <v>0</v>
      </c>
      <c r="X70" s="1934">
        <f>+'6. mell (Bontás)'!X69</f>
        <v>0</v>
      </c>
      <c r="Y70" s="1934">
        <f>+'6. mell (Bontás)'!Y69</f>
        <v>0</v>
      </c>
      <c r="Z70" s="1934">
        <f>+'6. mell (Bontás)'!Z69</f>
        <v>0</v>
      </c>
      <c r="AA70" s="1934">
        <f>+'6. mell (Bontás)'!AA69</f>
        <v>0</v>
      </c>
      <c r="AB70" s="2495">
        <f t="shared" ref="AB70:AG73" si="51">+J70+P70+V70</f>
        <v>0</v>
      </c>
      <c r="AC70" s="2495">
        <f t="shared" si="51"/>
        <v>0</v>
      </c>
      <c r="AD70" s="2495">
        <f t="shared" si="51"/>
        <v>0</v>
      </c>
      <c r="AE70" s="2495">
        <f t="shared" si="51"/>
        <v>4999090000</v>
      </c>
      <c r="AF70" s="2495">
        <f t="shared" si="51"/>
        <v>4999090000</v>
      </c>
      <c r="AG70" s="2495">
        <f t="shared" si="51"/>
        <v>2790470000</v>
      </c>
      <c r="AH70" s="999">
        <f t="shared" si="1"/>
        <v>0</v>
      </c>
      <c r="AI70" s="999">
        <f t="shared" si="2"/>
        <v>0</v>
      </c>
      <c r="AJ70" s="999">
        <f t="shared" si="3"/>
        <v>0</v>
      </c>
      <c r="AK70" s="999">
        <f t="shared" si="4"/>
        <v>0</v>
      </c>
      <c r="AL70" s="999">
        <f t="shared" si="5"/>
        <v>0</v>
      </c>
      <c r="AM70" s="79">
        <f t="shared" si="6"/>
        <v>0</v>
      </c>
    </row>
    <row r="71" spans="1:39" s="75" customFormat="1">
      <c r="A71" s="1931" t="s">
        <v>282</v>
      </c>
      <c r="B71" s="1932" t="s">
        <v>283</v>
      </c>
      <c r="C71" s="1937">
        <f>+'5. mell.Önk-i mérleg'!C70</f>
        <v>0</v>
      </c>
      <c r="D71" s="1937">
        <f>+'5. mell.Önk-i mérleg'!E70</f>
        <v>0</v>
      </c>
      <c r="E71" s="1937">
        <f>+'5. mell.Önk-i mérleg'!F70</f>
        <v>0</v>
      </c>
      <c r="F71" s="1937">
        <f>+'5. mell.Önk-i mérleg'!G70</f>
        <v>0</v>
      </c>
      <c r="G71" s="1937">
        <f>+'5. mell.Önk-i mérleg'!H70</f>
        <v>0</v>
      </c>
      <c r="H71" s="1937">
        <f>+'5. mell.Önk-i mérleg'!I70</f>
        <v>0</v>
      </c>
      <c r="I71" s="1937">
        <f>+'5. mell.Önk-i mérleg'!J70</f>
        <v>0</v>
      </c>
      <c r="J71" s="1934">
        <f>+'6. mell (Bontás)'!J70</f>
        <v>0</v>
      </c>
      <c r="K71" s="1934">
        <f>+'6. mell (Bontás)'!K70</f>
        <v>0</v>
      </c>
      <c r="L71" s="1934">
        <f>+'6. mell (Bontás)'!L70</f>
        <v>0</v>
      </c>
      <c r="M71" s="1934">
        <f>+'6. mell (Bontás)'!M70</f>
        <v>0</v>
      </c>
      <c r="N71" s="1934">
        <f>+'6. mell (Bontás)'!N70</f>
        <v>0</v>
      </c>
      <c r="O71" s="1934">
        <f>+'6. mell (Bontás)'!O70</f>
        <v>0</v>
      </c>
      <c r="P71" s="1934">
        <f>+'6. mell (Bontás)'!P70</f>
        <v>0</v>
      </c>
      <c r="Q71" s="1934">
        <f>+'6. mell (Bontás)'!Q70</f>
        <v>0</v>
      </c>
      <c r="R71" s="1934">
        <v>0</v>
      </c>
      <c r="S71" s="1934">
        <f>+'6. mell (Bontás)'!S70</f>
        <v>0</v>
      </c>
      <c r="T71" s="1934">
        <f>+'6. mell (Bontás)'!T70</f>
        <v>0</v>
      </c>
      <c r="U71" s="1934">
        <f>+'6. mell (Bontás)'!U70</f>
        <v>0</v>
      </c>
      <c r="V71" s="2482">
        <f>+'6. mell (Bontás)'!V70</f>
        <v>0</v>
      </c>
      <c r="W71" s="1934">
        <f>+'6. mell (Bontás)'!W70</f>
        <v>0</v>
      </c>
      <c r="X71" s="1934">
        <f>+'6. mell (Bontás)'!X70</f>
        <v>0</v>
      </c>
      <c r="Y71" s="1934">
        <f>+'6. mell (Bontás)'!Y70</f>
        <v>0</v>
      </c>
      <c r="Z71" s="1934">
        <f>+'6. mell (Bontás)'!Z70</f>
        <v>0</v>
      </c>
      <c r="AA71" s="1934">
        <f>+'6. mell (Bontás)'!AA70</f>
        <v>0</v>
      </c>
      <c r="AB71" s="2495">
        <f t="shared" si="51"/>
        <v>0</v>
      </c>
      <c r="AC71" s="2495">
        <f t="shared" si="51"/>
        <v>0</v>
      </c>
      <c r="AD71" s="2495">
        <f t="shared" si="51"/>
        <v>0</v>
      </c>
      <c r="AE71" s="2495">
        <f t="shared" si="51"/>
        <v>0</v>
      </c>
      <c r="AF71" s="2495">
        <f t="shared" si="51"/>
        <v>0</v>
      </c>
      <c r="AG71" s="2495">
        <f t="shared" si="51"/>
        <v>0</v>
      </c>
      <c r="AH71" s="999">
        <f t="shared" si="1"/>
        <v>0</v>
      </c>
      <c r="AI71" s="999">
        <f t="shared" si="2"/>
        <v>0</v>
      </c>
      <c r="AJ71" s="999">
        <f t="shared" si="3"/>
        <v>0</v>
      </c>
      <c r="AK71" s="999">
        <f t="shared" si="4"/>
        <v>0</v>
      </c>
      <c r="AL71" s="999">
        <f t="shared" si="5"/>
        <v>0</v>
      </c>
      <c r="AM71" s="79">
        <f t="shared" si="6"/>
        <v>0</v>
      </c>
    </row>
    <row r="72" spans="1:39" s="75" customFormat="1">
      <c r="A72" s="1931" t="s">
        <v>284</v>
      </c>
      <c r="B72" s="1932" t="s">
        <v>285</v>
      </c>
      <c r="C72" s="1937">
        <f>+'5. mell.Önk-i mérleg'!C71</f>
        <v>0</v>
      </c>
      <c r="D72" s="1937">
        <f>+'5. mell.Önk-i mérleg'!E71</f>
        <v>0</v>
      </c>
      <c r="E72" s="1937">
        <f>+'5. mell.Önk-i mérleg'!F71</f>
        <v>0</v>
      </c>
      <c r="F72" s="1937">
        <f>+'5. mell.Önk-i mérleg'!G71</f>
        <v>0</v>
      </c>
      <c r="G72" s="1937">
        <f>+'5. mell.Önk-i mérleg'!H71</f>
        <v>0</v>
      </c>
      <c r="H72" s="1937">
        <f>+'5. mell.Önk-i mérleg'!I71</f>
        <v>0</v>
      </c>
      <c r="I72" s="1937">
        <f>+'5. mell.Önk-i mérleg'!J71</f>
        <v>0</v>
      </c>
      <c r="J72" s="1934">
        <f>+'6. mell (Bontás)'!J71</f>
        <v>0</v>
      </c>
      <c r="K72" s="1934">
        <f>+'6. mell (Bontás)'!K71</f>
        <v>0</v>
      </c>
      <c r="L72" s="1934">
        <f>+'6. mell (Bontás)'!L71</f>
        <v>0</v>
      </c>
      <c r="M72" s="1934">
        <f>+'6. mell (Bontás)'!M71</f>
        <v>0</v>
      </c>
      <c r="N72" s="1934">
        <f>+'6. mell (Bontás)'!N71</f>
        <v>0</v>
      </c>
      <c r="O72" s="1934">
        <f>+'6. mell (Bontás)'!O71</f>
        <v>0</v>
      </c>
      <c r="P72" s="1934">
        <f>+'6. mell (Bontás)'!P71</f>
        <v>0</v>
      </c>
      <c r="Q72" s="1934">
        <f>+'6. mell (Bontás)'!Q71</f>
        <v>0</v>
      </c>
      <c r="R72" s="1934">
        <v>0</v>
      </c>
      <c r="S72" s="1934">
        <f>+'6. mell (Bontás)'!S71</f>
        <v>0</v>
      </c>
      <c r="T72" s="1934">
        <f>+'6. mell (Bontás)'!T71</f>
        <v>0</v>
      </c>
      <c r="U72" s="1934">
        <f>+'6. mell (Bontás)'!U71</f>
        <v>0</v>
      </c>
      <c r="V72" s="2482">
        <f>+'6. mell (Bontás)'!V71</f>
        <v>0</v>
      </c>
      <c r="W72" s="1934">
        <f>+'6. mell (Bontás)'!W71</f>
        <v>0</v>
      </c>
      <c r="X72" s="1934">
        <f>+'6. mell (Bontás)'!X71</f>
        <v>0</v>
      </c>
      <c r="Y72" s="1934">
        <f>+'6. mell (Bontás)'!Y71</f>
        <v>0</v>
      </c>
      <c r="Z72" s="1934">
        <f>+'6. mell (Bontás)'!Z71</f>
        <v>0</v>
      </c>
      <c r="AA72" s="1934">
        <f>+'6. mell (Bontás)'!AA71</f>
        <v>0</v>
      </c>
      <c r="AB72" s="2495">
        <f t="shared" si="51"/>
        <v>0</v>
      </c>
      <c r="AC72" s="2495">
        <f t="shared" si="51"/>
        <v>0</v>
      </c>
      <c r="AD72" s="2495">
        <f t="shared" si="51"/>
        <v>0</v>
      </c>
      <c r="AE72" s="2495">
        <f t="shared" si="51"/>
        <v>0</v>
      </c>
      <c r="AF72" s="2495">
        <f t="shared" si="51"/>
        <v>0</v>
      </c>
      <c r="AG72" s="2495">
        <f t="shared" si="51"/>
        <v>0</v>
      </c>
      <c r="AH72" s="999">
        <f t="shared" si="1"/>
        <v>0</v>
      </c>
      <c r="AI72" s="999">
        <f t="shared" si="2"/>
        <v>0</v>
      </c>
      <c r="AJ72" s="999">
        <f t="shared" si="3"/>
        <v>0</v>
      </c>
      <c r="AK72" s="999">
        <f t="shared" si="4"/>
        <v>0</v>
      </c>
      <c r="AL72" s="999">
        <f t="shared" si="5"/>
        <v>0</v>
      </c>
      <c r="AM72" s="79">
        <f t="shared" si="6"/>
        <v>0</v>
      </c>
    </row>
    <row r="73" spans="1:39" s="75" customFormat="1">
      <c r="A73" s="1931" t="s">
        <v>286</v>
      </c>
      <c r="B73" s="1932" t="s">
        <v>287</v>
      </c>
      <c r="C73" s="1937">
        <f>+'5. mell.Önk-i mérleg'!C72</f>
        <v>0</v>
      </c>
      <c r="D73" s="1937">
        <f>+'5. mell.Önk-i mérleg'!E72</f>
        <v>0</v>
      </c>
      <c r="E73" s="1937">
        <f>+'5. mell.Önk-i mérleg'!F72</f>
        <v>0</v>
      </c>
      <c r="F73" s="1937">
        <f>+'5. mell.Önk-i mérleg'!G72</f>
        <v>0</v>
      </c>
      <c r="G73" s="1937">
        <f>+'5. mell.Önk-i mérleg'!H72</f>
        <v>0</v>
      </c>
      <c r="H73" s="1937">
        <f>+'5. mell.Önk-i mérleg'!I72</f>
        <v>0</v>
      </c>
      <c r="I73" s="1937">
        <f>+'5. mell.Önk-i mérleg'!J72</f>
        <v>0</v>
      </c>
      <c r="J73" s="1934">
        <f>+'6. mell (Bontás)'!J72</f>
        <v>0</v>
      </c>
      <c r="K73" s="1934">
        <f>+'6. mell (Bontás)'!K72</f>
        <v>0</v>
      </c>
      <c r="L73" s="1934">
        <f>+'6. mell (Bontás)'!L72</f>
        <v>0</v>
      </c>
      <c r="M73" s="1934">
        <f>+'6. mell (Bontás)'!M72</f>
        <v>0</v>
      </c>
      <c r="N73" s="1934">
        <f>+'6. mell (Bontás)'!N72</f>
        <v>0</v>
      </c>
      <c r="O73" s="1934">
        <f>+'6. mell (Bontás)'!O72</f>
        <v>0</v>
      </c>
      <c r="P73" s="1934">
        <f>+'6. mell (Bontás)'!P72</f>
        <v>0</v>
      </c>
      <c r="Q73" s="1934">
        <f>+'6. mell (Bontás)'!Q72</f>
        <v>0</v>
      </c>
      <c r="R73" s="1934">
        <v>0</v>
      </c>
      <c r="S73" s="1934">
        <f>+'6. mell (Bontás)'!S72</f>
        <v>0</v>
      </c>
      <c r="T73" s="1934">
        <f>+'6. mell (Bontás)'!T72</f>
        <v>0</v>
      </c>
      <c r="U73" s="1934">
        <f>+'6. mell (Bontás)'!U72</f>
        <v>0</v>
      </c>
      <c r="V73" s="2482">
        <f>+'6. mell (Bontás)'!V72</f>
        <v>0</v>
      </c>
      <c r="W73" s="1934">
        <f>+'6. mell (Bontás)'!W72</f>
        <v>0</v>
      </c>
      <c r="X73" s="1934">
        <f>+'6. mell (Bontás)'!X72</f>
        <v>0</v>
      </c>
      <c r="Y73" s="1934">
        <f>+'6. mell (Bontás)'!Y72</f>
        <v>0</v>
      </c>
      <c r="Z73" s="1934">
        <f>+'6. mell (Bontás)'!Z72</f>
        <v>0</v>
      </c>
      <c r="AA73" s="1934">
        <f>+'6. mell (Bontás)'!AA72</f>
        <v>0</v>
      </c>
      <c r="AB73" s="2495">
        <f t="shared" si="51"/>
        <v>0</v>
      </c>
      <c r="AC73" s="2495">
        <f t="shared" si="51"/>
        <v>0</v>
      </c>
      <c r="AD73" s="2495">
        <f t="shared" si="51"/>
        <v>0</v>
      </c>
      <c r="AE73" s="2495">
        <f t="shared" si="51"/>
        <v>0</v>
      </c>
      <c r="AF73" s="2495">
        <f t="shared" si="51"/>
        <v>0</v>
      </c>
      <c r="AG73" s="2495">
        <f t="shared" si="51"/>
        <v>0</v>
      </c>
      <c r="AH73" s="999">
        <f t="shared" si="1"/>
        <v>0</v>
      </c>
      <c r="AI73" s="999">
        <f t="shared" si="2"/>
        <v>0</v>
      </c>
      <c r="AJ73" s="999">
        <f t="shared" si="3"/>
        <v>0</v>
      </c>
      <c r="AK73" s="999">
        <f t="shared" si="4"/>
        <v>0</v>
      </c>
      <c r="AL73" s="999">
        <f t="shared" si="5"/>
        <v>0</v>
      </c>
      <c r="AM73" s="79">
        <f t="shared" si="6"/>
        <v>0</v>
      </c>
    </row>
    <row r="74" spans="1:39" s="75" customFormat="1">
      <c r="A74" s="1928" t="s">
        <v>31</v>
      </c>
      <c r="B74" s="1935" t="s">
        <v>288</v>
      </c>
      <c r="C74" s="1930">
        <f t="shared" ref="C74:AG74" si="52">SUM(C75:C76)</f>
        <v>7200000000</v>
      </c>
      <c r="D74" s="1930">
        <f t="shared" si="52"/>
        <v>2690000000</v>
      </c>
      <c r="E74" s="1930">
        <f t="shared" si="52"/>
        <v>3334631957</v>
      </c>
      <c r="F74" s="1930">
        <f t="shared" si="52"/>
        <v>3334631957</v>
      </c>
      <c r="G74" s="1930">
        <f t="shared" si="52"/>
        <v>3334631957</v>
      </c>
      <c r="H74" s="1930">
        <f t="shared" si="52"/>
        <v>3334631957</v>
      </c>
      <c r="I74" s="1930">
        <f t="shared" si="52"/>
        <v>3334631957</v>
      </c>
      <c r="J74" s="1930">
        <f t="shared" si="52"/>
        <v>2690000000</v>
      </c>
      <c r="K74" s="1930">
        <f t="shared" si="52"/>
        <v>3302750682</v>
      </c>
      <c r="L74" s="1930">
        <f t="shared" si="52"/>
        <v>3302750682</v>
      </c>
      <c r="M74" s="1930">
        <f t="shared" si="52"/>
        <v>3302750682</v>
      </c>
      <c r="N74" s="1930">
        <f t="shared" si="52"/>
        <v>3302750682</v>
      </c>
      <c r="O74" s="1930">
        <f t="shared" si="52"/>
        <v>3302750682</v>
      </c>
      <c r="P74" s="1930">
        <f t="shared" si="52"/>
        <v>0</v>
      </c>
      <c r="Q74" s="1930">
        <f t="shared" si="52"/>
        <v>31881275</v>
      </c>
      <c r="R74" s="1930">
        <f t="shared" si="52"/>
        <v>31881275</v>
      </c>
      <c r="S74" s="1930">
        <f t="shared" si="52"/>
        <v>31881275</v>
      </c>
      <c r="T74" s="1930">
        <f t="shared" si="52"/>
        <v>31881275</v>
      </c>
      <c r="U74" s="1930">
        <f t="shared" si="52"/>
        <v>31881275</v>
      </c>
      <c r="V74" s="2481">
        <f t="shared" si="52"/>
        <v>0</v>
      </c>
      <c r="W74" s="1930">
        <f t="shared" si="52"/>
        <v>0</v>
      </c>
      <c r="X74" s="1930">
        <f t="shared" si="52"/>
        <v>0</v>
      </c>
      <c r="Y74" s="1930">
        <f t="shared" si="52"/>
        <v>0</v>
      </c>
      <c r="Z74" s="1930">
        <f t="shared" si="52"/>
        <v>0</v>
      </c>
      <c r="AA74" s="1930">
        <f t="shared" si="52"/>
        <v>0</v>
      </c>
      <c r="AB74" s="1930">
        <f t="shared" si="52"/>
        <v>2690000000</v>
      </c>
      <c r="AC74" s="1930">
        <f t="shared" si="52"/>
        <v>3334631957</v>
      </c>
      <c r="AD74" s="1930">
        <f t="shared" si="52"/>
        <v>3334631957</v>
      </c>
      <c r="AE74" s="1930">
        <f t="shared" si="52"/>
        <v>3334631957</v>
      </c>
      <c r="AF74" s="1930">
        <f t="shared" si="52"/>
        <v>3334631957</v>
      </c>
      <c r="AG74" s="1930">
        <f t="shared" si="52"/>
        <v>3334631957</v>
      </c>
      <c r="AH74" s="999">
        <f t="shared" si="1"/>
        <v>0</v>
      </c>
      <c r="AI74" s="999">
        <f t="shared" si="2"/>
        <v>0</v>
      </c>
      <c r="AJ74" s="999">
        <f t="shared" si="3"/>
        <v>0</v>
      </c>
      <c r="AK74" s="999">
        <f t="shared" si="4"/>
        <v>0</v>
      </c>
      <c r="AL74" s="999">
        <f t="shared" si="5"/>
        <v>0</v>
      </c>
      <c r="AM74" s="79">
        <f t="shared" si="6"/>
        <v>0</v>
      </c>
    </row>
    <row r="75" spans="1:39" s="75" customFormat="1">
      <c r="A75" s="1931" t="s">
        <v>289</v>
      </c>
      <c r="B75" s="1932" t="s">
        <v>290</v>
      </c>
      <c r="C75" s="1937">
        <f>+'5. mell.Önk-i mérleg'!C74+'8. mell. Intézmények összesen'!D34</f>
        <v>7200000000</v>
      </c>
      <c r="D75" s="1937">
        <f>+'5. mell.Önk-i mérleg'!E74+'8. mell. Intézmények összesen'!F34</f>
        <v>2690000000</v>
      </c>
      <c r="E75" s="1937">
        <f>+'5. mell.Önk-i mérleg'!F74+'8. mell. Intézmények összesen'!G34</f>
        <v>3332566997</v>
      </c>
      <c r="F75" s="1937">
        <f>+'5. mell.Önk-i mérleg'!G74+'8. mell. Intézmények összesen'!H34</f>
        <v>3332566997</v>
      </c>
      <c r="G75" s="1937">
        <f>+'5. mell.Önk-i mérleg'!H74+'8. mell. Intézmények összesen'!I34</f>
        <v>3332566997</v>
      </c>
      <c r="H75" s="1937">
        <f>+'5. mell.Önk-i mérleg'!I74+'8. mell. Intézmények összesen'!J34</f>
        <v>3332566997</v>
      </c>
      <c r="I75" s="1937">
        <f>+'5. mell.Önk-i mérleg'!J74+'8. mell. Intézmények összesen'!K34</f>
        <v>3332566997</v>
      </c>
      <c r="J75" s="1934">
        <f>+'6. mell (Bontás)'!J74+'8. mell. Intézmények összesen'!R34</f>
        <v>2690000000</v>
      </c>
      <c r="K75" s="1934">
        <f>+'6. mell (Bontás)'!K74+'8. mell. Intézmények összesen'!S34</f>
        <v>3302445882</v>
      </c>
      <c r="L75" s="1934">
        <f>+'6. mell (Bontás)'!L74+'8. mell. Intézmények összesen'!T34</f>
        <v>3302445882</v>
      </c>
      <c r="M75" s="1934">
        <f>+'6. mell (Bontás)'!M74+'8. mell. Intézmények összesen'!U34</f>
        <v>3302445882</v>
      </c>
      <c r="N75" s="1934">
        <f>+'6. mell (Bontás)'!N74+'8. mell. Intézmények összesen'!V34</f>
        <v>3302445882</v>
      </c>
      <c r="O75" s="1934">
        <f>+'6. mell (Bontás)'!O74+'8. mell. Intézmények összesen'!W34</f>
        <v>3302445882</v>
      </c>
      <c r="P75" s="1934">
        <f>+'6. mell (Bontás)'!P74+'8. mell. Intézmények összesen'!L34</f>
        <v>0</v>
      </c>
      <c r="Q75" s="1934">
        <f>+'6. mell (Bontás)'!Q74+'8. mell. Intézmények összesen'!M34</f>
        <v>30121115</v>
      </c>
      <c r="R75" s="1934">
        <f>+'6. mell (Bontás)'!R74+'8. mell. Intézmények összesen'!N34</f>
        <v>30121115</v>
      </c>
      <c r="S75" s="1934">
        <f>+'6. mell (Bontás)'!S74+'8. mell. Intézmények összesen'!O34</f>
        <v>30121115</v>
      </c>
      <c r="T75" s="1934">
        <f>+'6. mell (Bontás)'!T74+'8. mell. Intézmények összesen'!P34</f>
        <v>30121115</v>
      </c>
      <c r="U75" s="1934">
        <f>+'6. mell (Bontás)'!U74+'8. mell. Intézmények összesen'!Q34</f>
        <v>30121115</v>
      </c>
      <c r="V75" s="2482">
        <f>+'6. mell (Bontás)'!V74</f>
        <v>0</v>
      </c>
      <c r="W75" s="1934">
        <f>+'6. mell (Bontás)'!W74</f>
        <v>0</v>
      </c>
      <c r="X75" s="1934">
        <f>+'6. mell (Bontás)'!X74</f>
        <v>0</v>
      </c>
      <c r="Y75" s="1934">
        <f>+'6. mell (Bontás)'!Y74</f>
        <v>0</v>
      </c>
      <c r="Z75" s="1934">
        <f>+'6. mell (Bontás)'!Z74</f>
        <v>0</v>
      </c>
      <c r="AA75" s="1934">
        <f>+'6. mell (Bontás)'!AA74</f>
        <v>0</v>
      </c>
      <c r="AB75" s="2495">
        <f t="shared" ref="AB75:AG76" si="53">+J75+P75+V75</f>
        <v>2690000000</v>
      </c>
      <c r="AC75" s="2495">
        <f t="shared" si="53"/>
        <v>3332566997</v>
      </c>
      <c r="AD75" s="2495">
        <f t="shared" si="53"/>
        <v>3332566997</v>
      </c>
      <c r="AE75" s="2495">
        <f t="shared" si="53"/>
        <v>3332566997</v>
      </c>
      <c r="AF75" s="2495">
        <f t="shared" si="53"/>
        <v>3332566997</v>
      </c>
      <c r="AG75" s="2495">
        <f t="shared" si="53"/>
        <v>3332566997</v>
      </c>
      <c r="AH75" s="999">
        <f t="shared" si="1"/>
        <v>0</v>
      </c>
      <c r="AI75" s="999">
        <f t="shared" si="2"/>
        <v>0</v>
      </c>
      <c r="AJ75" s="999">
        <f t="shared" si="3"/>
        <v>0</v>
      </c>
      <c r="AK75" s="999">
        <f t="shared" si="4"/>
        <v>0</v>
      </c>
      <c r="AL75" s="999">
        <f t="shared" si="5"/>
        <v>0</v>
      </c>
      <c r="AM75" s="79">
        <f t="shared" si="6"/>
        <v>0</v>
      </c>
    </row>
    <row r="76" spans="1:39" s="75" customFormat="1">
      <c r="A76" s="1931" t="s">
        <v>291</v>
      </c>
      <c r="B76" s="1932" t="s">
        <v>292</v>
      </c>
      <c r="C76" s="1937">
        <f>+'5. mell.Önk-i mérleg'!C75</f>
        <v>0</v>
      </c>
      <c r="D76" s="1937">
        <f>+'5. mell.Önk-i mérleg'!E75</f>
        <v>0</v>
      </c>
      <c r="E76" s="1937">
        <f>+'5. mell.Önk-i mérleg'!F75+'8. mell. Intézmények összesen'!G35</f>
        <v>2064960</v>
      </c>
      <c r="F76" s="1937">
        <f>+'5. mell.Önk-i mérleg'!G75+'8. mell. Intézmények összesen'!H35</f>
        <v>2064960</v>
      </c>
      <c r="G76" s="1937">
        <f>+'5. mell.Önk-i mérleg'!H75+'8. mell. Intézmények összesen'!I35</f>
        <v>2064960</v>
      </c>
      <c r="H76" s="1937">
        <f>+'5. mell.Önk-i mérleg'!I75+'8. mell. Intézmények összesen'!J35</f>
        <v>2064960</v>
      </c>
      <c r="I76" s="1937">
        <f>+'5. mell.Önk-i mérleg'!J75+'8. mell. Intézmények összesen'!K35</f>
        <v>2064960</v>
      </c>
      <c r="J76" s="1934">
        <f>+'6. mell (Bontás)'!J75</f>
        <v>0</v>
      </c>
      <c r="K76" s="1934">
        <f>+'6. mell (Bontás)'!K75+'8. mell. Intézmények összesen'!S35</f>
        <v>304800</v>
      </c>
      <c r="L76" s="1934">
        <f>+'6. mell (Bontás)'!L75+'8. mell. Intézmények összesen'!T35</f>
        <v>304800</v>
      </c>
      <c r="M76" s="1934">
        <f>+'6. mell (Bontás)'!M75+'8. mell. Intézmények összesen'!U35</f>
        <v>304800</v>
      </c>
      <c r="N76" s="1934">
        <f>+'6. mell (Bontás)'!N75+'8. mell. Intézmények összesen'!V35</f>
        <v>304800</v>
      </c>
      <c r="O76" s="1934">
        <f>+'6. mell (Bontás)'!O75+'8. mell. Intézmények összesen'!W35</f>
        <v>304800</v>
      </c>
      <c r="P76" s="1934">
        <f>+'6. mell (Bontás)'!P75</f>
        <v>0</v>
      </c>
      <c r="Q76" s="1934">
        <f>+'6. mell (Bontás)'!Q75+'8. mell. Intézmények összesen'!M35</f>
        <v>1760160</v>
      </c>
      <c r="R76" s="1934">
        <f>+'6. mell (Bontás)'!R75+'8. mell. Intézmények összesen'!N35</f>
        <v>1760160</v>
      </c>
      <c r="S76" s="1934">
        <f>+'6. mell (Bontás)'!S75+'8. mell. Intézmények összesen'!O35</f>
        <v>1760160</v>
      </c>
      <c r="T76" s="1934">
        <f>+'6. mell (Bontás)'!T75+'8. mell. Intézmények összesen'!P35</f>
        <v>1760160</v>
      </c>
      <c r="U76" s="1934">
        <f>+'6. mell (Bontás)'!U75+'8. mell. Intézmények összesen'!Q35</f>
        <v>1760160</v>
      </c>
      <c r="V76" s="2482">
        <f>+'6. mell (Bontás)'!V75</f>
        <v>0</v>
      </c>
      <c r="W76" s="1934">
        <f>+'6. mell (Bontás)'!W75</f>
        <v>0</v>
      </c>
      <c r="X76" s="1934">
        <f>+'6. mell (Bontás)'!X75</f>
        <v>0</v>
      </c>
      <c r="Y76" s="1934">
        <f>+'6. mell (Bontás)'!Y75</f>
        <v>0</v>
      </c>
      <c r="Z76" s="1934">
        <f>+'6. mell (Bontás)'!Z75</f>
        <v>0</v>
      </c>
      <c r="AA76" s="1934">
        <f>+'6. mell (Bontás)'!AA75</f>
        <v>0</v>
      </c>
      <c r="AB76" s="2495">
        <f t="shared" si="53"/>
        <v>0</v>
      </c>
      <c r="AC76" s="2495">
        <f t="shared" si="53"/>
        <v>2064960</v>
      </c>
      <c r="AD76" s="2495">
        <f t="shared" si="53"/>
        <v>2064960</v>
      </c>
      <c r="AE76" s="2495">
        <f t="shared" si="53"/>
        <v>2064960</v>
      </c>
      <c r="AF76" s="2495">
        <f t="shared" si="53"/>
        <v>2064960</v>
      </c>
      <c r="AG76" s="2495">
        <f t="shared" si="53"/>
        <v>2064960</v>
      </c>
      <c r="AH76" s="999">
        <f t="shared" si="1"/>
        <v>0</v>
      </c>
      <c r="AI76" s="999">
        <f t="shared" si="2"/>
        <v>0</v>
      </c>
      <c r="AJ76" s="999">
        <f t="shared" si="3"/>
        <v>0</v>
      </c>
      <c r="AK76" s="999">
        <f t="shared" si="4"/>
        <v>0</v>
      </c>
      <c r="AL76" s="999">
        <f t="shared" si="5"/>
        <v>0</v>
      </c>
      <c r="AM76" s="79">
        <f t="shared" si="6"/>
        <v>0</v>
      </c>
    </row>
    <row r="77" spans="1:39" s="75" customFormat="1">
      <c r="A77" s="1928" t="s">
        <v>33</v>
      </c>
      <c r="B77" s="1935" t="s">
        <v>293</v>
      </c>
      <c r="C77" s="1930">
        <f t="shared" ref="C77:AG77" si="54">SUM(C78:C80)</f>
        <v>8000000000</v>
      </c>
      <c r="D77" s="1930">
        <f t="shared" si="54"/>
        <v>5500000000</v>
      </c>
      <c r="E77" s="1930">
        <f t="shared" si="54"/>
        <v>5500000000</v>
      </c>
      <c r="F77" s="1930">
        <f t="shared" si="54"/>
        <v>6873664816</v>
      </c>
      <c r="G77" s="1930">
        <f t="shared" si="54"/>
        <v>8490545302</v>
      </c>
      <c r="H77" s="1930">
        <f t="shared" si="54"/>
        <v>8490545302</v>
      </c>
      <c r="I77" s="1930">
        <f t="shared" si="54"/>
        <v>8490545302</v>
      </c>
      <c r="J77" s="1930">
        <f t="shared" si="54"/>
        <v>5500000000</v>
      </c>
      <c r="K77" s="1930">
        <f t="shared" si="54"/>
        <v>5500000000</v>
      </c>
      <c r="L77" s="1930">
        <f t="shared" si="54"/>
        <v>6873664816</v>
      </c>
      <c r="M77" s="1930">
        <f t="shared" si="54"/>
        <v>8490545302</v>
      </c>
      <c r="N77" s="1930">
        <f t="shared" si="54"/>
        <v>8490545302</v>
      </c>
      <c r="O77" s="1930">
        <f t="shared" si="54"/>
        <v>8490545302</v>
      </c>
      <c r="P77" s="1930">
        <f t="shared" si="54"/>
        <v>0</v>
      </c>
      <c r="Q77" s="1930">
        <f t="shared" si="54"/>
        <v>0</v>
      </c>
      <c r="R77" s="1930">
        <f t="shared" si="54"/>
        <v>0</v>
      </c>
      <c r="S77" s="1930">
        <f t="shared" si="54"/>
        <v>0</v>
      </c>
      <c r="T77" s="1930">
        <f t="shared" si="54"/>
        <v>0</v>
      </c>
      <c r="U77" s="1930">
        <f t="shared" si="54"/>
        <v>0</v>
      </c>
      <c r="V77" s="2481">
        <f t="shared" si="54"/>
        <v>0</v>
      </c>
      <c r="W77" s="1930">
        <f t="shared" si="54"/>
        <v>0</v>
      </c>
      <c r="X77" s="1930">
        <f t="shared" si="54"/>
        <v>0</v>
      </c>
      <c r="Y77" s="1930">
        <f t="shared" si="54"/>
        <v>0</v>
      </c>
      <c r="Z77" s="1930">
        <f t="shared" si="54"/>
        <v>0</v>
      </c>
      <c r="AA77" s="1930">
        <f t="shared" si="54"/>
        <v>0</v>
      </c>
      <c r="AB77" s="1930">
        <f t="shared" si="54"/>
        <v>5500000000</v>
      </c>
      <c r="AC77" s="1930">
        <f t="shared" si="54"/>
        <v>5500000000</v>
      </c>
      <c r="AD77" s="1930">
        <f t="shared" si="54"/>
        <v>6873664816</v>
      </c>
      <c r="AE77" s="1930">
        <f t="shared" si="54"/>
        <v>8490545302</v>
      </c>
      <c r="AF77" s="1930">
        <f t="shared" si="54"/>
        <v>8490545302</v>
      </c>
      <c r="AG77" s="1930">
        <f t="shared" si="54"/>
        <v>8490545302</v>
      </c>
      <c r="AH77" s="999">
        <f t="shared" si="1"/>
        <v>0</v>
      </c>
      <c r="AI77" s="999">
        <f t="shared" si="2"/>
        <v>0</v>
      </c>
      <c r="AJ77" s="999">
        <f t="shared" si="3"/>
        <v>0</v>
      </c>
      <c r="AK77" s="999">
        <f t="shared" si="4"/>
        <v>0</v>
      </c>
      <c r="AL77" s="999">
        <f t="shared" si="5"/>
        <v>0</v>
      </c>
      <c r="AM77" s="79">
        <f t="shared" si="6"/>
        <v>0</v>
      </c>
    </row>
    <row r="78" spans="1:39" s="75" customFormat="1">
      <c r="A78" s="1931" t="s">
        <v>294</v>
      </c>
      <c r="B78" s="1932" t="s">
        <v>295</v>
      </c>
      <c r="C78" s="1937">
        <f>+'5. mell.Önk-i mérleg'!C77</f>
        <v>0</v>
      </c>
      <c r="D78" s="1937">
        <f>+'5. mell.Önk-i mérleg'!E77</f>
        <v>0</v>
      </c>
      <c r="E78" s="1937">
        <f>+'5. mell.Önk-i mérleg'!F77</f>
        <v>0</v>
      </c>
      <c r="F78" s="1937">
        <f>+'5. mell.Önk-i mérleg'!G77</f>
        <v>1373664816</v>
      </c>
      <c r="G78" s="1937">
        <f>+'5. mell.Önk-i mérleg'!H77</f>
        <v>1790545302</v>
      </c>
      <c r="H78" s="1937">
        <f>+'5. mell.Önk-i mérleg'!I77</f>
        <v>1790545302</v>
      </c>
      <c r="I78" s="1937">
        <f>+'5. mell.Önk-i mérleg'!J77</f>
        <v>1790545302</v>
      </c>
      <c r="J78" s="1934">
        <f>+'6. mell (Bontás)'!J77</f>
        <v>0</v>
      </c>
      <c r="K78" s="1934">
        <f>+'6. mell (Bontás)'!K77</f>
        <v>0</v>
      </c>
      <c r="L78" s="1934">
        <f>+'6. mell (Bontás)'!L77</f>
        <v>1373664816</v>
      </c>
      <c r="M78" s="1934">
        <f>+'6. mell (Bontás)'!M77</f>
        <v>1790545302</v>
      </c>
      <c r="N78" s="1934">
        <f>+'6. mell (Bontás)'!N77</f>
        <v>1790545302</v>
      </c>
      <c r="O78" s="1934">
        <f>+'6. mell (Bontás)'!O77</f>
        <v>1790545302</v>
      </c>
      <c r="P78" s="1934">
        <f>+'6. mell (Bontás)'!P77</f>
        <v>0</v>
      </c>
      <c r="Q78" s="1934">
        <f>+'6. mell (Bontás)'!Q77</f>
        <v>0</v>
      </c>
      <c r="R78" s="1934">
        <f>+'6. mell (Bontás)'!R77</f>
        <v>0</v>
      </c>
      <c r="S78" s="1934">
        <f>+'6. mell (Bontás)'!S77</f>
        <v>0</v>
      </c>
      <c r="T78" s="1934">
        <f>+'6. mell (Bontás)'!T77</f>
        <v>0</v>
      </c>
      <c r="U78" s="1934">
        <f>+'6. mell (Bontás)'!U77</f>
        <v>0</v>
      </c>
      <c r="V78" s="2482">
        <f>+'6. mell (Bontás)'!V77</f>
        <v>0</v>
      </c>
      <c r="W78" s="1934">
        <f>+'6. mell (Bontás)'!W77</f>
        <v>0</v>
      </c>
      <c r="X78" s="1934">
        <f>+'6. mell (Bontás)'!X77</f>
        <v>0</v>
      </c>
      <c r="Y78" s="1934">
        <f>+'6. mell (Bontás)'!Y77</f>
        <v>0</v>
      </c>
      <c r="Z78" s="1934">
        <f>+'6. mell (Bontás)'!Z77</f>
        <v>0</v>
      </c>
      <c r="AA78" s="1934">
        <f>+'6. mell (Bontás)'!AA77</f>
        <v>0</v>
      </c>
      <c r="AB78" s="2495">
        <f t="shared" ref="AB78:AB87" si="55">+J78+P78+V78</f>
        <v>0</v>
      </c>
      <c r="AC78" s="2495">
        <f t="shared" ref="AC78:AC87" si="56">+K78+Q78+W78</f>
        <v>0</v>
      </c>
      <c r="AD78" s="2495">
        <f t="shared" ref="AD78:AD87" si="57">+L78+R78+X78</f>
        <v>1373664816</v>
      </c>
      <c r="AE78" s="2495">
        <f t="shared" ref="AE78:AE87" si="58">+M78+S78+Y78</f>
        <v>1790545302</v>
      </c>
      <c r="AF78" s="2495">
        <f t="shared" ref="AF78:AF87" si="59">+N78+T78+Z78</f>
        <v>1790545302</v>
      </c>
      <c r="AG78" s="2495">
        <f t="shared" ref="AG78:AG87" si="60">+O78+U78+AA78</f>
        <v>1790545302</v>
      </c>
      <c r="AH78" s="999">
        <f t="shared" si="1"/>
        <v>0</v>
      </c>
      <c r="AI78" s="999">
        <f t="shared" si="2"/>
        <v>0</v>
      </c>
      <c r="AJ78" s="999">
        <f t="shared" si="3"/>
        <v>0</v>
      </c>
      <c r="AK78" s="999">
        <f t="shared" si="4"/>
        <v>0</v>
      </c>
      <c r="AL78" s="999">
        <f t="shared" si="5"/>
        <v>0</v>
      </c>
      <c r="AM78" s="79">
        <f t="shared" si="6"/>
        <v>0</v>
      </c>
    </row>
    <row r="79" spans="1:39" s="75" customFormat="1">
      <c r="A79" s="1931" t="s">
        <v>296</v>
      </c>
      <c r="B79" s="1932" t="s">
        <v>297</v>
      </c>
      <c r="C79" s="1937">
        <f>+'5. mell.Önk-i mérleg'!C78</f>
        <v>0</v>
      </c>
      <c r="D79" s="1937">
        <f>+'5. mell.Önk-i mérleg'!E78</f>
        <v>0</v>
      </c>
      <c r="E79" s="1937">
        <f>+'5. mell.Önk-i mérleg'!F78</f>
        <v>0</v>
      </c>
      <c r="F79" s="1937">
        <f>+'5. mell.Önk-i mérleg'!G78</f>
        <v>0</v>
      </c>
      <c r="G79" s="1937">
        <f>+'5. mell.Önk-i mérleg'!H78</f>
        <v>0</v>
      </c>
      <c r="H79" s="1937">
        <f>+'5. mell.Önk-i mérleg'!I78</f>
        <v>0</v>
      </c>
      <c r="I79" s="1937">
        <f>+'5. mell.Önk-i mérleg'!J78</f>
        <v>0</v>
      </c>
      <c r="J79" s="1934">
        <f>+'6. mell (Bontás)'!J78</f>
        <v>0</v>
      </c>
      <c r="K79" s="1934">
        <f>+'6. mell (Bontás)'!K78</f>
        <v>0</v>
      </c>
      <c r="L79" s="1934">
        <f>+'6. mell (Bontás)'!L78</f>
        <v>0</v>
      </c>
      <c r="M79" s="1934">
        <f>+'6. mell (Bontás)'!M78</f>
        <v>0</v>
      </c>
      <c r="N79" s="1934">
        <f>+'6. mell (Bontás)'!N78</f>
        <v>0</v>
      </c>
      <c r="O79" s="1934">
        <f>+'6. mell (Bontás)'!O78</f>
        <v>0</v>
      </c>
      <c r="P79" s="1934">
        <f>+'6. mell (Bontás)'!P78</f>
        <v>0</v>
      </c>
      <c r="Q79" s="1934">
        <f>+'6. mell (Bontás)'!Q78</f>
        <v>0</v>
      </c>
      <c r="R79" s="1934">
        <f>+'6. mell (Bontás)'!R78</f>
        <v>0</v>
      </c>
      <c r="S79" s="1934">
        <f>+'6. mell (Bontás)'!S78</f>
        <v>0</v>
      </c>
      <c r="T79" s="1934">
        <f>+'6. mell (Bontás)'!T78</f>
        <v>0</v>
      </c>
      <c r="U79" s="1934">
        <f>+'6. mell (Bontás)'!U78</f>
        <v>0</v>
      </c>
      <c r="V79" s="2482">
        <f>+'6. mell (Bontás)'!V78</f>
        <v>0</v>
      </c>
      <c r="W79" s="1934">
        <f>+'6. mell (Bontás)'!W78</f>
        <v>0</v>
      </c>
      <c r="X79" s="1934">
        <f>+'6. mell (Bontás)'!X78</f>
        <v>0</v>
      </c>
      <c r="Y79" s="1934">
        <f>+'6. mell (Bontás)'!Y78</f>
        <v>0</v>
      </c>
      <c r="Z79" s="1934">
        <f>+'6. mell (Bontás)'!Z78</f>
        <v>0</v>
      </c>
      <c r="AA79" s="1934">
        <f>+'6. mell (Bontás)'!AA78</f>
        <v>0</v>
      </c>
      <c r="AB79" s="2495">
        <f t="shared" si="55"/>
        <v>0</v>
      </c>
      <c r="AC79" s="2495">
        <f t="shared" si="56"/>
        <v>0</v>
      </c>
      <c r="AD79" s="2495">
        <f t="shared" si="57"/>
        <v>0</v>
      </c>
      <c r="AE79" s="2495">
        <f t="shared" si="58"/>
        <v>0</v>
      </c>
      <c r="AF79" s="2495">
        <f t="shared" si="59"/>
        <v>0</v>
      </c>
      <c r="AG79" s="2495">
        <f t="shared" si="60"/>
        <v>0</v>
      </c>
      <c r="AH79" s="999">
        <f t="shared" si="1"/>
        <v>0</v>
      </c>
      <c r="AI79" s="999">
        <f t="shared" si="2"/>
        <v>0</v>
      </c>
      <c r="AJ79" s="999">
        <f t="shared" si="3"/>
        <v>0</v>
      </c>
      <c r="AK79" s="999">
        <f t="shared" si="4"/>
        <v>0</v>
      </c>
      <c r="AL79" s="999">
        <f t="shared" si="5"/>
        <v>0</v>
      </c>
      <c r="AM79" s="79">
        <f t="shared" si="6"/>
        <v>0</v>
      </c>
    </row>
    <row r="80" spans="1:39" s="75" customFormat="1">
      <c r="A80" s="1931" t="s">
        <v>298</v>
      </c>
      <c r="B80" s="1932" t="s">
        <v>299</v>
      </c>
      <c r="C80" s="1937">
        <f>+'5. mell.Önk-i mérleg'!C79</f>
        <v>8000000000</v>
      </c>
      <c r="D80" s="1937">
        <f>+'5. mell.Önk-i mérleg'!E79</f>
        <v>5500000000</v>
      </c>
      <c r="E80" s="1937">
        <f>+'5. mell.Önk-i mérleg'!F79</f>
        <v>5500000000</v>
      </c>
      <c r="F80" s="1937">
        <f>+'5. mell.Önk-i mérleg'!G79</f>
        <v>5500000000</v>
      </c>
      <c r="G80" s="1937">
        <f>+'5. mell.Önk-i mérleg'!H79</f>
        <v>6700000000</v>
      </c>
      <c r="H80" s="1937">
        <f>+'5. mell.Önk-i mérleg'!I79</f>
        <v>6700000000</v>
      </c>
      <c r="I80" s="1937">
        <f>+'5. mell.Önk-i mérleg'!J79</f>
        <v>6700000000</v>
      </c>
      <c r="J80" s="1934">
        <f>+'6. mell (Bontás)'!J79</f>
        <v>5500000000</v>
      </c>
      <c r="K80" s="1934">
        <f>+'6. mell (Bontás)'!K79</f>
        <v>5500000000</v>
      </c>
      <c r="L80" s="1934">
        <f>+'6. mell (Bontás)'!L79</f>
        <v>5500000000</v>
      </c>
      <c r="M80" s="1934">
        <f>+'6. mell (Bontás)'!M79</f>
        <v>6700000000</v>
      </c>
      <c r="N80" s="1934">
        <f>+'6. mell (Bontás)'!N79</f>
        <v>6700000000</v>
      </c>
      <c r="O80" s="1934">
        <f>+'6. mell (Bontás)'!O79</f>
        <v>6700000000</v>
      </c>
      <c r="P80" s="1934">
        <f>+'6. mell (Bontás)'!P79</f>
        <v>0</v>
      </c>
      <c r="Q80" s="1934">
        <f>+'6. mell (Bontás)'!Q79</f>
        <v>0</v>
      </c>
      <c r="R80" s="1934">
        <f>+'6. mell (Bontás)'!R79</f>
        <v>0</v>
      </c>
      <c r="S80" s="1934">
        <f>+'6. mell (Bontás)'!S79</f>
        <v>0</v>
      </c>
      <c r="T80" s="1934">
        <f>+'6. mell (Bontás)'!T79</f>
        <v>0</v>
      </c>
      <c r="U80" s="1934">
        <f>+'6. mell (Bontás)'!U79</f>
        <v>0</v>
      </c>
      <c r="V80" s="2482">
        <f>+'6. mell (Bontás)'!V79</f>
        <v>0</v>
      </c>
      <c r="W80" s="1934">
        <f>+'6. mell (Bontás)'!W79</f>
        <v>0</v>
      </c>
      <c r="X80" s="1934">
        <f>+'6. mell (Bontás)'!X79</f>
        <v>0</v>
      </c>
      <c r="Y80" s="1934">
        <f>+'6. mell (Bontás)'!Y79</f>
        <v>0</v>
      </c>
      <c r="Z80" s="1934">
        <f>+'6. mell (Bontás)'!Z79</f>
        <v>0</v>
      </c>
      <c r="AA80" s="1934">
        <f>+'6. mell (Bontás)'!AA79</f>
        <v>0</v>
      </c>
      <c r="AB80" s="2495">
        <f t="shared" si="55"/>
        <v>5500000000</v>
      </c>
      <c r="AC80" s="2495">
        <f t="shared" si="56"/>
        <v>5500000000</v>
      </c>
      <c r="AD80" s="2495">
        <f t="shared" si="57"/>
        <v>5500000000</v>
      </c>
      <c r="AE80" s="2495">
        <f t="shared" si="58"/>
        <v>6700000000</v>
      </c>
      <c r="AF80" s="2495">
        <f t="shared" si="59"/>
        <v>6700000000</v>
      </c>
      <c r="AG80" s="2495">
        <f t="shared" si="60"/>
        <v>6700000000</v>
      </c>
      <c r="AH80" s="999">
        <f t="shared" si="1"/>
        <v>0</v>
      </c>
      <c r="AI80" s="999">
        <f t="shared" si="2"/>
        <v>0</v>
      </c>
      <c r="AJ80" s="999">
        <f t="shared" si="3"/>
        <v>0</v>
      </c>
      <c r="AK80" s="999">
        <f t="shared" si="4"/>
        <v>0</v>
      </c>
      <c r="AL80" s="999">
        <f t="shared" si="5"/>
        <v>0</v>
      </c>
      <c r="AM80" s="79">
        <f t="shared" si="6"/>
        <v>0</v>
      </c>
    </row>
    <row r="81" spans="1:110" s="75" customFormat="1">
      <c r="A81" s="1928" t="s">
        <v>300</v>
      </c>
      <c r="B81" s="1935" t="s">
        <v>301</v>
      </c>
      <c r="C81" s="1930">
        <f t="shared" ref="C81:AA81" si="61">SUM(C82:C85)</f>
        <v>0</v>
      </c>
      <c r="D81" s="1930">
        <f t="shared" si="61"/>
        <v>0</v>
      </c>
      <c r="E81" s="1930">
        <f t="shared" si="61"/>
        <v>0</v>
      </c>
      <c r="F81" s="1930">
        <f t="shared" si="61"/>
        <v>0</v>
      </c>
      <c r="G81" s="1930">
        <f t="shared" si="61"/>
        <v>0</v>
      </c>
      <c r="H81" s="1930">
        <f t="shared" si="61"/>
        <v>0</v>
      </c>
      <c r="I81" s="1930">
        <f t="shared" si="61"/>
        <v>0</v>
      </c>
      <c r="J81" s="1930">
        <f t="shared" si="61"/>
        <v>0</v>
      </c>
      <c r="K81" s="1930">
        <f t="shared" si="61"/>
        <v>0</v>
      </c>
      <c r="L81" s="1930">
        <f t="shared" si="61"/>
        <v>0</v>
      </c>
      <c r="M81" s="1930">
        <f t="shared" si="61"/>
        <v>0</v>
      </c>
      <c r="N81" s="1930">
        <f t="shared" si="61"/>
        <v>0</v>
      </c>
      <c r="O81" s="1930">
        <f t="shared" si="61"/>
        <v>0</v>
      </c>
      <c r="P81" s="1930">
        <f t="shared" si="61"/>
        <v>0</v>
      </c>
      <c r="Q81" s="1930">
        <f t="shared" si="61"/>
        <v>0</v>
      </c>
      <c r="R81" s="1930">
        <f t="shared" si="61"/>
        <v>0</v>
      </c>
      <c r="S81" s="1930">
        <f t="shared" si="61"/>
        <v>0</v>
      </c>
      <c r="T81" s="1930">
        <f t="shared" si="61"/>
        <v>0</v>
      </c>
      <c r="U81" s="1930">
        <f t="shared" si="61"/>
        <v>0</v>
      </c>
      <c r="V81" s="2481">
        <f t="shared" si="61"/>
        <v>0</v>
      </c>
      <c r="W81" s="1930">
        <f t="shared" si="61"/>
        <v>0</v>
      </c>
      <c r="X81" s="1930">
        <f t="shared" si="61"/>
        <v>0</v>
      </c>
      <c r="Y81" s="1930">
        <f t="shared" si="61"/>
        <v>0</v>
      </c>
      <c r="Z81" s="1930">
        <f t="shared" si="61"/>
        <v>0</v>
      </c>
      <c r="AA81" s="1930">
        <f t="shared" si="61"/>
        <v>0</v>
      </c>
      <c r="AB81" s="1930">
        <f t="shared" si="55"/>
        <v>0</v>
      </c>
      <c r="AC81" s="1930">
        <f t="shared" si="56"/>
        <v>0</v>
      </c>
      <c r="AD81" s="1930">
        <f t="shared" si="57"/>
        <v>0</v>
      </c>
      <c r="AE81" s="1930">
        <f t="shared" si="58"/>
        <v>0</v>
      </c>
      <c r="AF81" s="1930">
        <f t="shared" si="59"/>
        <v>0</v>
      </c>
      <c r="AG81" s="1930">
        <f t="shared" si="60"/>
        <v>0</v>
      </c>
      <c r="AH81" s="999">
        <f t="shared" si="1"/>
        <v>0</v>
      </c>
      <c r="AI81" s="999">
        <f t="shared" si="2"/>
        <v>0</v>
      </c>
      <c r="AJ81" s="999">
        <f t="shared" si="3"/>
        <v>0</v>
      </c>
      <c r="AK81" s="999">
        <f t="shared" si="4"/>
        <v>0</v>
      </c>
      <c r="AL81" s="999">
        <f t="shared" si="5"/>
        <v>0</v>
      </c>
      <c r="AM81" s="79">
        <f t="shared" si="6"/>
        <v>0</v>
      </c>
    </row>
    <row r="82" spans="1:110" s="75" customFormat="1" hidden="1">
      <c r="A82" s="1944" t="s">
        <v>302</v>
      </c>
      <c r="B82" s="1932" t="s">
        <v>303</v>
      </c>
      <c r="C82" s="1937">
        <f>+'5. mell.Önk-i mérleg'!C81</f>
        <v>0</v>
      </c>
      <c r="D82" s="1937">
        <f>+'5. mell.Önk-i mérleg'!E81</f>
        <v>0</v>
      </c>
      <c r="E82" s="1937">
        <f>+'5. mell.Önk-i mérleg'!F81</f>
        <v>0</v>
      </c>
      <c r="F82" s="1937">
        <f>+'5. mell.Önk-i mérleg'!G81</f>
        <v>0</v>
      </c>
      <c r="G82" s="1937">
        <f>+'5. mell.Önk-i mérleg'!H81</f>
        <v>0</v>
      </c>
      <c r="H82" s="1937">
        <f>+'5. mell.Önk-i mérleg'!I81</f>
        <v>0</v>
      </c>
      <c r="I82" s="1937">
        <f>+'5. mell.Önk-i mérleg'!J81</f>
        <v>0</v>
      </c>
      <c r="J82" s="1934">
        <f>+'6. mell (Bontás)'!J81</f>
        <v>0</v>
      </c>
      <c r="K82" s="1934">
        <f>+'6. mell (Bontás)'!K81</f>
        <v>0</v>
      </c>
      <c r="L82" s="1934">
        <f>+'6. mell (Bontás)'!L81</f>
        <v>0</v>
      </c>
      <c r="M82" s="1934">
        <f>+'6. mell (Bontás)'!M81</f>
        <v>0</v>
      </c>
      <c r="N82" s="1934">
        <f>+'6. mell (Bontás)'!N81</f>
        <v>0</v>
      </c>
      <c r="O82" s="1934">
        <f>+'6. mell (Bontás)'!O81</f>
        <v>0</v>
      </c>
      <c r="P82" s="1934">
        <f>+'6. mell (Bontás)'!P81</f>
        <v>0</v>
      </c>
      <c r="Q82" s="1934">
        <f>+'6. mell (Bontás)'!Q81</f>
        <v>0</v>
      </c>
      <c r="R82" s="1934">
        <f>+'6. mell (Bontás)'!R81</f>
        <v>0</v>
      </c>
      <c r="S82" s="1934">
        <f>+'6. mell (Bontás)'!S81</f>
        <v>0</v>
      </c>
      <c r="T82" s="1934">
        <f>+'6. mell (Bontás)'!T81</f>
        <v>0</v>
      </c>
      <c r="U82" s="1934">
        <f>+'6. mell (Bontás)'!U81</f>
        <v>0</v>
      </c>
      <c r="V82" s="2482">
        <f>+'6. mell (Bontás)'!V81</f>
        <v>0</v>
      </c>
      <c r="W82" s="1934">
        <f>+'6. mell (Bontás)'!W81</f>
        <v>0</v>
      </c>
      <c r="X82" s="1934">
        <f>+'6. mell (Bontás)'!X81</f>
        <v>0</v>
      </c>
      <c r="Y82" s="1934">
        <f>+'6. mell (Bontás)'!Y81</f>
        <v>0</v>
      </c>
      <c r="Z82" s="1934">
        <f>+'6. mell (Bontás)'!Z81</f>
        <v>0</v>
      </c>
      <c r="AA82" s="1934">
        <f>+'6. mell (Bontás)'!AA81</f>
        <v>0</v>
      </c>
      <c r="AB82" s="1930">
        <f t="shared" si="55"/>
        <v>0</v>
      </c>
      <c r="AC82" s="1930">
        <f t="shared" si="56"/>
        <v>0</v>
      </c>
      <c r="AD82" s="1930">
        <f t="shared" si="57"/>
        <v>0</v>
      </c>
      <c r="AE82" s="1930">
        <f t="shared" si="58"/>
        <v>0</v>
      </c>
      <c r="AF82" s="1930">
        <f t="shared" si="59"/>
        <v>0</v>
      </c>
      <c r="AG82" s="1930">
        <f t="shared" si="60"/>
        <v>0</v>
      </c>
      <c r="AH82" s="999">
        <f t="shared" si="1"/>
        <v>0</v>
      </c>
      <c r="AI82" s="999">
        <f t="shared" si="2"/>
        <v>0</v>
      </c>
      <c r="AJ82" s="999">
        <f t="shared" si="3"/>
        <v>0</v>
      </c>
      <c r="AK82" s="999">
        <f t="shared" si="4"/>
        <v>0</v>
      </c>
      <c r="AL82" s="999">
        <f t="shared" si="5"/>
        <v>0</v>
      </c>
      <c r="AM82" s="79">
        <f t="shared" si="6"/>
        <v>0</v>
      </c>
    </row>
    <row r="83" spans="1:110" s="75" customFormat="1" hidden="1">
      <c r="A83" s="1944" t="s">
        <v>304</v>
      </c>
      <c r="B83" s="1932" t="s">
        <v>305</v>
      </c>
      <c r="C83" s="1937">
        <f>+'5. mell.Önk-i mérleg'!C82</f>
        <v>0</v>
      </c>
      <c r="D83" s="1937">
        <f>+'5. mell.Önk-i mérleg'!E82</f>
        <v>0</v>
      </c>
      <c r="E83" s="1937">
        <f>+'5. mell.Önk-i mérleg'!F82</f>
        <v>0</v>
      </c>
      <c r="F83" s="1937">
        <f>+'5. mell.Önk-i mérleg'!G82</f>
        <v>0</v>
      </c>
      <c r="G83" s="1937">
        <f>+'5. mell.Önk-i mérleg'!H82</f>
        <v>0</v>
      </c>
      <c r="H83" s="1937">
        <f>+'5. mell.Önk-i mérleg'!I82</f>
        <v>0</v>
      </c>
      <c r="I83" s="1937">
        <f>+'5. mell.Önk-i mérleg'!J82</f>
        <v>0</v>
      </c>
      <c r="J83" s="1934">
        <f>+'6. mell (Bontás)'!J82</f>
        <v>0</v>
      </c>
      <c r="K83" s="1934">
        <f>+'6. mell (Bontás)'!K82</f>
        <v>0</v>
      </c>
      <c r="L83" s="1934">
        <f>+'6. mell (Bontás)'!L82</f>
        <v>0</v>
      </c>
      <c r="M83" s="1934">
        <f>+'6. mell (Bontás)'!M82</f>
        <v>0</v>
      </c>
      <c r="N83" s="1934">
        <f>+'6. mell (Bontás)'!N82</f>
        <v>0</v>
      </c>
      <c r="O83" s="1934">
        <f>+'6. mell (Bontás)'!O82</f>
        <v>0</v>
      </c>
      <c r="P83" s="1934">
        <f>+'6. mell (Bontás)'!P82</f>
        <v>0</v>
      </c>
      <c r="Q83" s="1934">
        <f>+'6. mell (Bontás)'!Q82</f>
        <v>0</v>
      </c>
      <c r="R83" s="1934">
        <f>+'6. mell (Bontás)'!R82</f>
        <v>0</v>
      </c>
      <c r="S83" s="1934">
        <f>+'6. mell (Bontás)'!S82</f>
        <v>0</v>
      </c>
      <c r="T83" s="1934">
        <f>+'6. mell (Bontás)'!T82</f>
        <v>0</v>
      </c>
      <c r="U83" s="1934">
        <f>+'6. mell (Bontás)'!U82</f>
        <v>0</v>
      </c>
      <c r="V83" s="2482">
        <f>+'6. mell (Bontás)'!V82</f>
        <v>0</v>
      </c>
      <c r="W83" s="1934">
        <f>+'6. mell (Bontás)'!W82</f>
        <v>0</v>
      </c>
      <c r="X83" s="1934">
        <f>+'6. mell (Bontás)'!X82</f>
        <v>0</v>
      </c>
      <c r="Y83" s="1934">
        <f>+'6. mell (Bontás)'!Y82</f>
        <v>0</v>
      </c>
      <c r="Z83" s="1934">
        <f>+'6. mell (Bontás)'!Z82</f>
        <v>0</v>
      </c>
      <c r="AA83" s="1934">
        <f>+'6. mell (Bontás)'!AA82</f>
        <v>0</v>
      </c>
      <c r="AB83" s="1930">
        <f t="shared" si="55"/>
        <v>0</v>
      </c>
      <c r="AC83" s="1930">
        <f t="shared" si="56"/>
        <v>0</v>
      </c>
      <c r="AD83" s="1930">
        <f t="shared" si="57"/>
        <v>0</v>
      </c>
      <c r="AE83" s="1930">
        <f t="shared" si="58"/>
        <v>0</v>
      </c>
      <c r="AF83" s="1930">
        <f t="shared" si="59"/>
        <v>0</v>
      </c>
      <c r="AG83" s="1930">
        <f t="shared" si="60"/>
        <v>0</v>
      </c>
      <c r="AH83" s="999">
        <f t="shared" si="1"/>
        <v>0</v>
      </c>
      <c r="AI83" s="999">
        <f t="shared" si="2"/>
        <v>0</v>
      </c>
      <c r="AJ83" s="999">
        <f t="shared" si="3"/>
        <v>0</v>
      </c>
      <c r="AK83" s="999">
        <f t="shared" si="4"/>
        <v>0</v>
      </c>
      <c r="AL83" s="999">
        <f t="shared" si="5"/>
        <v>0</v>
      </c>
      <c r="AM83" s="79">
        <f t="shared" si="6"/>
        <v>0</v>
      </c>
    </row>
    <row r="84" spans="1:110" s="75" customFormat="1" hidden="1">
      <c r="A84" s="1944" t="s">
        <v>306</v>
      </c>
      <c r="B84" s="1932" t="s">
        <v>307</v>
      </c>
      <c r="C84" s="1937">
        <f>+'5. mell.Önk-i mérleg'!C83</f>
        <v>0</v>
      </c>
      <c r="D84" s="1937">
        <f>+'5. mell.Önk-i mérleg'!E83</f>
        <v>0</v>
      </c>
      <c r="E84" s="1937">
        <f>+'5. mell.Önk-i mérleg'!F83</f>
        <v>0</v>
      </c>
      <c r="F84" s="1937">
        <f>+'5. mell.Önk-i mérleg'!G83</f>
        <v>0</v>
      </c>
      <c r="G84" s="1937">
        <f>+'5. mell.Önk-i mérleg'!H83</f>
        <v>0</v>
      </c>
      <c r="H84" s="1937">
        <f>+'5. mell.Önk-i mérleg'!I83</f>
        <v>0</v>
      </c>
      <c r="I84" s="1937">
        <f>+'5. mell.Önk-i mérleg'!J83</f>
        <v>0</v>
      </c>
      <c r="J84" s="1934">
        <f>+'6. mell (Bontás)'!J83</f>
        <v>0</v>
      </c>
      <c r="K84" s="1934">
        <f>+'6. mell (Bontás)'!K83</f>
        <v>0</v>
      </c>
      <c r="L84" s="1934">
        <f>+'6. mell (Bontás)'!L83</f>
        <v>0</v>
      </c>
      <c r="M84" s="1934">
        <f>+'6. mell (Bontás)'!M83</f>
        <v>0</v>
      </c>
      <c r="N84" s="1934">
        <f>+'6. mell (Bontás)'!N83</f>
        <v>0</v>
      </c>
      <c r="O84" s="1934">
        <f>+'6. mell (Bontás)'!O83</f>
        <v>0</v>
      </c>
      <c r="P84" s="1934">
        <f>+'6. mell (Bontás)'!P83</f>
        <v>0</v>
      </c>
      <c r="Q84" s="1934">
        <f>+'6. mell (Bontás)'!Q83</f>
        <v>0</v>
      </c>
      <c r="R84" s="1934">
        <f>+'6. mell (Bontás)'!R83</f>
        <v>0</v>
      </c>
      <c r="S84" s="1934">
        <f>+'6. mell (Bontás)'!S83</f>
        <v>0</v>
      </c>
      <c r="T84" s="1934">
        <f>+'6. mell (Bontás)'!T83</f>
        <v>0</v>
      </c>
      <c r="U84" s="1934">
        <f>+'6. mell (Bontás)'!U83</f>
        <v>0</v>
      </c>
      <c r="V84" s="2482">
        <f>+'6. mell (Bontás)'!V83</f>
        <v>0</v>
      </c>
      <c r="W84" s="1934">
        <f>+'6. mell (Bontás)'!W83</f>
        <v>0</v>
      </c>
      <c r="X84" s="1934">
        <f>+'6. mell (Bontás)'!X83</f>
        <v>0</v>
      </c>
      <c r="Y84" s="1934">
        <f>+'6. mell (Bontás)'!Y83</f>
        <v>0</v>
      </c>
      <c r="Z84" s="1934">
        <f>+'6. mell (Bontás)'!Z83</f>
        <v>0</v>
      </c>
      <c r="AA84" s="1934">
        <f>+'6. mell (Bontás)'!AA83</f>
        <v>0</v>
      </c>
      <c r="AB84" s="1930">
        <f t="shared" si="55"/>
        <v>0</v>
      </c>
      <c r="AC84" s="1930">
        <f t="shared" si="56"/>
        <v>0</v>
      </c>
      <c r="AD84" s="1930">
        <f t="shared" si="57"/>
        <v>0</v>
      </c>
      <c r="AE84" s="1930">
        <f t="shared" si="58"/>
        <v>0</v>
      </c>
      <c r="AF84" s="1930">
        <f t="shared" si="59"/>
        <v>0</v>
      </c>
      <c r="AG84" s="1930">
        <f t="shared" si="60"/>
        <v>0</v>
      </c>
      <c r="AH84" s="999">
        <f t="shared" si="1"/>
        <v>0</v>
      </c>
      <c r="AI84" s="999">
        <f t="shared" si="2"/>
        <v>0</v>
      </c>
      <c r="AJ84" s="999">
        <f t="shared" si="3"/>
        <v>0</v>
      </c>
      <c r="AK84" s="999">
        <f t="shared" si="4"/>
        <v>0</v>
      </c>
      <c r="AL84" s="999">
        <f t="shared" si="5"/>
        <v>0</v>
      </c>
      <c r="AM84" s="79">
        <f t="shared" si="6"/>
        <v>0</v>
      </c>
    </row>
    <row r="85" spans="1:110" s="75" customFormat="1" hidden="1">
      <c r="A85" s="1944" t="s">
        <v>308</v>
      </c>
      <c r="B85" s="1932" t="s">
        <v>309</v>
      </c>
      <c r="C85" s="1937">
        <f>+'5. mell.Önk-i mérleg'!C84</f>
        <v>0</v>
      </c>
      <c r="D85" s="1937">
        <f>+'5. mell.Önk-i mérleg'!E84</f>
        <v>0</v>
      </c>
      <c r="E85" s="1937">
        <f>+'5. mell.Önk-i mérleg'!F84</f>
        <v>0</v>
      </c>
      <c r="F85" s="1937">
        <f>+'5. mell.Önk-i mérleg'!G84</f>
        <v>0</v>
      </c>
      <c r="G85" s="1937">
        <f>+'5. mell.Önk-i mérleg'!H84</f>
        <v>0</v>
      </c>
      <c r="H85" s="1937">
        <f>+'5. mell.Önk-i mérleg'!I84</f>
        <v>0</v>
      </c>
      <c r="I85" s="1937">
        <f>+'5. mell.Önk-i mérleg'!J84</f>
        <v>0</v>
      </c>
      <c r="J85" s="1934">
        <f>+'6. mell (Bontás)'!J84</f>
        <v>0</v>
      </c>
      <c r="K85" s="1934">
        <f>+'6. mell (Bontás)'!K84</f>
        <v>0</v>
      </c>
      <c r="L85" s="1934">
        <f>+'6. mell (Bontás)'!L84</f>
        <v>0</v>
      </c>
      <c r="M85" s="1934">
        <f>+'6. mell (Bontás)'!M84</f>
        <v>0</v>
      </c>
      <c r="N85" s="1934">
        <f>+'6. mell (Bontás)'!N84</f>
        <v>0</v>
      </c>
      <c r="O85" s="1934">
        <f>+'6. mell (Bontás)'!O84</f>
        <v>0</v>
      </c>
      <c r="P85" s="1934">
        <f>+'6. mell (Bontás)'!P84</f>
        <v>0</v>
      </c>
      <c r="Q85" s="1934">
        <f>+'6. mell (Bontás)'!Q84</f>
        <v>0</v>
      </c>
      <c r="R85" s="1934">
        <f>+'6. mell (Bontás)'!R84</f>
        <v>0</v>
      </c>
      <c r="S85" s="1934">
        <f>+'6. mell (Bontás)'!S84</f>
        <v>0</v>
      </c>
      <c r="T85" s="1934">
        <f>+'6. mell (Bontás)'!T84</f>
        <v>0</v>
      </c>
      <c r="U85" s="1934">
        <f>+'6. mell (Bontás)'!U84</f>
        <v>0</v>
      </c>
      <c r="V85" s="2482">
        <f>+'6. mell (Bontás)'!V84</f>
        <v>0</v>
      </c>
      <c r="W85" s="1934">
        <f>+'6. mell (Bontás)'!W84</f>
        <v>0</v>
      </c>
      <c r="X85" s="1934">
        <f>+'6. mell (Bontás)'!X84</f>
        <v>0</v>
      </c>
      <c r="Y85" s="1934">
        <f>+'6. mell (Bontás)'!Y84</f>
        <v>0</v>
      </c>
      <c r="Z85" s="1934">
        <f>+'6. mell (Bontás)'!Z84</f>
        <v>0</v>
      </c>
      <c r="AA85" s="1934">
        <f>+'6. mell (Bontás)'!AA84</f>
        <v>0</v>
      </c>
      <c r="AB85" s="1930">
        <f t="shared" si="55"/>
        <v>0</v>
      </c>
      <c r="AC85" s="1930">
        <f t="shared" si="56"/>
        <v>0</v>
      </c>
      <c r="AD85" s="1930">
        <f t="shared" si="57"/>
        <v>0</v>
      </c>
      <c r="AE85" s="1930">
        <f t="shared" si="58"/>
        <v>0</v>
      </c>
      <c r="AF85" s="1930">
        <f t="shared" si="59"/>
        <v>0</v>
      </c>
      <c r="AG85" s="1930">
        <f t="shared" si="60"/>
        <v>0</v>
      </c>
      <c r="AH85" s="999">
        <f t="shared" si="1"/>
        <v>0</v>
      </c>
      <c r="AI85" s="999">
        <f t="shared" si="2"/>
        <v>0</v>
      </c>
      <c r="AJ85" s="999">
        <f t="shared" si="3"/>
        <v>0</v>
      </c>
      <c r="AK85" s="999">
        <f t="shared" si="4"/>
        <v>0</v>
      </c>
      <c r="AL85" s="999">
        <f t="shared" si="5"/>
        <v>0</v>
      </c>
      <c r="AM85" s="79">
        <f t="shared" si="6"/>
        <v>0</v>
      </c>
    </row>
    <row r="86" spans="1:110" s="75" customFormat="1">
      <c r="A86" s="1928" t="s">
        <v>462</v>
      </c>
      <c r="B86" s="1935" t="s">
        <v>310</v>
      </c>
      <c r="C86" s="1930">
        <v>0</v>
      </c>
      <c r="D86" s="1930">
        <v>0</v>
      </c>
      <c r="E86" s="1930">
        <v>0</v>
      </c>
      <c r="F86" s="1930"/>
      <c r="G86" s="1930">
        <v>0</v>
      </c>
      <c r="H86" s="1930"/>
      <c r="I86" s="1930">
        <v>0</v>
      </c>
      <c r="J86" s="1930">
        <v>0</v>
      </c>
      <c r="K86" s="1930">
        <v>0</v>
      </c>
      <c r="L86" s="1930">
        <v>0</v>
      </c>
      <c r="M86" s="1930">
        <v>0</v>
      </c>
      <c r="N86" s="1930">
        <v>0</v>
      </c>
      <c r="O86" s="1930">
        <v>0</v>
      </c>
      <c r="P86" s="1930">
        <v>0</v>
      </c>
      <c r="Q86" s="1930">
        <v>0</v>
      </c>
      <c r="R86" s="1930">
        <v>0</v>
      </c>
      <c r="S86" s="1930">
        <v>0</v>
      </c>
      <c r="T86" s="1930">
        <v>0</v>
      </c>
      <c r="U86" s="1930">
        <v>0</v>
      </c>
      <c r="V86" s="2481">
        <v>0</v>
      </c>
      <c r="W86" s="1930">
        <v>0</v>
      </c>
      <c r="X86" s="1930">
        <v>0</v>
      </c>
      <c r="Y86" s="1930">
        <v>0</v>
      </c>
      <c r="Z86" s="1930">
        <v>0</v>
      </c>
      <c r="AA86" s="1930">
        <v>0</v>
      </c>
      <c r="AB86" s="1930">
        <f t="shared" si="55"/>
        <v>0</v>
      </c>
      <c r="AC86" s="1930">
        <f t="shared" si="56"/>
        <v>0</v>
      </c>
      <c r="AD86" s="1930">
        <f t="shared" si="57"/>
        <v>0</v>
      </c>
      <c r="AE86" s="1930">
        <f t="shared" si="58"/>
        <v>0</v>
      </c>
      <c r="AF86" s="1930">
        <f t="shared" si="59"/>
        <v>0</v>
      </c>
      <c r="AG86" s="1930">
        <f t="shared" si="60"/>
        <v>0</v>
      </c>
      <c r="AH86" s="999">
        <f t="shared" si="1"/>
        <v>0</v>
      </c>
      <c r="AI86" s="999">
        <f t="shared" si="2"/>
        <v>0</v>
      </c>
      <c r="AJ86" s="999">
        <f t="shared" si="3"/>
        <v>0</v>
      </c>
      <c r="AK86" s="999">
        <f t="shared" si="4"/>
        <v>0</v>
      </c>
      <c r="AL86" s="999">
        <f t="shared" si="5"/>
        <v>0</v>
      </c>
      <c r="AM86" s="79">
        <f t="shared" si="6"/>
        <v>0</v>
      </c>
    </row>
    <row r="87" spans="1:110" s="75" customFormat="1">
      <c r="A87" s="1928" t="s">
        <v>463</v>
      </c>
      <c r="B87" s="1935" t="s">
        <v>311</v>
      </c>
      <c r="C87" s="1930">
        <f>+'5. mell.Önk-i mérleg'!C86</f>
        <v>0</v>
      </c>
      <c r="D87" s="1930">
        <f>+'5. mell.Önk-i mérleg'!E86</f>
        <v>0</v>
      </c>
      <c r="E87" s="1930">
        <f>+'5. mell.Önk-i mérleg'!F86</f>
        <v>0</v>
      </c>
      <c r="F87" s="1930">
        <f>+'5. mell.Önk-i mérleg'!G86</f>
        <v>0</v>
      </c>
      <c r="G87" s="1930">
        <f>+'5. mell.Önk-i mérleg'!H86</f>
        <v>0</v>
      </c>
      <c r="H87" s="1930">
        <f>+'5. mell.Önk-i mérleg'!I86</f>
        <v>0</v>
      </c>
      <c r="I87" s="1930">
        <f>+'5. mell.Önk-i mérleg'!J86</f>
        <v>0</v>
      </c>
      <c r="J87" s="1930">
        <f>+'5. mell.Önk-i mérleg'!F86</f>
        <v>0</v>
      </c>
      <c r="K87" s="1930">
        <f>+'5. mell.Önk-i mérleg'!G86</f>
        <v>0</v>
      </c>
      <c r="L87" s="1930">
        <f>+'5. mell.Önk-i mérleg'!H86</f>
        <v>0</v>
      </c>
      <c r="M87" s="1930">
        <f>+'5. mell.Önk-i mérleg'!I86</f>
        <v>0</v>
      </c>
      <c r="N87" s="1930">
        <f>+'5. mell.Önk-i mérleg'!K86</f>
        <v>0</v>
      </c>
      <c r="O87" s="1930">
        <f>+'5. mell.Önk-i mérleg'!L86</f>
        <v>0</v>
      </c>
      <c r="P87" s="1930">
        <f>+'5. mell.Önk-i mérleg'!G86</f>
        <v>0</v>
      </c>
      <c r="Q87" s="1930">
        <f>+'5. mell.Önk-i mérleg'!H86</f>
        <v>0</v>
      </c>
      <c r="R87" s="1930">
        <f>+'5. mell.Önk-i mérleg'!I86</f>
        <v>0</v>
      </c>
      <c r="S87" s="1930">
        <f>+'5. mell.Önk-i mérleg'!K86</f>
        <v>0</v>
      </c>
      <c r="T87" s="1930">
        <f>+'5. mell.Önk-i mérleg'!L86</f>
        <v>0</v>
      </c>
      <c r="U87" s="1930">
        <f>+'5. mell.Önk-i mérleg'!M86</f>
        <v>0</v>
      </c>
      <c r="V87" s="2481">
        <f>+'5. mell.Önk-i mérleg'!H86</f>
        <v>0</v>
      </c>
      <c r="W87" s="1930">
        <f>+'5. mell.Önk-i mérleg'!I86</f>
        <v>0</v>
      </c>
      <c r="X87" s="1930">
        <f>+'5. mell.Önk-i mérleg'!K86</f>
        <v>0</v>
      </c>
      <c r="Y87" s="1930">
        <f>+'5. mell.Önk-i mérleg'!L86</f>
        <v>0</v>
      </c>
      <c r="Z87" s="1930">
        <f>+'5. mell.Önk-i mérleg'!M86</f>
        <v>0</v>
      </c>
      <c r="AA87" s="1930">
        <f>+'5. mell.Önk-i mérleg'!N86</f>
        <v>0</v>
      </c>
      <c r="AB87" s="1930">
        <f t="shared" si="55"/>
        <v>0</v>
      </c>
      <c r="AC87" s="1930">
        <f t="shared" si="56"/>
        <v>0</v>
      </c>
      <c r="AD87" s="1930">
        <f t="shared" si="57"/>
        <v>0</v>
      </c>
      <c r="AE87" s="1930">
        <f t="shared" si="58"/>
        <v>0</v>
      </c>
      <c r="AF87" s="1930">
        <f t="shared" si="59"/>
        <v>0</v>
      </c>
      <c r="AG87" s="1930">
        <f t="shared" si="60"/>
        <v>0</v>
      </c>
      <c r="AH87" s="999">
        <f t="shared" si="1"/>
        <v>0</v>
      </c>
      <c r="AI87" s="999">
        <f t="shared" si="2"/>
        <v>0</v>
      </c>
      <c r="AJ87" s="999">
        <f t="shared" si="3"/>
        <v>0</v>
      </c>
      <c r="AK87" s="999">
        <f t="shared" si="4"/>
        <v>0</v>
      </c>
      <c r="AL87" s="999">
        <f t="shared" si="5"/>
        <v>0</v>
      </c>
      <c r="AM87" s="79">
        <f t="shared" si="6"/>
        <v>0</v>
      </c>
    </row>
    <row r="88" spans="1:110" s="75" customFormat="1">
      <c r="A88" s="1938" t="s">
        <v>464</v>
      </c>
      <c r="B88" s="1939" t="s">
        <v>465</v>
      </c>
      <c r="C88" s="1940">
        <f t="shared" ref="C88:AG88" si="62">+C65+C69+C74+C77+C81+C87</f>
        <v>15200000000</v>
      </c>
      <c r="D88" s="1940">
        <f t="shared" si="62"/>
        <v>8190000000</v>
      </c>
      <c r="E88" s="1940">
        <f t="shared" si="62"/>
        <v>8834631957</v>
      </c>
      <c r="F88" s="1940">
        <f t="shared" si="62"/>
        <v>10208296773</v>
      </c>
      <c r="G88" s="1940">
        <f t="shared" si="62"/>
        <v>16824267259</v>
      </c>
      <c r="H88" s="1940">
        <f t="shared" si="62"/>
        <v>16824267259</v>
      </c>
      <c r="I88" s="1940">
        <f t="shared" si="62"/>
        <v>14615647259</v>
      </c>
      <c r="J88" s="1940">
        <f t="shared" si="62"/>
        <v>8190000000</v>
      </c>
      <c r="K88" s="1940">
        <f t="shared" si="62"/>
        <v>8802750682</v>
      </c>
      <c r="L88" s="1940">
        <f t="shared" si="62"/>
        <v>10176415498</v>
      </c>
      <c r="M88" s="1940">
        <f t="shared" si="62"/>
        <v>16792385984</v>
      </c>
      <c r="N88" s="1940">
        <f t="shared" si="62"/>
        <v>16792385984</v>
      </c>
      <c r="O88" s="1940">
        <f t="shared" si="62"/>
        <v>14583765984</v>
      </c>
      <c r="P88" s="1940">
        <f t="shared" si="62"/>
        <v>0</v>
      </c>
      <c r="Q88" s="1940">
        <f t="shared" si="62"/>
        <v>31881275</v>
      </c>
      <c r="R88" s="1940">
        <f t="shared" si="62"/>
        <v>31881275</v>
      </c>
      <c r="S88" s="1940">
        <f t="shared" si="62"/>
        <v>31881275</v>
      </c>
      <c r="T88" s="1940">
        <f t="shared" si="62"/>
        <v>31881275</v>
      </c>
      <c r="U88" s="1940">
        <f t="shared" si="62"/>
        <v>31881275</v>
      </c>
      <c r="V88" s="2483">
        <f t="shared" si="62"/>
        <v>0</v>
      </c>
      <c r="W88" s="1940">
        <f t="shared" si="62"/>
        <v>0</v>
      </c>
      <c r="X88" s="1940">
        <f t="shared" si="62"/>
        <v>0</v>
      </c>
      <c r="Y88" s="1940">
        <f t="shared" si="62"/>
        <v>0</v>
      </c>
      <c r="Z88" s="1940">
        <f t="shared" si="62"/>
        <v>0</v>
      </c>
      <c r="AA88" s="1940">
        <f t="shared" si="62"/>
        <v>0</v>
      </c>
      <c r="AB88" s="1940">
        <f t="shared" si="62"/>
        <v>8190000000</v>
      </c>
      <c r="AC88" s="1940">
        <f t="shared" si="62"/>
        <v>8834631957</v>
      </c>
      <c r="AD88" s="1940">
        <f t="shared" si="62"/>
        <v>10208296773</v>
      </c>
      <c r="AE88" s="1940">
        <f t="shared" si="62"/>
        <v>16824267259</v>
      </c>
      <c r="AF88" s="1940">
        <f t="shared" si="62"/>
        <v>16824267259</v>
      </c>
      <c r="AG88" s="1940">
        <f t="shared" si="62"/>
        <v>14615647259</v>
      </c>
      <c r="AH88" s="999">
        <f t="shared" si="1"/>
        <v>0</v>
      </c>
      <c r="AI88" s="999">
        <f t="shared" si="2"/>
        <v>0</v>
      </c>
      <c r="AJ88" s="999">
        <f t="shared" si="3"/>
        <v>0</v>
      </c>
      <c r="AK88" s="999">
        <f t="shared" si="4"/>
        <v>0</v>
      </c>
      <c r="AL88" s="999">
        <f t="shared" si="5"/>
        <v>0</v>
      </c>
      <c r="AM88" s="79">
        <f t="shared" si="6"/>
        <v>0</v>
      </c>
    </row>
    <row r="89" spans="1:110" s="75" customFormat="1" ht="20.25" customHeight="1">
      <c r="A89" s="1945" t="s">
        <v>314</v>
      </c>
      <c r="B89" s="1946" t="s">
        <v>3034</v>
      </c>
      <c r="C89" s="1947">
        <f t="shared" ref="C89:AG89" si="63">+C64+C88</f>
        <v>41860259125.190002</v>
      </c>
      <c r="D89" s="1947">
        <f t="shared" si="63"/>
        <v>35447936916.269684</v>
      </c>
      <c r="E89" s="1947">
        <f t="shared" si="63"/>
        <v>36570136254.269684</v>
      </c>
      <c r="F89" s="1947">
        <f t="shared" si="63"/>
        <v>38065638321.269684</v>
      </c>
      <c r="G89" s="1947">
        <f t="shared" si="63"/>
        <v>44033915752.269684</v>
      </c>
      <c r="H89" s="1947">
        <f t="shared" si="63"/>
        <v>44033915752.269684</v>
      </c>
      <c r="I89" s="1947">
        <f t="shared" si="63"/>
        <v>41825295752</v>
      </c>
      <c r="J89" s="1947">
        <f t="shared" si="63"/>
        <v>31624183966.26968</v>
      </c>
      <c r="K89" s="1947">
        <f t="shared" si="63"/>
        <v>32708382997.26968</v>
      </c>
      <c r="L89" s="1947">
        <f t="shared" si="63"/>
        <v>34084986528.26968</v>
      </c>
      <c r="M89" s="1947">
        <f t="shared" si="63"/>
        <v>40109682756.269684</v>
      </c>
      <c r="N89" s="1947">
        <f t="shared" si="63"/>
        <v>40109682756.269684</v>
      </c>
      <c r="O89" s="1947">
        <f t="shared" si="63"/>
        <v>37901062756</v>
      </c>
      <c r="P89" s="1947">
        <f t="shared" si="63"/>
        <v>3820252950</v>
      </c>
      <c r="Q89" s="1947">
        <f t="shared" si="63"/>
        <v>3858253257</v>
      </c>
      <c r="R89" s="1947">
        <f t="shared" si="63"/>
        <v>3975178329</v>
      </c>
      <c r="S89" s="1947">
        <f t="shared" si="63"/>
        <v>3921721356</v>
      </c>
      <c r="T89" s="1947">
        <f t="shared" si="63"/>
        <v>3921721356</v>
      </c>
      <c r="U89" s="1947">
        <f t="shared" si="63"/>
        <v>3921721356</v>
      </c>
      <c r="V89" s="2484">
        <f t="shared" si="63"/>
        <v>3500000</v>
      </c>
      <c r="W89" s="1947">
        <f t="shared" si="63"/>
        <v>3500000</v>
      </c>
      <c r="X89" s="1947">
        <f t="shared" si="63"/>
        <v>5473464</v>
      </c>
      <c r="Y89" s="1947">
        <f t="shared" si="63"/>
        <v>2511640</v>
      </c>
      <c r="Z89" s="1947">
        <f t="shared" si="63"/>
        <v>2511640</v>
      </c>
      <c r="AA89" s="1947">
        <f t="shared" si="63"/>
        <v>2511640</v>
      </c>
      <c r="AB89" s="1947">
        <f t="shared" si="63"/>
        <v>35447936916.269684</v>
      </c>
      <c r="AC89" s="1947">
        <f t="shared" si="63"/>
        <v>36570136254.269684</v>
      </c>
      <c r="AD89" s="1947">
        <f t="shared" si="63"/>
        <v>38065638321.269684</v>
      </c>
      <c r="AE89" s="1947">
        <f t="shared" si="63"/>
        <v>44033915752.269684</v>
      </c>
      <c r="AF89" s="1947">
        <f t="shared" si="63"/>
        <v>44033915752.269684</v>
      </c>
      <c r="AG89" s="1947">
        <f t="shared" si="63"/>
        <v>41825295752</v>
      </c>
      <c r="AH89" s="999">
        <f t="shared" si="1"/>
        <v>0</v>
      </c>
      <c r="AI89" s="999">
        <f t="shared" si="2"/>
        <v>0</v>
      </c>
      <c r="AJ89" s="999">
        <f t="shared" si="3"/>
        <v>0</v>
      </c>
      <c r="AK89" s="999">
        <f t="shared" si="4"/>
        <v>0</v>
      </c>
      <c r="AL89" s="999">
        <f t="shared" si="5"/>
        <v>0</v>
      </c>
      <c r="AM89" s="79">
        <f t="shared" si="6"/>
        <v>0</v>
      </c>
    </row>
    <row r="90" spans="1:110" ht="18.75" customHeight="1">
      <c r="A90" s="1948"/>
      <c r="B90" s="1949" t="str">
        <f>+B4</f>
        <v>A</v>
      </c>
      <c r="C90" s="1949">
        <f t="shared" ref="C90:Y90" si="64">+C4</f>
        <v>0</v>
      </c>
      <c r="D90" s="1949" t="str">
        <f t="shared" si="64"/>
        <v>B</v>
      </c>
      <c r="E90" s="1949" t="str">
        <f t="shared" si="64"/>
        <v>B</v>
      </c>
      <c r="F90" s="1949" t="str">
        <f t="shared" si="64"/>
        <v>B</v>
      </c>
      <c r="G90" s="1949" t="str">
        <f t="shared" si="64"/>
        <v>B</v>
      </c>
      <c r="H90" s="1949" t="str">
        <f t="shared" si="64"/>
        <v>B</v>
      </c>
      <c r="I90" s="1949">
        <f t="shared" si="64"/>
        <v>0</v>
      </c>
      <c r="J90" s="1949" t="str">
        <f t="shared" si="64"/>
        <v>C</v>
      </c>
      <c r="K90" s="1949" t="str">
        <f t="shared" si="64"/>
        <v>C</v>
      </c>
      <c r="L90" s="1949" t="str">
        <f t="shared" si="64"/>
        <v>C</v>
      </c>
      <c r="M90" s="1949" t="str">
        <f t="shared" si="64"/>
        <v>C</v>
      </c>
      <c r="N90" s="1949" t="str">
        <f t="shared" si="64"/>
        <v>C</v>
      </c>
      <c r="O90" s="1949" t="str">
        <f t="shared" si="64"/>
        <v>D</v>
      </c>
      <c r="P90" s="1949" t="str">
        <f t="shared" si="64"/>
        <v>D</v>
      </c>
      <c r="Q90" s="1949" t="str">
        <f t="shared" si="64"/>
        <v>D</v>
      </c>
      <c r="R90" s="1949" t="str">
        <f t="shared" si="64"/>
        <v>D</v>
      </c>
      <c r="S90" s="1949" t="str">
        <f t="shared" si="64"/>
        <v>E</v>
      </c>
      <c r="T90" s="1949" t="str">
        <f t="shared" si="64"/>
        <v>D</v>
      </c>
      <c r="U90" s="1949" t="str">
        <f t="shared" si="64"/>
        <v>F</v>
      </c>
      <c r="V90" s="2485" t="str">
        <f t="shared" si="64"/>
        <v>E</v>
      </c>
      <c r="W90" s="1949" t="str">
        <f t="shared" si="64"/>
        <v>E</v>
      </c>
      <c r="X90" s="1949" t="str">
        <f t="shared" si="64"/>
        <v>E</v>
      </c>
      <c r="Y90" s="1949" t="str">
        <f t="shared" si="64"/>
        <v>G</v>
      </c>
      <c r="Z90" s="2017"/>
      <c r="AA90" s="1914" t="str">
        <f>+AA4</f>
        <v>H</v>
      </c>
      <c r="AB90" s="2017"/>
      <c r="AC90" s="2017"/>
      <c r="AD90" s="2017"/>
      <c r="AE90" s="2496"/>
      <c r="AF90" s="2496"/>
      <c r="AG90" s="2058"/>
      <c r="AH90" s="2058"/>
      <c r="AI90" s="2058"/>
      <c r="AJ90" s="2058"/>
      <c r="AK90" s="2058"/>
      <c r="AL90" s="2058"/>
      <c r="AM90" s="82"/>
    </row>
    <row r="91" spans="1:110" s="1957" customFormat="1" ht="54" customHeight="1">
      <c r="A91" s="1913" t="s">
        <v>6</v>
      </c>
      <c r="B91" s="1955" t="s">
        <v>316</v>
      </c>
      <c r="C91" s="1915" t="str">
        <f t="shared" ref="C91:J91" si="65">+C5</f>
        <v>2024. évi eredeti előirányzat
forintban</v>
      </c>
      <c r="D91" s="1915" t="str">
        <f t="shared" si="65"/>
        <v>2025. évi eredeti előirányzat forintban</v>
      </c>
      <c r="E91" s="1915" t="str">
        <f t="shared" si="65"/>
        <v>2025. évi I. számú módosított előirányzat
forintban</v>
      </c>
      <c r="F91" s="1915" t="str">
        <f t="shared" si="65"/>
        <v>2025. évi II. számú módosított előirányzat forintban</v>
      </c>
      <c r="G91" s="1915" t="str">
        <f t="shared" si="65"/>
        <v>2025. évi III. számú módosított előirányzat forintban</v>
      </c>
      <c r="H91" s="1915" t="str">
        <f t="shared" si="65"/>
        <v>2025. évi IV. számú módosított előirányzat forintban</v>
      </c>
      <c r="I91" s="1917" t="str">
        <f t="shared" si="65"/>
        <v>2025. évi
teljesítés forintban</v>
      </c>
      <c r="J91" s="1918" t="str">
        <f t="shared" si="65"/>
        <v>Kötelező feladat forintban</v>
      </c>
      <c r="K91" s="1919" t="str">
        <f>+K5</f>
        <v>Kötelező feladat 
I. módosítás
forintban</v>
      </c>
      <c r="L91" s="1920" t="str">
        <f t="shared" ref="L91:AF91" si="66">+L5</f>
        <v>Kötelező feladat II. módosítás forintban</v>
      </c>
      <c r="M91" s="1921" t="str">
        <f t="shared" si="66"/>
        <v>Kötelező feladat III. módosítás forintban</v>
      </c>
      <c r="N91" s="1922" t="str">
        <f t="shared" si="66"/>
        <v>Kötelező feladat IV. módosítás forintban</v>
      </c>
      <c r="O91" s="1922" t="str">
        <f t="shared" si="66"/>
        <v>Kötelező teljesítés forintban</v>
      </c>
      <c r="P91" s="1918" t="str">
        <f t="shared" si="66"/>
        <v>Önként vállalt feladat forintban</v>
      </c>
      <c r="Q91" s="1919" t="str">
        <f t="shared" si="66"/>
        <v>Önként vállalt feladat 
I. módosítás
forintban</v>
      </c>
      <c r="R91" s="1920" t="str">
        <f t="shared" si="66"/>
        <v>Önként vállalt feladat II. módosítás forintban</v>
      </c>
      <c r="S91" s="1921" t="str">
        <f t="shared" si="66"/>
        <v>Önként vállalt feladat III. módosítás forintban</v>
      </c>
      <c r="T91" s="1922" t="str">
        <f t="shared" si="66"/>
        <v>Önként vállalt feladat IV. módosítás forintban</v>
      </c>
      <c r="U91" s="1922" t="str">
        <f t="shared" si="66"/>
        <v>Önként vállalt teljesítés forintban</v>
      </c>
      <c r="V91" s="2486" t="str">
        <f t="shared" si="66"/>
        <v>Államigazgatási feladat forintban</v>
      </c>
      <c r="W91" s="1919" t="str">
        <f t="shared" si="66"/>
        <v>Államigazgatási feladat 
I. módosítás
forintban</v>
      </c>
      <c r="X91" s="1920" t="str">
        <f t="shared" si="66"/>
        <v>Államigazgatási feladat II. módosítás forintban</v>
      </c>
      <c r="Y91" s="1921" t="str">
        <f t="shared" si="66"/>
        <v xml:space="preserve">Államigazgatási feladat III. módosítás forintban </v>
      </c>
      <c r="Z91" s="1922" t="str">
        <f t="shared" si="66"/>
        <v>Államigazgatási feladat IV. módosítás forintban</v>
      </c>
      <c r="AA91" s="1922" t="str">
        <f t="shared" si="66"/>
        <v>Államigazgatási teljesítés forintban</v>
      </c>
      <c r="AB91" s="1915" t="str">
        <f t="shared" si="66"/>
        <v>2025. évi tervezett előirányzat összesen</v>
      </c>
      <c r="AC91" s="1919" t="str">
        <f t="shared" si="66"/>
        <v>Összesen I. módosítás</v>
      </c>
      <c r="AD91" s="1920" t="str">
        <f t="shared" si="66"/>
        <v>Összesen II. módosítás</v>
      </c>
      <c r="AE91" s="1921" t="str">
        <f t="shared" si="66"/>
        <v>Összesen III. módosítás</v>
      </c>
      <c r="AF91" s="1920" t="str">
        <f t="shared" si="66"/>
        <v>Összesen IV. módosítás</v>
      </c>
      <c r="AG91" s="1956"/>
      <c r="AH91" s="1956"/>
      <c r="AI91" s="1956"/>
      <c r="AJ91" s="1956"/>
      <c r="AK91" s="1956"/>
      <c r="AL91" s="1956"/>
      <c r="AM91" s="2213"/>
      <c r="AN91" s="1912"/>
      <c r="AO91" s="1912"/>
      <c r="AP91" s="1912"/>
      <c r="AQ91" s="1912"/>
      <c r="AR91" s="1912"/>
      <c r="AS91" s="1912"/>
      <c r="AT91" s="1912"/>
      <c r="AU91" s="1912"/>
      <c r="AV91" s="1912"/>
      <c r="AW91" s="1912"/>
      <c r="AX91" s="1912"/>
      <c r="AY91" s="1912"/>
      <c r="AZ91" s="1912"/>
      <c r="BA91" s="1912"/>
      <c r="BB91" s="1912"/>
      <c r="BC91" s="1912"/>
      <c r="BD91" s="1912"/>
      <c r="BE91" s="1912"/>
      <c r="BF91" s="1912"/>
      <c r="BG91" s="1912"/>
      <c r="BH91" s="1912"/>
      <c r="BI91" s="1912"/>
      <c r="BJ91" s="1912"/>
      <c r="BK91" s="1912"/>
      <c r="BL91" s="1912"/>
      <c r="BM91" s="1912"/>
      <c r="BN91" s="1912"/>
      <c r="BO91" s="1912"/>
      <c r="BP91" s="1912"/>
      <c r="BQ91" s="1912"/>
      <c r="BR91" s="1912"/>
      <c r="BS91" s="1912"/>
      <c r="BT91" s="1912"/>
      <c r="BU91" s="1912"/>
      <c r="BV91" s="1912"/>
      <c r="BW91" s="1912"/>
      <c r="BX91" s="1912"/>
      <c r="BY91" s="1912"/>
      <c r="BZ91" s="1912"/>
      <c r="CA91" s="1912"/>
      <c r="CB91" s="1912"/>
      <c r="CC91" s="1912"/>
      <c r="CD91" s="1912"/>
      <c r="CE91" s="1912"/>
      <c r="CF91" s="1912"/>
      <c r="CG91" s="1912"/>
      <c r="CH91" s="1912"/>
      <c r="CI91" s="1912"/>
      <c r="CJ91" s="1912"/>
      <c r="CK91" s="1912"/>
      <c r="CL91" s="1912"/>
      <c r="CM91" s="1912"/>
      <c r="CN91" s="1912"/>
      <c r="CO91" s="1912"/>
      <c r="CP91" s="1912"/>
      <c r="CQ91" s="1912"/>
      <c r="CR91" s="1912"/>
      <c r="CS91" s="1912"/>
      <c r="CT91" s="1912"/>
      <c r="CU91" s="1912"/>
      <c r="CV91" s="1912"/>
      <c r="CW91" s="1912"/>
      <c r="CX91" s="1912"/>
      <c r="CY91" s="1912"/>
      <c r="CZ91" s="1912"/>
      <c r="DA91" s="1912"/>
      <c r="DB91" s="1912"/>
      <c r="DC91" s="1912"/>
      <c r="DD91" s="1912"/>
      <c r="DE91" s="1912"/>
      <c r="DF91" s="1912"/>
    </row>
    <row r="92" spans="1:110" s="75" customFormat="1" ht="16.5" hidden="1" customHeight="1">
      <c r="A92" s="1913"/>
      <c r="B92" s="1915"/>
      <c r="C92" s="1923"/>
      <c r="D92" s="1874"/>
      <c r="E92" s="1923"/>
      <c r="F92" s="1923"/>
      <c r="G92" s="1923"/>
      <c r="H92" s="1923"/>
      <c r="I92" s="1923"/>
      <c r="J92" s="1923"/>
      <c r="K92" s="1923"/>
      <c r="L92" s="1923"/>
      <c r="M92" s="1923"/>
      <c r="N92" s="1923"/>
      <c r="O92" s="1923"/>
      <c r="P92" s="1923"/>
      <c r="Q92" s="1923"/>
      <c r="R92" s="1923"/>
      <c r="S92" s="1923"/>
      <c r="T92" s="1923"/>
      <c r="U92" s="1923"/>
      <c r="V92" s="2487"/>
      <c r="W92" s="1923">
        <f>+W6</f>
        <v>6</v>
      </c>
      <c r="X92" s="1923">
        <f>+X6</f>
        <v>6</v>
      </c>
      <c r="Y92" s="1923">
        <f>+Y6</f>
        <v>6</v>
      </c>
      <c r="Z92" s="1924"/>
      <c r="AA92" s="1924"/>
      <c r="AB92" s="2497">
        <v>9</v>
      </c>
      <c r="AC92" s="2497"/>
      <c r="AD92" s="1924"/>
      <c r="AE92" s="2497"/>
      <c r="AF92" s="1924"/>
      <c r="AG92" s="2498"/>
      <c r="AH92" s="2217"/>
      <c r="AI92" s="2498"/>
      <c r="AJ92" s="2498"/>
      <c r="AK92" s="2498"/>
      <c r="AL92" s="2498"/>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row>
    <row r="93" spans="1:110" ht="18.75" customHeight="1">
      <c r="A93" s="1928" t="s">
        <v>3353</v>
      </c>
      <c r="B93" s="1935" t="s">
        <v>466</v>
      </c>
      <c r="C93" s="1930">
        <f t="shared" ref="C93:AG93" si="67">SUM(C94:C98)</f>
        <v>21939838370.190002</v>
      </c>
      <c r="D93" s="1930">
        <f t="shared" si="67"/>
        <v>24757906758</v>
      </c>
      <c r="E93" s="1930">
        <f t="shared" si="67"/>
        <v>25515977639</v>
      </c>
      <c r="F93" s="1930">
        <f t="shared" si="67"/>
        <v>25754364777</v>
      </c>
      <c r="G93" s="1930">
        <f t="shared" si="67"/>
        <v>26559927169</v>
      </c>
      <c r="H93" s="1930">
        <f t="shared" si="67"/>
        <v>26559927169</v>
      </c>
      <c r="I93" s="1930">
        <f t="shared" si="67"/>
        <v>24298328624</v>
      </c>
      <c r="J93" s="1930">
        <f t="shared" si="67"/>
        <v>23489740469.776001</v>
      </c>
      <c r="K93" s="1930">
        <f t="shared" si="67"/>
        <v>24228060204.306</v>
      </c>
      <c r="L93" s="1930">
        <f t="shared" si="67"/>
        <v>24443796795.306</v>
      </c>
      <c r="M93" s="1930">
        <f t="shared" si="67"/>
        <v>25265295088.839199</v>
      </c>
      <c r="N93" s="1930">
        <f t="shared" si="67"/>
        <v>25265295088.839199</v>
      </c>
      <c r="O93" s="1930">
        <f t="shared" si="67"/>
        <v>23431106379.655998</v>
      </c>
      <c r="P93" s="1930">
        <f t="shared" si="67"/>
        <v>1264666288.224</v>
      </c>
      <c r="Q93" s="1930">
        <f t="shared" si="67"/>
        <v>1284417434.694</v>
      </c>
      <c r="R93" s="1930">
        <f t="shared" si="67"/>
        <v>1305094517.694</v>
      </c>
      <c r="S93" s="1930">
        <f t="shared" si="67"/>
        <v>1292120440.1608</v>
      </c>
      <c r="T93" s="1930">
        <f t="shared" si="67"/>
        <v>1292120440.1608</v>
      </c>
      <c r="U93" s="1930">
        <f t="shared" si="67"/>
        <v>864710604.34399998</v>
      </c>
      <c r="V93" s="2481">
        <f t="shared" si="67"/>
        <v>3500000</v>
      </c>
      <c r="W93" s="1930">
        <f t="shared" si="67"/>
        <v>3500000</v>
      </c>
      <c r="X93" s="1930">
        <f t="shared" si="67"/>
        <v>5473464</v>
      </c>
      <c r="Y93" s="1930">
        <f t="shared" si="67"/>
        <v>2511640</v>
      </c>
      <c r="Z93" s="1930">
        <f t="shared" si="67"/>
        <v>2511640</v>
      </c>
      <c r="AA93" s="1930">
        <f t="shared" si="67"/>
        <v>2511640</v>
      </c>
      <c r="AB93" s="1930">
        <f t="shared" si="67"/>
        <v>24757906758</v>
      </c>
      <c r="AC93" s="1930">
        <f t="shared" si="67"/>
        <v>25515977639</v>
      </c>
      <c r="AD93" s="1930">
        <f t="shared" si="67"/>
        <v>25754364777</v>
      </c>
      <c r="AE93" s="1930">
        <f t="shared" si="67"/>
        <v>26559927169</v>
      </c>
      <c r="AF93" s="1930">
        <f t="shared" si="67"/>
        <v>26559927169</v>
      </c>
      <c r="AG93" s="1930">
        <f t="shared" si="67"/>
        <v>24298328624</v>
      </c>
      <c r="AH93" s="999">
        <f t="shared" ref="AH93:AH151" si="68">+D93-AB93</f>
        <v>0</v>
      </c>
      <c r="AI93" s="999">
        <f t="shared" ref="AI93:AI151" si="69">+E93-AC93</f>
        <v>0</v>
      </c>
      <c r="AJ93" s="999">
        <f t="shared" ref="AJ93:AJ151" si="70">+F93-AD93</f>
        <v>0</v>
      </c>
      <c r="AK93" s="999">
        <f t="shared" ref="AK93:AK151" si="71">+G93-AE93</f>
        <v>0</v>
      </c>
      <c r="AL93" s="999">
        <f t="shared" ref="AL93:AL151" si="72">+H93-AF93</f>
        <v>0</v>
      </c>
      <c r="AM93" s="2214">
        <f t="shared" ref="AM93:AM151" si="73">+I93-AG93</f>
        <v>0</v>
      </c>
    </row>
    <row r="94" spans="1:110">
      <c r="A94" s="1931" t="s">
        <v>176</v>
      </c>
      <c r="B94" s="1950" t="s">
        <v>147</v>
      </c>
      <c r="C94" s="1933">
        <f>+'2. mell.  '!N6</f>
        <v>10485947028</v>
      </c>
      <c r="D94" s="1933">
        <f>+'2. mell.  '!P6</f>
        <v>12285987880</v>
      </c>
      <c r="E94" s="1933">
        <f>+'2. mell.  '!Q6</f>
        <v>12340165771</v>
      </c>
      <c r="F94" s="1933">
        <f>+'2. mell.  '!R6</f>
        <v>12369047063</v>
      </c>
      <c r="G94" s="1933">
        <f>+'2. mell.  '!S6</f>
        <v>12523275716</v>
      </c>
      <c r="H94" s="1933">
        <f>+'2. mell.  '!T6</f>
        <v>12523275716</v>
      </c>
      <c r="I94" s="1933">
        <f>+'2. mell.  '!U6</f>
        <v>11811532593</v>
      </c>
      <c r="J94" s="1934">
        <f>+'6. mell (Bontás)'!J93+'8. mell. Intézmények összesen'!R42</f>
        <v>11901720486</v>
      </c>
      <c r="K94" s="1934">
        <f>+'6. mell (Bontás)'!K93+'8. mell. Intézmények összesen'!S42</f>
        <v>11951758345</v>
      </c>
      <c r="L94" s="1934">
        <f>+'6. mell (Bontás)'!L93+'8. mell. Intézmények összesen'!T42</f>
        <v>11978871267</v>
      </c>
      <c r="M94" s="1934">
        <f>+'6. mell (Bontás)'!M93+'8. mell. Intézmények összesen'!U42</f>
        <v>12086952200</v>
      </c>
      <c r="N94" s="1934">
        <f>+'6. mell (Bontás)'!N93+'8. mell. Intézmények összesen'!V42</f>
        <v>12086952200</v>
      </c>
      <c r="O94" s="1934">
        <f>+'6. mell (Bontás)'!O93+'8. mell. Intézmények összesen'!W42</f>
        <v>11490777470</v>
      </c>
      <c r="P94" s="1934">
        <f>+'6. mell (Bontás)'!P93+'8. mell. Intézmények összesen'!L42</f>
        <v>384267394</v>
      </c>
      <c r="Q94" s="1934">
        <f>+'6. mell (Bontás)'!Q93+'8. mell. Intézmények összesen'!M42</f>
        <v>388407426</v>
      </c>
      <c r="R94" s="1934">
        <f>+'6. mell (Bontás)'!R93+'8. mell. Intézmények összesen'!N42</f>
        <v>390175796</v>
      </c>
      <c r="S94" s="1934">
        <f>+'6. mell (Bontás)'!S93+'8. mell. Intézmények összesen'!O42</f>
        <v>436323516</v>
      </c>
      <c r="T94" s="1934">
        <f>+'6. mell (Bontás)'!T93+'8. mell. Intézmények összesen'!P42</f>
        <v>436323516</v>
      </c>
      <c r="U94" s="1934">
        <f>+'6. mell (Bontás)'!U93+'8. mell. Intézmények összesen'!Q42</f>
        <v>320755123</v>
      </c>
      <c r="V94" s="2482">
        <f>+'6. mell (Bontás)'!V93+'8. mell. Intézmények összesen'!X42</f>
        <v>0</v>
      </c>
      <c r="W94" s="1934">
        <f>+'6. mell (Bontás)'!W93+'8. mell. Intézmények összesen'!Y42</f>
        <v>0</v>
      </c>
      <c r="X94" s="1934">
        <f>+'6. mell (Bontás)'!X93+'8. mell. Intézmények összesen'!Z42</f>
        <v>0</v>
      </c>
      <c r="Y94" s="1934">
        <f>+'6. mell (Bontás)'!Y93+'8. mell. Intézmények összesen'!AA42</f>
        <v>0</v>
      </c>
      <c r="Z94" s="1934">
        <f>+'6. mell (Bontás)'!Z93+'8. mell. Intézmények összesen'!AB42</f>
        <v>0</v>
      </c>
      <c r="AA94" s="1934">
        <f>+'6. mell (Bontás)'!AA93+'8. mell. Intézmények összesen'!AC42</f>
        <v>0</v>
      </c>
      <c r="AB94" s="2495">
        <f>+J94+P94+V94</f>
        <v>12285987880</v>
      </c>
      <c r="AC94" s="2495">
        <f t="shared" ref="AC94:AC110" si="74">+K94+Q94+W94</f>
        <v>12340165771</v>
      </c>
      <c r="AD94" s="2495">
        <f t="shared" ref="AD94:AD110" si="75">+L94+R94+X94</f>
        <v>12369047063</v>
      </c>
      <c r="AE94" s="2495">
        <f t="shared" ref="AE94:AF98" si="76">+M94+S94+Y94</f>
        <v>12523275716</v>
      </c>
      <c r="AF94" s="2495">
        <f t="shared" si="76"/>
        <v>12523275716</v>
      </c>
      <c r="AG94" s="2495">
        <f t="shared" ref="AG94:AG110" si="77">+O94+U94+AA94</f>
        <v>11811532593</v>
      </c>
      <c r="AH94" s="999">
        <f t="shared" si="68"/>
        <v>0</v>
      </c>
      <c r="AI94" s="999">
        <f t="shared" si="69"/>
        <v>0</v>
      </c>
      <c r="AJ94" s="999">
        <f t="shared" si="70"/>
        <v>0</v>
      </c>
      <c r="AK94" s="999">
        <f t="shared" si="71"/>
        <v>0</v>
      </c>
      <c r="AL94" s="999">
        <f t="shared" si="72"/>
        <v>0</v>
      </c>
      <c r="AM94" s="2214">
        <f t="shared" si="73"/>
        <v>0</v>
      </c>
    </row>
    <row r="95" spans="1:110">
      <c r="A95" s="1931" t="s">
        <v>178</v>
      </c>
      <c r="B95" s="1950" t="s">
        <v>8</v>
      </c>
      <c r="C95" s="1933">
        <f>+'2. mell.  '!N7</f>
        <v>1579443315</v>
      </c>
      <c r="D95" s="1933">
        <f>+'2. mell.  '!P7</f>
        <v>1810991316</v>
      </c>
      <c r="E95" s="1933">
        <f>+'2. mell.  '!Q7</f>
        <v>1823023570</v>
      </c>
      <c r="F95" s="1933">
        <f>+'2. mell.  '!R7</f>
        <v>1827286260</v>
      </c>
      <c r="G95" s="1933">
        <f>+'2. mell.  '!S7</f>
        <v>1814321250</v>
      </c>
      <c r="H95" s="1933">
        <f>+'2. mell.  '!T7</f>
        <v>1814321250</v>
      </c>
      <c r="I95" s="1933">
        <f>+'2. mell.  '!U7</f>
        <v>1626405454</v>
      </c>
      <c r="J95" s="1934">
        <f>+'6. mell (Bontás)'!J94+'8. mell. Intézmények összesen'!R43</f>
        <v>1747034394.776</v>
      </c>
      <c r="K95" s="1934">
        <f>+'6. mell (Bontás)'!K94+'8. mell. Intézmények összesen'!S43</f>
        <v>1759321379.306</v>
      </c>
      <c r="L95" s="1934">
        <f>+'6. mell (Bontás)'!L94+'8. mell. Intézmények összesen'!T43</f>
        <v>1763402069.306</v>
      </c>
      <c r="M95" s="1934">
        <f>+'6. mell (Bontás)'!M94+'8. mell. Intézmények összesen'!U43</f>
        <v>1747367050.8392</v>
      </c>
      <c r="N95" s="1934">
        <f>+'6. mell (Bontás)'!N94+'8. mell. Intézmények összesen'!V43</f>
        <v>1747367050.8392</v>
      </c>
      <c r="O95" s="1934">
        <f>+'6. mell (Bontás)'!O94+'8. mell. Intézmények összesen'!W43</f>
        <v>1588491996.6559999</v>
      </c>
      <c r="P95" s="1934">
        <f>+'6. mell (Bontás)'!P94+'8. mell. Intézmények összesen'!L43</f>
        <v>63956921.223999999</v>
      </c>
      <c r="Q95" s="1934">
        <f>+'6. mell (Bontás)'!Q94+'8. mell. Intézmények összesen'!M43</f>
        <v>63702190.693999998</v>
      </c>
      <c r="R95" s="1934">
        <f>+'6. mell (Bontás)'!R94+'8. mell. Intézmények összesen'!N43</f>
        <v>63884190.693999998</v>
      </c>
      <c r="S95" s="1934">
        <f>+'6. mell (Bontás)'!S94+'8. mell. Intézmények összesen'!O43</f>
        <v>66954199.160800003</v>
      </c>
      <c r="T95" s="1934">
        <f>+'6. mell (Bontás)'!T94+'8. mell. Intézmények összesen'!P43</f>
        <v>66954199.160800003</v>
      </c>
      <c r="U95" s="1934">
        <f>+'6. mell (Bontás)'!U94+'8. mell. Intézmények összesen'!Q43</f>
        <v>37913457.343999997</v>
      </c>
      <c r="V95" s="2482">
        <f>+'6. mell (Bontás)'!V94+'8. mell. Intézmények összesen'!X43</f>
        <v>0</v>
      </c>
      <c r="W95" s="1934">
        <f>+'6. mell (Bontás)'!W94+'8. mell. Intézmények összesen'!Y43</f>
        <v>0</v>
      </c>
      <c r="X95" s="1934">
        <f>+'6. mell (Bontás)'!X94+'8. mell. Intézmények összesen'!Z43</f>
        <v>0</v>
      </c>
      <c r="Y95" s="1934">
        <f>+'6. mell (Bontás)'!Y94+'8. mell. Intézmények összesen'!AA43</f>
        <v>0</v>
      </c>
      <c r="Z95" s="1934">
        <f>+'6. mell (Bontás)'!Z94+'8. mell. Intézmények összesen'!AB43</f>
        <v>0</v>
      </c>
      <c r="AA95" s="1934">
        <f>+'6. mell (Bontás)'!AA94+'8. mell. Intézmények összesen'!AC43</f>
        <v>0</v>
      </c>
      <c r="AB95" s="2495">
        <f>+J95+P95+V95</f>
        <v>1810991316</v>
      </c>
      <c r="AC95" s="2495">
        <f t="shared" si="74"/>
        <v>1823023570</v>
      </c>
      <c r="AD95" s="2495">
        <f t="shared" si="75"/>
        <v>1827286260</v>
      </c>
      <c r="AE95" s="2495">
        <f t="shared" si="76"/>
        <v>1814321250</v>
      </c>
      <c r="AF95" s="2495">
        <f t="shared" si="76"/>
        <v>1814321250</v>
      </c>
      <c r="AG95" s="2495">
        <f t="shared" si="77"/>
        <v>1626405454</v>
      </c>
      <c r="AH95" s="999">
        <f t="shared" si="68"/>
        <v>0</v>
      </c>
      <c r="AI95" s="999">
        <f t="shared" si="69"/>
        <v>0</v>
      </c>
      <c r="AJ95" s="999">
        <f t="shared" si="70"/>
        <v>0</v>
      </c>
      <c r="AK95" s="999">
        <f t="shared" si="71"/>
        <v>0</v>
      </c>
      <c r="AL95" s="999">
        <f t="shared" si="72"/>
        <v>0</v>
      </c>
      <c r="AM95" s="2214">
        <f t="shared" si="73"/>
        <v>0</v>
      </c>
    </row>
    <row r="96" spans="1:110">
      <c r="A96" s="1931" t="s">
        <v>179</v>
      </c>
      <c r="B96" s="1950" t="s">
        <v>317</v>
      </c>
      <c r="C96" s="1933">
        <f>+'2. mell.  '!N8</f>
        <v>6258522849.1900005</v>
      </c>
      <c r="D96" s="1933">
        <f>+'2. mell.  '!P8</f>
        <v>6467211394</v>
      </c>
      <c r="E96" s="1933">
        <f>+'2. mell.  '!Q8</f>
        <v>6839183716</v>
      </c>
      <c r="F96" s="1933">
        <f>+'2. mell.  '!R8</f>
        <v>7052593863</v>
      </c>
      <c r="G96" s="1933">
        <f>+'2. mell.  '!S8</f>
        <v>7632409727</v>
      </c>
      <c r="H96" s="1933">
        <f>+'2. mell.  '!T8</f>
        <v>7632409727</v>
      </c>
      <c r="I96" s="1933">
        <f>+'2. mell.  '!U8</f>
        <v>6393530369</v>
      </c>
      <c r="J96" s="1934">
        <f>+'6. mell (Bontás)'!J95+'8. mell. Intézmények összesen'!R44</f>
        <v>5892386734</v>
      </c>
      <c r="K96" s="1934">
        <f>+'6. mell (Bontás)'!K95+'8. mell. Intézmények összesen'!S44</f>
        <v>6250937328</v>
      </c>
      <c r="L96" s="1934">
        <f>+'6. mell (Bontás)'!L95+'8. mell. Intézmények összesen'!T44</f>
        <v>6437155707</v>
      </c>
      <c r="M96" s="1934">
        <f>+'6. mell (Bontás)'!M95+'8. mell. Intézmények összesen'!U44</f>
        <v>7072532905</v>
      </c>
      <c r="N96" s="1934">
        <f>+'6. mell (Bontás)'!N95+'8. mell. Intézmények összesen'!V44</f>
        <v>7072532905</v>
      </c>
      <c r="O96" s="1934">
        <f>+'6. mell (Bontás)'!O95+'8. mell. Intézmények összesen'!W44</f>
        <v>6086219804</v>
      </c>
      <c r="P96" s="1934">
        <f>+'6. mell (Bontás)'!P95+'8. mell. Intézmények összesen'!L44</f>
        <v>571324660</v>
      </c>
      <c r="Q96" s="1934">
        <f>+'6. mell (Bontás)'!Q95+'8. mell. Intézmények összesen'!M44</f>
        <v>584746388</v>
      </c>
      <c r="R96" s="1934">
        <f>+'6. mell (Bontás)'!R95+'8. mell. Intézmények összesen'!N44</f>
        <v>609964692</v>
      </c>
      <c r="S96" s="1934">
        <f>+'6. mell (Bontás)'!S95+'8. mell. Intézmények összesen'!O44</f>
        <v>557365182</v>
      </c>
      <c r="T96" s="1934">
        <f>+'6. mell (Bontás)'!T95+'8. mell. Intézmények összesen'!P44</f>
        <v>557365182</v>
      </c>
      <c r="U96" s="1934">
        <f>+'6. mell (Bontás)'!U95+'8. mell. Intézmények összesen'!Q44</f>
        <v>304798925</v>
      </c>
      <c r="V96" s="2482">
        <f>+'6. mell (Bontás)'!V95+'8. mell. Intézmények összesen'!X44</f>
        <v>3500000</v>
      </c>
      <c r="W96" s="1934">
        <f>+'6. mell (Bontás)'!W95+'8. mell. Intézmények összesen'!Y44</f>
        <v>3500000</v>
      </c>
      <c r="X96" s="1934">
        <f>+'6. mell (Bontás)'!X95+'8. mell. Intézmények összesen'!Z44</f>
        <v>5473464</v>
      </c>
      <c r="Y96" s="1934">
        <f>+'6. mell (Bontás)'!Y95+'8. mell. Intézmények összesen'!AA44</f>
        <v>2511640</v>
      </c>
      <c r="Z96" s="1934">
        <f>+'6. mell (Bontás)'!Z95+'8. mell. Intézmények összesen'!AB44</f>
        <v>2511640</v>
      </c>
      <c r="AA96" s="1934">
        <f>+'6. mell (Bontás)'!AA95+'8. mell. Intézmények összesen'!AC44</f>
        <v>2511640</v>
      </c>
      <c r="AB96" s="2495">
        <f>+J96+P96+V96</f>
        <v>6467211394</v>
      </c>
      <c r="AC96" s="2495">
        <f t="shared" si="74"/>
        <v>6839183716</v>
      </c>
      <c r="AD96" s="2495">
        <f t="shared" si="75"/>
        <v>7052593863</v>
      </c>
      <c r="AE96" s="2495">
        <f t="shared" si="76"/>
        <v>7632409727</v>
      </c>
      <c r="AF96" s="2495">
        <f t="shared" si="76"/>
        <v>7632409727</v>
      </c>
      <c r="AG96" s="2495">
        <f t="shared" si="77"/>
        <v>6393530369</v>
      </c>
      <c r="AH96" s="999">
        <f t="shared" si="68"/>
        <v>0</v>
      </c>
      <c r="AI96" s="999">
        <f t="shared" si="69"/>
        <v>0</v>
      </c>
      <c r="AJ96" s="999">
        <f t="shared" si="70"/>
        <v>0</v>
      </c>
      <c r="AK96" s="999">
        <f t="shared" si="71"/>
        <v>0</v>
      </c>
      <c r="AL96" s="999">
        <f t="shared" si="72"/>
        <v>0</v>
      </c>
      <c r="AM96" s="2214">
        <f t="shared" si="73"/>
        <v>0</v>
      </c>
    </row>
    <row r="97" spans="1:39">
      <c r="A97" s="1931" t="s">
        <v>180</v>
      </c>
      <c r="B97" s="1950" t="s">
        <v>318</v>
      </c>
      <c r="C97" s="1933">
        <f>+'2. mell.  '!N9</f>
        <v>166570000</v>
      </c>
      <c r="D97" s="1933">
        <f>+'2. mell.  '!P9</f>
        <v>166570000</v>
      </c>
      <c r="E97" s="1933">
        <f>+'2. mell.  '!Q9</f>
        <v>166370000</v>
      </c>
      <c r="F97" s="1933">
        <f>+'2. mell.  '!R9</f>
        <v>166370000</v>
      </c>
      <c r="G97" s="1933">
        <f>+'2. mell.  '!S9</f>
        <v>162174054</v>
      </c>
      <c r="H97" s="1933">
        <f>+'2. mell.  '!T9</f>
        <v>162174054</v>
      </c>
      <c r="I97" s="1933">
        <f>+'2. mell.  '!U9</f>
        <v>91481574</v>
      </c>
      <c r="J97" s="1934">
        <f>+'6. mell (Bontás)'!J96+'8. mell. Intézmények összesen'!R45</f>
        <v>118360000</v>
      </c>
      <c r="K97" s="1934">
        <f>+'6. mell (Bontás)'!K96+'8. mell. Intézmények összesen'!S45</f>
        <v>118360000</v>
      </c>
      <c r="L97" s="1934">
        <f>+'6. mell (Bontás)'!L96+'8. mell. Intézmények összesen'!T45</f>
        <v>120360000</v>
      </c>
      <c r="M97" s="1934">
        <f>+'6. mell (Bontás)'!M96+'8. mell. Intézmények összesen'!U45</f>
        <v>122893000</v>
      </c>
      <c r="N97" s="1934">
        <f>+'6. mell (Bontás)'!N96+'8. mell. Intézmények összesen'!V45</f>
        <v>122893000</v>
      </c>
      <c r="O97" s="1934">
        <f>+'6. mell (Bontás)'!O96+'8. mell. Intézmények összesen'!W45</f>
        <v>71736859</v>
      </c>
      <c r="P97" s="1934">
        <f>+'6. mell (Bontás)'!P96</f>
        <v>48210000</v>
      </c>
      <c r="Q97" s="1934">
        <f>+'6. mell (Bontás)'!Q96</f>
        <v>48010000</v>
      </c>
      <c r="R97" s="1934">
        <f>+'6. mell (Bontás)'!R96</f>
        <v>46010000</v>
      </c>
      <c r="S97" s="1934">
        <f>+'6. mell (Bontás)'!S96</f>
        <v>39281054</v>
      </c>
      <c r="T97" s="1934">
        <f>+'6. mell (Bontás)'!T96</f>
        <v>39281054</v>
      </c>
      <c r="U97" s="1934">
        <f>+'6. mell (Bontás)'!U96</f>
        <v>19744715</v>
      </c>
      <c r="V97" s="2482">
        <f>+'6. mell (Bontás)'!V96</f>
        <v>0</v>
      </c>
      <c r="W97" s="1934">
        <f>+'6. mell (Bontás)'!W96</f>
        <v>0</v>
      </c>
      <c r="X97" s="1934">
        <f>+'6. mell (Bontás)'!X96</f>
        <v>0</v>
      </c>
      <c r="Y97" s="1934">
        <f>+'6. mell (Bontás)'!Y96</f>
        <v>0</v>
      </c>
      <c r="Z97" s="1934">
        <f>+'6. mell (Bontás)'!Z96</f>
        <v>0</v>
      </c>
      <c r="AA97" s="1934">
        <f>+'6. mell (Bontás)'!AA96</f>
        <v>0</v>
      </c>
      <c r="AB97" s="2495">
        <f>+J97+P97+V97</f>
        <v>166570000</v>
      </c>
      <c r="AC97" s="2495">
        <f t="shared" si="74"/>
        <v>166370000</v>
      </c>
      <c r="AD97" s="2495">
        <f t="shared" si="75"/>
        <v>166370000</v>
      </c>
      <c r="AE97" s="2495">
        <f t="shared" si="76"/>
        <v>162174054</v>
      </c>
      <c r="AF97" s="2495">
        <f t="shared" si="76"/>
        <v>162174054</v>
      </c>
      <c r="AG97" s="2495">
        <f t="shared" si="77"/>
        <v>91481574</v>
      </c>
      <c r="AH97" s="999">
        <f t="shared" si="68"/>
        <v>0</v>
      </c>
      <c r="AI97" s="999">
        <f t="shared" si="69"/>
        <v>0</v>
      </c>
      <c r="AJ97" s="999">
        <f t="shared" si="70"/>
        <v>0</v>
      </c>
      <c r="AK97" s="999">
        <f t="shared" si="71"/>
        <v>0</v>
      </c>
      <c r="AL97" s="999">
        <f t="shared" si="72"/>
        <v>0</v>
      </c>
      <c r="AM97" s="2214">
        <f t="shared" si="73"/>
        <v>0</v>
      </c>
    </row>
    <row r="98" spans="1:39">
      <c r="A98" s="1931" t="s">
        <v>319</v>
      </c>
      <c r="B98" s="1950" t="s">
        <v>151</v>
      </c>
      <c r="C98" s="1933">
        <f>+'2. mell.  '!N10</f>
        <v>3449355178</v>
      </c>
      <c r="D98" s="1933">
        <f>+'2. mell.  '!P10</f>
        <v>4027146168</v>
      </c>
      <c r="E98" s="1933">
        <f>+'2. mell.  '!Q10</f>
        <v>4347234582</v>
      </c>
      <c r="F98" s="1933">
        <f>+'2. mell.  '!R10</f>
        <v>4339067591</v>
      </c>
      <c r="G98" s="1933">
        <f>+'2. mell.  '!S10</f>
        <v>4427746422</v>
      </c>
      <c r="H98" s="1933">
        <f>+'2. mell.  '!T10</f>
        <v>4427746422</v>
      </c>
      <c r="I98" s="1933">
        <f>+'2. mell.  '!U10</f>
        <v>4375378634</v>
      </c>
      <c r="J98" s="1934">
        <f>+'6. mell (Bontás)'!J97-'6. mell (Bontás)'!J105+'8. mell. Intézmények összesen'!R46</f>
        <v>3830238855</v>
      </c>
      <c r="K98" s="1934">
        <f>+'6. mell (Bontás)'!K97-'6. mell (Bontás)'!K105+'8. mell. Intézmények összesen'!S46</f>
        <v>4147683152</v>
      </c>
      <c r="L98" s="1934">
        <f>+'6. mell (Bontás)'!L97-'6. mell (Bontás)'!L105+'8. mell. Intézmények összesen'!T46</f>
        <v>4144007752</v>
      </c>
      <c r="M98" s="1934">
        <f>+'6. mell (Bontás)'!M97-'6. mell (Bontás)'!M105+'8. mell. Intézmények összesen'!U46</f>
        <v>4235549933</v>
      </c>
      <c r="N98" s="1934">
        <f>+'6. mell (Bontás)'!N97-'6. mell (Bontás)'!N105+'8. mell. Intézmények összesen'!V46</f>
        <v>4235549933</v>
      </c>
      <c r="O98" s="1934">
        <f>+'6. mell (Bontás)'!O97-'6. mell (Bontás)'!O105+'8. mell. Intézmények összesen'!W46</f>
        <v>4193880250</v>
      </c>
      <c r="P98" s="1934">
        <f>+'6. mell (Bontás)'!P97-'6. mell (Bontás)'!P105+'8. mell. Intézmények összesen'!L46</f>
        <v>196907313</v>
      </c>
      <c r="Q98" s="1934">
        <f>+'6. mell (Bontás)'!Q97-'6. mell (Bontás)'!Q105+'8. mell. Intézmények összesen'!M46</f>
        <v>199551430</v>
      </c>
      <c r="R98" s="1934">
        <f>+'6. mell (Bontás)'!R97-'6. mell (Bontás)'!R105+'8. mell. Intézmények összesen'!N46</f>
        <v>195059839</v>
      </c>
      <c r="S98" s="1934">
        <f>+'6. mell (Bontás)'!S97-'6. mell (Bontás)'!S105+'8. mell. Intézmények összesen'!O46</f>
        <v>192196489</v>
      </c>
      <c r="T98" s="1934">
        <f>+'6. mell (Bontás)'!T97-'6. mell (Bontás)'!T105+'8. mell. Intézmények összesen'!P46</f>
        <v>192196489</v>
      </c>
      <c r="U98" s="1934">
        <f>+'6. mell (Bontás)'!U97-'6. mell (Bontás)'!U105+'8. mell. Intézmények összesen'!Q46</f>
        <v>181498384</v>
      </c>
      <c r="V98" s="2482">
        <f>+'6. mell (Bontás)'!V97-'6. mell (Bontás)'!V105</f>
        <v>0</v>
      </c>
      <c r="W98" s="1934">
        <f>+'6. mell (Bontás)'!W97-'6. mell (Bontás)'!W105</f>
        <v>0</v>
      </c>
      <c r="X98" s="1934">
        <f>+'6. mell (Bontás)'!X97-'6. mell (Bontás)'!X105</f>
        <v>0</v>
      </c>
      <c r="Y98" s="1934">
        <f>+'6. mell (Bontás)'!Y97-'6. mell (Bontás)'!Y105</f>
        <v>0</v>
      </c>
      <c r="Z98" s="1934">
        <f>+'6. mell (Bontás)'!Z97-'6. mell (Bontás)'!Z105</f>
        <v>0</v>
      </c>
      <c r="AA98" s="1934">
        <f>+'6. mell (Bontás)'!AA97-'6. mell (Bontás)'!AA105</f>
        <v>0</v>
      </c>
      <c r="AB98" s="2495">
        <f>+J98+P98+V98</f>
        <v>4027146168</v>
      </c>
      <c r="AC98" s="2495">
        <f t="shared" si="74"/>
        <v>4347234582</v>
      </c>
      <c r="AD98" s="2495">
        <f t="shared" si="75"/>
        <v>4339067591</v>
      </c>
      <c r="AE98" s="2495">
        <f t="shared" si="76"/>
        <v>4427746422</v>
      </c>
      <c r="AF98" s="2495">
        <f t="shared" si="76"/>
        <v>4427746422</v>
      </c>
      <c r="AG98" s="2495">
        <f t="shared" si="77"/>
        <v>4375378634</v>
      </c>
      <c r="AH98" s="999">
        <f t="shared" si="68"/>
        <v>0</v>
      </c>
      <c r="AI98" s="999">
        <f t="shared" si="69"/>
        <v>0</v>
      </c>
      <c r="AJ98" s="999">
        <f t="shared" si="70"/>
        <v>0</v>
      </c>
      <c r="AK98" s="999">
        <f t="shared" si="71"/>
        <v>0</v>
      </c>
      <c r="AL98" s="999">
        <f t="shared" si="72"/>
        <v>0</v>
      </c>
      <c r="AM98" s="2214">
        <f t="shared" si="73"/>
        <v>0</v>
      </c>
    </row>
    <row r="99" spans="1:39">
      <c r="A99" s="1951" t="s">
        <v>183</v>
      </c>
      <c r="B99" s="1952" t="s">
        <v>320</v>
      </c>
      <c r="C99" s="1933">
        <v>0</v>
      </c>
      <c r="D99" s="1933">
        <v>0</v>
      </c>
      <c r="E99" s="1933">
        <v>0</v>
      </c>
      <c r="F99" s="1933"/>
      <c r="G99" s="1933">
        <f>+'5. mell.Önk-i mérleg'!H98</f>
        <v>1130236</v>
      </c>
      <c r="H99" s="1933">
        <f>+'5. mell.Önk-i mérleg'!I98</f>
        <v>1130236</v>
      </c>
      <c r="I99" s="1933">
        <f>+'5. mell.Önk-i mérleg'!J98</f>
        <v>1130236</v>
      </c>
      <c r="J99" s="1934">
        <v>0</v>
      </c>
      <c r="K99" s="1934">
        <v>0</v>
      </c>
      <c r="L99" s="1934">
        <v>0</v>
      </c>
      <c r="M99" s="1934">
        <f t="shared" ref="M99:O100" si="78">+G99</f>
        <v>1130236</v>
      </c>
      <c r="N99" s="1934">
        <f t="shared" si="78"/>
        <v>1130236</v>
      </c>
      <c r="O99" s="1934">
        <f t="shared" si="78"/>
        <v>1130236</v>
      </c>
      <c r="P99" s="1934">
        <v>0</v>
      </c>
      <c r="Q99" s="1934">
        <v>0</v>
      </c>
      <c r="R99" s="1934">
        <v>0</v>
      </c>
      <c r="S99" s="1934">
        <v>0</v>
      </c>
      <c r="T99" s="1934">
        <v>0</v>
      </c>
      <c r="U99" s="1934">
        <v>0</v>
      </c>
      <c r="V99" s="2482">
        <v>0</v>
      </c>
      <c r="W99" s="1934">
        <v>0</v>
      </c>
      <c r="X99" s="1934">
        <v>0</v>
      </c>
      <c r="Y99" s="1934">
        <v>0</v>
      </c>
      <c r="Z99" s="1934"/>
      <c r="AA99" s="1934">
        <v>0</v>
      </c>
      <c r="AB99" s="2495">
        <v>0</v>
      </c>
      <c r="AC99" s="2495">
        <f t="shared" si="74"/>
        <v>0</v>
      </c>
      <c r="AD99" s="2495">
        <f t="shared" si="75"/>
        <v>0</v>
      </c>
      <c r="AE99" s="2495">
        <f t="shared" ref="AE99:AE110" si="79">+M99+S99+Y99</f>
        <v>1130236</v>
      </c>
      <c r="AF99" s="2495">
        <f t="shared" ref="AF99:AF110" si="80">+N99+T99+Z99</f>
        <v>1130236</v>
      </c>
      <c r="AG99" s="2495">
        <f t="shared" si="77"/>
        <v>1130236</v>
      </c>
      <c r="AH99" s="999">
        <f t="shared" si="68"/>
        <v>0</v>
      </c>
      <c r="AI99" s="999">
        <f t="shared" si="69"/>
        <v>0</v>
      </c>
      <c r="AJ99" s="999">
        <f t="shared" si="70"/>
        <v>0</v>
      </c>
      <c r="AK99" s="999">
        <f t="shared" si="71"/>
        <v>0</v>
      </c>
      <c r="AL99" s="999">
        <f t="shared" si="72"/>
        <v>0</v>
      </c>
      <c r="AM99" s="2214">
        <f t="shared" si="73"/>
        <v>0</v>
      </c>
    </row>
    <row r="100" spans="1:39">
      <c r="A100" s="1951" t="s">
        <v>321</v>
      </c>
      <c r="B100" s="1953" t="s">
        <v>322</v>
      </c>
      <c r="C100" s="1933">
        <v>0</v>
      </c>
      <c r="D100" s="1933">
        <v>0</v>
      </c>
      <c r="E100" s="1933">
        <v>0</v>
      </c>
      <c r="F100" s="1933"/>
      <c r="G100" s="1933">
        <f>+'5. mell.Önk-i mérleg'!H99</f>
        <v>3102477770</v>
      </c>
      <c r="H100" s="1933">
        <f>+'5. mell.Önk-i mérleg'!I99</f>
        <v>3102477770</v>
      </c>
      <c r="I100" s="1933">
        <f>+'5. mell.Önk-i mérleg'!J99</f>
        <v>3102477770</v>
      </c>
      <c r="J100" s="1934">
        <v>0</v>
      </c>
      <c r="K100" s="1934">
        <v>0</v>
      </c>
      <c r="L100" s="1934">
        <v>0</v>
      </c>
      <c r="M100" s="1934">
        <f t="shared" si="78"/>
        <v>3102477770</v>
      </c>
      <c r="N100" s="1934">
        <f t="shared" si="78"/>
        <v>3102477770</v>
      </c>
      <c r="O100" s="1934">
        <f t="shared" si="78"/>
        <v>3102477770</v>
      </c>
      <c r="P100" s="1934">
        <v>0</v>
      </c>
      <c r="Q100" s="1934">
        <v>0</v>
      </c>
      <c r="R100" s="1934">
        <v>0</v>
      </c>
      <c r="S100" s="1934">
        <v>0</v>
      </c>
      <c r="T100" s="1934">
        <v>0</v>
      </c>
      <c r="U100" s="1934">
        <v>0</v>
      </c>
      <c r="V100" s="2482">
        <v>0</v>
      </c>
      <c r="W100" s="1934">
        <v>0</v>
      </c>
      <c r="X100" s="1934">
        <v>0</v>
      </c>
      <c r="Y100" s="1934">
        <v>0</v>
      </c>
      <c r="Z100" s="1934"/>
      <c r="AA100" s="1934">
        <v>0</v>
      </c>
      <c r="AB100" s="2495">
        <v>0</v>
      </c>
      <c r="AC100" s="2495">
        <f t="shared" si="74"/>
        <v>0</v>
      </c>
      <c r="AD100" s="2495">
        <f t="shared" si="75"/>
        <v>0</v>
      </c>
      <c r="AE100" s="2495">
        <f t="shared" si="79"/>
        <v>3102477770</v>
      </c>
      <c r="AF100" s="2495">
        <f t="shared" si="80"/>
        <v>3102477770</v>
      </c>
      <c r="AG100" s="2495">
        <f t="shared" si="77"/>
        <v>3102477770</v>
      </c>
      <c r="AH100" s="999">
        <f t="shared" si="68"/>
        <v>0</v>
      </c>
      <c r="AI100" s="999">
        <f t="shared" si="69"/>
        <v>0</v>
      </c>
      <c r="AJ100" s="999">
        <f t="shared" si="70"/>
        <v>0</v>
      </c>
      <c r="AK100" s="999">
        <f t="shared" si="71"/>
        <v>0</v>
      </c>
      <c r="AL100" s="999">
        <f t="shared" si="72"/>
        <v>0</v>
      </c>
      <c r="AM100" s="2214">
        <f t="shared" si="73"/>
        <v>0</v>
      </c>
    </row>
    <row r="101" spans="1:39">
      <c r="A101" s="1951" t="s">
        <v>323</v>
      </c>
      <c r="B101" s="1953" t="s">
        <v>324</v>
      </c>
      <c r="C101" s="1933">
        <f>+'5. mell.Önk-i mérleg'!C100</f>
        <v>2473598849</v>
      </c>
      <c r="D101" s="1933">
        <f>+'5. mell.Önk-i mérleg'!E100</f>
        <v>3018447566</v>
      </c>
      <c r="E101" s="1933">
        <f>+'5. mell.Önk-i mérleg'!F100</f>
        <v>3018910144</v>
      </c>
      <c r="F101" s="1933">
        <f>+'5. mell.Önk-i mérleg'!G100</f>
        <v>3018910144</v>
      </c>
      <c r="G101" s="1933">
        <f>+'5. mell.Önk-i mérleg'!H100</f>
        <v>0</v>
      </c>
      <c r="H101" s="1933">
        <v>0</v>
      </c>
      <c r="I101" s="1933">
        <f>+'5. mell.Önk-i mérleg'!J100</f>
        <v>0</v>
      </c>
      <c r="J101" s="1934">
        <f>+'6. mell (Bontás)'!J100</f>
        <v>3018447566</v>
      </c>
      <c r="K101" s="1934">
        <f>+'6. mell (Bontás)'!K100</f>
        <v>3018910144</v>
      </c>
      <c r="L101" s="1934">
        <f>+'6. mell (Bontás)'!L100</f>
        <v>3018910144</v>
      </c>
      <c r="M101" s="1934">
        <f>+'6. mell (Bontás)'!M100</f>
        <v>0</v>
      </c>
      <c r="N101" s="1934">
        <f>+'6. mell (Bontás)'!N100</f>
        <v>0</v>
      </c>
      <c r="O101" s="1934">
        <f>+'6. mell (Bontás)'!O100</f>
        <v>0</v>
      </c>
      <c r="P101" s="1934">
        <f>+'6. mell (Bontás)'!P100</f>
        <v>0</v>
      </c>
      <c r="Q101" s="1934">
        <f>+'6. mell (Bontás)'!Q100</f>
        <v>0</v>
      </c>
      <c r="R101" s="1934">
        <f>+'6. mell (Bontás)'!R100</f>
        <v>0</v>
      </c>
      <c r="S101" s="1934">
        <f>+'6. mell (Bontás)'!S100</f>
        <v>0</v>
      </c>
      <c r="T101" s="1934">
        <f>+'6. mell (Bontás)'!T100</f>
        <v>0</v>
      </c>
      <c r="U101" s="1934">
        <f>+'6. mell (Bontás)'!U100</f>
        <v>0</v>
      </c>
      <c r="V101" s="2482">
        <f>+'6. mell (Bontás)'!V100</f>
        <v>0</v>
      </c>
      <c r="W101" s="1934">
        <f>+'6. mell (Bontás)'!W100</f>
        <v>0</v>
      </c>
      <c r="X101" s="1934">
        <f>+'6. mell (Bontás)'!X100</f>
        <v>0</v>
      </c>
      <c r="Y101" s="1934">
        <f>+'6. mell (Bontás)'!Y100</f>
        <v>0</v>
      </c>
      <c r="Z101" s="1934">
        <f>+'6. mell (Bontás)'!Z100</f>
        <v>0</v>
      </c>
      <c r="AA101" s="1934">
        <f>+'6. mell (Bontás)'!AA100</f>
        <v>0</v>
      </c>
      <c r="AB101" s="2495">
        <f t="shared" ref="AB101:AB110" si="81">+J101+P101+V101</f>
        <v>3018447566</v>
      </c>
      <c r="AC101" s="2495">
        <f t="shared" si="74"/>
        <v>3018910144</v>
      </c>
      <c r="AD101" s="2495">
        <f t="shared" si="75"/>
        <v>3018910144</v>
      </c>
      <c r="AE101" s="2495">
        <f t="shared" si="79"/>
        <v>0</v>
      </c>
      <c r="AF101" s="2495">
        <f t="shared" si="80"/>
        <v>0</v>
      </c>
      <c r="AG101" s="2495">
        <f t="shared" si="77"/>
        <v>0</v>
      </c>
      <c r="AH101" s="999">
        <f t="shared" si="68"/>
        <v>0</v>
      </c>
      <c r="AI101" s="999">
        <f t="shared" si="69"/>
        <v>0</v>
      </c>
      <c r="AJ101" s="999">
        <f t="shared" si="70"/>
        <v>0</v>
      </c>
      <c r="AK101" s="999">
        <f t="shared" si="71"/>
        <v>0</v>
      </c>
      <c r="AL101" s="999">
        <f t="shared" si="72"/>
        <v>0</v>
      </c>
      <c r="AM101" s="2214">
        <f t="shared" si="73"/>
        <v>0</v>
      </c>
    </row>
    <row r="102" spans="1:39">
      <c r="A102" s="1951" t="s">
        <v>325</v>
      </c>
      <c r="B102" s="1953" t="s">
        <v>326</v>
      </c>
      <c r="C102" s="1933">
        <f>+'5. mell.Önk-i mérleg'!C101</f>
        <v>0</v>
      </c>
      <c r="D102" s="1933">
        <f>+'5. mell.Önk-i mérleg'!E101</f>
        <v>0</v>
      </c>
      <c r="E102" s="1933">
        <f>+'5. mell.Önk-i mérleg'!F101</f>
        <v>0</v>
      </c>
      <c r="F102" s="1933">
        <f>+'5. mell.Önk-i mérleg'!G101</f>
        <v>0</v>
      </c>
      <c r="G102" s="1933">
        <f>+'5. mell.Önk-i mérleg'!H101</f>
        <v>0</v>
      </c>
      <c r="H102" s="1933">
        <f>+'5. mell.Önk-i mérleg'!I101</f>
        <v>0</v>
      </c>
      <c r="I102" s="1933">
        <f>+'5. mell.Önk-i mérleg'!J101</f>
        <v>0</v>
      </c>
      <c r="J102" s="1934">
        <f>+'6. mell (Bontás)'!J101</f>
        <v>0</v>
      </c>
      <c r="K102" s="1934">
        <f>+'6. mell (Bontás)'!K101</f>
        <v>0</v>
      </c>
      <c r="L102" s="1934">
        <f>+'6. mell (Bontás)'!L101</f>
        <v>0</v>
      </c>
      <c r="M102" s="1934">
        <f>+'6. mell (Bontás)'!M101</f>
        <v>0</v>
      </c>
      <c r="N102" s="1934">
        <f>+'6. mell (Bontás)'!N101</f>
        <v>0</v>
      </c>
      <c r="O102" s="1934">
        <f>+'6. mell (Bontás)'!O101</f>
        <v>0</v>
      </c>
      <c r="P102" s="1934">
        <f>+'6. mell (Bontás)'!P101</f>
        <v>0</v>
      </c>
      <c r="Q102" s="1934">
        <f>+'6. mell (Bontás)'!Q101</f>
        <v>0</v>
      </c>
      <c r="R102" s="1934">
        <f>+'6. mell (Bontás)'!R101</f>
        <v>0</v>
      </c>
      <c r="S102" s="1934">
        <f>+'6. mell (Bontás)'!S101</f>
        <v>0</v>
      </c>
      <c r="T102" s="1934">
        <f>+'6. mell (Bontás)'!T101</f>
        <v>0</v>
      </c>
      <c r="U102" s="1934">
        <f>+'6. mell (Bontás)'!U101</f>
        <v>0</v>
      </c>
      <c r="V102" s="2482">
        <f>+'6. mell (Bontás)'!V101</f>
        <v>0</v>
      </c>
      <c r="W102" s="1934">
        <f>+'6. mell (Bontás)'!W101</f>
        <v>0</v>
      </c>
      <c r="X102" s="1934">
        <f>+'6. mell (Bontás)'!X101</f>
        <v>0</v>
      </c>
      <c r="Y102" s="1934">
        <f>+'6. mell (Bontás)'!Y101</f>
        <v>0</v>
      </c>
      <c r="Z102" s="1934">
        <f>+'6. mell (Bontás)'!Z101</f>
        <v>0</v>
      </c>
      <c r="AA102" s="1934">
        <f>+'6. mell (Bontás)'!AA101</f>
        <v>0</v>
      </c>
      <c r="AB102" s="2495">
        <f t="shared" si="81"/>
        <v>0</v>
      </c>
      <c r="AC102" s="2495">
        <f t="shared" si="74"/>
        <v>0</v>
      </c>
      <c r="AD102" s="2495">
        <f t="shared" si="75"/>
        <v>0</v>
      </c>
      <c r="AE102" s="2495">
        <f t="shared" si="79"/>
        <v>0</v>
      </c>
      <c r="AF102" s="2495">
        <f t="shared" si="80"/>
        <v>0</v>
      </c>
      <c r="AG102" s="2495">
        <f t="shared" si="77"/>
        <v>0</v>
      </c>
      <c r="AH102" s="999">
        <f t="shared" si="68"/>
        <v>0</v>
      </c>
      <c r="AI102" s="999">
        <f t="shared" si="69"/>
        <v>0</v>
      </c>
      <c r="AJ102" s="999">
        <f t="shared" si="70"/>
        <v>0</v>
      </c>
      <c r="AK102" s="999">
        <f t="shared" si="71"/>
        <v>0</v>
      </c>
      <c r="AL102" s="999">
        <f t="shared" si="72"/>
        <v>0</v>
      </c>
      <c r="AM102" s="2214">
        <f t="shared" si="73"/>
        <v>0</v>
      </c>
    </row>
    <row r="103" spans="1:39">
      <c r="A103" s="1951" t="s">
        <v>327</v>
      </c>
      <c r="B103" s="1952" t="s">
        <v>328</v>
      </c>
      <c r="C103" s="1933">
        <f>+'5. mell.Önk-i mérleg'!C102</f>
        <v>0</v>
      </c>
      <c r="D103" s="1933">
        <f>+'5. mell.Önk-i mérleg'!E102</f>
        <v>0</v>
      </c>
      <c r="E103" s="1933">
        <f>+'5. mell.Önk-i mérleg'!F102</f>
        <v>0</v>
      </c>
      <c r="F103" s="1933">
        <f>+'5. mell.Önk-i mérleg'!G102</f>
        <v>0</v>
      </c>
      <c r="G103" s="1933">
        <f>+'5. mell.Önk-i mérleg'!H102</f>
        <v>0</v>
      </c>
      <c r="H103" s="1933">
        <f>+'5. mell.Önk-i mérleg'!I102</f>
        <v>0</v>
      </c>
      <c r="I103" s="1933">
        <f>+'5. mell.Önk-i mérleg'!J102</f>
        <v>0</v>
      </c>
      <c r="J103" s="1934">
        <f>+'6. mell (Bontás)'!J102</f>
        <v>0</v>
      </c>
      <c r="K103" s="1934">
        <f>+'6. mell (Bontás)'!K102</f>
        <v>0</v>
      </c>
      <c r="L103" s="1934">
        <f>+'6. mell (Bontás)'!L102</f>
        <v>0</v>
      </c>
      <c r="M103" s="1934">
        <f>+'6. mell (Bontás)'!M102</f>
        <v>0</v>
      </c>
      <c r="N103" s="1934">
        <f>+'6. mell (Bontás)'!N102</f>
        <v>0</v>
      </c>
      <c r="O103" s="1934">
        <f>+'6. mell (Bontás)'!O102</f>
        <v>0</v>
      </c>
      <c r="P103" s="1934">
        <f>+'6. mell (Bontás)'!P102</f>
        <v>0</v>
      </c>
      <c r="Q103" s="1934">
        <f>+'6. mell (Bontás)'!Q102</f>
        <v>0</v>
      </c>
      <c r="R103" s="1934">
        <f>+'6. mell (Bontás)'!R102</f>
        <v>0</v>
      </c>
      <c r="S103" s="1934">
        <f>+'6. mell (Bontás)'!S102</f>
        <v>0</v>
      </c>
      <c r="T103" s="1934">
        <f>+'6. mell (Bontás)'!T102</f>
        <v>0</v>
      </c>
      <c r="U103" s="1934">
        <f>+'6. mell (Bontás)'!U102</f>
        <v>0</v>
      </c>
      <c r="V103" s="2482">
        <f>+'6. mell (Bontás)'!V102</f>
        <v>0</v>
      </c>
      <c r="W103" s="1934">
        <f>+'6. mell (Bontás)'!W102</f>
        <v>0</v>
      </c>
      <c r="X103" s="1934">
        <f>+'6. mell (Bontás)'!X102</f>
        <v>0</v>
      </c>
      <c r="Y103" s="1934">
        <f>+'6. mell (Bontás)'!Y102</f>
        <v>0</v>
      </c>
      <c r="Z103" s="1934">
        <f>+'6. mell (Bontás)'!Z102</f>
        <v>0</v>
      </c>
      <c r="AA103" s="1934">
        <f>+'6. mell (Bontás)'!AA102</f>
        <v>0</v>
      </c>
      <c r="AB103" s="2495">
        <f t="shared" si="81"/>
        <v>0</v>
      </c>
      <c r="AC103" s="2495">
        <f t="shared" si="74"/>
        <v>0</v>
      </c>
      <c r="AD103" s="2495">
        <f t="shared" si="75"/>
        <v>0</v>
      </c>
      <c r="AE103" s="2495">
        <f t="shared" si="79"/>
        <v>0</v>
      </c>
      <c r="AF103" s="2495">
        <f t="shared" si="80"/>
        <v>0</v>
      </c>
      <c r="AG103" s="2495">
        <f t="shared" si="77"/>
        <v>0</v>
      </c>
      <c r="AH103" s="999">
        <f t="shared" si="68"/>
        <v>0</v>
      </c>
      <c r="AI103" s="999">
        <f t="shared" si="69"/>
        <v>0</v>
      </c>
      <c r="AJ103" s="999">
        <f t="shared" si="70"/>
        <v>0</v>
      </c>
      <c r="AK103" s="999">
        <f t="shared" si="71"/>
        <v>0</v>
      </c>
      <c r="AL103" s="999">
        <f t="shared" si="72"/>
        <v>0</v>
      </c>
      <c r="AM103" s="2214">
        <f t="shared" si="73"/>
        <v>0</v>
      </c>
    </row>
    <row r="104" spans="1:39">
      <c r="A104" s="1951" t="s">
        <v>329</v>
      </c>
      <c r="B104" s="1952" t="s">
        <v>330</v>
      </c>
      <c r="C104" s="1933">
        <f>+'5. mell.Önk-i mérleg'!C103</f>
        <v>0</v>
      </c>
      <c r="D104" s="1933">
        <f>+'5. mell.Önk-i mérleg'!E103</f>
        <v>0</v>
      </c>
      <c r="E104" s="1933">
        <f>+'5. mell.Önk-i mérleg'!F103</f>
        <v>0</v>
      </c>
      <c r="F104" s="1933">
        <f>+'5. mell.Önk-i mérleg'!G103</f>
        <v>0</v>
      </c>
      <c r="G104" s="1933">
        <f>+'5. mell.Önk-i mérleg'!H103</f>
        <v>0</v>
      </c>
      <c r="H104" s="1933">
        <f>+'5. mell.Önk-i mérleg'!I103</f>
        <v>0</v>
      </c>
      <c r="I104" s="1933">
        <f>+'5. mell.Önk-i mérleg'!J103</f>
        <v>0</v>
      </c>
      <c r="J104" s="1934">
        <f>+'6. mell (Bontás)'!J103</f>
        <v>0</v>
      </c>
      <c r="K104" s="1934">
        <f>+'6. mell (Bontás)'!K103</f>
        <v>0</v>
      </c>
      <c r="L104" s="1934">
        <f>+'6. mell (Bontás)'!L103</f>
        <v>0</v>
      </c>
      <c r="M104" s="1934">
        <f>+'6. mell (Bontás)'!M103</f>
        <v>0</v>
      </c>
      <c r="N104" s="1934">
        <f>+'6. mell (Bontás)'!N103</f>
        <v>0</v>
      </c>
      <c r="O104" s="1934">
        <f>+'6. mell (Bontás)'!O103</f>
        <v>0</v>
      </c>
      <c r="P104" s="1934">
        <f>+'6. mell (Bontás)'!P103</f>
        <v>0</v>
      </c>
      <c r="Q104" s="1934">
        <f>+'6. mell (Bontás)'!Q103</f>
        <v>0</v>
      </c>
      <c r="R104" s="1934">
        <f>+'6. mell (Bontás)'!R103</f>
        <v>0</v>
      </c>
      <c r="S104" s="1934">
        <f>+'6. mell (Bontás)'!S103</f>
        <v>0</v>
      </c>
      <c r="T104" s="1934">
        <f>+'6. mell (Bontás)'!T103</f>
        <v>0</v>
      </c>
      <c r="U104" s="1934">
        <f>+'6. mell (Bontás)'!U103</f>
        <v>0</v>
      </c>
      <c r="V104" s="2482">
        <f>+'6. mell (Bontás)'!V103</f>
        <v>0</v>
      </c>
      <c r="W104" s="1934">
        <f>+'6. mell (Bontás)'!W103</f>
        <v>0</v>
      </c>
      <c r="X104" s="1934">
        <f>+'6. mell (Bontás)'!X103</f>
        <v>0</v>
      </c>
      <c r="Y104" s="1934">
        <f>+'6. mell (Bontás)'!Y103</f>
        <v>0</v>
      </c>
      <c r="Z104" s="1934">
        <f>+'6. mell (Bontás)'!Z103</f>
        <v>0</v>
      </c>
      <c r="AA104" s="1934">
        <f>+'6. mell (Bontás)'!AA103</f>
        <v>0</v>
      </c>
      <c r="AB104" s="2495">
        <f t="shared" si="81"/>
        <v>0</v>
      </c>
      <c r="AC104" s="2495">
        <f t="shared" si="74"/>
        <v>0</v>
      </c>
      <c r="AD104" s="2495">
        <f t="shared" si="75"/>
        <v>0</v>
      </c>
      <c r="AE104" s="2495">
        <f t="shared" si="79"/>
        <v>0</v>
      </c>
      <c r="AF104" s="2495">
        <f t="shared" si="80"/>
        <v>0</v>
      </c>
      <c r="AG104" s="2495">
        <f t="shared" si="77"/>
        <v>0</v>
      </c>
      <c r="AH104" s="999">
        <f t="shared" si="68"/>
        <v>0</v>
      </c>
      <c r="AI104" s="999">
        <f t="shared" si="69"/>
        <v>0</v>
      </c>
      <c r="AJ104" s="999">
        <f t="shared" si="70"/>
        <v>0</v>
      </c>
      <c r="AK104" s="999">
        <f t="shared" si="71"/>
        <v>0</v>
      </c>
      <c r="AL104" s="999">
        <f t="shared" si="72"/>
        <v>0</v>
      </c>
      <c r="AM104" s="2214">
        <f t="shared" si="73"/>
        <v>0</v>
      </c>
    </row>
    <row r="105" spans="1:39">
      <c r="A105" s="1951" t="s">
        <v>331</v>
      </c>
      <c r="B105" s="1953" t="s">
        <v>332</v>
      </c>
      <c r="C105" s="1933">
        <f>+'5. mell.Önk-i mérleg'!C104-'5. mell.Önk-i mérleg'!C105</f>
        <v>55923285</v>
      </c>
      <c r="D105" s="1933">
        <f>+'5. mell.Önk-i mérleg'!E104+'8. mell. Intézmények összesen'!F46</f>
        <v>54607539</v>
      </c>
      <c r="E105" s="1933">
        <f>+'5. mell.Önk-i mérleg'!F104+'8. mell. Intézmények összesen'!G46</f>
        <v>404589652</v>
      </c>
      <c r="F105" s="1933">
        <f>+'5. mell.Önk-i mérleg'!G104+'8. mell. Intézmények összesen'!H46</f>
        <v>400914252</v>
      </c>
      <c r="G105" s="1933">
        <f>+'5. mell.Önk-i mérleg'!H104+'8. mell. Intézmények összesen'!I46</f>
        <v>397202052</v>
      </c>
      <c r="H105" s="1933">
        <f>+'5. mell.Önk-i mérleg'!I104+'8. mell. Intézmények összesen'!J46</f>
        <v>397202052</v>
      </c>
      <c r="I105" s="1933">
        <f>+'5. mell.Önk-i mérleg'!J104+'8. mell. Intézmények összesen'!K46</f>
        <v>392495569</v>
      </c>
      <c r="J105" s="1934">
        <f t="shared" ref="J105:O105" si="82">+D105-P105</f>
        <v>54607539</v>
      </c>
      <c r="K105" s="1934">
        <f t="shared" si="82"/>
        <v>394975649</v>
      </c>
      <c r="L105" s="1934">
        <f t="shared" si="82"/>
        <v>391300249</v>
      </c>
      <c r="M105" s="1934">
        <f t="shared" si="82"/>
        <v>387588049</v>
      </c>
      <c r="N105" s="1934">
        <f t="shared" si="82"/>
        <v>387588049</v>
      </c>
      <c r="O105" s="1934">
        <f t="shared" si="82"/>
        <v>382881566</v>
      </c>
      <c r="P105" s="1934">
        <f>+'6. mell (Bontás)'!P104-'6. mell (Bontás)'!P105+'8. mell. Intézmények összesen'!L46</f>
        <v>0</v>
      </c>
      <c r="Q105" s="1934">
        <f>+'6. mell (Bontás)'!Q104-'6. mell (Bontás)'!Q105+'8. mell. Intézmények összesen'!M46</f>
        <v>9614003</v>
      </c>
      <c r="R105" s="1934">
        <f>+'6. mell (Bontás)'!R104-'6. mell (Bontás)'!R105+'8. mell. Intézmények összesen'!N46</f>
        <v>9614003</v>
      </c>
      <c r="S105" s="1934">
        <f>+'6. mell (Bontás)'!S104-'6. mell (Bontás)'!S105+'8. mell. Intézmények összesen'!O46</f>
        <v>9614003</v>
      </c>
      <c r="T105" s="1934">
        <f>+'6. mell (Bontás)'!T104-'6. mell (Bontás)'!T105+'8. mell. Intézmények összesen'!P46</f>
        <v>9614003</v>
      </c>
      <c r="U105" s="1934">
        <f>+'6. mell (Bontás)'!U104-'6. mell (Bontás)'!U105+'8. mell. Intézmények összesen'!Q46</f>
        <v>9614003</v>
      </c>
      <c r="V105" s="2482">
        <v>0</v>
      </c>
      <c r="W105" s="1934">
        <f>+V105</f>
        <v>0</v>
      </c>
      <c r="X105" s="1934">
        <f>+W105</f>
        <v>0</v>
      </c>
      <c r="Y105" s="2043">
        <f>+X105</f>
        <v>0</v>
      </c>
      <c r="Z105" s="2043">
        <f>+Y105</f>
        <v>0</v>
      </c>
      <c r="AA105" s="2043">
        <f>+Z105</f>
        <v>0</v>
      </c>
      <c r="AB105" s="2495">
        <f t="shared" si="81"/>
        <v>54607539</v>
      </c>
      <c r="AC105" s="2495">
        <f t="shared" si="74"/>
        <v>404589652</v>
      </c>
      <c r="AD105" s="2495">
        <f t="shared" si="75"/>
        <v>400914252</v>
      </c>
      <c r="AE105" s="2495">
        <f t="shared" si="79"/>
        <v>397202052</v>
      </c>
      <c r="AF105" s="2495">
        <f t="shared" si="80"/>
        <v>397202052</v>
      </c>
      <c r="AG105" s="2495">
        <f t="shared" si="77"/>
        <v>392495569</v>
      </c>
      <c r="AH105" s="999">
        <f t="shared" si="68"/>
        <v>0</v>
      </c>
      <c r="AI105" s="999">
        <f t="shared" si="69"/>
        <v>0</v>
      </c>
      <c r="AJ105" s="999">
        <f t="shared" si="70"/>
        <v>0</v>
      </c>
      <c r="AK105" s="999">
        <f t="shared" si="71"/>
        <v>0</v>
      </c>
      <c r="AL105" s="999">
        <f t="shared" si="72"/>
        <v>0</v>
      </c>
      <c r="AM105" s="2214">
        <f t="shared" si="73"/>
        <v>0</v>
      </c>
    </row>
    <row r="106" spans="1:39">
      <c r="A106" s="1951" t="s">
        <v>333</v>
      </c>
      <c r="B106" s="1953" t="s">
        <v>334</v>
      </c>
      <c r="C106" s="1933">
        <f>+'5. mell.Önk-i mérleg'!C106</f>
        <v>0</v>
      </c>
      <c r="D106" s="1933">
        <f>+'5. mell.Önk-i mérleg'!E106</f>
        <v>0</v>
      </c>
      <c r="E106" s="1933">
        <f>+'5. mell.Önk-i mérleg'!F106</f>
        <v>0</v>
      </c>
      <c r="F106" s="1933">
        <f>+'5. mell.Önk-i mérleg'!G106</f>
        <v>0</v>
      </c>
      <c r="G106" s="1933">
        <f>+'5. mell.Önk-i mérleg'!H106</f>
        <v>0</v>
      </c>
      <c r="H106" s="1933">
        <f>+'5. mell.Önk-i mérleg'!I106</f>
        <v>0</v>
      </c>
      <c r="I106" s="1933">
        <f>+'5. mell.Önk-i mérleg'!J106</f>
        <v>0</v>
      </c>
      <c r="J106" s="1934">
        <f>+'6. mell (Bontás)'!J106</f>
        <v>0</v>
      </c>
      <c r="K106" s="1934">
        <f>+'6. mell (Bontás)'!K106</f>
        <v>0</v>
      </c>
      <c r="L106" s="1934">
        <f>+'6. mell (Bontás)'!L106</f>
        <v>0</v>
      </c>
      <c r="M106" s="1934">
        <f>+'6. mell (Bontás)'!M106</f>
        <v>0</v>
      </c>
      <c r="N106" s="1934">
        <f>+'6. mell (Bontás)'!N106</f>
        <v>0</v>
      </c>
      <c r="O106" s="1934">
        <f>+'6. mell (Bontás)'!O106</f>
        <v>0</v>
      </c>
      <c r="P106" s="1934">
        <f>+'6. mell (Bontás)'!P106</f>
        <v>0</v>
      </c>
      <c r="Q106" s="1934">
        <f>+'6. mell (Bontás)'!Q106</f>
        <v>0</v>
      </c>
      <c r="R106" s="1934">
        <f>+'6. mell (Bontás)'!R106</f>
        <v>0</v>
      </c>
      <c r="S106" s="1934">
        <f>+'6. mell (Bontás)'!S106</f>
        <v>0</v>
      </c>
      <c r="T106" s="1934">
        <f>+'6. mell (Bontás)'!T106</f>
        <v>0</v>
      </c>
      <c r="U106" s="1934">
        <f>+'6. mell (Bontás)'!U106</f>
        <v>0</v>
      </c>
      <c r="V106" s="2482">
        <f>+'6. mell (Bontás)'!V106</f>
        <v>0</v>
      </c>
      <c r="W106" s="1934">
        <f>+'6. mell (Bontás)'!W106</f>
        <v>0</v>
      </c>
      <c r="X106" s="1934">
        <f>+'6. mell (Bontás)'!X106</f>
        <v>0</v>
      </c>
      <c r="Y106" s="1934">
        <f>+'6. mell (Bontás)'!Y106</f>
        <v>0</v>
      </c>
      <c r="Z106" s="1934">
        <f>+'6. mell (Bontás)'!Z106</f>
        <v>0</v>
      </c>
      <c r="AA106" s="1934">
        <f>+'6. mell (Bontás)'!AA106</f>
        <v>0</v>
      </c>
      <c r="AB106" s="2495">
        <f t="shared" si="81"/>
        <v>0</v>
      </c>
      <c r="AC106" s="2495">
        <f t="shared" si="74"/>
        <v>0</v>
      </c>
      <c r="AD106" s="2495">
        <f t="shared" si="75"/>
        <v>0</v>
      </c>
      <c r="AE106" s="2495">
        <f t="shared" si="79"/>
        <v>0</v>
      </c>
      <c r="AF106" s="2495">
        <f t="shared" si="80"/>
        <v>0</v>
      </c>
      <c r="AG106" s="2495">
        <f t="shared" si="77"/>
        <v>0</v>
      </c>
      <c r="AH106" s="999">
        <f t="shared" si="68"/>
        <v>0</v>
      </c>
      <c r="AI106" s="999">
        <f t="shared" si="69"/>
        <v>0</v>
      </c>
      <c r="AJ106" s="999">
        <f t="shared" si="70"/>
        <v>0</v>
      </c>
      <c r="AK106" s="999">
        <f t="shared" si="71"/>
        <v>0</v>
      </c>
      <c r="AL106" s="999">
        <f t="shared" si="72"/>
        <v>0</v>
      </c>
      <c r="AM106" s="2214">
        <f t="shared" si="73"/>
        <v>0</v>
      </c>
    </row>
    <row r="107" spans="1:39">
      <c r="A107" s="1951" t="s">
        <v>335</v>
      </c>
      <c r="B107" s="1952" t="s">
        <v>336</v>
      </c>
      <c r="C107" s="1933">
        <f>+'5. mell.Önk-i mérleg'!C107</f>
        <v>16500000</v>
      </c>
      <c r="D107" s="1933">
        <f>+'5. mell.Önk-i mérleg'!E107</f>
        <v>16000000</v>
      </c>
      <c r="E107" s="1933">
        <f>+'5. mell.Önk-i mérleg'!F107</f>
        <v>16000000</v>
      </c>
      <c r="F107" s="1933">
        <f>+'5. mell.Önk-i mérleg'!G107</f>
        <v>16000000</v>
      </c>
      <c r="G107" s="1933">
        <f>+'5. mell.Önk-i mérleg'!H107</f>
        <v>16000000</v>
      </c>
      <c r="H107" s="1933">
        <f>+'5. mell.Önk-i mérleg'!I107</f>
        <v>16000000</v>
      </c>
      <c r="I107" s="1933">
        <f>+'5. mell.Önk-i mérleg'!J107</f>
        <v>15000000</v>
      </c>
      <c r="J107" s="1934">
        <f>+'6. mell (Bontás)'!J107</f>
        <v>0</v>
      </c>
      <c r="K107" s="1934">
        <f>+'6. mell (Bontás)'!K107</f>
        <v>0</v>
      </c>
      <c r="L107" s="1934">
        <f>+'6. mell (Bontás)'!L107</f>
        <v>0</v>
      </c>
      <c r="M107" s="1934">
        <f>+'6. mell (Bontás)'!M107</f>
        <v>0</v>
      </c>
      <c r="N107" s="1934">
        <f>+'6. mell (Bontás)'!N107</f>
        <v>0</v>
      </c>
      <c r="O107" s="1934">
        <f>+'6. mell (Bontás)'!O107</f>
        <v>0</v>
      </c>
      <c r="P107" s="1934">
        <f>+'6. mell (Bontás)'!P107</f>
        <v>16000000</v>
      </c>
      <c r="Q107" s="1934">
        <f>+'6. mell (Bontás)'!Q107</f>
        <v>16000000</v>
      </c>
      <c r="R107" s="1934">
        <f>+'6. mell (Bontás)'!R107</f>
        <v>16000000</v>
      </c>
      <c r="S107" s="1934">
        <f>+'6. mell (Bontás)'!S107</f>
        <v>16000000</v>
      </c>
      <c r="T107" s="1934">
        <f>+'6. mell (Bontás)'!T107</f>
        <v>16000000</v>
      </c>
      <c r="U107" s="1934">
        <f>+'6. mell (Bontás)'!U107</f>
        <v>15000000</v>
      </c>
      <c r="V107" s="2482">
        <f>+'6. mell (Bontás)'!V107</f>
        <v>0</v>
      </c>
      <c r="W107" s="1934">
        <f>+'6. mell (Bontás)'!W107</f>
        <v>0</v>
      </c>
      <c r="X107" s="1934">
        <f>+'6. mell (Bontás)'!X107</f>
        <v>0</v>
      </c>
      <c r="Y107" s="1934">
        <f>+'6. mell (Bontás)'!Y107</f>
        <v>0</v>
      </c>
      <c r="Z107" s="1934">
        <f>+'6. mell (Bontás)'!Z107</f>
        <v>0</v>
      </c>
      <c r="AA107" s="1934">
        <f>+'6. mell (Bontás)'!AA107</f>
        <v>0</v>
      </c>
      <c r="AB107" s="2495">
        <f t="shared" si="81"/>
        <v>16000000</v>
      </c>
      <c r="AC107" s="2495">
        <f t="shared" si="74"/>
        <v>16000000</v>
      </c>
      <c r="AD107" s="2495">
        <f t="shared" si="75"/>
        <v>16000000</v>
      </c>
      <c r="AE107" s="2495">
        <f t="shared" si="79"/>
        <v>16000000</v>
      </c>
      <c r="AF107" s="2495">
        <f t="shared" si="80"/>
        <v>16000000</v>
      </c>
      <c r="AG107" s="2495">
        <f t="shared" si="77"/>
        <v>15000000</v>
      </c>
      <c r="AH107" s="999">
        <f t="shared" si="68"/>
        <v>0</v>
      </c>
      <c r="AI107" s="999">
        <f t="shared" si="69"/>
        <v>0</v>
      </c>
      <c r="AJ107" s="999">
        <f t="shared" si="70"/>
        <v>0</v>
      </c>
      <c r="AK107" s="999">
        <f t="shared" si="71"/>
        <v>0</v>
      </c>
      <c r="AL107" s="999">
        <f t="shared" si="72"/>
        <v>0</v>
      </c>
      <c r="AM107" s="2214">
        <f t="shared" si="73"/>
        <v>0</v>
      </c>
    </row>
    <row r="108" spans="1:39">
      <c r="A108" s="1951" t="s">
        <v>337</v>
      </c>
      <c r="B108" s="1952" t="s">
        <v>338</v>
      </c>
      <c r="C108" s="1933">
        <f>+'5. mell.Önk-i mérleg'!C108</f>
        <v>0</v>
      </c>
      <c r="D108" s="1933">
        <f>+'5. mell.Önk-i mérleg'!E108</f>
        <v>0</v>
      </c>
      <c r="E108" s="1933">
        <f>+'5. mell.Önk-i mérleg'!F108</f>
        <v>0</v>
      </c>
      <c r="F108" s="1933">
        <f>+'5. mell.Önk-i mérleg'!G108</f>
        <v>0</v>
      </c>
      <c r="G108" s="1933">
        <f>+'5. mell.Önk-i mérleg'!H108</f>
        <v>0</v>
      </c>
      <c r="H108" s="1933">
        <f>+'5. mell.Önk-i mérleg'!I108</f>
        <v>0</v>
      </c>
      <c r="I108" s="1933">
        <f>+'5. mell.Önk-i mérleg'!J108</f>
        <v>0</v>
      </c>
      <c r="J108" s="1934">
        <f>+'6. mell (Bontás)'!J108</f>
        <v>0</v>
      </c>
      <c r="K108" s="1934">
        <f>+'6. mell (Bontás)'!K108</f>
        <v>0</v>
      </c>
      <c r="L108" s="1934">
        <f>+'6. mell (Bontás)'!L108</f>
        <v>0</v>
      </c>
      <c r="M108" s="1934">
        <f>+'6. mell (Bontás)'!M108</f>
        <v>0</v>
      </c>
      <c r="N108" s="1934">
        <f>+'6. mell (Bontás)'!N108</f>
        <v>0</v>
      </c>
      <c r="O108" s="1934">
        <f>+'6. mell (Bontás)'!O108</f>
        <v>0</v>
      </c>
      <c r="P108" s="1934">
        <f>+'6. mell (Bontás)'!P108</f>
        <v>0</v>
      </c>
      <c r="Q108" s="1934">
        <f>+'6. mell (Bontás)'!Q108</f>
        <v>0</v>
      </c>
      <c r="R108" s="1934">
        <f>+'6. mell (Bontás)'!R108</f>
        <v>0</v>
      </c>
      <c r="S108" s="1934">
        <f>+'6. mell (Bontás)'!S108</f>
        <v>0</v>
      </c>
      <c r="T108" s="1934">
        <f>+'6. mell (Bontás)'!T108</f>
        <v>0</v>
      </c>
      <c r="U108" s="1934">
        <f>+'6. mell (Bontás)'!U108</f>
        <v>0</v>
      </c>
      <c r="V108" s="2482">
        <f>+'6. mell (Bontás)'!V108</f>
        <v>0</v>
      </c>
      <c r="W108" s="1934">
        <f>+'6. mell (Bontás)'!W108</f>
        <v>0</v>
      </c>
      <c r="X108" s="1934">
        <f>+'6. mell (Bontás)'!X108</f>
        <v>0</v>
      </c>
      <c r="Y108" s="1934">
        <f>+'6. mell (Bontás)'!Y108</f>
        <v>0</v>
      </c>
      <c r="Z108" s="1934">
        <f>+'6. mell (Bontás)'!Z108</f>
        <v>0</v>
      </c>
      <c r="AA108" s="1934">
        <f>+'6. mell (Bontás)'!AA108</f>
        <v>0</v>
      </c>
      <c r="AB108" s="2495">
        <f t="shared" si="81"/>
        <v>0</v>
      </c>
      <c r="AC108" s="2495">
        <f t="shared" si="74"/>
        <v>0</v>
      </c>
      <c r="AD108" s="2495">
        <f t="shared" si="75"/>
        <v>0</v>
      </c>
      <c r="AE108" s="2495">
        <f t="shared" si="79"/>
        <v>0</v>
      </c>
      <c r="AF108" s="2495">
        <f t="shared" si="80"/>
        <v>0</v>
      </c>
      <c r="AG108" s="2495">
        <f t="shared" si="77"/>
        <v>0</v>
      </c>
      <c r="AH108" s="999">
        <f t="shared" si="68"/>
        <v>0</v>
      </c>
      <c r="AI108" s="999">
        <f t="shared" si="69"/>
        <v>0</v>
      </c>
      <c r="AJ108" s="999">
        <f t="shared" si="70"/>
        <v>0</v>
      </c>
      <c r="AK108" s="999">
        <f t="shared" si="71"/>
        <v>0</v>
      </c>
      <c r="AL108" s="999">
        <f t="shared" si="72"/>
        <v>0</v>
      </c>
      <c r="AM108" s="2214">
        <f t="shared" si="73"/>
        <v>0</v>
      </c>
    </row>
    <row r="109" spans="1:39">
      <c r="A109" s="1951" t="s">
        <v>339</v>
      </c>
      <c r="B109" s="1952" t="s">
        <v>340</v>
      </c>
      <c r="C109" s="1933">
        <f>+'5. mell.Önk-i mérleg'!C109</f>
        <v>0</v>
      </c>
      <c r="D109" s="1933">
        <f>+'5. mell.Önk-i mérleg'!E109</f>
        <v>0</v>
      </c>
      <c r="E109" s="1933">
        <f>+'5. mell.Önk-i mérleg'!F109</f>
        <v>0</v>
      </c>
      <c r="F109" s="1933">
        <f>+'5. mell.Önk-i mérleg'!G109</f>
        <v>0</v>
      </c>
      <c r="G109" s="1933">
        <f>+'5. mell.Önk-i mérleg'!H109</f>
        <v>0</v>
      </c>
      <c r="H109" s="1933">
        <f>+'5. mell.Önk-i mérleg'!I109</f>
        <v>0</v>
      </c>
      <c r="I109" s="1933">
        <f>+'5. mell.Önk-i mérleg'!J109</f>
        <v>0</v>
      </c>
      <c r="J109" s="1934">
        <f>+'6. mell (Bontás)'!J109</f>
        <v>0</v>
      </c>
      <c r="K109" s="1934">
        <f>+'6. mell (Bontás)'!K109</f>
        <v>0</v>
      </c>
      <c r="L109" s="1934">
        <f>+'6. mell (Bontás)'!L109</f>
        <v>0</v>
      </c>
      <c r="M109" s="1934">
        <f>+'6. mell (Bontás)'!M109</f>
        <v>0</v>
      </c>
      <c r="N109" s="1934">
        <f>+'6. mell (Bontás)'!N109</f>
        <v>0</v>
      </c>
      <c r="O109" s="1934">
        <f>+'6. mell (Bontás)'!O109</f>
        <v>0</v>
      </c>
      <c r="P109" s="1934">
        <f>+'6. mell (Bontás)'!P109</f>
        <v>0</v>
      </c>
      <c r="Q109" s="1934">
        <f>+'6. mell (Bontás)'!Q109</f>
        <v>0</v>
      </c>
      <c r="R109" s="1934">
        <f>+'6. mell (Bontás)'!R109</f>
        <v>0</v>
      </c>
      <c r="S109" s="1934">
        <f>+'6. mell (Bontás)'!S109</f>
        <v>0</v>
      </c>
      <c r="T109" s="1934">
        <f>+'6. mell (Bontás)'!T109</f>
        <v>0</v>
      </c>
      <c r="U109" s="1934">
        <f>+'6. mell (Bontás)'!U109</f>
        <v>0</v>
      </c>
      <c r="V109" s="2482">
        <f>+'6. mell (Bontás)'!V109</f>
        <v>0</v>
      </c>
      <c r="W109" s="1934">
        <f>+'6. mell (Bontás)'!W109</f>
        <v>0</v>
      </c>
      <c r="X109" s="1934">
        <f>+'6. mell (Bontás)'!X109</f>
        <v>0</v>
      </c>
      <c r="Y109" s="1934">
        <f>+'6. mell (Bontás)'!Y109</f>
        <v>0</v>
      </c>
      <c r="Z109" s="1934">
        <f>+'6. mell (Bontás)'!Z109</f>
        <v>0</v>
      </c>
      <c r="AA109" s="1934">
        <f>+'6. mell (Bontás)'!AA109</f>
        <v>0</v>
      </c>
      <c r="AB109" s="2495">
        <f t="shared" si="81"/>
        <v>0</v>
      </c>
      <c r="AC109" s="2495">
        <f t="shared" si="74"/>
        <v>0</v>
      </c>
      <c r="AD109" s="2495">
        <f t="shared" si="75"/>
        <v>0</v>
      </c>
      <c r="AE109" s="2495">
        <f t="shared" si="79"/>
        <v>0</v>
      </c>
      <c r="AF109" s="2495">
        <f t="shared" si="80"/>
        <v>0</v>
      </c>
      <c r="AG109" s="2495">
        <f t="shared" si="77"/>
        <v>0</v>
      </c>
      <c r="AH109" s="999">
        <f t="shared" si="68"/>
        <v>0</v>
      </c>
      <c r="AI109" s="999">
        <f t="shared" si="69"/>
        <v>0</v>
      </c>
      <c r="AJ109" s="999">
        <f t="shared" si="70"/>
        <v>0</v>
      </c>
      <c r="AK109" s="999">
        <f t="shared" si="71"/>
        <v>0</v>
      </c>
      <c r="AL109" s="999">
        <f t="shared" si="72"/>
        <v>0</v>
      </c>
      <c r="AM109" s="2214">
        <f t="shared" si="73"/>
        <v>0</v>
      </c>
    </row>
    <row r="110" spans="1:39">
      <c r="A110" s="1951" t="s">
        <v>341</v>
      </c>
      <c r="B110" s="1952" t="s">
        <v>342</v>
      </c>
      <c r="C110" s="1933">
        <f>+'5. mell.Önk-i mérleg'!C110</f>
        <v>903333044</v>
      </c>
      <c r="D110" s="1933">
        <f>+'5. mell.Önk-i mérleg'!E110</f>
        <v>938091063</v>
      </c>
      <c r="E110" s="1933">
        <f>+'5. mell.Önk-i mérleg'!F110</f>
        <v>907734786</v>
      </c>
      <c r="F110" s="1933">
        <f>+'5. mell.Önk-i mérleg'!G110</f>
        <v>903243195</v>
      </c>
      <c r="G110" s="1933">
        <f>+'5. mell.Önk-i mérleg'!H110</f>
        <v>910936364</v>
      </c>
      <c r="H110" s="1933">
        <f>+'5. mell.Önk-i mérleg'!I110</f>
        <v>910936364</v>
      </c>
      <c r="I110" s="1933">
        <f>+'5. mell.Önk-i mérleg'!J110</f>
        <v>864275059</v>
      </c>
      <c r="J110" s="1934">
        <f>+'6. mell (Bontás)'!J110</f>
        <v>757183750</v>
      </c>
      <c r="K110" s="1934">
        <f>+'6. mell (Bontás)'!K110</f>
        <v>733797359</v>
      </c>
      <c r="L110" s="1934">
        <f>+'6. mell (Bontás)'!L110</f>
        <v>733797359</v>
      </c>
      <c r="M110" s="1934">
        <f>+'6. mell (Bontás)'!M110</f>
        <v>744353878</v>
      </c>
      <c r="N110" s="1934">
        <f>+'6. mell (Bontás)'!N110</f>
        <v>744353878</v>
      </c>
      <c r="O110" s="1934">
        <f>+'6. mell (Bontás)'!O110</f>
        <v>707390678</v>
      </c>
      <c r="P110" s="1934">
        <f>+'6. mell (Bontás)'!P110</f>
        <v>180907313</v>
      </c>
      <c r="Q110" s="1934">
        <f>+'6. mell (Bontás)'!Q110</f>
        <v>173937427</v>
      </c>
      <c r="R110" s="1934">
        <f>+'6. mell (Bontás)'!R110</f>
        <v>169445836</v>
      </c>
      <c r="S110" s="1934">
        <f>+'6. mell (Bontás)'!S110</f>
        <v>166582486</v>
      </c>
      <c r="T110" s="1934">
        <f>+'6. mell (Bontás)'!T110</f>
        <v>166582486</v>
      </c>
      <c r="U110" s="1934">
        <f>+'6. mell (Bontás)'!U110</f>
        <v>156884381</v>
      </c>
      <c r="V110" s="2482">
        <f>+'6. mell (Bontás)'!V110</f>
        <v>0</v>
      </c>
      <c r="W110" s="1934">
        <f>+'6. mell (Bontás)'!W110</f>
        <v>0</v>
      </c>
      <c r="X110" s="1934">
        <f>+'6. mell (Bontás)'!X110</f>
        <v>0</v>
      </c>
      <c r="Y110" s="1934">
        <f>+'6. mell (Bontás)'!Y110</f>
        <v>0</v>
      </c>
      <c r="Z110" s="1934">
        <f>+'6. mell (Bontás)'!Z110</f>
        <v>0</v>
      </c>
      <c r="AA110" s="1934">
        <f>+'6. mell (Bontás)'!AA110</f>
        <v>0</v>
      </c>
      <c r="AB110" s="2495">
        <f t="shared" si="81"/>
        <v>938091063</v>
      </c>
      <c r="AC110" s="2495">
        <f t="shared" si="74"/>
        <v>907734786</v>
      </c>
      <c r="AD110" s="2495">
        <f t="shared" si="75"/>
        <v>903243195</v>
      </c>
      <c r="AE110" s="2495">
        <f t="shared" si="79"/>
        <v>910936364</v>
      </c>
      <c r="AF110" s="2495">
        <f t="shared" si="80"/>
        <v>910936364</v>
      </c>
      <c r="AG110" s="2495">
        <f t="shared" si="77"/>
        <v>864275059</v>
      </c>
      <c r="AH110" s="999">
        <f t="shared" si="68"/>
        <v>0</v>
      </c>
      <c r="AI110" s="999">
        <f t="shared" si="69"/>
        <v>0</v>
      </c>
      <c r="AJ110" s="999">
        <f t="shared" si="70"/>
        <v>0</v>
      </c>
      <c r="AK110" s="999">
        <f t="shared" si="71"/>
        <v>0</v>
      </c>
      <c r="AL110" s="999">
        <f t="shared" si="72"/>
        <v>0</v>
      </c>
      <c r="AM110" s="2214">
        <f t="shared" si="73"/>
        <v>0</v>
      </c>
    </row>
    <row r="111" spans="1:39">
      <c r="A111" s="1928" t="s">
        <v>12</v>
      </c>
      <c r="B111" s="1935" t="s">
        <v>467</v>
      </c>
      <c r="C111" s="1930">
        <f t="shared" ref="C111:AG111" si="83">+C112+C114+C116</f>
        <v>10051789968.93</v>
      </c>
      <c r="D111" s="1930">
        <f t="shared" si="83"/>
        <v>3665997046</v>
      </c>
      <c r="E111" s="1930">
        <f t="shared" si="83"/>
        <v>3715443401</v>
      </c>
      <c r="F111" s="1930">
        <f t="shared" si="83"/>
        <v>3849241606</v>
      </c>
      <c r="G111" s="1930">
        <f t="shared" si="83"/>
        <v>3535367440</v>
      </c>
      <c r="H111" s="1930">
        <f t="shared" si="83"/>
        <v>3535367440</v>
      </c>
      <c r="I111" s="1930">
        <f t="shared" si="83"/>
        <v>2200043640</v>
      </c>
      <c r="J111" s="1930">
        <f t="shared" si="83"/>
        <v>1123687582</v>
      </c>
      <c r="K111" s="1930">
        <f t="shared" si="83"/>
        <v>1154884777</v>
      </c>
      <c r="L111" s="1930">
        <f t="shared" si="83"/>
        <v>1192434993</v>
      </c>
      <c r="M111" s="1930">
        <f t="shared" si="83"/>
        <v>919043722</v>
      </c>
      <c r="N111" s="1930">
        <f t="shared" si="83"/>
        <v>919043722</v>
      </c>
      <c r="O111" s="1930">
        <f t="shared" si="83"/>
        <v>445543722</v>
      </c>
      <c r="P111" s="1930">
        <f t="shared" si="83"/>
        <v>2542309464</v>
      </c>
      <c r="Q111" s="1930">
        <f t="shared" si="83"/>
        <v>2560558624</v>
      </c>
      <c r="R111" s="1930">
        <f t="shared" si="83"/>
        <v>2656806613</v>
      </c>
      <c r="S111" s="1930">
        <f t="shared" si="83"/>
        <v>2616323718</v>
      </c>
      <c r="T111" s="1930">
        <f t="shared" si="83"/>
        <v>2616323718</v>
      </c>
      <c r="U111" s="1930">
        <f t="shared" si="83"/>
        <v>1754499918</v>
      </c>
      <c r="V111" s="2481">
        <f t="shared" si="83"/>
        <v>0</v>
      </c>
      <c r="W111" s="1930">
        <f t="shared" si="83"/>
        <v>0</v>
      </c>
      <c r="X111" s="1930">
        <f t="shared" si="83"/>
        <v>0</v>
      </c>
      <c r="Y111" s="1930">
        <f t="shared" si="83"/>
        <v>0</v>
      </c>
      <c r="Z111" s="1930">
        <f t="shared" si="83"/>
        <v>0</v>
      </c>
      <c r="AA111" s="1930">
        <f t="shared" si="83"/>
        <v>0</v>
      </c>
      <c r="AB111" s="1930">
        <f t="shared" si="83"/>
        <v>3665997046</v>
      </c>
      <c r="AC111" s="1930">
        <f t="shared" si="83"/>
        <v>3715443401</v>
      </c>
      <c r="AD111" s="1930">
        <f t="shared" si="83"/>
        <v>3849241606</v>
      </c>
      <c r="AE111" s="1930">
        <f t="shared" si="83"/>
        <v>3535367440</v>
      </c>
      <c r="AF111" s="1930">
        <f t="shared" si="83"/>
        <v>3535367440</v>
      </c>
      <c r="AG111" s="1930">
        <f t="shared" si="83"/>
        <v>2200043640</v>
      </c>
      <c r="AH111" s="999">
        <f t="shared" si="68"/>
        <v>0</v>
      </c>
      <c r="AI111" s="999">
        <f t="shared" si="69"/>
        <v>0</v>
      </c>
      <c r="AJ111" s="999">
        <f t="shared" si="70"/>
        <v>0</v>
      </c>
      <c r="AK111" s="999">
        <f t="shared" si="71"/>
        <v>0</v>
      </c>
      <c r="AL111" s="999">
        <f t="shared" si="72"/>
        <v>0</v>
      </c>
      <c r="AM111" s="2214">
        <f t="shared" si="73"/>
        <v>0</v>
      </c>
    </row>
    <row r="112" spans="1:39">
      <c r="A112" s="1931" t="s">
        <v>185</v>
      </c>
      <c r="B112" s="1950" t="s">
        <v>82</v>
      </c>
      <c r="C112" s="1933">
        <f>+'3. mell.  '!N6</f>
        <v>9182373384.9300003</v>
      </c>
      <c r="D112" s="1933">
        <f>+'3. mell.  '!P6</f>
        <v>2638893541</v>
      </c>
      <c r="E112" s="1933">
        <f>+'3. mell.  '!Q6</f>
        <v>2670248569</v>
      </c>
      <c r="F112" s="1933">
        <f>+'3. mell.  '!R6</f>
        <v>2710087404</v>
      </c>
      <c r="G112" s="1933">
        <f>+'3. mell.  '!S6</f>
        <v>2351969528</v>
      </c>
      <c r="H112" s="1933">
        <f>+'3. mell.  '!T6</f>
        <v>2351969528</v>
      </c>
      <c r="I112" s="1933">
        <f>+'3. mell.  '!U6</f>
        <v>1547676817</v>
      </c>
      <c r="J112" s="1954">
        <f>+'6. mell (Bontás)'!J112+'8. mell. Intézmények összesen'!R48</f>
        <v>909650123</v>
      </c>
      <c r="K112" s="1954">
        <f>+'6. mell (Bontás)'!K112+'8. mell. Intézmények összesen'!S48</f>
        <v>940216325</v>
      </c>
      <c r="L112" s="1954">
        <f>+'6. mell (Bontás)'!L112+'8. mell. Intézmények összesen'!T48</f>
        <v>949995369</v>
      </c>
      <c r="M112" s="1954">
        <f>+'6. mell (Bontás)'!M112+'8. mell. Intézmények összesen'!U48</f>
        <v>682538383</v>
      </c>
      <c r="N112" s="1954">
        <f>+'6. mell (Bontás)'!N112+'8. mell. Intézmények összesen'!V48</f>
        <v>682538383</v>
      </c>
      <c r="O112" s="1954">
        <f>+'6. mell (Bontás)'!O112+'8. mell. Intézmények összesen'!W48</f>
        <v>270237617</v>
      </c>
      <c r="P112" s="1954">
        <f>+'6. mell (Bontás)'!P112+'8. mell. Intézmények összesen'!L48</f>
        <v>1729243418</v>
      </c>
      <c r="Q112" s="1954">
        <f>+'6. mell (Bontás)'!Q112+'8. mell. Intézmények összesen'!M48</f>
        <v>1730032244</v>
      </c>
      <c r="R112" s="1954">
        <f>+'6. mell (Bontás)'!R112+'8. mell. Intézmények összesen'!N48</f>
        <v>1760092035</v>
      </c>
      <c r="S112" s="1954">
        <f>+'6. mell (Bontás)'!S112+'8. mell. Intézmények összesen'!O48</f>
        <v>1669431145</v>
      </c>
      <c r="T112" s="1954">
        <f>+'6. mell (Bontás)'!T112+'8. mell. Intézmények összesen'!P48</f>
        <v>1669431145</v>
      </c>
      <c r="U112" s="1954">
        <f>+'6. mell (Bontás)'!U112+'8. mell. Intézmények összesen'!Q48</f>
        <v>1277439200</v>
      </c>
      <c r="V112" s="2488">
        <f>+'6. mell (Bontás)'!V112</f>
        <v>0</v>
      </c>
      <c r="W112" s="1954">
        <f>+'6. mell (Bontás)'!W112</f>
        <v>0</v>
      </c>
      <c r="X112" s="1954">
        <f>+'6. mell (Bontás)'!X112</f>
        <v>0</v>
      </c>
      <c r="Y112" s="1954">
        <f>+'6. mell (Bontás)'!Y112</f>
        <v>0</v>
      </c>
      <c r="Z112" s="1954">
        <f>+'6. mell (Bontás)'!Z112</f>
        <v>0</v>
      </c>
      <c r="AA112" s="1954">
        <f>+'6. mell (Bontás)'!AA112</f>
        <v>0</v>
      </c>
      <c r="AB112" s="2495">
        <f t="shared" ref="AB112:AB124" si="84">+J112+P112+V112</f>
        <v>2638893541</v>
      </c>
      <c r="AC112" s="2495">
        <f t="shared" ref="AC112:AC124" si="85">+K112+Q112+W112</f>
        <v>2670248569</v>
      </c>
      <c r="AD112" s="2495">
        <f t="shared" ref="AD112:AD124" si="86">+L112+R112+X112</f>
        <v>2710087404</v>
      </c>
      <c r="AE112" s="2495">
        <f t="shared" ref="AE112:AE124" si="87">+M112+S112+Y112</f>
        <v>2351969528</v>
      </c>
      <c r="AF112" s="2495">
        <f t="shared" ref="AF112:AF124" si="88">+N112+T112+Z112</f>
        <v>2351969528</v>
      </c>
      <c r="AG112" s="2495">
        <f t="shared" ref="AG112:AG124" si="89">+O112+U112+AA112</f>
        <v>1547676817</v>
      </c>
      <c r="AH112" s="999">
        <f t="shared" si="68"/>
        <v>0</v>
      </c>
      <c r="AI112" s="999">
        <f t="shared" si="69"/>
        <v>0</v>
      </c>
      <c r="AJ112" s="999">
        <f t="shared" si="70"/>
        <v>0</v>
      </c>
      <c r="AK112" s="999">
        <f t="shared" si="71"/>
        <v>0</v>
      </c>
      <c r="AL112" s="999">
        <f t="shared" si="72"/>
        <v>0</v>
      </c>
      <c r="AM112" s="2214">
        <f t="shared" si="73"/>
        <v>0</v>
      </c>
    </row>
    <row r="113" spans="1:39">
      <c r="A113" s="1931" t="s">
        <v>187</v>
      </c>
      <c r="B113" s="1950" t="s">
        <v>343</v>
      </c>
      <c r="C113" s="1933">
        <f>+'3. mell.  '!N7</f>
        <v>943326106</v>
      </c>
      <c r="D113" s="1933">
        <f>+'3. mell.  '!P7</f>
        <v>47248350</v>
      </c>
      <c r="E113" s="1933">
        <f>+'3. mell.  '!Q7</f>
        <v>47248350</v>
      </c>
      <c r="F113" s="1933">
        <f>+'3. mell.  '!R7</f>
        <v>47248350</v>
      </c>
      <c r="G113" s="1933">
        <f>+'3. mell.  '!S7</f>
        <v>170660113</v>
      </c>
      <c r="H113" s="1933">
        <f>+'3. mell.  '!T7</f>
        <v>170660113</v>
      </c>
      <c r="I113" s="1933">
        <f>+'3. mell.  '!U7</f>
        <v>47187745</v>
      </c>
      <c r="J113" s="1954">
        <f>+'6. mell (Bontás)'!J113</f>
        <v>0</v>
      </c>
      <c r="K113" s="1954">
        <f>+'6. mell (Bontás)'!K113</f>
        <v>0</v>
      </c>
      <c r="L113" s="1954">
        <f>+'6. mell (Bontás)'!L113</f>
        <v>0</v>
      </c>
      <c r="M113" s="1954">
        <f>+'6. mell (Bontás)'!M113</f>
        <v>0</v>
      </c>
      <c r="N113" s="1954">
        <f>+'6. mell (Bontás)'!N113</f>
        <v>0</v>
      </c>
      <c r="O113" s="1954">
        <f>+'6. mell (Bontás)'!O113</f>
        <v>0</v>
      </c>
      <c r="P113" s="1954">
        <f>+'6. mell (Bontás)'!P113+'8. mell. Intézmények összesen'!L51</f>
        <v>47248350</v>
      </c>
      <c r="Q113" s="1954">
        <f>+'6. mell (Bontás)'!Q113+'8. mell. Intézmények összesen'!M51</f>
        <v>47248350</v>
      </c>
      <c r="R113" s="1954">
        <f>+'6. mell (Bontás)'!R113+'8. mell. Intézmények összesen'!N51</f>
        <v>47248350</v>
      </c>
      <c r="S113" s="1954">
        <f>+'6. mell (Bontás)'!S113+'8. mell. Intézmények összesen'!O51</f>
        <v>170660113</v>
      </c>
      <c r="T113" s="1954">
        <f>+'6. mell (Bontás)'!T113+'8. mell. Intézmények összesen'!P51</f>
        <v>170660113</v>
      </c>
      <c r="U113" s="1954">
        <f>+'6. mell (Bontás)'!U113+'8. mell. Intézmények összesen'!Q51</f>
        <v>47187745</v>
      </c>
      <c r="V113" s="2488">
        <f>+'6. mell (Bontás)'!V113</f>
        <v>0</v>
      </c>
      <c r="W113" s="1954">
        <f>+'6. mell (Bontás)'!W113</f>
        <v>0</v>
      </c>
      <c r="X113" s="1954">
        <f>+'6. mell (Bontás)'!X113</f>
        <v>0</v>
      </c>
      <c r="Y113" s="1954">
        <f>+'6. mell (Bontás)'!Y113</f>
        <v>0</v>
      </c>
      <c r="Z113" s="1954">
        <f>+'6. mell (Bontás)'!Z113</f>
        <v>0</v>
      </c>
      <c r="AA113" s="1954">
        <f>+'6. mell (Bontás)'!AA113</f>
        <v>0</v>
      </c>
      <c r="AB113" s="2495">
        <f t="shared" si="84"/>
        <v>47248350</v>
      </c>
      <c r="AC113" s="2495">
        <f t="shared" si="85"/>
        <v>47248350</v>
      </c>
      <c r="AD113" s="2495">
        <f t="shared" si="86"/>
        <v>47248350</v>
      </c>
      <c r="AE113" s="2495">
        <f t="shared" si="87"/>
        <v>170660113</v>
      </c>
      <c r="AF113" s="2495">
        <f t="shared" si="88"/>
        <v>170660113</v>
      </c>
      <c r="AG113" s="2495">
        <f t="shared" si="89"/>
        <v>47187745</v>
      </c>
      <c r="AH113" s="999">
        <f t="shared" si="68"/>
        <v>0</v>
      </c>
      <c r="AI113" s="999">
        <f t="shared" si="69"/>
        <v>0</v>
      </c>
      <c r="AJ113" s="999">
        <f t="shared" si="70"/>
        <v>0</v>
      </c>
      <c r="AK113" s="999">
        <f t="shared" si="71"/>
        <v>0</v>
      </c>
      <c r="AL113" s="999">
        <f t="shared" si="72"/>
        <v>0</v>
      </c>
      <c r="AM113" s="2214">
        <f t="shared" si="73"/>
        <v>0</v>
      </c>
    </row>
    <row r="114" spans="1:39">
      <c r="A114" s="1931" t="s">
        <v>189</v>
      </c>
      <c r="B114" s="1950" t="s">
        <v>344</v>
      </c>
      <c r="C114" s="1933">
        <f>+'3. mell.  '!N8</f>
        <v>744660466</v>
      </c>
      <c r="D114" s="1933">
        <f>+'3. mell.  '!P8</f>
        <v>772037459</v>
      </c>
      <c r="E114" s="1933">
        <f>+'3. mell.  '!Q8</f>
        <v>793668452</v>
      </c>
      <c r="F114" s="1933">
        <f>+'3. mell.  '!R8</f>
        <v>881439624</v>
      </c>
      <c r="G114" s="1933">
        <f>+'3. mell.  '!S8</f>
        <v>875505339</v>
      </c>
      <c r="H114" s="1933">
        <f>+'3. mell.  '!T8</f>
        <v>875505339</v>
      </c>
      <c r="I114" s="1933">
        <f>+'3. mell.  '!U8</f>
        <v>397986635</v>
      </c>
      <c r="J114" s="1954">
        <f>+'6. mell (Bontás)'!J114+'8. mell. Intézmények összesen'!R49</f>
        <v>209037459</v>
      </c>
      <c r="K114" s="1954">
        <f>+'6. mell (Bontás)'!K114+'8. mell. Intézmények összesen'!S49</f>
        <v>209668452</v>
      </c>
      <c r="L114" s="1954">
        <f>+'6. mell (Bontás)'!L114+'8. mell. Intézmények összesen'!T49</f>
        <v>237439624</v>
      </c>
      <c r="M114" s="1954">
        <f>+'6. mell (Bontás)'!M114+'8. mell. Intézmények összesen'!U49</f>
        <v>231505339</v>
      </c>
      <c r="N114" s="1954">
        <f>+'6. mell (Bontás)'!N114+'8. mell. Intézmények összesen'!V49</f>
        <v>231505339</v>
      </c>
      <c r="O114" s="1954">
        <f>+'6. mell (Bontás)'!O114+'8. mell. Intézmények összesen'!W49</f>
        <v>175306105</v>
      </c>
      <c r="P114" s="1954">
        <f>+'6. mell (Bontás)'!P114+'8. mell. Intézmények összesen'!L49</f>
        <v>563000000</v>
      </c>
      <c r="Q114" s="1954">
        <f>+'6. mell (Bontás)'!Q114+'8. mell. Intézmények összesen'!M49</f>
        <v>584000000</v>
      </c>
      <c r="R114" s="1954">
        <f>+'6. mell (Bontás)'!R114+'8. mell. Intézmények összesen'!N49</f>
        <v>644000000</v>
      </c>
      <c r="S114" s="1954">
        <f>+'6. mell (Bontás)'!S114+'8. mell. Intézmények összesen'!O49</f>
        <v>644000000</v>
      </c>
      <c r="T114" s="1954">
        <f>+'6. mell (Bontás)'!T114+'8. mell. Intézmények összesen'!P49</f>
        <v>644000000</v>
      </c>
      <c r="U114" s="1954">
        <f>+'6. mell (Bontás)'!U114+'8. mell. Intézmények összesen'!Q49</f>
        <v>222680530</v>
      </c>
      <c r="V114" s="2488">
        <f>+'6. mell (Bontás)'!V114</f>
        <v>0</v>
      </c>
      <c r="W114" s="1954">
        <f>+'6. mell (Bontás)'!W114</f>
        <v>0</v>
      </c>
      <c r="X114" s="1954">
        <f>+'6. mell (Bontás)'!X114</f>
        <v>0</v>
      </c>
      <c r="Y114" s="1954">
        <f>+'6. mell (Bontás)'!Y114</f>
        <v>0</v>
      </c>
      <c r="Z114" s="1954">
        <f>+'6. mell (Bontás)'!Z114</f>
        <v>0</v>
      </c>
      <c r="AA114" s="1954">
        <f>+'6. mell (Bontás)'!AA114</f>
        <v>0</v>
      </c>
      <c r="AB114" s="2495">
        <f t="shared" si="84"/>
        <v>772037459</v>
      </c>
      <c r="AC114" s="2495">
        <f t="shared" si="85"/>
        <v>793668452</v>
      </c>
      <c r="AD114" s="2495">
        <f t="shared" si="86"/>
        <v>881439624</v>
      </c>
      <c r="AE114" s="2495">
        <f t="shared" si="87"/>
        <v>875505339</v>
      </c>
      <c r="AF114" s="2495">
        <f t="shared" si="88"/>
        <v>875505339</v>
      </c>
      <c r="AG114" s="2495">
        <f t="shared" si="89"/>
        <v>397986635</v>
      </c>
      <c r="AH114" s="999">
        <f t="shared" si="68"/>
        <v>0</v>
      </c>
      <c r="AI114" s="999">
        <f t="shared" si="69"/>
        <v>0</v>
      </c>
      <c r="AJ114" s="999">
        <f t="shared" si="70"/>
        <v>0</v>
      </c>
      <c r="AK114" s="999">
        <f t="shared" si="71"/>
        <v>0</v>
      </c>
      <c r="AL114" s="999">
        <f t="shared" si="72"/>
        <v>0</v>
      </c>
      <c r="AM114" s="2214">
        <f t="shared" si="73"/>
        <v>0</v>
      </c>
    </row>
    <row r="115" spans="1:39">
      <c r="A115" s="1931" t="s">
        <v>191</v>
      </c>
      <c r="B115" s="1950" t="s">
        <v>345</v>
      </c>
      <c r="C115" s="1933">
        <f>+'3. mell.  '!N9</f>
        <v>0</v>
      </c>
      <c r="D115" s="1933">
        <f>+'3. mell.  '!P9</f>
        <v>0</v>
      </c>
      <c r="E115" s="1933">
        <f>+'3. mell.  '!Q9</f>
        <v>0</v>
      </c>
      <c r="F115" s="1933">
        <f>+'3. mell.  '!R9</f>
        <v>0</v>
      </c>
      <c r="G115" s="1933">
        <f>+'3. mell.  '!S9</f>
        <v>0</v>
      </c>
      <c r="H115" s="1933">
        <f>+'3. mell.  '!T9</f>
        <v>0</v>
      </c>
      <c r="I115" s="1933">
        <f>+'3. mell.  '!U9</f>
        <v>0</v>
      </c>
      <c r="J115" s="1954">
        <f>+'6. mell (Bontás)'!J115</f>
        <v>0</v>
      </c>
      <c r="K115" s="1954">
        <f>+'6. mell (Bontás)'!K115</f>
        <v>0</v>
      </c>
      <c r="L115" s="1954">
        <f>+'6. mell (Bontás)'!L115</f>
        <v>0</v>
      </c>
      <c r="M115" s="1954">
        <f>+'6. mell (Bontás)'!M115</f>
        <v>0</v>
      </c>
      <c r="N115" s="1954">
        <f>+'6. mell (Bontás)'!N115</f>
        <v>0</v>
      </c>
      <c r="O115" s="1954">
        <f>+'6. mell (Bontás)'!O115</f>
        <v>0</v>
      </c>
      <c r="P115" s="1954">
        <f>+'6. mell (Bontás)'!P115</f>
        <v>0</v>
      </c>
      <c r="Q115" s="1954">
        <f>+'6. mell (Bontás)'!Q115</f>
        <v>0</v>
      </c>
      <c r="R115" s="1954">
        <f>+'6. mell (Bontás)'!R115</f>
        <v>0</v>
      </c>
      <c r="S115" s="1954">
        <f>+'6. mell (Bontás)'!S115</f>
        <v>0</v>
      </c>
      <c r="T115" s="1954">
        <f>+'6. mell (Bontás)'!T115</f>
        <v>0</v>
      </c>
      <c r="U115" s="1954">
        <f>+'6. mell (Bontás)'!U115</f>
        <v>0</v>
      </c>
      <c r="V115" s="2488">
        <f>+'6. mell (Bontás)'!V115</f>
        <v>0</v>
      </c>
      <c r="W115" s="1954">
        <f>+'6. mell (Bontás)'!W115</f>
        <v>0</v>
      </c>
      <c r="X115" s="1954">
        <f>+'6. mell (Bontás)'!X115</f>
        <v>0</v>
      </c>
      <c r="Y115" s="1954">
        <f>+'6. mell (Bontás)'!Y115</f>
        <v>0</v>
      </c>
      <c r="Z115" s="1954">
        <f>+'6. mell (Bontás)'!Z115</f>
        <v>0</v>
      </c>
      <c r="AA115" s="1954">
        <f>+'6. mell (Bontás)'!AA115</f>
        <v>0</v>
      </c>
      <c r="AB115" s="2495">
        <f t="shared" si="84"/>
        <v>0</v>
      </c>
      <c r="AC115" s="2495">
        <f t="shared" si="85"/>
        <v>0</v>
      </c>
      <c r="AD115" s="2495">
        <f t="shared" si="86"/>
        <v>0</v>
      </c>
      <c r="AE115" s="2495">
        <f t="shared" si="87"/>
        <v>0</v>
      </c>
      <c r="AF115" s="2495">
        <f t="shared" si="88"/>
        <v>0</v>
      </c>
      <c r="AG115" s="2495">
        <f t="shared" si="89"/>
        <v>0</v>
      </c>
      <c r="AH115" s="999">
        <f t="shared" si="68"/>
        <v>0</v>
      </c>
      <c r="AI115" s="999">
        <f t="shared" si="69"/>
        <v>0</v>
      </c>
      <c r="AJ115" s="999">
        <f t="shared" si="70"/>
        <v>0</v>
      </c>
      <c r="AK115" s="999">
        <f t="shared" si="71"/>
        <v>0</v>
      </c>
      <c r="AL115" s="999">
        <f t="shared" si="72"/>
        <v>0</v>
      </c>
      <c r="AM115" s="2214">
        <f t="shared" si="73"/>
        <v>0</v>
      </c>
    </row>
    <row r="116" spans="1:39">
      <c r="A116" s="1931" t="s">
        <v>193</v>
      </c>
      <c r="B116" s="1932" t="s">
        <v>346</v>
      </c>
      <c r="C116" s="1933">
        <f>+'3. mell.  '!N10</f>
        <v>124756118</v>
      </c>
      <c r="D116" s="1933">
        <f>+'3. mell.  '!P10</f>
        <v>255066046</v>
      </c>
      <c r="E116" s="1933">
        <f>+'3. mell.  '!Q10</f>
        <v>251526380</v>
      </c>
      <c r="F116" s="1933">
        <f>+'3. mell.  '!R10</f>
        <v>257714578</v>
      </c>
      <c r="G116" s="1933">
        <f>+'3. mell.  '!S10</f>
        <v>307892573</v>
      </c>
      <c r="H116" s="1933">
        <f>+'3. mell.  '!T10</f>
        <v>307892573</v>
      </c>
      <c r="I116" s="1933">
        <f>+'3. mell.  '!U10</f>
        <v>254380188</v>
      </c>
      <c r="J116" s="1954">
        <f>+'6. mell (Bontás)'!J116</f>
        <v>5000000</v>
      </c>
      <c r="K116" s="1954">
        <f>+'6. mell (Bontás)'!K116</f>
        <v>5000000</v>
      </c>
      <c r="L116" s="1954">
        <f>+'6. mell (Bontás)'!L116</f>
        <v>5000000</v>
      </c>
      <c r="M116" s="1954">
        <f>+'6. mell (Bontás)'!M116</f>
        <v>5000000</v>
      </c>
      <c r="N116" s="1954">
        <f>+'6. mell (Bontás)'!N116</f>
        <v>5000000</v>
      </c>
      <c r="O116" s="1954">
        <f>+'6. mell (Bontás)'!O116</f>
        <v>0</v>
      </c>
      <c r="P116" s="1954">
        <f>+'6. mell (Bontás)'!P116</f>
        <v>250066046</v>
      </c>
      <c r="Q116" s="1954">
        <f>+'6. mell (Bontás)'!Q116</f>
        <v>246526380</v>
      </c>
      <c r="R116" s="1954">
        <f>+'6. mell (Bontás)'!R116</f>
        <v>252714578</v>
      </c>
      <c r="S116" s="1954">
        <f>+'6. mell (Bontás)'!S116</f>
        <v>302892573</v>
      </c>
      <c r="T116" s="1954">
        <f>+'6. mell (Bontás)'!T116</f>
        <v>302892573</v>
      </c>
      <c r="U116" s="1954">
        <f>+'6. mell (Bontás)'!U116</f>
        <v>254380188</v>
      </c>
      <c r="V116" s="2488">
        <f>+'6. mell (Bontás)'!V116</f>
        <v>0</v>
      </c>
      <c r="W116" s="1954">
        <f>+'6. mell (Bontás)'!W116</f>
        <v>0</v>
      </c>
      <c r="X116" s="1954">
        <f>+'6. mell (Bontás)'!X116</f>
        <v>0</v>
      </c>
      <c r="Y116" s="1954">
        <f>+'6. mell (Bontás)'!Y116</f>
        <v>0</v>
      </c>
      <c r="Z116" s="1954">
        <f>+'6. mell (Bontás)'!Z116</f>
        <v>0</v>
      </c>
      <c r="AA116" s="1954">
        <f>+'6. mell (Bontás)'!AA116</f>
        <v>0</v>
      </c>
      <c r="AB116" s="2495">
        <f t="shared" si="84"/>
        <v>255066046</v>
      </c>
      <c r="AC116" s="2495">
        <f t="shared" si="85"/>
        <v>251526380</v>
      </c>
      <c r="AD116" s="2495">
        <f t="shared" si="86"/>
        <v>257714578</v>
      </c>
      <c r="AE116" s="2495">
        <f t="shared" si="87"/>
        <v>307892573</v>
      </c>
      <c r="AF116" s="2495">
        <f t="shared" si="88"/>
        <v>307892573</v>
      </c>
      <c r="AG116" s="2495">
        <f t="shared" si="89"/>
        <v>254380188</v>
      </c>
      <c r="AH116" s="999">
        <f t="shared" si="68"/>
        <v>0</v>
      </c>
      <c r="AI116" s="999">
        <f t="shared" si="69"/>
        <v>0</v>
      </c>
      <c r="AJ116" s="999">
        <f t="shared" si="70"/>
        <v>0</v>
      </c>
      <c r="AK116" s="999">
        <f t="shared" si="71"/>
        <v>0</v>
      </c>
      <c r="AL116" s="999">
        <f t="shared" si="72"/>
        <v>0</v>
      </c>
      <c r="AM116" s="2214">
        <f t="shared" si="73"/>
        <v>0</v>
      </c>
    </row>
    <row r="117" spans="1:39">
      <c r="A117" s="1931" t="s">
        <v>195</v>
      </c>
      <c r="B117" s="1932" t="s">
        <v>347</v>
      </c>
      <c r="C117" s="1933">
        <f>+'5. mell.Önk-i mérleg'!C117</f>
        <v>0</v>
      </c>
      <c r="D117" s="1933">
        <f>+'5. mell.Önk-i mérleg'!E117</f>
        <v>0</v>
      </c>
      <c r="E117" s="1933">
        <f>+'5. mell.Önk-i mérleg'!F117</f>
        <v>0</v>
      </c>
      <c r="F117" s="1933">
        <f>+'5. mell.Önk-i mérleg'!G117</f>
        <v>0</v>
      </c>
      <c r="G117" s="1933">
        <f>+'5. mell.Önk-i mérleg'!H117</f>
        <v>0</v>
      </c>
      <c r="H117" s="1933">
        <f>+'5. mell.Önk-i mérleg'!I117</f>
        <v>0</v>
      </c>
      <c r="I117" s="1933">
        <f>+'5. mell.Önk-i mérleg'!J117</f>
        <v>0</v>
      </c>
      <c r="J117" s="1954">
        <f>+'6. mell (Bontás)'!J117</f>
        <v>0</v>
      </c>
      <c r="K117" s="1954">
        <f>+'6. mell (Bontás)'!K117</f>
        <v>0</v>
      </c>
      <c r="L117" s="1954">
        <f>+'6. mell (Bontás)'!L117</f>
        <v>0</v>
      </c>
      <c r="M117" s="1954">
        <f>+'6. mell (Bontás)'!M117</f>
        <v>0</v>
      </c>
      <c r="N117" s="1954">
        <f>+'6. mell (Bontás)'!N117</f>
        <v>0</v>
      </c>
      <c r="O117" s="1954">
        <f>+'6. mell (Bontás)'!O117</f>
        <v>0</v>
      </c>
      <c r="P117" s="1954">
        <f>+'6. mell (Bontás)'!P117</f>
        <v>0</v>
      </c>
      <c r="Q117" s="1954">
        <f>+'6. mell (Bontás)'!Q117</f>
        <v>0</v>
      </c>
      <c r="R117" s="1954">
        <f>+'6. mell (Bontás)'!R117</f>
        <v>0</v>
      </c>
      <c r="S117" s="1954">
        <f>+'6. mell (Bontás)'!S117</f>
        <v>0</v>
      </c>
      <c r="T117" s="1954">
        <f>+'6. mell (Bontás)'!T117</f>
        <v>0</v>
      </c>
      <c r="U117" s="1954">
        <f>+'6. mell (Bontás)'!U117</f>
        <v>0</v>
      </c>
      <c r="V117" s="2488">
        <f>+'6. mell (Bontás)'!V117</f>
        <v>0</v>
      </c>
      <c r="W117" s="1954">
        <f>+'6. mell (Bontás)'!W117</f>
        <v>0</v>
      </c>
      <c r="X117" s="1954">
        <f>+'6. mell (Bontás)'!X117</f>
        <v>0</v>
      </c>
      <c r="Y117" s="1954">
        <f>+'6. mell (Bontás)'!Y117</f>
        <v>0</v>
      </c>
      <c r="Z117" s="1954">
        <f>+'6. mell (Bontás)'!Z117</f>
        <v>0</v>
      </c>
      <c r="AA117" s="1954">
        <f>+'6. mell (Bontás)'!AA117</f>
        <v>0</v>
      </c>
      <c r="AB117" s="2495">
        <f t="shared" si="84"/>
        <v>0</v>
      </c>
      <c r="AC117" s="2495">
        <f t="shared" si="85"/>
        <v>0</v>
      </c>
      <c r="AD117" s="2495">
        <f t="shared" si="86"/>
        <v>0</v>
      </c>
      <c r="AE117" s="2495">
        <f t="shared" si="87"/>
        <v>0</v>
      </c>
      <c r="AF117" s="2495">
        <f t="shared" si="88"/>
        <v>0</v>
      </c>
      <c r="AG117" s="2495">
        <f t="shared" si="89"/>
        <v>0</v>
      </c>
      <c r="AH117" s="999">
        <f t="shared" si="68"/>
        <v>0</v>
      </c>
      <c r="AI117" s="999">
        <f t="shared" si="69"/>
        <v>0</v>
      </c>
      <c r="AJ117" s="999">
        <f t="shared" si="70"/>
        <v>0</v>
      </c>
      <c r="AK117" s="999">
        <f t="shared" si="71"/>
        <v>0</v>
      </c>
      <c r="AL117" s="999">
        <f t="shared" si="72"/>
        <v>0</v>
      </c>
      <c r="AM117" s="2214">
        <f t="shared" si="73"/>
        <v>0</v>
      </c>
    </row>
    <row r="118" spans="1:39">
      <c r="A118" s="1931" t="s">
        <v>348</v>
      </c>
      <c r="B118" s="1950" t="s">
        <v>349</v>
      </c>
      <c r="C118" s="1933">
        <f>+'5. mell.Önk-i mérleg'!C118</f>
        <v>0</v>
      </c>
      <c r="D118" s="1933">
        <f>+'5. mell.Önk-i mérleg'!E118</f>
        <v>0</v>
      </c>
      <c r="E118" s="1933">
        <f>+'5. mell.Önk-i mérleg'!F118</f>
        <v>0</v>
      </c>
      <c r="F118" s="1933">
        <f>+'5. mell.Önk-i mérleg'!G118</f>
        <v>0</v>
      </c>
      <c r="G118" s="1933">
        <f>+'5. mell.Önk-i mérleg'!H118</f>
        <v>0</v>
      </c>
      <c r="H118" s="1933">
        <f>+'5. mell.Önk-i mérleg'!I118</f>
        <v>0</v>
      </c>
      <c r="I118" s="1933">
        <f>+'5. mell.Önk-i mérleg'!J118</f>
        <v>0</v>
      </c>
      <c r="J118" s="1954">
        <f>+'6. mell (Bontás)'!J118</f>
        <v>0</v>
      </c>
      <c r="K118" s="1954">
        <f>+'6. mell (Bontás)'!K118</f>
        <v>0</v>
      </c>
      <c r="L118" s="1954">
        <f>+'6. mell (Bontás)'!L118</f>
        <v>0</v>
      </c>
      <c r="M118" s="1954">
        <f>+'6. mell (Bontás)'!M118</f>
        <v>0</v>
      </c>
      <c r="N118" s="1954">
        <f>+'6. mell (Bontás)'!N118</f>
        <v>0</v>
      </c>
      <c r="O118" s="1954">
        <f>+'6. mell (Bontás)'!O118</f>
        <v>0</v>
      </c>
      <c r="P118" s="1954">
        <f>+'6. mell (Bontás)'!P118</f>
        <v>0</v>
      </c>
      <c r="Q118" s="1954">
        <f>+'6. mell (Bontás)'!Q118</f>
        <v>0</v>
      </c>
      <c r="R118" s="1954">
        <f>+'6. mell (Bontás)'!R118</f>
        <v>0</v>
      </c>
      <c r="S118" s="1954">
        <f>+'6. mell (Bontás)'!S118</f>
        <v>0</v>
      </c>
      <c r="T118" s="1954">
        <f>+'6. mell (Bontás)'!T118</f>
        <v>0</v>
      </c>
      <c r="U118" s="1954">
        <f>+'6. mell (Bontás)'!U118</f>
        <v>0</v>
      </c>
      <c r="V118" s="2488">
        <f>+'6. mell (Bontás)'!V118</f>
        <v>0</v>
      </c>
      <c r="W118" s="1954">
        <f>+'6. mell (Bontás)'!W118</f>
        <v>0</v>
      </c>
      <c r="X118" s="1954">
        <f>+'6. mell (Bontás)'!X118</f>
        <v>0</v>
      </c>
      <c r="Y118" s="1954">
        <f>+'6. mell (Bontás)'!Y118</f>
        <v>0</v>
      </c>
      <c r="Z118" s="1954">
        <f>+'6. mell (Bontás)'!Z118</f>
        <v>0</v>
      </c>
      <c r="AA118" s="1954">
        <f>+'6. mell (Bontás)'!AA118</f>
        <v>0</v>
      </c>
      <c r="AB118" s="2495">
        <f t="shared" si="84"/>
        <v>0</v>
      </c>
      <c r="AC118" s="2495">
        <f t="shared" si="85"/>
        <v>0</v>
      </c>
      <c r="AD118" s="2495">
        <f t="shared" si="86"/>
        <v>0</v>
      </c>
      <c r="AE118" s="2495">
        <f t="shared" si="87"/>
        <v>0</v>
      </c>
      <c r="AF118" s="2495">
        <f t="shared" si="88"/>
        <v>0</v>
      </c>
      <c r="AG118" s="2495">
        <f t="shared" si="89"/>
        <v>0</v>
      </c>
      <c r="AH118" s="999">
        <f t="shared" si="68"/>
        <v>0</v>
      </c>
      <c r="AI118" s="999">
        <f t="shared" si="69"/>
        <v>0</v>
      </c>
      <c r="AJ118" s="999">
        <f t="shared" si="70"/>
        <v>0</v>
      </c>
      <c r="AK118" s="999">
        <f t="shared" si="71"/>
        <v>0</v>
      </c>
      <c r="AL118" s="999">
        <f t="shared" si="72"/>
        <v>0</v>
      </c>
      <c r="AM118" s="2214">
        <f t="shared" si="73"/>
        <v>0</v>
      </c>
    </row>
    <row r="119" spans="1:39">
      <c r="A119" s="1931" t="s">
        <v>350</v>
      </c>
      <c r="B119" s="1950" t="s">
        <v>330</v>
      </c>
      <c r="C119" s="1933">
        <f>+'5. mell.Önk-i mérleg'!C119</f>
        <v>0</v>
      </c>
      <c r="D119" s="1933">
        <f>+'5. mell.Önk-i mérleg'!E119</f>
        <v>0</v>
      </c>
      <c r="E119" s="1933">
        <f>+'5. mell.Önk-i mérleg'!F119</f>
        <v>0</v>
      </c>
      <c r="F119" s="1933">
        <f>+'5. mell.Önk-i mérleg'!G119</f>
        <v>0</v>
      </c>
      <c r="G119" s="1933">
        <f>+'5. mell.Önk-i mérleg'!H119</f>
        <v>0</v>
      </c>
      <c r="H119" s="1933">
        <f>+'5. mell.Önk-i mérleg'!I119</f>
        <v>0</v>
      </c>
      <c r="I119" s="1933">
        <f>+'5. mell.Önk-i mérleg'!J119</f>
        <v>0</v>
      </c>
      <c r="J119" s="1954">
        <f>+'6. mell (Bontás)'!J119</f>
        <v>0</v>
      </c>
      <c r="K119" s="1954">
        <f>+'6. mell (Bontás)'!K119</f>
        <v>0</v>
      </c>
      <c r="L119" s="1954">
        <f>+'6. mell (Bontás)'!L119</f>
        <v>0</v>
      </c>
      <c r="M119" s="1954">
        <f>+'6. mell (Bontás)'!M119</f>
        <v>0</v>
      </c>
      <c r="N119" s="1954">
        <f>+'6. mell (Bontás)'!N119</f>
        <v>0</v>
      </c>
      <c r="O119" s="1954">
        <f>+'6. mell (Bontás)'!O119</f>
        <v>0</v>
      </c>
      <c r="P119" s="1954">
        <f>+'6. mell (Bontás)'!P119</f>
        <v>0</v>
      </c>
      <c r="Q119" s="1954">
        <f>+'6. mell (Bontás)'!Q119</f>
        <v>0</v>
      </c>
      <c r="R119" s="1954">
        <f>+'6. mell (Bontás)'!R119</f>
        <v>0</v>
      </c>
      <c r="S119" s="1954">
        <f>+'6. mell (Bontás)'!S119</f>
        <v>0</v>
      </c>
      <c r="T119" s="1954">
        <f>+'6. mell (Bontás)'!T119</f>
        <v>0</v>
      </c>
      <c r="U119" s="1954">
        <f>+'6. mell (Bontás)'!U119</f>
        <v>0</v>
      </c>
      <c r="V119" s="2488">
        <f>+'6. mell (Bontás)'!V119</f>
        <v>0</v>
      </c>
      <c r="W119" s="1954">
        <f>+'6. mell (Bontás)'!W119</f>
        <v>0</v>
      </c>
      <c r="X119" s="1954">
        <f>+'6. mell (Bontás)'!X119</f>
        <v>0</v>
      </c>
      <c r="Y119" s="1954">
        <f>+'6. mell (Bontás)'!Y119</f>
        <v>0</v>
      </c>
      <c r="Z119" s="1954">
        <f>+'6. mell (Bontás)'!Z119</f>
        <v>0</v>
      </c>
      <c r="AA119" s="1954">
        <f>+'6. mell (Bontás)'!AA119</f>
        <v>0</v>
      </c>
      <c r="AB119" s="2495">
        <f t="shared" si="84"/>
        <v>0</v>
      </c>
      <c r="AC119" s="2495">
        <f t="shared" si="85"/>
        <v>0</v>
      </c>
      <c r="AD119" s="2495">
        <f t="shared" si="86"/>
        <v>0</v>
      </c>
      <c r="AE119" s="2495">
        <f t="shared" si="87"/>
        <v>0</v>
      </c>
      <c r="AF119" s="2495">
        <f t="shared" si="88"/>
        <v>0</v>
      </c>
      <c r="AG119" s="2495">
        <f t="shared" si="89"/>
        <v>0</v>
      </c>
      <c r="AH119" s="999">
        <f t="shared" si="68"/>
        <v>0</v>
      </c>
      <c r="AI119" s="999">
        <f t="shared" si="69"/>
        <v>0</v>
      </c>
      <c r="AJ119" s="999">
        <f t="shared" si="70"/>
        <v>0</v>
      </c>
      <c r="AK119" s="999">
        <f t="shared" si="71"/>
        <v>0</v>
      </c>
      <c r="AL119" s="999">
        <f t="shared" si="72"/>
        <v>0</v>
      </c>
      <c r="AM119" s="2214">
        <f t="shared" si="73"/>
        <v>0</v>
      </c>
    </row>
    <row r="120" spans="1:39">
      <c r="A120" s="1931" t="s">
        <v>351</v>
      </c>
      <c r="B120" s="1950" t="s">
        <v>352</v>
      </c>
      <c r="C120" s="1933">
        <f>+'5. mell.Önk-i mérleg'!C120</f>
        <v>0</v>
      </c>
      <c r="D120" s="1933">
        <f>+'5. mell.Önk-i mérleg'!E120</f>
        <v>0</v>
      </c>
      <c r="E120" s="1933">
        <f>+'5. mell.Önk-i mérleg'!F120</f>
        <v>0</v>
      </c>
      <c r="F120" s="1933">
        <f>+'5. mell.Önk-i mérleg'!G120</f>
        <v>0</v>
      </c>
      <c r="G120" s="1933">
        <f>+'5. mell.Önk-i mérleg'!H120</f>
        <v>0</v>
      </c>
      <c r="H120" s="1933">
        <f>+'5. mell.Önk-i mérleg'!I120</f>
        <v>0</v>
      </c>
      <c r="I120" s="1933">
        <f>+'5. mell.Önk-i mérleg'!J120</f>
        <v>0</v>
      </c>
      <c r="J120" s="1954">
        <f>+'6. mell (Bontás)'!J120</f>
        <v>0</v>
      </c>
      <c r="K120" s="1954">
        <f>+'6. mell (Bontás)'!K120</f>
        <v>0</v>
      </c>
      <c r="L120" s="1954">
        <f>+'6. mell (Bontás)'!L120</f>
        <v>0</v>
      </c>
      <c r="M120" s="1954">
        <f>+'6. mell (Bontás)'!M120</f>
        <v>0</v>
      </c>
      <c r="N120" s="1954">
        <f>+'6. mell (Bontás)'!N120</f>
        <v>0</v>
      </c>
      <c r="O120" s="1954">
        <f>+'6. mell (Bontás)'!O120</f>
        <v>0</v>
      </c>
      <c r="P120" s="1954">
        <f>+'6. mell (Bontás)'!P120</f>
        <v>0</v>
      </c>
      <c r="Q120" s="1954">
        <f>+'6. mell (Bontás)'!Q120</f>
        <v>0</v>
      </c>
      <c r="R120" s="1954">
        <f>+'6. mell (Bontás)'!R120</f>
        <v>0</v>
      </c>
      <c r="S120" s="1954">
        <f>+'6. mell (Bontás)'!S120</f>
        <v>0</v>
      </c>
      <c r="T120" s="1954">
        <f>+'6. mell (Bontás)'!T120</f>
        <v>0</v>
      </c>
      <c r="U120" s="1954">
        <f>+'6. mell (Bontás)'!U120</f>
        <v>0</v>
      </c>
      <c r="V120" s="2488">
        <f>+'6. mell (Bontás)'!V120</f>
        <v>0</v>
      </c>
      <c r="W120" s="1954">
        <f>+'6. mell (Bontás)'!W120</f>
        <v>0</v>
      </c>
      <c r="X120" s="1954">
        <f>+'6. mell (Bontás)'!X120</f>
        <v>0</v>
      </c>
      <c r="Y120" s="1954">
        <f>+'6. mell (Bontás)'!Y120</f>
        <v>0</v>
      </c>
      <c r="Z120" s="1954">
        <f>+'6. mell (Bontás)'!Z120</f>
        <v>0</v>
      </c>
      <c r="AA120" s="1954">
        <f>+'6. mell (Bontás)'!AA120</f>
        <v>0</v>
      </c>
      <c r="AB120" s="2495">
        <f t="shared" si="84"/>
        <v>0</v>
      </c>
      <c r="AC120" s="2495">
        <f t="shared" si="85"/>
        <v>0</v>
      </c>
      <c r="AD120" s="2495">
        <f t="shared" si="86"/>
        <v>0</v>
      </c>
      <c r="AE120" s="2495">
        <f t="shared" si="87"/>
        <v>0</v>
      </c>
      <c r="AF120" s="2495">
        <f t="shared" si="88"/>
        <v>0</v>
      </c>
      <c r="AG120" s="2495">
        <f t="shared" si="89"/>
        <v>0</v>
      </c>
      <c r="AH120" s="999">
        <f t="shared" si="68"/>
        <v>0</v>
      </c>
      <c r="AI120" s="999">
        <f t="shared" si="69"/>
        <v>0</v>
      </c>
      <c r="AJ120" s="999">
        <f t="shared" si="70"/>
        <v>0</v>
      </c>
      <c r="AK120" s="999">
        <f t="shared" si="71"/>
        <v>0</v>
      </c>
      <c r="AL120" s="999">
        <f t="shared" si="72"/>
        <v>0</v>
      </c>
      <c r="AM120" s="2214">
        <f t="shared" si="73"/>
        <v>0</v>
      </c>
    </row>
    <row r="121" spans="1:39">
      <c r="A121" s="1931" t="s">
        <v>353</v>
      </c>
      <c r="B121" s="1950" t="s">
        <v>354</v>
      </c>
      <c r="C121" s="1933">
        <f>+'5. mell.Önk-i mérleg'!C121</f>
        <v>0</v>
      </c>
      <c r="D121" s="1933">
        <f>+'5. mell.Önk-i mérleg'!E121</f>
        <v>0</v>
      </c>
      <c r="E121" s="1933">
        <f>+'5. mell.Önk-i mérleg'!F121</f>
        <v>0</v>
      </c>
      <c r="F121" s="1933">
        <f>+'5. mell.Önk-i mérleg'!G121</f>
        <v>0</v>
      </c>
      <c r="G121" s="1933">
        <f>+'5. mell.Önk-i mérleg'!H121</f>
        <v>0</v>
      </c>
      <c r="H121" s="1933">
        <f>+'5. mell.Önk-i mérleg'!I121</f>
        <v>0</v>
      </c>
      <c r="I121" s="1933">
        <f>+'5. mell.Önk-i mérleg'!J121</f>
        <v>0</v>
      </c>
      <c r="J121" s="1954">
        <f>+'6. mell (Bontás)'!J121</f>
        <v>0</v>
      </c>
      <c r="K121" s="1954">
        <f>+'6. mell (Bontás)'!K121</f>
        <v>0</v>
      </c>
      <c r="L121" s="1954">
        <f>+'6. mell (Bontás)'!L121</f>
        <v>0</v>
      </c>
      <c r="M121" s="1954">
        <f>+'6. mell (Bontás)'!M121</f>
        <v>0</v>
      </c>
      <c r="N121" s="1954">
        <f>+'6. mell (Bontás)'!N121</f>
        <v>0</v>
      </c>
      <c r="O121" s="1954">
        <f>+'6. mell (Bontás)'!O121</f>
        <v>0</v>
      </c>
      <c r="P121" s="1954">
        <f>+'6. mell (Bontás)'!P121</f>
        <v>0</v>
      </c>
      <c r="Q121" s="1954">
        <f>+'6. mell (Bontás)'!Q121</f>
        <v>0</v>
      </c>
      <c r="R121" s="1954">
        <f>+'6. mell (Bontás)'!R121</f>
        <v>0</v>
      </c>
      <c r="S121" s="1954">
        <f>+'6. mell (Bontás)'!S121</f>
        <v>0</v>
      </c>
      <c r="T121" s="1954">
        <f>+'6. mell (Bontás)'!T121</f>
        <v>0</v>
      </c>
      <c r="U121" s="1954">
        <f>+'6. mell (Bontás)'!U121</f>
        <v>0</v>
      </c>
      <c r="V121" s="2488">
        <f>+'6. mell (Bontás)'!V121</f>
        <v>0</v>
      </c>
      <c r="W121" s="1954">
        <f>+'6. mell (Bontás)'!W121</f>
        <v>0</v>
      </c>
      <c r="X121" s="1954">
        <f>+'6. mell (Bontás)'!X121</f>
        <v>0</v>
      </c>
      <c r="Y121" s="1954">
        <f>+'6. mell (Bontás)'!Y121</f>
        <v>0</v>
      </c>
      <c r="Z121" s="1954">
        <f>+'6. mell (Bontás)'!Z121</f>
        <v>0</v>
      </c>
      <c r="AA121" s="1954">
        <f>+'6. mell (Bontás)'!AA121</f>
        <v>0</v>
      </c>
      <c r="AB121" s="2495">
        <f t="shared" si="84"/>
        <v>0</v>
      </c>
      <c r="AC121" s="2495">
        <f t="shared" si="85"/>
        <v>0</v>
      </c>
      <c r="AD121" s="2495">
        <f t="shared" si="86"/>
        <v>0</v>
      </c>
      <c r="AE121" s="2495">
        <f t="shared" si="87"/>
        <v>0</v>
      </c>
      <c r="AF121" s="2495">
        <f t="shared" si="88"/>
        <v>0</v>
      </c>
      <c r="AG121" s="2495">
        <f t="shared" si="89"/>
        <v>0</v>
      </c>
      <c r="AH121" s="999">
        <f t="shared" si="68"/>
        <v>0</v>
      </c>
      <c r="AI121" s="999">
        <f t="shared" si="69"/>
        <v>0</v>
      </c>
      <c r="AJ121" s="999">
        <f t="shared" si="70"/>
        <v>0</v>
      </c>
      <c r="AK121" s="999">
        <f t="shared" si="71"/>
        <v>0</v>
      </c>
      <c r="AL121" s="999">
        <f t="shared" si="72"/>
        <v>0</v>
      </c>
      <c r="AM121" s="2214">
        <f t="shared" si="73"/>
        <v>0</v>
      </c>
    </row>
    <row r="122" spans="1:39">
      <c r="A122" s="1931" t="s">
        <v>355</v>
      </c>
      <c r="B122" s="1950" t="s">
        <v>336</v>
      </c>
      <c r="C122" s="1933">
        <f>+'5. mell.Önk-i mérleg'!C122</f>
        <v>18000000</v>
      </c>
      <c r="D122" s="1933">
        <f>+'5. mell.Önk-i mérleg'!E122</f>
        <v>8000000</v>
      </c>
      <c r="E122" s="1933">
        <f>+'5. mell.Önk-i mérleg'!F122</f>
        <v>8000000</v>
      </c>
      <c r="F122" s="1933">
        <f>+'5. mell.Önk-i mérleg'!G122</f>
        <v>8000000</v>
      </c>
      <c r="G122" s="1933">
        <f>+'5. mell.Önk-i mérleg'!H122</f>
        <v>8000000</v>
      </c>
      <c r="H122" s="1933">
        <f>+'5. mell.Önk-i mérleg'!I122</f>
        <v>8000000</v>
      </c>
      <c r="I122" s="1933">
        <f>+'5. mell.Önk-i mérleg'!J122</f>
        <v>0</v>
      </c>
      <c r="J122" s="1954">
        <f>+'6. mell (Bontás)'!J122</f>
        <v>0</v>
      </c>
      <c r="K122" s="1954">
        <f>+'6. mell (Bontás)'!K122</f>
        <v>0</v>
      </c>
      <c r="L122" s="1954">
        <f>+'6. mell (Bontás)'!L122</f>
        <v>0</v>
      </c>
      <c r="M122" s="1954">
        <f>+'6. mell (Bontás)'!M122</f>
        <v>0</v>
      </c>
      <c r="N122" s="1954">
        <f>+'6. mell (Bontás)'!N122</f>
        <v>0</v>
      </c>
      <c r="O122" s="1954">
        <f>+'6. mell (Bontás)'!O122</f>
        <v>0</v>
      </c>
      <c r="P122" s="1954">
        <f>+'6. mell (Bontás)'!P122</f>
        <v>8000000</v>
      </c>
      <c r="Q122" s="1954">
        <f>+'6. mell (Bontás)'!Q122</f>
        <v>8000000</v>
      </c>
      <c r="R122" s="1954">
        <f>+'6. mell (Bontás)'!R122</f>
        <v>8000000</v>
      </c>
      <c r="S122" s="1954">
        <f>+'6. mell (Bontás)'!S122</f>
        <v>8000000</v>
      </c>
      <c r="T122" s="1954">
        <f>+'6. mell (Bontás)'!T122</f>
        <v>8000000</v>
      </c>
      <c r="U122" s="1954">
        <f>+'6. mell (Bontás)'!U122</f>
        <v>0</v>
      </c>
      <c r="V122" s="2488">
        <f>+'6. mell (Bontás)'!V122</f>
        <v>0</v>
      </c>
      <c r="W122" s="1954">
        <f>+'6. mell (Bontás)'!W122</f>
        <v>0</v>
      </c>
      <c r="X122" s="1954">
        <f>+'6. mell (Bontás)'!X122</f>
        <v>0</v>
      </c>
      <c r="Y122" s="1954">
        <f>+'6. mell (Bontás)'!Y122</f>
        <v>0</v>
      </c>
      <c r="Z122" s="1954">
        <f>+'6. mell (Bontás)'!Z122</f>
        <v>0</v>
      </c>
      <c r="AA122" s="1954">
        <f>+'6. mell (Bontás)'!AA122</f>
        <v>0</v>
      </c>
      <c r="AB122" s="2495">
        <f t="shared" si="84"/>
        <v>8000000</v>
      </c>
      <c r="AC122" s="2495">
        <f t="shared" si="85"/>
        <v>8000000</v>
      </c>
      <c r="AD122" s="2495">
        <f t="shared" si="86"/>
        <v>8000000</v>
      </c>
      <c r="AE122" s="2495">
        <f t="shared" si="87"/>
        <v>8000000</v>
      </c>
      <c r="AF122" s="2495">
        <f t="shared" si="88"/>
        <v>8000000</v>
      </c>
      <c r="AG122" s="2495">
        <f t="shared" si="89"/>
        <v>0</v>
      </c>
      <c r="AH122" s="999">
        <f t="shared" si="68"/>
        <v>0</v>
      </c>
      <c r="AI122" s="999">
        <f t="shared" si="69"/>
        <v>0</v>
      </c>
      <c r="AJ122" s="999">
        <f t="shared" si="70"/>
        <v>0</v>
      </c>
      <c r="AK122" s="999">
        <f t="shared" si="71"/>
        <v>0</v>
      </c>
      <c r="AL122" s="999">
        <f t="shared" si="72"/>
        <v>0</v>
      </c>
      <c r="AM122" s="2214">
        <f t="shared" si="73"/>
        <v>0</v>
      </c>
    </row>
    <row r="123" spans="1:39">
      <c r="A123" s="1931" t="s">
        <v>356</v>
      </c>
      <c r="B123" s="1950" t="s">
        <v>357</v>
      </c>
      <c r="C123" s="1933">
        <f>+'5. mell.Önk-i mérleg'!C123</f>
        <v>5000000</v>
      </c>
      <c r="D123" s="1933">
        <f>+'5. mell.Önk-i mérleg'!E123</f>
        <v>2000000</v>
      </c>
      <c r="E123" s="1933">
        <f>+'5. mell.Önk-i mérleg'!F123</f>
        <v>2000000</v>
      </c>
      <c r="F123" s="1933">
        <f>+'5. mell.Önk-i mérleg'!G123</f>
        <v>2000000</v>
      </c>
      <c r="G123" s="1933">
        <f>+'5. mell.Önk-i mérleg'!H123</f>
        <v>2000000</v>
      </c>
      <c r="H123" s="1933">
        <f>+'5. mell.Önk-i mérleg'!I123</f>
        <v>2000000</v>
      </c>
      <c r="I123" s="1933">
        <f>+'5. mell.Önk-i mérleg'!J123</f>
        <v>0</v>
      </c>
      <c r="J123" s="1954">
        <f>+'6. mell (Bontás)'!J123</f>
        <v>0</v>
      </c>
      <c r="K123" s="1954">
        <f>+'6. mell (Bontás)'!K123</f>
        <v>0</v>
      </c>
      <c r="L123" s="1954">
        <f>+'6. mell (Bontás)'!L123</f>
        <v>0</v>
      </c>
      <c r="M123" s="1954">
        <f>+'6. mell (Bontás)'!M123</f>
        <v>0</v>
      </c>
      <c r="N123" s="1954">
        <f>+'6. mell (Bontás)'!N123</f>
        <v>0</v>
      </c>
      <c r="O123" s="1954">
        <f>+'6. mell (Bontás)'!O123</f>
        <v>0</v>
      </c>
      <c r="P123" s="1954">
        <f>+'6. mell (Bontás)'!P123</f>
        <v>2000000</v>
      </c>
      <c r="Q123" s="1954">
        <f>+'6. mell (Bontás)'!Q123</f>
        <v>2000000</v>
      </c>
      <c r="R123" s="1954">
        <f>+'6. mell (Bontás)'!R123</f>
        <v>2000000</v>
      </c>
      <c r="S123" s="1954">
        <f>+'6. mell (Bontás)'!S123</f>
        <v>2000000</v>
      </c>
      <c r="T123" s="1954">
        <f>+'6. mell (Bontás)'!T123</f>
        <v>2000000</v>
      </c>
      <c r="U123" s="1954">
        <f>+'6. mell (Bontás)'!U123</f>
        <v>0</v>
      </c>
      <c r="V123" s="2488">
        <f>+'6. mell (Bontás)'!V123</f>
        <v>0</v>
      </c>
      <c r="W123" s="1954">
        <f>+'6. mell (Bontás)'!W123</f>
        <v>0</v>
      </c>
      <c r="X123" s="1954">
        <f>+'6. mell (Bontás)'!X123</f>
        <v>0</v>
      </c>
      <c r="Y123" s="1954">
        <f>+'6. mell (Bontás)'!Y123</f>
        <v>0</v>
      </c>
      <c r="Z123" s="1954">
        <f>+'6. mell (Bontás)'!Z123</f>
        <v>0</v>
      </c>
      <c r="AA123" s="1954">
        <f>+'6. mell (Bontás)'!AA123</f>
        <v>0</v>
      </c>
      <c r="AB123" s="2495">
        <f t="shared" si="84"/>
        <v>2000000</v>
      </c>
      <c r="AC123" s="2495">
        <f t="shared" si="85"/>
        <v>2000000</v>
      </c>
      <c r="AD123" s="2495">
        <f t="shared" si="86"/>
        <v>2000000</v>
      </c>
      <c r="AE123" s="2495">
        <f t="shared" si="87"/>
        <v>2000000</v>
      </c>
      <c r="AF123" s="2495">
        <f t="shared" si="88"/>
        <v>2000000</v>
      </c>
      <c r="AG123" s="2495">
        <f t="shared" si="89"/>
        <v>0</v>
      </c>
      <c r="AH123" s="999">
        <f t="shared" si="68"/>
        <v>0</v>
      </c>
      <c r="AI123" s="999">
        <f t="shared" si="69"/>
        <v>0</v>
      </c>
      <c r="AJ123" s="999">
        <f t="shared" si="70"/>
        <v>0</v>
      </c>
      <c r="AK123" s="999">
        <f t="shared" si="71"/>
        <v>0</v>
      </c>
      <c r="AL123" s="999">
        <f t="shared" si="72"/>
        <v>0</v>
      </c>
      <c r="AM123" s="2214">
        <f t="shared" si="73"/>
        <v>0</v>
      </c>
    </row>
    <row r="124" spans="1:39">
      <c r="A124" s="1931" t="s">
        <v>358</v>
      </c>
      <c r="B124" s="1950" t="s">
        <v>359</v>
      </c>
      <c r="C124" s="1933">
        <f>+'5. mell.Önk-i mérleg'!C124</f>
        <v>101756118</v>
      </c>
      <c r="D124" s="1933">
        <f>+'5. mell.Önk-i mérleg'!E124</f>
        <v>245066046</v>
      </c>
      <c r="E124" s="1933">
        <f>+'5. mell.Önk-i mérleg'!F124</f>
        <v>241526380</v>
      </c>
      <c r="F124" s="1933">
        <f>+'5. mell.Önk-i mérleg'!G124</f>
        <v>247714578</v>
      </c>
      <c r="G124" s="1933">
        <f>+'5. mell.Önk-i mérleg'!H124</f>
        <v>297892573</v>
      </c>
      <c r="H124" s="1933">
        <f>+'5. mell.Önk-i mérleg'!I124</f>
        <v>297892573</v>
      </c>
      <c r="I124" s="1933">
        <f>+'5. mell.Önk-i mérleg'!J124</f>
        <v>254380188</v>
      </c>
      <c r="J124" s="1954">
        <f>+'6. mell (Bontás)'!J124</f>
        <v>5000000</v>
      </c>
      <c r="K124" s="1954">
        <f>+'6. mell (Bontás)'!K124</f>
        <v>5000000</v>
      </c>
      <c r="L124" s="1954">
        <f>+'6. mell (Bontás)'!L124</f>
        <v>5000000</v>
      </c>
      <c r="M124" s="1954">
        <f>+'6. mell (Bontás)'!M124</f>
        <v>5000000</v>
      </c>
      <c r="N124" s="1954">
        <f>+'6. mell (Bontás)'!N124</f>
        <v>5000000</v>
      </c>
      <c r="O124" s="1954">
        <f>+'6. mell (Bontás)'!O124</f>
        <v>0</v>
      </c>
      <c r="P124" s="1954">
        <f>+'6. mell (Bontás)'!P124</f>
        <v>240066046</v>
      </c>
      <c r="Q124" s="1954">
        <f>+'6. mell (Bontás)'!Q124</f>
        <v>236526380</v>
      </c>
      <c r="R124" s="1954">
        <f>+'6. mell (Bontás)'!R124</f>
        <v>242714578</v>
      </c>
      <c r="S124" s="1954">
        <f>+'6. mell (Bontás)'!S124</f>
        <v>292892573</v>
      </c>
      <c r="T124" s="1954">
        <f>+'6. mell (Bontás)'!T124</f>
        <v>292892573</v>
      </c>
      <c r="U124" s="1954">
        <f>+'6. mell (Bontás)'!U124</f>
        <v>254380188</v>
      </c>
      <c r="V124" s="2488">
        <f>+'6. mell (Bontás)'!V124</f>
        <v>0</v>
      </c>
      <c r="W124" s="1954">
        <f>+'6. mell (Bontás)'!W124</f>
        <v>0</v>
      </c>
      <c r="X124" s="1954">
        <f>+'6. mell (Bontás)'!X124</f>
        <v>0</v>
      </c>
      <c r="Y124" s="1954">
        <f>+'6. mell (Bontás)'!Y124</f>
        <v>0</v>
      </c>
      <c r="Z124" s="1954">
        <f>+'6. mell (Bontás)'!Z124</f>
        <v>0</v>
      </c>
      <c r="AA124" s="1954">
        <f>+'6. mell (Bontás)'!AA124</f>
        <v>0</v>
      </c>
      <c r="AB124" s="2495">
        <f t="shared" si="84"/>
        <v>245066046</v>
      </c>
      <c r="AC124" s="2495">
        <f t="shared" si="85"/>
        <v>241526380</v>
      </c>
      <c r="AD124" s="2495">
        <f t="shared" si="86"/>
        <v>247714578</v>
      </c>
      <c r="AE124" s="2495">
        <f t="shared" si="87"/>
        <v>297892573</v>
      </c>
      <c r="AF124" s="2495">
        <f t="shared" si="88"/>
        <v>297892573</v>
      </c>
      <c r="AG124" s="2495">
        <f t="shared" si="89"/>
        <v>254380188</v>
      </c>
      <c r="AH124" s="999">
        <f t="shared" si="68"/>
        <v>0</v>
      </c>
      <c r="AI124" s="999">
        <f t="shared" si="69"/>
        <v>0</v>
      </c>
      <c r="AJ124" s="999">
        <f t="shared" si="70"/>
        <v>0</v>
      </c>
      <c r="AK124" s="999">
        <f t="shared" si="71"/>
        <v>0</v>
      </c>
      <c r="AL124" s="999">
        <f t="shared" si="72"/>
        <v>0</v>
      </c>
      <c r="AM124" s="2214">
        <f t="shared" si="73"/>
        <v>0</v>
      </c>
    </row>
    <row r="125" spans="1:39">
      <c r="A125" s="1928" t="s">
        <v>14</v>
      </c>
      <c r="B125" s="1935" t="s">
        <v>360</v>
      </c>
      <c r="C125" s="1930">
        <f t="shared" ref="C125:AG125" si="90">+C126+C127</f>
        <v>1644020281</v>
      </c>
      <c r="D125" s="1930">
        <f t="shared" si="90"/>
        <v>1489059013</v>
      </c>
      <c r="E125" s="1930">
        <f t="shared" si="90"/>
        <v>1803741115</v>
      </c>
      <c r="F125" s="1930">
        <f t="shared" si="90"/>
        <v>1553393023</v>
      </c>
      <c r="G125" s="1930">
        <f t="shared" si="90"/>
        <v>509609556</v>
      </c>
      <c r="H125" s="1930">
        <f t="shared" si="90"/>
        <v>509609556</v>
      </c>
      <c r="I125" s="1930">
        <f t="shared" si="90"/>
        <v>0</v>
      </c>
      <c r="J125" s="1930">
        <f t="shared" si="90"/>
        <v>1475781815</v>
      </c>
      <c r="K125" s="1930">
        <f t="shared" si="90"/>
        <v>1790463917</v>
      </c>
      <c r="L125" s="1930">
        <f t="shared" si="90"/>
        <v>1540115825</v>
      </c>
      <c r="M125" s="1930">
        <f t="shared" si="90"/>
        <v>496332358</v>
      </c>
      <c r="N125" s="1930">
        <f t="shared" si="90"/>
        <v>496332358</v>
      </c>
      <c r="O125" s="1930">
        <f t="shared" si="90"/>
        <v>0</v>
      </c>
      <c r="P125" s="1930">
        <f t="shared" si="90"/>
        <v>13277198</v>
      </c>
      <c r="Q125" s="1930">
        <f t="shared" si="90"/>
        <v>13277198</v>
      </c>
      <c r="R125" s="1930">
        <f t="shared" si="90"/>
        <v>13277198</v>
      </c>
      <c r="S125" s="1930">
        <f t="shared" si="90"/>
        <v>13277198</v>
      </c>
      <c r="T125" s="1930">
        <f t="shared" si="90"/>
        <v>13277198</v>
      </c>
      <c r="U125" s="1930">
        <f t="shared" si="90"/>
        <v>0</v>
      </c>
      <c r="V125" s="2481">
        <f t="shared" si="90"/>
        <v>0</v>
      </c>
      <c r="W125" s="1930">
        <f t="shared" si="90"/>
        <v>0</v>
      </c>
      <c r="X125" s="1930">
        <f t="shared" si="90"/>
        <v>0</v>
      </c>
      <c r="Y125" s="1930">
        <f t="shared" si="90"/>
        <v>0</v>
      </c>
      <c r="Z125" s="1930">
        <f t="shared" si="90"/>
        <v>0</v>
      </c>
      <c r="AA125" s="1930">
        <f t="shared" si="90"/>
        <v>0</v>
      </c>
      <c r="AB125" s="1930">
        <f t="shared" si="90"/>
        <v>1489059013</v>
      </c>
      <c r="AC125" s="1930">
        <f t="shared" si="90"/>
        <v>1803741115</v>
      </c>
      <c r="AD125" s="1930">
        <f t="shared" si="90"/>
        <v>1553393023</v>
      </c>
      <c r="AE125" s="1930">
        <f t="shared" si="90"/>
        <v>509609556</v>
      </c>
      <c r="AF125" s="1930">
        <f t="shared" si="90"/>
        <v>509609556</v>
      </c>
      <c r="AG125" s="1930">
        <f t="shared" si="90"/>
        <v>0</v>
      </c>
      <c r="AH125" s="999">
        <f t="shared" si="68"/>
        <v>0</v>
      </c>
      <c r="AI125" s="999">
        <f t="shared" si="69"/>
        <v>0</v>
      </c>
      <c r="AJ125" s="999">
        <f t="shared" si="70"/>
        <v>0</v>
      </c>
      <c r="AK125" s="999">
        <f t="shared" si="71"/>
        <v>0</v>
      </c>
      <c r="AL125" s="999">
        <f t="shared" si="72"/>
        <v>0</v>
      </c>
      <c r="AM125" s="2214">
        <f t="shared" si="73"/>
        <v>0</v>
      </c>
    </row>
    <row r="126" spans="1:39">
      <c r="A126" s="1931" t="s">
        <v>198</v>
      </c>
      <c r="B126" s="1950" t="s">
        <v>361</v>
      </c>
      <c r="C126" s="1933">
        <f>+'2. mell.  '!N12+'2. mell.  '!N13+'2. mell.  '!N14+'2. mell.  '!N15</f>
        <v>412591480</v>
      </c>
      <c r="D126" s="1933">
        <f>+'2. mell.  '!P12+'2. mell.  '!P13+'2. mell.  '!P14+'2. mell.  '!P15</f>
        <v>339515136</v>
      </c>
      <c r="E126" s="1933">
        <f>+'2. mell.  '!Q12+'2. mell.  '!Q13+'2. mell.  '!Q14+'2. mell.  '!Q15</f>
        <v>692819620</v>
      </c>
      <c r="F126" s="1933">
        <f>+'2. mell.  '!R12+'2. mell.  '!R13+'2. mell.  '!R14+'2. mell.  '!R15</f>
        <v>586925012</v>
      </c>
      <c r="G126" s="1933">
        <f>+'2. mell.  '!S12+'2. mell.  '!S13+'2. mell.  '!S14+'2. mell.  '!S15</f>
        <v>473275329</v>
      </c>
      <c r="H126" s="1933">
        <f>+'2. mell.  '!T12+'2. mell.  '!T13+'2. mell.  '!T14+'2. mell.  '!T15</f>
        <v>473275329</v>
      </c>
      <c r="I126" s="1933">
        <f>+'2. mell.  '!U12+'2. mell.  '!U13+'2. mell.  '!U14+'2. mell.  '!U15</f>
        <v>0</v>
      </c>
      <c r="J126" s="1954">
        <f>+'6. mell (Bontás)'!J126</f>
        <v>339515136</v>
      </c>
      <c r="K126" s="1954">
        <f>+'6. mell (Bontás)'!K126</f>
        <v>692819620</v>
      </c>
      <c r="L126" s="1954">
        <f>+'6. mell (Bontás)'!L126</f>
        <v>586925012</v>
      </c>
      <c r="M126" s="1954">
        <f>+'6. mell (Bontás)'!M126</f>
        <v>473275329</v>
      </c>
      <c r="N126" s="1954">
        <f>+'6. mell (Bontás)'!N126</f>
        <v>473275329</v>
      </c>
      <c r="O126" s="1954">
        <f>+'6. mell (Bontás)'!O126</f>
        <v>0</v>
      </c>
      <c r="P126" s="1954">
        <f>+'6. mell (Bontás)'!P126</f>
        <v>0</v>
      </c>
      <c r="Q126" s="1954">
        <f>+'6. mell (Bontás)'!Q126</f>
        <v>0</v>
      </c>
      <c r="R126" s="1954">
        <f>+'6. mell (Bontás)'!R126</f>
        <v>0</v>
      </c>
      <c r="S126" s="1954">
        <f>+'6. mell (Bontás)'!S126</f>
        <v>0</v>
      </c>
      <c r="T126" s="1954">
        <f>+'6. mell (Bontás)'!T126</f>
        <v>0</v>
      </c>
      <c r="U126" s="1954">
        <f>+'6. mell (Bontás)'!U126</f>
        <v>0</v>
      </c>
      <c r="V126" s="2488">
        <f>+'6. mell (Bontás)'!V126</f>
        <v>0</v>
      </c>
      <c r="W126" s="1954">
        <f>+'6. mell (Bontás)'!W126</f>
        <v>0</v>
      </c>
      <c r="X126" s="1954">
        <f>+'6. mell (Bontás)'!X126</f>
        <v>0</v>
      </c>
      <c r="Y126" s="1954">
        <f>+'6. mell (Bontás)'!Y126</f>
        <v>0</v>
      </c>
      <c r="Z126" s="1954">
        <f>+'6. mell (Bontás)'!Z126</f>
        <v>0</v>
      </c>
      <c r="AA126" s="1954">
        <f>+'6. mell (Bontás)'!AA126</f>
        <v>0</v>
      </c>
      <c r="AB126" s="2495">
        <f t="shared" ref="AB126:AG127" si="91">+J126+P126+V126</f>
        <v>339515136</v>
      </c>
      <c r="AC126" s="2495">
        <f t="shared" si="91"/>
        <v>692819620</v>
      </c>
      <c r="AD126" s="2495">
        <f t="shared" si="91"/>
        <v>586925012</v>
      </c>
      <c r="AE126" s="2495">
        <f t="shared" si="91"/>
        <v>473275329</v>
      </c>
      <c r="AF126" s="2495">
        <f t="shared" si="91"/>
        <v>473275329</v>
      </c>
      <c r="AG126" s="2495">
        <f t="shared" si="91"/>
        <v>0</v>
      </c>
      <c r="AH126" s="999">
        <f t="shared" si="68"/>
        <v>0</v>
      </c>
      <c r="AI126" s="999">
        <f t="shared" si="69"/>
        <v>0</v>
      </c>
      <c r="AJ126" s="999">
        <f t="shared" si="70"/>
        <v>0</v>
      </c>
      <c r="AK126" s="999">
        <f t="shared" si="71"/>
        <v>0</v>
      </c>
      <c r="AL126" s="999">
        <f t="shared" si="72"/>
        <v>0</v>
      </c>
      <c r="AM126" s="2214">
        <f t="shared" si="73"/>
        <v>0</v>
      </c>
    </row>
    <row r="127" spans="1:39">
      <c r="A127" s="1931" t="s">
        <v>200</v>
      </c>
      <c r="B127" s="1950" t="s">
        <v>362</v>
      </c>
      <c r="C127" s="1933">
        <f>+'3. mell.  '!N12+'3. mell.  '!N13+'3. mell.  '!N14+'3. mell.  '!N15+'3. mell.  '!N16+'3. mell.  '!N17</f>
        <v>1231428801</v>
      </c>
      <c r="D127" s="1933">
        <f>+'3. mell.  '!P12+'3. mell.  '!P13+'3. mell.  '!P14+'3. mell.  '!P15+'3. mell.  '!P16+'3. mell.  '!P17</f>
        <v>1149543877</v>
      </c>
      <c r="E127" s="1933">
        <f>+'3. mell.  '!Q12+'3. mell.  '!Q13+'3. mell.  '!Q14+'3. mell.  '!Q15+'3. mell.  '!Q16+'3. mell.  '!Q17</f>
        <v>1110921495</v>
      </c>
      <c r="F127" s="1933">
        <f>+'3. mell.  '!R12+'3. mell.  '!R13+'3. mell.  '!R14+'3. mell.  '!R15+'3. mell.  '!R16+'3. mell.  '!R17</f>
        <v>966468011</v>
      </c>
      <c r="G127" s="1933">
        <f>+'3. mell.  '!S12+'3. mell.  '!S13+'3. mell.  '!S14+'3. mell.  '!S15+'3. mell.  '!S16+'3. mell.  '!S17</f>
        <v>36334227</v>
      </c>
      <c r="H127" s="1933">
        <f>+'3. mell.  '!T12+'3. mell.  '!T13+'3. mell.  '!T14+'3. mell.  '!T15+'3. mell.  '!T16+'3. mell.  '!T17</f>
        <v>36334227</v>
      </c>
      <c r="I127" s="1933">
        <f>+'3. mell.  '!U12+'3. mell.  '!U13+'3. mell.  '!U14+'3. mell.  '!U15+'3. mell.  '!U16+'3. mell.  '!U17</f>
        <v>0</v>
      </c>
      <c r="J127" s="1954">
        <f>+'6. mell (Bontás)'!J127</f>
        <v>1136266679</v>
      </c>
      <c r="K127" s="1954">
        <f>+'6. mell (Bontás)'!K127</f>
        <v>1097644297</v>
      </c>
      <c r="L127" s="1954">
        <f>+'6. mell (Bontás)'!L127</f>
        <v>953190813</v>
      </c>
      <c r="M127" s="1954">
        <f>+'6. mell (Bontás)'!M127</f>
        <v>23057029</v>
      </c>
      <c r="N127" s="1954">
        <f>+'6. mell (Bontás)'!N127</f>
        <v>23057029</v>
      </c>
      <c r="O127" s="1954">
        <f>+'6. mell (Bontás)'!O127</f>
        <v>0</v>
      </c>
      <c r="P127" s="1954">
        <f>+'6. mell (Bontás)'!P127+'8. mell. Intézmények összesen'!F50</f>
        <v>13277198</v>
      </c>
      <c r="Q127" s="1954">
        <f>+'6. mell (Bontás)'!Q127+'8. mell. Intézmények összesen'!G50</f>
        <v>13277198</v>
      </c>
      <c r="R127" s="1954">
        <f>+'6. mell (Bontás)'!R127+'8. mell. Intézmények összesen'!H50</f>
        <v>13277198</v>
      </c>
      <c r="S127" s="1954">
        <f>+'6. mell (Bontás)'!S127+'8. mell. Intézmények összesen'!I50</f>
        <v>13277198</v>
      </c>
      <c r="T127" s="1954">
        <f>+'6. mell (Bontás)'!T127+'8. mell. Intézmények összesen'!J50</f>
        <v>13277198</v>
      </c>
      <c r="U127" s="1954">
        <f>+'6. mell (Bontás)'!U127+'8. mell. Intézmények összesen'!K50</f>
        <v>0</v>
      </c>
      <c r="V127" s="2488">
        <f>+'6. mell (Bontás)'!V127</f>
        <v>0</v>
      </c>
      <c r="W127" s="1954">
        <f>+'6. mell (Bontás)'!W127</f>
        <v>0</v>
      </c>
      <c r="X127" s="1954">
        <f>+'6. mell (Bontás)'!X127</f>
        <v>0</v>
      </c>
      <c r="Y127" s="1954">
        <f>+'6. mell (Bontás)'!Y127</f>
        <v>0</v>
      </c>
      <c r="Z127" s="1954">
        <f>+'6. mell (Bontás)'!Z127</f>
        <v>0</v>
      </c>
      <c r="AA127" s="1954">
        <f>+'6. mell (Bontás)'!AA127</f>
        <v>0</v>
      </c>
      <c r="AB127" s="2495">
        <f t="shared" si="91"/>
        <v>1149543877</v>
      </c>
      <c r="AC127" s="2495">
        <f t="shared" si="91"/>
        <v>1110921495</v>
      </c>
      <c r="AD127" s="2495">
        <f t="shared" si="91"/>
        <v>966468011</v>
      </c>
      <c r="AE127" s="2495">
        <f t="shared" si="91"/>
        <v>36334227</v>
      </c>
      <c r="AF127" s="2495">
        <f t="shared" si="91"/>
        <v>36334227</v>
      </c>
      <c r="AG127" s="2495">
        <f t="shared" si="91"/>
        <v>0</v>
      </c>
      <c r="AH127" s="999">
        <f t="shared" si="68"/>
        <v>0</v>
      </c>
      <c r="AI127" s="999">
        <f t="shared" si="69"/>
        <v>0</v>
      </c>
      <c r="AJ127" s="999">
        <f t="shared" si="70"/>
        <v>0</v>
      </c>
      <c r="AK127" s="999">
        <f t="shared" si="71"/>
        <v>0</v>
      </c>
      <c r="AL127" s="999">
        <f t="shared" si="72"/>
        <v>0</v>
      </c>
      <c r="AM127" s="2214">
        <f t="shared" si="73"/>
        <v>0</v>
      </c>
    </row>
    <row r="128" spans="1:39">
      <c r="A128" s="1938" t="s">
        <v>15</v>
      </c>
      <c r="B128" s="1939" t="s">
        <v>3035</v>
      </c>
      <c r="C128" s="1940">
        <f t="shared" ref="C128:AG128" si="92">+C93+C111+C125</f>
        <v>33635648620.120003</v>
      </c>
      <c r="D128" s="1940">
        <f t="shared" si="92"/>
        <v>29912962817</v>
      </c>
      <c r="E128" s="1940">
        <f t="shared" si="92"/>
        <v>31035162155</v>
      </c>
      <c r="F128" s="1940">
        <f t="shared" si="92"/>
        <v>31156999406</v>
      </c>
      <c r="G128" s="1940">
        <f t="shared" si="92"/>
        <v>30604904165</v>
      </c>
      <c r="H128" s="1940">
        <f t="shared" si="92"/>
        <v>30604904165</v>
      </c>
      <c r="I128" s="1940">
        <f t="shared" si="92"/>
        <v>26498372264</v>
      </c>
      <c r="J128" s="1940">
        <f t="shared" si="92"/>
        <v>26089209866.776001</v>
      </c>
      <c r="K128" s="1940">
        <f t="shared" si="92"/>
        <v>27173408898.306</v>
      </c>
      <c r="L128" s="1940">
        <f t="shared" si="92"/>
        <v>27176347613.306</v>
      </c>
      <c r="M128" s="1940">
        <f t="shared" si="92"/>
        <v>26680671168.839199</v>
      </c>
      <c r="N128" s="1940">
        <f t="shared" si="92"/>
        <v>26680671168.839199</v>
      </c>
      <c r="O128" s="1940">
        <f t="shared" si="92"/>
        <v>23876650101.655998</v>
      </c>
      <c r="P128" s="1940">
        <f t="shared" si="92"/>
        <v>3820252950.224</v>
      </c>
      <c r="Q128" s="1940">
        <f t="shared" si="92"/>
        <v>3858253256.6940002</v>
      </c>
      <c r="R128" s="1940">
        <f t="shared" si="92"/>
        <v>3975178328.6940002</v>
      </c>
      <c r="S128" s="1940">
        <f t="shared" si="92"/>
        <v>3921721356.1608</v>
      </c>
      <c r="T128" s="1940">
        <f t="shared" si="92"/>
        <v>3921721356.1608</v>
      </c>
      <c r="U128" s="1940">
        <f t="shared" si="92"/>
        <v>2619210522.3439999</v>
      </c>
      <c r="V128" s="2483">
        <f t="shared" si="92"/>
        <v>3500000</v>
      </c>
      <c r="W128" s="1940">
        <f t="shared" si="92"/>
        <v>3500000</v>
      </c>
      <c r="X128" s="1940">
        <f t="shared" si="92"/>
        <v>5473464</v>
      </c>
      <c r="Y128" s="1940">
        <f t="shared" si="92"/>
        <v>2511640</v>
      </c>
      <c r="Z128" s="1940">
        <f t="shared" si="92"/>
        <v>2511640</v>
      </c>
      <c r="AA128" s="1940">
        <f t="shared" si="92"/>
        <v>2511640</v>
      </c>
      <c r="AB128" s="1940">
        <f t="shared" si="92"/>
        <v>29912962817</v>
      </c>
      <c r="AC128" s="1940">
        <f t="shared" si="92"/>
        <v>31035162155</v>
      </c>
      <c r="AD128" s="1940">
        <f t="shared" si="92"/>
        <v>31156999406</v>
      </c>
      <c r="AE128" s="1940">
        <f t="shared" si="92"/>
        <v>30604904165</v>
      </c>
      <c r="AF128" s="1940">
        <f t="shared" si="92"/>
        <v>30604904165</v>
      </c>
      <c r="AG128" s="1940">
        <f t="shared" si="92"/>
        <v>26498372264</v>
      </c>
      <c r="AH128" s="999">
        <f t="shared" si="68"/>
        <v>0</v>
      </c>
      <c r="AI128" s="999">
        <f t="shared" si="69"/>
        <v>0</v>
      </c>
      <c r="AJ128" s="999">
        <f t="shared" si="70"/>
        <v>0</v>
      </c>
      <c r="AK128" s="999">
        <f t="shared" si="71"/>
        <v>0</v>
      </c>
      <c r="AL128" s="999">
        <f t="shared" si="72"/>
        <v>0</v>
      </c>
      <c r="AM128" s="2214">
        <f t="shared" si="73"/>
        <v>0</v>
      </c>
    </row>
    <row r="129" spans="1:39">
      <c r="A129" s="1928" t="s">
        <v>17</v>
      </c>
      <c r="B129" s="1935" t="s">
        <v>364</v>
      </c>
      <c r="C129" s="1930">
        <f t="shared" ref="C129:AG129" si="93">+C130+C131+C132</f>
        <v>0</v>
      </c>
      <c r="D129" s="1930">
        <f t="shared" si="93"/>
        <v>0</v>
      </c>
      <c r="E129" s="1930">
        <f t="shared" si="93"/>
        <v>0</v>
      </c>
      <c r="F129" s="1930">
        <f t="shared" si="93"/>
        <v>0</v>
      </c>
      <c r="G129" s="1930">
        <f t="shared" si="93"/>
        <v>0</v>
      </c>
      <c r="H129" s="1930">
        <f t="shared" si="93"/>
        <v>0</v>
      </c>
      <c r="I129" s="1930">
        <f t="shared" si="93"/>
        <v>0</v>
      </c>
      <c r="J129" s="1930">
        <f t="shared" si="93"/>
        <v>0</v>
      </c>
      <c r="K129" s="1930">
        <f t="shared" si="93"/>
        <v>0</v>
      </c>
      <c r="L129" s="1930">
        <f t="shared" si="93"/>
        <v>0</v>
      </c>
      <c r="M129" s="1930">
        <f t="shared" si="93"/>
        <v>0</v>
      </c>
      <c r="N129" s="1930">
        <f t="shared" si="93"/>
        <v>0</v>
      </c>
      <c r="O129" s="1930">
        <f t="shared" si="93"/>
        <v>0</v>
      </c>
      <c r="P129" s="1930">
        <f t="shared" si="93"/>
        <v>0</v>
      </c>
      <c r="Q129" s="1930">
        <f t="shared" si="93"/>
        <v>0</v>
      </c>
      <c r="R129" s="1930">
        <f t="shared" si="93"/>
        <v>0</v>
      </c>
      <c r="S129" s="1930">
        <f t="shared" si="93"/>
        <v>0</v>
      </c>
      <c r="T129" s="1930">
        <f t="shared" si="93"/>
        <v>0</v>
      </c>
      <c r="U129" s="1930">
        <f t="shared" si="93"/>
        <v>0</v>
      </c>
      <c r="V129" s="2481">
        <f t="shared" si="93"/>
        <v>0</v>
      </c>
      <c r="W129" s="1930">
        <f t="shared" si="93"/>
        <v>0</v>
      </c>
      <c r="X129" s="1930">
        <f t="shared" si="93"/>
        <v>0</v>
      </c>
      <c r="Y129" s="1930">
        <f t="shared" si="93"/>
        <v>0</v>
      </c>
      <c r="Z129" s="1930">
        <f t="shared" si="93"/>
        <v>0</v>
      </c>
      <c r="AA129" s="1930">
        <f t="shared" si="93"/>
        <v>0</v>
      </c>
      <c r="AB129" s="1930">
        <f t="shared" si="93"/>
        <v>0</v>
      </c>
      <c r="AC129" s="1930">
        <f t="shared" si="93"/>
        <v>0</v>
      </c>
      <c r="AD129" s="1930">
        <f t="shared" si="93"/>
        <v>0</v>
      </c>
      <c r="AE129" s="1930">
        <f t="shared" si="93"/>
        <v>0</v>
      </c>
      <c r="AF129" s="1930">
        <f t="shared" si="93"/>
        <v>0</v>
      </c>
      <c r="AG129" s="1930">
        <f t="shared" si="93"/>
        <v>0</v>
      </c>
      <c r="AH129" s="999">
        <f t="shared" si="68"/>
        <v>0</v>
      </c>
      <c r="AI129" s="999">
        <f t="shared" si="69"/>
        <v>0</v>
      </c>
      <c r="AJ129" s="999">
        <f t="shared" si="70"/>
        <v>0</v>
      </c>
      <c r="AK129" s="999">
        <f t="shared" si="71"/>
        <v>0</v>
      </c>
      <c r="AL129" s="999">
        <f t="shared" si="72"/>
        <v>0</v>
      </c>
      <c r="AM129" s="2214">
        <f t="shared" si="73"/>
        <v>0</v>
      </c>
    </row>
    <row r="130" spans="1:39">
      <c r="A130" s="1931" t="s">
        <v>225</v>
      </c>
      <c r="B130" s="1950" t="s">
        <v>365</v>
      </c>
      <c r="C130" s="1933">
        <f>+'5. mell.Önk-i mérleg'!C130</f>
        <v>0</v>
      </c>
      <c r="D130" s="1933">
        <f>+'5. mell.Önk-i mérleg'!E130</f>
        <v>0</v>
      </c>
      <c r="E130" s="1933">
        <f>+'5. mell.Önk-i mérleg'!F130</f>
        <v>0</v>
      </c>
      <c r="F130" s="1933">
        <f>+'5. mell.Önk-i mérleg'!G130</f>
        <v>0</v>
      </c>
      <c r="G130" s="1933">
        <f>+'5. mell.Önk-i mérleg'!H130</f>
        <v>0</v>
      </c>
      <c r="H130" s="1933">
        <f>+'5. mell.Önk-i mérleg'!I130</f>
        <v>0</v>
      </c>
      <c r="I130" s="1933">
        <f>+'5. mell.Önk-i mérleg'!J130</f>
        <v>0</v>
      </c>
      <c r="J130" s="1954">
        <f>+'6. mell (Bontás)'!J130</f>
        <v>0</v>
      </c>
      <c r="K130" s="1954">
        <f>+'6. mell (Bontás)'!K130</f>
        <v>0</v>
      </c>
      <c r="L130" s="1954">
        <f>+'6. mell (Bontás)'!L130</f>
        <v>0</v>
      </c>
      <c r="M130" s="1954">
        <f>+'6. mell (Bontás)'!M130</f>
        <v>0</v>
      </c>
      <c r="N130" s="1954">
        <f>+'6. mell (Bontás)'!N130</f>
        <v>0</v>
      </c>
      <c r="O130" s="1954">
        <f>+'6. mell (Bontás)'!O130</f>
        <v>0</v>
      </c>
      <c r="P130" s="1954">
        <f>+'6. mell (Bontás)'!P130</f>
        <v>0</v>
      </c>
      <c r="Q130" s="1954">
        <f>+'6. mell (Bontás)'!Q130</f>
        <v>0</v>
      </c>
      <c r="R130" s="1954">
        <f>+'6. mell (Bontás)'!R130</f>
        <v>0</v>
      </c>
      <c r="S130" s="1954">
        <f>+'6. mell (Bontás)'!S130</f>
        <v>0</v>
      </c>
      <c r="T130" s="1954">
        <f>+'6. mell (Bontás)'!T130</f>
        <v>0</v>
      </c>
      <c r="U130" s="1954">
        <f>+'6. mell (Bontás)'!U130</f>
        <v>0</v>
      </c>
      <c r="V130" s="2488">
        <f>+'6. mell (Bontás)'!V130</f>
        <v>0</v>
      </c>
      <c r="W130" s="1954">
        <f>+'6. mell (Bontás)'!W130</f>
        <v>0</v>
      </c>
      <c r="X130" s="1954">
        <f>+'6. mell (Bontás)'!X130</f>
        <v>0</v>
      </c>
      <c r="Y130" s="1954">
        <f>+'6. mell (Bontás)'!Y130</f>
        <v>0</v>
      </c>
      <c r="Z130" s="1954">
        <f>+'6. mell (Bontás)'!Z130</f>
        <v>0</v>
      </c>
      <c r="AA130" s="1954">
        <f>+'6. mell (Bontás)'!AA130</f>
        <v>0</v>
      </c>
      <c r="AB130" s="2495">
        <f t="shared" ref="AB130:AG132" si="94">+J130+P130+V130</f>
        <v>0</v>
      </c>
      <c r="AC130" s="2495">
        <f t="shared" si="94"/>
        <v>0</v>
      </c>
      <c r="AD130" s="2495">
        <f t="shared" si="94"/>
        <v>0</v>
      </c>
      <c r="AE130" s="2495">
        <f t="shared" si="94"/>
        <v>0</v>
      </c>
      <c r="AF130" s="2495">
        <f t="shared" si="94"/>
        <v>0</v>
      </c>
      <c r="AG130" s="2495">
        <f t="shared" si="94"/>
        <v>0</v>
      </c>
      <c r="AH130" s="999">
        <f t="shared" si="68"/>
        <v>0</v>
      </c>
      <c r="AI130" s="999">
        <f t="shared" si="69"/>
        <v>0</v>
      </c>
      <c r="AJ130" s="999">
        <f t="shared" si="70"/>
        <v>0</v>
      </c>
      <c r="AK130" s="999">
        <f t="shared" si="71"/>
        <v>0</v>
      </c>
      <c r="AL130" s="999">
        <f t="shared" si="72"/>
        <v>0</v>
      </c>
      <c r="AM130" s="2214">
        <f t="shared" si="73"/>
        <v>0</v>
      </c>
    </row>
    <row r="131" spans="1:39">
      <c r="A131" s="1931" t="s">
        <v>227</v>
      </c>
      <c r="B131" s="1950" t="s">
        <v>366</v>
      </c>
      <c r="C131" s="1933">
        <f>+'5. mell.Önk-i mérleg'!C131</f>
        <v>0</v>
      </c>
      <c r="D131" s="1933">
        <f>+'5. mell.Önk-i mérleg'!E131</f>
        <v>0</v>
      </c>
      <c r="E131" s="1933">
        <f>+'5. mell.Önk-i mérleg'!F131</f>
        <v>0</v>
      </c>
      <c r="F131" s="1933">
        <f>+'5. mell.Önk-i mérleg'!G131</f>
        <v>0</v>
      </c>
      <c r="G131" s="1933">
        <f>+'5. mell.Önk-i mérleg'!H131</f>
        <v>0</v>
      </c>
      <c r="H131" s="1933">
        <f>+'5. mell.Önk-i mérleg'!I131</f>
        <v>0</v>
      </c>
      <c r="I131" s="1933">
        <f>+'5. mell.Önk-i mérleg'!J131</f>
        <v>0</v>
      </c>
      <c r="J131" s="1954">
        <f>+'6. mell (Bontás)'!J131</f>
        <v>0</v>
      </c>
      <c r="K131" s="1954">
        <f>+'6. mell (Bontás)'!K131</f>
        <v>0</v>
      </c>
      <c r="L131" s="1954">
        <f>+'6. mell (Bontás)'!L131</f>
        <v>0</v>
      </c>
      <c r="M131" s="1954">
        <f>+'6. mell (Bontás)'!M131</f>
        <v>0</v>
      </c>
      <c r="N131" s="1954">
        <f>+'6. mell (Bontás)'!N131</f>
        <v>0</v>
      </c>
      <c r="O131" s="1954">
        <f>+'6. mell (Bontás)'!O131</f>
        <v>0</v>
      </c>
      <c r="P131" s="1954">
        <f>+'6. mell (Bontás)'!P131</f>
        <v>0</v>
      </c>
      <c r="Q131" s="1954">
        <f>+'6. mell (Bontás)'!Q131</f>
        <v>0</v>
      </c>
      <c r="R131" s="1954">
        <f>+'6. mell (Bontás)'!R131</f>
        <v>0</v>
      </c>
      <c r="S131" s="1954">
        <f>+'6. mell (Bontás)'!S131</f>
        <v>0</v>
      </c>
      <c r="T131" s="1954">
        <f>+'6. mell (Bontás)'!T131</f>
        <v>0</v>
      </c>
      <c r="U131" s="1954">
        <f>+'6. mell (Bontás)'!U131</f>
        <v>0</v>
      </c>
      <c r="V131" s="2488">
        <f>+'6. mell (Bontás)'!V131</f>
        <v>0</v>
      </c>
      <c r="W131" s="1954">
        <f>+'6. mell (Bontás)'!W131</f>
        <v>0</v>
      </c>
      <c r="X131" s="1954">
        <f>+'6. mell (Bontás)'!X131</f>
        <v>0</v>
      </c>
      <c r="Y131" s="1954">
        <f>+'6. mell (Bontás)'!Y131</f>
        <v>0</v>
      </c>
      <c r="Z131" s="1954">
        <f>+'6. mell (Bontás)'!Z131</f>
        <v>0</v>
      </c>
      <c r="AA131" s="1954">
        <f>+'6. mell (Bontás)'!AA131</f>
        <v>0</v>
      </c>
      <c r="AB131" s="2495">
        <f t="shared" si="94"/>
        <v>0</v>
      </c>
      <c r="AC131" s="2495">
        <f t="shared" si="94"/>
        <v>0</v>
      </c>
      <c r="AD131" s="2495">
        <f t="shared" si="94"/>
        <v>0</v>
      </c>
      <c r="AE131" s="2495">
        <f t="shared" si="94"/>
        <v>0</v>
      </c>
      <c r="AF131" s="2495">
        <f t="shared" si="94"/>
        <v>0</v>
      </c>
      <c r="AG131" s="2495">
        <f t="shared" si="94"/>
        <v>0</v>
      </c>
      <c r="AH131" s="999">
        <f t="shared" si="68"/>
        <v>0</v>
      </c>
      <c r="AI131" s="999">
        <f t="shared" si="69"/>
        <v>0</v>
      </c>
      <c r="AJ131" s="999">
        <f t="shared" si="70"/>
        <v>0</v>
      </c>
      <c r="AK131" s="999">
        <f t="shared" si="71"/>
        <v>0</v>
      </c>
      <c r="AL131" s="999">
        <f t="shared" si="72"/>
        <v>0</v>
      </c>
      <c r="AM131" s="2214">
        <f t="shared" si="73"/>
        <v>0</v>
      </c>
    </row>
    <row r="132" spans="1:39">
      <c r="A132" s="1931" t="s">
        <v>229</v>
      </c>
      <c r="B132" s="1950" t="s">
        <v>367</v>
      </c>
      <c r="C132" s="1933">
        <f>+'5. mell.Önk-i mérleg'!C132</f>
        <v>0</v>
      </c>
      <c r="D132" s="1933">
        <f>+'5. mell.Önk-i mérleg'!E132</f>
        <v>0</v>
      </c>
      <c r="E132" s="1933">
        <f>+'5. mell.Önk-i mérleg'!F132</f>
        <v>0</v>
      </c>
      <c r="F132" s="1933">
        <f>+'5. mell.Önk-i mérleg'!G132</f>
        <v>0</v>
      </c>
      <c r="G132" s="1933">
        <f>+'5. mell.Önk-i mérleg'!H132</f>
        <v>0</v>
      </c>
      <c r="H132" s="1933">
        <f>+'5. mell.Önk-i mérleg'!I132</f>
        <v>0</v>
      </c>
      <c r="I132" s="1933">
        <f>+'5. mell.Önk-i mérleg'!J132</f>
        <v>0</v>
      </c>
      <c r="J132" s="1954">
        <f>+'6. mell (Bontás)'!J132</f>
        <v>0</v>
      </c>
      <c r="K132" s="1954">
        <f>+'6. mell (Bontás)'!K132</f>
        <v>0</v>
      </c>
      <c r="L132" s="1954">
        <f>+'6. mell (Bontás)'!L132</f>
        <v>0</v>
      </c>
      <c r="M132" s="1954">
        <f>+'6. mell (Bontás)'!M132</f>
        <v>0</v>
      </c>
      <c r="N132" s="1954">
        <f>+'6. mell (Bontás)'!N132</f>
        <v>0</v>
      </c>
      <c r="O132" s="1954">
        <f>+'6. mell (Bontás)'!O132</f>
        <v>0</v>
      </c>
      <c r="P132" s="1954">
        <f>+'6. mell (Bontás)'!P132</f>
        <v>0</v>
      </c>
      <c r="Q132" s="1954">
        <f>+'6. mell (Bontás)'!Q132</f>
        <v>0</v>
      </c>
      <c r="R132" s="1954">
        <f>+'6. mell (Bontás)'!R132</f>
        <v>0</v>
      </c>
      <c r="S132" s="1954">
        <f>+'6. mell (Bontás)'!S132</f>
        <v>0</v>
      </c>
      <c r="T132" s="1954">
        <f>+'6. mell (Bontás)'!T132</f>
        <v>0</v>
      </c>
      <c r="U132" s="1954">
        <f>+'6. mell (Bontás)'!U132</f>
        <v>0</v>
      </c>
      <c r="V132" s="2488">
        <f>+'6. mell (Bontás)'!V132</f>
        <v>0</v>
      </c>
      <c r="W132" s="1954">
        <f>+'6. mell (Bontás)'!W132</f>
        <v>0</v>
      </c>
      <c r="X132" s="1954">
        <f>+'6. mell (Bontás)'!X132</f>
        <v>0</v>
      </c>
      <c r="Y132" s="1954">
        <f>+'6. mell (Bontás)'!Y132</f>
        <v>0</v>
      </c>
      <c r="Z132" s="1954">
        <f>+'6. mell (Bontás)'!Z132</f>
        <v>0</v>
      </c>
      <c r="AA132" s="1954">
        <f>+'6. mell (Bontás)'!AA132</f>
        <v>0</v>
      </c>
      <c r="AB132" s="2495">
        <f t="shared" si="94"/>
        <v>0</v>
      </c>
      <c r="AC132" s="2495">
        <f t="shared" si="94"/>
        <v>0</v>
      </c>
      <c r="AD132" s="2495">
        <f t="shared" si="94"/>
        <v>0</v>
      </c>
      <c r="AE132" s="2495">
        <f t="shared" si="94"/>
        <v>0</v>
      </c>
      <c r="AF132" s="2495">
        <f t="shared" si="94"/>
        <v>0</v>
      </c>
      <c r="AG132" s="2495">
        <f t="shared" si="94"/>
        <v>0</v>
      </c>
      <c r="AH132" s="999">
        <f t="shared" si="68"/>
        <v>0</v>
      </c>
      <c r="AI132" s="999">
        <f t="shared" si="69"/>
        <v>0</v>
      </c>
      <c r="AJ132" s="999">
        <f t="shared" si="70"/>
        <v>0</v>
      </c>
      <c r="AK132" s="999">
        <f t="shared" si="71"/>
        <v>0</v>
      </c>
      <c r="AL132" s="999">
        <f t="shared" si="72"/>
        <v>0</v>
      </c>
      <c r="AM132" s="2214">
        <f t="shared" si="73"/>
        <v>0</v>
      </c>
    </row>
    <row r="133" spans="1:39">
      <c r="A133" s="1928" t="s">
        <v>19</v>
      </c>
      <c r="B133" s="1935" t="s">
        <v>368</v>
      </c>
      <c r="C133" s="1930">
        <f t="shared" ref="C133:AG133" si="95">+C134+C135+C136+C137</f>
        <v>0</v>
      </c>
      <c r="D133" s="1930">
        <f t="shared" si="95"/>
        <v>0</v>
      </c>
      <c r="E133" s="1930">
        <f t="shared" si="95"/>
        <v>0</v>
      </c>
      <c r="F133" s="1930">
        <f t="shared" si="95"/>
        <v>0</v>
      </c>
      <c r="G133" s="1930">
        <f t="shared" si="95"/>
        <v>4999090000</v>
      </c>
      <c r="H133" s="1930">
        <f t="shared" si="95"/>
        <v>4999090000</v>
      </c>
      <c r="I133" s="1930">
        <f t="shared" si="95"/>
        <v>4999090000</v>
      </c>
      <c r="J133" s="1930">
        <f t="shared" si="95"/>
        <v>0</v>
      </c>
      <c r="K133" s="1930">
        <f t="shared" si="95"/>
        <v>0</v>
      </c>
      <c r="L133" s="1930">
        <f t="shared" si="95"/>
        <v>0</v>
      </c>
      <c r="M133" s="1930">
        <f t="shared" si="95"/>
        <v>4999090000</v>
      </c>
      <c r="N133" s="1930">
        <f t="shared" si="95"/>
        <v>4999090000</v>
      </c>
      <c r="O133" s="1930">
        <f t="shared" si="95"/>
        <v>4999090000</v>
      </c>
      <c r="P133" s="1930">
        <f t="shared" si="95"/>
        <v>0</v>
      </c>
      <c r="Q133" s="1930">
        <f t="shared" si="95"/>
        <v>0</v>
      </c>
      <c r="R133" s="1930">
        <f t="shared" si="95"/>
        <v>0</v>
      </c>
      <c r="S133" s="1930">
        <f t="shared" si="95"/>
        <v>0</v>
      </c>
      <c r="T133" s="1930">
        <f t="shared" si="95"/>
        <v>0</v>
      </c>
      <c r="U133" s="1930">
        <f t="shared" si="95"/>
        <v>0</v>
      </c>
      <c r="V133" s="2481">
        <f t="shared" si="95"/>
        <v>0</v>
      </c>
      <c r="W133" s="1930">
        <f t="shared" si="95"/>
        <v>0</v>
      </c>
      <c r="X133" s="1930">
        <f t="shared" si="95"/>
        <v>0</v>
      </c>
      <c r="Y133" s="1930">
        <f t="shared" si="95"/>
        <v>0</v>
      </c>
      <c r="Z133" s="1930">
        <f t="shared" si="95"/>
        <v>0</v>
      </c>
      <c r="AA133" s="1930">
        <f t="shared" si="95"/>
        <v>0</v>
      </c>
      <c r="AB133" s="1930">
        <f t="shared" si="95"/>
        <v>0</v>
      </c>
      <c r="AC133" s="1930">
        <f t="shared" si="95"/>
        <v>0</v>
      </c>
      <c r="AD133" s="1930">
        <f t="shared" si="95"/>
        <v>0</v>
      </c>
      <c r="AE133" s="1930">
        <f t="shared" si="95"/>
        <v>4999090000</v>
      </c>
      <c r="AF133" s="1930">
        <f t="shared" si="95"/>
        <v>4999090000</v>
      </c>
      <c r="AG133" s="1930">
        <f t="shared" si="95"/>
        <v>4999090000</v>
      </c>
      <c r="AH133" s="999">
        <f t="shared" si="68"/>
        <v>0</v>
      </c>
      <c r="AI133" s="999">
        <f t="shared" si="69"/>
        <v>0</v>
      </c>
      <c r="AJ133" s="999">
        <f t="shared" si="70"/>
        <v>0</v>
      </c>
      <c r="AK133" s="999">
        <f t="shared" si="71"/>
        <v>0</v>
      </c>
      <c r="AL133" s="999">
        <f t="shared" si="72"/>
        <v>0</v>
      </c>
      <c r="AM133" s="2214">
        <f t="shared" si="73"/>
        <v>0</v>
      </c>
    </row>
    <row r="134" spans="1:39">
      <c r="A134" s="1931" t="s">
        <v>246</v>
      </c>
      <c r="B134" s="1952" t="s">
        <v>369</v>
      </c>
      <c r="C134" s="1933">
        <f>+'5. mell.Önk-i mérleg'!C134</f>
        <v>0</v>
      </c>
      <c r="D134" s="1933">
        <f>+'5. mell.Önk-i mérleg'!E134</f>
        <v>0</v>
      </c>
      <c r="E134" s="1933">
        <f>+'5. mell.Önk-i mérleg'!F134</f>
        <v>0</v>
      </c>
      <c r="F134" s="1933">
        <f>+'5. mell.Önk-i mérleg'!G134</f>
        <v>0</v>
      </c>
      <c r="G134" s="1933">
        <f>+'5. mell.Önk-i mérleg'!H134</f>
        <v>4999090000</v>
      </c>
      <c r="H134" s="1933">
        <f>+'5. mell.Önk-i mérleg'!I134</f>
        <v>4999090000</v>
      </c>
      <c r="I134" s="1933">
        <f>+'5. mell.Önk-i mérleg'!J134</f>
        <v>4999090000</v>
      </c>
      <c r="J134" s="1954">
        <f>+'6. mell (Bontás)'!J134</f>
        <v>0</v>
      </c>
      <c r="K134" s="1954">
        <f>+'6. mell (Bontás)'!K134</f>
        <v>0</v>
      </c>
      <c r="L134" s="1954">
        <f>+'6. mell (Bontás)'!L134</f>
        <v>0</v>
      </c>
      <c r="M134" s="1954">
        <f>+'6. mell (Bontás)'!M134</f>
        <v>4999090000</v>
      </c>
      <c r="N134" s="1954">
        <f>+'6. mell (Bontás)'!N134</f>
        <v>4999090000</v>
      </c>
      <c r="O134" s="1954">
        <f>+'6. mell (Bontás)'!O134</f>
        <v>4999090000</v>
      </c>
      <c r="P134" s="1954">
        <f>+'6. mell (Bontás)'!P134</f>
        <v>0</v>
      </c>
      <c r="Q134" s="1954">
        <f>+'6. mell (Bontás)'!Q134</f>
        <v>0</v>
      </c>
      <c r="R134" s="1954">
        <f>+'6. mell (Bontás)'!R134</f>
        <v>0</v>
      </c>
      <c r="S134" s="1954">
        <f>+'6. mell (Bontás)'!S134</f>
        <v>0</v>
      </c>
      <c r="T134" s="1954">
        <f>+'6. mell (Bontás)'!T134</f>
        <v>0</v>
      </c>
      <c r="U134" s="1954">
        <f>+'6. mell (Bontás)'!U134</f>
        <v>0</v>
      </c>
      <c r="V134" s="2488">
        <f>+'6. mell (Bontás)'!V134</f>
        <v>0</v>
      </c>
      <c r="W134" s="1954">
        <f>+'6. mell (Bontás)'!W134</f>
        <v>0</v>
      </c>
      <c r="X134" s="1954">
        <f>+'6. mell (Bontás)'!X134</f>
        <v>0</v>
      </c>
      <c r="Y134" s="1954">
        <f>+'6. mell (Bontás)'!Y134</f>
        <v>0</v>
      </c>
      <c r="Z134" s="1954">
        <f>+'6. mell (Bontás)'!Z134</f>
        <v>0</v>
      </c>
      <c r="AA134" s="1954">
        <f>+'6. mell (Bontás)'!AA134</f>
        <v>0</v>
      </c>
      <c r="AB134" s="2495">
        <f t="shared" ref="AB134:AG137" si="96">+J134+P134+V134</f>
        <v>0</v>
      </c>
      <c r="AC134" s="2495">
        <f t="shared" si="96"/>
        <v>0</v>
      </c>
      <c r="AD134" s="2495">
        <f t="shared" si="96"/>
        <v>0</v>
      </c>
      <c r="AE134" s="2495">
        <f t="shared" si="96"/>
        <v>4999090000</v>
      </c>
      <c r="AF134" s="2495">
        <f t="shared" si="96"/>
        <v>4999090000</v>
      </c>
      <c r="AG134" s="2495">
        <f t="shared" si="96"/>
        <v>4999090000</v>
      </c>
      <c r="AH134" s="999">
        <f t="shared" si="68"/>
        <v>0</v>
      </c>
      <c r="AI134" s="999">
        <f t="shared" si="69"/>
        <v>0</v>
      </c>
      <c r="AJ134" s="999">
        <f t="shared" si="70"/>
        <v>0</v>
      </c>
      <c r="AK134" s="999">
        <f t="shared" si="71"/>
        <v>0</v>
      </c>
      <c r="AL134" s="999">
        <f t="shared" si="72"/>
        <v>0</v>
      </c>
      <c r="AM134" s="2214">
        <f t="shared" si="73"/>
        <v>0</v>
      </c>
    </row>
    <row r="135" spans="1:39">
      <c r="A135" s="1931" t="s">
        <v>248</v>
      </c>
      <c r="B135" s="1952" t="s">
        <v>370</v>
      </c>
      <c r="C135" s="1933">
        <f>+'5. mell.Önk-i mérleg'!C135</f>
        <v>0</v>
      </c>
      <c r="D135" s="1933">
        <f>+'5. mell.Önk-i mérleg'!E135</f>
        <v>0</v>
      </c>
      <c r="E135" s="1933">
        <f>+'5. mell.Önk-i mérleg'!F135</f>
        <v>0</v>
      </c>
      <c r="F135" s="1933">
        <f>+'5. mell.Önk-i mérleg'!G135</f>
        <v>0</v>
      </c>
      <c r="G135" s="1933">
        <f>+'5. mell.Önk-i mérleg'!H135</f>
        <v>0</v>
      </c>
      <c r="H135" s="1933">
        <f>+'5. mell.Önk-i mérleg'!I135</f>
        <v>0</v>
      </c>
      <c r="I135" s="1933">
        <f>+'5. mell.Önk-i mérleg'!J135</f>
        <v>0</v>
      </c>
      <c r="J135" s="1954">
        <f>+'6. mell (Bontás)'!J135</f>
        <v>0</v>
      </c>
      <c r="K135" s="1954">
        <f>+'6. mell (Bontás)'!K135</f>
        <v>0</v>
      </c>
      <c r="L135" s="1954">
        <f>+'6. mell (Bontás)'!L135</f>
        <v>0</v>
      </c>
      <c r="M135" s="1954">
        <f>+'6. mell (Bontás)'!M135</f>
        <v>0</v>
      </c>
      <c r="N135" s="1954">
        <f>+'6. mell (Bontás)'!N135</f>
        <v>0</v>
      </c>
      <c r="O135" s="1954">
        <f>+'6. mell (Bontás)'!O135</f>
        <v>0</v>
      </c>
      <c r="P135" s="1954">
        <f>+'6. mell (Bontás)'!P135</f>
        <v>0</v>
      </c>
      <c r="Q135" s="1954">
        <f>+'6. mell (Bontás)'!Q135</f>
        <v>0</v>
      </c>
      <c r="R135" s="1954">
        <f>+'6. mell (Bontás)'!R135</f>
        <v>0</v>
      </c>
      <c r="S135" s="1954">
        <f>+'6. mell (Bontás)'!S135</f>
        <v>0</v>
      </c>
      <c r="T135" s="1954">
        <f>+'6. mell (Bontás)'!T135</f>
        <v>0</v>
      </c>
      <c r="U135" s="1954">
        <f>+'6. mell (Bontás)'!U135</f>
        <v>0</v>
      </c>
      <c r="V135" s="2488">
        <f>+'6. mell (Bontás)'!V135</f>
        <v>0</v>
      </c>
      <c r="W135" s="1954">
        <f>+'6. mell (Bontás)'!W135</f>
        <v>0</v>
      </c>
      <c r="X135" s="1954">
        <f>+'6. mell (Bontás)'!X135</f>
        <v>0</v>
      </c>
      <c r="Y135" s="1954">
        <f>+'6. mell (Bontás)'!Y135</f>
        <v>0</v>
      </c>
      <c r="Z135" s="1954">
        <f>+'6. mell (Bontás)'!Z135</f>
        <v>0</v>
      </c>
      <c r="AA135" s="1954">
        <f>+'6. mell (Bontás)'!AA135</f>
        <v>0</v>
      </c>
      <c r="AB135" s="2495">
        <f t="shared" si="96"/>
        <v>0</v>
      </c>
      <c r="AC135" s="2495">
        <f t="shared" si="96"/>
        <v>0</v>
      </c>
      <c r="AD135" s="2495">
        <f t="shared" si="96"/>
        <v>0</v>
      </c>
      <c r="AE135" s="2495">
        <f t="shared" si="96"/>
        <v>0</v>
      </c>
      <c r="AF135" s="2495">
        <f t="shared" si="96"/>
        <v>0</v>
      </c>
      <c r="AG135" s="2495">
        <f t="shared" si="96"/>
        <v>0</v>
      </c>
      <c r="AH135" s="999">
        <f t="shared" si="68"/>
        <v>0</v>
      </c>
      <c r="AI135" s="999">
        <f t="shared" si="69"/>
        <v>0</v>
      </c>
      <c r="AJ135" s="999">
        <f t="shared" si="70"/>
        <v>0</v>
      </c>
      <c r="AK135" s="999">
        <f t="shared" si="71"/>
        <v>0</v>
      </c>
      <c r="AL135" s="999">
        <f t="shared" si="72"/>
        <v>0</v>
      </c>
      <c r="AM135" s="2214">
        <f t="shared" si="73"/>
        <v>0</v>
      </c>
    </row>
    <row r="136" spans="1:39">
      <c r="A136" s="1931" t="s">
        <v>250</v>
      </c>
      <c r="B136" s="1952" t="s">
        <v>371</v>
      </c>
      <c r="C136" s="1933">
        <f>+'5. mell.Önk-i mérleg'!C136</f>
        <v>0</v>
      </c>
      <c r="D136" s="1933">
        <f>+'5. mell.Önk-i mérleg'!E136</f>
        <v>0</v>
      </c>
      <c r="E136" s="1933">
        <f>+'5. mell.Önk-i mérleg'!F136</f>
        <v>0</v>
      </c>
      <c r="F136" s="1933">
        <f>+'5. mell.Önk-i mérleg'!G136</f>
        <v>0</v>
      </c>
      <c r="G136" s="1933">
        <f>+'5. mell.Önk-i mérleg'!H136</f>
        <v>0</v>
      </c>
      <c r="H136" s="1933">
        <f>+'5. mell.Önk-i mérleg'!I136</f>
        <v>0</v>
      </c>
      <c r="I136" s="1933">
        <f>+'5. mell.Önk-i mérleg'!J136</f>
        <v>0</v>
      </c>
      <c r="J136" s="1954">
        <f>+'6. mell (Bontás)'!J136</f>
        <v>0</v>
      </c>
      <c r="K136" s="1954">
        <f>+'6. mell (Bontás)'!K136</f>
        <v>0</v>
      </c>
      <c r="L136" s="1954">
        <f>+'6. mell (Bontás)'!L136</f>
        <v>0</v>
      </c>
      <c r="M136" s="1954">
        <f>+'6. mell (Bontás)'!M136</f>
        <v>0</v>
      </c>
      <c r="N136" s="1954">
        <f>+'6. mell (Bontás)'!N136</f>
        <v>0</v>
      </c>
      <c r="O136" s="1954">
        <f>+'6. mell (Bontás)'!O136</f>
        <v>0</v>
      </c>
      <c r="P136" s="1954">
        <f>+'6. mell (Bontás)'!P136</f>
        <v>0</v>
      </c>
      <c r="Q136" s="1954">
        <f>+'6. mell (Bontás)'!Q136</f>
        <v>0</v>
      </c>
      <c r="R136" s="1954">
        <f>+'6. mell (Bontás)'!R136</f>
        <v>0</v>
      </c>
      <c r="S136" s="1954">
        <f>+'6. mell (Bontás)'!S136</f>
        <v>0</v>
      </c>
      <c r="T136" s="1954">
        <f>+'6. mell (Bontás)'!T136</f>
        <v>0</v>
      </c>
      <c r="U136" s="1954">
        <f>+'6. mell (Bontás)'!U136</f>
        <v>0</v>
      </c>
      <c r="V136" s="2488">
        <f>+'6. mell (Bontás)'!V136</f>
        <v>0</v>
      </c>
      <c r="W136" s="1954">
        <f>+'6. mell (Bontás)'!W136</f>
        <v>0</v>
      </c>
      <c r="X136" s="1954">
        <f>+'6. mell (Bontás)'!X136</f>
        <v>0</v>
      </c>
      <c r="Y136" s="1954">
        <f>+'6. mell (Bontás)'!Y136</f>
        <v>0</v>
      </c>
      <c r="Z136" s="1954">
        <f>+'6. mell (Bontás)'!Z136</f>
        <v>0</v>
      </c>
      <c r="AA136" s="1954">
        <f>+'6. mell (Bontás)'!AA136</f>
        <v>0</v>
      </c>
      <c r="AB136" s="2495">
        <f t="shared" si="96"/>
        <v>0</v>
      </c>
      <c r="AC136" s="2495">
        <f t="shared" si="96"/>
        <v>0</v>
      </c>
      <c r="AD136" s="2495">
        <f t="shared" si="96"/>
        <v>0</v>
      </c>
      <c r="AE136" s="2495">
        <f t="shared" si="96"/>
        <v>0</v>
      </c>
      <c r="AF136" s="2495">
        <f t="shared" si="96"/>
        <v>0</v>
      </c>
      <c r="AG136" s="2495">
        <f t="shared" si="96"/>
        <v>0</v>
      </c>
      <c r="AH136" s="999">
        <f t="shared" si="68"/>
        <v>0</v>
      </c>
      <c r="AI136" s="999">
        <f t="shared" si="69"/>
        <v>0</v>
      </c>
      <c r="AJ136" s="999">
        <f t="shared" si="70"/>
        <v>0</v>
      </c>
      <c r="AK136" s="999">
        <f t="shared" si="71"/>
        <v>0</v>
      </c>
      <c r="AL136" s="999">
        <f t="shared" si="72"/>
        <v>0</v>
      </c>
      <c r="AM136" s="2214">
        <f t="shared" si="73"/>
        <v>0</v>
      </c>
    </row>
    <row r="137" spans="1:39">
      <c r="A137" s="1931" t="s">
        <v>251</v>
      </c>
      <c r="B137" s="1952" t="s">
        <v>372</v>
      </c>
      <c r="C137" s="1933">
        <f>+'5. mell.Önk-i mérleg'!C137</f>
        <v>0</v>
      </c>
      <c r="D137" s="1933">
        <f>+'5. mell.Önk-i mérleg'!E137</f>
        <v>0</v>
      </c>
      <c r="E137" s="1933">
        <f>+'5. mell.Önk-i mérleg'!F137</f>
        <v>0</v>
      </c>
      <c r="F137" s="1933">
        <f>+'5. mell.Önk-i mérleg'!G137</f>
        <v>0</v>
      </c>
      <c r="G137" s="1933">
        <f>+'5. mell.Önk-i mérleg'!H137</f>
        <v>0</v>
      </c>
      <c r="H137" s="1933">
        <f>+'5. mell.Önk-i mérleg'!I137</f>
        <v>0</v>
      </c>
      <c r="I137" s="1933">
        <f>+'5. mell.Önk-i mérleg'!J137</f>
        <v>0</v>
      </c>
      <c r="J137" s="1954">
        <f>+'6. mell (Bontás)'!J137</f>
        <v>0</v>
      </c>
      <c r="K137" s="1954">
        <f>+'6. mell (Bontás)'!K137</f>
        <v>0</v>
      </c>
      <c r="L137" s="1954">
        <f>+'6. mell (Bontás)'!L137</f>
        <v>0</v>
      </c>
      <c r="M137" s="1954">
        <f>+'6. mell (Bontás)'!M137</f>
        <v>0</v>
      </c>
      <c r="N137" s="1954">
        <f>+'6. mell (Bontás)'!N137</f>
        <v>0</v>
      </c>
      <c r="O137" s="1954">
        <f>+'6. mell (Bontás)'!O137</f>
        <v>0</v>
      </c>
      <c r="P137" s="1954">
        <f>+'6. mell (Bontás)'!P137</f>
        <v>0</v>
      </c>
      <c r="Q137" s="1954">
        <f>+'6. mell (Bontás)'!Q137</f>
        <v>0</v>
      </c>
      <c r="R137" s="1954">
        <f>+'6. mell (Bontás)'!R137</f>
        <v>0</v>
      </c>
      <c r="S137" s="1954">
        <f>+'6. mell (Bontás)'!S137</f>
        <v>0</v>
      </c>
      <c r="T137" s="1954">
        <f>+'6. mell (Bontás)'!T137</f>
        <v>0</v>
      </c>
      <c r="U137" s="1954">
        <f>+'6. mell (Bontás)'!U137</f>
        <v>0</v>
      </c>
      <c r="V137" s="2488">
        <f>+'6. mell (Bontás)'!V137</f>
        <v>0</v>
      </c>
      <c r="W137" s="1954">
        <f>+'6. mell (Bontás)'!W137</f>
        <v>0</v>
      </c>
      <c r="X137" s="1954">
        <f>+'6. mell (Bontás)'!X137</f>
        <v>0</v>
      </c>
      <c r="Y137" s="1954">
        <f>+'6. mell (Bontás)'!Y137</f>
        <v>0</v>
      </c>
      <c r="Z137" s="1954">
        <f>+'6. mell (Bontás)'!Z137</f>
        <v>0</v>
      </c>
      <c r="AA137" s="1954">
        <f>+'6. mell (Bontás)'!AA137</f>
        <v>0</v>
      </c>
      <c r="AB137" s="2495">
        <f t="shared" si="96"/>
        <v>0</v>
      </c>
      <c r="AC137" s="2495">
        <f t="shared" si="96"/>
        <v>0</v>
      </c>
      <c r="AD137" s="2495">
        <f t="shared" si="96"/>
        <v>0</v>
      </c>
      <c r="AE137" s="2495">
        <f t="shared" si="96"/>
        <v>0</v>
      </c>
      <c r="AF137" s="2495">
        <f t="shared" si="96"/>
        <v>0</v>
      </c>
      <c r="AG137" s="2495">
        <f t="shared" si="96"/>
        <v>0</v>
      </c>
      <c r="AH137" s="999">
        <f t="shared" si="68"/>
        <v>0</v>
      </c>
      <c r="AI137" s="999">
        <f t="shared" si="69"/>
        <v>0</v>
      </c>
      <c r="AJ137" s="999">
        <f t="shared" si="70"/>
        <v>0</v>
      </c>
      <c r="AK137" s="999">
        <f t="shared" si="71"/>
        <v>0</v>
      </c>
      <c r="AL137" s="999">
        <f t="shared" si="72"/>
        <v>0</v>
      </c>
      <c r="AM137" s="2214">
        <f t="shared" si="73"/>
        <v>0</v>
      </c>
    </row>
    <row r="138" spans="1:39">
      <c r="A138" s="1928" t="s">
        <v>21</v>
      </c>
      <c r="B138" s="1935" t="s">
        <v>373</v>
      </c>
      <c r="C138" s="1930">
        <f t="shared" ref="C138:AG138" si="97">+C139+C140+C141+C142</f>
        <v>8224610505</v>
      </c>
      <c r="D138" s="1930">
        <f t="shared" si="97"/>
        <v>5534974099</v>
      </c>
      <c r="E138" s="1930">
        <f t="shared" si="97"/>
        <v>5534974099</v>
      </c>
      <c r="F138" s="1930">
        <f t="shared" si="97"/>
        <v>6908638915</v>
      </c>
      <c r="G138" s="1930">
        <f t="shared" si="97"/>
        <v>8429921587</v>
      </c>
      <c r="H138" s="1930">
        <f t="shared" si="97"/>
        <v>8429921587</v>
      </c>
      <c r="I138" s="1930">
        <f t="shared" si="97"/>
        <v>8429921587</v>
      </c>
      <c r="J138" s="1930">
        <f t="shared" si="97"/>
        <v>5534974099</v>
      </c>
      <c r="K138" s="1930">
        <f t="shared" si="97"/>
        <v>5534974099</v>
      </c>
      <c r="L138" s="1930">
        <f t="shared" si="97"/>
        <v>6908638915</v>
      </c>
      <c r="M138" s="1930">
        <f t="shared" si="97"/>
        <v>8429921587</v>
      </c>
      <c r="N138" s="1930">
        <f t="shared" si="97"/>
        <v>8429921587</v>
      </c>
      <c r="O138" s="1930">
        <f t="shared" si="97"/>
        <v>8429921587</v>
      </c>
      <c r="P138" s="1930">
        <f t="shared" si="97"/>
        <v>0</v>
      </c>
      <c r="Q138" s="1930">
        <f t="shared" si="97"/>
        <v>0</v>
      </c>
      <c r="R138" s="1930">
        <f t="shared" si="97"/>
        <v>0</v>
      </c>
      <c r="S138" s="1930">
        <f t="shared" si="97"/>
        <v>0</v>
      </c>
      <c r="T138" s="1930">
        <f t="shared" si="97"/>
        <v>0</v>
      </c>
      <c r="U138" s="1930">
        <f t="shared" si="97"/>
        <v>0</v>
      </c>
      <c r="V138" s="2481">
        <f t="shared" si="97"/>
        <v>0</v>
      </c>
      <c r="W138" s="1930">
        <f t="shared" si="97"/>
        <v>0</v>
      </c>
      <c r="X138" s="1930">
        <f t="shared" si="97"/>
        <v>0</v>
      </c>
      <c r="Y138" s="1930">
        <f t="shared" si="97"/>
        <v>0</v>
      </c>
      <c r="Z138" s="1930">
        <f t="shared" si="97"/>
        <v>0</v>
      </c>
      <c r="AA138" s="1930">
        <f t="shared" si="97"/>
        <v>0</v>
      </c>
      <c r="AB138" s="1930">
        <f t="shared" si="97"/>
        <v>5534974099</v>
      </c>
      <c r="AC138" s="1930">
        <f t="shared" si="97"/>
        <v>5534974099</v>
      </c>
      <c r="AD138" s="1930">
        <f t="shared" si="97"/>
        <v>6908638915</v>
      </c>
      <c r="AE138" s="1930">
        <f t="shared" si="97"/>
        <v>8429921587</v>
      </c>
      <c r="AF138" s="1930">
        <f t="shared" si="97"/>
        <v>8429921587</v>
      </c>
      <c r="AG138" s="1930">
        <f t="shared" si="97"/>
        <v>8429921587</v>
      </c>
      <c r="AH138" s="999">
        <f t="shared" si="68"/>
        <v>0</v>
      </c>
      <c r="AI138" s="999">
        <f t="shared" si="69"/>
        <v>0</v>
      </c>
      <c r="AJ138" s="999">
        <f t="shared" si="70"/>
        <v>0</v>
      </c>
      <c r="AK138" s="999">
        <f t="shared" si="71"/>
        <v>0</v>
      </c>
      <c r="AL138" s="999">
        <f t="shared" si="72"/>
        <v>0</v>
      </c>
      <c r="AM138" s="2214">
        <f t="shared" si="73"/>
        <v>0</v>
      </c>
    </row>
    <row r="139" spans="1:39">
      <c r="A139" s="1931" t="s">
        <v>257</v>
      </c>
      <c r="B139" s="1950" t="s">
        <v>374</v>
      </c>
      <c r="C139" s="1933">
        <f>+'5. mell.Önk-i mérleg'!C139</f>
        <v>0</v>
      </c>
      <c r="D139" s="1933">
        <f>+'5. mell.Önk-i mérleg'!E139</f>
        <v>0</v>
      </c>
      <c r="E139" s="1933">
        <f>+'5. mell.Önk-i mérleg'!F139</f>
        <v>0</v>
      </c>
      <c r="F139" s="1933">
        <f>+'5. mell.Önk-i mérleg'!G139</f>
        <v>0</v>
      </c>
      <c r="G139" s="1933">
        <f>+'5. mell.Önk-i mérleg'!H139</f>
        <v>0</v>
      </c>
      <c r="H139" s="1933">
        <f>+'5. mell.Önk-i mérleg'!I139</f>
        <v>0</v>
      </c>
      <c r="I139" s="1933">
        <f>+'5. mell.Önk-i mérleg'!J139</f>
        <v>0</v>
      </c>
      <c r="J139" s="1954">
        <f>+'6. mell (Bontás)'!J139</f>
        <v>0</v>
      </c>
      <c r="K139" s="1954">
        <f>+'6. mell (Bontás)'!K139</f>
        <v>0</v>
      </c>
      <c r="L139" s="1954">
        <f>+'6. mell (Bontás)'!L139</f>
        <v>0</v>
      </c>
      <c r="M139" s="1954">
        <f>+'6. mell (Bontás)'!M139</f>
        <v>0</v>
      </c>
      <c r="N139" s="1954">
        <f>+'6. mell (Bontás)'!N139</f>
        <v>0</v>
      </c>
      <c r="O139" s="1954">
        <f>+'6. mell (Bontás)'!O139</f>
        <v>0</v>
      </c>
      <c r="P139" s="1954">
        <f>+'6. mell (Bontás)'!P139</f>
        <v>0</v>
      </c>
      <c r="Q139" s="1954">
        <f>+'6. mell (Bontás)'!Q139</f>
        <v>0</v>
      </c>
      <c r="R139" s="1954">
        <f>+'6. mell (Bontás)'!R139</f>
        <v>0</v>
      </c>
      <c r="S139" s="1954">
        <f>+'6. mell (Bontás)'!S139</f>
        <v>0</v>
      </c>
      <c r="T139" s="1954">
        <f>+'6. mell (Bontás)'!T139</f>
        <v>0</v>
      </c>
      <c r="U139" s="1954">
        <f>+'6. mell (Bontás)'!U139</f>
        <v>0</v>
      </c>
      <c r="V139" s="2488">
        <f>+'6. mell (Bontás)'!V139</f>
        <v>0</v>
      </c>
      <c r="W139" s="1954">
        <f>+'6. mell (Bontás)'!W139</f>
        <v>0</v>
      </c>
      <c r="X139" s="1954">
        <f>+'6. mell (Bontás)'!X139</f>
        <v>0</v>
      </c>
      <c r="Y139" s="1954">
        <f>+'6. mell (Bontás)'!Y139</f>
        <v>0</v>
      </c>
      <c r="Z139" s="1954">
        <f>+'6. mell (Bontás)'!Z139</f>
        <v>0</v>
      </c>
      <c r="AA139" s="1954">
        <f>+'6. mell (Bontás)'!AA139</f>
        <v>0</v>
      </c>
      <c r="AB139" s="2495">
        <f t="shared" ref="AB139:AB147" si="98">+J139+P139+V139</f>
        <v>0</v>
      </c>
      <c r="AC139" s="2495">
        <f t="shared" ref="AC139:AG142" si="99">+K139+Q139+W139</f>
        <v>0</v>
      </c>
      <c r="AD139" s="2495">
        <f t="shared" si="99"/>
        <v>0</v>
      </c>
      <c r="AE139" s="2495">
        <f t="shared" si="99"/>
        <v>0</v>
      </c>
      <c r="AF139" s="2495">
        <f t="shared" si="99"/>
        <v>0</v>
      </c>
      <c r="AG139" s="2495">
        <f t="shared" si="99"/>
        <v>0</v>
      </c>
      <c r="AH139" s="999">
        <f t="shared" si="68"/>
        <v>0</v>
      </c>
      <c r="AI139" s="999">
        <f t="shared" si="69"/>
        <v>0</v>
      </c>
      <c r="AJ139" s="999">
        <f t="shared" si="70"/>
        <v>0</v>
      </c>
      <c r="AK139" s="999">
        <f t="shared" si="71"/>
        <v>0</v>
      </c>
      <c r="AL139" s="999">
        <f t="shared" si="72"/>
        <v>0</v>
      </c>
      <c r="AM139" s="2214">
        <f t="shared" si="73"/>
        <v>0</v>
      </c>
    </row>
    <row r="140" spans="1:39">
      <c r="A140" s="1931" t="s">
        <v>259</v>
      </c>
      <c r="B140" s="1950" t="s">
        <v>375</v>
      </c>
      <c r="C140" s="1933">
        <f>+'5. mell.Önk-i mérleg'!C140</f>
        <v>224610505</v>
      </c>
      <c r="D140" s="1933">
        <f>+'5. mell.Önk-i mérleg'!E140</f>
        <v>34974099</v>
      </c>
      <c r="E140" s="1933">
        <f>+'5. mell.Önk-i mérleg'!F140</f>
        <v>34974099</v>
      </c>
      <c r="F140" s="1933">
        <f>+'5. mell.Önk-i mérleg'!G140</f>
        <v>1408638915</v>
      </c>
      <c r="G140" s="1933">
        <f>+'5. mell.Önk-i mérleg'!H140</f>
        <v>1729921587</v>
      </c>
      <c r="H140" s="1933">
        <f>+'5. mell.Önk-i mérleg'!I140</f>
        <v>1729921587</v>
      </c>
      <c r="I140" s="1933">
        <f>+'5. mell.Önk-i mérleg'!J140</f>
        <v>1729921587</v>
      </c>
      <c r="J140" s="1954">
        <f>+'6. mell (Bontás)'!J140</f>
        <v>34974099</v>
      </c>
      <c r="K140" s="1954">
        <f>+'6. mell (Bontás)'!K140</f>
        <v>34974099</v>
      </c>
      <c r="L140" s="1954">
        <f>+'6. mell (Bontás)'!L140</f>
        <v>1408638915</v>
      </c>
      <c r="M140" s="1954">
        <f>+'6. mell (Bontás)'!M140</f>
        <v>1729921587</v>
      </c>
      <c r="N140" s="1954">
        <f>+'6. mell (Bontás)'!N140</f>
        <v>1729921587</v>
      </c>
      <c r="O140" s="1954">
        <f>+'6. mell (Bontás)'!O140</f>
        <v>1729921587</v>
      </c>
      <c r="P140" s="1954">
        <f>+'6. mell (Bontás)'!P140</f>
        <v>0</v>
      </c>
      <c r="Q140" s="1954">
        <f>+'6. mell (Bontás)'!Q140</f>
        <v>0</v>
      </c>
      <c r="R140" s="1954">
        <f>+'6. mell (Bontás)'!R140</f>
        <v>0</v>
      </c>
      <c r="S140" s="1954">
        <f>+'6. mell (Bontás)'!S140</f>
        <v>0</v>
      </c>
      <c r="T140" s="1954">
        <f>+'6. mell (Bontás)'!T140</f>
        <v>0</v>
      </c>
      <c r="U140" s="1954">
        <f>+'6. mell (Bontás)'!U140</f>
        <v>0</v>
      </c>
      <c r="V140" s="2488">
        <f>+'6. mell (Bontás)'!V140</f>
        <v>0</v>
      </c>
      <c r="W140" s="1954">
        <f>+'6. mell (Bontás)'!W140</f>
        <v>0</v>
      </c>
      <c r="X140" s="1954">
        <f>+'6. mell (Bontás)'!X140</f>
        <v>0</v>
      </c>
      <c r="Y140" s="1954">
        <f>+'6. mell (Bontás)'!Y140</f>
        <v>0</v>
      </c>
      <c r="Z140" s="1954">
        <f>+'6. mell (Bontás)'!Z140</f>
        <v>0</v>
      </c>
      <c r="AA140" s="1954">
        <f>+'6. mell (Bontás)'!AA140</f>
        <v>0</v>
      </c>
      <c r="AB140" s="2495">
        <f t="shared" si="98"/>
        <v>34974099</v>
      </c>
      <c r="AC140" s="2495">
        <f t="shared" si="99"/>
        <v>34974099</v>
      </c>
      <c r="AD140" s="2495">
        <f t="shared" si="99"/>
        <v>1408638915</v>
      </c>
      <c r="AE140" s="2495">
        <f t="shared" si="99"/>
        <v>1729921587</v>
      </c>
      <c r="AF140" s="2495">
        <f t="shared" si="99"/>
        <v>1729921587</v>
      </c>
      <c r="AG140" s="2495">
        <f t="shared" si="99"/>
        <v>1729921587</v>
      </c>
      <c r="AH140" s="999">
        <f t="shared" si="68"/>
        <v>0</v>
      </c>
      <c r="AI140" s="999">
        <f t="shared" si="69"/>
        <v>0</v>
      </c>
      <c r="AJ140" s="999">
        <f t="shared" si="70"/>
        <v>0</v>
      </c>
      <c r="AK140" s="999">
        <f t="shared" si="71"/>
        <v>0</v>
      </c>
      <c r="AL140" s="999">
        <f t="shared" si="72"/>
        <v>0</v>
      </c>
      <c r="AM140" s="2214">
        <f t="shared" si="73"/>
        <v>0</v>
      </c>
    </row>
    <row r="141" spans="1:39">
      <c r="A141" s="1951" t="s">
        <v>261</v>
      </c>
      <c r="B141" s="1950" t="s">
        <v>376</v>
      </c>
      <c r="C141" s="1933">
        <f>+'5. mell.Önk-i mérleg'!C142</f>
        <v>8000000000</v>
      </c>
      <c r="D141" s="1933">
        <f>+'5. mell.Önk-i mérleg'!E142</f>
        <v>5500000000</v>
      </c>
      <c r="E141" s="1933">
        <f>+'5. mell.Önk-i mérleg'!F142</f>
        <v>5500000000</v>
      </c>
      <c r="F141" s="1933">
        <f>+'5. mell.Önk-i mérleg'!G142</f>
        <v>5500000000</v>
      </c>
      <c r="G141" s="1933">
        <f>+'5. mell.Önk-i mérleg'!H142</f>
        <v>6700000000</v>
      </c>
      <c r="H141" s="1933">
        <f>+'5. mell.Önk-i mérleg'!I142</f>
        <v>6700000000</v>
      </c>
      <c r="I141" s="1933">
        <f>+'5. mell.Önk-i mérleg'!J142</f>
        <v>6700000000</v>
      </c>
      <c r="J141" s="1954">
        <f>+'6. mell (Bontás)'!J142</f>
        <v>5500000000</v>
      </c>
      <c r="K141" s="1954">
        <f>+'6. mell (Bontás)'!K142</f>
        <v>5500000000</v>
      </c>
      <c r="L141" s="1954">
        <f>+'6. mell (Bontás)'!L142</f>
        <v>5500000000</v>
      </c>
      <c r="M141" s="1954">
        <f>+'6. mell (Bontás)'!M142</f>
        <v>6700000000</v>
      </c>
      <c r="N141" s="1954">
        <f>+'6. mell (Bontás)'!N142</f>
        <v>6700000000</v>
      </c>
      <c r="O141" s="1954">
        <f>+'6. mell (Bontás)'!O142</f>
        <v>6700000000</v>
      </c>
      <c r="P141" s="1954">
        <f>+'6. mell (Bontás)'!P142</f>
        <v>0</v>
      </c>
      <c r="Q141" s="1954">
        <f>+'6. mell (Bontás)'!Q142</f>
        <v>0</v>
      </c>
      <c r="R141" s="1954">
        <f>+'6. mell (Bontás)'!R142</f>
        <v>0</v>
      </c>
      <c r="S141" s="1954">
        <f>+'6. mell (Bontás)'!S142</f>
        <v>0</v>
      </c>
      <c r="T141" s="1954">
        <f>+'6. mell (Bontás)'!T142</f>
        <v>0</v>
      </c>
      <c r="U141" s="1954">
        <f>+'6. mell (Bontás)'!U142</f>
        <v>0</v>
      </c>
      <c r="V141" s="2488">
        <f>+'6. mell (Bontás)'!V142</f>
        <v>0</v>
      </c>
      <c r="W141" s="1954">
        <f>+'6. mell (Bontás)'!W142</f>
        <v>0</v>
      </c>
      <c r="X141" s="1954">
        <f>+'6. mell (Bontás)'!X142</f>
        <v>0</v>
      </c>
      <c r="Y141" s="1954">
        <f>+'6. mell (Bontás)'!Y142</f>
        <v>0</v>
      </c>
      <c r="Z141" s="1954">
        <f>+'6. mell (Bontás)'!Z142</f>
        <v>0</v>
      </c>
      <c r="AA141" s="1954">
        <f>+'6. mell (Bontás)'!AA142</f>
        <v>0</v>
      </c>
      <c r="AB141" s="2495">
        <f t="shared" si="98"/>
        <v>5500000000</v>
      </c>
      <c r="AC141" s="2495">
        <f t="shared" si="99"/>
        <v>5500000000</v>
      </c>
      <c r="AD141" s="2495">
        <f t="shared" si="99"/>
        <v>5500000000</v>
      </c>
      <c r="AE141" s="2495">
        <f t="shared" si="99"/>
        <v>6700000000</v>
      </c>
      <c r="AF141" s="2495">
        <f t="shared" si="99"/>
        <v>6700000000</v>
      </c>
      <c r="AG141" s="2495">
        <f t="shared" si="99"/>
        <v>6700000000</v>
      </c>
      <c r="AH141" s="999">
        <f t="shared" si="68"/>
        <v>0</v>
      </c>
      <c r="AI141" s="999">
        <f t="shared" si="69"/>
        <v>0</v>
      </c>
      <c r="AJ141" s="999">
        <f t="shared" si="70"/>
        <v>0</v>
      </c>
      <c r="AK141" s="999">
        <f t="shared" si="71"/>
        <v>0</v>
      </c>
      <c r="AL141" s="999">
        <f t="shared" si="72"/>
        <v>0</v>
      </c>
      <c r="AM141" s="2214">
        <f t="shared" si="73"/>
        <v>0</v>
      </c>
    </row>
    <row r="142" spans="1:39">
      <c r="A142" s="1951" t="s">
        <v>263</v>
      </c>
      <c r="B142" s="1950" t="s">
        <v>377</v>
      </c>
      <c r="C142" s="1933">
        <f>+'5. mell.Önk-i mérleg'!C143</f>
        <v>0</v>
      </c>
      <c r="D142" s="1933">
        <f>+'5. mell.Önk-i mérleg'!E143</f>
        <v>0</v>
      </c>
      <c r="E142" s="1933">
        <f>+'5. mell.Önk-i mérleg'!F143</f>
        <v>0</v>
      </c>
      <c r="F142" s="1933">
        <f>+'5. mell.Önk-i mérleg'!G143</f>
        <v>0</v>
      </c>
      <c r="G142" s="1933">
        <f>+'5. mell.Önk-i mérleg'!H143</f>
        <v>0</v>
      </c>
      <c r="H142" s="1933">
        <f>+'5. mell.Önk-i mérleg'!I143</f>
        <v>0</v>
      </c>
      <c r="I142" s="1933">
        <f>+'5. mell.Önk-i mérleg'!J143</f>
        <v>0</v>
      </c>
      <c r="J142" s="1954">
        <f>+'6. mell (Bontás)'!J143</f>
        <v>0</v>
      </c>
      <c r="K142" s="1954">
        <f>+'6. mell (Bontás)'!K143</f>
        <v>0</v>
      </c>
      <c r="L142" s="1954">
        <f>+'6. mell (Bontás)'!L143</f>
        <v>0</v>
      </c>
      <c r="M142" s="1954">
        <f>+'6. mell (Bontás)'!M143</f>
        <v>0</v>
      </c>
      <c r="N142" s="1954">
        <f>+'6. mell (Bontás)'!N143</f>
        <v>0</v>
      </c>
      <c r="O142" s="1954">
        <f>+'6. mell (Bontás)'!O143</f>
        <v>0</v>
      </c>
      <c r="P142" s="1954">
        <f>+'6. mell (Bontás)'!P143</f>
        <v>0</v>
      </c>
      <c r="Q142" s="1954">
        <f>+'6. mell (Bontás)'!Q143</f>
        <v>0</v>
      </c>
      <c r="R142" s="1954">
        <f>+'6. mell (Bontás)'!R143</f>
        <v>0</v>
      </c>
      <c r="S142" s="1954">
        <f>+'6. mell (Bontás)'!S143</f>
        <v>0</v>
      </c>
      <c r="T142" s="1954">
        <f>+'6. mell (Bontás)'!T143</f>
        <v>0</v>
      </c>
      <c r="U142" s="1954">
        <f>+'6. mell (Bontás)'!U143</f>
        <v>0</v>
      </c>
      <c r="V142" s="2488">
        <f>+'6. mell (Bontás)'!V143</f>
        <v>0</v>
      </c>
      <c r="W142" s="1954">
        <f>+'6. mell (Bontás)'!W143</f>
        <v>0</v>
      </c>
      <c r="X142" s="1954">
        <f>+'6. mell (Bontás)'!X143</f>
        <v>0</v>
      </c>
      <c r="Y142" s="1954">
        <f>+'6. mell (Bontás)'!Y143</f>
        <v>0</v>
      </c>
      <c r="Z142" s="1954">
        <f>+'6. mell (Bontás)'!Z143</f>
        <v>0</v>
      </c>
      <c r="AA142" s="1954">
        <f>+'6. mell (Bontás)'!AA143</f>
        <v>0</v>
      </c>
      <c r="AB142" s="2495">
        <f t="shared" si="98"/>
        <v>0</v>
      </c>
      <c r="AC142" s="2495">
        <f t="shared" si="99"/>
        <v>0</v>
      </c>
      <c r="AD142" s="2495">
        <f t="shared" si="99"/>
        <v>0</v>
      </c>
      <c r="AE142" s="2495">
        <f t="shared" si="99"/>
        <v>0</v>
      </c>
      <c r="AF142" s="2495">
        <f t="shared" si="99"/>
        <v>0</v>
      </c>
      <c r="AG142" s="2495">
        <f t="shared" si="99"/>
        <v>0</v>
      </c>
      <c r="AH142" s="999">
        <f t="shared" si="68"/>
        <v>0</v>
      </c>
      <c r="AI142" s="999">
        <f t="shared" si="69"/>
        <v>0</v>
      </c>
      <c r="AJ142" s="999">
        <f t="shared" si="70"/>
        <v>0</v>
      </c>
      <c r="AK142" s="999">
        <f t="shared" si="71"/>
        <v>0</v>
      </c>
      <c r="AL142" s="999">
        <f t="shared" si="72"/>
        <v>0</v>
      </c>
      <c r="AM142" s="2214">
        <f t="shared" si="73"/>
        <v>0</v>
      </c>
    </row>
    <row r="143" spans="1:39">
      <c r="A143" s="1928" t="s">
        <v>23</v>
      </c>
      <c r="B143" s="1935" t="s">
        <v>378</v>
      </c>
      <c r="C143" s="1930">
        <f t="shared" ref="C143:AA143" si="100">+C144+C145+C146+C147</f>
        <v>0</v>
      </c>
      <c r="D143" s="1930">
        <f t="shared" si="100"/>
        <v>0</v>
      </c>
      <c r="E143" s="1930">
        <f t="shared" si="100"/>
        <v>0</v>
      </c>
      <c r="F143" s="1930">
        <f t="shared" si="100"/>
        <v>0</v>
      </c>
      <c r="G143" s="1930">
        <f t="shared" si="100"/>
        <v>0</v>
      </c>
      <c r="H143" s="1930">
        <f t="shared" si="100"/>
        <v>0</v>
      </c>
      <c r="I143" s="1930">
        <f t="shared" si="100"/>
        <v>0</v>
      </c>
      <c r="J143" s="1930">
        <f t="shared" si="100"/>
        <v>0</v>
      </c>
      <c r="K143" s="1930">
        <f t="shared" si="100"/>
        <v>0</v>
      </c>
      <c r="L143" s="1930">
        <f t="shared" si="100"/>
        <v>0</v>
      </c>
      <c r="M143" s="1930">
        <f t="shared" si="100"/>
        <v>0</v>
      </c>
      <c r="N143" s="1930">
        <f t="shared" si="100"/>
        <v>0</v>
      </c>
      <c r="O143" s="1930">
        <f t="shared" si="100"/>
        <v>0</v>
      </c>
      <c r="P143" s="1930">
        <f t="shared" si="100"/>
        <v>0</v>
      </c>
      <c r="Q143" s="1930">
        <f t="shared" si="100"/>
        <v>0</v>
      </c>
      <c r="R143" s="1930">
        <f t="shared" si="100"/>
        <v>0</v>
      </c>
      <c r="S143" s="1930">
        <f t="shared" si="100"/>
        <v>0</v>
      </c>
      <c r="T143" s="1930">
        <f t="shared" si="100"/>
        <v>0</v>
      </c>
      <c r="U143" s="1930">
        <f t="shared" si="100"/>
        <v>0</v>
      </c>
      <c r="V143" s="2481">
        <f t="shared" si="100"/>
        <v>0</v>
      </c>
      <c r="W143" s="1930">
        <f t="shared" si="100"/>
        <v>0</v>
      </c>
      <c r="X143" s="1930">
        <f t="shared" si="100"/>
        <v>0</v>
      </c>
      <c r="Y143" s="1930">
        <f t="shared" si="100"/>
        <v>0</v>
      </c>
      <c r="Z143" s="1930">
        <f t="shared" si="100"/>
        <v>0</v>
      </c>
      <c r="AA143" s="1930">
        <f t="shared" si="100"/>
        <v>0</v>
      </c>
      <c r="AB143" s="1930">
        <f t="shared" si="98"/>
        <v>0</v>
      </c>
      <c r="AC143" s="1930">
        <f>+AC144+AC145+AC146+AC147</f>
        <v>0</v>
      </c>
      <c r="AD143" s="1930">
        <f>+AD144+AD145+AD146+AD147</f>
        <v>0</v>
      </c>
      <c r="AE143" s="1930">
        <f>+AE144+AE145+AE146+AE147</f>
        <v>0</v>
      </c>
      <c r="AF143" s="1930">
        <f>+AF144+AF145+AF146+AF147</f>
        <v>0</v>
      </c>
      <c r="AG143" s="1930">
        <f>+AG144+AG145+AG146+AG147</f>
        <v>0</v>
      </c>
      <c r="AH143" s="999">
        <f t="shared" si="68"/>
        <v>0</v>
      </c>
      <c r="AI143" s="999">
        <f t="shared" si="69"/>
        <v>0</v>
      </c>
      <c r="AJ143" s="999">
        <f t="shared" si="70"/>
        <v>0</v>
      </c>
      <c r="AK143" s="999">
        <f t="shared" si="71"/>
        <v>0</v>
      </c>
      <c r="AL143" s="999">
        <f t="shared" si="72"/>
        <v>0</v>
      </c>
      <c r="AM143" s="2214">
        <f t="shared" si="73"/>
        <v>0</v>
      </c>
    </row>
    <row r="144" spans="1:39" hidden="1">
      <c r="A144" s="1931" t="s">
        <v>265</v>
      </c>
      <c r="B144" s="1950" t="s">
        <v>379</v>
      </c>
      <c r="C144" s="1933">
        <f>+'5. mell.Önk-i mérleg'!C145</f>
        <v>0</v>
      </c>
      <c r="D144" s="1933">
        <f>+'5. mell.Önk-i mérleg'!E145</f>
        <v>0</v>
      </c>
      <c r="E144" s="1933">
        <f>+'5. mell.Önk-i mérleg'!F145</f>
        <v>0</v>
      </c>
      <c r="F144" s="1933">
        <f>+'5. mell.Önk-i mérleg'!G145</f>
        <v>0</v>
      </c>
      <c r="G144" s="1933">
        <f>+'5. mell.Önk-i mérleg'!H145</f>
        <v>0</v>
      </c>
      <c r="H144" s="1933">
        <f>+'5. mell.Önk-i mérleg'!I145</f>
        <v>0</v>
      </c>
      <c r="I144" s="1933">
        <f>+'5. mell.Önk-i mérleg'!J145</f>
        <v>0</v>
      </c>
      <c r="J144" s="1954">
        <f>+'6. mell (Bontás)'!J145</f>
        <v>0</v>
      </c>
      <c r="K144" s="1954">
        <f>+'6. mell (Bontás)'!K145</f>
        <v>0</v>
      </c>
      <c r="L144" s="1954">
        <f>+'6. mell (Bontás)'!L145</f>
        <v>0</v>
      </c>
      <c r="M144" s="1954">
        <f>+'6. mell (Bontás)'!M145</f>
        <v>0</v>
      </c>
      <c r="N144" s="1954">
        <f>+'6. mell (Bontás)'!N145</f>
        <v>0</v>
      </c>
      <c r="O144" s="1954">
        <f>+'6. mell (Bontás)'!O145</f>
        <v>0</v>
      </c>
      <c r="P144" s="1954">
        <f>+'6. mell (Bontás)'!P145</f>
        <v>0</v>
      </c>
      <c r="Q144" s="1954">
        <f>+'6. mell (Bontás)'!Q145</f>
        <v>0</v>
      </c>
      <c r="R144" s="1954">
        <f>+'6. mell (Bontás)'!R145</f>
        <v>0</v>
      </c>
      <c r="S144" s="1954">
        <f>+'6. mell (Bontás)'!S145</f>
        <v>0</v>
      </c>
      <c r="T144" s="1954">
        <f>+'6. mell (Bontás)'!T145</f>
        <v>0</v>
      </c>
      <c r="U144" s="1954">
        <f>+'6. mell (Bontás)'!U145</f>
        <v>0</v>
      </c>
      <c r="V144" s="2488">
        <f>+'6. mell (Bontás)'!V145</f>
        <v>0</v>
      </c>
      <c r="W144" s="1954">
        <f>+'6. mell (Bontás)'!W145</f>
        <v>0</v>
      </c>
      <c r="X144" s="1954">
        <f>+'6. mell (Bontás)'!X145</f>
        <v>0</v>
      </c>
      <c r="Y144" s="1954">
        <f>+'6. mell (Bontás)'!Y145</f>
        <v>0</v>
      </c>
      <c r="Z144" s="1954">
        <f>+'6. mell (Bontás)'!Z145</f>
        <v>0</v>
      </c>
      <c r="AA144" s="1954">
        <f>+'6. mell (Bontás)'!AA145</f>
        <v>0</v>
      </c>
      <c r="AB144" s="2495">
        <f t="shared" si="98"/>
        <v>0</v>
      </c>
      <c r="AC144" s="2495">
        <f t="shared" ref="AC144:AG147" si="101">SUM(K144:W144)</f>
        <v>0</v>
      </c>
      <c r="AD144" s="2495">
        <f t="shared" si="101"/>
        <v>0</v>
      </c>
      <c r="AE144" s="2495">
        <f t="shared" si="101"/>
        <v>0</v>
      </c>
      <c r="AF144" s="2495">
        <f t="shared" si="101"/>
        <v>0</v>
      </c>
      <c r="AG144" s="2495">
        <f t="shared" si="101"/>
        <v>0</v>
      </c>
      <c r="AH144" s="999">
        <f t="shared" si="68"/>
        <v>0</v>
      </c>
      <c r="AI144" s="999">
        <f t="shared" si="69"/>
        <v>0</v>
      </c>
      <c r="AJ144" s="999">
        <f t="shared" si="70"/>
        <v>0</v>
      </c>
      <c r="AK144" s="999">
        <f t="shared" si="71"/>
        <v>0</v>
      </c>
      <c r="AL144" s="999">
        <f t="shared" si="72"/>
        <v>0</v>
      </c>
      <c r="AM144" s="2214">
        <f t="shared" si="73"/>
        <v>0</v>
      </c>
    </row>
    <row r="145" spans="1:39" hidden="1">
      <c r="A145" s="1931" t="s">
        <v>266</v>
      </c>
      <c r="B145" s="1950" t="s">
        <v>380</v>
      </c>
      <c r="C145" s="1933">
        <f>+'5. mell.Önk-i mérleg'!C146</f>
        <v>0</v>
      </c>
      <c r="D145" s="1933">
        <f>+'5. mell.Önk-i mérleg'!E146</f>
        <v>0</v>
      </c>
      <c r="E145" s="1933">
        <f>+'5. mell.Önk-i mérleg'!F146</f>
        <v>0</v>
      </c>
      <c r="F145" s="1933">
        <f>+'5. mell.Önk-i mérleg'!G146</f>
        <v>0</v>
      </c>
      <c r="G145" s="1933">
        <f>+'5. mell.Önk-i mérleg'!H146</f>
        <v>0</v>
      </c>
      <c r="H145" s="1933">
        <f>+'5. mell.Önk-i mérleg'!I146</f>
        <v>0</v>
      </c>
      <c r="I145" s="1933">
        <f>+'5. mell.Önk-i mérleg'!J146</f>
        <v>0</v>
      </c>
      <c r="J145" s="1954">
        <f>+'6. mell (Bontás)'!J146</f>
        <v>0</v>
      </c>
      <c r="K145" s="1954">
        <f>+'6. mell (Bontás)'!K146</f>
        <v>0</v>
      </c>
      <c r="L145" s="1954">
        <f>+'6. mell (Bontás)'!L146</f>
        <v>0</v>
      </c>
      <c r="M145" s="1954">
        <f>+'6. mell (Bontás)'!M146</f>
        <v>0</v>
      </c>
      <c r="N145" s="1954">
        <f>+'6. mell (Bontás)'!N146</f>
        <v>0</v>
      </c>
      <c r="O145" s="1954">
        <f>+'6. mell (Bontás)'!O146</f>
        <v>0</v>
      </c>
      <c r="P145" s="1954">
        <f>+'6. mell (Bontás)'!P146</f>
        <v>0</v>
      </c>
      <c r="Q145" s="1954">
        <f>+'6. mell (Bontás)'!Q146</f>
        <v>0</v>
      </c>
      <c r="R145" s="1954">
        <f>+'6. mell (Bontás)'!R146</f>
        <v>0</v>
      </c>
      <c r="S145" s="1954">
        <f>+'6. mell (Bontás)'!S146</f>
        <v>0</v>
      </c>
      <c r="T145" s="1954">
        <f>+'6. mell (Bontás)'!T146</f>
        <v>0</v>
      </c>
      <c r="U145" s="1954">
        <f>+'6. mell (Bontás)'!U146</f>
        <v>0</v>
      </c>
      <c r="V145" s="2488">
        <f>+'6. mell (Bontás)'!V146</f>
        <v>0</v>
      </c>
      <c r="W145" s="1954">
        <f>+'6. mell (Bontás)'!W146</f>
        <v>0</v>
      </c>
      <c r="X145" s="1954">
        <f>+'6. mell (Bontás)'!X146</f>
        <v>0</v>
      </c>
      <c r="Y145" s="1954">
        <f>+'6. mell (Bontás)'!Y146</f>
        <v>0</v>
      </c>
      <c r="Z145" s="1954">
        <f>+'6. mell (Bontás)'!Z146</f>
        <v>0</v>
      </c>
      <c r="AA145" s="1954">
        <f>+'6. mell (Bontás)'!AA146</f>
        <v>0</v>
      </c>
      <c r="AB145" s="2495">
        <f t="shared" si="98"/>
        <v>0</v>
      </c>
      <c r="AC145" s="2495">
        <f t="shared" si="101"/>
        <v>0</v>
      </c>
      <c r="AD145" s="2495">
        <f t="shared" si="101"/>
        <v>0</v>
      </c>
      <c r="AE145" s="2495">
        <f t="shared" si="101"/>
        <v>0</v>
      </c>
      <c r="AF145" s="2495">
        <f t="shared" si="101"/>
        <v>0</v>
      </c>
      <c r="AG145" s="2495">
        <f t="shared" si="101"/>
        <v>0</v>
      </c>
      <c r="AH145" s="999">
        <f t="shared" si="68"/>
        <v>0</v>
      </c>
      <c r="AI145" s="999">
        <f t="shared" si="69"/>
        <v>0</v>
      </c>
      <c r="AJ145" s="999">
        <f t="shared" si="70"/>
        <v>0</v>
      </c>
      <c r="AK145" s="999">
        <f t="shared" si="71"/>
        <v>0</v>
      </c>
      <c r="AL145" s="999">
        <f t="shared" si="72"/>
        <v>0</v>
      </c>
      <c r="AM145" s="2214">
        <f t="shared" si="73"/>
        <v>0</v>
      </c>
    </row>
    <row r="146" spans="1:39" hidden="1">
      <c r="A146" s="1931" t="s">
        <v>267</v>
      </c>
      <c r="B146" s="1950" t="s">
        <v>381</v>
      </c>
      <c r="C146" s="1933">
        <f>+'5. mell.Önk-i mérleg'!C147</f>
        <v>0</v>
      </c>
      <c r="D146" s="1933">
        <f>+'5. mell.Önk-i mérleg'!E147</f>
        <v>0</v>
      </c>
      <c r="E146" s="1933">
        <f>+'5. mell.Önk-i mérleg'!F147</f>
        <v>0</v>
      </c>
      <c r="F146" s="1933">
        <f>+'5. mell.Önk-i mérleg'!G147</f>
        <v>0</v>
      </c>
      <c r="G146" s="1933">
        <f>+'5. mell.Önk-i mérleg'!H147</f>
        <v>0</v>
      </c>
      <c r="H146" s="1933">
        <f>+'5. mell.Önk-i mérleg'!I147</f>
        <v>0</v>
      </c>
      <c r="I146" s="1933">
        <f>+'5. mell.Önk-i mérleg'!J147</f>
        <v>0</v>
      </c>
      <c r="J146" s="1954">
        <f>+'6. mell (Bontás)'!J147</f>
        <v>0</v>
      </c>
      <c r="K146" s="1954">
        <f>+'6. mell (Bontás)'!K147</f>
        <v>0</v>
      </c>
      <c r="L146" s="1954">
        <f>+'6. mell (Bontás)'!L147</f>
        <v>0</v>
      </c>
      <c r="M146" s="1954">
        <f>+'6. mell (Bontás)'!M147</f>
        <v>0</v>
      </c>
      <c r="N146" s="1954">
        <f>+'6. mell (Bontás)'!N147</f>
        <v>0</v>
      </c>
      <c r="O146" s="1954">
        <f>+'6. mell (Bontás)'!O147</f>
        <v>0</v>
      </c>
      <c r="P146" s="1954">
        <f>+'6. mell (Bontás)'!P147</f>
        <v>0</v>
      </c>
      <c r="Q146" s="1954">
        <f>+'6. mell (Bontás)'!Q147</f>
        <v>0</v>
      </c>
      <c r="R146" s="1954">
        <f>+'6. mell (Bontás)'!R147</f>
        <v>0</v>
      </c>
      <c r="S146" s="1954">
        <f>+'6. mell (Bontás)'!S147</f>
        <v>0</v>
      </c>
      <c r="T146" s="1954">
        <f>+'6. mell (Bontás)'!T147</f>
        <v>0</v>
      </c>
      <c r="U146" s="1954">
        <f>+'6. mell (Bontás)'!U147</f>
        <v>0</v>
      </c>
      <c r="V146" s="2488">
        <f>+'6. mell (Bontás)'!V147</f>
        <v>0</v>
      </c>
      <c r="W146" s="1954">
        <f>+'6. mell (Bontás)'!W147</f>
        <v>0</v>
      </c>
      <c r="X146" s="1954">
        <f>+'6. mell (Bontás)'!X147</f>
        <v>0</v>
      </c>
      <c r="Y146" s="1954">
        <f>+'6. mell (Bontás)'!Y147</f>
        <v>0</v>
      </c>
      <c r="Z146" s="1954">
        <f>+'6. mell (Bontás)'!Z147</f>
        <v>0</v>
      </c>
      <c r="AA146" s="1954">
        <f>+'6. mell (Bontás)'!AA147</f>
        <v>0</v>
      </c>
      <c r="AB146" s="2495">
        <f t="shared" si="98"/>
        <v>0</v>
      </c>
      <c r="AC146" s="2495">
        <f t="shared" si="101"/>
        <v>0</v>
      </c>
      <c r="AD146" s="2495">
        <f t="shared" si="101"/>
        <v>0</v>
      </c>
      <c r="AE146" s="2495">
        <f t="shared" si="101"/>
        <v>0</v>
      </c>
      <c r="AF146" s="2495">
        <f t="shared" si="101"/>
        <v>0</v>
      </c>
      <c r="AG146" s="2495">
        <f t="shared" si="101"/>
        <v>0</v>
      </c>
      <c r="AH146" s="999">
        <f t="shared" si="68"/>
        <v>0</v>
      </c>
      <c r="AI146" s="999">
        <f t="shared" si="69"/>
        <v>0</v>
      </c>
      <c r="AJ146" s="999">
        <f t="shared" si="70"/>
        <v>0</v>
      </c>
      <c r="AK146" s="999">
        <f t="shared" si="71"/>
        <v>0</v>
      </c>
      <c r="AL146" s="999">
        <f t="shared" si="72"/>
        <v>0</v>
      </c>
      <c r="AM146" s="2214">
        <f t="shared" si="73"/>
        <v>0</v>
      </c>
    </row>
    <row r="147" spans="1:39" hidden="1">
      <c r="A147" s="1931" t="s">
        <v>269</v>
      </c>
      <c r="B147" s="1950" t="s">
        <v>382</v>
      </c>
      <c r="C147" s="1933">
        <f>+'5. mell.Önk-i mérleg'!C148</f>
        <v>0</v>
      </c>
      <c r="D147" s="1933">
        <f>+'5. mell.Önk-i mérleg'!E148</f>
        <v>0</v>
      </c>
      <c r="E147" s="1933">
        <f>+'5. mell.Önk-i mérleg'!F148</f>
        <v>0</v>
      </c>
      <c r="F147" s="1933">
        <f>+'5. mell.Önk-i mérleg'!G148</f>
        <v>0</v>
      </c>
      <c r="G147" s="1933">
        <f>+'5. mell.Önk-i mérleg'!H148</f>
        <v>0</v>
      </c>
      <c r="H147" s="1933">
        <f>+'5. mell.Önk-i mérleg'!I148</f>
        <v>0</v>
      </c>
      <c r="I147" s="1933">
        <f>+'5. mell.Önk-i mérleg'!J148</f>
        <v>0</v>
      </c>
      <c r="J147" s="1954">
        <f>+'6. mell (Bontás)'!J148</f>
        <v>0</v>
      </c>
      <c r="K147" s="1954">
        <f>+'6. mell (Bontás)'!K148</f>
        <v>0</v>
      </c>
      <c r="L147" s="1954">
        <f>+'6. mell (Bontás)'!L148</f>
        <v>0</v>
      </c>
      <c r="M147" s="1954">
        <f>+'6. mell (Bontás)'!M148</f>
        <v>0</v>
      </c>
      <c r="N147" s="1954">
        <f>+'6. mell (Bontás)'!N148</f>
        <v>0</v>
      </c>
      <c r="O147" s="1954">
        <f>+'6. mell (Bontás)'!O148</f>
        <v>0</v>
      </c>
      <c r="P147" s="1954">
        <f>+'6. mell (Bontás)'!P148</f>
        <v>0</v>
      </c>
      <c r="Q147" s="1954">
        <f>+'6. mell (Bontás)'!Q148</f>
        <v>0</v>
      </c>
      <c r="R147" s="1954">
        <f>+'6. mell (Bontás)'!R148</f>
        <v>0</v>
      </c>
      <c r="S147" s="1954">
        <f>+'6. mell (Bontás)'!S148</f>
        <v>0</v>
      </c>
      <c r="T147" s="1954">
        <f>+'6. mell (Bontás)'!T148</f>
        <v>0</v>
      </c>
      <c r="U147" s="1954">
        <f>+'6. mell (Bontás)'!U148</f>
        <v>0</v>
      </c>
      <c r="V147" s="2488">
        <f>+'6. mell (Bontás)'!V148</f>
        <v>0</v>
      </c>
      <c r="W147" s="1954">
        <f>+'6. mell (Bontás)'!W148</f>
        <v>0</v>
      </c>
      <c r="X147" s="1954">
        <f>+'6. mell (Bontás)'!X148</f>
        <v>0</v>
      </c>
      <c r="Y147" s="1954">
        <f>+'6. mell (Bontás)'!Y148</f>
        <v>0</v>
      </c>
      <c r="Z147" s="1954">
        <f>+'6. mell (Bontás)'!Z148</f>
        <v>0</v>
      </c>
      <c r="AA147" s="1954">
        <f>+'6. mell (Bontás)'!AA148</f>
        <v>0</v>
      </c>
      <c r="AB147" s="2495">
        <f t="shared" si="98"/>
        <v>0</v>
      </c>
      <c r="AC147" s="2495">
        <f t="shared" si="101"/>
        <v>0</v>
      </c>
      <c r="AD147" s="2495">
        <f t="shared" si="101"/>
        <v>0</v>
      </c>
      <c r="AE147" s="2495">
        <f t="shared" si="101"/>
        <v>0</v>
      </c>
      <c r="AF147" s="2495">
        <f t="shared" si="101"/>
        <v>0</v>
      </c>
      <c r="AG147" s="2495">
        <f t="shared" si="101"/>
        <v>0</v>
      </c>
      <c r="AH147" s="999">
        <f t="shared" si="68"/>
        <v>0</v>
      </c>
      <c r="AI147" s="999">
        <f t="shared" si="69"/>
        <v>0</v>
      </c>
      <c r="AJ147" s="999">
        <f t="shared" si="70"/>
        <v>0</v>
      </c>
      <c r="AK147" s="999">
        <f t="shared" si="71"/>
        <v>0</v>
      </c>
      <c r="AL147" s="999">
        <f t="shared" si="72"/>
        <v>0</v>
      </c>
      <c r="AM147" s="2214">
        <f t="shared" si="73"/>
        <v>0</v>
      </c>
    </row>
    <row r="148" spans="1:39">
      <c r="A148" s="1928" t="s">
        <v>25</v>
      </c>
      <c r="B148" s="1935" t="s">
        <v>383</v>
      </c>
      <c r="C148" s="1930">
        <v>0</v>
      </c>
      <c r="D148" s="1930">
        <v>0</v>
      </c>
      <c r="E148" s="1930">
        <v>0</v>
      </c>
      <c r="F148" s="1930">
        <v>0</v>
      </c>
      <c r="G148" s="1930">
        <v>0</v>
      </c>
      <c r="H148" s="1930">
        <v>0</v>
      </c>
      <c r="I148" s="1930">
        <v>0</v>
      </c>
      <c r="J148" s="1930">
        <v>0</v>
      </c>
      <c r="K148" s="1930">
        <v>0</v>
      </c>
      <c r="L148" s="1930">
        <v>0</v>
      </c>
      <c r="M148" s="1930">
        <v>0</v>
      </c>
      <c r="N148" s="1930">
        <v>0</v>
      </c>
      <c r="O148" s="1930">
        <v>0</v>
      </c>
      <c r="P148" s="1930">
        <v>0</v>
      </c>
      <c r="Q148" s="1930">
        <v>0</v>
      </c>
      <c r="R148" s="1930">
        <v>0</v>
      </c>
      <c r="S148" s="1930">
        <v>0</v>
      </c>
      <c r="T148" s="1930">
        <v>0</v>
      </c>
      <c r="U148" s="1930">
        <v>0</v>
      </c>
      <c r="V148" s="2481">
        <v>0</v>
      </c>
      <c r="W148" s="1930">
        <v>0</v>
      </c>
      <c r="X148" s="1930">
        <v>0</v>
      </c>
      <c r="Y148" s="1930">
        <v>0</v>
      </c>
      <c r="Z148" s="1930">
        <v>0</v>
      </c>
      <c r="AA148" s="1930">
        <v>0</v>
      </c>
      <c r="AB148" s="1930">
        <v>0</v>
      </c>
      <c r="AC148" s="1930">
        <v>0</v>
      </c>
      <c r="AD148" s="1930">
        <v>0</v>
      </c>
      <c r="AE148" s="1930">
        <v>0</v>
      </c>
      <c r="AF148" s="1930">
        <v>0</v>
      </c>
      <c r="AG148" s="1930">
        <v>0</v>
      </c>
      <c r="AH148" s="999">
        <f t="shared" si="68"/>
        <v>0</v>
      </c>
      <c r="AI148" s="999">
        <f t="shared" si="69"/>
        <v>0</v>
      </c>
      <c r="AJ148" s="999">
        <f t="shared" si="70"/>
        <v>0</v>
      </c>
      <c r="AK148" s="999">
        <f t="shared" si="71"/>
        <v>0</v>
      </c>
      <c r="AL148" s="999">
        <f t="shared" si="72"/>
        <v>0</v>
      </c>
      <c r="AM148" s="2214">
        <f t="shared" si="73"/>
        <v>0</v>
      </c>
    </row>
    <row r="149" spans="1:39">
      <c r="A149" s="1928" t="s">
        <v>27</v>
      </c>
      <c r="B149" s="1935" t="s">
        <v>384</v>
      </c>
      <c r="C149" s="1930">
        <v>0</v>
      </c>
      <c r="D149" s="1930">
        <v>0</v>
      </c>
      <c r="E149" s="1930">
        <v>0</v>
      </c>
      <c r="F149" s="1930">
        <v>0</v>
      </c>
      <c r="G149" s="1930">
        <v>0</v>
      </c>
      <c r="H149" s="1930">
        <v>0</v>
      </c>
      <c r="I149" s="1930">
        <v>0</v>
      </c>
      <c r="J149" s="1930">
        <v>0</v>
      </c>
      <c r="K149" s="1930">
        <v>0</v>
      </c>
      <c r="L149" s="1930">
        <v>0</v>
      </c>
      <c r="M149" s="1930">
        <v>0</v>
      </c>
      <c r="N149" s="1930">
        <v>0</v>
      </c>
      <c r="O149" s="1930">
        <v>0</v>
      </c>
      <c r="P149" s="1930">
        <v>0</v>
      </c>
      <c r="Q149" s="1930">
        <v>0</v>
      </c>
      <c r="R149" s="1930">
        <v>0</v>
      </c>
      <c r="S149" s="1930">
        <v>0</v>
      </c>
      <c r="T149" s="1930">
        <v>0</v>
      </c>
      <c r="U149" s="1930">
        <v>0</v>
      </c>
      <c r="V149" s="2481">
        <v>0</v>
      </c>
      <c r="W149" s="1930">
        <v>0</v>
      </c>
      <c r="X149" s="1930">
        <v>0</v>
      </c>
      <c r="Y149" s="1930">
        <v>0</v>
      </c>
      <c r="Z149" s="1930">
        <v>0</v>
      </c>
      <c r="AA149" s="1930">
        <v>0</v>
      </c>
      <c r="AB149" s="1930">
        <v>0</v>
      </c>
      <c r="AC149" s="1930">
        <v>0</v>
      </c>
      <c r="AD149" s="1930">
        <v>0</v>
      </c>
      <c r="AE149" s="1930">
        <v>0</v>
      </c>
      <c r="AF149" s="1930">
        <v>0</v>
      </c>
      <c r="AG149" s="1930">
        <v>0</v>
      </c>
      <c r="AH149" s="999">
        <f t="shared" si="68"/>
        <v>0</v>
      </c>
      <c r="AI149" s="999">
        <f t="shared" si="69"/>
        <v>0</v>
      </c>
      <c r="AJ149" s="999">
        <f t="shared" si="70"/>
        <v>0</v>
      </c>
      <c r="AK149" s="999">
        <f t="shared" si="71"/>
        <v>0</v>
      </c>
      <c r="AL149" s="999">
        <f t="shared" si="72"/>
        <v>0</v>
      </c>
      <c r="AM149" s="2214">
        <f t="shared" si="73"/>
        <v>0</v>
      </c>
    </row>
    <row r="150" spans="1:39">
      <c r="A150" s="1938" t="s">
        <v>29</v>
      </c>
      <c r="B150" s="1939" t="s">
        <v>385</v>
      </c>
      <c r="C150" s="1940">
        <f t="shared" ref="C150:AG150" si="102">+C129+C133+C138+C143</f>
        <v>8224610505</v>
      </c>
      <c r="D150" s="1940">
        <f t="shared" si="102"/>
        <v>5534974099</v>
      </c>
      <c r="E150" s="1940">
        <f t="shared" si="102"/>
        <v>5534974099</v>
      </c>
      <c r="F150" s="1940">
        <f t="shared" si="102"/>
        <v>6908638915</v>
      </c>
      <c r="G150" s="1940">
        <f t="shared" si="102"/>
        <v>13429011587</v>
      </c>
      <c r="H150" s="1940">
        <f t="shared" si="102"/>
        <v>13429011587</v>
      </c>
      <c r="I150" s="1940">
        <f t="shared" si="102"/>
        <v>13429011587</v>
      </c>
      <c r="J150" s="1940">
        <f t="shared" si="102"/>
        <v>5534974099</v>
      </c>
      <c r="K150" s="1940">
        <f t="shared" si="102"/>
        <v>5534974099</v>
      </c>
      <c r="L150" s="1940">
        <f t="shared" si="102"/>
        <v>6908638915</v>
      </c>
      <c r="M150" s="1940">
        <f t="shared" si="102"/>
        <v>13429011587</v>
      </c>
      <c r="N150" s="1940">
        <f t="shared" si="102"/>
        <v>13429011587</v>
      </c>
      <c r="O150" s="1940">
        <f t="shared" si="102"/>
        <v>13429011587</v>
      </c>
      <c r="P150" s="1940">
        <f t="shared" si="102"/>
        <v>0</v>
      </c>
      <c r="Q150" s="1940">
        <f t="shared" si="102"/>
        <v>0</v>
      </c>
      <c r="R150" s="1940">
        <f t="shared" si="102"/>
        <v>0</v>
      </c>
      <c r="S150" s="1940">
        <f t="shared" si="102"/>
        <v>0</v>
      </c>
      <c r="T150" s="1940">
        <f t="shared" si="102"/>
        <v>0</v>
      </c>
      <c r="U150" s="1940">
        <f t="shared" si="102"/>
        <v>0</v>
      </c>
      <c r="V150" s="2483">
        <f t="shared" si="102"/>
        <v>0</v>
      </c>
      <c r="W150" s="1940">
        <f t="shared" si="102"/>
        <v>0</v>
      </c>
      <c r="X150" s="1940">
        <f t="shared" si="102"/>
        <v>0</v>
      </c>
      <c r="Y150" s="1940">
        <f t="shared" si="102"/>
        <v>0</v>
      </c>
      <c r="Z150" s="1940">
        <f t="shared" si="102"/>
        <v>0</v>
      </c>
      <c r="AA150" s="1940">
        <f t="shared" si="102"/>
        <v>0</v>
      </c>
      <c r="AB150" s="1940">
        <f t="shared" si="102"/>
        <v>5534974099</v>
      </c>
      <c r="AC150" s="1940">
        <f t="shared" si="102"/>
        <v>5534974099</v>
      </c>
      <c r="AD150" s="1940">
        <f t="shared" si="102"/>
        <v>6908638915</v>
      </c>
      <c r="AE150" s="1940">
        <f t="shared" si="102"/>
        <v>13429011587</v>
      </c>
      <c r="AF150" s="1940">
        <f t="shared" si="102"/>
        <v>13429011587</v>
      </c>
      <c r="AG150" s="1940">
        <f t="shared" si="102"/>
        <v>13429011587</v>
      </c>
      <c r="AH150" s="999">
        <f t="shared" si="68"/>
        <v>0</v>
      </c>
      <c r="AI150" s="999">
        <f t="shared" si="69"/>
        <v>0</v>
      </c>
      <c r="AJ150" s="999">
        <f t="shared" si="70"/>
        <v>0</v>
      </c>
      <c r="AK150" s="999">
        <f t="shared" si="71"/>
        <v>0</v>
      </c>
      <c r="AL150" s="999">
        <f t="shared" si="72"/>
        <v>0</v>
      </c>
      <c r="AM150" s="2214">
        <f t="shared" si="73"/>
        <v>0</v>
      </c>
    </row>
    <row r="151" spans="1:39" s="75" customFormat="1">
      <c r="A151" s="1938" t="s">
        <v>31</v>
      </c>
      <c r="B151" s="1939" t="s">
        <v>386</v>
      </c>
      <c r="C151" s="1940">
        <f t="shared" ref="C151:AG151" si="103">+C128+C150</f>
        <v>41860259125.120003</v>
      </c>
      <c r="D151" s="1940">
        <f t="shared" si="103"/>
        <v>35447936916</v>
      </c>
      <c r="E151" s="1940">
        <f t="shared" si="103"/>
        <v>36570136254</v>
      </c>
      <c r="F151" s="1940">
        <f t="shared" si="103"/>
        <v>38065638321</v>
      </c>
      <c r="G151" s="1940">
        <f t="shared" si="103"/>
        <v>44033915752</v>
      </c>
      <c r="H151" s="1940">
        <f t="shared" si="103"/>
        <v>44033915752</v>
      </c>
      <c r="I151" s="1940">
        <f t="shared" si="103"/>
        <v>39927383851</v>
      </c>
      <c r="J151" s="1940">
        <f t="shared" si="103"/>
        <v>31624183965.776001</v>
      </c>
      <c r="K151" s="1940">
        <f t="shared" si="103"/>
        <v>32708382997.306</v>
      </c>
      <c r="L151" s="1940">
        <f t="shared" si="103"/>
        <v>34084986528.306</v>
      </c>
      <c r="M151" s="1940">
        <f t="shared" si="103"/>
        <v>40109682755.839203</v>
      </c>
      <c r="N151" s="1940">
        <f t="shared" si="103"/>
        <v>40109682755.839203</v>
      </c>
      <c r="O151" s="1940">
        <f t="shared" si="103"/>
        <v>37305661688.655998</v>
      </c>
      <c r="P151" s="1940">
        <f t="shared" si="103"/>
        <v>3820252950.224</v>
      </c>
      <c r="Q151" s="1940">
        <f t="shared" si="103"/>
        <v>3858253256.6940002</v>
      </c>
      <c r="R151" s="1940">
        <f t="shared" si="103"/>
        <v>3975178328.6940002</v>
      </c>
      <c r="S151" s="1940">
        <f t="shared" si="103"/>
        <v>3921721356.1608</v>
      </c>
      <c r="T151" s="1940">
        <f t="shared" si="103"/>
        <v>3921721356.1608</v>
      </c>
      <c r="U151" s="1940">
        <f t="shared" si="103"/>
        <v>2619210522.3439999</v>
      </c>
      <c r="V151" s="2483">
        <f t="shared" si="103"/>
        <v>3500000</v>
      </c>
      <c r="W151" s="1940">
        <f t="shared" si="103"/>
        <v>3500000</v>
      </c>
      <c r="X151" s="1940">
        <f t="shared" si="103"/>
        <v>5473464</v>
      </c>
      <c r="Y151" s="1940">
        <f t="shared" si="103"/>
        <v>2511640</v>
      </c>
      <c r="Z151" s="1940">
        <f t="shared" si="103"/>
        <v>2511640</v>
      </c>
      <c r="AA151" s="1940">
        <f t="shared" si="103"/>
        <v>2511640</v>
      </c>
      <c r="AB151" s="1940">
        <f t="shared" si="103"/>
        <v>35447936916</v>
      </c>
      <c r="AC151" s="1940">
        <f t="shared" si="103"/>
        <v>36570136254</v>
      </c>
      <c r="AD151" s="1940">
        <f t="shared" si="103"/>
        <v>38065638321</v>
      </c>
      <c r="AE151" s="1940">
        <f t="shared" si="103"/>
        <v>44033915752</v>
      </c>
      <c r="AF151" s="1940">
        <f t="shared" si="103"/>
        <v>44033915752</v>
      </c>
      <c r="AG151" s="1940">
        <f t="shared" si="103"/>
        <v>39927383851</v>
      </c>
      <c r="AH151" s="999">
        <f t="shared" si="68"/>
        <v>0</v>
      </c>
      <c r="AI151" s="999">
        <f t="shared" si="69"/>
        <v>0</v>
      </c>
      <c r="AJ151" s="999">
        <f t="shared" si="70"/>
        <v>0</v>
      </c>
      <c r="AK151" s="999">
        <f t="shared" si="71"/>
        <v>0</v>
      </c>
      <c r="AL151" s="999">
        <f t="shared" si="72"/>
        <v>0</v>
      </c>
      <c r="AM151" s="2214">
        <f t="shared" si="73"/>
        <v>0</v>
      </c>
    </row>
    <row r="152" spans="1:39" ht="6" hidden="1" customHeight="1">
      <c r="A152" s="84"/>
      <c r="B152" s="63"/>
      <c r="C152" s="85"/>
      <c r="D152" s="85"/>
      <c r="E152" s="85"/>
      <c r="F152" s="85"/>
      <c r="G152" s="85"/>
      <c r="H152" s="85"/>
      <c r="I152" s="85"/>
      <c r="J152" s="85"/>
      <c r="K152" s="85"/>
      <c r="L152" s="85"/>
      <c r="M152" s="85"/>
      <c r="N152" s="85"/>
      <c r="O152" s="85"/>
      <c r="P152" s="85"/>
      <c r="Q152" s="85"/>
      <c r="R152" s="85"/>
      <c r="S152" s="85"/>
      <c r="T152" s="85"/>
      <c r="U152" s="85"/>
      <c r="V152" s="85"/>
      <c r="W152" s="1954"/>
      <c r="X152" s="1954"/>
      <c r="Y152" s="1954"/>
      <c r="Z152" s="1954"/>
      <c r="AA152" s="1954"/>
      <c r="AB152" s="1954"/>
      <c r="AC152" s="1954"/>
      <c r="AD152" s="1954"/>
      <c r="AE152" s="1954"/>
      <c r="AF152" s="1954"/>
      <c r="AG152" s="1954"/>
      <c r="AH152" s="1954"/>
      <c r="AI152" s="1954"/>
      <c r="AJ152" s="1954"/>
      <c r="AK152" s="1954"/>
      <c r="AL152" s="2499"/>
    </row>
    <row r="153" spans="1:39" hidden="1">
      <c r="A153" s="84"/>
      <c r="B153" s="63"/>
      <c r="C153" s="86">
        <f t="shared" ref="C153:AG153" si="104">+C89-C151</f>
        <v>6.999969482421875E-2</v>
      </c>
      <c r="D153" s="86">
        <f t="shared" si="104"/>
        <v>0.269683837890625</v>
      </c>
      <c r="E153" s="86">
        <f t="shared" si="104"/>
        <v>0.269683837890625</v>
      </c>
      <c r="F153" s="86">
        <f t="shared" si="104"/>
        <v>0.269683837890625</v>
      </c>
      <c r="G153" s="86">
        <f t="shared" si="104"/>
        <v>0.269683837890625</v>
      </c>
      <c r="H153" s="86">
        <f t="shared" si="104"/>
        <v>0.269683837890625</v>
      </c>
      <c r="I153" s="86">
        <f t="shared" si="104"/>
        <v>1897911901</v>
      </c>
      <c r="J153" s="86">
        <f>+J89-J151</f>
        <v>0.49367904663085938</v>
      </c>
      <c r="K153" s="86">
        <f t="shared" si="104"/>
        <v>-3.6319732666015625E-2</v>
      </c>
      <c r="L153" s="86">
        <f t="shared" si="104"/>
        <v>-3.6319732666015625E-2</v>
      </c>
      <c r="M153" s="86">
        <f t="shared" si="104"/>
        <v>0.43048095703125</v>
      </c>
      <c r="N153" s="86">
        <f t="shared" si="104"/>
        <v>0.43048095703125</v>
      </c>
      <c r="O153" s="86">
        <f t="shared" si="104"/>
        <v>595401067.34400177</v>
      </c>
      <c r="P153" s="86">
        <f t="shared" si="104"/>
        <v>-0.22399997711181641</v>
      </c>
      <c r="Q153" s="86">
        <f t="shared" si="104"/>
        <v>0.305999755859375</v>
      </c>
      <c r="R153" s="86">
        <f t="shared" si="104"/>
        <v>0.305999755859375</v>
      </c>
      <c r="S153" s="86">
        <f t="shared" si="104"/>
        <v>-0.16079998016357422</v>
      </c>
      <c r="T153" s="86">
        <f t="shared" si="104"/>
        <v>-0.16079998016357422</v>
      </c>
      <c r="U153" s="86">
        <f t="shared" si="104"/>
        <v>1302510833.6560001</v>
      </c>
      <c r="V153" s="86">
        <f t="shared" si="104"/>
        <v>0</v>
      </c>
      <c r="W153" s="86">
        <f t="shared" si="104"/>
        <v>0</v>
      </c>
      <c r="X153" s="86">
        <f t="shared" si="104"/>
        <v>0</v>
      </c>
      <c r="Y153" s="86">
        <f t="shared" si="104"/>
        <v>0</v>
      </c>
      <c r="Z153" s="86">
        <f t="shared" si="104"/>
        <v>0</v>
      </c>
      <c r="AA153" s="86">
        <f t="shared" si="104"/>
        <v>0</v>
      </c>
      <c r="AB153" s="86">
        <f t="shared" si="104"/>
        <v>0.269683837890625</v>
      </c>
      <c r="AC153" s="80">
        <f t="shared" si="104"/>
        <v>0.269683837890625</v>
      </c>
      <c r="AD153" s="81">
        <f t="shared" si="104"/>
        <v>0.269683837890625</v>
      </c>
      <c r="AE153" s="83">
        <f t="shared" si="104"/>
        <v>0.269683837890625</v>
      </c>
      <c r="AF153" s="81">
        <f t="shared" si="104"/>
        <v>0.269683837890625</v>
      </c>
      <c r="AG153" s="81">
        <f t="shared" si="104"/>
        <v>1897911901</v>
      </c>
      <c r="AH153" s="2090"/>
      <c r="AI153" s="85"/>
      <c r="AJ153" s="85"/>
      <c r="AK153" s="85"/>
      <c r="AL153" s="63"/>
    </row>
    <row r="154" spans="1:39" hidden="1">
      <c r="I154" s="85">
        <f>+'1. mell.ÖSSZEVONT_MÉRLEG'!J88</f>
        <v>41825295752</v>
      </c>
      <c r="M154" s="63">
        <f>+AG153</f>
        <v>1897911901</v>
      </c>
    </row>
    <row r="155" spans="1:39" hidden="1">
      <c r="B155" s="62"/>
      <c r="D155" s="87"/>
      <c r="E155" s="85"/>
      <c r="F155" s="85">
        <f>+F153-L153</f>
        <v>0.30600357055664063</v>
      </c>
      <c r="I155" s="85">
        <f>+'1. mell.ÖSSZEVONT_MÉRLEG'!J153</f>
        <v>39927383851</v>
      </c>
      <c r="J155" s="87">
        <f>+J151/D151</f>
        <v>0.89213045150455328</v>
      </c>
      <c r="K155" s="87"/>
      <c r="L155" s="87"/>
      <c r="M155" s="63">
        <f>+O153+U153</f>
        <v>1897911901.0000019</v>
      </c>
      <c r="N155" s="87"/>
      <c r="O155" s="87"/>
      <c r="P155" s="87">
        <f>+P151/D151</f>
        <v>0.10777081214279827</v>
      </c>
      <c r="Q155" s="87"/>
      <c r="R155" s="87"/>
      <c r="S155" s="87"/>
      <c r="T155" s="87"/>
      <c r="U155" s="87"/>
      <c r="V155" s="87">
        <f>+V151/D151</f>
        <v>9.8736352648501192E-5</v>
      </c>
    </row>
    <row r="156" spans="1:39">
      <c r="F156" s="85">
        <f>+F151-L151-R151-X151</f>
        <v>0</v>
      </c>
      <c r="I156" s="85">
        <f>+I154-I155</f>
        <v>1897911901</v>
      </c>
    </row>
    <row r="157" spans="1:39">
      <c r="K157" s="63">
        <f>+K151+Q151+W151</f>
        <v>36570136254</v>
      </c>
    </row>
    <row r="158" spans="1:39">
      <c r="K158" s="63">
        <f>+E151-K157</f>
        <v>0</v>
      </c>
    </row>
  </sheetData>
  <sheetProtection algorithmName="SHA-512" hashValue="bSF1NRgxcip3dG254UsfIErEOSaqfWeL/9F95mYPtZHLImUQFPHsxBsUAO3impSD6T/pWYb80dnypShh2iMBag==" saltValue="11CX/sfkStYUooVnZjlLGQ==" spinCount="100000" sheet="1" selectLockedCells="1" selectUnlockedCells="1"/>
  <mergeCells count="4">
    <mergeCell ref="A1:AC1"/>
    <mergeCell ref="A2:AD2"/>
    <mergeCell ref="A3:AD3"/>
    <mergeCell ref="D7:E7"/>
  </mergeCells>
  <printOptions horizontalCentered="1"/>
  <pageMargins left="0.15748031496062992" right="0.15748031496062992" top="0.27559055118110237" bottom="0.47244094488188981" header="0.51181102362204722" footer="0.47244094488188981"/>
  <pageSetup paperSize="9" scale="50" firstPageNumber="0" fitToHeight="2" orientation="portrait" r:id="rId1"/>
  <headerFooter alignWithMargins="0">
    <oddFooter>&amp;C&amp;"Arial CE,Félkövér"&amp;14
&amp;P/&amp;N</oddFooter>
  </headerFooter>
  <rowBreaks count="1" manualBreakCount="1">
    <brk id="89"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8ED41-EED7-4E4D-BBD0-8697B89E35A3}">
  <sheetPr>
    <tabColor theme="7" tint="0.39997558519241921"/>
  </sheetPr>
  <dimension ref="A1:Z165"/>
  <sheetViews>
    <sheetView view="pageBreakPreview" zoomScaleSheetLayoutView="100" workbookViewId="0">
      <pane xSplit="2" ySplit="6" topLeftCell="D7" activePane="bottomRight" state="frozen"/>
      <selection sqref="A1:AC1"/>
      <selection pane="topRight" sqref="A1:AC1"/>
      <selection pane="bottomLeft" sqref="A1:AC1"/>
      <selection pane="bottomRight" sqref="A1:N1"/>
    </sheetView>
  </sheetViews>
  <sheetFormatPr defaultColWidth="8" defaultRowHeight="12.75"/>
  <cols>
    <col min="1" max="1" width="11" style="88" customWidth="1"/>
    <col min="2" max="2" width="61.7109375" style="89" customWidth="1"/>
    <col min="3" max="3" width="14.28515625" style="89" hidden="1" customWidth="1"/>
    <col min="4" max="4" width="12.5703125" style="90" hidden="1" customWidth="1"/>
    <col min="5" max="5" width="16.42578125" style="91" customWidth="1"/>
    <col min="6" max="6" width="14.140625" style="91" hidden="1" customWidth="1"/>
    <col min="7" max="7" width="14.28515625" style="91" hidden="1" customWidth="1"/>
    <col min="8" max="8" width="14.42578125" style="91" customWidth="1"/>
    <col min="9" max="9" width="13.28515625" style="91" hidden="1" customWidth="1"/>
    <col min="10" max="10" width="16.140625" style="91" customWidth="1"/>
    <col min="11" max="11" width="14" style="89" customWidth="1"/>
    <col min="12" max="12" width="11.140625" style="89" hidden="1" customWidth="1"/>
    <col min="13" max="13" width="16.42578125" style="89" hidden="1" customWidth="1"/>
    <col min="14" max="14" width="14.140625" style="89" hidden="1" customWidth="1"/>
    <col min="15" max="16" width="11.140625" style="89" hidden="1" customWidth="1"/>
    <col min="17" max="17" width="12.28515625" style="89" hidden="1" customWidth="1"/>
    <col min="18" max="18" width="14.85546875" style="89" hidden="1" customWidth="1"/>
    <col min="19" max="20" width="16" style="89" hidden="1" customWidth="1"/>
    <col min="21" max="21" width="14.85546875" style="89" hidden="1" customWidth="1"/>
    <col min="22" max="22" width="10.28515625" style="89" hidden="1" customWidth="1"/>
    <col min="23" max="23" width="15.28515625" style="89" hidden="1" customWidth="1"/>
    <col min="24" max="24" width="17.140625" style="89" hidden="1" customWidth="1"/>
    <col min="25" max="25" width="13.7109375" style="89" hidden="1" customWidth="1"/>
    <col min="26" max="26" width="11.42578125" style="89" hidden="1" customWidth="1"/>
    <col min="27" max="27" width="8" style="89" customWidth="1"/>
    <col min="28" max="16384" width="8" style="89"/>
  </cols>
  <sheetData>
    <row r="1" spans="1:26" s="92" customFormat="1" ht="31.5" customHeight="1">
      <c r="A1" s="3591" t="s">
        <v>4259</v>
      </c>
      <c r="B1" s="3591"/>
      <c r="C1" s="3591"/>
      <c r="D1" s="3591"/>
      <c r="E1" s="3591"/>
      <c r="F1" s="3591"/>
      <c r="G1" s="3591"/>
      <c r="H1" s="3591"/>
      <c r="I1" s="3591"/>
      <c r="J1" s="3591"/>
      <c r="K1" s="3591"/>
      <c r="L1" s="3568"/>
      <c r="M1" s="3568"/>
      <c r="N1" s="3568"/>
      <c r="R1" s="178"/>
      <c r="S1" s="177"/>
      <c r="T1" s="178"/>
    </row>
    <row r="2" spans="1:26" s="94" customFormat="1" ht="20.25" customHeight="1">
      <c r="A2" s="1433"/>
      <c r="B2" s="3589" t="s">
        <v>3208</v>
      </c>
      <c r="C2" s="3589"/>
      <c r="D2" s="3589"/>
      <c r="E2" s="3589"/>
      <c r="F2" s="3589"/>
      <c r="G2" s="3589"/>
      <c r="H2" s="3589"/>
      <c r="I2" s="3589"/>
      <c r="J2" s="3589"/>
      <c r="K2" s="3589"/>
      <c r="L2" s="3590"/>
      <c r="M2" s="3590"/>
      <c r="N2" s="3590"/>
    </row>
    <row r="3" spans="1:26" s="94" customFormat="1" ht="16.5" thickBot="1">
      <c r="A3" s="1875"/>
      <c r="B3" s="1959" t="str">
        <f>+'1. mell.ÖSSZEVONT_MÉRLEG'!B4</f>
        <v>A</v>
      </c>
      <c r="C3" s="1959" t="str">
        <f>+'1. mell.ÖSSZEVONT_MÉRLEG'!C4</f>
        <v>B</v>
      </c>
      <c r="D3" s="1959" t="str">
        <f>+'1. mell.ÖSSZEVONT_MÉRLEG'!D4</f>
        <v>B</v>
      </c>
      <c r="E3" s="1959" t="str">
        <f>+'1. mell.ÖSSZEVONT_MÉRLEG'!E4</f>
        <v>B</v>
      </c>
      <c r="F3" s="1959" t="str">
        <f>+'1. mell.ÖSSZEVONT_MÉRLEG'!F4</f>
        <v>D</v>
      </c>
      <c r="G3" s="1959" t="str">
        <f>+'1. mell.ÖSSZEVONT_MÉRLEG'!G4</f>
        <v>E</v>
      </c>
      <c r="H3" s="1959" t="str">
        <f>+'1. mell.ÖSSZEVONT_MÉRLEG'!H4</f>
        <v>C</v>
      </c>
      <c r="I3" s="1959" t="str">
        <f>+'1. mell.ÖSSZEVONT_MÉRLEG'!I4</f>
        <v>F</v>
      </c>
      <c r="J3" s="1959" t="str">
        <f>+'1. mell.ÖSSZEVONT_MÉRLEG'!J4</f>
        <v>D</v>
      </c>
      <c r="K3" s="1959" t="str">
        <f>+'1. mell.ÖSSZEVONT_MÉRLEG'!K4</f>
        <v>E</v>
      </c>
      <c r="L3" s="1959">
        <f>+'1. mell.ÖSSZEVONT_MÉRLEG'!L4</f>
        <v>0</v>
      </c>
      <c r="M3" s="1959" t="str">
        <f>+'1. mell.ÖSSZEVONT_MÉRLEG'!M4</f>
        <v>F</v>
      </c>
      <c r="N3" s="1959" t="str">
        <f>+'1. mell.ÖSSZEVONT_MÉRLEG'!N4</f>
        <v>G</v>
      </c>
    </row>
    <row r="4" spans="1:26" ht="75" customHeight="1">
      <c r="A4" s="1875" t="s">
        <v>6</v>
      </c>
      <c r="B4" s="1875" t="str">
        <f>+'1. mell.ÖSSZEVONT_MÉRLEG'!B5</f>
        <v>Bevételi jogcímek</v>
      </c>
      <c r="C4" s="1875" t="str">
        <f>+'1. mell.ÖSSZEVONT_MÉRLEG'!C5</f>
        <v>2024. évi eredeti előirányzat
forintban</v>
      </c>
      <c r="D4" s="2566" t="str">
        <f>+'1. mell.ÖSSZEVONT_MÉRLEG'!D5</f>
        <v>2024. évi teljesítés forintban</v>
      </c>
      <c r="E4" s="1875" t="str">
        <f>+'1. mell.ÖSSZEVONT_MÉRLEG'!E5</f>
        <v>2025. évi eredeti előirányzat forintban</v>
      </c>
      <c r="F4" s="1875" t="str">
        <f>+'1. mell.ÖSSZEVONT_MÉRLEG'!F5</f>
        <v>2025. évi I. számú módosított előirányzat
forintban</v>
      </c>
      <c r="G4" s="2480" t="str">
        <f>+'1. mell.ÖSSZEVONT_MÉRLEG'!G5</f>
        <v>2025. évi II. számú módosított előirányzat forintban</v>
      </c>
      <c r="H4" s="2480" t="str">
        <f>+'1. mell.ÖSSZEVONT_MÉRLEG'!H5</f>
        <v>2025. évi III. számú módosított előirányzat forintban</v>
      </c>
      <c r="I4" s="2480" t="str">
        <f>+'1. mell.ÖSSZEVONT_MÉRLEG'!I5</f>
        <v>2025. évi IV. számú módosított előirányzat forintban</v>
      </c>
      <c r="J4" s="2480" t="str">
        <f>+'1. mell.ÖSSZEVONT_MÉRLEG'!J5</f>
        <v>2025. évi
teljesítés forintban</v>
      </c>
      <c r="K4" s="2480" t="str">
        <f>+'1. mell.ÖSSZEVONT_MÉRLEG'!K5</f>
        <v xml:space="preserve"> 2025. évi teljesítés / 2025. évi III. számú módosított előirányzat</v>
      </c>
      <c r="L4" s="2480" t="str">
        <f>+'1. mell.ÖSSZEVONT_MÉRLEG'!L5</f>
        <v>Változás I. módosításnál</v>
      </c>
      <c r="M4" s="2571" t="str">
        <f>+'1. mell.ÖSSZEVONT_MÉRLEG'!M5</f>
        <v>Előirányzat-módosítások, előirányzat-átcsoportosítások összegszerű változásai</v>
      </c>
      <c r="N4" s="2571" t="str">
        <f>+'1. mell.ÖSSZEVONT_MÉRLEG'!N5</f>
        <v>Előirányzat-módosítások, előirányzat-átcsoportosítások összegszerű változásai a III. módosításnál</v>
      </c>
      <c r="O4" s="43" t="s">
        <v>175</v>
      </c>
      <c r="P4" s="42"/>
      <c r="Q4" s="1252" t="s">
        <v>3737</v>
      </c>
      <c r="R4" s="97"/>
      <c r="Y4" s="2672" t="s">
        <v>3915</v>
      </c>
    </row>
    <row r="5" spans="1:26" s="99" customFormat="1" ht="12.95" hidden="1" customHeight="1" thickBot="1">
      <c r="A5" s="1960">
        <f>+'1. mell.ÖSSZEVONT_MÉRLEG'!A6</f>
        <v>1</v>
      </c>
      <c r="B5" s="1960">
        <f>+'1. mell.ÖSSZEVONT_MÉRLEG'!B6</f>
        <v>2</v>
      </c>
      <c r="C5" s="1960">
        <f>+'1. mell.ÖSSZEVONT_MÉRLEG'!C6</f>
        <v>3</v>
      </c>
      <c r="D5" s="1902">
        <f>+'1. mell.ÖSSZEVONT_MÉRLEG'!D6</f>
        <v>0</v>
      </c>
      <c r="E5" s="1960">
        <f>+'1. mell.ÖSSZEVONT_MÉRLEG'!E6</f>
        <v>3</v>
      </c>
      <c r="F5" s="1960">
        <f>+'1. mell.ÖSSZEVONT_MÉRLEG'!F6</f>
        <v>4</v>
      </c>
      <c r="G5" s="1960">
        <f>+'1. mell.ÖSSZEVONT_MÉRLEG'!G6</f>
        <v>5</v>
      </c>
      <c r="H5" s="1960">
        <f>+'1. mell.ÖSSZEVONT_MÉRLEG'!H6</f>
        <v>6</v>
      </c>
      <c r="I5" s="1960">
        <f>+'1. mell.ÖSSZEVONT_MÉRLEG'!I6</f>
        <v>7</v>
      </c>
      <c r="J5" s="1961">
        <f>+'1. mell.ÖSSZEVONT_MÉRLEG'!J6</f>
        <v>0</v>
      </c>
      <c r="K5" s="1962">
        <v>5</v>
      </c>
      <c r="M5" s="2013"/>
      <c r="P5" s="98"/>
      <c r="Q5" s="100"/>
      <c r="Y5" s="1961">
        <v>0</v>
      </c>
    </row>
    <row r="6" spans="1:26" s="99" customFormat="1" ht="15.95" hidden="1" customHeight="1" thickBot="1">
      <c r="A6" s="1875"/>
      <c r="B6" s="1875"/>
      <c r="C6" s="1963"/>
      <c r="D6" s="1964"/>
      <c r="E6" s="1963"/>
      <c r="F6" s="1963"/>
      <c r="G6" s="1963"/>
      <c r="H6" s="1963"/>
      <c r="I6" s="1963"/>
      <c r="J6" s="1965"/>
      <c r="K6" s="1963"/>
      <c r="M6" s="2013"/>
      <c r="P6" s="101"/>
      <c r="Q6" s="102"/>
      <c r="Y6" s="1965"/>
    </row>
    <row r="7" spans="1:26" s="99" customFormat="1" ht="24.75" customHeight="1" thickBot="1">
      <c r="A7" s="1966" t="s">
        <v>3353</v>
      </c>
      <c r="B7" s="1967" t="s">
        <v>3381</v>
      </c>
      <c r="C7" s="1968">
        <f t="shared" ref="C7:J7" si="0">+C8+C9+C10+C11+C12+C13</f>
        <v>6535171723</v>
      </c>
      <c r="D7" s="1968">
        <f t="shared" si="0"/>
        <v>6378941324</v>
      </c>
      <c r="E7" s="1968">
        <f t="shared" si="0"/>
        <v>6635944194</v>
      </c>
      <c r="F7" s="1968">
        <f t="shared" si="0"/>
        <v>6691653646</v>
      </c>
      <c r="G7" s="1968">
        <f t="shared" si="0"/>
        <v>6877928836</v>
      </c>
      <c r="H7" s="1968">
        <f t="shared" si="0"/>
        <v>7130846423</v>
      </c>
      <c r="I7" s="1968">
        <f t="shared" si="0"/>
        <v>7130846423</v>
      </c>
      <c r="J7" s="1969">
        <f t="shared" si="0"/>
        <v>7130846423</v>
      </c>
      <c r="K7" s="1970">
        <f t="shared" ref="K7:K15" si="1">+J7/H7</f>
        <v>1</v>
      </c>
      <c r="L7" s="2093">
        <f t="shared" ref="L7:L84" si="2">+F7-E7</f>
        <v>55709452</v>
      </c>
      <c r="M7" s="1968">
        <f t="shared" ref="M7:M45" si="3">+G7-F7</f>
        <v>186275190</v>
      </c>
      <c r="N7" s="1968">
        <f t="shared" ref="N7:N152" si="4">+H7-G7</f>
        <v>252917587</v>
      </c>
      <c r="O7" s="1555">
        <f t="shared" ref="O7:O44" si="5">+I7-H7</f>
        <v>0</v>
      </c>
      <c r="P7" s="103"/>
      <c r="Q7" s="104">
        <f>+E7-C7</f>
        <v>100772471</v>
      </c>
      <c r="R7" s="105"/>
      <c r="Y7" s="1969">
        <v>6378941324</v>
      </c>
      <c r="Z7" s="2531">
        <f>+D7-Y7</f>
        <v>0</v>
      </c>
    </row>
    <row r="8" spans="1:26" s="108" customFormat="1" ht="12" customHeight="1">
      <c r="A8" s="1971" t="s">
        <v>176</v>
      </c>
      <c r="B8" s="1972" t="s">
        <v>177</v>
      </c>
      <c r="C8" s="1973">
        <f>+'7. mell. Önk.összes.bevétele'!I7</f>
        <v>1197603775</v>
      </c>
      <c r="D8" s="2723">
        <f>+'7. mell. Önk.összes.bevétele'!J7</f>
        <v>1197603775</v>
      </c>
      <c r="E8" s="1973">
        <f>+'7. mell. Önk.összes.bevétele'!K7</f>
        <v>1196771675</v>
      </c>
      <c r="F8" s="1973">
        <f>+'7. mell. Önk.összes.bevétele'!L7</f>
        <v>1196771675</v>
      </c>
      <c r="G8" s="1973">
        <f>+'7. mell. Önk.összes.bevétele'!M7</f>
        <v>1196771675</v>
      </c>
      <c r="H8" s="1973">
        <f>+'7. mell. Önk.összes.bevétele'!N7</f>
        <v>1238973205</v>
      </c>
      <c r="I8" s="1973">
        <f>+'7. mell. Önk.összes.bevétele'!O7</f>
        <v>1238973205</v>
      </c>
      <c r="J8" s="1974">
        <f>+'7. mell. Önk.összes.bevétele'!P7</f>
        <v>1238973205</v>
      </c>
      <c r="K8" s="1975">
        <f t="shared" si="1"/>
        <v>1</v>
      </c>
      <c r="L8" s="2093">
        <f t="shared" si="2"/>
        <v>0</v>
      </c>
      <c r="M8" s="1973">
        <f t="shared" si="3"/>
        <v>0</v>
      </c>
      <c r="N8" s="1973">
        <f t="shared" si="4"/>
        <v>42201530</v>
      </c>
      <c r="O8" s="1555">
        <f t="shared" si="5"/>
        <v>0</v>
      </c>
      <c r="P8" s="106"/>
      <c r="Q8" s="107">
        <f t="shared" ref="Q8:Q71" si="6">+E8-C8</f>
        <v>-832100</v>
      </c>
      <c r="R8" s="1556"/>
      <c r="Y8" s="1974">
        <v>1197603775</v>
      </c>
      <c r="Z8" s="2531">
        <f t="shared" ref="Z8:Z71" si="7">+D8-Y8</f>
        <v>0</v>
      </c>
    </row>
    <row r="9" spans="1:26" s="110" customFormat="1" ht="12" customHeight="1">
      <c r="A9" s="1971" t="s">
        <v>178</v>
      </c>
      <c r="B9" s="1972" t="s">
        <v>3535</v>
      </c>
      <c r="C9" s="1973">
        <f>+'7. mell. Önk.összes.bevétele'!I8</f>
        <v>2720986226</v>
      </c>
      <c r="D9" s="2723">
        <f>+'7. mell. Önk.összes.bevétele'!J8</f>
        <v>2712360142</v>
      </c>
      <c r="E9" s="1973">
        <f>+'7. mell. Önk.összes.bevétele'!K8</f>
        <v>3022096356</v>
      </c>
      <c r="F9" s="1973">
        <f>+'7. mell. Önk.összes.bevétele'!L8</f>
        <v>3022096356</v>
      </c>
      <c r="G9" s="1973">
        <f>+'7. mell. Önk.összes.bevétele'!M8</f>
        <v>3022096356</v>
      </c>
      <c r="H9" s="1973">
        <f>+'7. mell. Önk.összes.bevétele'!N8</f>
        <v>3011772170</v>
      </c>
      <c r="I9" s="1973">
        <f>+'7. mell. Önk.összes.bevétele'!O8</f>
        <v>3011772170</v>
      </c>
      <c r="J9" s="1974">
        <f>+'7. mell. Önk.összes.bevétele'!P8</f>
        <v>3011772170</v>
      </c>
      <c r="K9" s="1975">
        <f t="shared" si="1"/>
        <v>1</v>
      </c>
      <c r="L9" s="2093">
        <f t="shared" si="2"/>
        <v>0</v>
      </c>
      <c r="M9" s="1973">
        <f t="shared" si="3"/>
        <v>0</v>
      </c>
      <c r="N9" s="1973">
        <f t="shared" si="4"/>
        <v>-10324186</v>
      </c>
      <c r="O9" s="1555">
        <f t="shared" si="5"/>
        <v>0</v>
      </c>
      <c r="P9" s="109"/>
      <c r="Q9" s="107">
        <f t="shared" si="6"/>
        <v>301110130</v>
      </c>
      <c r="R9" s="1557"/>
      <c r="Y9" s="1974">
        <v>2712360142</v>
      </c>
      <c r="Z9" s="2531">
        <f t="shared" si="7"/>
        <v>0</v>
      </c>
    </row>
    <row r="10" spans="1:26" s="110" customFormat="1" ht="22.5" customHeight="1">
      <c r="A10" s="1971" t="s">
        <v>179</v>
      </c>
      <c r="B10" s="1972" t="s">
        <v>3536</v>
      </c>
      <c r="C10" s="1973">
        <f>+'7. mell. Önk.összes.bevétele'!I9</f>
        <v>2575588594</v>
      </c>
      <c r="D10" s="2723">
        <f>+'7. mell. Önk.összes.bevétele'!J9</f>
        <v>2354952863</v>
      </c>
      <c r="E10" s="1973">
        <f>+'7. mell. Önk.összes.bevétele'!K9</f>
        <v>2376252867</v>
      </c>
      <c r="F10" s="1973">
        <f>+'7. mell. Önk.összes.bevétele'!L9</f>
        <v>2376252867</v>
      </c>
      <c r="G10" s="1973">
        <f>+'7. mell. Önk.összes.bevétele'!M9</f>
        <v>2509438057</v>
      </c>
      <c r="H10" s="1973">
        <f>+'7. mell. Önk.összes.bevétele'!N9</f>
        <v>2731130554</v>
      </c>
      <c r="I10" s="1973">
        <f>+'7. mell. Önk.összes.bevétele'!O9</f>
        <v>2731130554</v>
      </c>
      <c r="J10" s="1974">
        <f>+'7. mell. Önk.összes.bevétele'!P9</f>
        <v>2731130554</v>
      </c>
      <c r="K10" s="1975">
        <f t="shared" si="1"/>
        <v>1</v>
      </c>
      <c r="L10" s="2093">
        <f t="shared" si="2"/>
        <v>0</v>
      </c>
      <c r="M10" s="1973">
        <f t="shared" si="3"/>
        <v>133185190</v>
      </c>
      <c r="N10" s="1973">
        <f t="shared" si="4"/>
        <v>221692497</v>
      </c>
      <c r="O10" s="1555">
        <f t="shared" si="5"/>
        <v>0</v>
      </c>
      <c r="P10" s="109"/>
      <c r="Q10" s="107">
        <f t="shared" si="6"/>
        <v>-199335727</v>
      </c>
      <c r="R10" s="1557"/>
      <c r="Y10" s="1974">
        <v>2354952863</v>
      </c>
      <c r="Z10" s="2531">
        <f t="shared" si="7"/>
        <v>0</v>
      </c>
    </row>
    <row r="11" spans="1:26" s="110" customFormat="1" ht="12" customHeight="1">
      <c r="A11" s="1971" t="s">
        <v>180</v>
      </c>
      <c r="B11" s="1972" t="s">
        <v>3534</v>
      </c>
      <c r="C11" s="1973">
        <f>+'7. mell. Önk.összes.bevétele'!I10</f>
        <v>40993128</v>
      </c>
      <c r="D11" s="2723">
        <f>+'7. mell. Önk.összes.bevétele'!J10</f>
        <v>84509544</v>
      </c>
      <c r="E11" s="1973">
        <f>+'7. mell. Önk.összes.bevétele'!K10</f>
        <v>40823296</v>
      </c>
      <c r="F11" s="1973">
        <f>+'7. mell. Önk.összes.bevétele'!L10</f>
        <v>40823296</v>
      </c>
      <c r="G11" s="1973">
        <f>+'7. mell. Önk.összes.bevétele'!M10</f>
        <v>88913296</v>
      </c>
      <c r="H11" s="1973">
        <f>+'7. mell. Önk.összes.bevétele'!N10</f>
        <v>85961042</v>
      </c>
      <c r="I11" s="1973">
        <f>+'7. mell. Önk.összes.bevétele'!O10</f>
        <v>85961042</v>
      </c>
      <c r="J11" s="1974">
        <f>+'7. mell. Önk.összes.bevétele'!P10</f>
        <v>85961042</v>
      </c>
      <c r="K11" s="1975">
        <f t="shared" si="1"/>
        <v>1</v>
      </c>
      <c r="L11" s="2093">
        <f t="shared" si="2"/>
        <v>0</v>
      </c>
      <c r="M11" s="1973">
        <f t="shared" si="3"/>
        <v>48090000</v>
      </c>
      <c r="N11" s="1973">
        <f t="shared" si="4"/>
        <v>-2952254</v>
      </c>
      <c r="O11" s="1555">
        <f t="shared" si="5"/>
        <v>0</v>
      </c>
      <c r="P11" s="109"/>
      <c r="Q11" s="107">
        <f t="shared" si="6"/>
        <v>-169832</v>
      </c>
      <c r="R11" s="1557"/>
      <c r="Y11" s="1974">
        <v>84509544</v>
      </c>
      <c r="Z11" s="2531">
        <f t="shared" si="7"/>
        <v>0</v>
      </c>
    </row>
    <row r="12" spans="1:26" s="110" customFormat="1" ht="12" customHeight="1">
      <c r="A12" s="1971" t="s">
        <v>181</v>
      </c>
      <c r="B12" s="1972" t="s">
        <v>182</v>
      </c>
      <c r="C12" s="1973">
        <f>+'7. mell. Önk.összes.bevétele'!I12</f>
        <v>0</v>
      </c>
      <c r="D12" s="2723">
        <f>+'7. mell. Önk.összes.bevétele'!J12+'7. mell. Önk.összes.bevétele'!J11+'7. mell. Önk.összes.bevétele'!J16</f>
        <v>29515000</v>
      </c>
      <c r="E12" s="1973">
        <f>+'7. mell. Önk.összes.bevétele'!K12+'7. mell. Önk.összes.bevétele'!K11+'7. mell. Önk.összes.bevétele'!K16</f>
        <v>0</v>
      </c>
      <c r="F12" s="1973">
        <f>+'7. mell. Önk.összes.bevétele'!L12+'7. mell. Önk.összes.bevétele'!L11+'7. mell. Önk.összes.bevétele'!L16</f>
        <v>0</v>
      </c>
      <c r="G12" s="1973">
        <f>+'7. mell. Önk.összes.bevétele'!M12+'7. mell. Önk.összes.bevétele'!M11+'7. mell. Önk.összes.bevétele'!M16</f>
        <v>5000000</v>
      </c>
      <c r="H12" s="1973">
        <f>+'7. mell. Önk.összes.bevétele'!N12+'7. mell. Önk.összes.bevétele'!N11+'7. mell. Önk.összes.bevétele'!N16</f>
        <v>7300000</v>
      </c>
      <c r="I12" s="1973">
        <f>+'7. mell. Önk.összes.bevétele'!O12+'7. mell. Önk.összes.bevétele'!O11+'7. mell. Önk.összes.bevétele'!O16</f>
        <v>7300000</v>
      </c>
      <c r="J12" s="1974">
        <f>+'7. mell. Önk.összes.bevétele'!P12+'7. mell. Önk.összes.bevétele'!P11+'7. mell. Önk.összes.bevétele'!P16</f>
        <v>7300000</v>
      </c>
      <c r="K12" s="1975">
        <f t="shared" si="1"/>
        <v>1</v>
      </c>
      <c r="L12" s="2093">
        <f t="shared" si="2"/>
        <v>0</v>
      </c>
      <c r="M12" s="1973">
        <f t="shared" si="3"/>
        <v>5000000</v>
      </c>
      <c r="N12" s="1973">
        <f t="shared" si="4"/>
        <v>2300000</v>
      </c>
      <c r="O12" s="1555">
        <f t="shared" si="5"/>
        <v>0</v>
      </c>
      <c r="P12" s="109"/>
      <c r="Q12" s="107">
        <f t="shared" si="6"/>
        <v>0</v>
      </c>
      <c r="R12" s="1557"/>
      <c r="Y12" s="1974">
        <v>29515000</v>
      </c>
      <c r="Z12" s="2531">
        <f t="shared" si="7"/>
        <v>0</v>
      </c>
    </row>
    <row r="13" spans="1:26" s="108" customFormat="1" ht="12" customHeight="1" thickBot="1">
      <c r="A13" s="1971" t="s">
        <v>183</v>
      </c>
      <c r="B13" s="1972" t="s">
        <v>184</v>
      </c>
      <c r="C13" s="1973">
        <f>+'7. mell. Önk.összes.bevétele'!I17</f>
        <v>0</v>
      </c>
      <c r="D13" s="2723">
        <f>+'7. mell. Önk.összes.bevétele'!J17</f>
        <v>0</v>
      </c>
      <c r="E13" s="1973">
        <f>+'7. mell. Önk.összes.bevétele'!K17</f>
        <v>0</v>
      </c>
      <c r="F13" s="1973">
        <f>+'7. mell. Önk.összes.bevétele'!L17</f>
        <v>55709452</v>
      </c>
      <c r="G13" s="1973">
        <f>+'7. mell. Önk.összes.bevétele'!M17</f>
        <v>55709452</v>
      </c>
      <c r="H13" s="1973">
        <f>+'7. mell. Önk.összes.bevétele'!N17</f>
        <v>55709452</v>
      </c>
      <c r="I13" s="1973">
        <f>+'7. mell. Önk.összes.bevétele'!O17</f>
        <v>55709452</v>
      </c>
      <c r="J13" s="1974">
        <f>+'7. mell. Önk.összes.bevétele'!P17</f>
        <v>55709452</v>
      </c>
      <c r="K13" s="1975">
        <f t="shared" si="1"/>
        <v>1</v>
      </c>
      <c r="L13" s="2093">
        <f t="shared" si="2"/>
        <v>55709452</v>
      </c>
      <c r="M13" s="1973">
        <f t="shared" si="3"/>
        <v>0</v>
      </c>
      <c r="N13" s="1973">
        <f t="shared" si="4"/>
        <v>0</v>
      </c>
      <c r="O13" s="1555">
        <f t="shared" si="5"/>
        <v>0</v>
      </c>
      <c r="P13" s="109"/>
      <c r="Q13" s="107">
        <f t="shared" si="6"/>
        <v>0</v>
      </c>
      <c r="R13" s="1556"/>
      <c r="Y13" s="1974">
        <v>0</v>
      </c>
      <c r="Z13" s="2531">
        <f t="shared" si="7"/>
        <v>0</v>
      </c>
    </row>
    <row r="14" spans="1:26" s="108" customFormat="1" ht="12" customHeight="1" thickBot="1">
      <c r="A14" s="1966" t="s">
        <v>12</v>
      </c>
      <c r="B14" s="1976" t="s">
        <v>3382</v>
      </c>
      <c r="C14" s="1968">
        <f t="shared" ref="C14:J14" si="8">+C15+C16+C17+C18+C19</f>
        <v>186353000</v>
      </c>
      <c r="D14" s="1968">
        <f t="shared" si="8"/>
        <v>221539496</v>
      </c>
      <c r="E14" s="1968">
        <f t="shared" si="8"/>
        <v>200793190</v>
      </c>
      <c r="F14" s="1968">
        <f t="shared" si="8"/>
        <v>552631103</v>
      </c>
      <c r="G14" s="1968">
        <f t="shared" si="8"/>
        <v>366355913</v>
      </c>
      <c r="H14" s="1968">
        <f t="shared" si="8"/>
        <v>366448676</v>
      </c>
      <c r="I14" s="1968">
        <f t="shared" si="8"/>
        <v>366448676</v>
      </c>
      <c r="J14" s="1969">
        <f t="shared" si="8"/>
        <v>366448676</v>
      </c>
      <c r="K14" s="1970">
        <f t="shared" si="1"/>
        <v>1</v>
      </c>
      <c r="L14" s="2093">
        <f t="shared" si="2"/>
        <v>351837913</v>
      </c>
      <c r="M14" s="1968">
        <f t="shared" si="3"/>
        <v>-186275190</v>
      </c>
      <c r="N14" s="1968">
        <f t="shared" si="4"/>
        <v>92763</v>
      </c>
      <c r="O14" s="1555">
        <f t="shared" si="5"/>
        <v>0</v>
      </c>
      <c r="P14" s="111"/>
      <c r="Q14" s="104">
        <f t="shared" si="6"/>
        <v>14440190</v>
      </c>
      <c r="R14" s="1556"/>
      <c r="Y14" s="1969">
        <v>221539496</v>
      </c>
      <c r="Z14" s="2531">
        <f t="shared" si="7"/>
        <v>0</v>
      </c>
    </row>
    <row r="15" spans="1:26" s="108" customFormat="1" ht="12" customHeight="1">
      <c r="A15" s="1971" t="s">
        <v>185</v>
      </c>
      <c r="B15" s="1972" t="s">
        <v>186</v>
      </c>
      <c r="C15" s="1973">
        <f>+'7. mell. Önk.összes.bevétele'!I20</f>
        <v>0</v>
      </c>
      <c r="D15" s="2723">
        <f>+'7. mell. Önk.összes.bevétele'!J20</f>
        <v>204742187</v>
      </c>
      <c r="E15" s="1973">
        <f>+'7. mell. Önk.összes.bevétele'!K20</f>
        <v>0</v>
      </c>
      <c r="F15" s="1973">
        <f>+'7. mell. Önk.összes.bevétele'!L20</f>
        <v>351837913</v>
      </c>
      <c r="G15" s="1973">
        <f>+'7. mell. Önk.összes.bevétele'!M20</f>
        <v>351837913</v>
      </c>
      <c r="H15" s="1973">
        <f>+'7. mell. Önk.összes.bevétele'!N20</f>
        <v>351837913</v>
      </c>
      <c r="I15" s="1973">
        <f>+'7. mell. Önk.összes.bevétele'!O20</f>
        <v>351837913</v>
      </c>
      <c r="J15" s="1974">
        <f>+'7. mell. Önk.összes.bevétele'!P20</f>
        <v>351837913</v>
      </c>
      <c r="K15" s="1975">
        <f t="shared" si="1"/>
        <v>1</v>
      </c>
      <c r="L15" s="2093">
        <f t="shared" si="2"/>
        <v>351837913</v>
      </c>
      <c r="M15" s="1973">
        <f t="shared" si="3"/>
        <v>0</v>
      </c>
      <c r="N15" s="1973">
        <f t="shared" si="4"/>
        <v>0</v>
      </c>
      <c r="O15" s="1555">
        <f t="shared" si="5"/>
        <v>0</v>
      </c>
      <c r="P15" s="106"/>
      <c r="Q15" s="107">
        <f t="shared" si="6"/>
        <v>0</v>
      </c>
      <c r="R15" s="1556"/>
      <c r="Y15" s="1974">
        <v>204742187</v>
      </c>
      <c r="Z15" s="2531">
        <f t="shared" si="7"/>
        <v>0</v>
      </c>
    </row>
    <row r="16" spans="1:26" s="108" customFormat="1" ht="12" customHeight="1">
      <c r="A16" s="1971" t="s">
        <v>187</v>
      </c>
      <c r="B16" s="1972" t="s">
        <v>188</v>
      </c>
      <c r="C16" s="1973">
        <f>+'7. mell. Önk.összes.bevétele'!I21</f>
        <v>0</v>
      </c>
      <c r="D16" s="2723">
        <f>+'7. mell. Önk.összes.bevétele'!J21</f>
        <v>0</v>
      </c>
      <c r="E16" s="1973">
        <f>+'7. mell. Önk.összes.bevétele'!K21</f>
        <v>0</v>
      </c>
      <c r="F16" s="1973">
        <f>+'7. mell. Önk.összes.bevétele'!L21</f>
        <v>0</v>
      </c>
      <c r="G16" s="1973">
        <f>+'7. mell. Önk.összes.bevétele'!M21</f>
        <v>0</v>
      </c>
      <c r="H16" s="1973">
        <f>+'7. mell. Önk.összes.bevétele'!N21</f>
        <v>0</v>
      </c>
      <c r="I16" s="1973">
        <f>+'7. mell. Önk.összes.bevétele'!O21</f>
        <v>0</v>
      </c>
      <c r="J16" s="1974">
        <f>+'7. mell. Önk.összes.bevétele'!P21</f>
        <v>0</v>
      </c>
      <c r="K16" s="1977"/>
      <c r="L16" s="2093">
        <f t="shared" si="2"/>
        <v>0</v>
      </c>
      <c r="M16" s="1973">
        <f t="shared" si="3"/>
        <v>0</v>
      </c>
      <c r="N16" s="1973">
        <f t="shared" si="4"/>
        <v>0</v>
      </c>
      <c r="O16" s="1555">
        <f t="shared" si="5"/>
        <v>0</v>
      </c>
      <c r="P16" s="109"/>
      <c r="Q16" s="107">
        <f t="shared" si="6"/>
        <v>0</v>
      </c>
      <c r="R16" s="1556"/>
      <c r="Y16" s="1974">
        <v>0</v>
      </c>
      <c r="Z16" s="2531">
        <f t="shared" si="7"/>
        <v>0</v>
      </c>
    </row>
    <row r="17" spans="1:26" s="108" customFormat="1" ht="12" customHeight="1">
      <c r="A17" s="1971" t="s">
        <v>189</v>
      </c>
      <c r="B17" s="1972" t="s">
        <v>190</v>
      </c>
      <c r="C17" s="1973">
        <f>+'7. mell. Önk.összes.bevétele'!I27</f>
        <v>0</v>
      </c>
      <c r="D17" s="2723">
        <f>+'7. mell. Önk.összes.bevétele'!J27</f>
        <v>0</v>
      </c>
      <c r="E17" s="1973">
        <f>+'7. mell. Önk.összes.bevétele'!K27</f>
        <v>0</v>
      </c>
      <c r="F17" s="1973">
        <f>+'7. mell. Önk.összes.bevétele'!L27</f>
        <v>0</v>
      </c>
      <c r="G17" s="1973">
        <f>+'7. mell. Önk.összes.bevétele'!M27</f>
        <v>0</v>
      </c>
      <c r="H17" s="1973">
        <f>+'7. mell. Önk.összes.bevétele'!N27</f>
        <v>0</v>
      </c>
      <c r="I17" s="1973">
        <f>+'7. mell. Önk.összes.bevétele'!O27</f>
        <v>0</v>
      </c>
      <c r="J17" s="1974">
        <f>+'7. mell. Önk.összes.bevétele'!P27</f>
        <v>0</v>
      </c>
      <c r="K17" s="1977"/>
      <c r="L17" s="2093">
        <f t="shared" si="2"/>
        <v>0</v>
      </c>
      <c r="M17" s="1973">
        <f t="shared" si="3"/>
        <v>0</v>
      </c>
      <c r="N17" s="1973">
        <f t="shared" si="4"/>
        <v>0</v>
      </c>
      <c r="O17" s="1555">
        <f t="shared" si="5"/>
        <v>0</v>
      </c>
      <c r="P17" s="109"/>
      <c r="Q17" s="107">
        <f t="shared" si="6"/>
        <v>0</v>
      </c>
      <c r="R17" s="1556"/>
      <c r="Y17" s="1974">
        <v>0</v>
      </c>
      <c r="Z17" s="2531">
        <f t="shared" si="7"/>
        <v>0</v>
      </c>
    </row>
    <row r="18" spans="1:26" s="108" customFormat="1" ht="12" customHeight="1">
      <c r="A18" s="1971" t="s">
        <v>191</v>
      </c>
      <c r="B18" s="1972" t="s">
        <v>192</v>
      </c>
      <c r="C18" s="1973">
        <f>+'7. mell. Önk.összes.bevétele'!I33</f>
        <v>0</v>
      </c>
      <c r="D18" s="2723">
        <f>+'7. mell. Önk.összes.bevétele'!J33</f>
        <v>0</v>
      </c>
      <c r="E18" s="1973">
        <f>+'7. mell. Önk.összes.bevétele'!K33</f>
        <v>0</v>
      </c>
      <c r="F18" s="1973">
        <f>+'7. mell. Önk.összes.bevétele'!L33</f>
        <v>0</v>
      </c>
      <c r="G18" s="1973">
        <f>+'7. mell. Önk.összes.bevétele'!M33</f>
        <v>0</v>
      </c>
      <c r="H18" s="1973">
        <f>+'7. mell. Önk.összes.bevétele'!N33</f>
        <v>0</v>
      </c>
      <c r="I18" s="1973">
        <f>+'7. mell. Önk.összes.bevétele'!O33</f>
        <v>0</v>
      </c>
      <c r="J18" s="1974">
        <f>+'7. mell. Önk.összes.bevétele'!P33</f>
        <v>0</v>
      </c>
      <c r="K18" s="1977"/>
      <c r="L18" s="2093">
        <f t="shared" si="2"/>
        <v>0</v>
      </c>
      <c r="M18" s="1973">
        <f t="shared" si="3"/>
        <v>0</v>
      </c>
      <c r="N18" s="1973">
        <f t="shared" si="4"/>
        <v>0</v>
      </c>
      <c r="O18" s="1555">
        <f t="shared" si="5"/>
        <v>0</v>
      </c>
      <c r="P18" s="109"/>
      <c r="Q18" s="107">
        <f t="shared" si="6"/>
        <v>0</v>
      </c>
      <c r="R18" s="1556"/>
      <c r="Y18" s="1974">
        <v>0</v>
      </c>
      <c r="Z18" s="2531">
        <f t="shared" si="7"/>
        <v>0</v>
      </c>
    </row>
    <row r="19" spans="1:26" s="108" customFormat="1" ht="12" customHeight="1">
      <c r="A19" s="1971" t="s">
        <v>193</v>
      </c>
      <c r="B19" s="1972" t="s">
        <v>194</v>
      </c>
      <c r="C19" s="1973">
        <f>+'7. mell. Önk.összes.bevétele'!I58</f>
        <v>186353000</v>
      </c>
      <c r="D19" s="2723">
        <f>+'7. mell. Önk.összes.bevétele'!J58</f>
        <v>16797309</v>
      </c>
      <c r="E19" s="1973">
        <f>+'7. mell. Önk.összes.bevétele'!K58</f>
        <v>200793190</v>
      </c>
      <c r="F19" s="1973">
        <f>+'7. mell. Önk.összes.bevétele'!L58</f>
        <v>200793190</v>
      </c>
      <c r="G19" s="1973">
        <f>+'7. mell. Önk.összes.bevétele'!M58</f>
        <v>14518000</v>
      </c>
      <c r="H19" s="1973">
        <f>+'7. mell. Önk.összes.bevétele'!N58</f>
        <v>14610763</v>
      </c>
      <c r="I19" s="1973">
        <f>+'7. mell. Önk.összes.bevétele'!O58</f>
        <v>14610763</v>
      </c>
      <c r="J19" s="1974">
        <f>+'7. mell. Önk.összes.bevétele'!P58</f>
        <v>14610763</v>
      </c>
      <c r="K19" s="1975">
        <f>+J19/H19</f>
        <v>1</v>
      </c>
      <c r="L19" s="2093">
        <f t="shared" si="2"/>
        <v>0</v>
      </c>
      <c r="M19" s="1973">
        <f t="shared" si="3"/>
        <v>-186275190</v>
      </c>
      <c r="N19" s="1973">
        <f t="shared" si="4"/>
        <v>92763</v>
      </c>
      <c r="O19" s="1555">
        <f t="shared" si="5"/>
        <v>0</v>
      </c>
      <c r="P19" s="109"/>
      <c r="Q19" s="107">
        <f t="shared" si="6"/>
        <v>14440190</v>
      </c>
      <c r="R19" s="1556"/>
      <c r="Y19" s="1974">
        <v>16797309</v>
      </c>
      <c r="Z19" s="2531">
        <f t="shared" si="7"/>
        <v>0</v>
      </c>
    </row>
    <row r="20" spans="1:26" s="110" customFormat="1" ht="12" customHeight="1" thickBot="1">
      <c r="A20" s="1971" t="s">
        <v>195</v>
      </c>
      <c r="B20" s="1972" t="s">
        <v>196</v>
      </c>
      <c r="C20" s="1973">
        <f>+'7. mell. Önk.összes.bevétele'!I40+'7. mell. Önk.összes.bevétele'!I41</f>
        <v>0</v>
      </c>
      <c r="D20" s="2723">
        <f>+'7. mell. Önk.összes.bevétele'!J40+'7. mell. Önk.összes.bevétele'!J41</f>
        <v>0</v>
      </c>
      <c r="E20" s="1973">
        <f>+'7. mell. Önk.összes.bevétele'!K40+'7. mell. Önk.összes.bevétele'!K41</f>
        <v>0</v>
      </c>
      <c r="F20" s="1973">
        <f>+'7. mell. Önk.összes.bevétele'!L40+'7. mell. Önk.összes.bevétele'!L41</f>
        <v>0</v>
      </c>
      <c r="G20" s="1973">
        <f>+'7. mell. Önk.összes.bevétele'!M40+'7. mell. Önk.összes.bevétele'!M41</f>
        <v>0</v>
      </c>
      <c r="H20" s="1973">
        <f>+'7. mell. Önk.összes.bevétele'!N40+'7. mell. Önk.összes.bevétele'!N41</f>
        <v>0</v>
      </c>
      <c r="I20" s="1973">
        <f>+'7. mell. Önk.összes.bevétele'!O40+'7. mell. Önk.összes.bevétele'!O41</f>
        <v>0</v>
      </c>
      <c r="J20" s="1974">
        <f>+'7. mell. Önk.összes.bevétele'!P40+'7. mell. Önk.összes.bevétele'!P41</f>
        <v>0</v>
      </c>
      <c r="K20" s="1977"/>
      <c r="L20" s="2093">
        <f t="shared" si="2"/>
        <v>0</v>
      </c>
      <c r="M20" s="1973">
        <f t="shared" si="3"/>
        <v>0</v>
      </c>
      <c r="N20" s="1973">
        <f t="shared" si="4"/>
        <v>0</v>
      </c>
      <c r="O20" s="1555">
        <f t="shared" si="5"/>
        <v>0</v>
      </c>
      <c r="P20" s="112"/>
      <c r="Q20" s="107">
        <f t="shared" si="6"/>
        <v>0</v>
      </c>
      <c r="R20" s="1557"/>
      <c r="Y20" s="1974">
        <v>0</v>
      </c>
      <c r="Z20" s="2531">
        <f t="shared" si="7"/>
        <v>0</v>
      </c>
    </row>
    <row r="21" spans="1:26" s="110" customFormat="1" ht="12" customHeight="1" thickBot="1">
      <c r="A21" s="1966" t="s">
        <v>14</v>
      </c>
      <c r="B21" s="1978" t="s">
        <v>197</v>
      </c>
      <c r="C21" s="1968">
        <f t="shared" ref="C21:J21" si="9">+C22+C23+C24+C25+C26</f>
        <v>800000000</v>
      </c>
      <c r="D21" s="1968">
        <f t="shared" si="9"/>
        <v>0</v>
      </c>
      <c r="E21" s="1968">
        <f t="shared" si="9"/>
        <v>1631350723</v>
      </c>
      <c r="F21" s="1968">
        <f t="shared" si="9"/>
        <v>1631350723</v>
      </c>
      <c r="G21" s="1968">
        <f t="shared" si="9"/>
        <v>1691350723</v>
      </c>
      <c r="H21" s="1968">
        <f t="shared" si="9"/>
        <v>1192760390</v>
      </c>
      <c r="I21" s="1968">
        <f t="shared" si="9"/>
        <v>1192760390</v>
      </c>
      <c r="J21" s="1969">
        <f t="shared" si="9"/>
        <v>1192760390</v>
      </c>
      <c r="K21" s="1970">
        <f>+J21/H21</f>
        <v>1</v>
      </c>
      <c r="L21" s="2093">
        <f t="shared" si="2"/>
        <v>0</v>
      </c>
      <c r="M21" s="1968">
        <f t="shared" si="3"/>
        <v>60000000</v>
      </c>
      <c r="N21" s="1968">
        <f t="shared" si="4"/>
        <v>-498590333</v>
      </c>
      <c r="O21" s="1555">
        <f t="shared" si="5"/>
        <v>0</v>
      </c>
      <c r="P21" s="111"/>
      <c r="Q21" s="104">
        <f t="shared" si="6"/>
        <v>831350723</v>
      </c>
      <c r="R21" s="1557"/>
      <c r="Y21" s="1969">
        <v>0</v>
      </c>
      <c r="Z21" s="2531">
        <f t="shared" si="7"/>
        <v>0</v>
      </c>
    </row>
    <row r="22" spans="1:26" s="110" customFormat="1" ht="12" customHeight="1">
      <c r="A22" s="1971" t="s">
        <v>198</v>
      </c>
      <c r="B22" s="1972" t="s">
        <v>199</v>
      </c>
      <c r="C22" s="1973">
        <f>+'7. mell. Önk.összes.bevétele'!I254</f>
        <v>0</v>
      </c>
      <c r="D22" s="2723">
        <f>+'7. mell. Önk.összes.bevétele'!J254</f>
        <v>0</v>
      </c>
      <c r="E22" s="1973">
        <f>+'7. mell. Önk.összes.bevétele'!K254</f>
        <v>0</v>
      </c>
      <c r="F22" s="1973">
        <f>+'7. mell. Önk.összes.bevétele'!L254</f>
        <v>0</v>
      </c>
      <c r="G22" s="1973">
        <f>+'7. mell. Önk.összes.bevétele'!M254</f>
        <v>0</v>
      </c>
      <c r="H22" s="1973">
        <f>+'7. mell. Önk.összes.bevétele'!N254</f>
        <v>0</v>
      </c>
      <c r="I22" s="1973">
        <f>+'7. mell. Önk.összes.bevétele'!O254</f>
        <v>0</v>
      </c>
      <c r="J22" s="1974">
        <f>+'7. mell. Önk.összes.bevétele'!P254</f>
        <v>0</v>
      </c>
      <c r="K22" s="1975"/>
      <c r="L22" s="2093">
        <f t="shared" si="2"/>
        <v>0</v>
      </c>
      <c r="M22" s="1973">
        <f t="shared" si="3"/>
        <v>0</v>
      </c>
      <c r="N22" s="1973">
        <f t="shared" si="4"/>
        <v>0</v>
      </c>
      <c r="O22" s="1555">
        <f t="shared" si="5"/>
        <v>0</v>
      </c>
      <c r="P22" s="106"/>
      <c r="Q22" s="107">
        <f t="shared" si="6"/>
        <v>0</v>
      </c>
      <c r="R22" s="1557"/>
      <c r="Y22" s="1974">
        <v>0</v>
      </c>
      <c r="Z22" s="2531">
        <f t="shared" si="7"/>
        <v>0</v>
      </c>
    </row>
    <row r="23" spans="1:26" s="108" customFormat="1" ht="12" customHeight="1">
      <c r="A23" s="1971" t="s">
        <v>200</v>
      </c>
      <c r="B23" s="1972" t="s">
        <v>201</v>
      </c>
      <c r="C23" s="1973">
        <f>+'6. mell (Bontás)'!C23</f>
        <v>0</v>
      </c>
      <c r="D23" s="2723">
        <v>0</v>
      </c>
      <c r="E23" s="1973">
        <f>+'6. mell (Bontás)'!D23</f>
        <v>0</v>
      </c>
      <c r="F23" s="1973">
        <f>+'6. mell (Bontás)'!E23</f>
        <v>0</v>
      </c>
      <c r="G23" s="1973">
        <f>+'6. mell (Bontás)'!F23</f>
        <v>0</v>
      </c>
      <c r="H23" s="1973">
        <f>+'6. mell (Bontás)'!G23</f>
        <v>0</v>
      </c>
      <c r="I23" s="1973">
        <f>+'6. mell (Bontás)'!H23</f>
        <v>0</v>
      </c>
      <c r="J23" s="1974">
        <f>+'6. mell (Bontás)'!I23</f>
        <v>0</v>
      </c>
      <c r="K23" s="1975"/>
      <c r="L23" s="2093">
        <f t="shared" si="2"/>
        <v>0</v>
      </c>
      <c r="M23" s="1973">
        <f t="shared" si="3"/>
        <v>0</v>
      </c>
      <c r="N23" s="1973">
        <f t="shared" si="4"/>
        <v>0</v>
      </c>
      <c r="O23" s="1555">
        <f t="shared" si="5"/>
        <v>0</v>
      </c>
      <c r="P23" s="109"/>
      <c r="Q23" s="107">
        <f t="shared" si="6"/>
        <v>0</v>
      </c>
      <c r="R23" s="1556"/>
      <c r="Y23" s="1974">
        <v>0</v>
      </c>
      <c r="Z23" s="2531">
        <f t="shared" si="7"/>
        <v>0</v>
      </c>
    </row>
    <row r="24" spans="1:26" s="110" customFormat="1" ht="12" customHeight="1">
      <c r="A24" s="1971" t="s">
        <v>202</v>
      </c>
      <c r="B24" s="1972" t="s">
        <v>203</v>
      </c>
      <c r="C24" s="1973">
        <f>+'7. mell. Önk.összes.bevétele'!I255</f>
        <v>0</v>
      </c>
      <c r="D24" s="2723">
        <f>+'7. mell. Önk.összes.bevétele'!J255</f>
        <v>0</v>
      </c>
      <c r="E24" s="1973">
        <f>+'7. mell. Önk.összes.bevétele'!K255</f>
        <v>0</v>
      </c>
      <c r="F24" s="1973">
        <f>+'7. mell. Önk.összes.bevétele'!L255</f>
        <v>0</v>
      </c>
      <c r="G24" s="1973">
        <f>+'7. mell. Önk.összes.bevétele'!M255</f>
        <v>0</v>
      </c>
      <c r="H24" s="1973">
        <f>+'7. mell. Önk.összes.bevétele'!N255</f>
        <v>0</v>
      </c>
      <c r="I24" s="1973">
        <f>+'7. mell. Önk.összes.bevétele'!O255</f>
        <v>0</v>
      </c>
      <c r="J24" s="1974">
        <f>+'7. mell. Önk.összes.bevétele'!P255</f>
        <v>0</v>
      </c>
      <c r="K24" s="1975"/>
      <c r="L24" s="2093">
        <f t="shared" si="2"/>
        <v>0</v>
      </c>
      <c r="M24" s="1973">
        <f t="shared" si="3"/>
        <v>0</v>
      </c>
      <c r="N24" s="1973">
        <f t="shared" si="4"/>
        <v>0</v>
      </c>
      <c r="O24" s="1555">
        <f t="shared" si="5"/>
        <v>0</v>
      </c>
      <c r="P24" s="109"/>
      <c r="Q24" s="107">
        <f t="shared" si="6"/>
        <v>0</v>
      </c>
      <c r="R24" s="1557"/>
      <c r="Y24" s="1974">
        <v>0</v>
      </c>
      <c r="Z24" s="2531">
        <f t="shared" si="7"/>
        <v>0</v>
      </c>
    </row>
    <row r="25" spans="1:26" s="110" customFormat="1" ht="12" customHeight="1">
      <c r="A25" s="1971" t="s">
        <v>204</v>
      </c>
      <c r="B25" s="1972" t="s">
        <v>205</v>
      </c>
      <c r="C25" s="1973">
        <f>+'7. mell. Önk.összes.bevétele'!I256</f>
        <v>0</v>
      </c>
      <c r="D25" s="2723">
        <f>+'7. mell. Önk.összes.bevétele'!J256</f>
        <v>0</v>
      </c>
      <c r="E25" s="1973">
        <f>+'7. mell. Önk.összes.bevétele'!K256</f>
        <v>0</v>
      </c>
      <c r="F25" s="1973">
        <f>+'7. mell. Önk.összes.bevétele'!L256</f>
        <v>0</v>
      </c>
      <c r="G25" s="1973">
        <f>+'7. mell. Önk.összes.bevétele'!M256</f>
        <v>0</v>
      </c>
      <c r="H25" s="1973">
        <f>+'7. mell. Önk.összes.bevétele'!N256</f>
        <v>0</v>
      </c>
      <c r="I25" s="1973">
        <f>+'7. mell. Önk.összes.bevétele'!O256</f>
        <v>0</v>
      </c>
      <c r="J25" s="1974">
        <f>+'7. mell. Önk.összes.bevétele'!P256</f>
        <v>0</v>
      </c>
      <c r="K25" s="1975"/>
      <c r="L25" s="2093">
        <f t="shared" si="2"/>
        <v>0</v>
      </c>
      <c r="M25" s="1973">
        <f t="shared" si="3"/>
        <v>0</v>
      </c>
      <c r="N25" s="1973">
        <f t="shared" si="4"/>
        <v>0</v>
      </c>
      <c r="O25" s="1555">
        <f t="shared" si="5"/>
        <v>0</v>
      </c>
      <c r="P25" s="109"/>
      <c r="Q25" s="107">
        <f t="shared" si="6"/>
        <v>0</v>
      </c>
      <c r="R25" s="1557"/>
      <c r="Y25" s="1974">
        <v>0</v>
      </c>
      <c r="Z25" s="2531">
        <f t="shared" si="7"/>
        <v>0</v>
      </c>
    </row>
    <row r="26" spans="1:26" s="110" customFormat="1" ht="12" customHeight="1">
      <c r="A26" s="1971" t="s">
        <v>206</v>
      </c>
      <c r="B26" s="1972" t="s">
        <v>207</v>
      </c>
      <c r="C26" s="1973">
        <f>+'7. mell. Önk.összes.bevétele'!I271</f>
        <v>800000000</v>
      </c>
      <c r="D26" s="2723">
        <f>+'7. mell. Önk.összes.bevétele'!J271</f>
        <v>0</v>
      </c>
      <c r="E26" s="1973">
        <f>+'7. mell. Önk.összes.bevétele'!K271</f>
        <v>1631350723</v>
      </c>
      <c r="F26" s="1973">
        <f>+'7. mell. Önk.összes.bevétele'!L271</f>
        <v>1631350723</v>
      </c>
      <c r="G26" s="1973">
        <f>+'7. mell. Önk.összes.bevétele'!M271</f>
        <v>1691350723</v>
      </c>
      <c r="H26" s="1973">
        <f>+'7. mell. Önk.összes.bevétele'!N271</f>
        <v>1192760390</v>
      </c>
      <c r="I26" s="1973">
        <f>+'7. mell. Önk.összes.bevétele'!O271</f>
        <v>1192760390</v>
      </c>
      <c r="J26" s="1974">
        <f>+'7. mell. Önk.összes.bevétele'!P271</f>
        <v>1192760390</v>
      </c>
      <c r="K26" s="1975">
        <f t="shared" ref="K26:K31" si="10">+J26/H26</f>
        <v>1</v>
      </c>
      <c r="L26" s="2093">
        <f t="shared" si="2"/>
        <v>0</v>
      </c>
      <c r="M26" s="1973">
        <f t="shared" si="3"/>
        <v>60000000</v>
      </c>
      <c r="N26" s="1973">
        <f t="shared" si="4"/>
        <v>-498590333</v>
      </c>
      <c r="O26" s="1555">
        <f t="shared" si="5"/>
        <v>0</v>
      </c>
      <c r="P26" s="109"/>
      <c r="Q26" s="107">
        <f t="shared" si="6"/>
        <v>831350723</v>
      </c>
      <c r="R26" s="1557"/>
      <c r="Y26" s="1974">
        <v>0</v>
      </c>
      <c r="Z26" s="2531">
        <f t="shared" si="7"/>
        <v>0</v>
      </c>
    </row>
    <row r="27" spans="1:26" s="110" customFormat="1" ht="12" customHeight="1" thickBot="1">
      <c r="A27" s="1971" t="s">
        <v>208</v>
      </c>
      <c r="B27" s="1972" t="s">
        <v>209</v>
      </c>
      <c r="C27" s="1973">
        <f>+'6. mell (Bontás)'!C27</f>
        <v>629921260</v>
      </c>
      <c r="D27" s="2723">
        <v>0</v>
      </c>
      <c r="E27" s="2242">
        <f>+'6. mell (Bontás)'!D27</f>
        <v>538761279</v>
      </c>
      <c r="F27" s="2242">
        <f>+'6. mell (Bontás)'!E27</f>
        <v>538761279</v>
      </c>
      <c r="G27" s="2242">
        <f>+'6. mell (Bontás)'!F27</f>
        <v>538761279</v>
      </c>
      <c r="H27" s="2242">
        <f>+'6. mell (Bontás)'!G27</f>
        <v>394760390</v>
      </c>
      <c r="I27" s="2242">
        <f>+'6. mell (Bontás)'!H27</f>
        <v>394760390</v>
      </c>
      <c r="J27" s="1974">
        <f>+'6. mell (Bontás)'!I27</f>
        <v>394760390</v>
      </c>
      <c r="K27" s="1975">
        <f t="shared" si="10"/>
        <v>1</v>
      </c>
      <c r="L27" s="2093">
        <f t="shared" si="2"/>
        <v>0</v>
      </c>
      <c r="M27" s="2242">
        <f t="shared" si="3"/>
        <v>0</v>
      </c>
      <c r="N27" s="2242">
        <f t="shared" si="4"/>
        <v>-144000889</v>
      </c>
      <c r="O27" s="1555">
        <f t="shared" si="5"/>
        <v>0</v>
      </c>
      <c r="P27" s="112"/>
      <c r="Q27" s="107">
        <f t="shared" si="6"/>
        <v>-91159981</v>
      </c>
      <c r="R27" s="1557"/>
      <c r="Y27" s="1974">
        <v>0</v>
      </c>
      <c r="Z27" s="2531">
        <f t="shared" si="7"/>
        <v>0</v>
      </c>
    </row>
    <row r="28" spans="1:26" s="110" customFormat="1" ht="12" customHeight="1" thickBot="1">
      <c r="A28" s="1966" t="s">
        <v>210</v>
      </c>
      <c r="B28" s="1978" t="s">
        <v>211</v>
      </c>
      <c r="C28" s="1979">
        <f t="shared" ref="C28:J28" si="11">+C29+C32+C33+C34</f>
        <v>11841768010</v>
      </c>
      <c r="D28" s="1979">
        <f t="shared" si="11"/>
        <v>11551414482</v>
      </c>
      <c r="E28" s="1979">
        <f t="shared" si="11"/>
        <v>12037626419</v>
      </c>
      <c r="F28" s="1979">
        <f t="shared" si="11"/>
        <v>12037626419</v>
      </c>
      <c r="G28" s="1979">
        <f t="shared" si="11"/>
        <v>12037626419</v>
      </c>
      <c r="H28" s="1979">
        <f t="shared" si="11"/>
        <v>12427794489</v>
      </c>
      <c r="I28" s="1979">
        <f t="shared" si="11"/>
        <v>12427794489</v>
      </c>
      <c r="J28" s="1980">
        <f t="shared" si="11"/>
        <v>12427794489</v>
      </c>
      <c r="K28" s="1981">
        <f t="shared" si="10"/>
        <v>1</v>
      </c>
      <c r="L28" s="2093">
        <f t="shared" si="2"/>
        <v>0</v>
      </c>
      <c r="M28" s="1979">
        <f t="shared" si="3"/>
        <v>0</v>
      </c>
      <c r="N28" s="1979">
        <f t="shared" si="4"/>
        <v>390168070</v>
      </c>
      <c r="O28" s="1555">
        <f t="shared" si="5"/>
        <v>0</v>
      </c>
      <c r="P28" s="113"/>
      <c r="Q28" s="114">
        <f t="shared" si="6"/>
        <v>195858409</v>
      </c>
      <c r="R28" s="1557"/>
      <c r="Y28" s="1980">
        <v>11551414482</v>
      </c>
      <c r="Z28" s="2531">
        <f t="shared" si="7"/>
        <v>0</v>
      </c>
    </row>
    <row r="29" spans="1:26" s="110" customFormat="1" ht="12" customHeight="1">
      <c r="A29" s="1971" t="s">
        <v>212</v>
      </c>
      <c r="B29" s="1972" t="s">
        <v>213</v>
      </c>
      <c r="C29" s="1211">
        <f>+C30+C31</f>
        <v>11774768010</v>
      </c>
      <c r="D29" s="2724">
        <f>+D30+D31</f>
        <v>11424300024</v>
      </c>
      <c r="E29" s="1211">
        <f t="shared" ref="E29:J29" si="12">+E30+E31</f>
        <v>11974768010</v>
      </c>
      <c r="F29" s="1211">
        <f t="shared" si="12"/>
        <v>11974768010</v>
      </c>
      <c r="G29" s="1211">
        <f t="shared" si="12"/>
        <v>11974768010</v>
      </c>
      <c r="H29" s="1211">
        <f t="shared" si="12"/>
        <v>12291824164</v>
      </c>
      <c r="I29" s="1211">
        <f t="shared" si="12"/>
        <v>12291824164</v>
      </c>
      <c r="J29" s="1982">
        <f t="shared" si="12"/>
        <v>12291824164</v>
      </c>
      <c r="K29" s="1975">
        <f t="shared" si="10"/>
        <v>1</v>
      </c>
      <c r="L29" s="2093">
        <f t="shared" si="2"/>
        <v>0</v>
      </c>
      <c r="M29" s="1211">
        <f t="shared" si="3"/>
        <v>0</v>
      </c>
      <c r="N29" s="1211">
        <f t="shared" si="4"/>
        <v>317056154</v>
      </c>
      <c r="O29" s="1555">
        <f t="shared" si="5"/>
        <v>0</v>
      </c>
      <c r="P29" s="115"/>
      <c r="Q29" s="116">
        <f t="shared" si="6"/>
        <v>200000000</v>
      </c>
      <c r="R29" s="1557"/>
      <c r="Y29" s="1982">
        <v>11424300024</v>
      </c>
      <c r="Z29" s="2531">
        <f t="shared" si="7"/>
        <v>0</v>
      </c>
    </row>
    <row r="30" spans="1:26" s="110" customFormat="1" ht="12" customHeight="1">
      <c r="A30" s="1971" t="s">
        <v>214</v>
      </c>
      <c r="B30" s="1972" t="s">
        <v>215</v>
      </c>
      <c r="C30" s="1973">
        <f>+'7. mell. Önk.összes.bevétele'!I70</f>
        <v>1000000000</v>
      </c>
      <c r="D30" s="2723">
        <f>+'7. mell. Önk.összes.bevétele'!J70</f>
        <v>903916941</v>
      </c>
      <c r="E30" s="1973">
        <f>+'7. mell. Önk.összes.bevétele'!K70</f>
        <v>1200000000</v>
      </c>
      <c r="F30" s="1973">
        <f>+'7. mell. Önk.összes.bevétele'!L70</f>
        <v>1200000000</v>
      </c>
      <c r="G30" s="1973">
        <f>+'7. mell. Önk.összes.bevétele'!M70</f>
        <v>1200000000</v>
      </c>
      <c r="H30" s="1973">
        <f>+'7. mell. Önk.összes.bevétele'!N70</f>
        <v>1251294731</v>
      </c>
      <c r="I30" s="1973">
        <f>+'7. mell. Önk.összes.bevétele'!O70</f>
        <v>1251294731</v>
      </c>
      <c r="J30" s="1974">
        <f>+'7. mell. Önk.összes.bevétele'!P70</f>
        <v>1251294731</v>
      </c>
      <c r="K30" s="1975">
        <f t="shared" si="10"/>
        <v>1</v>
      </c>
      <c r="L30" s="2093">
        <f t="shared" si="2"/>
        <v>0</v>
      </c>
      <c r="M30" s="1973">
        <f t="shared" si="3"/>
        <v>0</v>
      </c>
      <c r="N30" s="1973">
        <f t="shared" si="4"/>
        <v>51294731</v>
      </c>
      <c r="O30" s="1555">
        <f t="shared" si="5"/>
        <v>0</v>
      </c>
      <c r="P30" s="109"/>
      <c r="Q30" s="107">
        <f t="shared" si="6"/>
        <v>200000000</v>
      </c>
      <c r="R30" s="1557"/>
      <c r="Y30" s="1974">
        <v>903916941</v>
      </c>
      <c r="Z30" s="2531">
        <f t="shared" si="7"/>
        <v>0</v>
      </c>
    </row>
    <row r="31" spans="1:26" s="110" customFormat="1" ht="12" customHeight="1">
      <c r="A31" s="1971" t="s">
        <v>216</v>
      </c>
      <c r="B31" s="1972" t="s">
        <v>217</v>
      </c>
      <c r="C31" s="1973">
        <f>+'7. mell. Önk.összes.bevétele'!I74</f>
        <v>10774768010</v>
      </c>
      <c r="D31" s="2723">
        <f>+'7. mell. Önk.összes.bevétele'!J74</f>
        <v>10520383083</v>
      </c>
      <c r="E31" s="1973">
        <f>+'7. mell. Önk.összes.bevétele'!K74</f>
        <v>10774768010</v>
      </c>
      <c r="F31" s="1973">
        <f>+'7. mell. Önk.összes.bevétele'!L74</f>
        <v>10774768010</v>
      </c>
      <c r="G31" s="1973">
        <f>+'7. mell. Önk.összes.bevétele'!M74</f>
        <v>10774768010</v>
      </c>
      <c r="H31" s="1973">
        <f>+'7. mell. Önk.összes.bevétele'!N74</f>
        <v>11040529433</v>
      </c>
      <c r="I31" s="1973">
        <f>+'7. mell. Önk.összes.bevétele'!O74</f>
        <v>11040529433</v>
      </c>
      <c r="J31" s="1974">
        <f>+'7. mell. Önk.összes.bevétele'!P74</f>
        <v>11040529433</v>
      </c>
      <c r="K31" s="1975">
        <f t="shared" si="10"/>
        <v>1</v>
      </c>
      <c r="L31" s="2093">
        <f t="shared" si="2"/>
        <v>0</v>
      </c>
      <c r="M31" s="1973">
        <f t="shared" si="3"/>
        <v>0</v>
      </c>
      <c r="N31" s="1973">
        <f t="shared" si="4"/>
        <v>265761423</v>
      </c>
      <c r="O31" s="1555">
        <f t="shared" si="5"/>
        <v>0</v>
      </c>
      <c r="P31" s="109"/>
      <c r="Q31" s="107">
        <f t="shared" si="6"/>
        <v>0</v>
      </c>
      <c r="R31" s="1557"/>
      <c r="Y31" s="1974">
        <v>10520383083</v>
      </c>
      <c r="Z31" s="2531">
        <f t="shared" si="7"/>
        <v>0</v>
      </c>
    </row>
    <row r="32" spans="1:26" s="110" customFormat="1" ht="12" customHeight="1">
      <c r="A32" s="1971" t="s">
        <v>218</v>
      </c>
      <c r="B32" s="1972" t="s">
        <v>219</v>
      </c>
      <c r="C32" s="1973">
        <f>+'7. mell. Önk.összes.bevétele'!I75</f>
        <v>0</v>
      </c>
      <c r="D32" s="2723">
        <f>+'7. mell. Önk.összes.bevétele'!J75</f>
        <v>0</v>
      </c>
      <c r="E32" s="1973">
        <f>+'7. mell. Önk.összes.bevétele'!K75</f>
        <v>0</v>
      </c>
      <c r="F32" s="1973">
        <f>+'7. mell. Önk.összes.bevétele'!L75</f>
        <v>0</v>
      </c>
      <c r="G32" s="1973">
        <f>+'7. mell. Önk.összes.bevétele'!M75</f>
        <v>0</v>
      </c>
      <c r="H32" s="1973">
        <f>+'7. mell. Önk.összes.bevétele'!N75</f>
        <v>0</v>
      </c>
      <c r="I32" s="1973">
        <f>+'7. mell. Önk.összes.bevétele'!O75</f>
        <v>0</v>
      </c>
      <c r="J32" s="1974">
        <f>+'7. mell. Önk.összes.bevétele'!P75</f>
        <v>0</v>
      </c>
      <c r="K32" s="1975"/>
      <c r="L32" s="2093">
        <f t="shared" si="2"/>
        <v>0</v>
      </c>
      <c r="M32" s="1973">
        <f t="shared" si="3"/>
        <v>0</v>
      </c>
      <c r="N32" s="1973">
        <f t="shared" si="4"/>
        <v>0</v>
      </c>
      <c r="O32" s="1555">
        <f t="shared" si="5"/>
        <v>0</v>
      </c>
      <c r="P32" s="109"/>
      <c r="Q32" s="107">
        <f t="shared" si="6"/>
        <v>0</v>
      </c>
      <c r="R32" s="1557"/>
      <c r="Y32" s="1974">
        <v>0</v>
      </c>
      <c r="Z32" s="2531">
        <f t="shared" si="7"/>
        <v>0</v>
      </c>
    </row>
    <row r="33" spans="1:26" s="110" customFormat="1" ht="12" customHeight="1">
      <c r="A33" s="1971" t="s">
        <v>220</v>
      </c>
      <c r="B33" s="1972" t="s">
        <v>221</v>
      </c>
      <c r="C33" s="1973">
        <f>+'7. mell. Önk.összes.bevétele'!I78</f>
        <v>6000000</v>
      </c>
      <c r="D33" s="2723">
        <f>+'7. mell. Önk.összes.bevétele'!J78</f>
        <v>9663830</v>
      </c>
      <c r="E33" s="1973">
        <f>+'7. mell. Önk.összes.bevétele'!K78</f>
        <v>8100000</v>
      </c>
      <c r="F33" s="1973">
        <f>+'7. mell. Önk.összes.bevétele'!L78</f>
        <v>8100000</v>
      </c>
      <c r="G33" s="1973">
        <f>+'7. mell. Önk.összes.bevétele'!M78</f>
        <v>8100000</v>
      </c>
      <c r="H33" s="1973">
        <f>+'7. mell. Önk.összes.bevétele'!N78</f>
        <v>10038385</v>
      </c>
      <c r="I33" s="1973">
        <f>+'7. mell. Önk.összes.bevétele'!O78</f>
        <v>10038385</v>
      </c>
      <c r="J33" s="1974">
        <f>+'7. mell. Önk.összes.bevétele'!P78</f>
        <v>10038385</v>
      </c>
      <c r="K33" s="1975">
        <f t="shared" ref="K33:K39" si="13">+J33/H33</f>
        <v>1</v>
      </c>
      <c r="L33" s="2093">
        <f t="shared" si="2"/>
        <v>0</v>
      </c>
      <c r="M33" s="1973">
        <f t="shared" si="3"/>
        <v>0</v>
      </c>
      <c r="N33" s="1973">
        <f t="shared" si="4"/>
        <v>1938385</v>
      </c>
      <c r="O33" s="1555">
        <f t="shared" si="5"/>
        <v>0</v>
      </c>
      <c r="P33" s="109"/>
      <c r="Q33" s="107">
        <f t="shared" si="6"/>
        <v>2100000</v>
      </c>
      <c r="R33" s="1557"/>
      <c r="Y33" s="1974">
        <v>9663830</v>
      </c>
      <c r="Z33" s="2531">
        <f t="shared" si="7"/>
        <v>0</v>
      </c>
    </row>
    <row r="34" spans="1:26" s="110" customFormat="1" ht="12" customHeight="1" thickBot="1">
      <c r="A34" s="1971" t="s">
        <v>222</v>
      </c>
      <c r="B34" s="1972" t="s">
        <v>223</v>
      </c>
      <c r="C34" s="1973">
        <f>+'7. mell. Önk.összes.bevétele'!I100</f>
        <v>61000000</v>
      </c>
      <c r="D34" s="2723">
        <f>+'7. mell. Önk.összes.bevétele'!J100</f>
        <v>117450628</v>
      </c>
      <c r="E34" s="1973">
        <f>+'7. mell. Önk.összes.bevétele'!K100</f>
        <v>54758409</v>
      </c>
      <c r="F34" s="1973">
        <f>+'7. mell. Önk.összes.bevétele'!L100</f>
        <v>54758409</v>
      </c>
      <c r="G34" s="1973">
        <f>+'7. mell. Önk.összes.bevétele'!M100</f>
        <v>54758409</v>
      </c>
      <c r="H34" s="1973">
        <f>+'7. mell. Önk.összes.bevétele'!N100</f>
        <v>125931940</v>
      </c>
      <c r="I34" s="1973">
        <f>+'7. mell. Önk.összes.bevétele'!O100</f>
        <v>125931940</v>
      </c>
      <c r="J34" s="1974">
        <f>+'7. mell. Önk.összes.bevétele'!P100</f>
        <v>125931940</v>
      </c>
      <c r="K34" s="1975">
        <f t="shared" si="13"/>
        <v>1</v>
      </c>
      <c r="L34" s="2093">
        <f t="shared" si="2"/>
        <v>0</v>
      </c>
      <c r="M34" s="1973">
        <f t="shared" si="3"/>
        <v>0</v>
      </c>
      <c r="N34" s="1973">
        <f t="shared" si="4"/>
        <v>71173531</v>
      </c>
      <c r="O34" s="1555">
        <f t="shared" si="5"/>
        <v>0</v>
      </c>
      <c r="P34" s="112"/>
      <c r="Q34" s="107">
        <f t="shared" si="6"/>
        <v>-6241591</v>
      </c>
      <c r="R34" s="1557"/>
      <c r="Y34" s="1974">
        <v>117450628</v>
      </c>
      <c r="Z34" s="2531">
        <f t="shared" si="7"/>
        <v>0</v>
      </c>
    </row>
    <row r="35" spans="1:26" s="110" customFormat="1" ht="12" customHeight="1" thickBot="1">
      <c r="A35" s="1966" t="s">
        <v>17</v>
      </c>
      <c r="B35" s="1978" t="s">
        <v>224</v>
      </c>
      <c r="C35" s="1968">
        <f t="shared" ref="C35:J35" si="14">SUM(C36:C46)</f>
        <v>1647610329</v>
      </c>
      <c r="D35" s="1968">
        <f t="shared" si="14"/>
        <v>1206071664</v>
      </c>
      <c r="E35" s="1968">
        <f t="shared" si="14"/>
        <v>793416681</v>
      </c>
      <c r="F35" s="1968">
        <f t="shared" si="14"/>
        <v>813416681</v>
      </c>
      <c r="G35" s="1968">
        <f t="shared" si="14"/>
        <v>832642128</v>
      </c>
      <c r="H35" s="1968">
        <f t="shared" si="14"/>
        <v>768623344</v>
      </c>
      <c r="I35" s="1968">
        <f t="shared" si="14"/>
        <v>768623344</v>
      </c>
      <c r="J35" s="1969">
        <f t="shared" si="14"/>
        <v>768623344</v>
      </c>
      <c r="K35" s="1970">
        <f t="shared" si="13"/>
        <v>1</v>
      </c>
      <c r="L35" s="2093">
        <f t="shared" si="2"/>
        <v>20000000</v>
      </c>
      <c r="M35" s="1968">
        <f t="shared" si="3"/>
        <v>19225447</v>
      </c>
      <c r="N35" s="1968">
        <f t="shared" si="4"/>
        <v>-64018784</v>
      </c>
      <c r="O35" s="1555">
        <f t="shared" si="5"/>
        <v>0</v>
      </c>
      <c r="P35" s="111"/>
      <c r="Q35" s="104">
        <f t="shared" si="6"/>
        <v>-854193648</v>
      </c>
      <c r="R35" s="1557"/>
      <c r="Y35" s="1969">
        <v>1206071664</v>
      </c>
      <c r="Z35" s="2531">
        <f t="shared" si="7"/>
        <v>0</v>
      </c>
    </row>
    <row r="36" spans="1:26" s="110" customFormat="1" ht="12" customHeight="1">
      <c r="A36" s="1971" t="s">
        <v>225</v>
      </c>
      <c r="B36" s="1972" t="s">
        <v>226</v>
      </c>
      <c r="C36" s="1973">
        <f>+'7. mell. Önk.összes.bevétele'!I104</f>
        <v>0</v>
      </c>
      <c r="D36" s="2723">
        <f>+'7. mell. Önk.összes.bevétele'!J104</f>
        <v>0</v>
      </c>
      <c r="E36" s="1973">
        <f>+'7. mell. Önk.összes.bevétele'!K104</f>
        <v>0</v>
      </c>
      <c r="F36" s="1973">
        <f>+'7. mell. Önk.összes.bevétele'!L104</f>
        <v>0</v>
      </c>
      <c r="G36" s="1973">
        <f>+'7. mell. Önk.összes.bevétele'!M104</f>
        <v>674730</v>
      </c>
      <c r="H36" s="1973">
        <f>+'7. mell. Önk.összes.bevétele'!N104</f>
        <v>642600</v>
      </c>
      <c r="I36" s="1973">
        <f>+'7. mell. Önk.összes.bevétele'!O104</f>
        <v>642600</v>
      </c>
      <c r="J36" s="1974">
        <f>+'7. mell. Önk.összes.bevétele'!P104</f>
        <v>642600</v>
      </c>
      <c r="K36" s="1975">
        <f t="shared" si="13"/>
        <v>1</v>
      </c>
      <c r="L36" s="2093">
        <f t="shared" si="2"/>
        <v>0</v>
      </c>
      <c r="M36" s="1973">
        <f t="shared" si="3"/>
        <v>674730</v>
      </c>
      <c r="N36" s="1973">
        <f t="shared" si="4"/>
        <v>-32130</v>
      </c>
      <c r="O36" s="1555">
        <f t="shared" si="5"/>
        <v>0</v>
      </c>
      <c r="P36" s="106"/>
      <c r="Q36" s="107">
        <f t="shared" si="6"/>
        <v>0</v>
      </c>
      <c r="R36" s="1557"/>
      <c r="Y36" s="1974">
        <v>0</v>
      </c>
      <c r="Z36" s="2531">
        <f t="shared" si="7"/>
        <v>0</v>
      </c>
    </row>
    <row r="37" spans="1:26" s="110" customFormat="1" ht="12" customHeight="1">
      <c r="A37" s="1971" t="s">
        <v>227</v>
      </c>
      <c r="B37" s="1972" t="s">
        <v>228</v>
      </c>
      <c r="C37" s="1973">
        <f>+'7. mell. Önk.összes.bevétele'!I119</f>
        <v>29604000</v>
      </c>
      <c r="D37" s="2723">
        <f>+'7. mell. Önk.összes.bevétele'!J119</f>
        <v>21879982</v>
      </c>
      <c r="E37" s="1973">
        <f>+'7. mell. Önk.összes.bevétele'!K119</f>
        <v>30400000</v>
      </c>
      <c r="F37" s="1973">
        <f>+'7. mell. Önk.összes.bevétele'!L119</f>
        <v>30400000</v>
      </c>
      <c r="G37" s="1973">
        <f>+'7. mell. Önk.összes.bevétele'!M119</f>
        <v>30400000</v>
      </c>
      <c r="H37" s="1973">
        <f>+'7. mell. Önk.összes.bevétele'!N119</f>
        <v>21071119</v>
      </c>
      <c r="I37" s="1973">
        <f>+'7. mell. Önk.összes.bevétele'!O119</f>
        <v>21071119</v>
      </c>
      <c r="J37" s="1974">
        <f>+'7. mell. Önk.összes.bevétele'!P119</f>
        <v>21071119</v>
      </c>
      <c r="K37" s="1975">
        <f t="shared" si="13"/>
        <v>1</v>
      </c>
      <c r="L37" s="2093">
        <f t="shared" si="2"/>
        <v>0</v>
      </c>
      <c r="M37" s="1973">
        <f t="shared" si="3"/>
        <v>0</v>
      </c>
      <c r="N37" s="1973">
        <f t="shared" si="4"/>
        <v>-9328881</v>
      </c>
      <c r="O37" s="1555">
        <f t="shared" si="5"/>
        <v>0</v>
      </c>
      <c r="P37" s="109"/>
      <c r="Q37" s="107">
        <f t="shared" si="6"/>
        <v>796000</v>
      </c>
      <c r="R37" s="1557"/>
      <c r="Y37" s="1974">
        <v>21879982</v>
      </c>
      <c r="Z37" s="2531">
        <f t="shared" si="7"/>
        <v>0</v>
      </c>
    </row>
    <row r="38" spans="1:26" s="110" customFormat="1" ht="12" customHeight="1">
      <c r="A38" s="1971" t="s">
        <v>229</v>
      </c>
      <c r="B38" s="1972" t="s">
        <v>460</v>
      </c>
      <c r="C38" s="1973">
        <f>+'7. mell. Önk.összes.bevétele'!I130</f>
        <v>36640000</v>
      </c>
      <c r="D38" s="2723">
        <f>+'7. mell. Önk.összes.bevétele'!J130</f>
        <v>24545699</v>
      </c>
      <c r="E38" s="1973">
        <f>+'7. mell. Önk.összes.bevétele'!K130</f>
        <v>26659964</v>
      </c>
      <c r="F38" s="1973">
        <f>+'7. mell. Önk.összes.bevétele'!L130</f>
        <v>46659964</v>
      </c>
      <c r="G38" s="1973">
        <f>+'7. mell. Önk.összes.bevétele'!M130</f>
        <v>65210681</v>
      </c>
      <c r="H38" s="1973">
        <f>+'7. mell. Önk.összes.bevétele'!N130</f>
        <v>58011900</v>
      </c>
      <c r="I38" s="1973">
        <f>+'7. mell. Önk.összes.bevétele'!O130</f>
        <v>58011900</v>
      </c>
      <c r="J38" s="1974">
        <f>+'7. mell. Önk.összes.bevétele'!P130</f>
        <v>58011900</v>
      </c>
      <c r="K38" s="1975">
        <f t="shared" si="13"/>
        <v>1</v>
      </c>
      <c r="L38" s="2093">
        <f t="shared" si="2"/>
        <v>20000000</v>
      </c>
      <c r="M38" s="1973">
        <f t="shared" si="3"/>
        <v>18550717</v>
      </c>
      <c r="N38" s="1973">
        <f t="shared" si="4"/>
        <v>-7198781</v>
      </c>
      <c r="O38" s="1555">
        <f t="shared" si="5"/>
        <v>0</v>
      </c>
      <c r="P38" s="109"/>
      <c r="Q38" s="107">
        <f t="shared" si="6"/>
        <v>-9980036</v>
      </c>
      <c r="R38" s="1557"/>
      <c r="Y38" s="1974">
        <v>24545699</v>
      </c>
      <c r="Z38" s="2531">
        <f t="shared" si="7"/>
        <v>0</v>
      </c>
    </row>
    <row r="39" spans="1:26" s="110" customFormat="1" ht="12" customHeight="1">
      <c r="A39" s="1971" t="s">
        <v>231</v>
      </c>
      <c r="B39" s="1972" t="s">
        <v>232</v>
      </c>
      <c r="C39" s="1973">
        <f>+'7. mell. Önk.összes.bevétele'!I186</f>
        <v>434866329</v>
      </c>
      <c r="D39" s="2723">
        <f>+'7. mell. Önk.összes.bevétele'!J186</f>
        <v>398053982</v>
      </c>
      <c r="E39" s="1973">
        <f>+'7. mell. Önk.összes.bevétele'!K186</f>
        <v>528164717</v>
      </c>
      <c r="F39" s="1973">
        <f>+'7. mell. Önk.összes.bevétele'!L186</f>
        <v>528164717</v>
      </c>
      <c r="G39" s="1973">
        <f>+'7. mell. Önk.összes.bevétele'!M186</f>
        <v>528164717</v>
      </c>
      <c r="H39" s="1973">
        <f>+'7. mell. Önk.összes.bevétele'!N186</f>
        <v>373548012</v>
      </c>
      <c r="I39" s="1973">
        <f>+'7. mell. Önk.összes.bevétele'!O186</f>
        <v>373548012</v>
      </c>
      <c r="J39" s="1974">
        <f>+'7. mell. Önk.összes.bevétele'!P186</f>
        <v>373548012</v>
      </c>
      <c r="K39" s="1975">
        <f t="shared" si="13"/>
        <v>1</v>
      </c>
      <c r="L39" s="2093">
        <f t="shared" si="2"/>
        <v>0</v>
      </c>
      <c r="M39" s="1973">
        <f t="shared" si="3"/>
        <v>0</v>
      </c>
      <c r="N39" s="1973">
        <f t="shared" si="4"/>
        <v>-154616705</v>
      </c>
      <c r="O39" s="1555">
        <f t="shared" si="5"/>
        <v>0</v>
      </c>
      <c r="P39" s="109"/>
      <c r="Q39" s="107">
        <f t="shared" si="6"/>
        <v>93298388</v>
      </c>
      <c r="R39" s="1557"/>
      <c r="Y39" s="1974">
        <v>398053982</v>
      </c>
      <c r="Z39" s="2531">
        <f t="shared" si="7"/>
        <v>0</v>
      </c>
    </row>
    <row r="40" spans="1:26" s="110" customFormat="1" ht="12" customHeight="1">
      <c r="A40" s="1971" t="s">
        <v>233</v>
      </c>
      <c r="B40" s="1972" t="s">
        <v>234</v>
      </c>
      <c r="C40" s="1973">
        <f>+'6. mell (Bontás)'!C40</f>
        <v>0</v>
      </c>
      <c r="D40" s="2723">
        <v>0</v>
      </c>
      <c r="E40" s="1973">
        <f>+'6. mell (Bontás)'!D40</f>
        <v>0</v>
      </c>
      <c r="F40" s="1973">
        <f>+'6. mell (Bontás)'!E40</f>
        <v>0</v>
      </c>
      <c r="G40" s="1973">
        <f>+'6. mell (Bontás)'!F40</f>
        <v>0</v>
      </c>
      <c r="H40" s="1973">
        <f>+'6. mell (Bontás)'!G40</f>
        <v>0</v>
      </c>
      <c r="I40" s="1973">
        <f>+'6. mell (Bontás)'!H40</f>
        <v>0</v>
      </c>
      <c r="J40" s="1974">
        <f>+'6. mell (Bontás)'!I40</f>
        <v>0</v>
      </c>
      <c r="K40" s="1975"/>
      <c r="L40" s="2093">
        <f t="shared" si="2"/>
        <v>0</v>
      </c>
      <c r="M40" s="1973">
        <f t="shared" si="3"/>
        <v>0</v>
      </c>
      <c r="N40" s="1973">
        <f t="shared" si="4"/>
        <v>0</v>
      </c>
      <c r="O40" s="1555">
        <f t="shared" si="5"/>
        <v>0</v>
      </c>
      <c r="P40" s="109"/>
      <c r="Q40" s="107">
        <f t="shared" si="6"/>
        <v>0</v>
      </c>
      <c r="R40" s="1557"/>
      <c r="Y40" s="1974">
        <v>0</v>
      </c>
      <c r="Z40" s="2531">
        <f t="shared" si="7"/>
        <v>0</v>
      </c>
    </row>
    <row r="41" spans="1:26" s="110" customFormat="1" ht="12" customHeight="1">
      <c r="A41" s="1971" t="s">
        <v>235</v>
      </c>
      <c r="B41" s="1972" t="s">
        <v>236</v>
      </c>
      <c r="C41" s="1973">
        <f>+'6. mell (Bontás)'!C41</f>
        <v>0</v>
      </c>
      <c r="D41" s="2723">
        <v>0</v>
      </c>
      <c r="E41" s="1973">
        <f>+'6. mell (Bontás)'!D41</f>
        <v>0</v>
      </c>
      <c r="F41" s="1973">
        <f>+'6. mell (Bontás)'!E41</f>
        <v>0</v>
      </c>
      <c r="G41" s="1973">
        <f>+'6. mell (Bontás)'!F41</f>
        <v>0</v>
      </c>
      <c r="H41" s="1973">
        <f>+'6. mell (Bontás)'!G41</f>
        <v>91732750</v>
      </c>
      <c r="I41" s="1973">
        <f>+'6. mell (Bontás)'!H41</f>
        <v>91732750</v>
      </c>
      <c r="J41" s="1974">
        <f>+'6. mell (Bontás)'!I41</f>
        <v>91732750</v>
      </c>
      <c r="K41" s="1975">
        <f t="shared" ref="K41:K47" si="15">+J41/H41</f>
        <v>1</v>
      </c>
      <c r="L41" s="2093">
        <f t="shared" si="2"/>
        <v>0</v>
      </c>
      <c r="M41" s="1973">
        <f t="shared" si="3"/>
        <v>0</v>
      </c>
      <c r="N41" s="1973">
        <f t="shared" si="4"/>
        <v>91732750</v>
      </c>
      <c r="O41" s="1555">
        <f t="shared" si="5"/>
        <v>0</v>
      </c>
      <c r="P41" s="109"/>
      <c r="Q41" s="107">
        <f t="shared" si="6"/>
        <v>0</v>
      </c>
      <c r="R41" s="1557"/>
      <c r="Y41" s="1974">
        <v>0</v>
      </c>
      <c r="Z41" s="2531">
        <f t="shared" si="7"/>
        <v>0</v>
      </c>
    </row>
    <row r="42" spans="1:26" s="110" customFormat="1" ht="12" customHeight="1">
      <c r="A42" s="1971" t="s">
        <v>237</v>
      </c>
      <c r="B42" s="1972" t="s">
        <v>238</v>
      </c>
      <c r="C42" s="1973">
        <f>+'6. mell (Bontás)'!C42</f>
        <v>5000000</v>
      </c>
      <c r="D42" s="2723">
        <f>+'7. mell. Önk.összes.bevétele'!J190</f>
        <v>9612000</v>
      </c>
      <c r="E42" s="1973">
        <f>+'6. mell (Bontás)'!D42</f>
        <v>5000000</v>
      </c>
      <c r="F42" s="1973">
        <f>+'6. mell (Bontás)'!E42</f>
        <v>5000000</v>
      </c>
      <c r="G42" s="1973">
        <f>+'6. mell (Bontás)'!F42</f>
        <v>5000000</v>
      </c>
      <c r="H42" s="1973">
        <f>+'6. mell (Bontás)'!G42</f>
        <v>5195000</v>
      </c>
      <c r="I42" s="1973">
        <f>+'6. mell (Bontás)'!H42</f>
        <v>5195000</v>
      </c>
      <c r="J42" s="1974">
        <f>+'6. mell (Bontás)'!I42</f>
        <v>5195000</v>
      </c>
      <c r="K42" s="1975">
        <f t="shared" si="15"/>
        <v>1</v>
      </c>
      <c r="L42" s="2093">
        <f t="shared" si="2"/>
        <v>0</v>
      </c>
      <c r="M42" s="1973">
        <f t="shared" si="3"/>
        <v>0</v>
      </c>
      <c r="N42" s="1973">
        <f t="shared" si="4"/>
        <v>195000</v>
      </c>
      <c r="O42" s="1555">
        <f t="shared" si="5"/>
        <v>0</v>
      </c>
      <c r="P42" s="109"/>
      <c r="Q42" s="107">
        <f t="shared" si="6"/>
        <v>0</v>
      </c>
      <c r="R42" s="1557"/>
      <c r="Y42" s="1974">
        <v>9612000</v>
      </c>
      <c r="Z42" s="2531">
        <f t="shared" si="7"/>
        <v>0</v>
      </c>
    </row>
    <row r="43" spans="1:26" s="110" customFormat="1" ht="12" customHeight="1">
      <c r="A43" s="1971" t="s">
        <v>239</v>
      </c>
      <c r="B43" s="1972" t="s">
        <v>240</v>
      </c>
      <c r="C43" s="1973">
        <f>+'7. mell. Önk.összes.bevétele'!I198</f>
        <v>500000000</v>
      </c>
      <c r="D43" s="2723">
        <f>+'7. mell. Önk.összes.bevétele'!J198</f>
        <v>388411160</v>
      </c>
      <c r="E43" s="1973">
        <f>+'7. mell. Önk.összes.bevétele'!K198</f>
        <v>191500000</v>
      </c>
      <c r="F43" s="1973">
        <f>+'7. mell. Önk.összes.bevétele'!L198</f>
        <v>191500000</v>
      </c>
      <c r="G43" s="1973">
        <f>+'7. mell. Önk.összes.bevétele'!M198</f>
        <v>191500000</v>
      </c>
      <c r="H43" s="1973">
        <f>+'7. mell. Önk.összes.bevétele'!N198</f>
        <v>194332945</v>
      </c>
      <c r="I43" s="1973">
        <f>+'7. mell. Önk.összes.bevétele'!O198</f>
        <v>194332945</v>
      </c>
      <c r="J43" s="1974">
        <f>+'7. mell. Önk.összes.bevétele'!P198</f>
        <v>194332945</v>
      </c>
      <c r="K43" s="1975">
        <f t="shared" si="15"/>
        <v>1</v>
      </c>
      <c r="L43" s="2093">
        <f t="shared" si="2"/>
        <v>0</v>
      </c>
      <c r="M43" s="1973">
        <f t="shared" si="3"/>
        <v>0</v>
      </c>
      <c r="N43" s="1973">
        <f t="shared" si="4"/>
        <v>2832945</v>
      </c>
      <c r="O43" s="1555">
        <f t="shared" si="5"/>
        <v>0</v>
      </c>
      <c r="P43" s="109"/>
      <c r="Q43" s="107">
        <f t="shared" si="6"/>
        <v>-308500000</v>
      </c>
      <c r="R43" s="1557"/>
      <c r="Y43" s="1974">
        <v>388411160</v>
      </c>
      <c r="Z43" s="2531">
        <f t="shared" si="7"/>
        <v>0</v>
      </c>
    </row>
    <row r="44" spans="1:26" s="110" customFormat="1" ht="12" customHeight="1">
      <c r="A44" s="1971" t="s">
        <v>241</v>
      </c>
      <c r="B44" s="1972" t="s">
        <v>242</v>
      </c>
      <c r="C44" s="1983">
        <f>+'7. mell. Önk.összes.bevétele'!I199</f>
        <v>0</v>
      </c>
      <c r="D44" s="2725">
        <f>+'7. mell. Önk.összes.bevétele'!J199</f>
        <v>20628</v>
      </c>
      <c r="E44" s="1983">
        <f>+'7. mell. Önk.összes.bevétele'!K199</f>
        <v>0</v>
      </c>
      <c r="F44" s="1983">
        <f>+'7. mell. Önk.összes.bevétele'!L199</f>
        <v>0</v>
      </c>
      <c r="G44" s="1983">
        <f>+'7. mell. Önk.összes.bevétele'!M199</f>
        <v>0</v>
      </c>
      <c r="H44" s="1983">
        <f>+'7. mell. Önk.összes.bevétele'!N199</f>
        <v>14166</v>
      </c>
      <c r="I44" s="1983">
        <f>+'7. mell. Önk.összes.bevétele'!O199</f>
        <v>14166</v>
      </c>
      <c r="J44" s="1984">
        <f>+'7. mell. Önk.összes.bevétele'!P199</f>
        <v>14166</v>
      </c>
      <c r="K44" s="1975">
        <f t="shared" si="15"/>
        <v>1</v>
      </c>
      <c r="L44" s="2093">
        <f t="shared" si="2"/>
        <v>0</v>
      </c>
      <c r="M44" s="1983">
        <f t="shared" si="3"/>
        <v>0</v>
      </c>
      <c r="N44" s="1983">
        <f t="shared" si="4"/>
        <v>14166</v>
      </c>
      <c r="O44" s="1555">
        <f t="shared" si="5"/>
        <v>0</v>
      </c>
      <c r="P44" s="117"/>
      <c r="Q44" s="119">
        <f t="shared" si="6"/>
        <v>0</v>
      </c>
      <c r="R44" s="1557"/>
      <c r="Y44" s="1984">
        <v>20628</v>
      </c>
      <c r="Z44" s="2531">
        <f t="shared" si="7"/>
        <v>0</v>
      </c>
    </row>
    <row r="45" spans="1:26" s="110" customFormat="1" ht="12" customHeight="1">
      <c r="A45" s="1971" t="s">
        <v>243</v>
      </c>
      <c r="B45" s="1972" t="s">
        <v>163</v>
      </c>
      <c r="C45" s="1983">
        <f>+'7. mell. Önk.összes.bevétele'!I201</f>
        <v>628345000</v>
      </c>
      <c r="D45" s="2725">
        <f>+'7. mell. Önk.összes.bevétele'!J201</f>
        <v>348766565</v>
      </c>
      <c r="E45" s="1983">
        <f>+'7. mell. Önk.összes.bevétele'!K201</f>
        <v>0</v>
      </c>
      <c r="F45" s="1983">
        <f>+'7. mell. Önk.összes.bevétele'!L201</f>
        <v>0</v>
      </c>
      <c r="G45" s="1983">
        <f>+'7. mell. Önk.összes.bevétele'!M201</f>
        <v>0</v>
      </c>
      <c r="H45" s="1983">
        <f>+'7. mell. Önk.összes.bevétele'!N201</f>
        <v>633884</v>
      </c>
      <c r="I45" s="1983">
        <f>+'7. mell. Önk.összes.bevétele'!O201</f>
        <v>633884</v>
      </c>
      <c r="J45" s="1984">
        <f>+'7. mell. Önk.összes.bevétele'!P201</f>
        <v>633884</v>
      </c>
      <c r="K45" s="1975">
        <f t="shared" si="15"/>
        <v>1</v>
      </c>
      <c r="L45" s="2093">
        <f t="shared" si="2"/>
        <v>0</v>
      </c>
      <c r="M45" s="1983">
        <f t="shared" si="3"/>
        <v>0</v>
      </c>
      <c r="N45" s="1983">
        <f t="shared" si="4"/>
        <v>633884</v>
      </c>
      <c r="O45" s="1555"/>
      <c r="P45" s="120"/>
      <c r="Q45" s="119">
        <f t="shared" si="6"/>
        <v>-628345000</v>
      </c>
      <c r="R45" s="1557"/>
      <c r="Y45" s="1984">
        <v>348766565</v>
      </c>
      <c r="Z45" s="2531">
        <f t="shared" si="7"/>
        <v>0</v>
      </c>
    </row>
    <row r="46" spans="1:26" s="110" customFormat="1" ht="12" customHeight="1" thickBot="1">
      <c r="A46" s="1971" t="s">
        <v>244</v>
      </c>
      <c r="B46" s="1972" t="s">
        <v>162</v>
      </c>
      <c r="C46" s="1983">
        <f>+'7. mell. Önk.összes.bevétele'!I211-'7. mell. Önk.összes.bevétele'!I201+'7. mell. Önk.összes.bevétele'!I217</f>
        <v>13155000</v>
      </c>
      <c r="D46" s="2725">
        <f>+'7. mell. Önk.összes.bevétele'!J211-'7. mell. Önk.összes.bevétele'!J201+'7. mell. Önk.összes.bevétele'!J217</f>
        <v>14781648</v>
      </c>
      <c r="E46" s="1983">
        <f>+'7. mell. Önk.összes.bevétele'!K211-'7. mell. Önk.összes.bevétele'!K201+'7. mell. Önk.összes.bevétele'!K217</f>
        <v>11692000</v>
      </c>
      <c r="F46" s="1983">
        <f>+'7. mell. Önk.összes.bevétele'!L211-'7. mell. Önk.összes.bevétele'!L201+'7. mell. Önk.összes.bevétele'!L217</f>
        <v>11692000</v>
      </c>
      <c r="G46" s="1983">
        <f>+'7. mell. Önk.összes.bevétele'!M211-'7. mell. Önk.összes.bevétele'!M201+'7. mell. Önk.összes.bevétele'!M217</f>
        <v>11692000</v>
      </c>
      <c r="H46" s="1983">
        <f>+'7. mell. Önk.összes.bevétele'!N211-'7. mell. Önk.összes.bevétele'!N201+'7. mell. Önk.összes.bevétele'!N217</f>
        <v>23440968</v>
      </c>
      <c r="I46" s="1983">
        <f>+'7. mell. Önk.összes.bevétele'!O211-'7. mell. Önk.összes.bevétele'!O201+'7. mell. Önk.összes.bevétele'!O217</f>
        <v>23440968</v>
      </c>
      <c r="J46" s="1984">
        <f>+'7. mell. Önk.összes.bevétele'!P211-'7. mell. Önk.összes.bevétele'!P201+'7. mell. Önk.összes.bevétele'!P217</f>
        <v>23440968</v>
      </c>
      <c r="K46" s="1975">
        <f t="shared" si="15"/>
        <v>1</v>
      </c>
      <c r="L46" s="2093">
        <f t="shared" si="2"/>
        <v>0</v>
      </c>
      <c r="M46" s="1983">
        <f t="shared" ref="M46:M85" si="16">+G46-F46</f>
        <v>0</v>
      </c>
      <c r="N46" s="1983">
        <f t="shared" si="4"/>
        <v>11748968</v>
      </c>
      <c r="O46" s="1555">
        <f t="shared" ref="O46:O84" si="17">+I46-H46</f>
        <v>0</v>
      </c>
      <c r="P46" s="120"/>
      <c r="Q46" s="119">
        <f t="shared" si="6"/>
        <v>-1463000</v>
      </c>
      <c r="R46" s="1557"/>
      <c r="Y46" s="1984">
        <v>14781648</v>
      </c>
      <c r="Z46" s="2531">
        <f t="shared" si="7"/>
        <v>0</v>
      </c>
    </row>
    <row r="47" spans="1:26" s="110" customFormat="1" ht="12" customHeight="1" thickBot="1">
      <c r="A47" s="1966" t="s">
        <v>19</v>
      </c>
      <c r="B47" s="1978" t="s">
        <v>245</v>
      </c>
      <c r="C47" s="1968">
        <f t="shared" ref="C47:J47" si="18">SUM(C48:C52)</f>
        <v>1284721430.1900001</v>
      </c>
      <c r="D47" s="1968">
        <f t="shared" si="18"/>
        <v>298530743</v>
      </c>
      <c r="E47" s="1968">
        <f t="shared" si="18"/>
        <v>1091869854</v>
      </c>
      <c r="F47" s="1968">
        <f t="shared" si="18"/>
        <v>1091869854</v>
      </c>
      <c r="G47" s="1968">
        <f t="shared" si="18"/>
        <v>1091869854</v>
      </c>
      <c r="H47" s="1968">
        <f t="shared" si="18"/>
        <v>175223066</v>
      </c>
      <c r="I47" s="1968">
        <f t="shared" si="18"/>
        <v>175223066</v>
      </c>
      <c r="J47" s="1969">
        <f t="shared" si="18"/>
        <v>175223066</v>
      </c>
      <c r="K47" s="1970">
        <f t="shared" si="15"/>
        <v>1</v>
      </c>
      <c r="L47" s="2093">
        <f t="shared" si="2"/>
        <v>0</v>
      </c>
      <c r="M47" s="1968">
        <f t="shared" si="16"/>
        <v>0</v>
      </c>
      <c r="N47" s="1968">
        <f t="shared" si="4"/>
        <v>-916646788</v>
      </c>
      <c r="O47" s="1555">
        <f t="shared" si="17"/>
        <v>0</v>
      </c>
      <c r="P47" s="111"/>
      <c r="Q47" s="104">
        <f t="shared" si="6"/>
        <v>-192851576.19000006</v>
      </c>
      <c r="R47" s="1557"/>
      <c r="Y47" s="1969">
        <v>298530743</v>
      </c>
      <c r="Z47" s="2531">
        <f t="shared" si="7"/>
        <v>0</v>
      </c>
    </row>
    <row r="48" spans="1:26" s="110" customFormat="1" ht="12" customHeight="1">
      <c r="A48" s="1971" t="s">
        <v>246</v>
      </c>
      <c r="B48" s="1972" t="s">
        <v>247</v>
      </c>
      <c r="C48" s="1983">
        <f>+'7. mell. Önk.összes.bevétele'!I273</f>
        <v>0</v>
      </c>
      <c r="D48" s="2725">
        <f>+'7. mell. Önk.összes.bevétele'!J273</f>
        <v>0</v>
      </c>
      <c r="E48" s="1983">
        <f>+'7. mell. Önk.összes.bevétele'!K273</f>
        <v>0</v>
      </c>
      <c r="F48" s="1983">
        <f>+'7. mell. Önk.összes.bevétele'!L273</f>
        <v>0</v>
      </c>
      <c r="G48" s="1983">
        <f>+'7. mell. Önk.összes.bevétele'!M273</f>
        <v>0</v>
      </c>
      <c r="H48" s="1983">
        <f>+'7. mell. Önk.összes.bevétele'!N273</f>
        <v>0</v>
      </c>
      <c r="I48" s="1985">
        <f>+'7. mell. Önk.összes.bevétele'!O273</f>
        <v>0</v>
      </c>
      <c r="J48" s="1984">
        <f>+'7. mell. Önk.összes.bevétele'!P273</f>
        <v>0</v>
      </c>
      <c r="K48" s="1975"/>
      <c r="L48" s="2093">
        <f t="shared" si="2"/>
        <v>0</v>
      </c>
      <c r="M48" s="1983">
        <f t="shared" si="16"/>
        <v>0</v>
      </c>
      <c r="N48" s="1983">
        <f t="shared" si="4"/>
        <v>0</v>
      </c>
      <c r="O48" s="1555">
        <f t="shared" si="17"/>
        <v>0</v>
      </c>
      <c r="P48" s="121"/>
      <c r="Q48" s="119">
        <f t="shared" si="6"/>
        <v>0</v>
      </c>
      <c r="R48" s="1557"/>
      <c r="Y48" s="1984">
        <v>0</v>
      </c>
      <c r="Z48" s="2531">
        <f t="shared" si="7"/>
        <v>0</v>
      </c>
    </row>
    <row r="49" spans="1:26" s="110" customFormat="1" ht="12" customHeight="1">
      <c r="A49" s="1971" t="s">
        <v>248</v>
      </c>
      <c r="B49" s="1972" t="s">
        <v>249</v>
      </c>
      <c r="C49" s="1983">
        <f>+'7. mell. Önk.összes.bevétele'!I281</f>
        <v>1283886430.1900001</v>
      </c>
      <c r="D49" s="2725">
        <f>+'7. mell. Önk.összes.bevétele'!J281</f>
        <v>298530743</v>
      </c>
      <c r="E49" s="1983">
        <f>+'7. mell. Önk.összes.bevétele'!K281</f>
        <v>1091394854</v>
      </c>
      <c r="F49" s="1983">
        <f>+'7. mell. Önk.összes.bevétele'!L281</f>
        <v>1091394854</v>
      </c>
      <c r="G49" s="1983">
        <f>+'7. mell. Önk.összes.bevétele'!M281</f>
        <v>1091394854</v>
      </c>
      <c r="H49" s="1983">
        <f>+'7. mell. Önk.összes.bevétele'!N281</f>
        <v>175215192</v>
      </c>
      <c r="I49" s="1983">
        <f>+'7. mell. Önk.összes.bevétele'!O281</f>
        <v>175215192</v>
      </c>
      <c r="J49" s="1984">
        <f>+'7. mell. Önk.összes.bevétele'!P281</f>
        <v>175215192</v>
      </c>
      <c r="K49" s="1975">
        <f>+J49/H49</f>
        <v>1</v>
      </c>
      <c r="L49" s="2093">
        <f t="shared" si="2"/>
        <v>0</v>
      </c>
      <c r="M49" s="1983">
        <f t="shared" si="16"/>
        <v>0</v>
      </c>
      <c r="N49" s="1983">
        <f t="shared" si="4"/>
        <v>-916179662</v>
      </c>
      <c r="O49" s="1555">
        <f t="shared" si="17"/>
        <v>0</v>
      </c>
      <c r="P49" s="117"/>
      <c r="Q49" s="119">
        <f t="shared" si="6"/>
        <v>-192491576.19000006</v>
      </c>
      <c r="R49" s="1557"/>
      <c r="Y49" s="1984">
        <v>298530743</v>
      </c>
      <c r="Z49" s="2531">
        <f t="shared" si="7"/>
        <v>0</v>
      </c>
    </row>
    <row r="50" spans="1:26" s="110" customFormat="1" ht="12" customHeight="1">
      <c r="A50" s="1971" t="s">
        <v>250</v>
      </c>
      <c r="B50" s="1972" t="s">
        <v>155</v>
      </c>
      <c r="C50" s="1983">
        <f>+'7. mell. Önk.összes.bevétele'!I285</f>
        <v>835000</v>
      </c>
      <c r="D50" s="2725">
        <f>+'7. mell. Önk.összes.bevétele'!J285</f>
        <v>0</v>
      </c>
      <c r="E50" s="1983">
        <f>+'7. mell. Önk.összes.bevétele'!K285</f>
        <v>475000</v>
      </c>
      <c r="F50" s="1983">
        <f>+'7. mell. Önk.összes.bevétele'!L285</f>
        <v>475000</v>
      </c>
      <c r="G50" s="1983">
        <f>+'7. mell. Önk.összes.bevétele'!M285</f>
        <v>475000</v>
      </c>
      <c r="H50" s="1983">
        <f>+'7. mell. Önk.összes.bevétele'!N285</f>
        <v>7874</v>
      </c>
      <c r="I50" s="1983">
        <f>+'7. mell. Önk.összes.bevétele'!O285</f>
        <v>7874</v>
      </c>
      <c r="J50" s="1984">
        <f>+'7. mell. Önk.összes.bevétele'!P285</f>
        <v>7874</v>
      </c>
      <c r="K50" s="1975">
        <f>+J50/H50</f>
        <v>1</v>
      </c>
      <c r="L50" s="2093">
        <f t="shared" si="2"/>
        <v>0</v>
      </c>
      <c r="M50" s="1983">
        <f t="shared" si="16"/>
        <v>0</v>
      </c>
      <c r="N50" s="1983">
        <f t="shared" si="4"/>
        <v>-467126</v>
      </c>
      <c r="O50" s="1555">
        <f t="shared" si="17"/>
        <v>0</v>
      </c>
      <c r="P50" s="117"/>
      <c r="Q50" s="119">
        <f t="shared" si="6"/>
        <v>-360000</v>
      </c>
      <c r="R50" s="1557"/>
      <c r="Y50" s="1984">
        <v>0</v>
      </c>
      <c r="Z50" s="2531">
        <f t="shared" si="7"/>
        <v>0</v>
      </c>
    </row>
    <row r="51" spans="1:26" s="110" customFormat="1" ht="12" customHeight="1">
      <c r="A51" s="1971" t="s">
        <v>251</v>
      </c>
      <c r="B51" s="1972" t="s">
        <v>252</v>
      </c>
      <c r="C51" s="1983">
        <f>+'7. mell. Önk.összes.bevétele'!I286</f>
        <v>0</v>
      </c>
      <c r="D51" s="2725">
        <f>+'7. mell. Önk.összes.bevétele'!J286</f>
        <v>0</v>
      </c>
      <c r="E51" s="1983">
        <f>+'7. mell. Önk.összes.bevétele'!K286</f>
        <v>0</v>
      </c>
      <c r="F51" s="1983">
        <f>+'7. mell. Önk.összes.bevétele'!L286</f>
        <v>0</v>
      </c>
      <c r="G51" s="1983">
        <f>+'7. mell. Önk.összes.bevétele'!M286</f>
        <v>0</v>
      </c>
      <c r="H51" s="1983">
        <f>+'7. mell. Önk.összes.bevétele'!N286</f>
        <v>0</v>
      </c>
      <c r="I51" s="1983">
        <f>+'7. mell. Önk.összes.bevétele'!O286</f>
        <v>0</v>
      </c>
      <c r="J51" s="1984">
        <f>+'7. mell. Önk.összes.bevétele'!P286</f>
        <v>0</v>
      </c>
      <c r="K51" s="1975"/>
      <c r="L51" s="2093">
        <f t="shared" si="2"/>
        <v>0</v>
      </c>
      <c r="M51" s="1983">
        <f t="shared" si="16"/>
        <v>0</v>
      </c>
      <c r="N51" s="1983">
        <f t="shared" si="4"/>
        <v>0</v>
      </c>
      <c r="O51" s="1555">
        <f t="shared" si="17"/>
        <v>0</v>
      </c>
      <c r="P51" s="117"/>
      <c r="Q51" s="119">
        <f t="shared" si="6"/>
        <v>0</v>
      </c>
      <c r="R51" s="1557"/>
      <c r="Y51" s="1984">
        <v>0</v>
      </c>
      <c r="Z51" s="2531">
        <f t="shared" si="7"/>
        <v>0</v>
      </c>
    </row>
    <row r="52" spans="1:26" s="110" customFormat="1" ht="12" customHeight="1" thickBot="1">
      <c r="A52" s="1971" t="s">
        <v>253</v>
      </c>
      <c r="B52" s="1972" t="s">
        <v>254</v>
      </c>
      <c r="C52" s="1983">
        <f>+'6. mell (Bontás)'!C52</f>
        <v>0</v>
      </c>
      <c r="D52" s="2725">
        <v>0</v>
      </c>
      <c r="E52" s="1983">
        <f>+'6. mell (Bontás)'!D52</f>
        <v>0</v>
      </c>
      <c r="F52" s="1983">
        <f>+'6. mell (Bontás)'!E52</f>
        <v>0</v>
      </c>
      <c r="G52" s="1983">
        <f>+'6. mell (Bontás)'!F52</f>
        <v>0</v>
      </c>
      <c r="H52" s="1983">
        <f>+'6. mell (Bontás)'!G52</f>
        <v>0</v>
      </c>
      <c r="I52" s="1985">
        <f>+'6. mell (Bontás)'!H52</f>
        <v>0</v>
      </c>
      <c r="J52" s="1984">
        <f>+'6. mell (Bontás)'!I52</f>
        <v>0</v>
      </c>
      <c r="K52" s="1975"/>
      <c r="L52" s="2093">
        <f t="shared" si="2"/>
        <v>0</v>
      </c>
      <c r="M52" s="1983">
        <f t="shared" si="16"/>
        <v>0</v>
      </c>
      <c r="N52" s="1983">
        <f t="shared" si="4"/>
        <v>0</v>
      </c>
      <c r="O52" s="1555">
        <f t="shared" si="17"/>
        <v>0</v>
      </c>
      <c r="P52" s="120"/>
      <c r="Q52" s="119">
        <f t="shared" si="6"/>
        <v>0</v>
      </c>
      <c r="R52" s="1557"/>
      <c r="Y52" s="1984">
        <v>0</v>
      </c>
      <c r="Z52" s="2531">
        <f t="shared" si="7"/>
        <v>0</v>
      </c>
    </row>
    <row r="53" spans="1:26" s="110" customFormat="1" ht="12" customHeight="1" thickBot="1">
      <c r="A53" s="1966" t="s">
        <v>255</v>
      </c>
      <c r="B53" s="1978" t="s">
        <v>256</v>
      </c>
      <c r="C53" s="1968">
        <f t="shared" ref="C53:J53" si="19">SUM(C54:C56)</f>
        <v>27253713</v>
      </c>
      <c r="D53" s="1968">
        <f t="shared" si="19"/>
        <v>37625131</v>
      </c>
      <c r="E53" s="1968">
        <f t="shared" si="19"/>
        <v>16328120</v>
      </c>
      <c r="F53" s="1968">
        <f t="shared" si="19"/>
        <v>16328120</v>
      </c>
      <c r="G53" s="1968">
        <f t="shared" si="19"/>
        <v>16328120</v>
      </c>
      <c r="H53" s="1968">
        <f t="shared" si="19"/>
        <v>15909030</v>
      </c>
      <c r="I53" s="1968">
        <f t="shared" si="19"/>
        <v>15909030</v>
      </c>
      <c r="J53" s="1969">
        <f t="shared" si="19"/>
        <v>15909030</v>
      </c>
      <c r="K53" s="1970">
        <f>+J53/H53</f>
        <v>1</v>
      </c>
      <c r="L53" s="2093">
        <f t="shared" si="2"/>
        <v>0</v>
      </c>
      <c r="M53" s="1968">
        <f t="shared" si="16"/>
        <v>0</v>
      </c>
      <c r="N53" s="1968">
        <f t="shared" si="4"/>
        <v>-419090</v>
      </c>
      <c r="O53" s="1555">
        <f t="shared" si="17"/>
        <v>0</v>
      </c>
      <c r="P53" s="111"/>
      <c r="Q53" s="104">
        <f t="shared" si="6"/>
        <v>-10925593</v>
      </c>
      <c r="R53" s="1557"/>
      <c r="Y53" s="1969">
        <v>37625131</v>
      </c>
      <c r="Z53" s="2531">
        <f t="shared" si="7"/>
        <v>0</v>
      </c>
    </row>
    <row r="54" spans="1:26" s="110" customFormat="1" ht="12" customHeight="1">
      <c r="A54" s="1971" t="s">
        <v>257</v>
      </c>
      <c r="B54" s="1972" t="s">
        <v>258</v>
      </c>
      <c r="C54" s="1973">
        <f>+'6. mell (Bontás)'!C54</f>
        <v>0</v>
      </c>
      <c r="D54" s="2723">
        <v>0</v>
      </c>
      <c r="E54" s="1973">
        <f>+'6. mell (Bontás)'!D54</f>
        <v>0</v>
      </c>
      <c r="F54" s="1973">
        <f>+'6. mell (Bontás)'!E54</f>
        <v>0</v>
      </c>
      <c r="G54" s="1973">
        <f>+'6. mell (Bontás)'!F54</f>
        <v>0</v>
      </c>
      <c r="H54" s="1973">
        <f>+'6. mell (Bontás)'!G54</f>
        <v>0</v>
      </c>
      <c r="I54" s="1973">
        <f>+'6. mell (Bontás)'!H54</f>
        <v>0</v>
      </c>
      <c r="J54" s="1974">
        <f>+'6. mell (Bontás)'!I54</f>
        <v>0</v>
      </c>
      <c r="K54" s="1977"/>
      <c r="L54" s="2093">
        <f t="shared" si="2"/>
        <v>0</v>
      </c>
      <c r="M54" s="1973">
        <f t="shared" si="16"/>
        <v>0</v>
      </c>
      <c r="N54" s="1973">
        <f t="shared" si="4"/>
        <v>0</v>
      </c>
      <c r="O54" s="1555">
        <f t="shared" si="17"/>
        <v>0</v>
      </c>
      <c r="P54" s="106"/>
      <c r="Q54" s="107">
        <f t="shared" si="6"/>
        <v>0</v>
      </c>
      <c r="R54" s="1557"/>
      <c r="Y54" s="1974">
        <v>0</v>
      </c>
      <c r="Z54" s="2531">
        <f t="shared" si="7"/>
        <v>0</v>
      </c>
    </row>
    <row r="55" spans="1:26" s="110" customFormat="1" ht="12" customHeight="1">
      <c r="A55" s="1971" t="s">
        <v>259</v>
      </c>
      <c r="B55" s="1972" t="s">
        <v>260</v>
      </c>
      <c r="C55" s="1973">
        <f>+'7. mell. Önk.összes.bevétele'!I228</f>
        <v>15853713</v>
      </c>
      <c r="D55" s="2723">
        <f>+'7. mell. Önk.összes.bevétele'!J228</f>
        <v>15455000</v>
      </c>
      <c r="E55" s="1973">
        <f>+'7. mell. Önk.összes.bevétele'!K228</f>
        <v>16328120</v>
      </c>
      <c r="F55" s="1973">
        <f>+'7. mell. Önk.összes.bevétele'!L228</f>
        <v>16328120</v>
      </c>
      <c r="G55" s="1973">
        <f>+'7. mell. Önk.összes.bevétele'!M228</f>
        <v>16328120</v>
      </c>
      <c r="H55" s="1973">
        <f>+'7. mell. Önk.összes.bevétele'!N228</f>
        <v>15909030</v>
      </c>
      <c r="I55" s="1973">
        <f>+'7. mell. Önk.összes.bevétele'!O228</f>
        <v>15909030</v>
      </c>
      <c r="J55" s="1974">
        <f>+'7. mell. Önk.összes.bevétele'!P228</f>
        <v>15909030</v>
      </c>
      <c r="K55" s="1975">
        <f>+J55/H55</f>
        <v>1</v>
      </c>
      <c r="L55" s="2093">
        <f t="shared" si="2"/>
        <v>0</v>
      </c>
      <c r="M55" s="1973">
        <f t="shared" si="16"/>
        <v>0</v>
      </c>
      <c r="N55" s="1973">
        <f t="shared" si="4"/>
        <v>-419090</v>
      </c>
      <c r="O55" s="1555">
        <f t="shared" si="17"/>
        <v>0</v>
      </c>
      <c r="P55" s="109"/>
      <c r="Q55" s="107">
        <f t="shared" si="6"/>
        <v>474407</v>
      </c>
      <c r="R55" s="1557"/>
      <c r="Y55" s="1974">
        <v>15455000</v>
      </c>
      <c r="Z55" s="2531">
        <f t="shared" si="7"/>
        <v>0</v>
      </c>
    </row>
    <row r="56" spans="1:26" s="110" customFormat="1" ht="12" customHeight="1">
      <c r="A56" s="1971" t="s">
        <v>261</v>
      </c>
      <c r="B56" s="1972" t="s">
        <v>262</v>
      </c>
      <c r="C56" s="1973">
        <f>+'7. mell. Önk.összes.bevétele'!I242</f>
        <v>11400000</v>
      </c>
      <c r="D56" s="2723">
        <f>+'7. mell. Önk.összes.bevétele'!J242</f>
        <v>22170131</v>
      </c>
      <c r="E56" s="1973">
        <f>+'7. mell. Önk.összes.bevétele'!K242</f>
        <v>0</v>
      </c>
      <c r="F56" s="1973">
        <f>+'7. mell. Önk.összes.bevétele'!L242</f>
        <v>0</v>
      </c>
      <c r="G56" s="1973">
        <f>+'7. mell. Önk.összes.bevétele'!M242</f>
        <v>0</v>
      </c>
      <c r="H56" s="1973">
        <f>+'7. mell. Önk.összes.bevétele'!N242</f>
        <v>0</v>
      </c>
      <c r="I56" s="1973">
        <f>+'7. mell. Önk.összes.bevétele'!O242</f>
        <v>0</v>
      </c>
      <c r="J56" s="1974">
        <f>+'7. mell. Önk.összes.bevétele'!P242</f>
        <v>0</v>
      </c>
      <c r="K56" s="1975"/>
      <c r="L56" s="2093">
        <f t="shared" si="2"/>
        <v>0</v>
      </c>
      <c r="M56" s="1973">
        <f t="shared" si="16"/>
        <v>0</v>
      </c>
      <c r="N56" s="1973">
        <f t="shared" si="4"/>
        <v>0</v>
      </c>
      <c r="O56" s="1555">
        <f t="shared" si="17"/>
        <v>0</v>
      </c>
      <c r="P56" s="109"/>
      <c r="Q56" s="107">
        <f t="shared" si="6"/>
        <v>-11400000</v>
      </c>
      <c r="R56" s="1557"/>
      <c r="Y56" s="1974">
        <v>22170131</v>
      </c>
      <c r="Z56" s="2531">
        <f t="shared" si="7"/>
        <v>0</v>
      </c>
    </row>
    <row r="57" spans="1:26" s="110" customFormat="1" ht="12" customHeight="1" thickBot="1">
      <c r="A57" s="1971" t="s">
        <v>263</v>
      </c>
      <c r="B57" s="1972" t="s">
        <v>264</v>
      </c>
      <c r="C57" s="1973">
        <f>+'6. mell (Bontás)'!C57</f>
        <v>11400000</v>
      </c>
      <c r="D57" s="2723">
        <v>22170131</v>
      </c>
      <c r="E57" s="1973">
        <f>+'6. mell (Bontás)'!D57</f>
        <v>0</v>
      </c>
      <c r="F57" s="1973">
        <f>+'6. mell (Bontás)'!E57</f>
        <v>0</v>
      </c>
      <c r="G57" s="1973">
        <f>+'6. mell (Bontás)'!F57</f>
        <v>0</v>
      </c>
      <c r="H57" s="1973">
        <f>+'6. mell (Bontás)'!G57</f>
        <v>0</v>
      </c>
      <c r="I57" s="1973">
        <f>+'6. mell (Bontás)'!H57</f>
        <v>0</v>
      </c>
      <c r="J57" s="1974">
        <f>+'6. mell (Bontás)'!I57</f>
        <v>0</v>
      </c>
      <c r="K57" s="1975"/>
      <c r="L57" s="2093">
        <f t="shared" si="2"/>
        <v>0</v>
      </c>
      <c r="M57" s="1973">
        <f t="shared" si="16"/>
        <v>0</v>
      </c>
      <c r="N57" s="1973">
        <f t="shared" si="4"/>
        <v>0</v>
      </c>
      <c r="O57" s="1555">
        <f t="shared" si="17"/>
        <v>0</v>
      </c>
      <c r="P57" s="112"/>
      <c r="Q57" s="107">
        <f t="shared" si="6"/>
        <v>-11400000</v>
      </c>
      <c r="R57" s="1557"/>
      <c r="Y57" s="1974">
        <v>22170131</v>
      </c>
      <c r="Z57" s="2531">
        <f t="shared" si="7"/>
        <v>0</v>
      </c>
    </row>
    <row r="58" spans="1:26" s="110" customFormat="1" ht="12" customHeight="1" thickBot="1">
      <c r="A58" s="1966" t="s">
        <v>23</v>
      </c>
      <c r="B58" s="1978" t="s">
        <v>3032</v>
      </c>
      <c r="C58" s="1968">
        <f t="shared" ref="C58:J58" si="20">SUM(C59:C61)</f>
        <v>104429188</v>
      </c>
      <c r="D58" s="1968">
        <f t="shared" si="20"/>
        <v>63990353</v>
      </c>
      <c r="E58" s="1968">
        <f t="shared" si="20"/>
        <v>3218439</v>
      </c>
      <c r="F58" s="1968">
        <f t="shared" si="20"/>
        <v>3218439</v>
      </c>
      <c r="G58" s="1968">
        <f t="shared" si="20"/>
        <v>3218439</v>
      </c>
      <c r="H58" s="1968">
        <f t="shared" si="20"/>
        <v>5253618</v>
      </c>
      <c r="I58" s="1968">
        <f t="shared" si="20"/>
        <v>5253618</v>
      </c>
      <c r="J58" s="1969">
        <f t="shared" si="20"/>
        <v>5253618</v>
      </c>
      <c r="K58" s="1970">
        <f>+J58/H58</f>
        <v>1</v>
      </c>
      <c r="L58" s="2093">
        <f t="shared" si="2"/>
        <v>0</v>
      </c>
      <c r="M58" s="1968">
        <f t="shared" si="16"/>
        <v>0</v>
      </c>
      <c r="N58" s="1968">
        <f t="shared" si="4"/>
        <v>2035179</v>
      </c>
      <c r="O58" s="1555">
        <f t="shared" si="17"/>
        <v>0</v>
      </c>
      <c r="P58" s="111"/>
      <c r="Q58" s="104">
        <f t="shared" si="6"/>
        <v>-101210749</v>
      </c>
      <c r="R58" s="1557"/>
      <c r="Y58" s="1969">
        <v>63990353</v>
      </c>
      <c r="Z58" s="2531">
        <f t="shared" si="7"/>
        <v>0</v>
      </c>
    </row>
    <row r="59" spans="1:26" s="110" customFormat="1" ht="12" customHeight="1">
      <c r="A59" s="1971" t="s">
        <v>265</v>
      </c>
      <c r="B59" s="1972" t="s">
        <v>3167</v>
      </c>
      <c r="C59" s="1983">
        <f>+'6. mell (Bontás)'!C59</f>
        <v>0</v>
      </c>
      <c r="D59" s="2725">
        <v>0</v>
      </c>
      <c r="E59" s="1983">
        <f>+'6. mell (Bontás)'!D59</f>
        <v>0</v>
      </c>
      <c r="F59" s="1983">
        <f>+'6. mell (Bontás)'!E59</f>
        <v>0</v>
      </c>
      <c r="G59" s="1983">
        <f>+'6. mell (Bontás)'!F59</f>
        <v>0</v>
      </c>
      <c r="H59" s="1983">
        <f>+'6. mell (Bontás)'!G59</f>
        <v>0</v>
      </c>
      <c r="I59" s="1983">
        <f>+'6. mell (Bontás)'!H59</f>
        <v>0</v>
      </c>
      <c r="J59" s="1984">
        <f>+'6. mell (Bontás)'!I59</f>
        <v>0</v>
      </c>
      <c r="K59" s="1987"/>
      <c r="L59" s="2093">
        <f t="shared" si="2"/>
        <v>0</v>
      </c>
      <c r="M59" s="1983">
        <f t="shared" si="16"/>
        <v>0</v>
      </c>
      <c r="N59" s="1983">
        <f t="shared" si="4"/>
        <v>0</v>
      </c>
      <c r="O59" s="1555">
        <f t="shared" si="17"/>
        <v>0</v>
      </c>
      <c r="P59" s="117"/>
      <c r="Q59" s="119">
        <f t="shared" si="6"/>
        <v>0</v>
      </c>
      <c r="R59" s="1557"/>
      <c r="Y59" s="1984">
        <v>0</v>
      </c>
      <c r="Z59" s="2531">
        <f t="shared" si="7"/>
        <v>0</v>
      </c>
    </row>
    <row r="60" spans="1:26" s="110" customFormat="1" ht="12" customHeight="1">
      <c r="A60" s="1971" t="s">
        <v>266</v>
      </c>
      <c r="B60" s="1972" t="s">
        <v>3166</v>
      </c>
      <c r="C60" s="1983">
        <f>+'7. mell. Önk.összes.bevétele'!I299</f>
        <v>4378788</v>
      </c>
      <c r="D60" s="2725">
        <f>+'7. mell. Önk.összes.bevétele'!J299</f>
        <v>6646208</v>
      </c>
      <c r="E60" s="1983">
        <f>+'7. mell. Önk.összes.bevétele'!K299</f>
        <v>2812314</v>
      </c>
      <c r="F60" s="1983">
        <f>+'7. mell. Önk.összes.bevétele'!L299</f>
        <v>2812314</v>
      </c>
      <c r="G60" s="1983">
        <f>+'7. mell. Önk.összes.bevétele'!M299</f>
        <v>2812314</v>
      </c>
      <c r="H60" s="1983">
        <f>+'7. mell. Önk.összes.bevétele'!N299</f>
        <v>4175953</v>
      </c>
      <c r="I60" s="1983">
        <f>+'7. mell. Önk.összes.bevétele'!O299</f>
        <v>4175953</v>
      </c>
      <c r="J60" s="1984">
        <f>+'7. mell. Önk.összes.bevétele'!P299</f>
        <v>4175953</v>
      </c>
      <c r="K60" s="1975">
        <f>+J60/H60</f>
        <v>1</v>
      </c>
      <c r="L60" s="2093">
        <f t="shared" si="2"/>
        <v>0</v>
      </c>
      <c r="M60" s="1983">
        <f t="shared" si="16"/>
        <v>0</v>
      </c>
      <c r="N60" s="1983">
        <f t="shared" si="4"/>
        <v>1363639</v>
      </c>
      <c r="O60" s="1555">
        <f t="shared" si="17"/>
        <v>0</v>
      </c>
      <c r="P60" s="117"/>
      <c r="Q60" s="119">
        <f t="shared" si="6"/>
        <v>-1566474</v>
      </c>
      <c r="R60" s="1557"/>
      <c r="Y60" s="1984">
        <v>6646208</v>
      </c>
      <c r="Z60" s="2531">
        <f t="shared" si="7"/>
        <v>0</v>
      </c>
    </row>
    <row r="61" spans="1:26" s="110" customFormat="1" ht="12" customHeight="1">
      <c r="A61" s="1971" t="s">
        <v>267</v>
      </c>
      <c r="B61" s="1972" t="s">
        <v>268</v>
      </c>
      <c r="C61" s="1983">
        <f>+'7. mell. Önk.összes.bevétele'!I317</f>
        <v>100050400</v>
      </c>
      <c r="D61" s="2725">
        <f>+'7. mell. Önk.összes.bevétele'!J317</f>
        <v>57344145</v>
      </c>
      <c r="E61" s="1983">
        <f>+'7. mell. Önk.összes.bevétele'!K317</f>
        <v>406125</v>
      </c>
      <c r="F61" s="1983">
        <f>+'7. mell. Önk.összes.bevétele'!L317</f>
        <v>406125</v>
      </c>
      <c r="G61" s="1983">
        <f>+'7. mell. Önk.összes.bevétele'!M317</f>
        <v>406125</v>
      </c>
      <c r="H61" s="1983">
        <f>+'7. mell. Önk.összes.bevétele'!N317</f>
        <v>1077665</v>
      </c>
      <c r="I61" s="1983">
        <f>+'7. mell. Önk.összes.bevétele'!O317</f>
        <v>1077665</v>
      </c>
      <c r="J61" s="1984">
        <f>+'7. mell. Önk.összes.bevétele'!P317</f>
        <v>1077665</v>
      </c>
      <c r="K61" s="1975">
        <f>+J61/H61</f>
        <v>1</v>
      </c>
      <c r="L61" s="2093">
        <f t="shared" si="2"/>
        <v>0</v>
      </c>
      <c r="M61" s="1983">
        <f t="shared" si="16"/>
        <v>0</v>
      </c>
      <c r="N61" s="1983">
        <f t="shared" si="4"/>
        <v>671540</v>
      </c>
      <c r="O61" s="1555">
        <f t="shared" si="17"/>
        <v>0</v>
      </c>
      <c r="P61" s="117"/>
      <c r="Q61" s="119">
        <f t="shared" si="6"/>
        <v>-99644275</v>
      </c>
      <c r="R61" s="1557"/>
      <c r="Y61" s="1984">
        <v>57344145</v>
      </c>
      <c r="Z61" s="2531">
        <f t="shared" si="7"/>
        <v>0</v>
      </c>
    </row>
    <row r="62" spans="1:26" s="110" customFormat="1" ht="12" customHeight="1" thickBot="1">
      <c r="A62" s="1971" t="s">
        <v>269</v>
      </c>
      <c r="B62" s="1972" t="s">
        <v>270</v>
      </c>
      <c r="C62" s="1983">
        <f>+'6. mell (Bontás)'!C62</f>
        <v>98690400</v>
      </c>
      <c r="D62" s="2725">
        <v>0</v>
      </c>
      <c r="E62" s="1983">
        <f>+'6. mell (Bontás)'!D62</f>
        <v>0</v>
      </c>
      <c r="F62" s="1983">
        <f>+'6. mell (Bontás)'!E62</f>
        <v>0</v>
      </c>
      <c r="G62" s="1983">
        <f>+'6. mell (Bontás)'!F62</f>
        <v>0</v>
      </c>
      <c r="H62" s="1983">
        <f>+'6. mell (Bontás)'!G62</f>
        <v>0</v>
      </c>
      <c r="I62" s="1983">
        <f>+'6. mell (Bontás)'!H62</f>
        <v>0</v>
      </c>
      <c r="J62" s="1984">
        <f>+'6. mell (Bontás)'!I62</f>
        <v>0</v>
      </c>
      <c r="K62" s="1987"/>
      <c r="L62" s="2093">
        <f t="shared" si="2"/>
        <v>0</v>
      </c>
      <c r="M62" s="1983">
        <f t="shared" si="16"/>
        <v>0</v>
      </c>
      <c r="N62" s="1983">
        <f t="shared" si="4"/>
        <v>0</v>
      </c>
      <c r="O62" s="1555">
        <f t="shared" si="17"/>
        <v>0</v>
      </c>
      <c r="P62" s="117"/>
      <c r="Q62" s="119">
        <f t="shared" si="6"/>
        <v>-98690400</v>
      </c>
      <c r="R62" s="1558">
        <f>+'7. mell. Önk.összes.bevétele'!K18+'7. mell. Önk.összes.bevétele'!K58+'7. mell. Önk.összes.bevétele'!K70+'7. mell. Önk.összes.bevétele'!K74+'7. mell. Önk.összes.bevétele'!K75+'7. mell. Önk.összes.bevétele'!K78+'7. mell. Önk.összes.bevétele'!K100+'7. mell. Önk.összes.bevétele'!K119+'7. mell. Önk.összes.bevétele'!K130+'7. mell. Önk.összes.bevétele'!K160+'7. mell. Önk.összes.bevétele'!K175+'7. mell. Önk.összes.bevétele'!K190+'7. mell. Önk.összes.bevétele'!K197+'7. mell. Önk.összes.bevétele'!K211+'7. mell. Önk.összes.bevétele'!K217+'7. mell. Önk.összes.bevétele'!K228+'7. mell. Önk.összes.bevétele'!K272+'7. mell. Önk.összes.bevétele'!K276+'7. mell. Önk.összes.bevétele'!K279+'7. mell. Önk.összes.bevétele'!K285+'7. mell. Önk.összes.bevétele'!K296+'7. mell. Önk.összes.bevétele'!K317</f>
        <v>22410547620</v>
      </c>
      <c r="S62" s="124">
        <f>+'7. mell. Önk.összes.bevétele'!L18+'7. mell. Önk.összes.bevétele'!L20+'7. mell. Önk.összes.bevétele'!L58+'7. mell. Önk.összes.bevétele'!L70+'7. mell. Önk.összes.bevétele'!L74+'7. mell. Önk.összes.bevétele'!L75+'7. mell. Önk.összes.bevétele'!L78+'7. mell. Önk.összes.bevétele'!L100+'7. mell. Önk.összes.bevétele'!L119+'7. mell. Önk.összes.bevétele'!L130+'7. mell. Önk.összes.bevétele'!L160+'7. mell. Önk.összes.bevétele'!L175+'7. mell. Önk.összes.bevétele'!L190+'7. mell. Önk.összes.bevétele'!L197+'7. mell. Önk.összes.bevétele'!L211+'7. mell. Önk.összes.bevétele'!L217+'7. mell. Önk.összes.bevétele'!L228+'7. mell. Önk.összes.bevétele'!L242+'7. mell. Önk.összes.bevétele'!L272+'7. mell. Önk.összes.bevétele'!L276+'7. mell. Önk.összes.bevétele'!L279+'7. mell. Önk.összes.bevétele'!L285+'7. mell. Önk.összes.bevétele'!L296+'7. mell. Önk.összes.bevétele'!L317</f>
        <v>22838094985</v>
      </c>
      <c r="T62" s="124">
        <f>+'7. mell. Önk.összes.bevétele'!M18+'7. mell. Önk.összes.bevétele'!M20+'7. mell. Önk.összes.bevétele'!M58+'7. mell. Önk.összes.bevétele'!M70+'7. mell. Önk.összes.bevétele'!M74+'7. mell. Önk.összes.bevétele'!M75+'7. mell. Önk.összes.bevétele'!M78+'7. mell. Önk.összes.bevétele'!M100+'7. mell. Önk.összes.bevétele'!M119+'7. mell. Önk.összes.bevétele'!M130+'7. mell. Önk.összes.bevétele'!M160+'7. mell. Önk.összes.bevétele'!M175+'7. mell. Önk.összes.bevétele'!M190+'7. mell. Önk.összes.bevétele'!M197+'7. mell. Önk.összes.bevétele'!M211+'7. mell. Önk.összes.bevétele'!M217+'7. mell. Önk.összes.bevétele'!M228+'7. mell. Önk.összes.bevétele'!M242+'7. mell. Önk.összes.bevétele'!M272+'7. mell. Önk.összes.bevétele'!M276+'7. mell. Önk.összes.bevétele'!M279+'7. mell. Önk.összes.bevétele'!M285+'7. mell. Önk.összes.bevétele'!M296+'7. mell. Önk.összes.bevétele'!M317</f>
        <v>22916645702</v>
      </c>
      <c r="W62" s="89" t="s">
        <v>476</v>
      </c>
      <c r="X62" s="1031" t="s">
        <v>3059</v>
      </c>
      <c r="Y62" s="1984">
        <v>0</v>
      </c>
      <c r="Z62" s="2531">
        <f t="shared" si="7"/>
        <v>0</v>
      </c>
    </row>
    <row r="63" spans="1:26" s="110" customFormat="1" ht="12" customHeight="1" thickBot="1">
      <c r="A63" s="1988" t="s">
        <v>25</v>
      </c>
      <c r="B63" s="1989" t="s">
        <v>272</v>
      </c>
      <c r="C63" s="1990">
        <f t="shared" ref="C63:J63" si="21">+C7+C14+C21+C28+C35+C47+C53+C58</f>
        <v>22427307393.189999</v>
      </c>
      <c r="D63" s="1990">
        <f t="shared" si="21"/>
        <v>19758113193</v>
      </c>
      <c r="E63" s="1990">
        <f t="shared" si="21"/>
        <v>22410547620</v>
      </c>
      <c r="F63" s="1990">
        <f t="shared" si="21"/>
        <v>22838094985</v>
      </c>
      <c r="G63" s="1990">
        <f t="shared" si="21"/>
        <v>22917320432</v>
      </c>
      <c r="H63" s="1990">
        <f t="shared" si="21"/>
        <v>22082859036</v>
      </c>
      <c r="I63" s="1990">
        <f t="shared" si="21"/>
        <v>22082859036</v>
      </c>
      <c r="J63" s="1991">
        <f t="shared" si="21"/>
        <v>22082859036</v>
      </c>
      <c r="K63" s="1992">
        <f>+J63/H63</f>
        <v>1</v>
      </c>
      <c r="L63" s="2093">
        <f t="shared" si="2"/>
        <v>427547365</v>
      </c>
      <c r="M63" s="1990">
        <f t="shared" si="16"/>
        <v>79225447</v>
      </c>
      <c r="N63" s="1990">
        <f t="shared" si="4"/>
        <v>-834461396</v>
      </c>
      <c r="O63" s="1555">
        <f t="shared" si="17"/>
        <v>0</v>
      </c>
      <c r="P63" s="122"/>
      <c r="Q63" s="123">
        <f t="shared" si="6"/>
        <v>-16759773.189998627</v>
      </c>
      <c r="R63" s="1558">
        <f>+'7. mell. Önk.összes.bevétele'!K319</f>
        <v>22410547620</v>
      </c>
      <c r="S63" s="124">
        <f>+'7. mell. Önk.összes.bevétele'!L319</f>
        <v>22838094985</v>
      </c>
      <c r="T63" s="124">
        <f>+'7. mell. Önk.összes.bevétele'!M319</f>
        <v>22917320432</v>
      </c>
      <c r="U63" s="124">
        <f>+G63-T63</f>
        <v>0</v>
      </c>
      <c r="W63" s="125">
        <v>22082859036</v>
      </c>
      <c r="X63" s="124">
        <f>+J63-W63</f>
        <v>0</v>
      </c>
      <c r="Y63" s="1991">
        <v>19758113193</v>
      </c>
      <c r="Z63" s="2531">
        <f t="shared" si="7"/>
        <v>0</v>
      </c>
    </row>
    <row r="64" spans="1:26" s="110" customFormat="1" ht="12" customHeight="1" thickBot="1">
      <c r="A64" s="1993" t="s">
        <v>477</v>
      </c>
      <c r="B64" s="1978" t="s">
        <v>3033</v>
      </c>
      <c r="C64" s="1968">
        <f>SUM(C65:C67)</f>
        <v>0</v>
      </c>
      <c r="D64" s="1968">
        <v>0</v>
      </c>
      <c r="E64" s="1968">
        <f t="shared" ref="E64:J64" si="22">SUM(E65:E67)</f>
        <v>0</v>
      </c>
      <c r="F64" s="1968">
        <f t="shared" si="22"/>
        <v>0</v>
      </c>
      <c r="G64" s="1968">
        <f t="shared" si="22"/>
        <v>0</v>
      </c>
      <c r="H64" s="1968">
        <f t="shared" si="22"/>
        <v>0</v>
      </c>
      <c r="I64" s="1968">
        <f t="shared" si="22"/>
        <v>0</v>
      </c>
      <c r="J64" s="1969">
        <f t="shared" si="22"/>
        <v>0</v>
      </c>
      <c r="K64" s="1994"/>
      <c r="L64" s="2093">
        <f t="shared" si="2"/>
        <v>0</v>
      </c>
      <c r="M64" s="1968">
        <f t="shared" si="16"/>
        <v>0</v>
      </c>
      <c r="N64" s="1968">
        <f t="shared" si="4"/>
        <v>0</v>
      </c>
      <c r="O64" s="1555">
        <f t="shared" si="17"/>
        <v>0</v>
      </c>
      <c r="P64" s="111"/>
      <c r="Q64" s="104">
        <f t="shared" si="6"/>
        <v>0</v>
      </c>
      <c r="R64" s="1557"/>
      <c r="T64" s="124"/>
      <c r="Y64" s="1969">
        <v>0</v>
      </c>
      <c r="Z64" s="2531">
        <f t="shared" si="7"/>
        <v>0</v>
      </c>
    </row>
    <row r="65" spans="1:26" s="110" customFormat="1" ht="12" customHeight="1">
      <c r="A65" s="1971" t="s">
        <v>273</v>
      </c>
      <c r="B65" s="1972" t="s">
        <v>274</v>
      </c>
      <c r="C65" s="1983">
        <f>+'Fin.bev-nem része a rend-nek'!I9</f>
        <v>0</v>
      </c>
      <c r="D65" s="2725">
        <f>+'Fin.bev-nem része a rend-nek'!J9</f>
        <v>0</v>
      </c>
      <c r="E65" s="1983">
        <f>+'Fin.bev-nem része a rend-nek'!K9</f>
        <v>0</v>
      </c>
      <c r="F65" s="1983">
        <f>+'Fin.bev-nem része a rend-nek'!L9</f>
        <v>0</v>
      </c>
      <c r="G65" s="1983">
        <f>+'Fin.bev-nem része a rend-nek'!M9</f>
        <v>0</v>
      </c>
      <c r="H65" s="1983">
        <f>+'Fin.bev-nem része a rend-nek'!N9</f>
        <v>0</v>
      </c>
      <c r="I65" s="1983">
        <f>+'Fin.bev-nem része a rend-nek'!O9</f>
        <v>0</v>
      </c>
      <c r="J65" s="1984">
        <f>+'Fin.bev-nem része a rend-nek'!P9</f>
        <v>0</v>
      </c>
      <c r="K65" s="1986"/>
      <c r="L65" s="2093">
        <f t="shared" si="2"/>
        <v>0</v>
      </c>
      <c r="M65" s="1983">
        <f t="shared" si="16"/>
        <v>0</v>
      </c>
      <c r="N65" s="1983">
        <f t="shared" si="4"/>
        <v>0</v>
      </c>
      <c r="O65" s="1555">
        <f t="shared" si="17"/>
        <v>0</v>
      </c>
      <c r="P65" s="121"/>
      <c r="Q65" s="119">
        <f t="shared" si="6"/>
        <v>0</v>
      </c>
      <c r="R65" s="1557"/>
      <c r="T65" s="124"/>
      <c r="Y65" s="1984">
        <v>0</v>
      </c>
      <c r="Z65" s="2531">
        <f t="shared" si="7"/>
        <v>0</v>
      </c>
    </row>
    <row r="66" spans="1:26" s="110" customFormat="1" ht="12" customHeight="1">
      <c r="A66" s="1971" t="s">
        <v>275</v>
      </c>
      <c r="B66" s="1972" t="s">
        <v>276</v>
      </c>
      <c r="C66" s="1983">
        <f>+'Fin.bev-nem része a rend-nek'!I12</f>
        <v>0</v>
      </c>
      <c r="D66" s="2725">
        <f>+'Fin.bev-nem része a rend-nek'!J12</f>
        <v>0</v>
      </c>
      <c r="E66" s="1983">
        <f>+'Fin.bev-nem része a rend-nek'!K12</f>
        <v>0</v>
      </c>
      <c r="F66" s="1983">
        <f>+'Fin.bev-nem része a rend-nek'!L12</f>
        <v>0</v>
      </c>
      <c r="G66" s="1983">
        <f>+'Fin.bev-nem része a rend-nek'!M12</f>
        <v>0</v>
      </c>
      <c r="H66" s="1983">
        <f>+'Fin.bev-nem része a rend-nek'!N12</f>
        <v>0</v>
      </c>
      <c r="I66" s="1983">
        <f>+'Fin.bev-nem része a rend-nek'!O12</f>
        <v>0</v>
      </c>
      <c r="J66" s="1984">
        <f>+'Fin.bev-nem része a rend-nek'!P12</f>
        <v>0</v>
      </c>
      <c r="K66" s="1986"/>
      <c r="L66" s="2093">
        <f t="shared" si="2"/>
        <v>0</v>
      </c>
      <c r="M66" s="1983">
        <f t="shared" si="16"/>
        <v>0</v>
      </c>
      <c r="N66" s="1983">
        <f t="shared" si="4"/>
        <v>0</v>
      </c>
      <c r="O66" s="1555">
        <f t="shared" si="17"/>
        <v>0</v>
      </c>
      <c r="P66" s="117"/>
      <c r="Q66" s="119">
        <f t="shared" si="6"/>
        <v>0</v>
      </c>
      <c r="R66" s="1557"/>
      <c r="Y66" s="1984">
        <v>0</v>
      </c>
      <c r="Z66" s="2531">
        <f t="shared" si="7"/>
        <v>0</v>
      </c>
    </row>
    <row r="67" spans="1:26" s="110" customFormat="1" ht="12" customHeight="1" thickBot="1">
      <c r="A67" s="1971" t="s">
        <v>277</v>
      </c>
      <c r="B67" s="1972" t="s">
        <v>278</v>
      </c>
      <c r="C67" s="1983">
        <f>+'Fin.bev-nem része a rend-nek'!I15</f>
        <v>0</v>
      </c>
      <c r="D67" s="2725">
        <f>+'Fin.bev-nem része a rend-nek'!J15</f>
        <v>0</v>
      </c>
      <c r="E67" s="1983">
        <f>+'Fin.bev-nem része a rend-nek'!K15</f>
        <v>0</v>
      </c>
      <c r="F67" s="1983">
        <f>+'Fin.bev-nem része a rend-nek'!L15</f>
        <v>0</v>
      </c>
      <c r="G67" s="1983">
        <f>+'Fin.bev-nem része a rend-nek'!M15</f>
        <v>0</v>
      </c>
      <c r="H67" s="1983">
        <f>+'Fin.bev-nem része a rend-nek'!N15</f>
        <v>0</v>
      </c>
      <c r="I67" s="1983">
        <f>+'Fin.bev-nem része a rend-nek'!O15</f>
        <v>0</v>
      </c>
      <c r="J67" s="1984">
        <f>+'Fin.bev-nem része a rend-nek'!P15</f>
        <v>0</v>
      </c>
      <c r="K67" s="1986"/>
      <c r="L67" s="2093">
        <f t="shared" si="2"/>
        <v>0</v>
      </c>
      <c r="M67" s="1983">
        <f t="shared" si="16"/>
        <v>0</v>
      </c>
      <c r="N67" s="1983">
        <f t="shared" si="4"/>
        <v>0</v>
      </c>
      <c r="O67" s="1555">
        <f t="shared" si="17"/>
        <v>0</v>
      </c>
      <c r="P67" s="117"/>
      <c r="Q67" s="119">
        <f t="shared" si="6"/>
        <v>0</v>
      </c>
      <c r="R67" s="1557"/>
      <c r="Y67" s="1984">
        <v>0</v>
      </c>
      <c r="Z67" s="2531">
        <f t="shared" si="7"/>
        <v>0</v>
      </c>
    </row>
    <row r="68" spans="1:26" s="110" customFormat="1" ht="12" customHeight="1" thickBot="1">
      <c r="A68" s="1993" t="s">
        <v>478</v>
      </c>
      <c r="B68" s="1978" t="s">
        <v>279</v>
      </c>
      <c r="C68" s="1968">
        <f t="shared" ref="C68:J68" si="23">SUM(C69:C72)</f>
        <v>0</v>
      </c>
      <c r="D68" s="1968">
        <f t="shared" si="23"/>
        <v>0</v>
      </c>
      <c r="E68" s="1968">
        <f t="shared" si="23"/>
        <v>0</v>
      </c>
      <c r="F68" s="1968">
        <f t="shared" si="23"/>
        <v>0</v>
      </c>
      <c r="G68" s="1968">
        <f t="shared" si="23"/>
        <v>0</v>
      </c>
      <c r="H68" s="1968">
        <f t="shared" si="23"/>
        <v>4999090000</v>
      </c>
      <c r="I68" s="1968">
        <f t="shared" si="23"/>
        <v>4999090000</v>
      </c>
      <c r="J68" s="1969">
        <f t="shared" si="23"/>
        <v>2790470000</v>
      </c>
      <c r="K68" s="1970">
        <f>+J68/H68</f>
        <v>0.55819559159767074</v>
      </c>
      <c r="L68" s="2093">
        <f t="shared" si="2"/>
        <v>0</v>
      </c>
      <c r="M68" s="1968">
        <f t="shared" si="16"/>
        <v>0</v>
      </c>
      <c r="N68" s="1968">
        <f t="shared" si="4"/>
        <v>4999090000</v>
      </c>
      <c r="O68" s="1555">
        <f t="shared" si="17"/>
        <v>0</v>
      </c>
      <c r="P68" s="111"/>
      <c r="Q68" s="104">
        <f t="shared" si="6"/>
        <v>0</v>
      </c>
      <c r="R68" s="1557"/>
      <c r="W68" s="89" t="s">
        <v>476</v>
      </c>
      <c r="X68" s="1031" t="s">
        <v>3059</v>
      </c>
      <c r="Y68" s="1969">
        <v>0</v>
      </c>
      <c r="Z68" s="2531">
        <f t="shared" si="7"/>
        <v>0</v>
      </c>
    </row>
    <row r="69" spans="1:26" s="110" customFormat="1" ht="12" customHeight="1">
      <c r="A69" s="1971" t="s">
        <v>280</v>
      </c>
      <c r="B69" s="1972" t="s">
        <v>281</v>
      </c>
      <c r="C69" s="1983">
        <f>+'Fin.bev-nem része a rend-nek'!I23</f>
        <v>0</v>
      </c>
      <c r="D69" s="2725">
        <f>+'Fin.bev-nem része a rend-nek'!J23</f>
        <v>0</v>
      </c>
      <c r="E69" s="1983">
        <f>+'Fin.bev-nem része a rend-nek'!K23</f>
        <v>0</v>
      </c>
      <c r="F69" s="1983">
        <f>+'Fin.bev-nem része a rend-nek'!L23</f>
        <v>0</v>
      </c>
      <c r="G69" s="1983">
        <f>+'Fin.bev-nem része a rend-nek'!M23</f>
        <v>0</v>
      </c>
      <c r="H69" s="1983">
        <f>+'Fin.bev-nem része a rend-nek'!N23</f>
        <v>4999090000</v>
      </c>
      <c r="I69" s="1983">
        <f>+'Fin.bev-nem része a rend-nek'!O23</f>
        <v>4999090000</v>
      </c>
      <c r="J69" s="1984">
        <f>+'Fin.bev-nem része a rend-nek'!P23</f>
        <v>2790470000</v>
      </c>
      <c r="K69" s="1975">
        <f>+J69/H69</f>
        <v>0.55819559159767074</v>
      </c>
      <c r="L69" s="2093">
        <f t="shared" si="2"/>
        <v>0</v>
      </c>
      <c r="M69" s="1983">
        <f t="shared" si="16"/>
        <v>0</v>
      </c>
      <c r="N69" s="1983">
        <f t="shared" si="4"/>
        <v>4999090000</v>
      </c>
      <c r="O69" s="1555">
        <f t="shared" si="17"/>
        <v>0</v>
      </c>
      <c r="P69" s="121"/>
      <c r="Q69" s="119">
        <f t="shared" si="6"/>
        <v>0</v>
      </c>
      <c r="R69" s="1557"/>
      <c r="W69" s="125">
        <v>2790470000</v>
      </c>
      <c r="X69" s="124">
        <f>+J69-W69</f>
        <v>0</v>
      </c>
      <c r="Y69" s="1984">
        <v>0</v>
      </c>
      <c r="Z69" s="2531">
        <f t="shared" si="7"/>
        <v>0</v>
      </c>
    </row>
    <row r="70" spans="1:26" s="110" customFormat="1" ht="12" customHeight="1">
      <c r="A70" s="1971" t="s">
        <v>282</v>
      </c>
      <c r="B70" s="1972" t="s">
        <v>283</v>
      </c>
      <c r="C70" s="1983">
        <f>+'Fin.bev-nem része a rend-nek'!I26</f>
        <v>0</v>
      </c>
      <c r="D70" s="2725">
        <f>+'Fin.bev-nem része a rend-nek'!J26</f>
        <v>0</v>
      </c>
      <c r="E70" s="1983">
        <f>+'Fin.bev-nem része a rend-nek'!K26</f>
        <v>0</v>
      </c>
      <c r="F70" s="1983">
        <f>+'Fin.bev-nem része a rend-nek'!L26</f>
        <v>0</v>
      </c>
      <c r="G70" s="1983">
        <f>+'Fin.bev-nem része a rend-nek'!M26</f>
        <v>0</v>
      </c>
      <c r="H70" s="1983">
        <f>+'Fin.bev-nem része a rend-nek'!N26</f>
        <v>0</v>
      </c>
      <c r="I70" s="1983">
        <f>+'Fin.bev-nem része a rend-nek'!O26</f>
        <v>0</v>
      </c>
      <c r="J70" s="1984">
        <f>+'Fin.bev-nem része a rend-nek'!P26</f>
        <v>0</v>
      </c>
      <c r="K70" s="1986"/>
      <c r="L70" s="2093">
        <f t="shared" si="2"/>
        <v>0</v>
      </c>
      <c r="M70" s="1983">
        <f t="shared" si="16"/>
        <v>0</v>
      </c>
      <c r="N70" s="1983">
        <f t="shared" si="4"/>
        <v>0</v>
      </c>
      <c r="O70" s="1555">
        <f t="shared" si="17"/>
        <v>0</v>
      </c>
      <c r="P70" s="117"/>
      <c r="Q70" s="119">
        <f t="shared" si="6"/>
        <v>0</v>
      </c>
      <c r="R70" s="1557"/>
      <c r="Y70" s="1984">
        <v>0</v>
      </c>
      <c r="Z70" s="2531">
        <f t="shared" si="7"/>
        <v>0</v>
      </c>
    </row>
    <row r="71" spans="1:26" s="110" customFormat="1" ht="12" customHeight="1">
      <c r="A71" s="1971" t="s">
        <v>284</v>
      </c>
      <c r="B71" s="1972" t="s">
        <v>285</v>
      </c>
      <c r="C71" s="1983">
        <f>+'Fin.bev-nem része a rend-nek'!I29</f>
        <v>0</v>
      </c>
      <c r="D71" s="2725">
        <f>+'Fin.bev-nem része a rend-nek'!J29</f>
        <v>0</v>
      </c>
      <c r="E71" s="1983">
        <f>+'Fin.bev-nem része a rend-nek'!K29</f>
        <v>0</v>
      </c>
      <c r="F71" s="1983">
        <f>+'Fin.bev-nem része a rend-nek'!L29</f>
        <v>0</v>
      </c>
      <c r="G71" s="1983">
        <f>+'Fin.bev-nem része a rend-nek'!M29</f>
        <v>0</v>
      </c>
      <c r="H71" s="1983">
        <f>+'Fin.bev-nem része a rend-nek'!N29</f>
        <v>0</v>
      </c>
      <c r="I71" s="1983">
        <f>+'Fin.bev-nem része a rend-nek'!O29</f>
        <v>0</v>
      </c>
      <c r="J71" s="1984">
        <f>+'Fin.bev-nem része a rend-nek'!P29</f>
        <v>0</v>
      </c>
      <c r="K71" s="1986"/>
      <c r="L71" s="2093">
        <f t="shared" si="2"/>
        <v>0</v>
      </c>
      <c r="M71" s="1983">
        <f t="shared" si="16"/>
        <v>0</v>
      </c>
      <c r="N71" s="1983">
        <f t="shared" si="4"/>
        <v>0</v>
      </c>
      <c r="O71" s="1555">
        <f t="shared" si="17"/>
        <v>0</v>
      </c>
      <c r="P71" s="117"/>
      <c r="Q71" s="119">
        <f t="shared" si="6"/>
        <v>0</v>
      </c>
      <c r="R71" s="1557"/>
      <c r="Y71" s="1984">
        <v>0</v>
      </c>
      <c r="Z71" s="2531">
        <f t="shared" si="7"/>
        <v>0</v>
      </c>
    </row>
    <row r="72" spans="1:26" s="110" customFormat="1" ht="12" customHeight="1" thickBot="1">
      <c r="A72" s="1971" t="s">
        <v>286</v>
      </c>
      <c r="B72" s="1972" t="s">
        <v>287</v>
      </c>
      <c r="C72" s="1983">
        <f>+'Fin.bev-nem része a rend-nek'!I32</f>
        <v>0</v>
      </c>
      <c r="D72" s="2725">
        <f>+'Fin.bev-nem része a rend-nek'!J32</f>
        <v>0</v>
      </c>
      <c r="E72" s="1983">
        <f>+'Fin.bev-nem része a rend-nek'!K32</f>
        <v>0</v>
      </c>
      <c r="F72" s="1983">
        <f>+'Fin.bev-nem része a rend-nek'!L32</f>
        <v>0</v>
      </c>
      <c r="G72" s="1983">
        <f>+'Fin.bev-nem része a rend-nek'!M32</f>
        <v>0</v>
      </c>
      <c r="H72" s="1983">
        <f>+'Fin.bev-nem része a rend-nek'!N32</f>
        <v>0</v>
      </c>
      <c r="I72" s="1983">
        <f>+'Fin.bev-nem része a rend-nek'!O32</f>
        <v>0</v>
      </c>
      <c r="J72" s="1984">
        <f>+'Fin.bev-nem része a rend-nek'!P32</f>
        <v>0</v>
      </c>
      <c r="K72" s="1986"/>
      <c r="L72" s="2093">
        <f t="shared" si="2"/>
        <v>0</v>
      </c>
      <c r="M72" s="1983">
        <f t="shared" si="16"/>
        <v>0</v>
      </c>
      <c r="N72" s="1983">
        <f t="shared" si="4"/>
        <v>0</v>
      </c>
      <c r="O72" s="1555">
        <f t="shared" si="17"/>
        <v>0</v>
      </c>
      <c r="P72" s="117"/>
      <c r="Q72" s="119">
        <f t="shared" ref="Q72:Q135" si="24">+E72-C72</f>
        <v>0</v>
      </c>
      <c r="R72" s="1557"/>
      <c r="W72" s="89" t="s">
        <v>476</v>
      </c>
      <c r="X72" s="1031" t="s">
        <v>3059</v>
      </c>
      <c r="Y72" s="1984">
        <v>0</v>
      </c>
      <c r="Z72" s="2531">
        <f t="shared" ref="Z72:Z135" si="25">+D72-Y72</f>
        <v>0</v>
      </c>
    </row>
    <row r="73" spans="1:26" s="110" customFormat="1" ht="12" customHeight="1" thickBot="1">
      <c r="A73" s="1993" t="s">
        <v>479</v>
      </c>
      <c r="B73" s="1978" t="s">
        <v>288</v>
      </c>
      <c r="C73" s="1968">
        <f t="shared" ref="C73:J73" si="26">SUM(C74:C75)</f>
        <v>7200000000</v>
      </c>
      <c r="D73" s="1968">
        <f t="shared" si="26"/>
        <v>7255403822</v>
      </c>
      <c r="E73" s="1968">
        <f t="shared" si="26"/>
        <v>2690000000</v>
      </c>
      <c r="F73" s="1968">
        <f t="shared" si="26"/>
        <v>2693591343</v>
      </c>
      <c r="G73" s="1968">
        <f t="shared" si="26"/>
        <v>2693591343</v>
      </c>
      <c r="H73" s="1968">
        <f t="shared" si="26"/>
        <v>2693591343</v>
      </c>
      <c r="I73" s="1968">
        <f t="shared" si="26"/>
        <v>2693591343</v>
      </c>
      <c r="J73" s="1969">
        <f t="shared" si="26"/>
        <v>2693591343</v>
      </c>
      <c r="K73" s="1970">
        <f>+J73/H73</f>
        <v>1</v>
      </c>
      <c r="L73" s="2093">
        <f t="shared" si="2"/>
        <v>3591343</v>
      </c>
      <c r="M73" s="1968">
        <f t="shared" si="16"/>
        <v>0</v>
      </c>
      <c r="N73" s="1968">
        <f t="shared" si="4"/>
        <v>0</v>
      </c>
      <c r="O73" s="1555">
        <f t="shared" si="17"/>
        <v>0</v>
      </c>
      <c r="P73" s="111"/>
      <c r="Q73" s="104">
        <f t="shared" si="24"/>
        <v>-4510000000</v>
      </c>
      <c r="R73" s="1557"/>
      <c r="W73" s="125">
        <v>2693591343</v>
      </c>
      <c r="X73" s="124">
        <f>+J73-W73</f>
        <v>0</v>
      </c>
      <c r="Y73" s="1969">
        <v>7255403822</v>
      </c>
      <c r="Z73" s="2531">
        <f t="shared" si="25"/>
        <v>0</v>
      </c>
    </row>
    <row r="74" spans="1:26" s="110" customFormat="1" ht="12" customHeight="1">
      <c r="A74" s="1971" t="s">
        <v>289</v>
      </c>
      <c r="B74" s="1972" t="s">
        <v>290</v>
      </c>
      <c r="C74" s="1983">
        <f>+'Fin.bev-nem része a rend-nek'!I37</f>
        <v>7200000000</v>
      </c>
      <c r="D74" s="2725">
        <f>+'Fin.bev-nem része a rend-nek'!J37</f>
        <v>7255403822</v>
      </c>
      <c r="E74" s="1983">
        <f>+'Fin.bev-nem része a rend-nek'!K37</f>
        <v>2690000000</v>
      </c>
      <c r="F74" s="1983">
        <f>+'Fin.bev-nem része a rend-nek'!L37</f>
        <v>2693591343</v>
      </c>
      <c r="G74" s="1983">
        <f>+'Fin.bev-nem része a rend-nek'!M37</f>
        <v>2693591343</v>
      </c>
      <c r="H74" s="1983">
        <f>+'Fin.bev-nem része a rend-nek'!N37</f>
        <v>2693591343</v>
      </c>
      <c r="I74" s="1983">
        <f>+'Fin.bev-nem része a rend-nek'!O37</f>
        <v>2693591343</v>
      </c>
      <c r="J74" s="1984">
        <f>+'Fin.bev-nem része a rend-nek'!P37</f>
        <v>2693591343</v>
      </c>
      <c r="K74" s="1975">
        <f>+J74/H74</f>
        <v>1</v>
      </c>
      <c r="L74" s="2093">
        <f t="shared" si="2"/>
        <v>3591343</v>
      </c>
      <c r="M74" s="1983">
        <f t="shared" si="16"/>
        <v>0</v>
      </c>
      <c r="N74" s="1983">
        <f t="shared" si="4"/>
        <v>0</v>
      </c>
      <c r="O74" s="1555">
        <f t="shared" si="17"/>
        <v>0</v>
      </c>
      <c r="P74" s="121"/>
      <c r="Q74" s="119">
        <f t="shared" si="24"/>
        <v>-4510000000</v>
      </c>
      <c r="R74" s="1557"/>
      <c r="S74" s="126"/>
      <c r="Y74" s="1984">
        <v>7255403822</v>
      </c>
      <c r="Z74" s="2531">
        <f t="shared" si="25"/>
        <v>0</v>
      </c>
    </row>
    <row r="75" spans="1:26" s="110" customFormat="1" ht="12" customHeight="1" thickBot="1">
      <c r="A75" s="1971" t="s">
        <v>291</v>
      </c>
      <c r="B75" s="1972" t="s">
        <v>292</v>
      </c>
      <c r="C75" s="1983">
        <f>+'Fin.bev-nem része a rend-nek'!I36</f>
        <v>0</v>
      </c>
      <c r="D75" s="2725">
        <f>+'Fin.bev-nem része a rend-nek'!J36</f>
        <v>0</v>
      </c>
      <c r="E75" s="1983">
        <f>+'Fin.bev-nem része a rend-nek'!K36</f>
        <v>0</v>
      </c>
      <c r="F75" s="1983">
        <f>+'Fin.bev-nem része a rend-nek'!L36</f>
        <v>0</v>
      </c>
      <c r="G75" s="1983">
        <f>+'Fin.bev-nem része a rend-nek'!M36</f>
        <v>0</v>
      </c>
      <c r="H75" s="1983">
        <f>+'Fin.bev-nem része a rend-nek'!N36</f>
        <v>0</v>
      </c>
      <c r="I75" s="1983">
        <f>+'Fin.bev-nem része a rend-nek'!O36</f>
        <v>0</v>
      </c>
      <c r="J75" s="1984">
        <f>+'Fin.bev-nem része a rend-nek'!P36</f>
        <v>0</v>
      </c>
      <c r="K75" s="1986"/>
      <c r="L75" s="2093">
        <f t="shared" si="2"/>
        <v>0</v>
      </c>
      <c r="M75" s="1983">
        <f t="shared" si="16"/>
        <v>0</v>
      </c>
      <c r="N75" s="1983">
        <f t="shared" si="4"/>
        <v>0</v>
      </c>
      <c r="O75" s="1555">
        <f t="shared" si="17"/>
        <v>0</v>
      </c>
      <c r="P75" s="117"/>
      <c r="Q75" s="119">
        <f t="shared" si="24"/>
        <v>0</v>
      </c>
      <c r="R75" s="1557"/>
      <c r="Y75" s="1984">
        <v>0</v>
      </c>
      <c r="Z75" s="2531">
        <f t="shared" si="25"/>
        <v>0</v>
      </c>
    </row>
    <row r="76" spans="1:26" s="108" customFormat="1" ht="12" customHeight="1" thickBot="1">
      <c r="A76" s="1993" t="s">
        <v>480</v>
      </c>
      <c r="B76" s="1978" t="s">
        <v>293</v>
      </c>
      <c r="C76" s="1968">
        <f t="shared" ref="C76:J76" si="27">SUM(C77:C79)</f>
        <v>8000000000</v>
      </c>
      <c r="D76" s="1968">
        <f t="shared" si="27"/>
        <v>6465865747</v>
      </c>
      <c r="E76" s="1968">
        <f t="shared" si="27"/>
        <v>5500000000</v>
      </c>
      <c r="F76" s="1968">
        <f t="shared" si="27"/>
        <v>5500000000</v>
      </c>
      <c r="G76" s="1968">
        <f t="shared" si="27"/>
        <v>6873664816</v>
      </c>
      <c r="H76" s="1968">
        <f t="shared" si="27"/>
        <v>8490545302</v>
      </c>
      <c r="I76" s="1968">
        <f t="shared" si="27"/>
        <v>8490545302</v>
      </c>
      <c r="J76" s="1969">
        <f t="shared" si="27"/>
        <v>8490545302</v>
      </c>
      <c r="K76" s="1970">
        <f>+J76/H76</f>
        <v>1</v>
      </c>
      <c r="L76" s="2093">
        <f t="shared" si="2"/>
        <v>0</v>
      </c>
      <c r="M76" s="1968">
        <f t="shared" si="16"/>
        <v>1373664816</v>
      </c>
      <c r="N76" s="1968">
        <f t="shared" si="4"/>
        <v>1616880486</v>
      </c>
      <c r="O76" s="1555">
        <f t="shared" si="17"/>
        <v>0</v>
      </c>
      <c r="P76" s="111"/>
      <c r="Q76" s="104">
        <f t="shared" si="24"/>
        <v>-2500000000</v>
      </c>
      <c r="R76" s="1556"/>
      <c r="Y76" s="1969">
        <v>6465865747</v>
      </c>
      <c r="Z76" s="2531">
        <f t="shared" si="25"/>
        <v>0</v>
      </c>
    </row>
    <row r="77" spans="1:26" s="110" customFormat="1" ht="12" customHeight="1">
      <c r="A77" s="1971" t="s">
        <v>294</v>
      </c>
      <c r="B77" s="1972" t="s">
        <v>295</v>
      </c>
      <c r="C77" s="1983">
        <f>+'Fin.bev-nem része a rend-nek'!I38</f>
        <v>0</v>
      </c>
      <c r="D77" s="2725">
        <f>+'Fin.bev-nem része a rend-nek'!J38</f>
        <v>965865747</v>
      </c>
      <c r="E77" s="1983">
        <f>+'Fin.bev-nem része a rend-nek'!K38</f>
        <v>0</v>
      </c>
      <c r="F77" s="1983">
        <f>+'Fin.bev-nem része a rend-nek'!L38</f>
        <v>0</v>
      </c>
      <c r="G77" s="1983">
        <f>+'Fin.bev-nem része a rend-nek'!M38</f>
        <v>1373664816</v>
      </c>
      <c r="H77" s="1983">
        <f>+'Fin.bev-nem része a rend-nek'!N38</f>
        <v>1790545302</v>
      </c>
      <c r="I77" s="1983">
        <f>+'Fin.bev-nem része a rend-nek'!O38</f>
        <v>1790545302</v>
      </c>
      <c r="J77" s="1984">
        <f>+'Fin.bev-nem része a rend-nek'!P38</f>
        <v>1790545302</v>
      </c>
      <c r="K77" s="1975">
        <f>+J77/H77</f>
        <v>1</v>
      </c>
      <c r="L77" s="2093">
        <f t="shared" si="2"/>
        <v>0</v>
      </c>
      <c r="M77" s="1983">
        <f t="shared" si="16"/>
        <v>1373664816</v>
      </c>
      <c r="N77" s="1983">
        <f t="shared" si="4"/>
        <v>416880486</v>
      </c>
      <c r="O77" s="1555">
        <f t="shared" si="17"/>
        <v>0</v>
      </c>
      <c r="P77" s="121"/>
      <c r="Q77" s="119">
        <f t="shared" si="24"/>
        <v>0</v>
      </c>
      <c r="R77" s="1557"/>
      <c r="W77" s="125">
        <v>1790545302</v>
      </c>
      <c r="X77" s="124">
        <f>+J77-W77</f>
        <v>0</v>
      </c>
      <c r="Y77" s="1984">
        <v>965865747</v>
      </c>
      <c r="Z77" s="2531">
        <f t="shared" si="25"/>
        <v>0</v>
      </c>
    </row>
    <row r="78" spans="1:26" s="110" customFormat="1" ht="12" customHeight="1">
      <c r="A78" s="1971" t="s">
        <v>296</v>
      </c>
      <c r="B78" s="1972" t="s">
        <v>297</v>
      </c>
      <c r="C78" s="1983">
        <f>+'Fin.bev-nem része a rend-nek'!I39</f>
        <v>0</v>
      </c>
      <c r="D78" s="2725">
        <f>+'Fin.bev-nem része a rend-nek'!J39</f>
        <v>0</v>
      </c>
      <c r="E78" s="1983">
        <f>+'Fin.bev-nem része a rend-nek'!K39</f>
        <v>0</v>
      </c>
      <c r="F78" s="1983">
        <f>+'Fin.bev-nem része a rend-nek'!L39</f>
        <v>0</v>
      </c>
      <c r="G78" s="1983">
        <f>+'Fin.bev-nem része a rend-nek'!M39</f>
        <v>0</v>
      </c>
      <c r="H78" s="1983">
        <f>+'Fin.bev-nem része a rend-nek'!N39</f>
        <v>0</v>
      </c>
      <c r="I78" s="1983">
        <f>+'Fin.bev-nem része a rend-nek'!O39</f>
        <v>0</v>
      </c>
      <c r="J78" s="1984">
        <f>+'Fin.bev-nem része a rend-nek'!P39</f>
        <v>0</v>
      </c>
      <c r="K78" s="1975"/>
      <c r="L78" s="2093">
        <f t="shared" si="2"/>
        <v>0</v>
      </c>
      <c r="M78" s="1983">
        <f t="shared" si="16"/>
        <v>0</v>
      </c>
      <c r="N78" s="1983">
        <f t="shared" si="4"/>
        <v>0</v>
      </c>
      <c r="O78" s="1555">
        <f t="shared" si="17"/>
        <v>0</v>
      </c>
      <c r="P78" s="117"/>
      <c r="Q78" s="119">
        <f t="shared" si="24"/>
        <v>0</v>
      </c>
      <c r="R78" s="1557"/>
      <c r="W78" s="89" t="s">
        <v>476</v>
      </c>
      <c r="X78" s="1031" t="s">
        <v>3059</v>
      </c>
      <c r="Y78" s="1984">
        <v>0</v>
      </c>
      <c r="Z78" s="2531">
        <f t="shared" si="25"/>
        <v>0</v>
      </c>
    </row>
    <row r="79" spans="1:26" s="110" customFormat="1" ht="12" customHeight="1" thickBot="1">
      <c r="A79" s="1971" t="s">
        <v>298</v>
      </c>
      <c r="B79" s="1972" t="s">
        <v>299</v>
      </c>
      <c r="C79" s="1983">
        <f>+'Fin.bev-nem része a rend-nek'!I44</f>
        <v>8000000000</v>
      </c>
      <c r="D79" s="2725">
        <f>+'Fin.bev-nem része a rend-nek'!J44</f>
        <v>5500000000</v>
      </c>
      <c r="E79" s="1983">
        <f>+'Fin.bev-nem része a rend-nek'!K44</f>
        <v>5500000000</v>
      </c>
      <c r="F79" s="1983">
        <f>+'Fin.bev-nem része a rend-nek'!L44</f>
        <v>5500000000</v>
      </c>
      <c r="G79" s="1983">
        <f>+'Fin.bev-nem része a rend-nek'!M44</f>
        <v>5500000000</v>
      </c>
      <c r="H79" s="1983">
        <f>+'Fin.bev-nem része a rend-nek'!N44</f>
        <v>6700000000</v>
      </c>
      <c r="I79" s="1983">
        <f>+'Fin.bev-nem része a rend-nek'!O44</f>
        <v>6700000000</v>
      </c>
      <c r="J79" s="1984">
        <f>+'Fin.bev-nem része a rend-nek'!P44</f>
        <v>6700000000</v>
      </c>
      <c r="K79" s="1975">
        <f>+J79/H79</f>
        <v>1</v>
      </c>
      <c r="L79" s="2093">
        <f t="shared" si="2"/>
        <v>0</v>
      </c>
      <c r="M79" s="1983">
        <f t="shared" si="16"/>
        <v>0</v>
      </c>
      <c r="N79" s="1983">
        <f t="shared" si="4"/>
        <v>1200000000</v>
      </c>
      <c r="O79" s="1555">
        <f t="shared" si="17"/>
        <v>0</v>
      </c>
      <c r="P79" s="117"/>
      <c r="Q79" s="119">
        <f t="shared" si="24"/>
        <v>-2500000000</v>
      </c>
      <c r="R79" s="1557"/>
      <c r="W79" s="125">
        <f>6700000000</f>
        <v>6700000000</v>
      </c>
      <c r="X79" s="124">
        <f>+J79-W79</f>
        <v>0</v>
      </c>
      <c r="Y79" s="1984">
        <v>5500000000</v>
      </c>
      <c r="Z79" s="2531">
        <f t="shared" si="25"/>
        <v>0</v>
      </c>
    </row>
    <row r="80" spans="1:26" s="110" customFormat="1" ht="12" customHeight="1" thickBot="1">
      <c r="A80" s="1993" t="s">
        <v>481</v>
      </c>
      <c r="B80" s="1978" t="s">
        <v>301</v>
      </c>
      <c r="C80" s="1968">
        <f>SUM(C81:C84)</f>
        <v>0</v>
      </c>
      <c r="D80" s="1968">
        <v>0</v>
      </c>
      <c r="E80" s="1968">
        <f t="shared" ref="E80:J80" si="28">SUM(E81:E84)</f>
        <v>0</v>
      </c>
      <c r="F80" s="1968">
        <f t="shared" si="28"/>
        <v>0</v>
      </c>
      <c r="G80" s="1968">
        <f t="shared" si="28"/>
        <v>0</v>
      </c>
      <c r="H80" s="1968">
        <f t="shared" si="28"/>
        <v>0</v>
      </c>
      <c r="I80" s="1968">
        <f t="shared" si="28"/>
        <v>0</v>
      </c>
      <c r="J80" s="1969">
        <f t="shared" si="28"/>
        <v>0</v>
      </c>
      <c r="K80" s="1970"/>
      <c r="L80" s="2093">
        <f t="shared" si="2"/>
        <v>0</v>
      </c>
      <c r="M80" s="1968">
        <f t="shared" si="16"/>
        <v>0</v>
      </c>
      <c r="N80" s="1968">
        <f t="shared" si="4"/>
        <v>0</v>
      </c>
      <c r="O80" s="1555">
        <f t="shared" si="17"/>
        <v>0</v>
      </c>
      <c r="P80" s="111"/>
      <c r="Q80" s="104">
        <f t="shared" si="24"/>
        <v>0</v>
      </c>
      <c r="R80" s="1557"/>
      <c r="Y80" s="1969">
        <v>0</v>
      </c>
      <c r="Z80" s="2531">
        <f t="shared" si="25"/>
        <v>0</v>
      </c>
    </row>
    <row r="81" spans="1:26" s="110" customFormat="1" ht="12" hidden="1" customHeight="1">
      <c r="A81" s="1995" t="s">
        <v>302</v>
      </c>
      <c r="B81" s="1978" t="s">
        <v>303</v>
      </c>
      <c r="C81" s="1968"/>
      <c r="D81" s="1968"/>
      <c r="E81" s="1968"/>
      <c r="F81" s="1968"/>
      <c r="G81" s="1968"/>
      <c r="H81" s="1968"/>
      <c r="I81" s="1968"/>
      <c r="J81" s="1969"/>
      <c r="K81" s="1970"/>
      <c r="L81" s="2093">
        <f t="shared" si="2"/>
        <v>0</v>
      </c>
      <c r="M81" s="1968">
        <f t="shared" si="16"/>
        <v>0</v>
      </c>
      <c r="N81" s="1968">
        <f t="shared" si="4"/>
        <v>0</v>
      </c>
      <c r="O81" s="1555">
        <f t="shared" si="17"/>
        <v>0</v>
      </c>
      <c r="P81" s="111"/>
      <c r="Q81" s="104">
        <f t="shared" si="24"/>
        <v>0</v>
      </c>
      <c r="R81" s="1557"/>
      <c r="Y81" s="1969"/>
      <c r="Z81" s="2531">
        <f t="shared" si="25"/>
        <v>0</v>
      </c>
    </row>
    <row r="82" spans="1:26" s="110" customFormat="1" ht="12" hidden="1" customHeight="1">
      <c r="A82" s="1995" t="s">
        <v>304</v>
      </c>
      <c r="B82" s="1978" t="s">
        <v>305</v>
      </c>
      <c r="C82" s="1968"/>
      <c r="D82" s="1968"/>
      <c r="E82" s="1968"/>
      <c r="F82" s="1968"/>
      <c r="G82" s="1968"/>
      <c r="H82" s="1968"/>
      <c r="I82" s="1968"/>
      <c r="J82" s="1969"/>
      <c r="K82" s="1970"/>
      <c r="L82" s="2093">
        <f t="shared" si="2"/>
        <v>0</v>
      </c>
      <c r="M82" s="1968">
        <f t="shared" si="16"/>
        <v>0</v>
      </c>
      <c r="N82" s="1968">
        <f t="shared" si="4"/>
        <v>0</v>
      </c>
      <c r="O82" s="1555">
        <f t="shared" si="17"/>
        <v>0</v>
      </c>
      <c r="P82" s="111"/>
      <c r="Q82" s="104">
        <f t="shared" si="24"/>
        <v>0</v>
      </c>
      <c r="R82" s="1557"/>
      <c r="Y82" s="1969"/>
      <c r="Z82" s="2531">
        <f t="shared" si="25"/>
        <v>0</v>
      </c>
    </row>
    <row r="83" spans="1:26" s="110" customFormat="1" ht="12" hidden="1" customHeight="1">
      <c r="A83" s="1995" t="s">
        <v>306</v>
      </c>
      <c r="B83" s="1978" t="s">
        <v>307</v>
      </c>
      <c r="C83" s="1968"/>
      <c r="D83" s="1968"/>
      <c r="E83" s="1968"/>
      <c r="F83" s="1968"/>
      <c r="G83" s="1968"/>
      <c r="H83" s="1968"/>
      <c r="I83" s="1968"/>
      <c r="J83" s="1969"/>
      <c r="K83" s="1970"/>
      <c r="L83" s="2093">
        <f t="shared" si="2"/>
        <v>0</v>
      </c>
      <c r="M83" s="1968">
        <f t="shared" si="16"/>
        <v>0</v>
      </c>
      <c r="N83" s="1968">
        <f t="shared" si="4"/>
        <v>0</v>
      </c>
      <c r="O83" s="1555">
        <f t="shared" si="17"/>
        <v>0</v>
      </c>
      <c r="P83" s="111"/>
      <c r="Q83" s="104">
        <f t="shared" si="24"/>
        <v>0</v>
      </c>
      <c r="R83" s="1557"/>
      <c r="Y83" s="1969"/>
      <c r="Z83" s="2531">
        <f t="shared" si="25"/>
        <v>0</v>
      </c>
    </row>
    <row r="84" spans="1:26" s="108" customFormat="1" ht="12" hidden="1" customHeight="1">
      <c r="A84" s="1995" t="s">
        <v>308</v>
      </c>
      <c r="B84" s="1978" t="s">
        <v>309</v>
      </c>
      <c r="C84" s="1968"/>
      <c r="D84" s="1968"/>
      <c r="E84" s="1968"/>
      <c r="F84" s="1968"/>
      <c r="G84" s="1968"/>
      <c r="H84" s="1968"/>
      <c r="I84" s="1968"/>
      <c r="J84" s="1969"/>
      <c r="K84" s="1970"/>
      <c r="L84" s="2093">
        <f t="shared" si="2"/>
        <v>0</v>
      </c>
      <c r="M84" s="1968">
        <f t="shared" si="16"/>
        <v>0</v>
      </c>
      <c r="N84" s="1968">
        <f t="shared" si="4"/>
        <v>0</v>
      </c>
      <c r="O84" s="1555">
        <f t="shared" si="17"/>
        <v>0</v>
      </c>
      <c r="P84" s="111"/>
      <c r="Q84" s="104">
        <f t="shared" si="24"/>
        <v>0</v>
      </c>
      <c r="R84" s="1556"/>
      <c r="Y84" s="1969"/>
      <c r="Z84" s="2531">
        <f t="shared" si="25"/>
        <v>0</v>
      </c>
    </row>
    <row r="85" spans="1:26" s="108" customFormat="1" ht="12" customHeight="1" thickBot="1">
      <c r="A85" s="1993" t="s">
        <v>482</v>
      </c>
      <c r="B85" s="1978" t="s">
        <v>310</v>
      </c>
      <c r="C85" s="1968">
        <v>0</v>
      </c>
      <c r="D85" s="1968">
        <v>0</v>
      </c>
      <c r="E85" s="1968">
        <v>0</v>
      </c>
      <c r="F85" s="1968">
        <v>0</v>
      </c>
      <c r="G85" s="1968">
        <v>0</v>
      </c>
      <c r="H85" s="1968">
        <v>0</v>
      </c>
      <c r="I85" s="1968"/>
      <c r="J85" s="1969">
        <v>0</v>
      </c>
      <c r="K85" s="1970"/>
      <c r="L85" s="2093"/>
      <c r="M85" s="1968">
        <f t="shared" si="16"/>
        <v>0</v>
      </c>
      <c r="N85" s="1968">
        <f t="shared" si="4"/>
        <v>0</v>
      </c>
      <c r="O85" s="1555"/>
      <c r="P85" s="111"/>
      <c r="Q85" s="104">
        <f t="shared" si="24"/>
        <v>0</v>
      </c>
      <c r="R85" s="1556"/>
      <c r="Y85" s="1969">
        <v>0</v>
      </c>
      <c r="Z85" s="2531">
        <f t="shared" si="25"/>
        <v>0</v>
      </c>
    </row>
    <row r="86" spans="1:26" s="108" customFormat="1" ht="12" customHeight="1" thickBot="1">
      <c r="A86" s="1993" t="s">
        <v>483</v>
      </c>
      <c r="B86" s="1978" t="s">
        <v>311</v>
      </c>
      <c r="C86" s="1968">
        <f>+'6. mell (Bontás)'!C86</f>
        <v>0</v>
      </c>
      <c r="D86" s="1968">
        <v>0</v>
      </c>
      <c r="E86" s="1968">
        <f>+'6. mell (Bontás)'!D86</f>
        <v>0</v>
      </c>
      <c r="F86" s="1968">
        <f>+'6. mell (Bontás)'!E86</f>
        <v>0</v>
      </c>
      <c r="G86" s="1968">
        <f>+'6. mell (Bontás)'!F86</f>
        <v>0</v>
      </c>
      <c r="H86" s="1968">
        <f>+'6. mell (Bontás)'!G86</f>
        <v>0</v>
      </c>
      <c r="I86" s="1968">
        <f>+'6. mell (Bontás)'!H86</f>
        <v>0</v>
      </c>
      <c r="J86" s="1969">
        <f>+'6. mell (Bontás)'!I86</f>
        <v>0</v>
      </c>
      <c r="K86" s="1970"/>
      <c r="L86" s="2093">
        <f t="shared" ref="L86:L152" si="29">+F86-E86</f>
        <v>0</v>
      </c>
      <c r="M86" s="1968">
        <f t="shared" ref="M86:M152" si="30">+G86-F86</f>
        <v>0</v>
      </c>
      <c r="N86" s="1968">
        <f t="shared" si="4"/>
        <v>0</v>
      </c>
      <c r="O86" s="1555">
        <f t="shared" ref="O86:O140" si="31">+I86-H86</f>
        <v>0</v>
      </c>
      <c r="P86" s="111"/>
      <c r="Q86" s="104">
        <f t="shared" si="24"/>
        <v>0</v>
      </c>
      <c r="R86" s="1556"/>
      <c r="W86" s="89" t="s">
        <v>476</v>
      </c>
      <c r="X86" s="1031" t="s">
        <v>3059</v>
      </c>
      <c r="Y86" s="1969">
        <v>0</v>
      </c>
      <c r="Z86" s="2531">
        <f t="shared" si="25"/>
        <v>0</v>
      </c>
    </row>
    <row r="87" spans="1:26" s="108" customFormat="1" ht="12" customHeight="1" thickBot="1">
      <c r="A87" s="1996" t="s">
        <v>484</v>
      </c>
      <c r="B87" s="1989" t="s">
        <v>313</v>
      </c>
      <c r="C87" s="1990">
        <f t="shared" ref="C87:J87" si="32">+C64+C68+C73+C76+C80+C86</f>
        <v>15200000000</v>
      </c>
      <c r="D87" s="1990">
        <f t="shared" si="32"/>
        <v>13721269569</v>
      </c>
      <c r="E87" s="1990">
        <f t="shared" si="32"/>
        <v>8190000000</v>
      </c>
      <c r="F87" s="1990">
        <f t="shared" si="32"/>
        <v>8193591343</v>
      </c>
      <c r="G87" s="1990">
        <f t="shared" si="32"/>
        <v>9567256159</v>
      </c>
      <c r="H87" s="1990">
        <f t="shared" si="32"/>
        <v>16183226645</v>
      </c>
      <c r="I87" s="1990">
        <f t="shared" si="32"/>
        <v>16183226645</v>
      </c>
      <c r="J87" s="1991">
        <f t="shared" si="32"/>
        <v>13974606645</v>
      </c>
      <c r="K87" s="1992">
        <f>+J87/H87</f>
        <v>0.86352412603191342</v>
      </c>
      <c r="L87" s="2093">
        <f t="shared" si="29"/>
        <v>3591343</v>
      </c>
      <c r="M87" s="1990">
        <f t="shared" si="30"/>
        <v>1373664816</v>
      </c>
      <c r="N87" s="1990">
        <f t="shared" si="4"/>
        <v>6615970486</v>
      </c>
      <c r="O87" s="1555">
        <f t="shared" si="31"/>
        <v>0</v>
      </c>
      <c r="P87" s="122"/>
      <c r="Q87" s="123">
        <f t="shared" si="24"/>
        <v>-7010000000</v>
      </c>
      <c r="R87" s="1559">
        <f>+'Fin.bev-nem része a rend-nek'!K23+'Fin.bev-nem része a rend-nek'!K37+'Fin.bev-nem része a rend-nek'!K44</f>
        <v>8190000000</v>
      </c>
      <c r="S87" s="127">
        <f>+'Fin.bev-nem része a rend-nek'!L23+'Fin.bev-nem része a rend-nek'!L37+'Fin.bev-nem része a rend-nek'!L44</f>
        <v>8193591343</v>
      </c>
      <c r="T87" s="127">
        <f>+'Fin.bev-nem része a rend-nek'!M23+'Fin.bev-nem része a rend-nek'!M37+'Fin.bev-nem része a rend-nek'!M44</f>
        <v>8193591343</v>
      </c>
      <c r="U87" s="127">
        <f>+G87-T87</f>
        <v>1373664816</v>
      </c>
      <c r="W87" s="125">
        <v>13974606645</v>
      </c>
      <c r="X87" s="124">
        <f>+J87-W87</f>
        <v>0</v>
      </c>
      <c r="Y87" s="1991">
        <v>13721269569</v>
      </c>
      <c r="Z87" s="2531">
        <f t="shared" si="25"/>
        <v>0</v>
      </c>
    </row>
    <row r="88" spans="1:26" s="108" customFormat="1" ht="12" customHeight="1" thickBot="1">
      <c r="A88" s="1996" t="s">
        <v>485</v>
      </c>
      <c r="B88" s="1989" t="s">
        <v>3034</v>
      </c>
      <c r="C88" s="1990">
        <f t="shared" ref="C88:J88" si="33">+C63+C87</f>
        <v>37627307393.190002</v>
      </c>
      <c r="D88" s="1990">
        <f t="shared" si="33"/>
        <v>33479382762</v>
      </c>
      <c r="E88" s="1990">
        <f t="shared" si="33"/>
        <v>30600547620</v>
      </c>
      <c r="F88" s="1990">
        <f t="shared" si="33"/>
        <v>31031686328</v>
      </c>
      <c r="G88" s="1990">
        <f t="shared" si="33"/>
        <v>32484576591</v>
      </c>
      <c r="H88" s="1990">
        <f t="shared" si="33"/>
        <v>38266085681</v>
      </c>
      <c r="I88" s="1990">
        <f t="shared" si="33"/>
        <v>38266085681</v>
      </c>
      <c r="J88" s="1991">
        <f t="shared" si="33"/>
        <v>36057465681</v>
      </c>
      <c r="K88" s="1992">
        <f>+J88/H88</f>
        <v>0.94228257317950259</v>
      </c>
      <c r="L88" s="2093">
        <f t="shared" si="29"/>
        <v>431138708</v>
      </c>
      <c r="M88" s="1990">
        <f t="shared" si="30"/>
        <v>1452890263</v>
      </c>
      <c r="N88" s="1990">
        <f t="shared" si="4"/>
        <v>5781509090</v>
      </c>
      <c r="O88" s="1555">
        <f t="shared" si="31"/>
        <v>0</v>
      </c>
      <c r="P88" s="122"/>
      <c r="Q88" s="122">
        <f t="shared" si="24"/>
        <v>-7026759773.1900024</v>
      </c>
      <c r="R88" s="128">
        <f>+R63+R87</f>
        <v>30600547620</v>
      </c>
      <c r="S88" s="128">
        <f>+S63+S87</f>
        <v>31031686328</v>
      </c>
      <c r="T88" s="128">
        <f>+T63+T87</f>
        <v>31110911775</v>
      </c>
      <c r="U88" s="128">
        <f>+U63+U87</f>
        <v>1373664816</v>
      </c>
      <c r="V88" s="1030" t="s">
        <v>476</v>
      </c>
      <c r="W88" s="125">
        <f>+W63+W87</f>
        <v>36057465681</v>
      </c>
      <c r="X88" s="124">
        <f>+J88-W88</f>
        <v>0</v>
      </c>
      <c r="Y88" s="1991">
        <v>33479382762</v>
      </c>
      <c r="Z88" s="2531">
        <f t="shared" si="25"/>
        <v>0</v>
      </c>
    </row>
    <row r="89" spans="1:26" s="110" customFormat="1" ht="15" customHeight="1">
      <c r="A89" s="129"/>
      <c r="B89" s="1958"/>
      <c r="C89" s="130"/>
      <c r="D89" s="130"/>
      <c r="E89" s="130"/>
      <c r="F89" s="130"/>
      <c r="G89" s="130"/>
      <c r="H89" s="130"/>
      <c r="I89" s="130"/>
      <c r="J89" s="3486"/>
      <c r="K89" s="1997"/>
      <c r="L89" s="2093">
        <f t="shared" si="29"/>
        <v>0</v>
      </c>
      <c r="M89" s="1573"/>
      <c r="N89" s="130"/>
      <c r="O89" s="1555"/>
      <c r="P89" s="130"/>
      <c r="Q89" s="130"/>
      <c r="R89" s="1557"/>
      <c r="Y89" s="130"/>
      <c r="Z89" s="2531">
        <f t="shared" si="25"/>
        <v>0</v>
      </c>
    </row>
    <row r="90" spans="1:26" ht="13.5" thickBot="1">
      <c r="A90" s="1960"/>
      <c r="B90" s="1998" t="str">
        <f>+B3</f>
        <v>A</v>
      </c>
      <c r="C90" s="1998" t="str">
        <f t="shared" ref="C90:M90" si="34">+C3</f>
        <v>B</v>
      </c>
      <c r="D90" s="1998" t="str">
        <f t="shared" si="34"/>
        <v>B</v>
      </c>
      <c r="E90" s="1998" t="str">
        <f t="shared" si="34"/>
        <v>B</v>
      </c>
      <c r="F90" s="1998" t="str">
        <f t="shared" si="34"/>
        <v>D</v>
      </c>
      <c r="G90" s="1998" t="str">
        <f t="shared" si="34"/>
        <v>E</v>
      </c>
      <c r="H90" s="1998" t="str">
        <f t="shared" si="34"/>
        <v>C</v>
      </c>
      <c r="I90" s="1998" t="str">
        <f t="shared" si="34"/>
        <v>F</v>
      </c>
      <c r="J90" s="1998" t="str">
        <f t="shared" si="34"/>
        <v>D</v>
      </c>
      <c r="K90" s="1998" t="str">
        <f t="shared" si="34"/>
        <v>E</v>
      </c>
      <c r="L90" s="1998">
        <f t="shared" si="34"/>
        <v>0</v>
      </c>
      <c r="M90" s="1998" t="str">
        <f t="shared" si="34"/>
        <v>F</v>
      </c>
      <c r="N90" s="1998"/>
      <c r="O90" s="1555"/>
      <c r="P90" s="131"/>
      <c r="Q90" s="131"/>
      <c r="R90" s="137"/>
      <c r="Y90" s="1998" t="s">
        <v>2731</v>
      </c>
      <c r="Z90" s="2531"/>
    </row>
    <row r="91" spans="1:26" s="99" customFormat="1" ht="63.75" customHeight="1" thickBot="1">
      <c r="A91" s="1960" t="s">
        <v>6</v>
      </c>
      <c r="B91" s="1960" t="str">
        <f>+'1. mell.ÖSSZEVONT_MÉRLEG'!B93</f>
        <v>Kiadási jogcímek</v>
      </c>
      <c r="C91" s="1960" t="str">
        <f>+C4</f>
        <v>2024. évi eredeti előirányzat
forintban</v>
      </c>
      <c r="D91" s="2570" t="str">
        <f>+D4</f>
        <v>2024. évi teljesítés forintban</v>
      </c>
      <c r="E91" s="1960" t="str">
        <f>+E4</f>
        <v>2025. évi eredeti előirányzat forintban</v>
      </c>
      <c r="F91" s="1960" t="str">
        <f t="shared" ref="F91:Q91" si="35">+F4</f>
        <v>2025. évi I. számú módosított előirányzat
forintban</v>
      </c>
      <c r="G91" s="1960" t="str">
        <f t="shared" si="35"/>
        <v>2025. évi II. számú módosított előirányzat forintban</v>
      </c>
      <c r="H91" s="1960" t="str">
        <f t="shared" si="35"/>
        <v>2025. évi III. számú módosított előirányzat forintban</v>
      </c>
      <c r="I91" s="1960" t="str">
        <f t="shared" si="35"/>
        <v>2025. évi IV. számú módosított előirányzat forintban</v>
      </c>
      <c r="J91" s="1960" t="str">
        <f t="shared" si="35"/>
        <v>2025. évi
teljesítés forintban</v>
      </c>
      <c r="K91" s="1960" t="str">
        <f t="shared" si="35"/>
        <v xml:space="preserve"> 2025. évi teljesítés / 2025. évi III. számú módosított előirányzat</v>
      </c>
      <c r="L91" s="2094" t="str">
        <f t="shared" si="35"/>
        <v>Változás I. módosításnál</v>
      </c>
      <c r="M91" s="1960" t="str">
        <f t="shared" si="35"/>
        <v>Előirányzat-módosítások, előirányzat-átcsoportosítások összegszerű változásai</v>
      </c>
      <c r="N91" s="1960" t="str">
        <f t="shared" si="35"/>
        <v>Előirányzat-módosítások, előirányzat-átcsoportosítások összegszerű változásai a III. módosításnál</v>
      </c>
      <c r="O91" s="1560" t="str">
        <f t="shared" si="35"/>
        <v>Változás IV. módosításnál</v>
      </c>
      <c r="P91" s="1560">
        <f t="shared" si="35"/>
        <v>0</v>
      </c>
      <c r="Q91" s="1560" t="str">
        <f t="shared" si="35"/>
        <v>Növekedés vagy csökkenés (-) 2024-ről 2025-re</v>
      </c>
      <c r="R91" s="137"/>
      <c r="S91" s="89"/>
      <c r="X91" s="1275"/>
      <c r="Y91" s="2672" t="s">
        <v>3915</v>
      </c>
      <c r="Z91" s="2531"/>
    </row>
    <row r="92" spans="1:26" s="132" customFormat="1" ht="12" customHeight="1" thickBot="1">
      <c r="A92" s="1966" t="s">
        <v>3353</v>
      </c>
      <c r="B92" s="1978" t="s">
        <v>3469</v>
      </c>
      <c r="C92" s="1968">
        <f t="shared" ref="C92:J92" si="36">SUM(C93:C97)</f>
        <v>5393626091.1900005</v>
      </c>
      <c r="D92" s="1968">
        <f t="shared" si="36"/>
        <v>6541583118</v>
      </c>
      <c r="E92" s="1968">
        <f t="shared" si="36"/>
        <v>6035013432</v>
      </c>
      <c r="F92" s="1968">
        <f t="shared" si="36"/>
        <v>6078395385</v>
      </c>
      <c r="G92" s="1968">
        <f t="shared" si="36"/>
        <v>6136831909</v>
      </c>
      <c r="H92" s="1968">
        <f t="shared" si="36"/>
        <v>6591331824</v>
      </c>
      <c r="I92" s="1968">
        <f t="shared" si="36"/>
        <v>6591331824</v>
      </c>
      <c r="J92" s="1969">
        <f t="shared" si="36"/>
        <v>6098870022</v>
      </c>
      <c r="K92" s="1970">
        <f t="shared" ref="K92:K99" si="37">+J92/H92</f>
        <v>0.92528644966607887</v>
      </c>
      <c r="L92" s="2093">
        <f t="shared" si="29"/>
        <v>43381953</v>
      </c>
      <c r="M92" s="1968">
        <f t="shared" si="30"/>
        <v>58436524</v>
      </c>
      <c r="N92" s="1968">
        <f t="shared" si="4"/>
        <v>454499915</v>
      </c>
      <c r="O92" s="1555">
        <f t="shared" si="31"/>
        <v>0</v>
      </c>
      <c r="P92" s="111"/>
      <c r="Q92" s="104">
        <f t="shared" si="24"/>
        <v>641387340.80999947</v>
      </c>
      <c r="R92" s="137"/>
      <c r="S92" s="89"/>
      <c r="X92" s="1029"/>
      <c r="Y92" s="1969">
        <v>6541583118</v>
      </c>
      <c r="Z92" s="2531">
        <f t="shared" si="25"/>
        <v>0</v>
      </c>
    </row>
    <row r="93" spans="1:26" ht="12" customHeight="1">
      <c r="A93" s="1971" t="s">
        <v>176</v>
      </c>
      <c r="B93" s="1999" t="s">
        <v>147</v>
      </c>
      <c r="C93" s="1983">
        <f>+'29. mell. Önk.- Bér'!I63</f>
        <v>259838564</v>
      </c>
      <c r="D93" s="2725">
        <f>+'29. mell. Önk.- Bér'!J63</f>
        <v>253971347</v>
      </c>
      <c r="E93" s="1983">
        <f>+'29. mell. Önk.- Bér'!K63</f>
        <v>408335878</v>
      </c>
      <c r="F93" s="1983">
        <f>+'29. mell. Önk.- Bér'!L63</f>
        <v>426064203</v>
      </c>
      <c r="G93" s="1983">
        <f>+'29. mell. Önk.- Bér'!M63</f>
        <v>426064203</v>
      </c>
      <c r="H93" s="1983">
        <f>+'29. mell. Önk.- Bér'!N63</f>
        <v>427591161</v>
      </c>
      <c r="I93" s="1983">
        <f>+'29. mell. Önk.- Bér'!O63</f>
        <v>427591161</v>
      </c>
      <c r="J93" s="1984">
        <f>+'29. mell. Önk.- Bér'!P63</f>
        <v>420600084</v>
      </c>
      <c r="K93" s="1975">
        <f t="shared" si="37"/>
        <v>0.98365008999800163</v>
      </c>
      <c r="L93" s="2093">
        <f t="shared" si="29"/>
        <v>17728325</v>
      </c>
      <c r="M93" s="1983">
        <f t="shared" si="30"/>
        <v>0</v>
      </c>
      <c r="N93" s="1983">
        <f t="shared" si="4"/>
        <v>1526958</v>
      </c>
      <c r="O93" s="1555">
        <f t="shared" si="31"/>
        <v>0</v>
      </c>
      <c r="P93" s="121"/>
      <c r="Q93" s="119">
        <f t="shared" si="24"/>
        <v>148497314</v>
      </c>
      <c r="R93" s="137"/>
      <c r="Y93" s="1984">
        <v>253971347</v>
      </c>
      <c r="Z93" s="2531">
        <f t="shared" si="25"/>
        <v>0</v>
      </c>
    </row>
    <row r="94" spans="1:26" ht="12" customHeight="1">
      <c r="A94" s="1971" t="s">
        <v>178</v>
      </c>
      <c r="B94" s="1999" t="s">
        <v>8</v>
      </c>
      <c r="C94" s="1983">
        <f>+'29. mell. Önk.- Bér'!I73</f>
        <v>51149688</v>
      </c>
      <c r="D94" s="2725">
        <f>+'29. mell. Önk.- Bér'!J73</f>
        <v>51007721</v>
      </c>
      <c r="E94" s="1983">
        <f>+'29. mell. Önk.- Bér'!K73</f>
        <v>75191818</v>
      </c>
      <c r="F94" s="1983">
        <f>+'29. mell. Önk.- Bér'!L73</f>
        <v>77496500</v>
      </c>
      <c r="G94" s="1983">
        <f>+'29. mell. Önk.- Bér'!M73</f>
        <v>77496500</v>
      </c>
      <c r="H94" s="1983">
        <f>+'29. mell. Önk.- Bér'!N73</f>
        <v>77496500</v>
      </c>
      <c r="I94" s="1983">
        <f>+'29. mell. Önk.- Bér'!O73</f>
        <v>77496500</v>
      </c>
      <c r="J94" s="1984">
        <f>+'29. mell. Önk.- Bér'!P73</f>
        <v>66312718</v>
      </c>
      <c r="K94" s="1975">
        <f t="shared" si="37"/>
        <v>0.85568661810533375</v>
      </c>
      <c r="L94" s="2093">
        <f t="shared" si="29"/>
        <v>2304682</v>
      </c>
      <c r="M94" s="1983">
        <f t="shared" si="30"/>
        <v>0</v>
      </c>
      <c r="N94" s="1983">
        <f t="shared" si="4"/>
        <v>0</v>
      </c>
      <c r="O94" s="1555">
        <f t="shared" si="31"/>
        <v>0</v>
      </c>
      <c r="P94" s="117"/>
      <c r="Q94" s="119">
        <f t="shared" si="24"/>
        <v>24042130</v>
      </c>
      <c r="R94" s="137"/>
      <c r="Y94" s="1984">
        <v>51007721</v>
      </c>
      <c r="Z94" s="2531">
        <f t="shared" si="25"/>
        <v>0</v>
      </c>
    </row>
    <row r="95" spans="1:26" ht="12" customHeight="1">
      <c r="A95" s="1971" t="s">
        <v>179</v>
      </c>
      <c r="B95" s="1999" t="s">
        <v>317</v>
      </c>
      <c r="C95" s="1983">
        <f>+'30. mell. ÖNK.-Dologi'!I79+'31.mell. Működési kiadások'!I86</f>
        <v>1466712661.1900001</v>
      </c>
      <c r="D95" s="2725">
        <f>+'30. mell. ÖNK.-Dologi'!J79+'31.mell. Működési kiadások'!J86</f>
        <v>2596392359</v>
      </c>
      <c r="E95" s="1983">
        <f>+'30. mell. ÖNK.-Dologi'!K79+'31.mell. Működési kiadások'!K86</f>
        <v>1357769568</v>
      </c>
      <c r="F95" s="1983">
        <f>+'30. mell. ÖNK.-Dologi'!L79+'31.mell. Működési kiadások'!L86</f>
        <v>1413068013</v>
      </c>
      <c r="G95" s="1983">
        <f>+'30. mell. ÖNK.-Dologi'!M79+'31.mell. Működési kiadások'!M86</f>
        <v>1479671528</v>
      </c>
      <c r="H95" s="1983">
        <f>+'30. mell. ÖNK.-Dologi'!N79+'31.mell. Működési kiadások'!N86</f>
        <v>1848161600</v>
      </c>
      <c r="I95" s="1983">
        <f>+'30. mell. ÖNK.-Dologi'!O79+'31.mell. Működési kiadások'!O86</f>
        <v>1848161600</v>
      </c>
      <c r="J95" s="1984">
        <f>+'30. mell. ÖNK.-Dologi'!P79+'31.mell. Működési kiadások'!P86</f>
        <v>1496934925</v>
      </c>
      <c r="K95" s="1975">
        <f t="shared" si="37"/>
        <v>0.80995889374608798</v>
      </c>
      <c r="L95" s="2093">
        <f t="shared" si="29"/>
        <v>55298445</v>
      </c>
      <c r="M95" s="1983">
        <f t="shared" si="30"/>
        <v>66603515</v>
      </c>
      <c r="N95" s="1983">
        <f t="shared" si="4"/>
        <v>368490072</v>
      </c>
      <c r="O95" s="1555">
        <f t="shared" si="31"/>
        <v>0</v>
      </c>
      <c r="P95" s="117"/>
      <c r="Q95" s="119">
        <f t="shared" si="24"/>
        <v>-108943093.19000006</v>
      </c>
      <c r="R95" s="137"/>
      <c r="Y95" s="1984">
        <v>2596392359</v>
      </c>
      <c r="Z95" s="2531">
        <f t="shared" si="25"/>
        <v>0</v>
      </c>
    </row>
    <row r="96" spans="1:26" ht="12" customHeight="1">
      <c r="A96" s="1971" t="s">
        <v>180</v>
      </c>
      <c r="B96" s="1999" t="s">
        <v>318</v>
      </c>
      <c r="C96" s="1983">
        <f>+'32. mell. Ellátottak'!I30</f>
        <v>166570000</v>
      </c>
      <c r="D96" s="2725">
        <f>+'32. mell. Ellátottak'!J30</f>
        <v>96255152</v>
      </c>
      <c r="E96" s="1983">
        <f>+'32. mell. Ellátottak'!K30</f>
        <v>166570000</v>
      </c>
      <c r="F96" s="1983">
        <f>+'32. mell. Ellátottak'!L30</f>
        <v>166370000</v>
      </c>
      <c r="G96" s="1983">
        <f>+'32. mell. Ellátottak'!M30</f>
        <v>166370000</v>
      </c>
      <c r="H96" s="1983">
        <f>+'32. mell. Ellátottak'!N30</f>
        <v>162174054</v>
      </c>
      <c r="I96" s="1983">
        <f>+'32. mell. Ellátottak'!O30</f>
        <v>162174054</v>
      </c>
      <c r="J96" s="1984">
        <f>+'32. mell. Ellátottak'!P30</f>
        <v>91481574</v>
      </c>
      <c r="K96" s="1975">
        <f t="shared" si="37"/>
        <v>0.5640950062209088</v>
      </c>
      <c r="L96" s="2093">
        <f t="shared" si="29"/>
        <v>-200000</v>
      </c>
      <c r="M96" s="1983">
        <f t="shared" si="30"/>
        <v>0</v>
      </c>
      <c r="N96" s="1983">
        <f t="shared" si="4"/>
        <v>-4195946</v>
      </c>
      <c r="O96" s="1555">
        <f t="shared" si="31"/>
        <v>0</v>
      </c>
      <c r="P96" s="117"/>
      <c r="Q96" s="119">
        <f t="shared" si="24"/>
        <v>0</v>
      </c>
      <c r="R96" s="137"/>
      <c r="Y96" s="1984">
        <v>96255152</v>
      </c>
      <c r="Z96" s="2531">
        <f t="shared" si="25"/>
        <v>0</v>
      </c>
    </row>
    <row r="97" spans="1:26" ht="12" customHeight="1">
      <c r="A97" s="1971" t="s">
        <v>319</v>
      </c>
      <c r="B97" s="1999" t="s">
        <v>151</v>
      </c>
      <c r="C97" s="1983">
        <f>+'33. mell. E.műk.c.kiad.'!I104</f>
        <v>3449355178</v>
      </c>
      <c r="D97" s="2725">
        <f>+'33. mell. E.műk.c.kiad.'!J104</f>
        <v>3543956539</v>
      </c>
      <c r="E97" s="1983">
        <f>+'33. mell. E.műk.c.kiad.'!K104</f>
        <v>4027146168</v>
      </c>
      <c r="F97" s="1983">
        <f>+'33. mell. E.műk.c.kiad.'!L104</f>
        <v>3995396669</v>
      </c>
      <c r="G97" s="1983">
        <f>+'33. mell. E.műk.c.kiad.'!M104</f>
        <v>3987229678</v>
      </c>
      <c r="H97" s="1983">
        <f>+'33. mell. E.műk.c.kiad.'!N104</f>
        <v>4075908509</v>
      </c>
      <c r="I97" s="1983">
        <f>+'33. mell. E.műk.c.kiad.'!O104</f>
        <v>4075908509</v>
      </c>
      <c r="J97" s="1984">
        <f>+'33. mell. E.műk.c.kiad.'!P104</f>
        <v>4023540721</v>
      </c>
      <c r="K97" s="1975">
        <f t="shared" si="37"/>
        <v>0.9871518735309277</v>
      </c>
      <c r="L97" s="2093">
        <f t="shared" si="29"/>
        <v>-31749499</v>
      </c>
      <c r="M97" s="1983">
        <f t="shared" si="30"/>
        <v>-8166991</v>
      </c>
      <c r="N97" s="1983">
        <f t="shared" si="4"/>
        <v>88678831</v>
      </c>
      <c r="O97" s="1555">
        <f t="shared" si="31"/>
        <v>0</v>
      </c>
      <c r="P97" s="117"/>
      <c r="Q97" s="119">
        <f t="shared" si="24"/>
        <v>577790990</v>
      </c>
      <c r="R97" s="137"/>
      <c r="Y97" s="1984">
        <v>3543956539</v>
      </c>
      <c r="Z97" s="2531">
        <f t="shared" si="25"/>
        <v>0</v>
      </c>
    </row>
    <row r="98" spans="1:26" ht="12" customHeight="1">
      <c r="A98" s="1971" t="s">
        <v>183</v>
      </c>
      <c r="B98" s="1999" t="s">
        <v>320</v>
      </c>
      <c r="C98" s="1983">
        <v>0</v>
      </c>
      <c r="D98" s="2725">
        <v>90752764</v>
      </c>
      <c r="E98" s="1983">
        <v>0</v>
      </c>
      <c r="F98" s="1983">
        <f t="shared" ref="F98:I99" si="38">+E98</f>
        <v>0</v>
      </c>
      <c r="G98" s="1983">
        <f t="shared" si="38"/>
        <v>0</v>
      </c>
      <c r="H98" s="1983">
        <f>+'33. mell. E.műk.c.kiad.'!N9</f>
        <v>1130236</v>
      </c>
      <c r="I98" s="1983">
        <f t="shared" si="38"/>
        <v>1130236</v>
      </c>
      <c r="J98" s="1984">
        <f>+'33. mell. E.műk.c.kiad.'!P9</f>
        <v>1130236</v>
      </c>
      <c r="K98" s="1975">
        <f t="shared" si="37"/>
        <v>1</v>
      </c>
      <c r="L98" s="2093">
        <f t="shared" si="29"/>
        <v>0</v>
      </c>
      <c r="M98" s="1983">
        <f t="shared" si="30"/>
        <v>0</v>
      </c>
      <c r="N98" s="1983">
        <f t="shared" si="4"/>
        <v>1130236</v>
      </c>
      <c r="O98" s="1555">
        <f t="shared" si="31"/>
        <v>0</v>
      </c>
      <c r="P98" s="117"/>
      <c r="Q98" s="119">
        <f t="shared" si="24"/>
        <v>0</v>
      </c>
      <c r="R98" s="137"/>
      <c r="Y98" s="1984">
        <v>90752764</v>
      </c>
      <c r="Z98" s="2531">
        <f t="shared" si="25"/>
        <v>0</v>
      </c>
    </row>
    <row r="99" spans="1:26" ht="12" customHeight="1">
      <c r="A99" s="1971" t="s">
        <v>321</v>
      </c>
      <c r="B99" s="2000" t="s">
        <v>322</v>
      </c>
      <c r="C99" s="1983">
        <v>0</v>
      </c>
      <c r="D99" s="2725">
        <f>+'33. mell. E.műk.c.kiad.'!J12</f>
        <v>2451047893</v>
      </c>
      <c r="E99" s="1983">
        <v>0</v>
      </c>
      <c r="F99" s="1983">
        <f t="shared" si="38"/>
        <v>0</v>
      </c>
      <c r="G99" s="1983">
        <f t="shared" si="38"/>
        <v>0</v>
      </c>
      <c r="H99" s="1983">
        <f>+'33. mell. E.műk.c.kiad.'!N12+'33. mell. E.műk.c.kiad.'!N11</f>
        <v>3102477770</v>
      </c>
      <c r="I99" s="1983">
        <f t="shared" si="38"/>
        <v>3102477770</v>
      </c>
      <c r="J99" s="1984">
        <f>+'33. mell. E.műk.c.kiad.'!P12++'33. mell. E.műk.c.kiad.'!P11</f>
        <v>3102477770</v>
      </c>
      <c r="K99" s="1975">
        <f t="shared" si="37"/>
        <v>1</v>
      </c>
      <c r="L99" s="2093">
        <f t="shared" si="29"/>
        <v>0</v>
      </c>
      <c r="M99" s="1983">
        <f t="shared" si="30"/>
        <v>0</v>
      </c>
      <c r="N99" s="1983">
        <f t="shared" si="4"/>
        <v>3102477770</v>
      </c>
      <c r="O99" s="1555">
        <f t="shared" si="31"/>
        <v>0</v>
      </c>
      <c r="P99" s="117"/>
      <c r="Q99" s="119">
        <f t="shared" si="24"/>
        <v>0</v>
      </c>
      <c r="R99" s="137"/>
      <c r="Y99" s="1984">
        <v>2451047893</v>
      </c>
      <c r="Z99" s="2531">
        <f t="shared" si="25"/>
        <v>0</v>
      </c>
    </row>
    <row r="100" spans="1:26" ht="12" customHeight="1">
      <c r="A100" s="1971" t="s">
        <v>323</v>
      </c>
      <c r="B100" s="2000" t="s">
        <v>324</v>
      </c>
      <c r="C100" s="1983">
        <f>+'33. mell. E.műk.c.kiad.'!I13</f>
        <v>2473598849</v>
      </c>
      <c r="D100" s="2725">
        <f>+'33. mell. E.műk.c.kiad.'!J13-D98-D99</f>
        <v>153019853</v>
      </c>
      <c r="E100" s="1983">
        <f>+'33. mell. E.műk.c.kiad.'!K13</f>
        <v>3018447566</v>
      </c>
      <c r="F100" s="1983">
        <f>+'33. mell. E.műk.c.kiad.'!L13</f>
        <v>3018910144</v>
      </c>
      <c r="G100" s="1983">
        <f>+'33. mell. E.műk.c.kiad.'!M13</f>
        <v>3018910144</v>
      </c>
      <c r="H100" s="1983">
        <f>+'33. mell. E.műk.c.kiad.'!N10</f>
        <v>0</v>
      </c>
      <c r="I100" s="1983">
        <f>+'33. mell. E.műk.c.kiad.'!O13</f>
        <v>3103608006</v>
      </c>
      <c r="J100" s="1984">
        <f>+'33. mell. E.műk.c.kiad.'!P10</f>
        <v>0</v>
      </c>
      <c r="K100" s="1975"/>
      <c r="L100" s="2093">
        <f t="shared" si="29"/>
        <v>462578</v>
      </c>
      <c r="M100" s="1983">
        <f t="shared" si="30"/>
        <v>0</v>
      </c>
      <c r="N100" s="1983">
        <f t="shared" si="4"/>
        <v>-3018910144</v>
      </c>
      <c r="O100" s="1555">
        <f t="shared" si="31"/>
        <v>3103608006</v>
      </c>
      <c r="P100" s="117"/>
      <c r="Q100" s="119">
        <f t="shared" si="24"/>
        <v>544848717</v>
      </c>
      <c r="R100" s="137"/>
      <c r="Y100" s="1984">
        <v>153019853</v>
      </c>
      <c r="Z100" s="2531">
        <f t="shared" si="25"/>
        <v>0</v>
      </c>
    </row>
    <row r="101" spans="1:26" ht="12" customHeight="1">
      <c r="A101" s="1971" t="s">
        <v>325</v>
      </c>
      <c r="B101" s="2000" t="s">
        <v>326</v>
      </c>
      <c r="C101" s="1983">
        <f>+'33. mell. E.műk.c.kiad.'!I14</f>
        <v>0</v>
      </c>
      <c r="D101" s="2725">
        <f>+'33. mell. E.műk.c.kiad.'!J14</f>
        <v>0</v>
      </c>
      <c r="E101" s="1983">
        <f>+'33. mell. E.műk.c.kiad.'!K14</f>
        <v>0</v>
      </c>
      <c r="F101" s="1983">
        <f>+'33. mell. E.műk.c.kiad.'!L14</f>
        <v>0</v>
      </c>
      <c r="G101" s="1983">
        <f>+'33. mell. E.műk.c.kiad.'!M14</f>
        <v>0</v>
      </c>
      <c r="H101" s="1983">
        <f>+'33. mell. E.műk.c.kiad.'!N14</f>
        <v>0</v>
      </c>
      <c r="I101" s="1983">
        <f>+'33. mell. E.műk.c.kiad.'!O14</f>
        <v>0</v>
      </c>
      <c r="J101" s="1984">
        <f>+'33. mell. E.műk.c.kiad.'!P14</f>
        <v>0</v>
      </c>
      <c r="K101" s="1975"/>
      <c r="L101" s="2093">
        <f t="shared" si="29"/>
        <v>0</v>
      </c>
      <c r="M101" s="1983">
        <f t="shared" si="30"/>
        <v>0</v>
      </c>
      <c r="N101" s="1983">
        <f t="shared" si="4"/>
        <v>0</v>
      </c>
      <c r="O101" s="1555">
        <f t="shared" si="31"/>
        <v>0</v>
      </c>
      <c r="P101" s="117"/>
      <c r="Q101" s="119">
        <f t="shared" si="24"/>
        <v>0</v>
      </c>
      <c r="R101" s="137"/>
      <c r="Y101" s="1984">
        <v>0</v>
      </c>
      <c r="Z101" s="2531">
        <f t="shared" si="25"/>
        <v>0</v>
      </c>
    </row>
    <row r="102" spans="1:26" ht="12" customHeight="1">
      <c r="A102" s="1971" t="s">
        <v>327</v>
      </c>
      <c r="B102" s="2001" t="s">
        <v>328</v>
      </c>
      <c r="C102" s="1983">
        <f>+'33. mell. E.műk.c.kiad.'!I20</f>
        <v>0</v>
      </c>
      <c r="D102" s="2725">
        <f>+'33. mell. E.műk.c.kiad.'!J20</f>
        <v>0</v>
      </c>
      <c r="E102" s="1983">
        <f>+'33. mell. E.műk.c.kiad.'!K20</f>
        <v>0</v>
      </c>
      <c r="F102" s="1983">
        <f>+'33. mell. E.műk.c.kiad.'!L20</f>
        <v>0</v>
      </c>
      <c r="G102" s="1983">
        <f>+'33. mell. E.műk.c.kiad.'!M20</f>
        <v>0</v>
      </c>
      <c r="H102" s="1983">
        <f>+'33. mell. E.műk.c.kiad.'!N20</f>
        <v>0</v>
      </c>
      <c r="I102" s="1983">
        <f>+'33. mell. E.műk.c.kiad.'!O20</f>
        <v>0</v>
      </c>
      <c r="J102" s="1984">
        <f>+'33. mell. E.műk.c.kiad.'!P20</f>
        <v>0</v>
      </c>
      <c r="K102" s="1975"/>
      <c r="L102" s="2093">
        <f t="shared" si="29"/>
        <v>0</v>
      </c>
      <c r="M102" s="1983">
        <f t="shared" si="30"/>
        <v>0</v>
      </c>
      <c r="N102" s="1983">
        <f t="shared" si="4"/>
        <v>0</v>
      </c>
      <c r="O102" s="1555">
        <f t="shared" si="31"/>
        <v>0</v>
      </c>
      <c r="P102" s="117"/>
      <c r="Q102" s="119">
        <f t="shared" si="24"/>
        <v>0</v>
      </c>
      <c r="R102" s="137"/>
      <c r="Y102" s="1984">
        <v>0</v>
      </c>
      <c r="Z102" s="2531">
        <f t="shared" si="25"/>
        <v>0</v>
      </c>
    </row>
    <row r="103" spans="1:26" ht="12" customHeight="1">
      <c r="A103" s="1971" t="s">
        <v>329</v>
      </c>
      <c r="B103" s="2001" t="s">
        <v>330</v>
      </c>
      <c r="C103" s="1983">
        <f>+'33. mell. E.műk.c.kiad.'!I21</f>
        <v>0</v>
      </c>
      <c r="D103" s="2725">
        <f>+'33. mell. E.műk.c.kiad.'!J21</f>
        <v>0</v>
      </c>
      <c r="E103" s="1983">
        <f>+'33. mell. E.műk.c.kiad.'!K21</f>
        <v>0</v>
      </c>
      <c r="F103" s="1983">
        <f>+'33. mell. E.műk.c.kiad.'!L21</f>
        <v>0</v>
      </c>
      <c r="G103" s="1983">
        <f>+'33. mell. E.műk.c.kiad.'!M21</f>
        <v>0</v>
      </c>
      <c r="H103" s="1983">
        <f>+'33. mell. E.műk.c.kiad.'!N21</f>
        <v>0</v>
      </c>
      <c r="I103" s="1983">
        <f>+'33. mell. E.műk.c.kiad.'!O21</f>
        <v>0</v>
      </c>
      <c r="J103" s="1984">
        <f>+'33. mell. E.műk.c.kiad.'!P21</f>
        <v>0</v>
      </c>
      <c r="K103" s="1975"/>
      <c r="L103" s="2093">
        <f t="shared" si="29"/>
        <v>0</v>
      </c>
      <c r="M103" s="1983">
        <f t="shared" si="30"/>
        <v>0</v>
      </c>
      <c r="N103" s="1983">
        <f t="shared" si="4"/>
        <v>0</v>
      </c>
      <c r="O103" s="1555">
        <f t="shared" si="31"/>
        <v>0</v>
      </c>
      <c r="P103" s="117"/>
      <c r="Q103" s="119">
        <f t="shared" si="24"/>
        <v>0</v>
      </c>
      <c r="R103" s="137"/>
      <c r="Y103" s="1984">
        <v>0</v>
      </c>
      <c r="Z103" s="2531">
        <f t="shared" si="25"/>
        <v>0</v>
      </c>
    </row>
    <row r="104" spans="1:26" ht="12" customHeight="1">
      <c r="A104" s="1971" t="s">
        <v>331</v>
      </c>
      <c r="B104" s="2000" t="s">
        <v>332</v>
      </c>
      <c r="C104" s="1983">
        <f>+'33. mell. E.műk.c.kiad.'!I38</f>
        <v>55923285</v>
      </c>
      <c r="D104" s="2725">
        <f>+'33. mell. E.műk.c.kiad.'!J38</f>
        <v>42578029</v>
      </c>
      <c r="E104" s="1983">
        <f>+'33. mell. E.műk.c.kiad.'!K38</f>
        <v>54607539</v>
      </c>
      <c r="F104" s="1983">
        <f>+'33. mell. E.műk.c.kiad.'!L38</f>
        <v>52751739</v>
      </c>
      <c r="G104" s="1983">
        <f>+'33. mell. E.műk.c.kiad.'!M38</f>
        <v>49076339</v>
      </c>
      <c r="H104" s="1983">
        <f>+'33. mell. E.műk.c.kiad.'!N38</f>
        <v>45364139</v>
      </c>
      <c r="I104" s="1983">
        <f>+'33. mell. E.műk.c.kiad.'!O38</f>
        <v>45364139</v>
      </c>
      <c r="J104" s="1984">
        <f>+'33. mell. E.műk.c.kiad.'!P38</f>
        <v>40657656</v>
      </c>
      <c r="K104" s="1975">
        <f>+J104/H104</f>
        <v>0.89625102330278994</v>
      </c>
      <c r="L104" s="2093">
        <f t="shared" si="29"/>
        <v>-1855800</v>
      </c>
      <c r="M104" s="1983">
        <f t="shared" si="30"/>
        <v>-3675400</v>
      </c>
      <c r="N104" s="1983">
        <f t="shared" si="4"/>
        <v>-3712200</v>
      </c>
      <c r="O104" s="1555">
        <f t="shared" si="31"/>
        <v>0</v>
      </c>
      <c r="P104" s="117"/>
      <c r="Q104" s="119">
        <f t="shared" si="24"/>
        <v>-1315746</v>
      </c>
      <c r="R104" s="137"/>
      <c r="Y104" s="1984">
        <v>42578029</v>
      </c>
      <c r="Z104" s="2531">
        <f t="shared" si="25"/>
        <v>0</v>
      </c>
    </row>
    <row r="105" spans="1:26" ht="21" hidden="1" customHeight="1">
      <c r="A105" s="2002" t="s">
        <v>486</v>
      </c>
      <c r="B105" s="1999" t="s">
        <v>487</v>
      </c>
      <c r="C105" s="1983">
        <f>+'33. mell. E.műk.c.kiad.'!I36</f>
        <v>0</v>
      </c>
      <c r="D105" s="2725">
        <f>+'33. mell. E.műk.c.kiad.'!J36</f>
        <v>0</v>
      </c>
      <c r="E105" s="1983">
        <v>0</v>
      </c>
      <c r="F105" s="1983">
        <v>0</v>
      </c>
      <c r="G105" s="1983">
        <v>0</v>
      </c>
      <c r="H105" s="1983">
        <v>0</v>
      </c>
      <c r="I105" s="1983">
        <v>0</v>
      </c>
      <c r="J105" s="1984">
        <v>0</v>
      </c>
      <c r="K105" s="1975" t="e">
        <f>+J105/H105</f>
        <v>#DIV/0!</v>
      </c>
      <c r="L105" s="2093">
        <f t="shared" si="29"/>
        <v>0</v>
      </c>
      <c r="M105" s="1983">
        <f t="shared" si="30"/>
        <v>0</v>
      </c>
      <c r="N105" s="1983">
        <f t="shared" si="4"/>
        <v>0</v>
      </c>
      <c r="O105" s="1555">
        <f t="shared" si="31"/>
        <v>0</v>
      </c>
      <c r="P105" s="117"/>
      <c r="Q105" s="119">
        <f t="shared" si="24"/>
        <v>0</v>
      </c>
      <c r="R105" s="137"/>
      <c r="Y105" s="1984">
        <v>0</v>
      </c>
      <c r="Z105" s="2531">
        <f t="shared" si="25"/>
        <v>0</v>
      </c>
    </row>
    <row r="106" spans="1:26" ht="12" customHeight="1">
      <c r="A106" s="1971" t="s">
        <v>333</v>
      </c>
      <c r="B106" s="2000" t="s">
        <v>334</v>
      </c>
      <c r="C106" s="1983">
        <f>+'33. mell. E.műk.c.kiad.'!I39</f>
        <v>0</v>
      </c>
      <c r="D106" s="2725">
        <f>+'33. mell. E.műk.c.kiad.'!J39</f>
        <v>0</v>
      </c>
      <c r="E106" s="1983">
        <f>+'33. mell. E.műk.c.kiad.'!K39</f>
        <v>0</v>
      </c>
      <c r="F106" s="1983">
        <f>+'33. mell. E.műk.c.kiad.'!L39</f>
        <v>0</v>
      </c>
      <c r="G106" s="1983">
        <f>+'33. mell. E.műk.c.kiad.'!M39</f>
        <v>0</v>
      </c>
      <c r="H106" s="1983">
        <f>+'33. mell. E.műk.c.kiad.'!N39</f>
        <v>0</v>
      </c>
      <c r="I106" s="1983">
        <f>+'33. mell. E.műk.c.kiad.'!O39</f>
        <v>0</v>
      </c>
      <c r="J106" s="1984">
        <f>+'33. mell. E.műk.c.kiad.'!P39</f>
        <v>0</v>
      </c>
      <c r="K106" s="1975"/>
      <c r="L106" s="2093">
        <f t="shared" si="29"/>
        <v>0</v>
      </c>
      <c r="M106" s="1983">
        <f t="shared" si="30"/>
        <v>0</v>
      </c>
      <c r="N106" s="1983">
        <f t="shared" si="4"/>
        <v>0</v>
      </c>
      <c r="O106" s="1555">
        <f t="shared" si="31"/>
        <v>0</v>
      </c>
      <c r="P106" s="117"/>
      <c r="Q106" s="119">
        <f t="shared" si="24"/>
        <v>0</v>
      </c>
      <c r="R106" s="137"/>
      <c r="Y106" s="1984">
        <v>0</v>
      </c>
      <c r="Z106" s="2531">
        <f t="shared" si="25"/>
        <v>0</v>
      </c>
    </row>
    <row r="107" spans="1:26" ht="12" customHeight="1">
      <c r="A107" s="1971" t="s">
        <v>335</v>
      </c>
      <c r="B107" s="2001" t="s">
        <v>336</v>
      </c>
      <c r="C107" s="1983">
        <f>+'33. mell. E.műk.c.kiad.'!I49</f>
        <v>16500000</v>
      </c>
      <c r="D107" s="2725">
        <f>+'33. mell. E.műk.c.kiad.'!J49</f>
        <v>16700000</v>
      </c>
      <c r="E107" s="1983">
        <f>+'33. mell. E.műk.c.kiad.'!K49</f>
        <v>16000000</v>
      </c>
      <c r="F107" s="1983">
        <f>+'33. mell. E.műk.c.kiad.'!L49</f>
        <v>16000000</v>
      </c>
      <c r="G107" s="1983">
        <f>+'33. mell. E.műk.c.kiad.'!M49</f>
        <v>16000000</v>
      </c>
      <c r="H107" s="1983">
        <f>+'33. mell. E.műk.c.kiad.'!N49</f>
        <v>16000000</v>
      </c>
      <c r="I107" s="1983">
        <f>+'33. mell. E.műk.c.kiad.'!O49</f>
        <v>16000000</v>
      </c>
      <c r="J107" s="1984">
        <f>+'33. mell. E.műk.c.kiad.'!P49</f>
        <v>15000000</v>
      </c>
      <c r="K107" s="1975">
        <f>+J107/H107</f>
        <v>0.9375</v>
      </c>
      <c r="L107" s="2093">
        <f t="shared" si="29"/>
        <v>0</v>
      </c>
      <c r="M107" s="1983">
        <f t="shared" si="30"/>
        <v>0</v>
      </c>
      <c r="N107" s="1983">
        <f t="shared" si="4"/>
        <v>0</v>
      </c>
      <c r="O107" s="1555">
        <f t="shared" si="31"/>
        <v>0</v>
      </c>
      <c r="P107" s="117"/>
      <c r="Q107" s="119">
        <f t="shared" si="24"/>
        <v>-500000</v>
      </c>
      <c r="R107" s="137"/>
      <c r="Y107" s="1984">
        <v>16700000</v>
      </c>
      <c r="Z107" s="2531">
        <f t="shared" si="25"/>
        <v>0</v>
      </c>
    </row>
    <row r="108" spans="1:26" ht="12" customHeight="1">
      <c r="A108" s="1971" t="s">
        <v>337</v>
      </c>
      <c r="B108" s="2001" t="s">
        <v>338</v>
      </c>
      <c r="C108" s="1983">
        <f>+'6. mell (Bontás)'!C108</f>
        <v>0</v>
      </c>
      <c r="D108" s="2725">
        <v>0</v>
      </c>
      <c r="E108" s="1983">
        <f>+'6. mell (Bontás)'!D108</f>
        <v>0</v>
      </c>
      <c r="F108" s="1983">
        <f>+'6. mell (Bontás)'!E108</f>
        <v>0</v>
      </c>
      <c r="G108" s="1983">
        <f>+'6. mell (Bontás)'!F108</f>
        <v>0</v>
      </c>
      <c r="H108" s="1983">
        <f>+'6. mell (Bontás)'!G108</f>
        <v>0</v>
      </c>
      <c r="I108" s="1983">
        <f>+'6. mell (Bontás)'!H108</f>
        <v>0</v>
      </c>
      <c r="J108" s="1984">
        <f>+'6. mell (Bontás)'!I108</f>
        <v>0</v>
      </c>
      <c r="K108" s="1975"/>
      <c r="L108" s="2093">
        <f t="shared" si="29"/>
        <v>0</v>
      </c>
      <c r="M108" s="1983">
        <f t="shared" si="30"/>
        <v>0</v>
      </c>
      <c r="N108" s="1983">
        <f t="shared" si="4"/>
        <v>0</v>
      </c>
      <c r="O108" s="1555">
        <f t="shared" si="31"/>
        <v>0</v>
      </c>
      <c r="P108" s="117"/>
      <c r="Q108" s="119">
        <f t="shared" si="24"/>
        <v>0</v>
      </c>
      <c r="R108" s="137"/>
      <c r="Y108" s="1984">
        <v>0</v>
      </c>
      <c r="Z108" s="2531">
        <f t="shared" si="25"/>
        <v>0</v>
      </c>
    </row>
    <row r="109" spans="1:26" ht="12" customHeight="1">
      <c r="A109" s="1971" t="s">
        <v>339</v>
      </c>
      <c r="B109" s="2001" t="s">
        <v>340</v>
      </c>
      <c r="C109" s="1983">
        <f>+'6. mell (Bontás)'!C109</f>
        <v>0</v>
      </c>
      <c r="D109" s="2725">
        <v>0</v>
      </c>
      <c r="E109" s="1983">
        <f>+'6. mell (Bontás)'!D109</f>
        <v>0</v>
      </c>
      <c r="F109" s="1983">
        <f>+'6. mell (Bontás)'!E109</f>
        <v>0</v>
      </c>
      <c r="G109" s="1983">
        <f>+'6. mell (Bontás)'!F109</f>
        <v>0</v>
      </c>
      <c r="H109" s="1983">
        <f>+'6. mell (Bontás)'!G109</f>
        <v>0</v>
      </c>
      <c r="I109" s="1983">
        <f>+'6. mell (Bontás)'!H109</f>
        <v>0</v>
      </c>
      <c r="J109" s="1984">
        <f>+'6. mell (Bontás)'!I109</f>
        <v>0</v>
      </c>
      <c r="K109" s="1975"/>
      <c r="L109" s="2093">
        <f t="shared" si="29"/>
        <v>0</v>
      </c>
      <c r="M109" s="1983">
        <f t="shared" si="30"/>
        <v>0</v>
      </c>
      <c r="N109" s="1983">
        <f t="shared" si="4"/>
        <v>0</v>
      </c>
      <c r="O109" s="1555">
        <f t="shared" si="31"/>
        <v>0</v>
      </c>
      <c r="P109" s="117"/>
      <c r="Q109" s="119">
        <f t="shared" si="24"/>
        <v>0</v>
      </c>
      <c r="R109" s="137"/>
      <c r="Y109" s="1984">
        <v>0</v>
      </c>
      <c r="Z109" s="2531">
        <f t="shared" si="25"/>
        <v>0</v>
      </c>
    </row>
    <row r="110" spans="1:26" ht="12" customHeight="1" thickBot="1">
      <c r="A110" s="1971" t="s">
        <v>341</v>
      </c>
      <c r="B110" s="2001" t="s">
        <v>342</v>
      </c>
      <c r="C110" s="1983">
        <f>+'33. mell. E.műk.c.kiad.'!I87</f>
        <v>903333044</v>
      </c>
      <c r="D110" s="2725">
        <f>+'33. mell. E.műk.c.kiad.'!J87</f>
        <v>789858000</v>
      </c>
      <c r="E110" s="1983">
        <f>+'33. mell. E.műk.c.kiad.'!K87</f>
        <v>938091063</v>
      </c>
      <c r="F110" s="1983">
        <f>+'33. mell. E.műk.c.kiad.'!L87</f>
        <v>907734786</v>
      </c>
      <c r="G110" s="1983">
        <f>+'33. mell. E.műk.c.kiad.'!M87</f>
        <v>903243195</v>
      </c>
      <c r="H110" s="1983">
        <f>+'33. mell. E.műk.c.kiad.'!N87</f>
        <v>910936364</v>
      </c>
      <c r="I110" s="1983">
        <f>+'33. mell. E.műk.c.kiad.'!O87</f>
        <v>910936364</v>
      </c>
      <c r="J110" s="1984">
        <f>+'33. mell. E.műk.c.kiad.'!P87</f>
        <v>864275059</v>
      </c>
      <c r="K110" s="1975">
        <f>+J110/H110</f>
        <v>0.94877654812779</v>
      </c>
      <c r="L110" s="2093">
        <f t="shared" si="29"/>
        <v>-30356277</v>
      </c>
      <c r="M110" s="1983">
        <f t="shared" si="30"/>
        <v>-4491591</v>
      </c>
      <c r="N110" s="1983">
        <f t="shared" si="4"/>
        <v>7693169</v>
      </c>
      <c r="O110" s="1555">
        <f t="shared" si="31"/>
        <v>0</v>
      </c>
      <c r="P110" s="117"/>
      <c r="Q110" s="119">
        <f t="shared" si="24"/>
        <v>34758019</v>
      </c>
      <c r="R110" s="137"/>
      <c r="Y110" s="1984">
        <v>789858000</v>
      </c>
      <c r="Z110" s="2531">
        <f t="shared" si="25"/>
        <v>0</v>
      </c>
    </row>
    <row r="111" spans="1:26" ht="12" customHeight="1" thickBot="1">
      <c r="A111" s="1966" t="s">
        <v>12</v>
      </c>
      <c r="B111" s="1978" t="s">
        <v>3470</v>
      </c>
      <c r="C111" s="1968">
        <f t="shared" ref="C111:J111" si="39">+C112+C114+C116</f>
        <v>9799804048</v>
      </c>
      <c r="D111" s="1968">
        <f t="shared" si="39"/>
        <v>5438472198</v>
      </c>
      <c r="E111" s="1968">
        <f t="shared" si="39"/>
        <v>3492853038</v>
      </c>
      <c r="F111" s="1968">
        <f t="shared" si="39"/>
        <v>3515870574</v>
      </c>
      <c r="G111" s="1968">
        <f t="shared" si="39"/>
        <v>3643563008</v>
      </c>
      <c r="H111" s="1968">
        <f t="shared" si="39"/>
        <v>3398761037</v>
      </c>
      <c r="I111" s="1968">
        <f t="shared" si="39"/>
        <v>3398761037</v>
      </c>
      <c r="J111" s="1969">
        <f t="shared" si="39"/>
        <v>2097352972</v>
      </c>
      <c r="K111" s="1970">
        <f>+J111/H111</f>
        <v>0.61709339055248214</v>
      </c>
      <c r="L111" s="2093">
        <f t="shared" si="29"/>
        <v>23017536</v>
      </c>
      <c r="M111" s="1968">
        <f t="shared" si="30"/>
        <v>127692434</v>
      </c>
      <c r="N111" s="1968">
        <f t="shared" si="4"/>
        <v>-244801971</v>
      </c>
      <c r="O111" s="1555">
        <f t="shared" si="31"/>
        <v>0</v>
      </c>
      <c r="P111" s="111"/>
      <c r="Q111" s="104">
        <f t="shared" si="24"/>
        <v>-6306951010</v>
      </c>
      <c r="R111" s="137"/>
      <c r="Y111" s="1969">
        <v>5438472198</v>
      </c>
      <c r="Z111" s="2531">
        <f t="shared" si="25"/>
        <v>0</v>
      </c>
    </row>
    <row r="112" spans="1:26" ht="12" customHeight="1">
      <c r="A112" s="1971" t="s">
        <v>185</v>
      </c>
      <c r="B112" s="1999" t="s">
        <v>82</v>
      </c>
      <c r="C112" s="1983">
        <f>+'34-35.mell.Ber.,Felúj.'!I86</f>
        <v>8998793965</v>
      </c>
      <c r="D112" s="2725">
        <f>+'34-35.mell.Ber.,Felúj.'!J86</f>
        <v>5057735252</v>
      </c>
      <c r="E112" s="1983">
        <f>+'34-35.mell.Ber.,Felúj.'!K86</f>
        <v>2465749533</v>
      </c>
      <c r="F112" s="1983">
        <f>+'34-35.mell.Ber.,Felúj.'!L86</f>
        <v>2472766283</v>
      </c>
      <c r="G112" s="1983">
        <f>+'34-35.mell.Ber.,Felúj.'!M86</f>
        <v>2507484052</v>
      </c>
      <c r="H112" s="1983">
        <f>+'34-35.mell.Ber.,Felúj.'!N86</f>
        <v>2216954556</v>
      </c>
      <c r="I112" s="1983">
        <f>+'34-35.mell.Ber.,Felúj.'!O86</f>
        <v>2216954556</v>
      </c>
      <c r="J112" s="1984">
        <f>+'34-35.mell.Ber.,Felúj.'!P86</f>
        <v>1446577580</v>
      </c>
      <c r="K112" s="1975">
        <f>+J112/H112</f>
        <v>0.65250664524672375</v>
      </c>
      <c r="L112" s="2093">
        <f t="shared" si="29"/>
        <v>7016750</v>
      </c>
      <c r="M112" s="1983">
        <f t="shared" si="30"/>
        <v>34717769</v>
      </c>
      <c r="N112" s="1983">
        <f t="shared" si="4"/>
        <v>-290529496</v>
      </c>
      <c r="O112" s="1555">
        <f t="shared" si="31"/>
        <v>0</v>
      </c>
      <c r="P112" s="121"/>
      <c r="Q112" s="119">
        <f t="shared" si="24"/>
        <v>-6533044432</v>
      </c>
      <c r="R112" s="137"/>
      <c r="Y112" s="1984">
        <v>5057735252</v>
      </c>
      <c r="Z112" s="2531">
        <f t="shared" si="25"/>
        <v>0</v>
      </c>
    </row>
    <row r="113" spans="1:26" ht="12" customHeight="1">
      <c r="A113" s="1971" t="s">
        <v>187</v>
      </c>
      <c r="B113" s="1999" t="s">
        <v>343</v>
      </c>
      <c r="C113" s="1983">
        <v>943326106</v>
      </c>
      <c r="D113" s="2725">
        <f>+'34-35.mell.Ber.,Felúj.'!J47+176082272+1020700</f>
        <v>736513003</v>
      </c>
      <c r="E113" s="2243">
        <f>+'34-35.mell.Ber.,Felúj.'!K58</f>
        <v>47248350</v>
      </c>
      <c r="F113" s="2243">
        <f>+'34-35.mell.Ber.,Felúj.'!L58</f>
        <v>47248350</v>
      </c>
      <c r="G113" s="2243">
        <f>+'34-35.mell.Ber.,Felúj.'!M58</f>
        <v>47248350</v>
      </c>
      <c r="H113" s="2243">
        <f>+'34-35.mell.Ber.,Felúj.'!N58+'34-35.mell.Ber.,Felúj.'!N47</f>
        <v>170660113</v>
      </c>
      <c r="I113" s="2243">
        <f>+'34-35.mell.Ber.,Felúj.'!O58+'34-35.mell.Ber.,Felúj.'!O47</f>
        <v>170660113</v>
      </c>
      <c r="J113" s="1984">
        <f>+'34-35.mell.Ber.,Felúj.'!P58+'34-35.mell.Ber.,Felúj.'!P47</f>
        <v>47187745</v>
      </c>
      <c r="K113" s="1975">
        <f>+J113/H113</f>
        <v>0.27650131111773024</v>
      </c>
      <c r="L113" s="2093">
        <f t="shared" si="29"/>
        <v>0</v>
      </c>
      <c r="M113" s="2243">
        <f t="shared" si="30"/>
        <v>0</v>
      </c>
      <c r="N113" s="2243">
        <f t="shared" si="4"/>
        <v>123411763</v>
      </c>
      <c r="O113" s="1555">
        <f t="shared" si="31"/>
        <v>0</v>
      </c>
      <c r="P113" s="117"/>
      <c r="Q113" s="119">
        <f t="shared" si="24"/>
        <v>-896077756</v>
      </c>
      <c r="R113" s="137"/>
      <c r="Y113" s="1984">
        <v>736513003</v>
      </c>
      <c r="Z113" s="2531">
        <f t="shared" si="25"/>
        <v>0</v>
      </c>
    </row>
    <row r="114" spans="1:26" ht="12" customHeight="1">
      <c r="A114" s="1971" t="s">
        <v>189</v>
      </c>
      <c r="B114" s="1999" t="s">
        <v>344</v>
      </c>
      <c r="C114" s="1983">
        <f>+'34-35.mell.Ber.,Felúj.'!I172</f>
        <v>676253965</v>
      </c>
      <c r="D114" s="2725">
        <f>+'34-35.mell.Ber.,Felúj.'!J172</f>
        <v>279866079</v>
      </c>
      <c r="E114" s="1983">
        <f>+'34-35.mell.Ber.,Felúj.'!K172</f>
        <v>772037459</v>
      </c>
      <c r="F114" s="1983">
        <f>+'34-35.mell.Ber.,Felúj.'!L172</f>
        <v>791577911</v>
      </c>
      <c r="G114" s="1983">
        <f>+'34-35.mell.Ber.,Felúj.'!M172</f>
        <v>878364378</v>
      </c>
      <c r="H114" s="1983">
        <f>+'34-35.mell.Ber.,Felúj.'!N172</f>
        <v>873913908</v>
      </c>
      <c r="I114" s="1983">
        <f>+'34-35.mell.Ber.,Felúj.'!O172</f>
        <v>873913908</v>
      </c>
      <c r="J114" s="1984">
        <f>+'34-35.mell.Ber.,Felúj.'!P172</f>
        <v>396395204</v>
      </c>
      <c r="K114" s="1975">
        <f>+J114/H114</f>
        <v>0.45358610312905101</v>
      </c>
      <c r="L114" s="2093">
        <f t="shared" si="29"/>
        <v>19540452</v>
      </c>
      <c r="M114" s="1983">
        <f t="shared" si="30"/>
        <v>86786467</v>
      </c>
      <c r="N114" s="1983">
        <f t="shared" si="4"/>
        <v>-4450470</v>
      </c>
      <c r="O114" s="1555">
        <f t="shared" si="31"/>
        <v>0</v>
      </c>
      <c r="P114" s="117"/>
      <c r="Q114" s="119">
        <f t="shared" si="24"/>
        <v>95783494</v>
      </c>
      <c r="R114" s="137"/>
      <c r="Y114" s="1984">
        <v>279866079</v>
      </c>
      <c r="Z114" s="2531">
        <f t="shared" si="25"/>
        <v>0</v>
      </c>
    </row>
    <row r="115" spans="1:26" ht="12" customHeight="1">
      <c r="A115" s="1971" t="s">
        <v>191</v>
      </c>
      <c r="B115" s="1999" t="s">
        <v>345</v>
      </c>
      <c r="C115" s="1983">
        <f>+'6. mell (Bontás)'!C115</f>
        <v>0</v>
      </c>
      <c r="D115" s="2725">
        <v>0</v>
      </c>
      <c r="E115" s="1983">
        <f>+'6. mell (Bontás)'!D115</f>
        <v>0</v>
      </c>
      <c r="F115" s="1983">
        <f>+'6. mell (Bontás)'!E115</f>
        <v>0</v>
      </c>
      <c r="G115" s="1983">
        <f>+'6. mell (Bontás)'!F115</f>
        <v>0</v>
      </c>
      <c r="H115" s="1983">
        <f>+'6. mell (Bontás)'!G115</f>
        <v>0</v>
      </c>
      <c r="I115" s="1983">
        <f>+'6. mell (Bontás)'!H115</f>
        <v>0</v>
      </c>
      <c r="J115" s="1984">
        <f>+'6. mell (Bontás)'!I115</f>
        <v>0</v>
      </c>
      <c r="K115" s="1975"/>
      <c r="L115" s="2093">
        <f t="shared" si="29"/>
        <v>0</v>
      </c>
      <c r="M115" s="1983">
        <f t="shared" si="30"/>
        <v>0</v>
      </c>
      <c r="N115" s="1983">
        <f t="shared" si="4"/>
        <v>0</v>
      </c>
      <c r="O115" s="1555">
        <f t="shared" si="31"/>
        <v>0</v>
      </c>
      <c r="P115" s="117"/>
      <c r="Q115" s="119">
        <f t="shared" si="24"/>
        <v>0</v>
      </c>
      <c r="R115" s="137"/>
      <c r="Y115" s="1984">
        <v>0</v>
      </c>
      <c r="Z115" s="2531">
        <f t="shared" si="25"/>
        <v>0</v>
      </c>
    </row>
    <row r="116" spans="1:26" ht="12" customHeight="1">
      <c r="A116" s="1971" t="s">
        <v>193</v>
      </c>
      <c r="B116" s="2003" t="s">
        <v>346</v>
      </c>
      <c r="C116" s="1983">
        <f>+'36. mell. E.felh.c.kiad.'!I57</f>
        <v>124756118</v>
      </c>
      <c r="D116" s="2725">
        <f>+'36. mell. E.felh.c.kiad.'!J57</f>
        <v>100870867</v>
      </c>
      <c r="E116" s="1983">
        <f>+'36. mell. E.felh.c.kiad.'!K57</f>
        <v>255066046</v>
      </c>
      <c r="F116" s="1983">
        <f>+'36. mell. E.felh.c.kiad.'!L57</f>
        <v>251526380</v>
      </c>
      <c r="G116" s="1983">
        <f>+'36. mell. E.felh.c.kiad.'!M57</f>
        <v>257714578</v>
      </c>
      <c r="H116" s="1983">
        <f>+'36. mell. E.felh.c.kiad.'!N57</f>
        <v>307892573</v>
      </c>
      <c r="I116" s="1983">
        <f>+'36. mell. E.felh.c.kiad.'!O57</f>
        <v>307892573</v>
      </c>
      <c r="J116" s="1984">
        <f>+'36. mell. E.felh.c.kiad.'!P57</f>
        <v>254380188</v>
      </c>
      <c r="K116" s="1975">
        <f>+J116/H116</f>
        <v>0.82619786999538958</v>
      </c>
      <c r="L116" s="2093">
        <f t="shared" si="29"/>
        <v>-3539666</v>
      </c>
      <c r="M116" s="1983">
        <f t="shared" si="30"/>
        <v>6188198</v>
      </c>
      <c r="N116" s="1983">
        <f t="shared" si="4"/>
        <v>50177995</v>
      </c>
      <c r="O116" s="1555">
        <f t="shared" si="31"/>
        <v>0</v>
      </c>
      <c r="P116" s="117"/>
      <c r="Q116" s="119">
        <f t="shared" si="24"/>
        <v>130309928</v>
      </c>
      <c r="R116" s="137"/>
      <c r="Y116" s="1984">
        <v>100870867</v>
      </c>
      <c r="Z116" s="2531">
        <f t="shared" si="25"/>
        <v>0</v>
      </c>
    </row>
    <row r="117" spans="1:26" ht="12" customHeight="1">
      <c r="A117" s="1971" t="s">
        <v>195</v>
      </c>
      <c r="B117" s="2003" t="s">
        <v>488</v>
      </c>
      <c r="C117" s="1983">
        <f>+'36. mell. E.felh.c.kiad.'!I7</f>
        <v>0</v>
      </c>
      <c r="D117" s="2725">
        <f>+'36. mell. E.felh.c.kiad.'!J7</f>
        <v>0</v>
      </c>
      <c r="E117" s="1983">
        <f>+'36. mell. E.felh.c.kiad.'!K7</f>
        <v>0</v>
      </c>
      <c r="F117" s="1983">
        <f>+'36. mell. E.felh.c.kiad.'!L7</f>
        <v>0</v>
      </c>
      <c r="G117" s="1983">
        <f>+'36. mell. E.felh.c.kiad.'!M7</f>
        <v>0</v>
      </c>
      <c r="H117" s="1983">
        <f>+'36. mell. E.felh.c.kiad.'!N7</f>
        <v>0</v>
      </c>
      <c r="I117" s="1983">
        <f>+'36. mell. E.felh.c.kiad.'!O7</f>
        <v>0</v>
      </c>
      <c r="J117" s="1984">
        <f>+'36. mell. E.felh.c.kiad.'!P7</f>
        <v>0</v>
      </c>
      <c r="K117" s="1975"/>
      <c r="L117" s="2093">
        <f t="shared" si="29"/>
        <v>0</v>
      </c>
      <c r="M117" s="1983">
        <f t="shared" si="30"/>
        <v>0</v>
      </c>
      <c r="N117" s="1983">
        <f t="shared" si="4"/>
        <v>0</v>
      </c>
      <c r="O117" s="1555">
        <f t="shared" si="31"/>
        <v>0</v>
      </c>
      <c r="P117" s="117"/>
      <c r="Q117" s="119">
        <f t="shared" si="24"/>
        <v>0</v>
      </c>
      <c r="R117" s="137"/>
      <c r="Y117" s="1984">
        <v>0</v>
      </c>
      <c r="Z117" s="2531">
        <f t="shared" si="25"/>
        <v>0</v>
      </c>
    </row>
    <row r="118" spans="1:26" ht="12" customHeight="1">
      <c r="A118" s="1971" t="s">
        <v>348</v>
      </c>
      <c r="B118" s="2001" t="s">
        <v>349</v>
      </c>
      <c r="C118" s="1983">
        <f>+'6. mell (Bontás)'!C118</f>
        <v>0</v>
      </c>
      <c r="D118" s="2725">
        <v>0</v>
      </c>
      <c r="E118" s="1983">
        <f>+'6. mell (Bontás)'!D118</f>
        <v>0</v>
      </c>
      <c r="F118" s="1983">
        <f>+'6. mell (Bontás)'!E118</f>
        <v>0</v>
      </c>
      <c r="G118" s="1983">
        <f>+'6. mell (Bontás)'!F118</f>
        <v>0</v>
      </c>
      <c r="H118" s="1983">
        <f>+'6. mell (Bontás)'!G118</f>
        <v>0</v>
      </c>
      <c r="I118" s="1983">
        <f>+'6. mell (Bontás)'!H118</f>
        <v>0</v>
      </c>
      <c r="J118" s="1984">
        <f>+'6. mell (Bontás)'!I118</f>
        <v>0</v>
      </c>
      <c r="K118" s="1975"/>
      <c r="L118" s="2093">
        <f t="shared" si="29"/>
        <v>0</v>
      </c>
      <c r="M118" s="1983">
        <f t="shared" si="30"/>
        <v>0</v>
      </c>
      <c r="N118" s="1983">
        <f t="shared" si="4"/>
        <v>0</v>
      </c>
      <c r="O118" s="1555">
        <f t="shared" si="31"/>
        <v>0</v>
      </c>
      <c r="P118" s="117"/>
      <c r="Q118" s="119">
        <f t="shared" si="24"/>
        <v>0</v>
      </c>
      <c r="R118" s="137"/>
      <c r="Y118" s="1984">
        <v>0</v>
      </c>
      <c r="Z118" s="2531">
        <f t="shared" si="25"/>
        <v>0</v>
      </c>
    </row>
    <row r="119" spans="1:26" ht="12" customHeight="1">
      <c r="A119" s="1971" t="s">
        <v>350</v>
      </c>
      <c r="B119" s="2001" t="s">
        <v>330</v>
      </c>
      <c r="C119" s="1983">
        <f>+'6. mell (Bontás)'!C119</f>
        <v>0</v>
      </c>
      <c r="D119" s="2725">
        <v>0</v>
      </c>
      <c r="E119" s="1983">
        <f>+'6. mell (Bontás)'!D119</f>
        <v>0</v>
      </c>
      <c r="F119" s="1983">
        <f>+'6. mell (Bontás)'!E119</f>
        <v>0</v>
      </c>
      <c r="G119" s="1983">
        <f>+'6. mell (Bontás)'!F119</f>
        <v>0</v>
      </c>
      <c r="H119" s="1983">
        <f>+'6. mell (Bontás)'!G119</f>
        <v>0</v>
      </c>
      <c r="I119" s="1983">
        <f>+'6. mell (Bontás)'!H119</f>
        <v>0</v>
      </c>
      <c r="J119" s="1984">
        <f>+'6. mell (Bontás)'!I119</f>
        <v>0</v>
      </c>
      <c r="K119" s="1975"/>
      <c r="L119" s="2093">
        <f t="shared" si="29"/>
        <v>0</v>
      </c>
      <c r="M119" s="1983">
        <f t="shared" si="30"/>
        <v>0</v>
      </c>
      <c r="N119" s="1983">
        <f t="shared" si="4"/>
        <v>0</v>
      </c>
      <c r="O119" s="1555">
        <f t="shared" si="31"/>
        <v>0</v>
      </c>
      <c r="P119" s="117"/>
      <c r="Q119" s="119">
        <f t="shared" si="24"/>
        <v>0</v>
      </c>
      <c r="R119" s="137"/>
      <c r="Y119" s="1984">
        <v>0</v>
      </c>
      <c r="Z119" s="2531">
        <f t="shared" si="25"/>
        <v>0</v>
      </c>
    </row>
    <row r="120" spans="1:26" ht="12" customHeight="1">
      <c r="A120" s="1971" t="s">
        <v>351</v>
      </c>
      <c r="B120" s="2001" t="s">
        <v>352</v>
      </c>
      <c r="C120" s="1983">
        <f>+'6. mell (Bontás)'!C120</f>
        <v>0</v>
      </c>
      <c r="D120" s="2725">
        <v>0</v>
      </c>
      <c r="E120" s="1983">
        <f>+'6. mell (Bontás)'!D120</f>
        <v>0</v>
      </c>
      <c r="F120" s="1983">
        <f>+'6. mell (Bontás)'!E120</f>
        <v>0</v>
      </c>
      <c r="G120" s="1983">
        <f>+'6. mell (Bontás)'!F120</f>
        <v>0</v>
      </c>
      <c r="H120" s="1983">
        <f>+'6. mell (Bontás)'!G120</f>
        <v>0</v>
      </c>
      <c r="I120" s="1983">
        <f>+'6. mell (Bontás)'!H120</f>
        <v>0</v>
      </c>
      <c r="J120" s="1984">
        <f>+'6. mell (Bontás)'!I120</f>
        <v>0</v>
      </c>
      <c r="K120" s="1975"/>
      <c r="L120" s="2093">
        <f t="shared" si="29"/>
        <v>0</v>
      </c>
      <c r="M120" s="1983">
        <f t="shared" si="30"/>
        <v>0</v>
      </c>
      <c r="N120" s="1983">
        <f t="shared" si="4"/>
        <v>0</v>
      </c>
      <c r="O120" s="1555">
        <f t="shared" si="31"/>
        <v>0</v>
      </c>
      <c r="P120" s="117"/>
      <c r="Q120" s="119">
        <f t="shared" si="24"/>
        <v>0</v>
      </c>
      <c r="R120" s="137"/>
      <c r="Y120" s="1984">
        <v>0</v>
      </c>
      <c r="Z120" s="2531">
        <f t="shared" si="25"/>
        <v>0</v>
      </c>
    </row>
    <row r="121" spans="1:26" ht="12" customHeight="1">
      <c r="A121" s="1971" t="s">
        <v>353</v>
      </c>
      <c r="B121" s="2001" t="s">
        <v>354</v>
      </c>
      <c r="C121" s="1983">
        <f>+'6. mell (Bontás)'!C121</f>
        <v>0</v>
      </c>
      <c r="D121" s="2725">
        <v>0</v>
      </c>
      <c r="E121" s="1983">
        <f>+'6. mell (Bontás)'!D121</f>
        <v>0</v>
      </c>
      <c r="F121" s="1983">
        <f>+'6. mell (Bontás)'!E121</f>
        <v>0</v>
      </c>
      <c r="G121" s="1983">
        <f>+'6. mell (Bontás)'!F121</f>
        <v>0</v>
      </c>
      <c r="H121" s="1983">
        <f>+'6. mell (Bontás)'!G121</f>
        <v>0</v>
      </c>
      <c r="I121" s="1983">
        <f>+'6. mell (Bontás)'!H121</f>
        <v>0</v>
      </c>
      <c r="J121" s="1984">
        <f>+'6. mell (Bontás)'!I121</f>
        <v>0</v>
      </c>
      <c r="K121" s="1975"/>
      <c r="L121" s="2093">
        <f t="shared" si="29"/>
        <v>0</v>
      </c>
      <c r="M121" s="1983">
        <f t="shared" si="30"/>
        <v>0</v>
      </c>
      <c r="N121" s="1983">
        <f t="shared" si="4"/>
        <v>0</v>
      </c>
      <c r="O121" s="1555">
        <f t="shared" si="31"/>
        <v>0</v>
      </c>
      <c r="P121" s="117"/>
      <c r="Q121" s="119">
        <f t="shared" si="24"/>
        <v>0</v>
      </c>
      <c r="R121" s="137"/>
      <c r="Y121" s="1984">
        <v>0</v>
      </c>
      <c r="Z121" s="2531">
        <f t="shared" si="25"/>
        <v>0</v>
      </c>
    </row>
    <row r="122" spans="1:26" ht="12" customHeight="1">
      <c r="A122" s="1971" t="s">
        <v>355</v>
      </c>
      <c r="B122" s="2001" t="s">
        <v>336</v>
      </c>
      <c r="C122" s="1983">
        <f>+'36. mell. E.felh.c.kiad.'!I35</f>
        <v>18000000</v>
      </c>
      <c r="D122" s="2725">
        <f>+'36. mell. E.felh.c.kiad.'!J35</f>
        <v>2307846</v>
      </c>
      <c r="E122" s="1983">
        <f>+'36. mell. E.felh.c.kiad.'!K35</f>
        <v>8000000</v>
      </c>
      <c r="F122" s="1983">
        <f>+'36. mell. E.felh.c.kiad.'!L35</f>
        <v>8000000</v>
      </c>
      <c r="G122" s="1983">
        <f>+'36. mell. E.felh.c.kiad.'!M35</f>
        <v>8000000</v>
      </c>
      <c r="H122" s="1983">
        <f>+'36. mell. E.felh.c.kiad.'!N35</f>
        <v>8000000</v>
      </c>
      <c r="I122" s="1983">
        <f>+'36. mell. E.felh.c.kiad.'!O35</f>
        <v>8000000</v>
      </c>
      <c r="J122" s="1984">
        <f>+'36. mell. E.felh.c.kiad.'!P35</f>
        <v>0</v>
      </c>
      <c r="K122" s="1975">
        <f t="shared" ref="K122:K128" si="40">+J122/H122</f>
        <v>0</v>
      </c>
      <c r="L122" s="2093">
        <f t="shared" si="29"/>
        <v>0</v>
      </c>
      <c r="M122" s="1983">
        <f t="shared" si="30"/>
        <v>0</v>
      </c>
      <c r="N122" s="1983">
        <f t="shared" si="4"/>
        <v>0</v>
      </c>
      <c r="O122" s="1555">
        <f t="shared" si="31"/>
        <v>0</v>
      </c>
      <c r="P122" s="117"/>
      <c r="Q122" s="119">
        <f t="shared" si="24"/>
        <v>-10000000</v>
      </c>
      <c r="R122" s="137"/>
      <c r="Y122" s="1984">
        <v>2307846</v>
      </c>
      <c r="Z122" s="2531">
        <f t="shared" si="25"/>
        <v>0</v>
      </c>
    </row>
    <row r="123" spans="1:26" ht="12" customHeight="1">
      <c r="A123" s="1971" t="s">
        <v>356</v>
      </c>
      <c r="B123" s="2001" t="s">
        <v>357</v>
      </c>
      <c r="C123" s="1983">
        <f>+'36. mell. E.felh.c.kiad.'!I40</f>
        <v>5000000</v>
      </c>
      <c r="D123" s="2725">
        <f>+'36. mell. E.felh.c.kiad.'!J40</f>
        <v>0</v>
      </c>
      <c r="E123" s="1983">
        <f>+'36. mell. E.felh.c.kiad.'!K40</f>
        <v>2000000</v>
      </c>
      <c r="F123" s="1983">
        <f>+'36. mell. E.felh.c.kiad.'!L40</f>
        <v>2000000</v>
      </c>
      <c r="G123" s="1983">
        <f>+'36. mell. E.felh.c.kiad.'!M40</f>
        <v>2000000</v>
      </c>
      <c r="H123" s="1983">
        <f>+'36. mell. E.felh.c.kiad.'!N40</f>
        <v>2000000</v>
      </c>
      <c r="I123" s="1983">
        <f>+'36. mell. E.felh.c.kiad.'!O40</f>
        <v>2000000</v>
      </c>
      <c r="J123" s="1984">
        <f>+'36. mell. E.felh.c.kiad.'!P40</f>
        <v>0</v>
      </c>
      <c r="K123" s="1975">
        <f t="shared" si="40"/>
        <v>0</v>
      </c>
      <c r="L123" s="2093">
        <f t="shared" si="29"/>
        <v>0</v>
      </c>
      <c r="M123" s="1983">
        <f t="shared" si="30"/>
        <v>0</v>
      </c>
      <c r="N123" s="1983">
        <f t="shared" si="4"/>
        <v>0</v>
      </c>
      <c r="O123" s="1555">
        <f t="shared" si="31"/>
        <v>0</v>
      </c>
      <c r="P123" s="117"/>
      <c r="Q123" s="119">
        <f t="shared" si="24"/>
        <v>-3000000</v>
      </c>
      <c r="R123" s="137"/>
      <c r="Y123" s="1984">
        <v>0</v>
      </c>
      <c r="Z123" s="2531">
        <f t="shared" si="25"/>
        <v>0</v>
      </c>
    </row>
    <row r="124" spans="1:26" ht="12" customHeight="1" thickBot="1">
      <c r="A124" s="1971" t="s">
        <v>358</v>
      </c>
      <c r="B124" s="2001" t="s">
        <v>359</v>
      </c>
      <c r="C124" s="1983">
        <f>+'36. mell. E.felh.c.kiad.'!I56</f>
        <v>101756118</v>
      </c>
      <c r="D124" s="2725">
        <f>+'36. mell. E.felh.c.kiad.'!J56</f>
        <v>98563021</v>
      </c>
      <c r="E124" s="1983">
        <f>+'36. mell. E.felh.c.kiad.'!K56</f>
        <v>245066046</v>
      </c>
      <c r="F124" s="1983">
        <f>+'36. mell. E.felh.c.kiad.'!L56</f>
        <v>241526380</v>
      </c>
      <c r="G124" s="1983">
        <f>+'36. mell. E.felh.c.kiad.'!M56</f>
        <v>247714578</v>
      </c>
      <c r="H124" s="1983">
        <f>+'36. mell. E.felh.c.kiad.'!N56</f>
        <v>297892573</v>
      </c>
      <c r="I124" s="1983">
        <f>+'36. mell. E.felh.c.kiad.'!O56</f>
        <v>297892573</v>
      </c>
      <c r="J124" s="1984">
        <f>+'36. mell. E.felh.c.kiad.'!P56</f>
        <v>254380188</v>
      </c>
      <c r="K124" s="1975">
        <f t="shared" si="40"/>
        <v>0.85393262892794575</v>
      </c>
      <c r="L124" s="2093">
        <f t="shared" si="29"/>
        <v>-3539666</v>
      </c>
      <c r="M124" s="1983">
        <f t="shared" si="30"/>
        <v>6188198</v>
      </c>
      <c r="N124" s="1983">
        <f t="shared" si="4"/>
        <v>50177995</v>
      </c>
      <c r="O124" s="1555">
        <f t="shared" si="31"/>
        <v>0</v>
      </c>
      <c r="P124" s="117"/>
      <c r="Q124" s="119">
        <f t="shared" si="24"/>
        <v>143309928</v>
      </c>
      <c r="R124" s="137"/>
      <c r="Y124" s="1984">
        <v>98563021</v>
      </c>
      <c r="Z124" s="2531">
        <f t="shared" si="25"/>
        <v>0</v>
      </c>
    </row>
    <row r="125" spans="1:26" ht="12" customHeight="1" thickBot="1">
      <c r="A125" s="1966" t="s">
        <v>14</v>
      </c>
      <c r="B125" s="1978" t="s">
        <v>360</v>
      </c>
      <c r="C125" s="1968">
        <f t="shared" ref="C125:J125" si="41">+C126+C127</f>
        <v>1644020281</v>
      </c>
      <c r="D125" s="1968">
        <f t="shared" si="41"/>
        <v>0</v>
      </c>
      <c r="E125" s="1968">
        <f t="shared" si="41"/>
        <v>1475781815</v>
      </c>
      <c r="F125" s="1968">
        <f t="shared" si="41"/>
        <v>1790463917</v>
      </c>
      <c r="G125" s="1968">
        <f t="shared" si="41"/>
        <v>1540115825</v>
      </c>
      <c r="H125" s="1968">
        <f t="shared" si="41"/>
        <v>496332358</v>
      </c>
      <c r="I125" s="1968">
        <f t="shared" si="41"/>
        <v>496332358</v>
      </c>
      <c r="J125" s="1969">
        <f t="shared" si="41"/>
        <v>0</v>
      </c>
      <c r="K125" s="1970">
        <f t="shared" si="40"/>
        <v>0</v>
      </c>
      <c r="L125" s="2093">
        <f t="shared" si="29"/>
        <v>314682102</v>
      </c>
      <c r="M125" s="1968">
        <f t="shared" si="30"/>
        <v>-250348092</v>
      </c>
      <c r="N125" s="1968">
        <f t="shared" si="4"/>
        <v>-1043783467</v>
      </c>
      <c r="O125" s="1555">
        <f t="shared" si="31"/>
        <v>0</v>
      </c>
      <c r="P125" s="111"/>
      <c r="Q125" s="104">
        <f t="shared" si="24"/>
        <v>-168238466</v>
      </c>
      <c r="R125" s="137"/>
      <c r="Y125" s="1969">
        <v>0</v>
      </c>
      <c r="Z125" s="2531">
        <f t="shared" si="25"/>
        <v>0</v>
      </c>
    </row>
    <row r="126" spans="1:26" ht="12" customHeight="1">
      <c r="A126" s="1971" t="s">
        <v>198</v>
      </c>
      <c r="B126" s="1999" t="s">
        <v>361</v>
      </c>
      <c r="C126" s="1983">
        <f>+'33. mell. E.műk.c.kiad.'!I88+'33. mell. E.műk.c.kiad.'!I89+'33. mell. E.műk.c.kiad.'!I90+'33. mell. E.műk.c.kiad.'!I98</f>
        <v>412591480</v>
      </c>
      <c r="D126" s="1983">
        <f>+'33. mell. E.műk.c.kiad.'!J88+'33. mell. E.műk.c.kiad.'!J89+'33. mell. E.műk.c.kiad.'!J90</f>
        <v>0</v>
      </c>
      <c r="E126" s="1983">
        <f>+'33. mell. E.műk.c.kiad.'!K88+'33. mell. E.műk.c.kiad.'!K89+'33. mell. E.műk.c.kiad.'!K90+'33. mell. E.műk.c.kiad.'!K98</f>
        <v>339515136</v>
      </c>
      <c r="F126" s="1983">
        <f>+'33. mell. E.műk.c.kiad.'!L88+'33. mell. E.műk.c.kiad.'!L89+'33. mell. E.műk.c.kiad.'!L90</f>
        <v>692819620</v>
      </c>
      <c r="G126" s="1983">
        <f>+'33. mell. E.műk.c.kiad.'!M88+'33. mell. E.műk.c.kiad.'!M89+'33. mell. E.műk.c.kiad.'!M90</f>
        <v>586925012</v>
      </c>
      <c r="H126" s="1983">
        <f>+'33. mell. E.műk.c.kiad.'!N88+'33. mell. E.műk.c.kiad.'!N89+'33. mell. E.műk.c.kiad.'!N90</f>
        <v>473275329</v>
      </c>
      <c r="I126" s="1983">
        <f>+'33. mell. E.műk.c.kiad.'!O88+'33. mell. E.műk.c.kiad.'!O89+'33. mell. E.műk.c.kiad.'!O90</f>
        <v>473275329</v>
      </c>
      <c r="J126" s="1984">
        <f>+'33. mell. E.műk.c.kiad.'!P88+'33. mell. E.műk.c.kiad.'!P89+'33. mell. E.műk.c.kiad.'!P90+'33. mell. E.műk.c.kiad.'!P98</f>
        <v>0</v>
      </c>
      <c r="K126" s="1975">
        <f t="shared" si="40"/>
        <v>0</v>
      </c>
      <c r="L126" s="2093">
        <f t="shared" si="29"/>
        <v>353304484</v>
      </c>
      <c r="M126" s="1983">
        <f t="shared" si="30"/>
        <v>-105894608</v>
      </c>
      <c r="N126" s="1983">
        <f t="shared" si="4"/>
        <v>-113649683</v>
      </c>
      <c r="O126" s="1555">
        <f t="shared" si="31"/>
        <v>0</v>
      </c>
      <c r="P126" s="121"/>
      <c r="Q126" s="119">
        <f t="shared" si="24"/>
        <v>-73076344</v>
      </c>
      <c r="R126" s="1561">
        <f>+'33. mell. E.műk.c.kiad.'!K88+'33. mell. E.műk.c.kiad.'!K89+'33. mell. E.műk.c.kiad.'!K90</f>
        <v>339515136</v>
      </c>
      <c r="Y126" s="1984">
        <v>0</v>
      </c>
      <c r="Z126" s="2531">
        <f t="shared" si="25"/>
        <v>0</v>
      </c>
    </row>
    <row r="127" spans="1:26" ht="12" customHeight="1" thickBot="1">
      <c r="A127" s="1971" t="s">
        <v>200</v>
      </c>
      <c r="B127" s="1999" t="s">
        <v>362</v>
      </c>
      <c r="C127" s="1983">
        <f>+'33. mell. E.műk.c.kiad.'!I91+'33. mell. E.műk.c.kiad.'!I92+'33. mell. E.műk.c.kiad.'!I93+'33. mell. E.műk.c.kiad.'!I94+'33. mell. E.műk.c.kiad.'!I96+'33. mell. E.műk.c.kiad.'!I97</f>
        <v>1231428801</v>
      </c>
      <c r="D127" s="1983">
        <f>+'33. mell. E.műk.c.kiad.'!J91+'33. mell. E.műk.c.kiad.'!J92+'33. mell. E.műk.c.kiad.'!J93+'33. mell. E.műk.c.kiad.'!J94+'33. mell. E.műk.c.kiad.'!J96+'33. mell. E.műk.c.kiad.'!J97+'33. mell. E.műk.c.kiad.'!J98</f>
        <v>0</v>
      </c>
      <c r="E127" s="1983">
        <f>+'33. mell. E.műk.c.kiad.'!K91+'33. mell. E.műk.c.kiad.'!K92+'33. mell. E.műk.c.kiad.'!K93+'33. mell. E.műk.c.kiad.'!K94+'33. mell. E.műk.c.kiad.'!K96+'33. mell. E.műk.c.kiad.'!K97</f>
        <v>1136266679</v>
      </c>
      <c r="F127" s="1983">
        <f>+'33. mell. E.műk.c.kiad.'!L91+'33. mell. E.műk.c.kiad.'!L92+'33. mell. E.műk.c.kiad.'!L93+'33. mell. E.műk.c.kiad.'!L94+'33. mell. E.műk.c.kiad.'!L96+'33. mell. E.műk.c.kiad.'!L97+'33. mell. E.műk.c.kiad.'!L98</f>
        <v>1097644297</v>
      </c>
      <c r="G127" s="1983">
        <f>+'33. mell. E.műk.c.kiad.'!M91+'33. mell. E.műk.c.kiad.'!M92+'33. mell. E.műk.c.kiad.'!M93+'33. mell. E.műk.c.kiad.'!M94+'33. mell. E.műk.c.kiad.'!M96+'33. mell. E.műk.c.kiad.'!M97+'33. mell. E.műk.c.kiad.'!M98</f>
        <v>953190813</v>
      </c>
      <c r="H127" s="1983">
        <f>+'33. mell. E.műk.c.kiad.'!N91+'33. mell. E.műk.c.kiad.'!N92+'33. mell. E.műk.c.kiad.'!N93+'33. mell. E.műk.c.kiad.'!N94+'33. mell. E.műk.c.kiad.'!N96+'33. mell. E.műk.c.kiad.'!N97+'33. mell. E.műk.c.kiad.'!N98</f>
        <v>23057029</v>
      </c>
      <c r="I127" s="1983">
        <f>+'33. mell. E.műk.c.kiad.'!O91+'33. mell. E.műk.c.kiad.'!O92+'33. mell. E.műk.c.kiad.'!O93+'33. mell. E.műk.c.kiad.'!O94+'33. mell. E.műk.c.kiad.'!O96+'33. mell. E.műk.c.kiad.'!O97+'33. mell. E.műk.c.kiad.'!O98</f>
        <v>23057029</v>
      </c>
      <c r="J127" s="1984">
        <f>+'33. mell. E.műk.c.kiad.'!P91+'33. mell. E.műk.c.kiad.'!P92+'33. mell. E.műk.c.kiad.'!P93+'33. mell. E.műk.c.kiad.'!P94+'33. mell. E.műk.c.kiad.'!P96</f>
        <v>0</v>
      </c>
      <c r="K127" s="1975">
        <f t="shared" si="40"/>
        <v>0</v>
      </c>
      <c r="L127" s="2093">
        <f t="shared" si="29"/>
        <v>-38622382</v>
      </c>
      <c r="M127" s="1983">
        <f t="shared" si="30"/>
        <v>-144453484</v>
      </c>
      <c r="N127" s="1983">
        <f t="shared" si="4"/>
        <v>-930133784</v>
      </c>
      <c r="O127" s="1555">
        <f t="shared" si="31"/>
        <v>0</v>
      </c>
      <c r="P127" s="117"/>
      <c r="Q127" s="119">
        <f t="shared" si="24"/>
        <v>-95162122</v>
      </c>
      <c r="R127" s="1561">
        <f>+'33. mell. E.műk.c.kiad.'!K93+'33. mell. E.műk.c.kiad.'!K94+'33. mell. E.műk.c.kiad.'!K96</f>
        <v>1136266679</v>
      </c>
      <c r="W127" s="89" t="s">
        <v>476</v>
      </c>
      <c r="X127" s="1031" t="s">
        <v>3059</v>
      </c>
      <c r="Y127" s="1984">
        <v>0</v>
      </c>
      <c r="Z127" s="2531">
        <f t="shared" si="25"/>
        <v>0</v>
      </c>
    </row>
    <row r="128" spans="1:26" ht="12" customHeight="1" thickBot="1">
      <c r="A128" s="1988" t="s">
        <v>15</v>
      </c>
      <c r="B128" s="2004" t="s">
        <v>3035</v>
      </c>
      <c r="C128" s="1990">
        <f t="shared" ref="C128:J128" si="42">+C92+C111+C125</f>
        <v>16837450420.190001</v>
      </c>
      <c r="D128" s="1990">
        <f t="shared" si="42"/>
        <v>11980055316</v>
      </c>
      <c r="E128" s="1990">
        <f t="shared" si="42"/>
        <v>11003648285</v>
      </c>
      <c r="F128" s="1990">
        <f t="shared" si="42"/>
        <v>11384729876</v>
      </c>
      <c r="G128" s="1990">
        <f t="shared" si="42"/>
        <v>11320510742</v>
      </c>
      <c r="H128" s="1990">
        <f t="shared" si="42"/>
        <v>10486425219</v>
      </c>
      <c r="I128" s="1990">
        <f t="shared" si="42"/>
        <v>10486425219</v>
      </c>
      <c r="J128" s="1991">
        <f t="shared" si="42"/>
        <v>8196222994</v>
      </c>
      <c r="K128" s="1992">
        <f t="shared" si="40"/>
        <v>0.78160315100989231</v>
      </c>
      <c r="L128" s="2093">
        <f t="shared" si="29"/>
        <v>381081591</v>
      </c>
      <c r="M128" s="1990">
        <f t="shared" si="30"/>
        <v>-64219134</v>
      </c>
      <c r="N128" s="1990">
        <f t="shared" si="4"/>
        <v>-834085523</v>
      </c>
      <c r="O128" s="1555">
        <f t="shared" si="31"/>
        <v>0</v>
      </c>
      <c r="P128" s="122"/>
      <c r="Q128" s="123">
        <f t="shared" si="24"/>
        <v>-5833802135.1900005</v>
      </c>
      <c r="R128" s="1561">
        <f>+'29. mell. Önk.- Bér'!K63+'29. mell. Önk.- Bér'!K73+'30. mell. ÖNK.-Dologi'!K79+'31.mell. Működési kiadások'!K67+'31.mell. Működési kiadások'!K85+'32. mell. Ellátottak'!K30+'33. mell. E.műk.c.kiad.'!K13+'33. mell. E.műk.c.kiad.'!K38+'33. mell. E.műk.c.kiad.'!K49+'33. mell. E.műk.c.kiad.'!K87+'33. mell. E.műk.c.kiad.'!K101+'34-35.mell.Ber.,Felúj.'!K86+'34-35.mell.Ber.,Felúj.'!K172+'36. mell. E.felh.c.kiad.'!K57</f>
        <v>11003648285</v>
      </c>
      <c r="S128" s="47">
        <f>+'29. mell. Önk.- Bér'!L63+'29. mell. Önk.- Bér'!L73+'30. mell. ÖNK.-Dologi'!L79+'31.mell. Működési kiadások'!L67+'31.mell. Működési kiadások'!L85+'32. mell. Ellátottak'!L30+'33. mell. E.műk.c.kiad.'!L13+'33. mell. E.műk.c.kiad.'!L38+'33. mell. E.műk.c.kiad.'!L49+'33. mell. E.műk.c.kiad.'!L87+'33. mell. E.műk.c.kiad.'!L101+'34-35.mell.Ber.,Felúj.'!L86+'34-35.mell.Ber.,Felúj.'!L172+'36. mell. E.felh.c.kiad.'!L57</f>
        <v>11384729876</v>
      </c>
      <c r="T128" s="47">
        <f>+'29. mell. Önk.- Bér'!M63+'29. mell. Önk.- Bér'!M73+'30. mell. ÖNK.-Dologi'!M79+'31.mell. Működési kiadások'!M67+'31.mell. Működési kiadások'!M85+'32. mell. Ellátottak'!M30+'33. mell. E.műk.c.kiad.'!M13+'33. mell. E.műk.c.kiad.'!M38+'33. mell. E.műk.c.kiad.'!M49+'33. mell. E.műk.c.kiad.'!M87+'33. mell. E.műk.c.kiad.'!M101+'34-35.mell.Ber.,Felúj.'!M86+'34-35.mell.Ber.,Felúj.'!M172+'36. mell. E.felh.c.kiad.'!M57</f>
        <v>11320510742</v>
      </c>
      <c r="U128" s="47">
        <f>+'29. mell. Önk.- Bér'!N63+'29. mell. Önk.- Bér'!N73+'30. mell. ÖNK.-Dologi'!N79+'31.mell. Működési kiadások'!N67+'31.mell. Működési kiadások'!N85+'32. mell. Ellátottak'!N30+'33. mell. E.műk.c.kiad.'!N13+'33. mell. E.műk.c.kiad.'!N38+'33. mell. E.műk.c.kiad.'!N49+'33. mell. E.műk.c.kiad.'!N87+'33. mell. E.műk.c.kiad.'!N101+'34-35.mell.Ber.,Felúj.'!N86+'34-35.mell.Ber.,Felúj.'!N172+'36. mell. E.felh.c.kiad.'!N57</f>
        <v>10486425219</v>
      </c>
      <c r="V128" s="47">
        <f>+H128-U128</f>
        <v>0</v>
      </c>
      <c r="W128" s="125">
        <v>8196222994</v>
      </c>
      <c r="X128" s="47">
        <f>+J128-W128</f>
        <v>0</v>
      </c>
      <c r="Y128" s="1991">
        <v>11980055316</v>
      </c>
      <c r="Z128" s="2531">
        <f t="shared" si="25"/>
        <v>0</v>
      </c>
    </row>
    <row r="129" spans="1:26" ht="12" customHeight="1" thickBot="1">
      <c r="A129" s="1966" t="s">
        <v>17</v>
      </c>
      <c r="B129" s="2005" t="s">
        <v>364</v>
      </c>
      <c r="C129" s="1968">
        <f t="shared" ref="C129:J129" si="43">+C130+C131+C132</f>
        <v>0</v>
      </c>
      <c r="D129" s="1968">
        <f t="shared" si="43"/>
        <v>0</v>
      </c>
      <c r="E129" s="1968">
        <f t="shared" si="43"/>
        <v>0</v>
      </c>
      <c r="F129" s="1968">
        <f t="shared" si="43"/>
        <v>0</v>
      </c>
      <c r="G129" s="1968">
        <f t="shared" si="43"/>
        <v>0</v>
      </c>
      <c r="H129" s="1968">
        <f t="shared" si="43"/>
        <v>0</v>
      </c>
      <c r="I129" s="1968">
        <f t="shared" si="43"/>
        <v>0</v>
      </c>
      <c r="J129" s="1969">
        <f t="shared" si="43"/>
        <v>0</v>
      </c>
      <c r="K129" s="1970"/>
      <c r="L129" s="2093">
        <f t="shared" si="29"/>
        <v>0</v>
      </c>
      <c r="M129" s="1968">
        <f t="shared" si="30"/>
        <v>0</v>
      </c>
      <c r="N129" s="1968">
        <f t="shared" si="4"/>
        <v>0</v>
      </c>
      <c r="O129" s="1555">
        <f t="shared" si="31"/>
        <v>0</v>
      </c>
      <c r="P129" s="111"/>
      <c r="Q129" s="104">
        <f t="shared" si="24"/>
        <v>0</v>
      </c>
      <c r="R129" s="137"/>
      <c r="Y129" s="1969">
        <v>0</v>
      </c>
      <c r="Z129" s="2531">
        <f t="shared" si="25"/>
        <v>0</v>
      </c>
    </row>
    <row r="130" spans="1:26" s="132" customFormat="1" ht="12" customHeight="1">
      <c r="A130" s="1971" t="s">
        <v>225</v>
      </c>
      <c r="B130" s="1999" t="s">
        <v>468</v>
      </c>
      <c r="C130" s="1983">
        <f>+'Fin.kiad.-nem része a rend-nek'!I9</f>
        <v>0</v>
      </c>
      <c r="D130" s="2725">
        <f>+'Fin.kiad.-nem része a rend-nek'!J9</f>
        <v>0</v>
      </c>
      <c r="E130" s="1983">
        <f>+'Fin.kiad.-nem része a rend-nek'!K9</f>
        <v>0</v>
      </c>
      <c r="F130" s="1983">
        <f>+'Fin.kiad.-nem része a rend-nek'!L9</f>
        <v>0</v>
      </c>
      <c r="G130" s="1983">
        <f>+'Fin.kiad.-nem része a rend-nek'!M9</f>
        <v>0</v>
      </c>
      <c r="H130" s="1983">
        <f>+'Fin.kiad.-nem része a rend-nek'!N9</f>
        <v>0</v>
      </c>
      <c r="I130" s="1983">
        <f>+'Fin.kiad.-nem része a rend-nek'!O9</f>
        <v>0</v>
      </c>
      <c r="J130" s="1984">
        <f>+'Fin.kiad.-nem része a rend-nek'!P9</f>
        <v>0</v>
      </c>
      <c r="K130" s="1975"/>
      <c r="L130" s="2093">
        <f t="shared" si="29"/>
        <v>0</v>
      </c>
      <c r="M130" s="1983">
        <f t="shared" si="30"/>
        <v>0</v>
      </c>
      <c r="N130" s="1983">
        <f t="shared" si="4"/>
        <v>0</v>
      </c>
      <c r="O130" s="1555">
        <f t="shared" si="31"/>
        <v>0</v>
      </c>
      <c r="P130" s="121"/>
      <c r="Q130" s="119">
        <f t="shared" si="24"/>
        <v>0</v>
      </c>
      <c r="R130" s="1556"/>
      <c r="Y130" s="1984">
        <v>0</v>
      </c>
      <c r="Z130" s="2531">
        <f t="shared" si="25"/>
        <v>0</v>
      </c>
    </row>
    <row r="131" spans="1:26" ht="12" customHeight="1">
      <c r="A131" s="1971" t="s">
        <v>227</v>
      </c>
      <c r="B131" s="1999" t="s">
        <v>469</v>
      </c>
      <c r="C131" s="1983">
        <f>+'Fin.kiad.-nem része a rend-nek'!I12</f>
        <v>0</v>
      </c>
      <c r="D131" s="2725">
        <f>+'Fin.kiad.-nem része a rend-nek'!J12</f>
        <v>0</v>
      </c>
      <c r="E131" s="1983">
        <f>+'Fin.kiad.-nem része a rend-nek'!K12</f>
        <v>0</v>
      </c>
      <c r="F131" s="1983">
        <f>+'Fin.kiad.-nem része a rend-nek'!L12</f>
        <v>0</v>
      </c>
      <c r="G131" s="1983">
        <f>+'Fin.kiad.-nem része a rend-nek'!M12</f>
        <v>0</v>
      </c>
      <c r="H131" s="1983">
        <f>+'Fin.kiad.-nem része a rend-nek'!N12</f>
        <v>0</v>
      </c>
      <c r="I131" s="1983">
        <f>+'Fin.kiad.-nem része a rend-nek'!O12</f>
        <v>0</v>
      </c>
      <c r="J131" s="1984">
        <f>+'Fin.kiad.-nem része a rend-nek'!P12</f>
        <v>0</v>
      </c>
      <c r="K131" s="1975"/>
      <c r="L131" s="2093">
        <f t="shared" si="29"/>
        <v>0</v>
      </c>
      <c r="M131" s="1983">
        <f t="shared" si="30"/>
        <v>0</v>
      </c>
      <c r="N131" s="1983">
        <f t="shared" si="4"/>
        <v>0</v>
      </c>
      <c r="O131" s="1555">
        <f t="shared" si="31"/>
        <v>0</v>
      </c>
      <c r="P131" s="117"/>
      <c r="Q131" s="119">
        <f t="shared" si="24"/>
        <v>0</v>
      </c>
      <c r="R131" s="137"/>
      <c r="Y131" s="1984">
        <v>0</v>
      </c>
      <c r="Z131" s="2531">
        <f t="shared" si="25"/>
        <v>0</v>
      </c>
    </row>
    <row r="132" spans="1:26" ht="12" customHeight="1" thickBot="1">
      <c r="A132" s="1971" t="s">
        <v>229</v>
      </c>
      <c r="B132" s="1999" t="s">
        <v>470</v>
      </c>
      <c r="C132" s="1983">
        <f>+'Fin.kiad.-nem része a rend-nek'!I15</f>
        <v>0</v>
      </c>
      <c r="D132" s="2725">
        <f>+'Fin.kiad.-nem része a rend-nek'!J15</f>
        <v>0</v>
      </c>
      <c r="E132" s="1983">
        <f>+'Fin.kiad.-nem része a rend-nek'!K15</f>
        <v>0</v>
      </c>
      <c r="F132" s="1983">
        <f>+'Fin.kiad.-nem része a rend-nek'!L15</f>
        <v>0</v>
      </c>
      <c r="G132" s="1983">
        <f>+'Fin.kiad.-nem része a rend-nek'!M15</f>
        <v>0</v>
      </c>
      <c r="H132" s="1983">
        <f>+'Fin.kiad.-nem része a rend-nek'!N15</f>
        <v>0</v>
      </c>
      <c r="I132" s="1983">
        <f>+'Fin.kiad.-nem része a rend-nek'!O15</f>
        <v>0</v>
      </c>
      <c r="J132" s="1984">
        <f>+'Fin.kiad.-nem része a rend-nek'!P15</f>
        <v>0</v>
      </c>
      <c r="K132" s="1975"/>
      <c r="L132" s="2093">
        <f t="shared" si="29"/>
        <v>0</v>
      </c>
      <c r="M132" s="1983">
        <f t="shared" si="30"/>
        <v>0</v>
      </c>
      <c r="N132" s="1983">
        <f t="shared" si="4"/>
        <v>0</v>
      </c>
      <c r="O132" s="1555">
        <f t="shared" si="31"/>
        <v>0</v>
      </c>
      <c r="P132" s="117"/>
      <c r="Q132" s="119">
        <f t="shared" si="24"/>
        <v>0</v>
      </c>
      <c r="R132" s="137"/>
      <c r="Y132" s="1984">
        <v>0</v>
      </c>
      <c r="Z132" s="2531">
        <f t="shared" si="25"/>
        <v>0</v>
      </c>
    </row>
    <row r="133" spans="1:26" ht="12" customHeight="1" thickBot="1">
      <c r="A133" s="1966" t="s">
        <v>19</v>
      </c>
      <c r="B133" s="1978" t="s">
        <v>368</v>
      </c>
      <c r="C133" s="1968">
        <f t="shared" ref="C133:J133" si="44">+C134+C135+C136+C137</f>
        <v>0</v>
      </c>
      <c r="D133" s="1968">
        <f t="shared" si="44"/>
        <v>0</v>
      </c>
      <c r="E133" s="1968">
        <f t="shared" si="44"/>
        <v>0</v>
      </c>
      <c r="F133" s="1968">
        <f t="shared" si="44"/>
        <v>0</v>
      </c>
      <c r="G133" s="1968">
        <f t="shared" si="44"/>
        <v>0</v>
      </c>
      <c r="H133" s="1968">
        <f t="shared" si="44"/>
        <v>4999090000</v>
      </c>
      <c r="I133" s="1968">
        <f t="shared" si="44"/>
        <v>4999090000</v>
      </c>
      <c r="J133" s="1969">
        <f t="shared" si="44"/>
        <v>4999090000</v>
      </c>
      <c r="K133" s="1970">
        <f>+J133/H133</f>
        <v>1</v>
      </c>
      <c r="L133" s="2093">
        <f t="shared" si="29"/>
        <v>0</v>
      </c>
      <c r="M133" s="1968">
        <f t="shared" si="30"/>
        <v>0</v>
      </c>
      <c r="N133" s="1968">
        <f t="shared" si="4"/>
        <v>4999090000</v>
      </c>
      <c r="O133" s="1555">
        <f t="shared" si="31"/>
        <v>0</v>
      </c>
      <c r="P133" s="111"/>
      <c r="Q133" s="104">
        <f t="shared" si="24"/>
        <v>0</v>
      </c>
      <c r="R133" s="137"/>
      <c r="W133" s="47">
        <v>4999090000</v>
      </c>
      <c r="X133" s="47">
        <f>+J133-W133</f>
        <v>0</v>
      </c>
      <c r="Y133" s="1969">
        <v>0</v>
      </c>
      <c r="Z133" s="2531">
        <f t="shared" si="25"/>
        <v>0</v>
      </c>
    </row>
    <row r="134" spans="1:26" ht="12" customHeight="1">
      <c r="A134" s="1971" t="s">
        <v>246</v>
      </c>
      <c r="B134" s="1999" t="s">
        <v>471</v>
      </c>
      <c r="C134" s="1983">
        <f>+'Fin.kiad.-nem része a rend-nek'!I23</f>
        <v>0</v>
      </c>
      <c r="D134" s="2725">
        <f>+'Fin.kiad.-nem része a rend-nek'!J23</f>
        <v>0</v>
      </c>
      <c r="E134" s="1983">
        <f>+'Fin.kiad.-nem része a rend-nek'!K23</f>
        <v>0</v>
      </c>
      <c r="F134" s="1983">
        <f>+'Fin.kiad.-nem része a rend-nek'!L23</f>
        <v>0</v>
      </c>
      <c r="G134" s="1983">
        <f>+'Fin.kiad.-nem része a rend-nek'!M23</f>
        <v>0</v>
      </c>
      <c r="H134" s="1983">
        <f>+'Fin.kiad.-nem része a rend-nek'!N23</f>
        <v>4999090000</v>
      </c>
      <c r="I134" s="1983">
        <f>+'Fin.kiad.-nem része a rend-nek'!O23</f>
        <v>4999090000</v>
      </c>
      <c r="J134" s="1984">
        <f>+'Fin.kiad.-nem része a rend-nek'!P23</f>
        <v>4999090000</v>
      </c>
      <c r="K134" s="1975">
        <f>+J134/H134</f>
        <v>1</v>
      </c>
      <c r="L134" s="2093">
        <f t="shared" si="29"/>
        <v>0</v>
      </c>
      <c r="M134" s="1983">
        <f t="shared" si="30"/>
        <v>0</v>
      </c>
      <c r="N134" s="1983">
        <f t="shared" si="4"/>
        <v>4999090000</v>
      </c>
      <c r="O134" s="1555">
        <f t="shared" si="31"/>
        <v>0</v>
      </c>
      <c r="P134" s="121"/>
      <c r="Q134" s="119">
        <f t="shared" si="24"/>
        <v>0</v>
      </c>
      <c r="R134" s="137"/>
      <c r="Y134" s="1984">
        <v>0</v>
      </c>
      <c r="Z134" s="2531">
        <f t="shared" si="25"/>
        <v>0</v>
      </c>
    </row>
    <row r="135" spans="1:26" ht="12" customHeight="1">
      <c r="A135" s="1971" t="s">
        <v>248</v>
      </c>
      <c r="B135" s="1999" t="s">
        <v>472</v>
      </c>
      <c r="C135" s="1983">
        <f>+'Fin.kiad.-nem része a rend-nek'!I26</f>
        <v>0</v>
      </c>
      <c r="D135" s="2725">
        <f>+'Fin.kiad.-nem része a rend-nek'!J26</f>
        <v>0</v>
      </c>
      <c r="E135" s="1983">
        <f>+'Fin.kiad.-nem része a rend-nek'!K26</f>
        <v>0</v>
      </c>
      <c r="F135" s="1983">
        <f>+'Fin.kiad.-nem része a rend-nek'!L26</f>
        <v>0</v>
      </c>
      <c r="G135" s="1983">
        <f>+'Fin.kiad.-nem része a rend-nek'!M26</f>
        <v>0</v>
      </c>
      <c r="H135" s="1983">
        <f>+'Fin.kiad.-nem része a rend-nek'!N26</f>
        <v>0</v>
      </c>
      <c r="I135" s="1983">
        <f>+'Fin.kiad.-nem része a rend-nek'!O26</f>
        <v>0</v>
      </c>
      <c r="J135" s="1984">
        <f>+'Fin.kiad.-nem része a rend-nek'!P26</f>
        <v>0</v>
      </c>
      <c r="K135" s="2006"/>
      <c r="L135" s="2093">
        <f t="shared" si="29"/>
        <v>0</v>
      </c>
      <c r="M135" s="1983">
        <f t="shared" si="30"/>
        <v>0</v>
      </c>
      <c r="N135" s="1983">
        <f t="shared" si="4"/>
        <v>0</v>
      </c>
      <c r="O135" s="1555">
        <f t="shared" si="31"/>
        <v>0</v>
      </c>
      <c r="P135" s="117"/>
      <c r="Q135" s="119">
        <f t="shared" si="24"/>
        <v>0</v>
      </c>
      <c r="R135" s="137"/>
      <c r="Y135" s="1984">
        <v>0</v>
      </c>
      <c r="Z135" s="2531">
        <f t="shared" si="25"/>
        <v>0</v>
      </c>
    </row>
    <row r="136" spans="1:26" ht="12" customHeight="1">
      <c r="A136" s="1971" t="s">
        <v>250</v>
      </c>
      <c r="B136" s="1999" t="s">
        <v>473</v>
      </c>
      <c r="C136" s="1983">
        <f>+'Fin.kiad.-nem része a rend-nek'!I29</f>
        <v>0</v>
      </c>
      <c r="D136" s="2725">
        <f>+'Fin.kiad.-nem része a rend-nek'!J29</f>
        <v>0</v>
      </c>
      <c r="E136" s="1983">
        <f>+'Fin.kiad.-nem része a rend-nek'!K29</f>
        <v>0</v>
      </c>
      <c r="F136" s="1983">
        <f>+'Fin.kiad.-nem része a rend-nek'!L29</f>
        <v>0</v>
      </c>
      <c r="G136" s="1983">
        <f>+'Fin.kiad.-nem része a rend-nek'!M29</f>
        <v>0</v>
      </c>
      <c r="H136" s="1983">
        <f>+'Fin.kiad.-nem része a rend-nek'!N29</f>
        <v>0</v>
      </c>
      <c r="I136" s="1983">
        <f>+'Fin.kiad.-nem része a rend-nek'!O29</f>
        <v>0</v>
      </c>
      <c r="J136" s="1984">
        <f>+'Fin.kiad.-nem része a rend-nek'!P29</f>
        <v>0</v>
      </c>
      <c r="K136" s="2006"/>
      <c r="L136" s="2093">
        <f t="shared" si="29"/>
        <v>0</v>
      </c>
      <c r="M136" s="1983">
        <f t="shared" si="30"/>
        <v>0</v>
      </c>
      <c r="N136" s="1983">
        <f t="shared" si="4"/>
        <v>0</v>
      </c>
      <c r="O136" s="1555">
        <f t="shared" si="31"/>
        <v>0</v>
      </c>
      <c r="P136" s="117"/>
      <c r="Q136" s="119">
        <f t="shared" ref="Q136:Q152" si="45">+E136-C136</f>
        <v>0</v>
      </c>
      <c r="R136" s="137"/>
      <c r="Y136" s="1984">
        <v>0</v>
      </c>
      <c r="Z136" s="2531">
        <f t="shared" ref="Z136:Z157" si="46">+D136-Y136</f>
        <v>0</v>
      </c>
    </row>
    <row r="137" spans="1:26" s="132" customFormat="1" ht="12" customHeight="1" thickBot="1">
      <c r="A137" s="1971" t="s">
        <v>251</v>
      </c>
      <c r="B137" s="1999" t="s">
        <v>489</v>
      </c>
      <c r="C137" s="1983">
        <f>+'Fin.kiad.-nem része a rend-nek'!I32</f>
        <v>0</v>
      </c>
      <c r="D137" s="2725">
        <f>+'Fin.kiad.-nem része a rend-nek'!J32</f>
        <v>0</v>
      </c>
      <c r="E137" s="1983">
        <f>+'Fin.kiad.-nem része a rend-nek'!K32</f>
        <v>0</v>
      </c>
      <c r="F137" s="1983">
        <f>+'Fin.kiad.-nem része a rend-nek'!L32</f>
        <v>0</v>
      </c>
      <c r="G137" s="1983">
        <f>+'Fin.kiad.-nem része a rend-nek'!M32</f>
        <v>0</v>
      </c>
      <c r="H137" s="1983">
        <f>+'Fin.kiad.-nem része a rend-nek'!N32</f>
        <v>0</v>
      </c>
      <c r="I137" s="1983">
        <f>+'Fin.kiad.-nem része a rend-nek'!O32</f>
        <v>0</v>
      </c>
      <c r="J137" s="1984">
        <f>+'Fin.kiad.-nem része a rend-nek'!P32</f>
        <v>0</v>
      </c>
      <c r="K137" s="2006"/>
      <c r="L137" s="2093">
        <f t="shared" si="29"/>
        <v>0</v>
      </c>
      <c r="M137" s="1983">
        <f t="shared" si="30"/>
        <v>0</v>
      </c>
      <c r="N137" s="1983">
        <f t="shared" si="4"/>
        <v>0</v>
      </c>
      <c r="O137" s="1555">
        <f t="shared" si="31"/>
        <v>0</v>
      </c>
      <c r="P137" s="117"/>
      <c r="Q137" s="119">
        <f t="shared" si="45"/>
        <v>0</v>
      </c>
      <c r="R137" s="1556"/>
      <c r="Y137" s="1984">
        <v>0</v>
      </c>
      <c r="Z137" s="2531">
        <f t="shared" si="46"/>
        <v>0</v>
      </c>
    </row>
    <row r="138" spans="1:26" ht="12" customHeight="1" thickBot="1">
      <c r="A138" s="1966" t="s">
        <v>21</v>
      </c>
      <c r="B138" s="1978" t="s">
        <v>474</v>
      </c>
      <c r="C138" s="1968">
        <f t="shared" ref="C138:J138" si="47">+C139+C140+C141+C142+C143</f>
        <v>20789856973</v>
      </c>
      <c r="D138" s="1968">
        <f t="shared" si="47"/>
        <v>18805736103</v>
      </c>
      <c r="E138" s="1968">
        <f t="shared" si="47"/>
        <v>19596899335</v>
      </c>
      <c r="F138" s="1968">
        <f t="shared" si="47"/>
        <v>19646956452</v>
      </c>
      <c r="G138" s="1968">
        <f t="shared" si="47"/>
        <v>21164065849</v>
      </c>
      <c r="H138" s="1968">
        <f t="shared" si="47"/>
        <v>22780570462</v>
      </c>
      <c r="I138" s="1968">
        <f t="shared" si="47"/>
        <v>22780570462</v>
      </c>
      <c r="J138" s="1969">
        <f t="shared" si="47"/>
        <v>21903469082</v>
      </c>
      <c r="K138" s="1970">
        <f>+J138/H138</f>
        <v>0.96149783072978434</v>
      </c>
      <c r="L138" s="2093">
        <f t="shared" si="29"/>
        <v>50057117</v>
      </c>
      <c r="M138" s="1968">
        <f t="shared" si="30"/>
        <v>1517109397</v>
      </c>
      <c r="N138" s="1968">
        <f t="shared" si="4"/>
        <v>1616504613</v>
      </c>
      <c r="O138" s="1555">
        <f t="shared" si="31"/>
        <v>0</v>
      </c>
      <c r="P138" s="111"/>
      <c r="Q138" s="104">
        <f t="shared" si="45"/>
        <v>-1192957638</v>
      </c>
      <c r="R138" s="137"/>
      <c r="Y138" s="1969">
        <v>18805736103</v>
      </c>
      <c r="Z138" s="2531">
        <f t="shared" si="46"/>
        <v>0</v>
      </c>
    </row>
    <row r="139" spans="1:26" ht="15">
      <c r="A139" s="1971" t="s">
        <v>257</v>
      </c>
      <c r="B139" s="1999" t="s">
        <v>374</v>
      </c>
      <c r="C139" s="1983">
        <f>+'Fin.kiad.-nem része a rend-nek'!I34</f>
        <v>0</v>
      </c>
      <c r="D139" s="2725">
        <f>+'Fin.kiad.-nem része a rend-nek'!J34</f>
        <v>0</v>
      </c>
      <c r="E139" s="1983">
        <f>+'Fin.kiad.-nem része a rend-nek'!K34</f>
        <v>0</v>
      </c>
      <c r="F139" s="1983">
        <f>+'Fin.kiad.-nem része a rend-nek'!L34</f>
        <v>0</v>
      </c>
      <c r="G139" s="1983">
        <f>+'Fin.kiad.-nem része a rend-nek'!M34</f>
        <v>0</v>
      </c>
      <c r="H139" s="1983">
        <f>+'Fin.kiad.-nem része a rend-nek'!N34</f>
        <v>0</v>
      </c>
      <c r="I139" s="1983">
        <f>+'Fin.kiad.-nem része a rend-nek'!O34</f>
        <v>0</v>
      </c>
      <c r="J139" s="1984">
        <f>+'Fin.kiad.-nem része a rend-nek'!P34</f>
        <v>0</v>
      </c>
      <c r="K139" s="1975"/>
      <c r="L139" s="2093">
        <f t="shared" si="29"/>
        <v>0</v>
      </c>
      <c r="M139" s="1983">
        <f t="shared" si="30"/>
        <v>0</v>
      </c>
      <c r="N139" s="1983">
        <f t="shared" si="4"/>
        <v>0</v>
      </c>
      <c r="O139" s="1555">
        <f t="shared" si="31"/>
        <v>0</v>
      </c>
      <c r="P139" s="121"/>
      <c r="Q139" s="119">
        <f t="shared" si="45"/>
        <v>0</v>
      </c>
      <c r="R139" s="137"/>
      <c r="W139" s="89" t="s">
        <v>271</v>
      </c>
      <c r="X139" s="1031" t="s">
        <v>3059</v>
      </c>
      <c r="Y139" s="1984">
        <v>0</v>
      </c>
      <c r="Z139" s="2531">
        <f t="shared" si="46"/>
        <v>0</v>
      </c>
    </row>
    <row r="140" spans="1:26" ht="12" customHeight="1">
      <c r="A140" s="1971" t="s">
        <v>259</v>
      </c>
      <c r="B140" s="1999" t="s">
        <v>375</v>
      </c>
      <c r="C140" s="1983">
        <f>+'Fin.kiad.-nem része a rend-nek'!I35</f>
        <v>224610505</v>
      </c>
      <c r="D140" s="2725">
        <f>+'Fin.kiad.-nem része a rend-nek'!J35</f>
        <v>973601186</v>
      </c>
      <c r="E140" s="1983">
        <f>+'Fin.kiad.-nem része a rend-nek'!K35</f>
        <v>34974099</v>
      </c>
      <c r="F140" s="1983">
        <f>+'Fin.kiad.-nem része a rend-nek'!L35</f>
        <v>34974099</v>
      </c>
      <c r="G140" s="1983">
        <f>+'Fin.kiad.-nem része a rend-nek'!M35</f>
        <v>1408638915</v>
      </c>
      <c r="H140" s="1983">
        <f>+'Fin.kiad.-nem része a rend-nek'!N35</f>
        <v>1729921587</v>
      </c>
      <c r="I140" s="1983">
        <f>+'Fin.kiad.-nem része a rend-nek'!O35</f>
        <v>1729921587</v>
      </c>
      <c r="J140" s="1984">
        <f>+'Fin.kiad.-nem része a rend-nek'!P35</f>
        <v>1729921587</v>
      </c>
      <c r="K140" s="1975">
        <f>+J140/H140</f>
        <v>1</v>
      </c>
      <c r="L140" s="2093">
        <f t="shared" si="29"/>
        <v>0</v>
      </c>
      <c r="M140" s="1983">
        <f t="shared" si="30"/>
        <v>1373664816</v>
      </c>
      <c r="N140" s="1983">
        <f t="shared" si="4"/>
        <v>321282672</v>
      </c>
      <c r="O140" s="1555">
        <f t="shared" si="31"/>
        <v>0</v>
      </c>
      <c r="P140" s="117"/>
      <c r="Q140" s="119">
        <f t="shared" si="45"/>
        <v>-189636406</v>
      </c>
      <c r="R140" s="137"/>
      <c r="W140" s="47">
        <v>1729921587</v>
      </c>
      <c r="X140" s="47">
        <f>+J140-W140</f>
        <v>0</v>
      </c>
      <c r="Y140" s="1984">
        <v>973601186</v>
      </c>
      <c r="Z140" s="2531">
        <f t="shared" si="46"/>
        <v>0</v>
      </c>
    </row>
    <row r="141" spans="1:26" ht="12" customHeight="1">
      <c r="A141" s="1971" t="s">
        <v>261</v>
      </c>
      <c r="B141" s="1999" t="s">
        <v>490</v>
      </c>
      <c r="C141" s="1983">
        <f>+'Fin.kiad.-nem része a rend-nek'!I37</f>
        <v>12565246468</v>
      </c>
      <c r="D141" s="2725">
        <f>+'Fin.kiad.-nem része a rend-nek'!J37</f>
        <v>12332134917</v>
      </c>
      <c r="E141" s="1983">
        <f>+'Fin.kiad.-nem része a rend-nek'!K37</f>
        <v>14061925236</v>
      </c>
      <c r="F141" s="1983">
        <f>+'Fin.kiad.-nem része a rend-nek'!L37</f>
        <v>14111982353</v>
      </c>
      <c r="G141" s="1983">
        <f>+'Fin.kiad.-nem része a rend-nek'!M37</f>
        <v>14255426934</v>
      </c>
      <c r="H141" s="1983">
        <f>+'Fin.kiad.-nem része a rend-nek'!N37</f>
        <v>14350648875</v>
      </c>
      <c r="I141" s="1983">
        <f>+'Fin.kiad.-nem része a rend-nek'!O37</f>
        <v>14350648875</v>
      </c>
      <c r="J141" s="1984">
        <f>+'Fin.kiad.-nem része a rend-nek'!P37</f>
        <v>13473547495</v>
      </c>
      <c r="K141" s="1975">
        <f>+J141/H141</f>
        <v>0.93888071629095582</v>
      </c>
      <c r="L141" s="2093">
        <f t="shared" si="29"/>
        <v>50057117</v>
      </c>
      <c r="M141" s="1983">
        <f t="shared" si="30"/>
        <v>143444581</v>
      </c>
      <c r="N141" s="1983">
        <f t="shared" si="4"/>
        <v>95221941</v>
      </c>
      <c r="O141" s="1555"/>
      <c r="P141" s="117"/>
      <c r="Q141" s="119">
        <f t="shared" si="45"/>
        <v>1496678768</v>
      </c>
      <c r="R141" s="1561">
        <f>8661765771/1000-7944626</f>
        <v>717139.77099999972</v>
      </c>
      <c r="S141" s="47">
        <f>717140-564895</f>
        <v>152245</v>
      </c>
      <c r="W141" s="47">
        <v>13473547495</v>
      </c>
      <c r="X141" s="47">
        <f>+J141-W141</f>
        <v>0</v>
      </c>
      <c r="Y141" s="1984">
        <v>12332134917</v>
      </c>
      <c r="Z141" s="2531">
        <f t="shared" si="46"/>
        <v>0</v>
      </c>
    </row>
    <row r="142" spans="1:26" s="132" customFormat="1" ht="12" customHeight="1">
      <c r="A142" s="1971" t="s">
        <v>263</v>
      </c>
      <c r="B142" s="1999" t="s">
        <v>376</v>
      </c>
      <c r="C142" s="1983">
        <f>+'Fin.kiad.-nem része a rend-nek'!I39</f>
        <v>8000000000</v>
      </c>
      <c r="D142" s="2725">
        <f>+'Fin.kiad.-nem része a rend-nek'!J39</f>
        <v>5500000000</v>
      </c>
      <c r="E142" s="1983">
        <f>+'Fin.kiad.-nem része a rend-nek'!K39</f>
        <v>5500000000</v>
      </c>
      <c r="F142" s="1983">
        <f>+'Fin.kiad.-nem része a rend-nek'!L39</f>
        <v>5500000000</v>
      </c>
      <c r="G142" s="1983">
        <f>+'Fin.kiad.-nem része a rend-nek'!M39</f>
        <v>5500000000</v>
      </c>
      <c r="H142" s="1983">
        <f>+'Fin.kiad.-nem része a rend-nek'!N39</f>
        <v>6700000000</v>
      </c>
      <c r="I142" s="1983">
        <f>+'Fin.kiad.-nem része a rend-nek'!O39</f>
        <v>6700000000</v>
      </c>
      <c r="J142" s="1984">
        <f>+'Fin.kiad.-nem része a rend-nek'!P39</f>
        <v>6700000000</v>
      </c>
      <c r="K142" s="1975">
        <f>+J142/H142</f>
        <v>1</v>
      </c>
      <c r="L142" s="2093">
        <f t="shared" si="29"/>
        <v>0</v>
      </c>
      <c r="M142" s="1983">
        <f t="shared" si="30"/>
        <v>0</v>
      </c>
      <c r="N142" s="1983">
        <f t="shared" si="4"/>
        <v>1200000000</v>
      </c>
      <c r="O142" s="1555">
        <f t="shared" ref="O142:O152" si="48">+I142-H142</f>
        <v>0</v>
      </c>
      <c r="P142" s="117"/>
      <c r="Q142" s="119">
        <f t="shared" si="45"/>
        <v>-2500000000</v>
      </c>
      <c r="R142" s="1556"/>
      <c r="W142" s="47">
        <v>6700000000</v>
      </c>
      <c r="X142" s="47">
        <f>+J142-W142</f>
        <v>0</v>
      </c>
      <c r="Y142" s="1984">
        <v>5500000000</v>
      </c>
      <c r="Z142" s="2531">
        <f t="shared" si="46"/>
        <v>0</v>
      </c>
    </row>
    <row r="143" spans="1:26" s="132" customFormat="1" ht="12" customHeight="1" thickBot="1">
      <c r="A143" s="1971" t="s">
        <v>491</v>
      </c>
      <c r="B143" s="1999" t="s">
        <v>377</v>
      </c>
      <c r="C143" s="1983">
        <f>+'Fin.kiad.-nem része a rend-nek'!I40</f>
        <v>0</v>
      </c>
      <c r="D143" s="2725">
        <f>+'Fin.kiad.-nem része a rend-nek'!J40</f>
        <v>0</v>
      </c>
      <c r="E143" s="1983">
        <f>+'Fin.kiad.-nem része a rend-nek'!K40</f>
        <v>0</v>
      </c>
      <c r="F143" s="1983">
        <f>+'Fin.kiad.-nem része a rend-nek'!L40</f>
        <v>0</v>
      </c>
      <c r="G143" s="1983">
        <f>+'Fin.kiad.-nem része a rend-nek'!M40</f>
        <v>0</v>
      </c>
      <c r="H143" s="1983">
        <f>+'Fin.kiad.-nem része a rend-nek'!N40</f>
        <v>0</v>
      </c>
      <c r="I143" s="1983">
        <f>+'Fin.kiad.-nem része a rend-nek'!O40</f>
        <v>0</v>
      </c>
      <c r="J143" s="1984">
        <f>+'Fin.kiad.-nem része a rend-nek'!P40</f>
        <v>0</v>
      </c>
      <c r="K143" s="2006"/>
      <c r="L143" s="2093">
        <f t="shared" si="29"/>
        <v>0</v>
      </c>
      <c r="M143" s="1983">
        <f t="shared" si="30"/>
        <v>0</v>
      </c>
      <c r="N143" s="1983">
        <f t="shared" si="4"/>
        <v>0</v>
      </c>
      <c r="O143" s="1555">
        <f t="shared" si="48"/>
        <v>0</v>
      </c>
      <c r="P143" s="117"/>
      <c r="Q143" s="119">
        <f t="shared" si="45"/>
        <v>0</v>
      </c>
      <c r="R143" s="1556"/>
      <c r="Y143" s="1984">
        <v>0</v>
      </c>
      <c r="Z143" s="2531">
        <f t="shared" si="46"/>
        <v>0</v>
      </c>
    </row>
    <row r="144" spans="1:26" s="132" customFormat="1" ht="12" customHeight="1" thickBot="1">
      <c r="A144" s="1966" t="s">
        <v>23</v>
      </c>
      <c r="B144" s="1978" t="s">
        <v>378</v>
      </c>
      <c r="C144" s="1968">
        <f>+C145+C146+C147+C148</f>
        <v>0</v>
      </c>
      <c r="D144" s="1968">
        <v>0</v>
      </c>
      <c r="E144" s="1968">
        <f t="shared" ref="E144:J144" si="49">+E145+E146+E147+E148</f>
        <v>0</v>
      </c>
      <c r="F144" s="1968">
        <f t="shared" si="49"/>
        <v>0</v>
      </c>
      <c r="G144" s="1968">
        <f t="shared" si="49"/>
        <v>0</v>
      </c>
      <c r="H144" s="1968">
        <f t="shared" si="49"/>
        <v>0</v>
      </c>
      <c r="I144" s="1968">
        <f t="shared" si="49"/>
        <v>0</v>
      </c>
      <c r="J144" s="1969">
        <f t="shared" si="49"/>
        <v>0</v>
      </c>
      <c r="K144" s="1970"/>
      <c r="L144" s="2093">
        <f t="shared" si="29"/>
        <v>0</v>
      </c>
      <c r="M144" s="1968">
        <f t="shared" si="30"/>
        <v>0</v>
      </c>
      <c r="N144" s="1968">
        <f t="shared" si="4"/>
        <v>0</v>
      </c>
      <c r="O144" s="1555">
        <f t="shared" si="48"/>
        <v>0</v>
      </c>
      <c r="P144" s="111"/>
      <c r="Q144" s="104">
        <f t="shared" si="45"/>
        <v>0</v>
      </c>
      <c r="R144" s="1556"/>
      <c r="Y144" s="1969">
        <v>0</v>
      </c>
      <c r="Z144" s="2531">
        <f t="shared" si="46"/>
        <v>0</v>
      </c>
    </row>
    <row r="145" spans="1:26" s="132" customFormat="1" ht="12" hidden="1" customHeight="1">
      <c r="A145" s="1971" t="s">
        <v>265</v>
      </c>
      <c r="B145" s="1999" t="s">
        <v>379</v>
      </c>
      <c r="C145" s="1968">
        <v>0</v>
      </c>
      <c r="D145" s="1968">
        <v>0</v>
      </c>
      <c r="E145" s="1968">
        <v>0</v>
      </c>
      <c r="F145" s="1968">
        <v>0</v>
      </c>
      <c r="G145" s="1968">
        <v>0</v>
      </c>
      <c r="H145" s="1968">
        <v>0</v>
      </c>
      <c r="I145" s="1968">
        <v>0</v>
      </c>
      <c r="J145" s="1969">
        <v>0</v>
      </c>
      <c r="K145" s="1970"/>
      <c r="L145" s="2093">
        <f t="shared" si="29"/>
        <v>0</v>
      </c>
      <c r="M145" s="1968">
        <f t="shared" si="30"/>
        <v>0</v>
      </c>
      <c r="N145" s="1968">
        <f t="shared" si="4"/>
        <v>0</v>
      </c>
      <c r="O145" s="1555">
        <f t="shared" si="48"/>
        <v>0</v>
      </c>
      <c r="P145" s="111"/>
      <c r="Q145" s="104">
        <f t="shared" si="45"/>
        <v>0</v>
      </c>
      <c r="R145" s="1556"/>
      <c r="Y145" s="1969">
        <v>0</v>
      </c>
      <c r="Z145" s="2531">
        <f t="shared" si="46"/>
        <v>0</v>
      </c>
    </row>
    <row r="146" spans="1:26" s="132" customFormat="1" ht="12" hidden="1" customHeight="1">
      <c r="A146" s="1971" t="s">
        <v>266</v>
      </c>
      <c r="B146" s="1999" t="s">
        <v>380</v>
      </c>
      <c r="C146" s="1968">
        <v>0</v>
      </c>
      <c r="D146" s="1968">
        <v>0</v>
      </c>
      <c r="E146" s="1968">
        <v>0</v>
      </c>
      <c r="F146" s="1968">
        <v>0</v>
      </c>
      <c r="G146" s="1968">
        <v>0</v>
      </c>
      <c r="H146" s="1968">
        <v>0</v>
      </c>
      <c r="I146" s="1968">
        <v>0</v>
      </c>
      <c r="J146" s="1969">
        <v>0</v>
      </c>
      <c r="K146" s="1970"/>
      <c r="L146" s="2093">
        <f t="shared" si="29"/>
        <v>0</v>
      </c>
      <c r="M146" s="1968">
        <f t="shared" si="30"/>
        <v>0</v>
      </c>
      <c r="N146" s="1968">
        <f t="shared" si="4"/>
        <v>0</v>
      </c>
      <c r="O146" s="1555">
        <f t="shared" si="48"/>
        <v>0</v>
      </c>
      <c r="P146" s="111"/>
      <c r="Q146" s="104">
        <f t="shared" si="45"/>
        <v>0</v>
      </c>
      <c r="R146" s="1556"/>
      <c r="Y146" s="1969">
        <v>0</v>
      </c>
      <c r="Z146" s="2531">
        <f t="shared" si="46"/>
        <v>0</v>
      </c>
    </row>
    <row r="147" spans="1:26" s="132" customFormat="1" ht="12" hidden="1" customHeight="1">
      <c r="A147" s="1971" t="s">
        <v>267</v>
      </c>
      <c r="B147" s="1999" t="s">
        <v>381</v>
      </c>
      <c r="C147" s="1968">
        <v>0</v>
      </c>
      <c r="D147" s="1968">
        <v>0</v>
      </c>
      <c r="E147" s="1968">
        <v>0</v>
      </c>
      <c r="F147" s="1968">
        <v>0</v>
      </c>
      <c r="G147" s="1968">
        <v>0</v>
      </c>
      <c r="H147" s="1968">
        <v>0</v>
      </c>
      <c r="I147" s="1968">
        <v>0</v>
      </c>
      <c r="J147" s="1969">
        <v>0</v>
      </c>
      <c r="K147" s="1970"/>
      <c r="L147" s="2093">
        <f t="shared" si="29"/>
        <v>0</v>
      </c>
      <c r="M147" s="1968">
        <f t="shared" si="30"/>
        <v>0</v>
      </c>
      <c r="N147" s="1968">
        <f t="shared" si="4"/>
        <v>0</v>
      </c>
      <c r="O147" s="1555">
        <f t="shared" si="48"/>
        <v>0</v>
      </c>
      <c r="P147" s="111"/>
      <c r="Q147" s="104">
        <f t="shared" si="45"/>
        <v>0</v>
      </c>
      <c r="R147" s="1556"/>
      <c r="Y147" s="1969">
        <v>0</v>
      </c>
      <c r="Z147" s="2531">
        <f t="shared" si="46"/>
        <v>0</v>
      </c>
    </row>
    <row r="148" spans="1:26" ht="12.75" hidden="1" customHeight="1">
      <c r="A148" s="1971" t="s">
        <v>269</v>
      </c>
      <c r="B148" s="1999" t="s">
        <v>382</v>
      </c>
      <c r="C148" s="1968">
        <v>0</v>
      </c>
      <c r="D148" s="1968">
        <v>0</v>
      </c>
      <c r="E148" s="1968">
        <v>0</v>
      </c>
      <c r="F148" s="1968">
        <v>0</v>
      </c>
      <c r="G148" s="1968">
        <v>0</v>
      </c>
      <c r="H148" s="1968">
        <v>0</v>
      </c>
      <c r="I148" s="1968">
        <v>0</v>
      </c>
      <c r="J148" s="1969">
        <v>0</v>
      </c>
      <c r="K148" s="1970"/>
      <c r="L148" s="2093">
        <f t="shared" si="29"/>
        <v>0</v>
      </c>
      <c r="M148" s="1968">
        <f t="shared" si="30"/>
        <v>0</v>
      </c>
      <c r="N148" s="1968">
        <f t="shared" si="4"/>
        <v>0</v>
      </c>
      <c r="O148" s="1555">
        <f t="shared" si="48"/>
        <v>0</v>
      </c>
      <c r="P148" s="111"/>
      <c r="Q148" s="104">
        <f t="shared" si="45"/>
        <v>0</v>
      </c>
      <c r="R148" s="137"/>
      <c r="Y148" s="1969">
        <v>0</v>
      </c>
      <c r="Z148" s="2531">
        <f t="shared" si="46"/>
        <v>0</v>
      </c>
    </row>
    <row r="149" spans="1:26" ht="12.75" customHeight="1" thickBot="1">
      <c r="A149" s="1966" t="s">
        <v>25</v>
      </c>
      <c r="B149" s="1978" t="s">
        <v>383</v>
      </c>
      <c r="C149" s="1968">
        <v>0</v>
      </c>
      <c r="D149" s="1968">
        <v>0</v>
      </c>
      <c r="E149" s="1968">
        <v>0</v>
      </c>
      <c r="F149" s="1968">
        <v>0</v>
      </c>
      <c r="G149" s="1968">
        <v>0</v>
      </c>
      <c r="H149" s="1968">
        <v>0</v>
      </c>
      <c r="I149" s="1968">
        <v>0</v>
      </c>
      <c r="J149" s="1969">
        <v>0</v>
      </c>
      <c r="K149" s="1970"/>
      <c r="L149" s="2093">
        <f t="shared" si="29"/>
        <v>0</v>
      </c>
      <c r="M149" s="1968">
        <f t="shared" si="30"/>
        <v>0</v>
      </c>
      <c r="N149" s="1968">
        <f t="shared" si="4"/>
        <v>0</v>
      </c>
      <c r="O149" s="1555">
        <f t="shared" si="48"/>
        <v>0</v>
      </c>
      <c r="P149" s="111"/>
      <c r="Q149" s="104">
        <f t="shared" si="45"/>
        <v>0</v>
      </c>
      <c r="R149" s="137"/>
      <c r="Y149" s="1969">
        <v>0</v>
      </c>
      <c r="Z149" s="2531">
        <f t="shared" si="46"/>
        <v>0</v>
      </c>
    </row>
    <row r="150" spans="1:26" ht="12.75" customHeight="1" thickBot="1">
      <c r="A150" s="1966" t="s">
        <v>27</v>
      </c>
      <c r="B150" s="1978" t="s">
        <v>384</v>
      </c>
      <c r="C150" s="1968">
        <v>0</v>
      </c>
      <c r="D150" s="1968">
        <v>0</v>
      </c>
      <c r="E150" s="1968">
        <v>0</v>
      </c>
      <c r="F150" s="1968">
        <v>0</v>
      </c>
      <c r="G150" s="1968">
        <v>0</v>
      </c>
      <c r="H150" s="1968">
        <v>0</v>
      </c>
      <c r="I150" s="1968">
        <v>0</v>
      </c>
      <c r="J150" s="1969">
        <v>0</v>
      </c>
      <c r="K150" s="1970"/>
      <c r="L150" s="2093">
        <f t="shared" si="29"/>
        <v>0</v>
      </c>
      <c r="M150" s="1968">
        <f t="shared" si="30"/>
        <v>0</v>
      </c>
      <c r="N150" s="1968">
        <f t="shared" si="4"/>
        <v>0</v>
      </c>
      <c r="O150" s="1555">
        <f t="shared" si="48"/>
        <v>0</v>
      </c>
      <c r="P150" s="111"/>
      <c r="Q150" s="104">
        <f t="shared" si="45"/>
        <v>0</v>
      </c>
      <c r="R150" s="137"/>
      <c r="W150" s="89" t="s">
        <v>271</v>
      </c>
      <c r="Y150" s="1969">
        <v>0</v>
      </c>
      <c r="Z150" s="2531">
        <f t="shared" si="46"/>
        <v>0</v>
      </c>
    </row>
    <row r="151" spans="1:26" ht="12" customHeight="1" thickBot="1">
      <c r="A151" s="1988" t="s">
        <v>29</v>
      </c>
      <c r="B151" s="2004" t="s">
        <v>385</v>
      </c>
      <c r="C151" s="1990">
        <f t="shared" ref="C151:J151" si="50">+C129+C133+C138+C144</f>
        <v>20789856973</v>
      </c>
      <c r="D151" s="1990">
        <f t="shared" si="50"/>
        <v>18805736103</v>
      </c>
      <c r="E151" s="1990">
        <f t="shared" si="50"/>
        <v>19596899335</v>
      </c>
      <c r="F151" s="1990">
        <f t="shared" si="50"/>
        <v>19646956452</v>
      </c>
      <c r="G151" s="1990">
        <f t="shared" si="50"/>
        <v>21164065849</v>
      </c>
      <c r="H151" s="1990">
        <f t="shared" si="50"/>
        <v>27779660462</v>
      </c>
      <c r="I151" s="1990">
        <f t="shared" si="50"/>
        <v>27779660462</v>
      </c>
      <c r="J151" s="1991">
        <f t="shared" si="50"/>
        <v>26902559082</v>
      </c>
      <c r="K151" s="1992">
        <f>+J151/H151</f>
        <v>0.96842649026615013</v>
      </c>
      <c r="L151" s="2093">
        <f t="shared" si="29"/>
        <v>50057117</v>
      </c>
      <c r="M151" s="1990">
        <f t="shared" si="30"/>
        <v>1517109397</v>
      </c>
      <c r="N151" s="1990">
        <f t="shared" si="4"/>
        <v>6615594613</v>
      </c>
      <c r="O151" s="1555">
        <f t="shared" si="48"/>
        <v>0</v>
      </c>
      <c r="P151" s="122"/>
      <c r="Q151" s="123">
        <f t="shared" si="45"/>
        <v>-1192957638</v>
      </c>
      <c r="R151" s="1561">
        <f>+'Fin.kiad.-nem része a rend-nek'!K23+'Fin.kiad.-nem része a rend-nek'!K38+'Fin.kiad.-nem része a rend-nek'!K39+'Fin.kiad.-nem része a rend-nek'!K35</f>
        <v>19596899335</v>
      </c>
      <c r="S151" s="47">
        <f>+'Fin.kiad.-nem része a rend-nek'!L23+'Fin.kiad.-nem része a rend-nek'!L38+'Fin.kiad.-nem része a rend-nek'!L39+'Fin.kiad.-nem része a rend-nek'!L35</f>
        <v>19646956452</v>
      </c>
      <c r="T151" s="47">
        <f>+'Fin.kiad.-nem része a rend-nek'!M23+'Fin.kiad.-nem része a rend-nek'!M38+'Fin.kiad.-nem része a rend-nek'!M39+'Fin.kiad.-nem része a rend-nek'!M35</f>
        <v>21164065849</v>
      </c>
      <c r="U151" s="47">
        <f>+'Fin.kiad.-nem része a rend-nek'!N23+'Fin.kiad.-nem része a rend-nek'!N38+'Fin.kiad.-nem része a rend-nek'!N39+'Fin.kiad.-nem része a rend-nek'!N35</f>
        <v>27779660462</v>
      </c>
      <c r="W151" s="47">
        <v>26902559082</v>
      </c>
      <c r="X151" s="47">
        <f>+J151-W151</f>
        <v>0</v>
      </c>
      <c r="Y151" s="1991">
        <v>18805736103</v>
      </c>
      <c r="Z151" s="2531">
        <f t="shared" si="46"/>
        <v>0</v>
      </c>
    </row>
    <row r="152" spans="1:26" ht="34.5" customHeight="1" thickBot="1">
      <c r="A152" s="1988" t="s">
        <v>31</v>
      </c>
      <c r="B152" s="2004" t="s">
        <v>386</v>
      </c>
      <c r="C152" s="1990">
        <f t="shared" ref="C152:J152" si="51">+C128+C151</f>
        <v>37627307393.190002</v>
      </c>
      <c r="D152" s="1990">
        <f t="shared" si="51"/>
        <v>30785791419</v>
      </c>
      <c r="E152" s="1990">
        <f t="shared" si="51"/>
        <v>30600547620</v>
      </c>
      <c r="F152" s="1990">
        <f t="shared" si="51"/>
        <v>31031686328</v>
      </c>
      <c r="G152" s="1990">
        <f t="shared" si="51"/>
        <v>32484576591</v>
      </c>
      <c r="H152" s="1990">
        <f t="shared" si="51"/>
        <v>38266085681</v>
      </c>
      <c r="I152" s="1990">
        <f t="shared" si="51"/>
        <v>38266085681</v>
      </c>
      <c r="J152" s="1991">
        <f t="shared" si="51"/>
        <v>35098782076</v>
      </c>
      <c r="K152" s="1992">
        <f>+J152/H152</f>
        <v>0.91722948536195226</v>
      </c>
      <c r="L152" s="2093">
        <f t="shared" si="29"/>
        <v>431138708</v>
      </c>
      <c r="M152" s="1990">
        <f t="shared" si="30"/>
        <v>1452890263</v>
      </c>
      <c r="N152" s="1990">
        <f t="shared" si="4"/>
        <v>5781509090</v>
      </c>
      <c r="O152" s="1555">
        <f t="shared" si="48"/>
        <v>0</v>
      </c>
      <c r="P152" s="122"/>
      <c r="Q152" s="123">
        <f t="shared" si="45"/>
        <v>-7026759773.1900024</v>
      </c>
      <c r="R152" s="1561">
        <f>+R128+R151</f>
        <v>30600547620</v>
      </c>
      <c r="S152" s="47">
        <f>+S128+S151</f>
        <v>31031686328</v>
      </c>
      <c r="T152" s="47">
        <f>+T128+T151</f>
        <v>32484576591</v>
      </c>
      <c r="U152" s="47">
        <f>+U128+U151</f>
        <v>38266085681</v>
      </c>
      <c r="W152" s="47">
        <f>+W128+W151</f>
        <v>35098782076</v>
      </c>
      <c r="X152" s="47">
        <f>+J152-W152</f>
        <v>0</v>
      </c>
      <c r="Y152" s="1991">
        <v>30785791419</v>
      </c>
      <c r="Z152" s="2531">
        <f t="shared" si="46"/>
        <v>0</v>
      </c>
    </row>
    <row r="153" spans="1:26" hidden="1">
      <c r="A153" s="1581"/>
      <c r="B153" s="137"/>
      <c r="C153" s="1562"/>
      <c r="D153" s="1563"/>
      <c r="E153" s="1562"/>
      <c r="F153" s="1562"/>
      <c r="G153" s="1562"/>
      <c r="H153" s="1562"/>
      <c r="I153" s="1562"/>
      <c r="J153" s="1564"/>
      <c r="K153" s="1565"/>
      <c r="L153" s="137"/>
      <c r="M153" s="137"/>
      <c r="N153" s="1562"/>
      <c r="O153" s="137"/>
      <c r="P153" s="137"/>
      <c r="Q153" s="137"/>
      <c r="R153" s="137"/>
      <c r="Y153" s="1564"/>
      <c r="Z153" s="2531">
        <f t="shared" si="46"/>
        <v>0</v>
      </c>
    </row>
    <row r="154" spans="1:26" ht="15" hidden="1" customHeight="1" thickBot="1">
      <c r="A154" s="1566" t="s">
        <v>492</v>
      </c>
      <c r="B154" s="1567"/>
      <c r="C154" s="1568">
        <f>+'8. mell. Intézmények összesen'!D54+'29. mell. Önk.- Bér'!I74</f>
        <v>1230.325</v>
      </c>
      <c r="D154" s="1568">
        <f>+'8. mell. Intézmények összesen'!E54+'29. mell. Önk.- Bér'!J74</f>
        <v>1240</v>
      </c>
      <c r="E154" s="1569">
        <f>+'8. mell. Intézmények összesen'!F54+'29. mell. Önk.- Bér'!K74</f>
        <v>1267.825</v>
      </c>
      <c r="F154" s="1569">
        <f>+'8. mell. Intézmények összesen'!G54+'29. mell. Önk.- Bér'!L74</f>
        <v>1267.825</v>
      </c>
      <c r="G154" s="1569">
        <f>+'8. mell. Intézmények összesen'!H54+'29. mell. Önk.- Bér'!M74</f>
        <v>1234.825</v>
      </c>
      <c r="H154" s="1569">
        <f>+'8. mell. Intézmények összesen'!I54+'29. mell. Önk.- Bér'!N74</f>
        <v>1234.825</v>
      </c>
      <c r="I154" s="1569">
        <f>+'8. mell. Intézmények összesen'!J54+'29. mell. Önk.- Bér'!O74</f>
        <v>1234.825</v>
      </c>
      <c r="J154" s="1570">
        <f>+'8. mell. Intézmények összesen'!K54+'29. mell. Önk.- Bér'!P74</f>
        <v>1243</v>
      </c>
      <c r="K154" s="1571">
        <f>+J154/G154</f>
        <v>1.0066203713076751</v>
      </c>
      <c r="L154" s="1555">
        <f t="shared" ref="L154:O155" si="52">+F154-E154</f>
        <v>0</v>
      </c>
      <c r="M154" s="1572">
        <f t="shared" si="52"/>
        <v>-33</v>
      </c>
      <c r="N154" s="1569">
        <f t="shared" si="52"/>
        <v>0</v>
      </c>
      <c r="O154" s="1555">
        <f t="shared" si="52"/>
        <v>0</v>
      </c>
      <c r="P154" s="1573"/>
      <c r="Q154" s="1573">
        <v>1157.5</v>
      </c>
      <c r="R154" s="137"/>
      <c r="Y154" s="1570">
        <v>1240</v>
      </c>
      <c r="Z154" s="2531">
        <f t="shared" si="46"/>
        <v>0</v>
      </c>
    </row>
    <row r="155" spans="1:26" ht="14.25" hidden="1" customHeight="1" thickBot="1">
      <c r="A155" s="1574" t="s">
        <v>493</v>
      </c>
      <c r="B155" s="1575"/>
      <c r="C155" s="1576">
        <f>+'8. mell. Intézmények összesen'!D55</f>
        <v>0</v>
      </c>
      <c r="D155" s="1577"/>
      <c r="E155" s="1578">
        <f>+'8. mell. Intézmények összesen'!F55</f>
        <v>0</v>
      </c>
      <c r="F155" s="1578">
        <f>+'8. mell. Intézmények összesen'!G55</f>
        <v>0</v>
      </c>
      <c r="G155" s="1578">
        <f>+'8. mell. Intézmények összesen'!H55</f>
        <v>0</v>
      </c>
      <c r="H155" s="1578">
        <f>+'8. mell. Intézmények összesen'!I55</f>
        <v>0</v>
      </c>
      <c r="I155" s="1579">
        <f>+'8. mell. Intézmények összesen'!J55</f>
        <v>0</v>
      </c>
      <c r="J155" s="1580">
        <f>+'8. mell. Intézmények összesen'!K55</f>
        <v>0</v>
      </c>
      <c r="K155" s="1571"/>
      <c r="L155" s="1555">
        <f t="shared" si="52"/>
        <v>0</v>
      </c>
      <c r="M155" s="1555">
        <f t="shared" si="52"/>
        <v>0</v>
      </c>
      <c r="N155" s="1578">
        <f t="shared" si="52"/>
        <v>0</v>
      </c>
      <c r="O155" s="1555">
        <f t="shared" si="52"/>
        <v>0</v>
      </c>
      <c r="P155" s="1573"/>
      <c r="Q155" s="1573">
        <v>0</v>
      </c>
      <c r="R155" s="137"/>
      <c r="Y155" s="1580">
        <v>0</v>
      </c>
      <c r="Z155" s="2531">
        <f t="shared" si="46"/>
        <v>0</v>
      </c>
    </row>
    <row r="156" spans="1:26" hidden="1">
      <c r="A156" s="1581"/>
      <c r="B156" s="137"/>
      <c r="C156" s="137"/>
      <c r="D156" s="1582"/>
      <c r="E156" s="1562"/>
      <c r="F156" s="1562"/>
      <c r="G156" s="1562"/>
      <c r="H156" s="1562"/>
      <c r="I156" s="1562"/>
      <c r="J156" s="1564"/>
      <c r="K156" s="137"/>
      <c r="L156" s="137"/>
      <c r="M156" s="137"/>
      <c r="N156" s="1562"/>
      <c r="O156" s="137"/>
      <c r="P156" s="137"/>
      <c r="Q156" s="137"/>
      <c r="R156" s="137"/>
      <c r="Y156" s="1564"/>
      <c r="Z156" s="2531">
        <f t="shared" si="46"/>
        <v>0</v>
      </c>
    </row>
    <row r="157" spans="1:26">
      <c r="A157" s="1971" t="s">
        <v>33</v>
      </c>
      <c r="B157" s="1999" t="s">
        <v>4253</v>
      </c>
      <c r="C157" s="1983">
        <f t="shared" ref="C157:J157" si="53">+C88-C152</f>
        <v>0</v>
      </c>
      <c r="D157" s="1983">
        <f t="shared" si="53"/>
        <v>2693591343</v>
      </c>
      <c r="E157" s="1983">
        <f t="shared" si="53"/>
        <v>0</v>
      </c>
      <c r="F157" s="1983">
        <f t="shared" si="53"/>
        <v>0</v>
      </c>
      <c r="G157" s="1983">
        <f t="shared" si="53"/>
        <v>0</v>
      </c>
      <c r="H157" s="1983">
        <f t="shared" si="53"/>
        <v>0</v>
      </c>
      <c r="I157" s="1983">
        <f t="shared" si="53"/>
        <v>0</v>
      </c>
      <c r="J157" s="1984">
        <f t="shared" si="53"/>
        <v>958683605</v>
      </c>
      <c r="K157" s="1975"/>
      <c r="L157" s="2093">
        <f>+L88-L152</f>
        <v>0</v>
      </c>
      <c r="M157" s="1983">
        <f>+M88-M152</f>
        <v>0</v>
      </c>
      <c r="N157" s="1983">
        <f>+N88-N152</f>
        <v>0</v>
      </c>
      <c r="O157" s="134">
        <f>+O88-O152</f>
        <v>0</v>
      </c>
      <c r="P157" s="134"/>
      <c r="Q157" s="134"/>
      <c r="Y157" s="134">
        <v>2693591343</v>
      </c>
      <c r="Z157" s="2531">
        <f t="shared" si="46"/>
        <v>0</v>
      </c>
    </row>
    <row r="158" spans="1:26" ht="13.5" hidden="1" thickBot="1">
      <c r="J158" s="1414"/>
      <c r="W158" s="47"/>
      <c r="Y158" s="1414"/>
    </row>
    <row r="159" spans="1:26" ht="13.5" hidden="1" thickBot="1">
      <c r="J159" s="1414"/>
      <c r="Y159" s="1414"/>
    </row>
    <row r="160" spans="1:26" hidden="1">
      <c r="J160" s="118"/>
      <c r="Y160" s="118"/>
    </row>
    <row r="161" spans="10:25" hidden="1">
      <c r="K161" s="1784"/>
      <c r="W161" s="135"/>
      <c r="X161" s="56"/>
      <c r="Y161" s="91"/>
    </row>
    <row r="162" spans="10:25" hidden="1">
      <c r="J162" s="91">
        <f>+J161+J157</f>
        <v>958683605</v>
      </c>
      <c r="K162" s="1784"/>
      <c r="X162" s="47"/>
      <c r="Y162" s="91">
        <v>2693591343</v>
      </c>
    </row>
    <row r="163" spans="10:25">
      <c r="Y163" s="2673" t="s">
        <v>3916</v>
      </c>
    </row>
    <row r="165" spans="10:25">
      <c r="K165" s="135"/>
      <c r="P165" s="135"/>
      <c r="Q165" s="91"/>
      <c r="U165" s="91"/>
    </row>
  </sheetData>
  <sheetProtection algorithmName="SHA-512" hashValue="o6dkrcuTBdT2ec6aHUPcStaIrfiocksPMbaiwDYbPqq9MRN6qKq3Hf8DZmwnDhA5RsV0Q3MVQifAqb0bgJ9dKg==" saltValue="U8viHjVMX6cI0uohTQ/CZg==" spinCount="100000" sheet="1" selectLockedCells="1" selectUnlockedCells="1"/>
  <mergeCells count="2">
    <mergeCell ref="B2:N2"/>
    <mergeCell ref="A1:N1"/>
  </mergeCells>
  <printOptions horizontalCentered="1"/>
  <pageMargins left="0.11811023622047245" right="0.15748031496062992" top="0.15748031496062992" bottom="0.39370078740157483" header="0.51181102362204722" footer="0.15748031496062992"/>
  <pageSetup paperSize="9" scale="70" firstPageNumber="0" fitToWidth="2" fitToHeight="2" orientation="portrait" r:id="rId1"/>
  <headerFooter alignWithMargins="0">
    <oddFooter>&amp;C&amp;"Arial CE,Félkövér"&amp;14&amp;P/&amp;N</oddFooter>
  </headerFooter>
  <rowBreaks count="1" manualBreakCount="1">
    <brk id="88" max="13" man="1"/>
  </rowBreaks>
</worksheet>
</file>

<file path=docProps/app.xml><?xml version="1.0" encoding="utf-8"?>
<Properties xmlns="http://schemas.openxmlformats.org/officeDocument/2006/extended-properties" xmlns:vt="http://schemas.openxmlformats.org/officeDocument/2006/docPropsVTypes">
  <TotalTime>223</TotalTime>
  <Application>Microsoft Excel</Application>
  <DocSecurity>0</DocSecurity>
  <ScaleCrop>false</ScaleCrop>
  <HeadingPairs>
    <vt:vector size="4" baseType="variant">
      <vt:variant>
        <vt:lpstr>Munkalapok</vt:lpstr>
      </vt:variant>
      <vt:variant>
        <vt:i4>64</vt:i4>
      </vt:variant>
      <vt:variant>
        <vt:lpstr>Névvel ellátott tartományok</vt:lpstr>
      </vt:variant>
      <vt:variant>
        <vt:i4>104</vt:i4>
      </vt:variant>
    </vt:vector>
  </HeadingPairs>
  <TitlesOfParts>
    <vt:vector size="168" baseType="lpstr">
      <vt:lpstr>Telek,lakás, egyéb ing.bev.terv</vt:lpstr>
      <vt:lpstr>nem változtató bevétel</vt:lpstr>
      <vt:lpstr>nem változtató kiadás</vt:lpstr>
      <vt:lpstr>változtató</vt:lpstr>
      <vt:lpstr>1. mell.ÖSSZEVONT_MÉRLEG</vt:lpstr>
      <vt:lpstr>2. mell.  </vt:lpstr>
      <vt:lpstr>3. mell.  </vt:lpstr>
      <vt:lpstr>4.mell.ÖSSZEVONT (Bontas)</vt:lpstr>
      <vt:lpstr>5. mell.Önk-i mérleg</vt:lpstr>
      <vt:lpstr>6. mell (Bontás)</vt:lpstr>
      <vt:lpstr>7. mell. Önk.összes.bevétele</vt:lpstr>
      <vt:lpstr>Fin.bev-nem része a rend-nek</vt:lpstr>
      <vt:lpstr>int.vált.-előterj1.mell</vt:lpstr>
      <vt:lpstr>intnemváltoztató-előterj2.mell </vt:lpstr>
      <vt:lpstr>int-i atcsop-ok eloterj.4.mell</vt:lpstr>
      <vt:lpstr>8. mell. Intézmények összesen</vt:lpstr>
      <vt:lpstr>9. mell. PMH</vt:lpstr>
      <vt:lpstr>Bev. PMH-nem része a rend-nek</vt:lpstr>
      <vt:lpstr>10. PMH személyi jutt.és jár-ok</vt:lpstr>
      <vt:lpstr>11.mell. PMH Dologi</vt:lpstr>
      <vt:lpstr>PMH Dologi(alábontás)-nem része</vt:lpstr>
      <vt:lpstr>12. mell. Szakrendelő</vt:lpstr>
      <vt:lpstr>13. mell. GAMESZ</vt:lpstr>
      <vt:lpstr>14. mell. Gyerekkuckó</vt:lpstr>
      <vt:lpstr>15. mell. Cinkotai H.</vt:lpstr>
      <vt:lpstr>16. mell. Napsugár</vt:lpstr>
      <vt:lpstr>17. mell. Sashalmi M.</vt:lpstr>
      <vt:lpstr>18. mell. Margaréta</vt:lpstr>
      <vt:lpstr>19.mell.Szentmihályi Játszókert</vt:lpstr>
      <vt:lpstr>20. mell. M. Fecskefészek</vt:lpstr>
      <vt:lpstr>21. mell. CMH</vt:lpstr>
      <vt:lpstr>22. mell. Bölcsőde</vt:lpstr>
      <vt:lpstr>23. mell. Terszoc.</vt:lpstr>
      <vt:lpstr>24. mell. Napraforgó</vt:lpstr>
      <vt:lpstr>25. mell. Kerületgazda</vt:lpstr>
      <vt:lpstr>26. mell. Őrszolgálat</vt:lpstr>
      <vt:lpstr>27. mell. KHEK</vt:lpstr>
      <vt:lpstr>Int. fin.-Ez</vt:lpstr>
      <vt:lpstr>28. mell. KIO</vt:lpstr>
      <vt:lpstr>29. mell. Önk.- Bér</vt:lpstr>
      <vt:lpstr>30. mell. ÖNK.-Dologi</vt:lpstr>
      <vt:lpstr>ÖNK.-Dologi (alábontás)nemrésze</vt:lpstr>
      <vt:lpstr>31.mell. Működési kiadások</vt:lpstr>
      <vt:lpstr>32. mell. Ellátottak</vt:lpstr>
      <vt:lpstr>33. mell. E.műk.c.kiad.</vt:lpstr>
      <vt:lpstr>34-35.mell.Ber.,Felúj.</vt:lpstr>
      <vt:lpstr>36. mell. E.felh.c.kiad.</vt:lpstr>
      <vt:lpstr>Fin.kiad.-nem része a rend-nek</vt:lpstr>
      <vt:lpstr>37. mell.költségvetésben</vt:lpstr>
      <vt:lpstr>37.mell_EU_beszámolóban</vt:lpstr>
      <vt:lpstr>38.mell.maradvany_1_oldal</vt:lpstr>
      <vt:lpstr>38.mell.maradvany_2_oldal</vt:lpstr>
      <vt:lpstr>Előterj20.mell.-Egyeztető</vt:lpstr>
      <vt:lpstr>Eloterj22.mell.-Faalapu_tam_ok</vt:lpstr>
      <vt:lpstr>22.melléklet 2. oldal</vt:lpstr>
      <vt:lpstr>22. melléklet 3. oldal</vt:lpstr>
      <vt:lpstr>38-39-40.mellékletek  </vt:lpstr>
      <vt:lpstr>1. sz tájékoztató t.</vt:lpstr>
      <vt:lpstr>2. sz tájékoztató tábla</vt:lpstr>
      <vt:lpstr>3. sz. tájékoztató tábla</vt:lpstr>
      <vt:lpstr>4.sz. tájékoztató tábla1.</vt:lpstr>
      <vt:lpstr>4.sz. tájékoztató tábla2.</vt:lpstr>
      <vt:lpstr>5. sz. tájékoztató tábla</vt:lpstr>
      <vt:lpstr>COFOG (3)</vt:lpstr>
      <vt:lpstr>'38-39-40.mellékletek  '!foot_2_place</vt:lpstr>
      <vt:lpstr>'38-39-40.mellékletek  '!foot_3_place</vt:lpstr>
      <vt:lpstr>'1. mell.ÖSSZEVONT_MÉRLEG'!Nyomtatási_cím</vt:lpstr>
      <vt:lpstr>'11.mell. PMH Dologi'!Nyomtatási_cím</vt:lpstr>
      <vt:lpstr>'12. mell. Szakrendelő'!Nyomtatási_cím</vt:lpstr>
      <vt:lpstr>'13. mell. GAMESZ'!Nyomtatási_cím</vt:lpstr>
      <vt:lpstr>'14. mell. Gyerekkuckó'!Nyomtatási_cím</vt:lpstr>
      <vt:lpstr>'15. mell. Cinkotai H.'!Nyomtatási_cím</vt:lpstr>
      <vt:lpstr>'16. mell. Napsugár'!Nyomtatási_cím</vt:lpstr>
      <vt:lpstr>'17. mell. Sashalmi M.'!Nyomtatási_cím</vt:lpstr>
      <vt:lpstr>'18. mell. Margaréta'!Nyomtatási_cím</vt:lpstr>
      <vt:lpstr>'19.mell.Szentmihályi Játszókert'!Nyomtatási_cím</vt:lpstr>
      <vt:lpstr>'20. mell. M. Fecskefészek'!Nyomtatási_cím</vt:lpstr>
      <vt:lpstr>'21. mell. CMH'!Nyomtatási_cím</vt:lpstr>
      <vt:lpstr>'22. mell. Bölcsőde'!Nyomtatási_cím</vt:lpstr>
      <vt:lpstr>'23. mell. Terszoc.'!Nyomtatási_cím</vt:lpstr>
      <vt:lpstr>'24. mell. Napraforgó'!Nyomtatási_cím</vt:lpstr>
      <vt:lpstr>'25. mell. Kerületgazda'!Nyomtatási_cím</vt:lpstr>
      <vt:lpstr>'26. mell. Őrszolgálat'!Nyomtatási_cím</vt:lpstr>
      <vt:lpstr>'27. mell. KHEK'!Nyomtatási_cím</vt:lpstr>
      <vt:lpstr>'28. mell. KIO'!Nyomtatási_cím</vt:lpstr>
      <vt:lpstr>'29. mell. Önk.- Bér'!Nyomtatási_cím</vt:lpstr>
      <vt:lpstr>'30. mell. ÖNK.-Dologi'!Nyomtatási_cím</vt:lpstr>
      <vt:lpstr>'31.mell. Működési kiadások'!Nyomtatási_cím</vt:lpstr>
      <vt:lpstr>'32. mell. Ellátottak'!Nyomtatási_cím</vt:lpstr>
      <vt:lpstr>'33. mell. E.műk.c.kiad.'!Nyomtatási_cím</vt:lpstr>
      <vt:lpstr>'36. mell. E.felh.c.kiad.'!Nyomtatási_cím</vt:lpstr>
      <vt:lpstr>'37.mell_EU_beszámolóban'!Nyomtatási_cím</vt:lpstr>
      <vt:lpstr>'4.mell.ÖSSZEVONT (Bontas)'!Nyomtatási_cím</vt:lpstr>
      <vt:lpstr>'5. mell.Önk-i mérleg'!Nyomtatási_cím</vt:lpstr>
      <vt:lpstr>'6. mell (Bontás)'!Nyomtatási_cím</vt:lpstr>
      <vt:lpstr>'7. mell. Önk.összes.bevétele'!Nyomtatási_cím</vt:lpstr>
      <vt:lpstr>'8. mell. Intézmények összesen'!Nyomtatási_cím</vt:lpstr>
      <vt:lpstr>'9. mell. PMH'!Nyomtatási_cím</vt:lpstr>
      <vt:lpstr>'Bev. PMH-nem része a rend-nek'!Nyomtatási_cím</vt:lpstr>
      <vt:lpstr>'Fin.bev-nem része a rend-nek'!Nyomtatási_cím</vt:lpstr>
      <vt:lpstr>'Fin.kiad.-nem része a rend-nek'!Nyomtatási_cím</vt:lpstr>
      <vt:lpstr>'nem változtató kiadás'!Nyomtatási_cím</vt:lpstr>
      <vt:lpstr>'ÖNK.-Dologi (alábontás)nemrésze'!Nyomtatási_cím</vt:lpstr>
      <vt:lpstr>'PMH Dologi(alábontás)-nem része'!Nyomtatási_cím</vt:lpstr>
      <vt:lpstr>változtató!Nyomtatási_cím</vt:lpstr>
      <vt:lpstr>'1. mell.ÖSSZEVONT_MÉRLEG'!Nyomtatási_terület</vt:lpstr>
      <vt:lpstr>'1. sz tájékoztató t.'!Nyomtatási_terület</vt:lpstr>
      <vt:lpstr>'10. PMH személyi jutt.és jár-ok'!Nyomtatási_terület</vt:lpstr>
      <vt:lpstr>'11.mell. PMH Dologi'!Nyomtatási_terület</vt:lpstr>
      <vt:lpstr>'12. mell. Szakrendelő'!Nyomtatási_terület</vt:lpstr>
      <vt:lpstr>'13. mell. GAMESZ'!Nyomtatási_terület</vt:lpstr>
      <vt:lpstr>'14. mell. Gyerekkuckó'!Nyomtatási_terület</vt:lpstr>
      <vt:lpstr>'15. mell. Cinkotai H.'!Nyomtatási_terület</vt:lpstr>
      <vt:lpstr>'16. mell. Napsugár'!Nyomtatási_terület</vt:lpstr>
      <vt:lpstr>'17. mell. Sashalmi M.'!Nyomtatási_terület</vt:lpstr>
      <vt:lpstr>'18. mell. Margaréta'!Nyomtatási_terület</vt:lpstr>
      <vt:lpstr>'19.mell.Szentmihályi Játszókert'!Nyomtatási_terület</vt:lpstr>
      <vt:lpstr>'2. mell.  '!Nyomtatási_terület</vt:lpstr>
      <vt:lpstr>'2. sz tájékoztató tábla'!Nyomtatási_terület</vt:lpstr>
      <vt:lpstr>'20. mell. M. Fecskefészek'!Nyomtatási_terület</vt:lpstr>
      <vt:lpstr>'21. mell. CMH'!Nyomtatási_terület</vt:lpstr>
      <vt:lpstr>'22. mell. Bölcsőde'!Nyomtatási_terület</vt:lpstr>
      <vt:lpstr>'22. melléklet 3. oldal'!Nyomtatási_terület</vt:lpstr>
      <vt:lpstr>'22.melléklet 2. oldal'!Nyomtatási_terület</vt:lpstr>
      <vt:lpstr>'23. mell. Terszoc.'!Nyomtatási_terület</vt:lpstr>
      <vt:lpstr>'24. mell. Napraforgó'!Nyomtatási_terület</vt:lpstr>
      <vt:lpstr>'25. mell. Kerületgazda'!Nyomtatási_terület</vt:lpstr>
      <vt:lpstr>'26. mell. Őrszolgálat'!Nyomtatási_terület</vt:lpstr>
      <vt:lpstr>'27. mell. KHEK'!Nyomtatási_terület</vt:lpstr>
      <vt:lpstr>'28. mell. KIO'!Nyomtatási_terület</vt:lpstr>
      <vt:lpstr>'29. mell. Önk.- Bér'!Nyomtatási_terület</vt:lpstr>
      <vt:lpstr>'3. mell.  '!Nyomtatási_terület</vt:lpstr>
      <vt:lpstr>'3. sz. tájékoztató tábla'!Nyomtatási_terület</vt:lpstr>
      <vt:lpstr>'30. mell. ÖNK.-Dologi'!Nyomtatási_terület</vt:lpstr>
      <vt:lpstr>'31.mell. Működési kiadások'!Nyomtatási_terület</vt:lpstr>
      <vt:lpstr>'32. mell. Ellátottak'!Nyomtatási_terület</vt:lpstr>
      <vt:lpstr>'33. mell. E.műk.c.kiad.'!Nyomtatási_terület</vt:lpstr>
      <vt:lpstr>'34-35.mell.Ber.,Felúj.'!Nyomtatási_terület</vt:lpstr>
      <vt:lpstr>'36. mell. E.felh.c.kiad.'!Nyomtatási_terület</vt:lpstr>
      <vt:lpstr>'37. mell.költségvetésben'!Nyomtatási_terület</vt:lpstr>
      <vt:lpstr>'37.mell_EU_beszámolóban'!Nyomtatási_terület</vt:lpstr>
      <vt:lpstr>'38.mell.maradvany_1_oldal'!Nyomtatási_terület</vt:lpstr>
      <vt:lpstr>'38.mell.maradvany_2_oldal'!Nyomtatási_terület</vt:lpstr>
      <vt:lpstr>'38-39-40.mellékletek  '!Nyomtatási_terület</vt:lpstr>
      <vt:lpstr>'4.mell.ÖSSZEVONT (Bontas)'!Nyomtatási_terület</vt:lpstr>
      <vt:lpstr>'4.sz. tájékoztató tábla1.'!Nyomtatási_terület</vt:lpstr>
      <vt:lpstr>'4.sz. tájékoztató tábla2.'!Nyomtatási_terület</vt:lpstr>
      <vt:lpstr>'5. mell.Önk-i mérleg'!Nyomtatási_terület</vt:lpstr>
      <vt:lpstr>'5. sz. tájékoztató tábla'!Nyomtatási_terület</vt:lpstr>
      <vt:lpstr>'6. mell (Bontás)'!Nyomtatási_terület</vt:lpstr>
      <vt:lpstr>'7. mell. Önk.összes.bevétele'!Nyomtatási_terület</vt:lpstr>
      <vt:lpstr>'8. mell. Intézmények összesen'!Nyomtatási_terület</vt:lpstr>
      <vt:lpstr>'9. mell. PMH'!Nyomtatási_terület</vt:lpstr>
      <vt:lpstr>'Bev. PMH-nem része a rend-nek'!Nyomtatási_terület</vt:lpstr>
      <vt:lpstr>'Eloterj22.mell.-Faalapu_tam_ok'!Nyomtatási_terület</vt:lpstr>
      <vt:lpstr>'Előterj20.mell.-Egyeztető'!Nyomtatási_terület</vt:lpstr>
      <vt:lpstr>'Fin.bev-nem része a rend-nek'!Nyomtatási_terület</vt:lpstr>
      <vt:lpstr>'Fin.kiad.-nem része a rend-nek'!Nyomtatási_terület</vt:lpstr>
      <vt:lpstr>'Int. fin.-Ez'!Nyomtatási_terület</vt:lpstr>
      <vt:lpstr>'int.vált.-előterj1.mell'!Nyomtatási_terület</vt:lpstr>
      <vt:lpstr>'int-i atcsop-ok eloterj.4.mell'!Nyomtatási_terület</vt:lpstr>
      <vt:lpstr>'intnemváltoztató-előterj2.mell '!Nyomtatási_terület</vt:lpstr>
      <vt:lpstr>'nem változtató bevétel'!Nyomtatási_terület</vt:lpstr>
      <vt:lpstr>'nem változtató kiadás'!Nyomtatási_terület</vt:lpstr>
      <vt:lpstr>'ÖNK.-Dologi (alábontás)nemrésze'!Nyomtatási_terület</vt:lpstr>
      <vt:lpstr>'PMH Dologi(alábontás)-nem része'!Nyomtatási_terület</vt:lpstr>
      <vt:lpstr>'Telek,lakás, egyéb ing.bev.terv'!Nyomtatási_terület</vt:lpstr>
      <vt:lpstr>változtató!Nyomtatási_terület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 évi költségvetés beszámolója</dc:title>
  <dc:subject>Rendeleti táblák</dc:subject>
  <dc:creator>Nyíri Ildikó</dc:creator>
  <cp:lastModifiedBy>Nyíriné Kovács Ildikó</cp:lastModifiedBy>
  <cp:revision>25</cp:revision>
  <cp:lastPrinted>2026-04-16T14:37:35Z</cp:lastPrinted>
  <dcterms:created xsi:type="dcterms:W3CDTF">2000-12-11T06:55:05Z</dcterms:created>
  <dcterms:modified xsi:type="dcterms:W3CDTF">2026-04-20T07:52:33Z</dcterms:modified>
  <cp:category>HATÁLYOS RENDELET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észítette">
    <vt:lpwstr>Nyíri Ildikó</vt:lpwstr>
  </property>
</Properties>
</file>